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3"/>
    <sheet state="visible" name="Chart" sheetId="2" r:id="rId4"/>
    <sheet state="visible" name="Data" sheetId="3" r:id="rId5"/>
    <sheet state="visible" name="Help" sheetId="4" r:id="rId6"/>
  </sheets>
  <definedNames>
    <definedName name="NamedRange1">Data!$B:$D</definedName>
    <definedName hidden="1" localSheetId="2" name="Z_39DE6118_6506_4C48_A7FA_BC3A9618160D_.wvu.FilterData">Data!$B$1:$E$11740</definedName>
    <definedName hidden="1" localSheetId="2" name="Z_7853A1D4_B2A2_4F2D_ABE7_93A930033B74_.wvu.FilterData">Data!$B$1:$E$11740</definedName>
  </definedNames>
  <calcPr/>
  <customWorkbookViews>
    <customWorkbookView activeSheetId="0" maximized="1" windowHeight="0" windowWidth="0" guid="{39DE6118-6506-4C48-A7FA-BC3A9618160D}" name="Filter 2"/>
    <customWorkbookView activeSheetId="0" maximized="1" windowHeight="0" windowWidth="0" guid="{7853A1D4-B2A2-4F2D-ABE7-93A930033B7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Used as final gravity (FG) in calculations.</t>
      </text>
    </comment>
    <comment authorId="0" ref="B9">
      <text>
        <t xml:space="preserve">Used as original gravity (OG) in calculations.</t>
      </text>
    </comment>
    <comment authorId="0" ref="B22">
      <text>
        <t xml:space="preserve">ABV Calculation Options
- Standard Method: (OG-FG) x 1.3125
- Alternate Method: Based on Brewer's Friend alternate ABV formula (https://www.brewersfriend.com/2011/06/16/alcohol-by-volume-calculator-updated/)
- UK HMRC Method ABV: Based on UK's HM Revenue and Customs (https://www.gov.uk/government/publications/excise-notice-226-beer-duty/excise-notice-226-beer-duty--2#calc-of-abv)
- Wine Method ABV: (OG-FG)/7.36 x 1000
</t>
      </text>
    </comment>
  </commentList>
</comments>
</file>

<file path=xl/sharedStrings.xml><?xml version="1.0" encoding="utf-8"?>
<sst xmlns="http://schemas.openxmlformats.org/spreadsheetml/2006/main" count="23516" uniqueCount="35">
  <si>
    <t>Report &amp; Chart Settings:</t>
  </si>
  <si>
    <t>From Date:</t>
  </si>
  <si>
    <t>To Date:</t>
  </si>
  <si>
    <t>Time Frame:</t>
  </si>
  <si>
    <t>all</t>
  </si>
  <si>
    <t>Temp. Units:</t>
  </si>
  <si>
    <t>Fahrenheit</t>
  </si>
  <si>
    <t>Ferm. Units:</t>
  </si>
  <si>
    <t>SG</t>
  </si>
  <si>
    <t>Current:</t>
  </si>
  <si>
    <t>First:</t>
  </si>
  <si>
    <t>Ferm. Rate (per day):</t>
  </si>
  <si>
    <t>Duration (days):</t>
  </si>
  <si>
    <t>High:</t>
  </si>
  <si>
    <t>Low:</t>
  </si>
  <si>
    <t>Average:</t>
  </si>
  <si>
    <t>Calculations</t>
  </si>
  <si>
    <t>Apparent Attenuation:</t>
  </si>
  <si>
    <t>Standard Method ABV:</t>
  </si>
  <si>
    <t>Timestamp</t>
  </si>
  <si>
    <t>Timepoint</t>
  </si>
  <si>
    <t>Temp</t>
  </si>
  <si>
    <t>Color</t>
  </si>
  <si>
    <t>Beer</t>
  </si>
  <si>
    <t>Comment</t>
  </si>
  <si>
    <t>BLUE</t>
  </si>
  <si>
    <t>Uncle Sams Cider (04/04/2023)</t>
  </si>
  <si>
    <t>ken@bellock.net</t>
  </si>
  <si>
    <t>Tips for using this template:</t>
  </si>
  <si>
    <t>1. Raw data goes to the "Data" sheet. "Timestamp" is the time data is posted, "Timepoint" is the time data is sent from the device.</t>
  </si>
  <si>
    <t>2. Number format in the "Timepoint" column must be a decimal number for the chart to plot properly.</t>
  </si>
  <si>
    <t>3. "Report" sheet formats data newest to oldest and allows unit conversion from Farhenheit to Celsius and SG to Plato.</t>
  </si>
  <si>
    <t>4. "Report" sheet also allows viewing multiple time frames for higher level detail.</t>
  </si>
  <si>
    <t>5. Some cells have warnings on making changes, this is to prevent accidental edits that would make the sheet not work.</t>
  </si>
  <si>
    <t>6. Comments on sheet help explain why some of the calculations are there. Comments may be deleted if desired.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</si>
</sst>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.000"/>
    <numFmt numFmtId="166" formatCode="0.0"/>
    <numFmt numFmtId="167" formatCode="0.0000"/>
  </numFmts>
  <fonts count="10">
    <font>
      <sz val="10.0"/>
      <color rgb="FF000000"/>
      <name val="Arial"/>
    </font>
    <font>
      <b/>
      <name val="Arial"/>
    </font>
    <font>
      <b/>
    </font>
    <font>
      <b/>
      <sz val="10.0"/>
    </font>
    <font/>
    <font>
      <sz val="10.0"/>
    </font>
    <font>
      <name val="Arial"/>
    </font>
    <font>
      <color rgb="FF073763"/>
      <name val="Arial"/>
    </font>
    <font>
      <sz val="11.0"/>
      <color rgb="FF000000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000000"/>
      </lef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1" fillId="2" fontId="2" numFmtId="164" xfId="0" applyAlignment="1" applyBorder="1" applyFont="1" applyNumberFormat="1">
      <alignment horizontal="center"/>
    </xf>
    <xf borderId="1" fillId="2" fontId="2" numFmtId="165" xfId="0" applyAlignment="1" applyBorder="1" applyFont="1" applyNumberFormat="1">
      <alignment horizontal="center"/>
    </xf>
    <xf borderId="1" fillId="2" fontId="2" numFmtId="166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right" readingOrder="0" vertical="bottom"/>
    </xf>
    <xf borderId="3" fillId="2" fontId="4" numFmtId="164" xfId="0" applyAlignment="1" applyBorder="1" applyFont="1" applyNumberFormat="1">
      <alignment horizontal="center"/>
    </xf>
    <xf borderId="0" fillId="0" fontId="4" numFmtId="164" xfId="0" applyFont="1" applyNumberFormat="1"/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5" numFmtId="0" xfId="0" applyAlignment="1" applyFont="1">
      <alignment horizontal="left" readingOrder="0"/>
    </xf>
    <xf borderId="4" fillId="2" fontId="1" numFmtId="0" xfId="0" applyAlignment="1" applyBorder="1" applyFont="1">
      <alignment horizontal="right" readingOrder="0" vertical="bottom"/>
    </xf>
    <xf borderId="1" fillId="2" fontId="4" numFmtId="164" xfId="0" applyAlignment="1" applyBorder="1" applyFont="1" applyNumberFormat="1">
      <alignment horizontal="center"/>
    </xf>
    <xf borderId="0" fillId="0" fontId="4" numFmtId="165" xfId="0" applyFont="1" applyNumberFormat="1"/>
    <xf borderId="0" fillId="0" fontId="4" numFmtId="166" xfId="0" applyFont="1" applyNumberFormat="1"/>
    <xf borderId="4" fillId="2" fontId="2" numFmtId="0" xfId="0" applyAlignment="1" applyBorder="1" applyFont="1">
      <alignment horizontal="right" readingOrder="0"/>
    </xf>
    <xf borderId="1" fillId="2" fontId="6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left"/>
    </xf>
    <xf borderId="0" fillId="0" fontId="5" numFmtId="0" xfId="0" applyFont="1"/>
    <xf borderId="4" fillId="2" fontId="1" numFmtId="0" xfId="0" applyAlignment="1" applyBorder="1" applyFont="1">
      <alignment horizontal="right" readingOrder="0" vertical="bottom"/>
    </xf>
    <xf borderId="1" fillId="2" fontId="6" numFmtId="165" xfId="0" applyAlignment="1" applyBorder="1" applyFont="1" applyNumberFormat="1">
      <alignment horizontal="center" readingOrder="0" vertical="bottom"/>
    </xf>
    <xf borderId="5" fillId="3" fontId="7" numFmtId="165" xfId="0" applyAlignment="1" applyBorder="1" applyFill="1" applyFont="1" applyNumberFormat="1">
      <alignment horizontal="center" vertical="bottom"/>
    </xf>
    <xf borderId="6" fillId="3" fontId="8" numFmtId="165" xfId="0" applyBorder="1" applyFont="1" applyNumberFormat="1"/>
    <xf borderId="7" fillId="0" fontId="1" numFmtId="164" xfId="0" applyAlignment="1" applyBorder="1" applyFont="1" applyNumberFormat="1">
      <alignment horizontal="right" vertical="bottom"/>
    </xf>
    <xf borderId="8" fillId="0" fontId="6" numFmtId="167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right" readingOrder="0" vertical="bottom"/>
    </xf>
    <xf borderId="8" fillId="0" fontId="6" numFmtId="2" xfId="0" applyAlignment="1" applyBorder="1" applyFont="1" applyNumberFormat="1">
      <alignment horizontal="center" vertical="bottom"/>
    </xf>
    <xf borderId="0" fillId="0" fontId="5" numFmtId="0" xfId="0" applyAlignment="1" applyFont="1">
      <alignment readingOrder="0"/>
    </xf>
    <xf borderId="9" fillId="0" fontId="1" numFmtId="164" xfId="0" applyAlignment="1" applyBorder="1" applyFont="1" applyNumberFormat="1">
      <alignment horizontal="right" vertical="bottom"/>
    </xf>
    <xf borderId="10" fillId="0" fontId="6" numFmtId="167" xfId="0" applyAlignment="1" applyBorder="1" applyFont="1" applyNumberFormat="1">
      <alignment horizontal="center" vertical="bottom"/>
    </xf>
    <xf borderId="5" fillId="3" fontId="9" numFmtId="165" xfId="0" applyAlignment="1" applyBorder="1" applyFont="1" applyNumberFormat="1">
      <alignment horizontal="center" vertical="bottom"/>
    </xf>
    <xf borderId="5" fillId="0" fontId="1" numFmtId="164" xfId="0" applyAlignment="1" applyBorder="1" applyFont="1" applyNumberFormat="1">
      <alignment horizontal="right" vertical="bottom"/>
    </xf>
    <xf borderId="6" fillId="0" fontId="6" numFmtId="166" xfId="0" applyAlignment="1" applyBorder="1" applyFont="1" applyNumberFormat="1">
      <alignment horizontal="center" vertical="bottom"/>
    </xf>
    <xf borderId="8" fillId="0" fontId="6" numFmtId="166" xfId="0" applyAlignment="1" applyBorder="1" applyFont="1" applyNumberFormat="1">
      <alignment horizontal="center" vertical="bottom"/>
    </xf>
    <xf borderId="0" fillId="0" fontId="4" numFmtId="164" xfId="0" applyAlignment="1" applyFont="1" applyNumberFormat="1">
      <alignment readingOrder="0"/>
    </xf>
    <xf borderId="10" fillId="0" fontId="6" numFmtId="166" xfId="0" applyAlignment="1" applyBorder="1" applyFont="1" applyNumberFormat="1">
      <alignment horizontal="center" vertical="bottom"/>
    </xf>
    <xf borderId="11" fillId="3" fontId="4" numFmtId="0" xfId="0" applyAlignment="1" applyBorder="1" applyFont="1">
      <alignment horizontal="center" readingOrder="0"/>
    </xf>
    <xf borderId="8" fillId="3" fontId="4" numFmtId="0" xfId="0" applyBorder="1" applyFont="1"/>
    <xf borderId="11" fillId="4" fontId="1" numFmtId="164" xfId="0" applyAlignment="1" applyBorder="1" applyFill="1" applyFont="1" applyNumberFormat="1">
      <alignment horizontal="right" vertical="bottom"/>
    </xf>
    <xf borderId="8" fillId="4" fontId="6" numFmtId="10" xfId="0" applyAlignment="1" applyBorder="1" applyFont="1" applyNumberFormat="1">
      <alignment horizontal="center" vertical="bottom"/>
    </xf>
    <xf borderId="12" fillId="4" fontId="1" numFmtId="0" xfId="0" applyAlignment="1" applyBorder="1" applyFont="1">
      <alignment horizontal="right" readingOrder="0" vertical="bottom"/>
    </xf>
    <xf borderId="10" fillId="4" fontId="6" numFmtId="10" xfId="0" applyAlignment="1" applyBorder="1" applyFont="1" applyNumberFormat="1">
      <alignment horizontal="center" vertical="bottom"/>
    </xf>
    <xf borderId="13" fillId="0" fontId="2" numFmtId="0" xfId="0" applyAlignment="1" applyBorder="1" applyFont="1">
      <alignment horizontal="right" readingOrder="0"/>
    </xf>
    <xf borderId="14" fillId="0" fontId="4" numFmtId="2" xfId="0" applyAlignment="1" applyBorder="1" applyFont="1" applyNumberFormat="1">
      <alignment horizontal="center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" numFmtId="164" xfId="0" applyAlignment="1" applyFont="1" applyNumberFormat="1">
      <alignment horizontal="right" readingOrder="0" vertical="bottom"/>
    </xf>
    <xf borderId="0" fillId="0" fontId="6" numFmtId="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trendline>
            <c:name>SG Trend</c:name>
            <c:spPr>
              <a:ln w="19050">
                <a:solidFill>
                  <a:srgbClr val="3366CC"/>
                </a:solidFill>
              </a:ln>
            </c:spPr>
            <c:trendlineType val="linear"/>
            <c:dispRSqr val="0"/>
            <c:dispEq val="0"/>
          </c:trendline>
          <c:cat>
            <c:strRef>
              <c:f>Report!$C$2:$C$9978</c:f>
            </c:strRef>
          </c:cat>
          <c:val>
            <c:numRef>
              <c:f>Report!$D$2:$D$9978</c:f>
              <c:numCache/>
            </c:numRef>
          </c:val>
          <c:smooth val="0"/>
        </c:ser>
        <c:axId val="1306079127"/>
        <c:axId val="74433781"/>
      </c:lineChart>
      <c:catAx>
        <c:axId val="1306079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4433781"/>
      </c:catAx>
      <c:valAx>
        <c:axId val="74433781"/>
        <c:scaling>
          <c:orientation val="minMax"/>
          <c:min val="0.9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6079127"/>
      </c:valAx>
      <c:lineChart>
        <c:varyColors val="0"/>
        <c:ser>
          <c:idx val="1"/>
          <c:order val="1"/>
          <c:tx>
            <c:strRef>
              <c:f>Report!$E$1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trendline>
            <c:name>Temp Trend</c:name>
            <c:spPr>
              <a:ln w="19050">
                <a:solidFill>
                  <a:srgbClr val="DC3912"/>
                </a:solidFill>
              </a:ln>
            </c:spPr>
            <c:trendlineType val="linear"/>
            <c:dispRSqr val="0"/>
            <c:dispEq val="0"/>
          </c:trendline>
          <c:cat>
            <c:strRef>
              <c:f>Report!$C$2:$C$9978</c:f>
            </c:strRef>
          </c:cat>
          <c:val>
            <c:numRef>
              <c:f>Report!$E$2:$E$9978</c:f>
              <c:numCache/>
            </c:numRef>
          </c:val>
          <c:smooth val="0"/>
        </c:ser>
        <c:axId val="331587970"/>
        <c:axId val="1192445165"/>
      </c:lineChart>
      <c:catAx>
        <c:axId val="33158797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92445165"/>
      </c:catAx>
      <c:valAx>
        <c:axId val="119244516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1587970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28575</xdr:rowOff>
    </xdr:from>
    <xdr:ext cx="7239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5.13"/>
    <col customWidth="1" min="3" max="3" width="16.0"/>
    <col customWidth="1" min="5" max="5" width="17.5"/>
    <col customWidth="1" min="6" max="6" width="19.38"/>
    <col customWidth="1" min="7" max="7" width="37.25"/>
    <col customWidth="1" min="8" max="8" width="14.75"/>
  </cols>
  <sheetData>
    <row r="1">
      <c r="A1" s="1" t="s">
        <v>0</v>
      </c>
      <c r="B1" s="1"/>
      <c r="C1" s="2" t="str">
        <f>IFERROR(__xludf.DUMMYFUNCTION("IF(B5=""Celsius"",IF(B6=""Plato"",QUERY(Data!B:G, ""select B, -463.37+668.72*C-205.35*C*C, (D-32)*5/9, E, F, G where B &gt;= ""&amp;B2&amp;"" and B &lt;= ""&amp;B3&amp;"" order by B desc label -463.37+668.72*C-205.35*C*C  '% sugar (°P)',(D-32)*5/9 'Temp (°C)'"",1),QUERY(Data!B"&amp;":G, ""select B, C, (D-32)*5/9, E, F, G where B &gt;= ""&amp;B2&amp;"" and B &lt;= ""&amp;B3&amp;"" order by B desc label (D-32)*5/9 'Temp (°C)'"",1)),IF(B6=""Plato"",QUERY(Data!B:G, ""select B, -463.37+668.72*C-205.35*C*C, D, E, F, G where B &gt;= ""&amp;B2&amp;"" and B &lt;= ""&amp;B3&amp;"" order"&amp;" by B desc label -463.37+668.72*C-205.35*C*C  '% sugar (°P)',D 'Temp (°F)'"",1),QUERY(Data!B:G, ""select B, C, D, E, F, G where B &gt;= ""&amp;B2&amp;"" and B &lt;= ""&amp;B3&amp;"" order by B desc label D 'Temp (°F)'"",1)))"),"Timepoint")</f>
        <v>Timepoint</v>
      </c>
      <c r="D1" s="3" t="str">
        <f>IFERROR(__xludf.DUMMYFUNCTION("""COMPUTED_VALUE"""),"SG")</f>
        <v>SG</v>
      </c>
      <c r="E1" s="4" t="str">
        <f>IFERROR(__xludf.DUMMYFUNCTION("""COMPUTED_VALUE"""),"Temp (°F)")</f>
        <v>Temp (°F)</v>
      </c>
      <c r="F1" s="5" t="str">
        <f>IFERROR(__xludf.DUMMYFUNCTION("""COMPUTED_VALUE"""),"Color")</f>
        <v>Color</v>
      </c>
      <c r="G1" s="6" t="str">
        <f>IFERROR(__xludf.DUMMYFUNCTION("""COMPUTED_VALUE"""),"Beer")</f>
        <v>Beer</v>
      </c>
      <c r="H1" s="6" t="str">
        <f>IFERROR(__xludf.DUMMYFUNCTION("""COMPUTED_VALUE"""),"Comment")</f>
        <v>Comment</v>
      </c>
    </row>
    <row r="2">
      <c r="A2" s="7" t="s">
        <v>1</v>
      </c>
      <c r="B2" s="8">
        <f>if(B4="all",min(Data!B:B),max(Data!B:B)-mid(B4,6,2))</f>
        <v>45020.91983</v>
      </c>
      <c r="C2" s="9">
        <f>IFERROR(__xludf.DUMMYFUNCTION("""COMPUTED_VALUE"""),45144.7304528125)</f>
        <v>45144.73045</v>
      </c>
      <c r="D2" s="10">
        <f>IFERROR(__xludf.DUMMYFUNCTION("""COMPUTED_VALUE"""),1.004)</f>
        <v>1.004</v>
      </c>
      <c r="E2" s="11">
        <f>IFERROR(__xludf.DUMMYFUNCTION("""COMPUTED_VALUE"""),999.0)</f>
        <v>999</v>
      </c>
      <c r="F2" s="12" t="str">
        <f>IFERROR(__xludf.DUMMYFUNCTION("""COMPUTED_VALUE"""),"BLUE")</f>
        <v>BLUE</v>
      </c>
      <c r="G2" t="str">
        <f>IFERROR(__xludf.DUMMYFUNCTION("""COMPUTED_VALUE"""),"Uncle Sams Cider (04/04/2023)")</f>
        <v>Uncle Sams Cider (04/04/2023)</v>
      </c>
    </row>
    <row r="3" ht="1.5" customHeight="1">
      <c r="A3" s="13" t="s">
        <v>2</v>
      </c>
      <c r="B3" s="14">
        <f>max(Data!B:B)</f>
        <v>45144.73045</v>
      </c>
      <c r="C3" s="9">
        <f>IFERROR(__xludf.DUMMYFUNCTION("""COMPUTED_VALUE"""),45144.5977962847)</f>
        <v>45144.5978</v>
      </c>
      <c r="D3" s="15">
        <f>IFERROR(__xludf.DUMMYFUNCTION("""COMPUTED_VALUE"""),0.998)</f>
        <v>0.998</v>
      </c>
      <c r="E3" s="16">
        <f>IFERROR(__xludf.DUMMYFUNCTION("""COMPUTED_VALUE"""),71.0)</f>
        <v>71</v>
      </c>
      <c r="F3" s="12" t="str">
        <f>IFERROR(__xludf.DUMMYFUNCTION("""COMPUTED_VALUE"""),"BLUE")</f>
        <v>BLUE</v>
      </c>
      <c r="G3" t="str">
        <f>IFERROR(__xludf.DUMMYFUNCTION("""COMPUTED_VALUE"""),"Uncle Sams Cider (04/04/2023)")</f>
        <v>Uncle Sams Cider (04/04/2023)</v>
      </c>
    </row>
    <row r="4">
      <c r="A4" s="17" t="s">
        <v>3</v>
      </c>
      <c r="B4" s="18" t="s">
        <v>4</v>
      </c>
      <c r="C4" s="9">
        <f>IFERROR(__xludf.DUMMYFUNCTION("""COMPUTED_VALUE"""),45144.588142199)</f>
        <v>45144.58814</v>
      </c>
      <c r="D4" s="15">
        <f>IFERROR(__xludf.DUMMYFUNCTION("""COMPUTED_VALUE"""),0.998)</f>
        <v>0.998</v>
      </c>
      <c r="E4" s="16">
        <f>IFERROR(__xludf.DUMMYFUNCTION("""COMPUTED_VALUE"""),71.0)</f>
        <v>71</v>
      </c>
      <c r="F4" s="19" t="str">
        <f>IFERROR(__xludf.DUMMYFUNCTION("""COMPUTED_VALUE"""),"BLUE")</f>
        <v>BLUE</v>
      </c>
      <c r="G4" s="20" t="str">
        <f>IFERROR(__xludf.DUMMYFUNCTION("""COMPUTED_VALUE"""),"Uncle Sams Cider (04/04/2023)")</f>
        <v>Uncle Sams Cider (04/04/2023)</v>
      </c>
      <c r="H4" s="19"/>
    </row>
    <row r="5">
      <c r="A5" s="17" t="s">
        <v>5</v>
      </c>
      <c r="B5" s="18" t="s">
        <v>6</v>
      </c>
      <c r="C5" s="9">
        <f>IFERROR(__xludf.DUMMYFUNCTION("""COMPUTED_VALUE"""),45144.5873728356)</f>
        <v>45144.58737</v>
      </c>
      <c r="D5" s="15">
        <f>IFERROR(__xludf.DUMMYFUNCTION("""COMPUTED_VALUE"""),0.998)</f>
        <v>0.998</v>
      </c>
      <c r="E5" s="16">
        <f>IFERROR(__xludf.DUMMYFUNCTION("""COMPUTED_VALUE"""),71.0)</f>
        <v>71</v>
      </c>
      <c r="F5" s="19" t="str">
        <f>IFERROR(__xludf.DUMMYFUNCTION("""COMPUTED_VALUE"""),"BLUE")</f>
        <v>BLUE</v>
      </c>
      <c r="G5" s="20" t="str">
        <f>IFERROR(__xludf.DUMMYFUNCTION("""COMPUTED_VALUE"""),"Uncle Sams Cider (04/04/2023)")</f>
        <v>Uncle Sams Cider (04/04/2023)</v>
      </c>
      <c r="H5" s="19"/>
    </row>
    <row r="6">
      <c r="A6" s="21" t="s">
        <v>7</v>
      </c>
      <c r="B6" s="22" t="s">
        <v>8</v>
      </c>
      <c r="C6" s="9">
        <f>IFERROR(__xludf.DUMMYFUNCTION("""COMPUTED_VALUE"""),45144.5777088888)</f>
        <v>45144.57771</v>
      </c>
      <c r="D6" s="15">
        <f>IFERROR(__xludf.DUMMYFUNCTION("""COMPUTED_VALUE"""),0.998)</f>
        <v>0.998</v>
      </c>
      <c r="E6" s="16">
        <f>IFERROR(__xludf.DUMMYFUNCTION("""COMPUTED_VALUE"""),72.0)</f>
        <v>72</v>
      </c>
      <c r="F6" s="19" t="str">
        <f>IFERROR(__xludf.DUMMYFUNCTION("""COMPUTED_VALUE"""),"BLUE")</f>
        <v>BLUE</v>
      </c>
      <c r="G6" s="20" t="str">
        <f>IFERROR(__xludf.DUMMYFUNCTION("""COMPUTED_VALUE"""),"Uncle Sams Cider (04/04/2023)")</f>
        <v>Uncle Sams Cider (04/04/2023)</v>
      </c>
      <c r="H6" s="19"/>
    </row>
    <row r="7">
      <c r="A7" s="23" t="str">
        <f>D1</f>
        <v>SG</v>
      </c>
      <c r="B7" s="24"/>
      <c r="C7" s="9">
        <f>IFERROR(__xludf.DUMMYFUNCTION("""COMPUTED_VALUE"""),45144.5672752546)</f>
        <v>45144.56728</v>
      </c>
      <c r="D7" s="15">
        <f>IFERROR(__xludf.DUMMYFUNCTION("""COMPUTED_VALUE"""),0.998)</f>
        <v>0.998</v>
      </c>
      <c r="E7" s="16">
        <f>IFERROR(__xludf.DUMMYFUNCTION("""COMPUTED_VALUE"""),71.0)</f>
        <v>71</v>
      </c>
      <c r="F7" s="19" t="str">
        <f>IFERROR(__xludf.DUMMYFUNCTION("""COMPUTED_VALUE"""),"BLUE")</f>
        <v>BLUE</v>
      </c>
      <c r="G7" s="20" t="str">
        <f>IFERROR(__xludf.DUMMYFUNCTION("""COMPUTED_VALUE"""),"Uncle Sams Cider (04/04/2023)")</f>
        <v>Uncle Sams Cider (04/04/2023)</v>
      </c>
      <c r="H7" s="19"/>
    </row>
    <row r="8">
      <c r="A8" s="25" t="s">
        <v>9</v>
      </c>
      <c r="B8" s="26">
        <f>D2</f>
        <v>1.004</v>
      </c>
      <c r="C8" s="9">
        <f>IFERROR(__xludf.DUMMYFUNCTION("""COMPUTED_VALUE"""),45144.5568436342)</f>
        <v>45144.55684</v>
      </c>
      <c r="D8" s="15">
        <f>IFERROR(__xludf.DUMMYFUNCTION("""COMPUTED_VALUE"""),0.998)</f>
        <v>0.998</v>
      </c>
      <c r="E8" s="16">
        <f>IFERROR(__xludf.DUMMYFUNCTION("""COMPUTED_VALUE"""),71.0)</f>
        <v>71</v>
      </c>
      <c r="F8" s="19" t="str">
        <f>IFERROR(__xludf.DUMMYFUNCTION("""COMPUTED_VALUE"""),"BLUE")</f>
        <v>BLUE</v>
      </c>
      <c r="G8" s="20" t="str">
        <f>IFERROR(__xludf.DUMMYFUNCTION("""COMPUTED_VALUE"""),"Uncle Sams Cider (04/04/2023)")</f>
        <v>Uncle Sams Cider (04/04/2023)</v>
      </c>
      <c r="H8" s="19"/>
    </row>
    <row r="9">
      <c r="A9" s="27" t="s">
        <v>10</v>
      </c>
      <c r="B9" s="26">
        <f>indirect("D"&amp; counta(D:D))</f>
        <v>1.111</v>
      </c>
      <c r="C9" s="9">
        <f>IFERROR(__xludf.DUMMYFUNCTION("""COMPUTED_VALUE"""),45144.5464214583)</f>
        <v>45144.54642</v>
      </c>
      <c r="D9" s="15">
        <f>IFERROR(__xludf.DUMMYFUNCTION("""COMPUTED_VALUE"""),0.998)</f>
        <v>0.998</v>
      </c>
      <c r="E9" s="16">
        <f>IFERROR(__xludf.DUMMYFUNCTION("""COMPUTED_VALUE"""),72.0)</f>
        <v>72</v>
      </c>
      <c r="F9" s="19" t="str">
        <f>IFERROR(__xludf.DUMMYFUNCTION("""COMPUTED_VALUE"""),"BLUE")</f>
        <v>BLUE</v>
      </c>
      <c r="G9" s="20" t="str">
        <f>IFERROR(__xludf.DUMMYFUNCTION("""COMPUTED_VALUE"""),"Uncle Sams Cider (04/04/2023)")</f>
        <v>Uncle Sams Cider (04/04/2023)</v>
      </c>
      <c r="H9" s="19"/>
    </row>
    <row r="10">
      <c r="A10" s="27" t="s">
        <v>11</v>
      </c>
      <c r="B10" s="26">
        <f>IFERROR(slope(D:D,C:C),"more data needed")</f>
        <v>-0.0005704200622</v>
      </c>
      <c r="C10" s="9">
        <f>IFERROR(__xludf.DUMMYFUNCTION("""COMPUTED_VALUE"""),45144.535988912)</f>
        <v>45144.53599</v>
      </c>
      <c r="D10" s="15">
        <f>IFERROR(__xludf.DUMMYFUNCTION("""COMPUTED_VALUE"""),0.998)</f>
        <v>0.998</v>
      </c>
      <c r="E10" s="16">
        <f>IFERROR(__xludf.DUMMYFUNCTION("""COMPUTED_VALUE"""),71.0)</f>
        <v>71</v>
      </c>
      <c r="F10" s="19" t="str">
        <f>IFERROR(__xludf.DUMMYFUNCTION("""COMPUTED_VALUE"""),"BLUE")</f>
        <v>BLUE</v>
      </c>
      <c r="G10" s="20" t="str">
        <f>IFERROR(__xludf.DUMMYFUNCTION("""COMPUTED_VALUE"""),"Uncle Sams Cider (04/04/2023)")</f>
        <v>Uncle Sams Cider (04/04/2023)</v>
      </c>
      <c r="H10" s="19"/>
    </row>
    <row r="11">
      <c r="A11" s="25" t="s">
        <v>12</v>
      </c>
      <c r="B11" s="28">
        <f>B3-B2</f>
        <v>123.8106215</v>
      </c>
      <c r="C11" s="9">
        <f>IFERROR(__xludf.DUMMYFUNCTION("""COMPUTED_VALUE"""),45144.5255692129)</f>
        <v>45144.52557</v>
      </c>
      <c r="D11" s="15">
        <f>IFERROR(__xludf.DUMMYFUNCTION("""COMPUTED_VALUE"""),0.998)</f>
        <v>0.998</v>
      </c>
      <c r="E11" s="11">
        <f>IFERROR(__xludf.DUMMYFUNCTION("""COMPUTED_VALUE"""),71.0)</f>
        <v>71</v>
      </c>
      <c r="F11" s="12" t="str">
        <f>IFERROR(__xludf.DUMMYFUNCTION("""COMPUTED_VALUE"""),"BLUE")</f>
        <v>BLUE</v>
      </c>
      <c r="G11" s="29" t="str">
        <f>IFERROR(__xludf.DUMMYFUNCTION("""COMPUTED_VALUE"""),"Uncle Sams Cider (04/04/2023)")</f>
        <v>Uncle Sams Cider (04/04/2023)</v>
      </c>
      <c r="H11" s="12"/>
    </row>
    <row r="12">
      <c r="A12" s="25" t="s">
        <v>13</v>
      </c>
      <c r="B12" s="26">
        <f>max(D:D)</f>
        <v>1.117</v>
      </c>
      <c r="C12" s="9">
        <f>IFERROR(__xludf.DUMMYFUNCTION("""COMPUTED_VALUE"""),45144.5151480671)</f>
        <v>45144.51515</v>
      </c>
      <c r="D12" s="15">
        <f>IFERROR(__xludf.DUMMYFUNCTION("""COMPUTED_VALUE"""),0.998)</f>
        <v>0.998</v>
      </c>
      <c r="E12" s="11">
        <f>IFERROR(__xludf.DUMMYFUNCTION("""COMPUTED_VALUE"""),71.0)</f>
        <v>71</v>
      </c>
      <c r="F12" s="19" t="str">
        <f>IFERROR(__xludf.DUMMYFUNCTION("""COMPUTED_VALUE"""),"BLUE")</f>
        <v>BLUE</v>
      </c>
      <c r="G12" s="20" t="str">
        <f>IFERROR(__xludf.DUMMYFUNCTION("""COMPUTED_VALUE"""),"Uncle Sams Cider (04/04/2023)")</f>
        <v>Uncle Sams Cider (04/04/2023)</v>
      </c>
      <c r="H12" s="19"/>
    </row>
    <row r="13">
      <c r="A13" s="30" t="s">
        <v>14</v>
      </c>
      <c r="B13" s="31">
        <f>min(D:D)</f>
        <v>0.998</v>
      </c>
      <c r="C13" s="9">
        <f>IFERROR(__xludf.DUMMYFUNCTION("""COMPUTED_VALUE"""),45144.5047269444)</f>
        <v>45144.50473</v>
      </c>
      <c r="D13" s="15">
        <f>IFERROR(__xludf.DUMMYFUNCTION("""COMPUTED_VALUE"""),0.998)</f>
        <v>0.998</v>
      </c>
      <c r="E13" s="11">
        <f>IFERROR(__xludf.DUMMYFUNCTION("""COMPUTED_VALUE"""),71.0)</f>
        <v>71</v>
      </c>
      <c r="F13" s="19" t="str">
        <f>IFERROR(__xludf.DUMMYFUNCTION("""COMPUTED_VALUE"""),"BLUE")</f>
        <v>BLUE</v>
      </c>
      <c r="G13" s="20" t="str">
        <f>IFERROR(__xludf.DUMMYFUNCTION("""COMPUTED_VALUE"""),"Uncle Sams Cider (04/04/2023)")</f>
        <v>Uncle Sams Cider (04/04/2023)</v>
      </c>
      <c r="H13" s="19"/>
    </row>
    <row r="14">
      <c r="A14" s="32" t="str">
        <f>E1</f>
        <v>Temp (°F)</v>
      </c>
      <c r="B14" s="24"/>
      <c r="C14" s="9">
        <f>IFERROR(__xludf.DUMMYFUNCTION("""COMPUTED_VALUE"""),45144.4943054166)</f>
        <v>45144.49431</v>
      </c>
      <c r="D14" s="15">
        <f>IFERROR(__xludf.DUMMYFUNCTION("""COMPUTED_VALUE"""),0.998)</f>
        <v>0.998</v>
      </c>
      <c r="E14" s="16">
        <f>IFERROR(__xludf.DUMMYFUNCTION("""COMPUTED_VALUE"""),71.0)</f>
        <v>71</v>
      </c>
      <c r="F14" s="19" t="str">
        <f>IFERROR(__xludf.DUMMYFUNCTION("""COMPUTED_VALUE"""),"BLUE")</f>
        <v>BLUE</v>
      </c>
      <c r="G14" s="20" t="str">
        <f>IFERROR(__xludf.DUMMYFUNCTION("""COMPUTED_VALUE"""),"Uncle Sams Cider (04/04/2023)")</f>
        <v>Uncle Sams Cider (04/04/2023)</v>
      </c>
      <c r="H14" s="19"/>
    </row>
    <row r="15">
      <c r="A15" s="33" t="s">
        <v>9</v>
      </c>
      <c r="B15" s="34">
        <f>E2</f>
        <v>999</v>
      </c>
      <c r="C15" s="9">
        <f>IFERROR(__xludf.DUMMYFUNCTION("""COMPUTED_VALUE"""),45144.4838712037)</f>
        <v>45144.48387</v>
      </c>
      <c r="D15" s="15">
        <f>IFERROR(__xludf.DUMMYFUNCTION("""COMPUTED_VALUE"""),0.998)</f>
        <v>0.998</v>
      </c>
      <c r="E15" s="16">
        <f>IFERROR(__xludf.DUMMYFUNCTION("""COMPUTED_VALUE"""),71.0)</f>
        <v>71</v>
      </c>
      <c r="F15" s="19" t="str">
        <f>IFERROR(__xludf.DUMMYFUNCTION("""COMPUTED_VALUE"""),"BLUE")</f>
        <v>BLUE</v>
      </c>
      <c r="G15" s="20" t="str">
        <f>IFERROR(__xludf.DUMMYFUNCTION("""COMPUTED_VALUE"""),"Uncle Sams Cider (04/04/2023)")</f>
        <v>Uncle Sams Cider (04/04/2023)</v>
      </c>
      <c r="H15" s="19"/>
    </row>
    <row r="16">
      <c r="A16" s="25" t="s">
        <v>15</v>
      </c>
      <c r="B16" s="35">
        <f>average(E:E)</f>
        <v>66.84973166</v>
      </c>
      <c r="C16" s="9">
        <f>IFERROR(__xludf.DUMMYFUNCTION("""COMPUTED_VALUE"""),45144.4734490046)</f>
        <v>45144.47345</v>
      </c>
      <c r="D16" s="15">
        <f>IFERROR(__xludf.DUMMYFUNCTION("""COMPUTED_VALUE"""),0.998)</f>
        <v>0.998</v>
      </c>
      <c r="E16" s="16">
        <f>IFERROR(__xludf.DUMMYFUNCTION("""COMPUTED_VALUE"""),71.0)</f>
        <v>71</v>
      </c>
      <c r="F16" s="19" t="str">
        <f>IFERROR(__xludf.DUMMYFUNCTION("""COMPUTED_VALUE"""),"BLUE")</f>
        <v>BLUE</v>
      </c>
      <c r="G16" s="20" t="str">
        <f>IFERROR(__xludf.DUMMYFUNCTION("""COMPUTED_VALUE"""),"Uncle Sams Cider (04/04/2023)")</f>
        <v>Uncle Sams Cider (04/04/2023)</v>
      </c>
      <c r="H16" s="19"/>
    </row>
    <row r="17">
      <c r="A17" s="25" t="s">
        <v>12</v>
      </c>
      <c r="B17" s="28">
        <f>B3-B2</f>
        <v>123.8106215</v>
      </c>
      <c r="C17" s="9">
        <f>IFERROR(__xludf.DUMMYFUNCTION("""COMPUTED_VALUE"""),45144.4630272338)</f>
        <v>45144.46303</v>
      </c>
      <c r="D17" s="15">
        <f>IFERROR(__xludf.DUMMYFUNCTION("""COMPUTED_VALUE"""),0.998)</f>
        <v>0.998</v>
      </c>
      <c r="E17" s="16">
        <f>IFERROR(__xludf.DUMMYFUNCTION("""COMPUTED_VALUE"""),72.0)</f>
        <v>72</v>
      </c>
      <c r="F17" s="19" t="str">
        <f>IFERROR(__xludf.DUMMYFUNCTION("""COMPUTED_VALUE"""),"BLUE")</f>
        <v>BLUE</v>
      </c>
      <c r="G17" s="20" t="str">
        <f>IFERROR(__xludf.DUMMYFUNCTION("""COMPUTED_VALUE"""),"Uncle Sams Cider (04/04/2023)")</f>
        <v>Uncle Sams Cider (04/04/2023)</v>
      </c>
      <c r="H17" s="19"/>
    </row>
    <row r="18">
      <c r="A18" s="25" t="s">
        <v>13</v>
      </c>
      <c r="B18" s="35">
        <f>max(E:E)</f>
        <v>999</v>
      </c>
      <c r="C18" s="36">
        <f>IFERROR(__xludf.DUMMYFUNCTION("""COMPUTED_VALUE"""),45144.4526065393)</f>
        <v>45144.45261</v>
      </c>
      <c r="D18" s="15">
        <f>IFERROR(__xludf.DUMMYFUNCTION("""COMPUTED_VALUE"""),0.998)</f>
        <v>0.998</v>
      </c>
      <c r="E18" s="16">
        <f>IFERROR(__xludf.DUMMYFUNCTION("""COMPUTED_VALUE"""),71.0)</f>
        <v>71</v>
      </c>
      <c r="F18" s="19" t="str">
        <f>IFERROR(__xludf.DUMMYFUNCTION("""COMPUTED_VALUE"""),"BLUE")</f>
        <v>BLUE</v>
      </c>
      <c r="G18" s="20" t="str">
        <f>IFERROR(__xludf.DUMMYFUNCTION("""COMPUTED_VALUE"""),"Uncle Sams Cider (04/04/2023)")</f>
        <v>Uncle Sams Cider (04/04/2023)</v>
      </c>
      <c r="H18" s="19"/>
    </row>
    <row r="19">
      <c r="A19" s="30" t="s">
        <v>14</v>
      </c>
      <c r="B19" s="37">
        <f>min(E:E)</f>
        <v>60</v>
      </c>
      <c r="C19" s="9">
        <f>IFERROR(__xludf.DUMMYFUNCTION("""COMPUTED_VALUE"""),45144.4421848611)</f>
        <v>45144.44218</v>
      </c>
      <c r="D19" s="15">
        <f>IFERROR(__xludf.DUMMYFUNCTION("""COMPUTED_VALUE"""),0.998)</f>
        <v>0.998</v>
      </c>
      <c r="E19" s="16">
        <f>IFERROR(__xludf.DUMMYFUNCTION("""COMPUTED_VALUE"""),71.0)</f>
        <v>71</v>
      </c>
      <c r="F19" s="19" t="str">
        <f>IFERROR(__xludf.DUMMYFUNCTION("""COMPUTED_VALUE"""),"BLUE")</f>
        <v>BLUE</v>
      </c>
      <c r="G19" s="20" t="str">
        <f>IFERROR(__xludf.DUMMYFUNCTION("""COMPUTED_VALUE"""),"Uncle Sams Cider (04/04/2023)")</f>
        <v>Uncle Sams Cider (04/04/2023)</v>
      </c>
      <c r="H19" s="19"/>
    </row>
    <row r="20">
      <c r="A20" s="38" t="s">
        <v>16</v>
      </c>
      <c r="B20" s="39"/>
      <c r="C20" s="9">
        <f>IFERROR(__xludf.DUMMYFUNCTION("""COMPUTED_VALUE"""),45144.4317619213)</f>
        <v>45144.43176</v>
      </c>
      <c r="D20" s="15">
        <f>IFERROR(__xludf.DUMMYFUNCTION("""COMPUTED_VALUE"""),0.998)</f>
        <v>0.998</v>
      </c>
      <c r="E20" s="16">
        <f>IFERROR(__xludf.DUMMYFUNCTION("""COMPUTED_VALUE"""),71.0)</f>
        <v>71</v>
      </c>
      <c r="F20" s="19" t="str">
        <f>IFERROR(__xludf.DUMMYFUNCTION("""COMPUTED_VALUE"""),"BLUE")</f>
        <v>BLUE</v>
      </c>
      <c r="G20" s="20" t="str">
        <f>IFERROR(__xludf.DUMMYFUNCTION("""COMPUTED_VALUE"""),"Uncle Sams Cider (04/04/2023)")</f>
        <v>Uncle Sams Cider (04/04/2023)</v>
      </c>
      <c r="H20" s="19"/>
    </row>
    <row r="21">
      <c r="A21" s="40" t="s">
        <v>17</v>
      </c>
      <c r="B21" s="41">
        <f>IF(D1="SG",(B9-B8)/(B9-1),(B9-B8)/(B9))
</f>
        <v>0.963963964</v>
      </c>
      <c r="C21" s="9">
        <f>IFERROR(__xludf.DUMMYFUNCTION("""COMPUTED_VALUE"""),45144.4213417361)</f>
        <v>45144.42134</v>
      </c>
      <c r="D21" s="15">
        <f>IFERROR(__xludf.DUMMYFUNCTION("""COMPUTED_VALUE"""),0.998)</f>
        <v>0.998</v>
      </c>
      <c r="E21" s="16">
        <f>IFERROR(__xludf.DUMMYFUNCTION("""COMPUTED_VALUE"""),71.0)</f>
        <v>71</v>
      </c>
      <c r="F21" s="19" t="str">
        <f>IFERROR(__xludf.DUMMYFUNCTION("""COMPUTED_VALUE"""),"BLUE")</f>
        <v>BLUE</v>
      </c>
      <c r="G21" s="20" t="str">
        <f>IFERROR(__xludf.DUMMYFUNCTION("""COMPUTED_VALUE"""),"Uncle Sams Cider (04/04/2023)")</f>
        <v>Uncle Sams Cider (04/04/2023)</v>
      </c>
      <c r="H21" s="19"/>
    </row>
    <row r="22">
      <c r="A22" s="42" t="s">
        <v>18</v>
      </c>
      <c r="B22" s="43">
        <f>IFS(A22="Standard Method ABV:",IF(B6="SG",(B9-B8)*1.3125,((1+(B9/(258.6-((B9/258.2)*227.1))))-(1+(B8/(258.6-((B8/258.2)*227.1)))))*1.3125),A22="Alternate Method ABV:",IF(B6="SG",(76.08*(B9-B8)/(1.775-B9))*(B8/0.794)/100,"Must use SG"),A22="UK HMRC Method ABV:",IF(B6="SG",IFS(B9-B8&lt;=0.0069,(B9-B8)*1.25,B9-B8&lt;=0.0104,(B9-B8)*1.26,B9-B8&lt;=0.0172,(B9-B8)*1.27,B9-B8&lt;=0.0261,(B9-B8)*1.28,B9-B8&lt;=0.036,(B9-B8)*1.29,B9-B8&lt;=0.0465,(B9-B8)*1.3,B9-B8&lt;=0.0571,(B9-B8)*1.31,B9-B8&lt;=0.0679,(B9-B8)*1.32,B9-B8&lt;=0.0788,(B9-B8)*1.33,B9-B8&lt;=0.0897,(B9-B8)*1.34,B9-B8&lt;=0.1007,(B9-B8)*1.35),"Must use SG"),A22="Wine Method ABV:",IF(B6="SG",(B9-B8)/7.36*1000/100,"Must use SG"))</f>
        <v>0.1404375</v>
      </c>
      <c r="C22" s="9">
        <f>IFERROR(__xludf.DUMMYFUNCTION("""COMPUTED_VALUE"""),45144.4109218865)</f>
        <v>45144.41092</v>
      </c>
      <c r="D22" s="15">
        <f>IFERROR(__xludf.DUMMYFUNCTION("""COMPUTED_VALUE"""),0.998)</f>
        <v>0.998</v>
      </c>
      <c r="E22" s="16">
        <f>IFERROR(__xludf.DUMMYFUNCTION("""COMPUTED_VALUE"""),71.0)</f>
        <v>71</v>
      </c>
      <c r="F22" s="19" t="str">
        <f>IFERROR(__xludf.DUMMYFUNCTION("""COMPUTED_VALUE"""),"BLUE")</f>
        <v>BLUE</v>
      </c>
      <c r="G22" s="20" t="str">
        <f>IFERROR(__xludf.DUMMYFUNCTION("""COMPUTED_VALUE"""),"Uncle Sams Cider (04/04/2023)")</f>
        <v>Uncle Sams Cider (04/04/2023)</v>
      </c>
      <c r="H22" s="19"/>
    </row>
    <row r="23">
      <c r="A23" s="44" t="str">
        <f>"Days at Current "&amp;A7&amp;":"</f>
        <v>Days at Current SG:</v>
      </c>
      <c r="B23" s="45">
        <f>maxifs(C:C,D:D,B8)-minifs(C:C,D:D,B8)</f>
        <v>59.53027499</v>
      </c>
      <c r="C23" s="9">
        <f>IFERROR(__xludf.DUMMYFUNCTION("""COMPUTED_VALUE"""),45144.4005015509)</f>
        <v>45144.4005</v>
      </c>
      <c r="D23" s="15">
        <f>IFERROR(__xludf.DUMMYFUNCTION("""COMPUTED_VALUE"""),0.998)</f>
        <v>0.998</v>
      </c>
      <c r="E23" s="16">
        <f>IFERROR(__xludf.DUMMYFUNCTION("""COMPUTED_VALUE"""),71.0)</f>
        <v>71</v>
      </c>
      <c r="F23" s="19" t="str">
        <f>IFERROR(__xludf.DUMMYFUNCTION("""COMPUTED_VALUE"""),"BLUE")</f>
        <v>BLUE</v>
      </c>
      <c r="G23" s="20" t="str">
        <f>IFERROR(__xludf.DUMMYFUNCTION("""COMPUTED_VALUE"""),"Uncle Sams Cider (04/04/2023)")</f>
        <v>Uncle Sams Cider (04/04/2023)</v>
      </c>
      <c r="H23" s="19"/>
    </row>
    <row r="24">
      <c r="A24" s="9"/>
      <c r="B24" s="15"/>
      <c r="C24" s="9">
        <f>IFERROR(__xludf.DUMMYFUNCTION("""COMPUTED_VALUE"""),45144.3900809375)</f>
        <v>45144.39008</v>
      </c>
      <c r="D24" s="15">
        <f>IFERROR(__xludf.DUMMYFUNCTION("""COMPUTED_VALUE"""),0.998)</f>
        <v>0.998</v>
      </c>
      <c r="E24" s="16">
        <f>IFERROR(__xludf.DUMMYFUNCTION("""COMPUTED_VALUE"""),71.0)</f>
        <v>71</v>
      </c>
      <c r="F24" s="19" t="str">
        <f>IFERROR(__xludf.DUMMYFUNCTION("""COMPUTED_VALUE"""),"BLUE")</f>
        <v>BLUE</v>
      </c>
      <c r="G24" s="20" t="str">
        <f>IFERROR(__xludf.DUMMYFUNCTION("""COMPUTED_VALUE"""),"Uncle Sams Cider (04/04/2023)")</f>
        <v>Uncle Sams Cider (04/04/2023)</v>
      </c>
      <c r="H24" s="19"/>
    </row>
    <row r="25">
      <c r="A25" s="9"/>
      <c r="B25" s="15"/>
      <c r="C25" s="9">
        <f>IFERROR(__xludf.DUMMYFUNCTION("""COMPUTED_VALUE"""),45144.3796611342)</f>
        <v>45144.37966</v>
      </c>
      <c r="D25" s="15">
        <f>IFERROR(__xludf.DUMMYFUNCTION("""COMPUTED_VALUE"""),0.998)</f>
        <v>0.998</v>
      </c>
      <c r="E25" s="16">
        <f>IFERROR(__xludf.DUMMYFUNCTION("""COMPUTED_VALUE"""),71.0)</f>
        <v>71</v>
      </c>
      <c r="F25" s="19" t="str">
        <f>IFERROR(__xludf.DUMMYFUNCTION("""COMPUTED_VALUE"""),"BLUE")</f>
        <v>BLUE</v>
      </c>
      <c r="G25" s="20" t="str">
        <f>IFERROR(__xludf.DUMMYFUNCTION("""COMPUTED_VALUE"""),"Uncle Sams Cider (04/04/2023)")</f>
        <v>Uncle Sams Cider (04/04/2023)</v>
      </c>
      <c r="H25" s="19"/>
    </row>
    <row r="26">
      <c r="A26" s="9"/>
      <c r="B26" s="15"/>
      <c r="C26" s="9">
        <f>IFERROR(__xludf.DUMMYFUNCTION("""COMPUTED_VALUE"""),45144.3692411689)</f>
        <v>45144.36924</v>
      </c>
      <c r="D26" s="15">
        <f>IFERROR(__xludf.DUMMYFUNCTION("""COMPUTED_VALUE"""),0.998)</f>
        <v>0.998</v>
      </c>
      <c r="E26" s="16">
        <f>IFERROR(__xludf.DUMMYFUNCTION("""COMPUTED_VALUE"""),71.0)</f>
        <v>71</v>
      </c>
      <c r="F26" s="19" t="str">
        <f>IFERROR(__xludf.DUMMYFUNCTION("""COMPUTED_VALUE"""),"BLUE")</f>
        <v>BLUE</v>
      </c>
      <c r="G26" s="20" t="str">
        <f>IFERROR(__xludf.DUMMYFUNCTION("""COMPUTED_VALUE"""),"Uncle Sams Cider (04/04/2023)")</f>
        <v>Uncle Sams Cider (04/04/2023)</v>
      </c>
      <c r="H26" s="19"/>
    </row>
    <row r="27">
      <c r="A27" s="9"/>
      <c r="B27" s="15"/>
      <c r="C27" s="9">
        <f>IFERROR(__xludf.DUMMYFUNCTION("""COMPUTED_VALUE"""),45144.3588198495)</f>
        <v>45144.35882</v>
      </c>
      <c r="D27" s="15">
        <f>IFERROR(__xludf.DUMMYFUNCTION("""COMPUTED_VALUE"""),0.998)</f>
        <v>0.998</v>
      </c>
      <c r="E27" s="16">
        <f>IFERROR(__xludf.DUMMYFUNCTION("""COMPUTED_VALUE"""),71.0)</f>
        <v>71</v>
      </c>
      <c r="F27" s="19" t="str">
        <f>IFERROR(__xludf.DUMMYFUNCTION("""COMPUTED_VALUE"""),"BLUE")</f>
        <v>BLUE</v>
      </c>
      <c r="G27" s="20" t="str">
        <f>IFERROR(__xludf.DUMMYFUNCTION("""COMPUTED_VALUE"""),"Uncle Sams Cider (04/04/2023)")</f>
        <v>Uncle Sams Cider (04/04/2023)</v>
      </c>
      <c r="H27" s="19"/>
    </row>
    <row r="28">
      <c r="A28" s="9"/>
      <c r="B28" s="15"/>
      <c r="C28" s="9">
        <f>IFERROR(__xludf.DUMMYFUNCTION("""COMPUTED_VALUE"""),45144.348398368)</f>
        <v>45144.3484</v>
      </c>
      <c r="D28" s="15">
        <f>IFERROR(__xludf.DUMMYFUNCTION("""COMPUTED_VALUE"""),0.998)</f>
        <v>0.998</v>
      </c>
      <c r="E28" s="16">
        <f>IFERROR(__xludf.DUMMYFUNCTION("""COMPUTED_VALUE"""),71.0)</f>
        <v>71</v>
      </c>
      <c r="F28" s="19" t="str">
        <f>IFERROR(__xludf.DUMMYFUNCTION("""COMPUTED_VALUE"""),"BLUE")</f>
        <v>BLUE</v>
      </c>
      <c r="G28" s="20" t="str">
        <f>IFERROR(__xludf.DUMMYFUNCTION("""COMPUTED_VALUE"""),"Uncle Sams Cider (04/04/2023)")</f>
        <v>Uncle Sams Cider (04/04/2023)</v>
      </c>
      <c r="H28" s="19"/>
    </row>
    <row r="29">
      <c r="A29" s="9"/>
      <c r="B29" s="15"/>
      <c r="C29" s="9">
        <f>IFERROR(__xludf.DUMMYFUNCTION("""COMPUTED_VALUE"""),45144.3379661458)</f>
        <v>45144.33797</v>
      </c>
      <c r="D29" s="15">
        <f>IFERROR(__xludf.DUMMYFUNCTION("""COMPUTED_VALUE"""),0.998)</f>
        <v>0.998</v>
      </c>
      <c r="E29" s="16">
        <f>IFERROR(__xludf.DUMMYFUNCTION("""COMPUTED_VALUE"""),72.0)</f>
        <v>72</v>
      </c>
      <c r="F29" s="19" t="str">
        <f>IFERROR(__xludf.DUMMYFUNCTION("""COMPUTED_VALUE"""),"BLUE")</f>
        <v>BLUE</v>
      </c>
      <c r="G29" s="20" t="str">
        <f>IFERROR(__xludf.DUMMYFUNCTION("""COMPUTED_VALUE"""),"Uncle Sams Cider (04/04/2023)")</f>
        <v>Uncle Sams Cider (04/04/2023)</v>
      </c>
      <c r="H29" s="19"/>
    </row>
    <row r="30">
      <c r="A30" s="9"/>
      <c r="B30" s="15"/>
      <c r="C30" s="9">
        <f>IFERROR(__xludf.DUMMYFUNCTION("""COMPUTED_VALUE"""),45144.3275446064)</f>
        <v>45144.32754</v>
      </c>
      <c r="D30" s="15">
        <f>IFERROR(__xludf.DUMMYFUNCTION("""COMPUTED_VALUE"""),0.998)</f>
        <v>0.998</v>
      </c>
      <c r="E30" s="16">
        <f>IFERROR(__xludf.DUMMYFUNCTION("""COMPUTED_VALUE"""),72.0)</f>
        <v>72</v>
      </c>
      <c r="F30" s="19" t="str">
        <f>IFERROR(__xludf.DUMMYFUNCTION("""COMPUTED_VALUE"""),"BLUE")</f>
        <v>BLUE</v>
      </c>
      <c r="G30" s="20" t="str">
        <f>IFERROR(__xludf.DUMMYFUNCTION("""COMPUTED_VALUE"""),"Uncle Sams Cider (04/04/2023)")</f>
        <v>Uncle Sams Cider (04/04/2023)</v>
      </c>
      <c r="H30" s="19"/>
    </row>
    <row r="31">
      <c r="A31" s="9"/>
      <c r="B31" s="15"/>
      <c r="C31" s="9">
        <f>IFERROR(__xludf.DUMMYFUNCTION("""COMPUTED_VALUE"""),45144.3171237731)</f>
        <v>45144.31712</v>
      </c>
      <c r="D31" s="15">
        <f>IFERROR(__xludf.DUMMYFUNCTION("""COMPUTED_VALUE"""),0.998)</f>
        <v>0.998</v>
      </c>
      <c r="E31" s="16">
        <f>IFERROR(__xludf.DUMMYFUNCTION("""COMPUTED_VALUE"""),71.0)</f>
        <v>71</v>
      </c>
      <c r="F31" s="19" t="str">
        <f>IFERROR(__xludf.DUMMYFUNCTION("""COMPUTED_VALUE"""),"BLUE")</f>
        <v>BLUE</v>
      </c>
      <c r="G31" s="20" t="str">
        <f>IFERROR(__xludf.DUMMYFUNCTION("""COMPUTED_VALUE"""),"Uncle Sams Cider (04/04/2023)")</f>
        <v>Uncle Sams Cider (04/04/2023)</v>
      </c>
      <c r="H31" s="19"/>
    </row>
    <row r="32">
      <c r="A32" s="9"/>
      <c r="B32" s="15"/>
      <c r="C32" s="9">
        <f>IFERROR(__xludf.DUMMYFUNCTION("""COMPUTED_VALUE"""),45144.3066907523)</f>
        <v>45144.30669</v>
      </c>
      <c r="D32" s="15">
        <f>IFERROR(__xludf.DUMMYFUNCTION("""COMPUTED_VALUE"""),0.998)</f>
        <v>0.998</v>
      </c>
      <c r="E32" s="16">
        <f>IFERROR(__xludf.DUMMYFUNCTION("""COMPUTED_VALUE"""),71.0)</f>
        <v>71</v>
      </c>
      <c r="F32" s="19" t="str">
        <f>IFERROR(__xludf.DUMMYFUNCTION("""COMPUTED_VALUE"""),"BLUE")</f>
        <v>BLUE</v>
      </c>
      <c r="G32" s="20" t="str">
        <f>IFERROR(__xludf.DUMMYFUNCTION("""COMPUTED_VALUE"""),"Uncle Sams Cider (04/04/2023)")</f>
        <v>Uncle Sams Cider (04/04/2023)</v>
      </c>
      <c r="H32" s="19"/>
    </row>
    <row r="33">
      <c r="A33" s="9"/>
      <c r="B33" s="15"/>
      <c r="C33" s="9">
        <f>IFERROR(__xludf.DUMMYFUNCTION("""COMPUTED_VALUE"""),45144.2962704166)</f>
        <v>45144.29627</v>
      </c>
      <c r="D33" s="15">
        <f>IFERROR(__xludf.DUMMYFUNCTION("""COMPUTED_VALUE"""),0.998)</f>
        <v>0.998</v>
      </c>
      <c r="E33" s="16">
        <f>IFERROR(__xludf.DUMMYFUNCTION("""COMPUTED_VALUE"""),72.0)</f>
        <v>72</v>
      </c>
      <c r="F33" s="19" t="str">
        <f>IFERROR(__xludf.DUMMYFUNCTION("""COMPUTED_VALUE"""),"BLUE")</f>
        <v>BLUE</v>
      </c>
      <c r="G33" s="20" t="str">
        <f>IFERROR(__xludf.DUMMYFUNCTION("""COMPUTED_VALUE"""),"Uncle Sams Cider (04/04/2023)")</f>
        <v>Uncle Sams Cider (04/04/2023)</v>
      </c>
      <c r="H33" s="19"/>
    </row>
    <row r="34">
      <c r="A34" s="9"/>
      <c r="B34" s="15"/>
      <c r="C34" s="9">
        <f>IFERROR(__xludf.DUMMYFUNCTION("""COMPUTED_VALUE"""),45144.2858498726)</f>
        <v>45144.28585</v>
      </c>
      <c r="D34" s="15">
        <f>IFERROR(__xludf.DUMMYFUNCTION("""COMPUTED_VALUE"""),0.998)</f>
        <v>0.998</v>
      </c>
      <c r="E34" s="16">
        <f>IFERROR(__xludf.DUMMYFUNCTION("""COMPUTED_VALUE"""),71.0)</f>
        <v>71</v>
      </c>
      <c r="F34" s="19" t="str">
        <f>IFERROR(__xludf.DUMMYFUNCTION("""COMPUTED_VALUE"""),"BLUE")</f>
        <v>BLUE</v>
      </c>
      <c r="G34" s="20" t="str">
        <f>IFERROR(__xludf.DUMMYFUNCTION("""COMPUTED_VALUE"""),"Uncle Sams Cider (04/04/2023)")</f>
        <v>Uncle Sams Cider (04/04/2023)</v>
      </c>
      <c r="H34" s="19"/>
    </row>
    <row r="35">
      <c r="A35" s="9"/>
      <c r="B35" s="15"/>
      <c r="C35" s="9">
        <f>IFERROR(__xludf.DUMMYFUNCTION("""COMPUTED_VALUE"""),45144.2754289583)</f>
        <v>45144.27543</v>
      </c>
      <c r="D35" s="15">
        <f>IFERROR(__xludf.DUMMYFUNCTION("""COMPUTED_VALUE"""),0.998)</f>
        <v>0.998</v>
      </c>
      <c r="E35" s="16">
        <f>IFERROR(__xludf.DUMMYFUNCTION("""COMPUTED_VALUE"""),71.0)</f>
        <v>71</v>
      </c>
      <c r="F35" s="19" t="str">
        <f>IFERROR(__xludf.DUMMYFUNCTION("""COMPUTED_VALUE"""),"BLUE")</f>
        <v>BLUE</v>
      </c>
      <c r="G35" s="20" t="str">
        <f>IFERROR(__xludf.DUMMYFUNCTION("""COMPUTED_VALUE"""),"Uncle Sams Cider (04/04/2023)")</f>
        <v>Uncle Sams Cider (04/04/2023)</v>
      </c>
      <c r="H35" s="19"/>
    </row>
    <row r="36">
      <c r="A36" s="9"/>
      <c r="B36" s="15"/>
      <c r="C36" s="9">
        <f>IFERROR(__xludf.DUMMYFUNCTION("""COMPUTED_VALUE"""),45144.2650084259)</f>
        <v>45144.26501</v>
      </c>
      <c r="D36" s="15">
        <f>IFERROR(__xludf.DUMMYFUNCTION("""COMPUTED_VALUE"""),0.998)</f>
        <v>0.998</v>
      </c>
      <c r="E36" s="16">
        <f>IFERROR(__xludf.DUMMYFUNCTION("""COMPUTED_VALUE"""),71.0)</f>
        <v>71</v>
      </c>
      <c r="F36" s="19" t="str">
        <f>IFERROR(__xludf.DUMMYFUNCTION("""COMPUTED_VALUE"""),"BLUE")</f>
        <v>BLUE</v>
      </c>
      <c r="G36" s="20" t="str">
        <f>IFERROR(__xludf.DUMMYFUNCTION("""COMPUTED_VALUE"""),"Uncle Sams Cider (04/04/2023)")</f>
        <v>Uncle Sams Cider (04/04/2023)</v>
      </c>
      <c r="H36" s="19"/>
    </row>
    <row r="37">
      <c r="A37" s="9"/>
      <c r="B37" s="15"/>
      <c r="C37" s="9">
        <f>IFERROR(__xludf.DUMMYFUNCTION("""COMPUTED_VALUE"""),45144.254586331)</f>
        <v>45144.25459</v>
      </c>
      <c r="D37" s="15">
        <f>IFERROR(__xludf.DUMMYFUNCTION("""COMPUTED_VALUE"""),0.998)</f>
        <v>0.998</v>
      </c>
      <c r="E37" s="16">
        <f>IFERROR(__xludf.DUMMYFUNCTION("""COMPUTED_VALUE"""),71.0)</f>
        <v>71</v>
      </c>
      <c r="F37" s="19" t="str">
        <f>IFERROR(__xludf.DUMMYFUNCTION("""COMPUTED_VALUE"""),"BLUE")</f>
        <v>BLUE</v>
      </c>
      <c r="G37" s="20" t="str">
        <f>IFERROR(__xludf.DUMMYFUNCTION("""COMPUTED_VALUE"""),"Uncle Sams Cider (04/04/2023)")</f>
        <v>Uncle Sams Cider (04/04/2023)</v>
      </c>
      <c r="H37" s="19"/>
    </row>
    <row r="38">
      <c r="A38" s="9"/>
      <c r="B38" s="15"/>
      <c r="C38" s="9">
        <f>IFERROR(__xludf.DUMMYFUNCTION("""COMPUTED_VALUE"""),45144.2441642939)</f>
        <v>45144.24416</v>
      </c>
      <c r="D38" s="15">
        <f>IFERROR(__xludf.DUMMYFUNCTION("""COMPUTED_VALUE"""),0.998)</f>
        <v>0.998</v>
      </c>
      <c r="E38" s="16">
        <f>IFERROR(__xludf.DUMMYFUNCTION("""COMPUTED_VALUE"""),71.0)</f>
        <v>71</v>
      </c>
      <c r="F38" s="19" t="str">
        <f>IFERROR(__xludf.DUMMYFUNCTION("""COMPUTED_VALUE"""),"BLUE")</f>
        <v>BLUE</v>
      </c>
      <c r="G38" s="20" t="str">
        <f>IFERROR(__xludf.DUMMYFUNCTION("""COMPUTED_VALUE"""),"Uncle Sams Cider (04/04/2023)")</f>
        <v>Uncle Sams Cider (04/04/2023)</v>
      </c>
      <c r="H38" s="19"/>
    </row>
    <row r="39">
      <c r="A39" s="9"/>
      <c r="B39" s="15"/>
      <c r="C39" s="9">
        <f>IFERROR(__xludf.DUMMYFUNCTION("""COMPUTED_VALUE"""),45144.2337311574)</f>
        <v>45144.23373</v>
      </c>
      <c r="D39" s="15">
        <f>IFERROR(__xludf.DUMMYFUNCTION("""COMPUTED_VALUE"""),0.998)</f>
        <v>0.998</v>
      </c>
      <c r="E39" s="16">
        <f>IFERROR(__xludf.DUMMYFUNCTION("""COMPUTED_VALUE"""),71.0)</f>
        <v>71</v>
      </c>
      <c r="F39" s="19" t="str">
        <f>IFERROR(__xludf.DUMMYFUNCTION("""COMPUTED_VALUE"""),"BLUE")</f>
        <v>BLUE</v>
      </c>
      <c r="G39" s="20" t="str">
        <f>IFERROR(__xludf.DUMMYFUNCTION("""COMPUTED_VALUE"""),"Uncle Sams Cider (04/04/2023)")</f>
        <v>Uncle Sams Cider (04/04/2023)</v>
      </c>
      <c r="H39" s="19"/>
    </row>
    <row r="40">
      <c r="A40" s="9"/>
      <c r="B40" s="15"/>
      <c r="C40" s="9">
        <f>IFERROR(__xludf.DUMMYFUNCTION("""COMPUTED_VALUE"""),45144.2233109143)</f>
        <v>45144.22331</v>
      </c>
      <c r="D40" s="15">
        <f>IFERROR(__xludf.DUMMYFUNCTION("""COMPUTED_VALUE"""),0.998)</f>
        <v>0.998</v>
      </c>
      <c r="E40" s="16">
        <f>IFERROR(__xludf.DUMMYFUNCTION("""COMPUTED_VALUE"""),71.0)</f>
        <v>71</v>
      </c>
      <c r="F40" s="19" t="str">
        <f>IFERROR(__xludf.DUMMYFUNCTION("""COMPUTED_VALUE"""),"BLUE")</f>
        <v>BLUE</v>
      </c>
      <c r="G40" s="20" t="str">
        <f>IFERROR(__xludf.DUMMYFUNCTION("""COMPUTED_VALUE"""),"Uncle Sams Cider (04/04/2023)")</f>
        <v>Uncle Sams Cider (04/04/2023)</v>
      </c>
      <c r="H40" s="19"/>
    </row>
    <row r="41">
      <c r="A41" s="9"/>
      <c r="B41" s="15"/>
      <c r="C41" s="9">
        <f>IFERROR(__xludf.DUMMYFUNCTION("""COMPUTED_VALUE"""),45144.2128910532)</f>
        <v>45144.21289</v>
      </c>
      <c r="D41" s="15">
        <f>IFERROR(__xludf.DUMMYFUNCTION("""COMPUTED_VALUE"""),0.998)</f>
        <v>0.998</v>
      </c>
      <c r="E41" s="16">
        <f>IFERROR(__xludf.DUMMYFUNCTION("""COMPUTED_VALUE"""),71.0)</f>
        <v>71</v>
      </c>
      <c r="F41" s="19" t="str">
        <f>IFERROR(__xludf.DUMMYFUNCTION("""COMPUTED_VALUE"""),"BLUE")</f>
        <v>BLUE</v>
      </c>
      <c r="G41" s="20" t="str">
        <f>IFERROR(__xludf.DUMMYFUNCTION("""COMPUTED_VALUE"""),"Uncle Sams Cider (04/04/2023)")</f>
        <v>Uncle Sams Cider (04/04/2023)</v>
      </c>
      <c r="H41" s="19"/>
    </row>
    <row r="42">
      <c r="A42" s="9"/>
      <c r="B42" s="15"/>
      <c r="C42" s="9">
        <f>IFERROR(__xludf.DUMMYFUNCTION("""COMPUTED_VALUE"""),45144.2024695833)</f>
        <v>45144.20247</v>
      </c>
      <c r="D42" s="15">
        <f>IFERROR(__xludf.DUMMYFUNCTION("""COMPUTED_VALUE"""),0.998)</f>
        <v>0.998</v>
      </c>
      <c r="E42" s="16">
        <f>IFERROR(__xludf.DUMMYFUNCTION("""COMPUTED_VALUE"""),71.0)</f>
        <v>71</v>
      </c>
      <c r="F42" s="19" t="str">
        <f>IFERROR(__xludf.DUMMYFUNCTION("""COMPUTED_VALUE"""),"BLUE")</f>
        <v>BLUE</v>
      </c>
      <c r="G42" s="20" t="str">
        <f>IFERROR(__xludf.DUMMYFUNCTION("""COMPUTED_VALUE"""),"Uncle Sams Cider (04/04/2023)")</f>
        <v>Uncle Sams Cider (04/04/2023)</v>
      </c>
      <c r="H42" s="19"/>
    </row>
    <row r="43">
      <c r="A43" s="9"/>
      <c r="B43" s="15"/>
      <c r="C43" s="9">
        <f>IFERROR(__xludf.DUMMYFUNCTION("""COMPUTED_VALUE"""),45144.1920493865)</f>
        <v>45144.19205</v>
      </c>
      <c r="D43" s="15">
        <f>IFERROR(__xludf.DUMMYFUNCTION("""COMPUTED_VALUE"""),0.998)</f>
        <v>0.998</v>
      </c>
      <c r="E43" s="16">
        <f>IFERROR(__xludf.DUMMYFUNCTION("""COMPUTED_VALUE"""),71.0)</f>
        <v>71</v>
      </c>
      <c r="F43" s="19" t="str">
        <f>IFERROR(__xludf.DUMMYFUNCTION("""COMPUTED_VALUE"""),"BLUE")</f>
        <v>BLUE</v>
      </c>
      <c r="G43" s="20" t="str">
        <f>IFERROR(__xludf.DUMMYFUNCTION("""COMPUTED_VALUE"""),"Uncle Sams Cider (04/04/2023)")</f>
        <v>Uncle Sams Cider (04/04/2023)</v>
      </c>
      <c r="H43" s="19"/>
    </row>
    <row r="44">
      <c r="A44" s="9"/>
      <c r="B44" s="15"/>
      <c r="C44" s="9">
        <f>IFERROR(__xludf.DUMMYFUNCTION("""COMPUTED_VALUE"""),45144.1816276388)</f>
        <v>45144.18163</v>
      </c>
      <c r="D44" s="15">
        <f>IFERROR(__xludf.DUMMYFUNCTION("""COMPUTED_VALUE"""),0.998)</f>
        <v>0.998</v>
      </c>
      <c r="E44" s="16">
        <f>IFERROR(__xludf.DUMMYFUNCTION("""COMPUTED_VALUE"""),71.0)</f>
        <v>71</v>
      </c>
      <c r="F44" s="19" t="str">
        <f>IFERROR(__xludf.DUMMYFUNCTION("""COMPUTED_VALUE"""),"BLUE")</f>
        <v>BLUE</v>
      </c>
      <c r="G44" s="20" t="str">
        <f>IFERROR(__xludf.DUMMYFUNCTION("""COMPUTED_VALUE"""),"Uncle Sams Cider (04/04/2023)")</f>
        <v>Uncle Sams Cider (04/04/2023)</v>
      </c>
      <c r="H44" s="19"/>
    </row>
    <row r="45">
      <c r="A45" s="9"/>
      <c r="B45" s="15"/>
      <c r="C45" s="9">
        <f>IFERROR(__xludf.DUMMYFUNCTION("""COMPUTED_VALUE"""),45144.1712071643)</f>
        <v>45144.17121</v>
      </c>
      <c r="D45" s="15">
        <f>IFERROR(__xludf.DUMMYFUNCTION("""COMPUTED_VALUE"""),0.998)</f>
        <v>0.998</v>
      </c>
      <c r="E45" s="16">
        <f>IFERROR(__xludf.DUMMYFUNCTION("""COMPUTED_VALUE"""),71.0)</f>
        <v>71</v>
      </c>
      <c r="F45" s="19" t="str">
        <f>IFERROR(__xludf.DUMMYFUNCTION("""COMPUTED_VALUE"""),"BLUE")</f>
        <v>BLUE</v>
      </c>
      <c r="G45" s="20" t="str">
        <f>IFERROR(__xludf.DUMMYFUNCTION("""COMPUTED_VALUE"""),"Uncle Sams Cider (04/04/2023)")</f>
        <v>Uncle Sams Cider (04/04/2023)</v>
      </c>
      <c r="H45" s="19"/>
    </row>
    <row r="46">
      <c r="A46" s="9"/>
      <c r="B46" s="15"/>
      <c r="C46" s="9">
        <f>IFERROR(__xludf.DUMMYFUNCTION("""COMPUTED_VALUE"""),45144.1607862152)</f>
        <v>45144.16079</v>
      </c>
      <c r="D46" s="15">
        <f>IFERROR(__xludf.DUMMYFUNCTION("""COMPUTED_VALUE"""),0.998)</f>
        <v>0.998</v>
      </c>
      <c r="E46" s="16">
        <f>IFERROR(__xludf.DUMMYFUNCTION("""COMPUTED_VALUE"""),71.0)</f>
        <v>71</v>
      </c>
      <c r="F46" s="19" t="str">
        <f>IFERROR(__xludf.DUMMYFUNCTION("""COMPUTED_VALUE"""),"BLUE")</f>
        <v>BLUE</v>
      </c>
      <c r="G46" s="20" t="str">
        <f>IFERROR(__xludf.DUMMYFUNCTION("""COMPUTED_VALUE"""),"Uncle Sams Cider (04/04/2023)")</f>
        <v>Uncle Sams Cider (04/04/2023)</v>
      </c>
      <c r="H46" s="19"/>
    </row>
    <row r="47">
      <c r="A47" s="9"/>
      <c r="B47" s="15"/>
      <c r="C47" s="9">
        <f>IFERROR(__xludf.DUMMYFUNCTION("""COMPUTED_VALUE"""),45144.1503407291)</f>
        <v>45144.15034</v>
      </c>
      <c r="D47" s="15">
        <f>IFERROR(__xludf.DUMMYFUNCTION("""COMPUTED_VALUE"""),0.998)</f>
        <v>0.998</v>
      </c>
      <c r="E47" s="16">
        <f>IFERROR(__xludf.DUMMYFUNCTION("""COMPUTED_VALUE"""),71.0)</f>
        <v>71</v>
      </c>
      <c r="F47" s="19" t="str">
        <f>IFERROR(__xludf.DUMMYFUNCTION("""COMPUTED_VALUE"""),"BLUE")</f>
        <v>BLUE</v>
      </c>
      <c r="G47" s="20" t="str">
        <f>IFERROR(__xludf.DUMMYFUNCTION("""COMPUTED_VALUE"""),"Uncle Sams Cider (04/04/2023)")</f>
        <v>Uncle Sams Cider (04/04/2023)</v>
      </c>
      <c r="H47" s="19"/>
    </row>
    <row r="48">
      <c r="A48" s="9"/>
      <c r="B48" s="15"/>
      <c r="C48" s="9">
        <f>IFERROR(__xludf.DUMMYFUNCTION("""COMPUTED_VALUE"""),45144.1399192708)</f>
        <v>45144.13992</v>
      </c>
      <c r="D48" s="15">
        <f>IFERROR(__xludf.DUMMYFUNCTION("""COMPUTED_VALUE"""),0.998)</f>
        <v>0.998</v>
      </c>
      <c r="E48" s="16">
        <f>IFERROR(__xludf.DUMMYFUNCTION("""COMPUTED_VALUE"""),71.0)</f>
        <v>71</v>
      </c>
      <c r="F48" s="19" t="str">
        <f>IFERROR(__xludf.DUMMYFUNCTION("""COMPUTED_VALUE"""),"BLUE")</f>
        <v>BLUE</v>
      </c>
      <c r="G48" s="20" t="str">
        <f>IFERROR(__xludf.DUMMYFUNCTION("""COMPUTED_VALUE"""),"Uncle Sams Cider (04/04/2023)")</f>
        <v>Uncle Sams Cider (04/04/2023)</v>
      </c>
      <c r="H48" s="19"/>
    </row>
    <row r="49">
      <c r="A49" s="9"/>
      <c r="B49" s="15"/>
      <c r="C49" s="9">
        <f>IFERROR(__xludf.DUMMYFUNCTION("""COMPUTED_VALUE"""),45144.1295004398)</f>
        <v>45144.1295</v>
      </c>
      <c r="D49" s="15">
        <f>IFERROR(__xludf.DUMMYFUNCTION("""COMPUTED_VALUE"""),0.998)</f>
        <v>0.998</v>
      </c>
      <c r="E49" s="16">
        <f>IFERROR(__xludf.DUMMYFUNCTION("""COMPUTED_VALUE"""),71.0)</f>
        <v>71</v>
      </c>
      <c r="F49" s="19" t="str">
        <f>IFERROR(__xludf.DUMMYFUNCTION("""COMPUTED_VALUE"""),"BLUE")</f>
        <v>BLUE</v>
      </c>
      <c r="G49" s="20" t="str">
        <f>IFERROR(__xludf.DUMMYFUNCTION("""COMPUTED_VALUE"""),"Uncle Sams Cider (04/04/2023)")</f>
        <v>Uncle Sams Cider (04/04/2023)</v>
      </c>
      <c r="H49" s="19"/>
    </row>
    <row r="50">
      <c r="A50" s="9"/>
      <c r="B50" s="15"/>
      <c r="C50" s="9">
        <f>IFERROR(__xludf.DUMMYFUNCTION("""COMPUTED_VALUE"""),45144.1190789236)</f>
        <v>45144.11908</v>
      </c>
      <c r="D50" s="15">
        <f>IFERROR(__xludf.DUMMYFUNCTION("""COMPUTED_VALUE"""),0.998)</f>
        <v>0.998</v>
      </c>
      <c r="E50" s="16">
        <f>IFERROR(__xludf.DUMMYFUNCTION("""COMPUTED_VALUE"""),71.0)</f>
        <v>71</v>
      </c>
      <c r="F50" s="19" t="str">
        <f>IFERROR(__xludf.DUMMYFUNCTION("""COMPUTED_VALUE"""),"BLUE")</f>
        <v>BLUE</v>
      </c>
      <c r="G50" s="20" t="str">
        <f>IFERROR(__xludf.DUMMYFUNCTION("""COMPUTED_VALUE"""),"Uncle Sams Cider (04/04/2023)")</f>
        <v>Uncle Sams Cider (04/04/2023)</v>
      </c>
      <c r="H50" s="19"/>
    </row>
    <row r="51">
      <c r="A51" s="9"/>
      <c r="B51" s="15"/>
      <c r="C51" s="9">
        <f>IFERROR(__xludf.DUMMYFUNCTION("""COMPUTED_VALUE"""),45144.1086554514)</f>
        <v>45144.10866</v>
      </c>
      <c r="D51" s="15">
        <f>IFERROR(__xludf.DUMMYFUNCTION("""COMPUTED_VALUE"""),0.998)</f>
        <v>0.998</v>
      </c>
      <c r="E51" s="16">
        <f>IFERROR(__xludf.DUMMYFUNCTION("""COMPUTED_VALUE"""),71.0)</f>
        <v>71</v>
      </c>
      <c r="F51" s="19" t="str">
        <f>IFERROR(__xludf.DUMMYFUNCTION("""COMPUTED_VALUE"""),"BLUE")</f>
        <v>BLUE</v>
      </c>
      <c r="G51" s="20" t="str">
        <f>IFERROR(__xludf.DUMMYFUNCTION("""COMPUTED_VALUE"""),"Uncle Sams Cider (04/04/2023)")</f>
        <v>Uncle Sams Cider (04/04/2023)</v>
      </c>
      <c r="H51" s="19"/>
    </row>
    <row r="52">
      <c r="A52" s="9"/>
      <c r="B52" s="15"/>
      <c r="C52" s="9">
        <f>IFERROR(__xludf.DUMMYFUNCTION("""COMPUTED_VALUE"""),45144.0982342708)</f>
        <v>45144.09823</v>
      </c>
      <c r="D52" s="15">
        <f>IFERROR(__xludf.DUMMYFUNCTION("""COMPUTED_VALUE"""),0.998)</f>
        <v>0.998</v>
      </c>
      <c r="E52" s="16">
        <f>IFERROR(__xludf.DUMMYFUNCTION("""COMPUTED_VALUE"""),71.0)</f>
        <v>71</v>
      </c>
      <c r="F52" s="19" t="str">
        <f>IFERROR(__xludf.DUMMYFUNCTION("""COMPUTED_VALUE"""),"BLUE")</f>
        <v>BLUE</v>
      </c>
      <c r="G52" s="20" t="str">
        <f>IFERROR(__xludf.DUMMYFUNCTION("""COMPUTED_VALUE"""),"Uncle Sams Cider (04/04/2023)")</f>
        <v>Uncle Sams Cider (04/04/2023)</v>
      </c>
      <c r="H52" s="19"/>
    </row>
    <row r="53">
      <c r="A53" s="9"/>
      <c r="B53" s="15"/>
      <c r="C53" s="9">
        <f>IFERROR(__xludf.DUMMYFUNCTION("""COMPUTED_VALUE"""),45144.087814456)</f>
        <v>45144.08781</v>
      </c>
      <c r="D53" s="15">
        <f>IFERROR(__xludf.DUMMYFUNCTION("""COMPUTED_VALUE"""),0.998)</f>
        <v>0.998</v>
      </c>
      <c r="E53" s="16">
        <f>IFERROR(__xludf.DUMMYFUNCTION("""COMPUTED_VALUE"""),71.0)</f>
        <v>71</v>
      </c>
      <c r="F53" s="19" t="str">
        <f>IFERROR(__xludf.DUMMYFUNCTION("""COMPUTED_VALUE"""),"BLUE")</f>
        <v>BLUE</v>
      </c>
      <c r="G53" s="20" t="str">
        <f>IFERROR(__xludf.DUMMYFUNCTION("""COMPUTED_VALUE"""),"Uncle Sams Cider (04/04/2023)")</f>
        <v>Uncle Sams Cider (04/04/2023)</v>
      </c>
      <c r="H53" s="19"/>
    </row>
    <row r="54">
      <c r="A54" s="9"/>
      <c r="B54" s="15"/>
      <c r="C54" s="9">
        <f>IFERROR(__xludf.DUMMYFUNCTION("""COMPUTED_VALUE"""),45144.0773936805)</f>
        <v>45144.07739</v>
      </c>
      <c r="D54" s="15">
        <f>IFERROR(__xludf.DUMMYFUNCTION("""COMPUTED_VALUE"""),0.998)</f>
        <v>0.998</v>
      </c>
      <c r="E54" s="16">
        <f>IFERROR(__xludf.DUMMYFUNCTION("""COMPUTED_VALUE"""),71.0)</f>
        <v>71</v>
      </c>
      <c r="F54" s="19" t="str">
        <f>IFERROR(__xludf.DUMMYFUNCTION("""COMPUTED_VALUE"""),"BLUE")</f>
        <v>BLUE</v>
      </c>
      <c r="G54" s="20" t="str">
        <f>IFERROR(__xludf.DUMMYFUNCTION("""COMPUTED_VALUE"""),"Uncle Sams Cider (04/04/2023)")</f>
        <v>Uncle Sams Cider (04/04/2023)</v>
      </c>
      <c r="H54" s="19"/>
    </row>
    <row r="55">
      <c r="A55" s="9"/>
      <c r="B55" s="15"/>
      <c r="C55" s="9">
        <f>IFERROR(__xludf.DUMMYFUNCTION("""COMPUTED_VALUE"""),45144.0669720833)</f>
        <v>45144.06697</v>
      </c>
      <c r="D55" s="15">
        <f>IFERROR(__xludf.DUMMYFUNCTION("""COMPUTED_VALUE"""),0.998)</f>
        <v>0.998</v>
      </c>
      <c r="E55" s="16">
        <f>IFERROR(__xludf.DUMMYFUNCTION("""COMPUTED_VALUE"""),71.0)</f>
        <v>71</v>
      </c>
      <c r="F55" s="19" t="str">
        <f>IFERROR(__xludf.DUMMYFUNCTION("""COMPUTED_VALUE"""),"BLUE")</f>
        <v>BLUE</v>
      </c>
      <c r="G55" s="20" t="str">
        <f>IFERROR(__xludf.DUMMYFUNCTION("""COMPUTED_VALUE"""),"Uncle Sams Cider (04/04/2023)")</f>
        <v>Uncle Sams Cider (04/04/2023)</v>
      </c>
      <c r="H55" s="19"/>
    </row>
    <row r="56">
      <c r="A56" s="9"/>
      <c r="B56" s="15"/>
      <c r="C56" s="9">
        <f>IFERROR(__xludf.DUMMYFUNCTION("""COMPUTED_VALUE"""),45144.0565511458)</f>
        <v>45144.05655</v>
      </c>
      <c r="D56" s="15">
        <f>IFERROR(__xludf.DUMMYFUNCTION("""COMPUTED_VALUE"""),0.998)</f>
        <v>0.998</v>
      </c>
      <c r="E56" s="16">
        <f>IFERROR(__xludf.DUMMYFUNCTION("""COMPUTED_VALUE"""),71.0)</f>
        <v>71</v>
      </c>
      <c r="F56" s="19" t="str">
        <f>IFERROR(__xludf.DUMMYFUNCTION("""COMPUTED_VALUE"""),"BLUE")</f>
        <v>BLUE</v>
      </c>
      <c r="G56" s="20" t="str">
        <f>IFERROR(__xludf.DUMMYFUNCTION("""COMPUTED_VALUE"""),"Uncle Sams Cider (04/04/2023)")</f>
        <v>Uncle Sams Cider (04/04/2023)</v>
      </c>
      <c r="H56" s="19"/>
    </row>
    <row r="57">
      <c r="A57" s="9"/>
      <c r="B57" s="15"/>
      <c r="C57" s="9">
        <f>IFERROR(__xludf.DUMMYFUNCTION("""COMPUTED_VALUE"""),45144.0461184722)</f>
        <v>45144.04612</v>
      </c>
      <c r="D57" s="15">
        <f>IFERROR(__xludf.DUMMYFUNCTION("""COMPUTED_VALUE"""),0.998)</f>
        <v>0.998</v>
      </c>
      <c r="E57" s="16">
        <f>IFERROR(__xludf.DUMMYFUNCTION("""COMPUTED_VALUE"""),71.0)</f>
        <v>71</v>
      </c>
      <c r="F57" s="19" t="str">
        <f>IFERROR(__xludf.DUMMYFUNCTION("""COMPUTED_VALUE"""),"BLUE")</f>
        <v>BLUE</v>
      </c>
      <c r="G57" s="20" t="str">
        <f>IFERROR(__xludf.DUMMYFUNCTION("""COMPUTED_VALUE"""),"Uncle Sams Cider (04/04/2023)")</f>
        <v>Uncle Sams Cider (04/04/2023)</v>
      </c>
      <c r="H57" s="19"/>
    </row>
    <row r="58">
      <c r="A58" s="9"/>
      <c r="B58" s="15"/>
      <c r="C58" s="9">
        <f>IFERROR(__xludf.DUMMYFUNCTION("""COMPUTED_VALUE"""),45144.0356973148)</f>
        <v>45144.0357</v>
      </c>
      <c r="D58" s="15">
        <f>IFERROR(__xludf.DUMMYFUNCTION("""COMPUTED_VALUE"""),0.998)</f>
        <v>0.998</v>
      </c>
      <c r="E58" s="16">
        <f>IFERROR(__xludf.DUMMYFUNCTION("""COMPUTED_VALUE"""),71.0)</f>
        <v>71</v>
      </c>
      <c r="F58" s="19" t="str">
        <f>IFERROR(__xludf.DUMMYFUNCTION("""COMPUTED_VALUE"""),"BLUE")</f>
        <v>BLUE</v>
      </c>
      <c r="G58" s="20" t="str">
        <f>IFERROR(__xludf.DUMMYFUNCTION("""COMPUTED_VALUE"""),"Uncle Sams Cider (04/04/2023)")</f>
        <v>Uncle Sams Cider (04/04/2023)</v>
      </c>
      <c r="H58" s="19"/>
    </row>
    <row r="59">
      <c r="A59" s="9"/>
      <c r="B59" s="15"/>
      <c r="C59" s="9">
        <f>IFERROR(__xludf.DUMMYFUNCTION("""COMPUTED_VALUE"""),45144.0252755555)</f>
        <v>45144.02528</v>
      </c>
      <c r="D59" s="15">
        <f>IFERROR(__xludf.DUMMYFUNCTION("""COMPUTED_VALUE"""),0.998)</f>
        <v>0.998</v>
      </c>
      <c r="E59" s="16">
        <f>IFERROR(__xludf.DUMMYFUNCTION("""COMPUTED_VALUE"""),71.0)</f>
        <v>71</v>
      </c>
      <c r="F59" s="19" t="str">
        <f>IFERROR(__xludf.DUMMYFUNCTION("""COMPUTED_VALUE"""),"BLUE")</f>
        <v>BLUE</v>
      </c>
      <c r="G59" s="20" t="str">
        <f>IFERROR(__xludf.DUMMYFUNCTION("""COMPUTED_VALUE"""),"Uncle Sams Cider (04/04/2023)")</f>
        <v>Uncle Sams Cider (04/04/2023)</v>
      </c>
      <c r="H59" s="19"/>
    </row>
    <row r="60">
      <c r="A60" s="9"/>
      <c r="B60" s="15"/>
      <c r="C60" s="9">
        <f>IFERROR(__xludf.DUMMYFUNCTION("""COMPUTED_VALUE"""),45144.0148564467)</f>
        <v>45144.01486</v>
      </c>
      <c r="D60" s="15">
        <f>IFERROR(__xludf.DUMMYFUNCTION("""COMPUTED_VALUE"""),0.998)</f>
        <v>0.998</v>
      </c>
      <c r="E60" s="16">
        <f>IFERROR(__xludf.DUMMYFUNCTION("""COMPUTED_VALUE"""),71.0)</f>
        <v>71</v>
      </c>
      <c r="F60" s="19" t="str">
        <f>IFERROR(__xludf.DUMMYFUNCTION("""COMPUTED_VALUE"""),"BLUE")</f>
        <v>BLUE</v>
      </c>
      <c r="G60" s="20" t="str">
        <f>IFERROR(__xludf.DUMMYFUNCTION("""COMPUTED_VALUE"""),"Uncle Sams Cider (04/04/2023)")</f>
        <v>Uncle Sams Cider (04/04/2023)</v>
      </c>
      <c r="H60" s="19"/>
    </row>
    <row r="61">
      <c r="A61" s="9"/>
      <c r="B61" s="15"/>
      <c r="C61" s="9">
        <f>IFERROR(__xludf.DUMMYFUNCTION("""COMPUTED_VALUE"""),45144.0044380439)</f>
        <v>45144.00444</v>
      </c>
      <c r="D61" s="15">
        <f>IFERROR(__xludf.DUMMYFUNCTION("""COMPUTED_VALUE"""),0.998)</f>
        <v>0.998</v>
      </c>
      <c r="E61" s="16">
        <f>IFERROR(__xludf.DUMMYFUNCTION("""COMPUTED_VALUE"""),71.0)</f>
        <v>71</v>
      </c>
      <c r="F61" s="19" t="str">
        <f>IFERROR(__xludf.DUMMYFUNCTION("""COMPUTED_VALUE"""),"BLUE")</f>
        <v>BLUE</v>
      </c>
      <c r="G61" s="20" t="str">
        <f>IFERROR(__xludf.DUMMYFUNCTION("""COMPUTED_VALUE"""),"Uncle Sams Cider (04/04/2023)")</f>
        <v>Uncle Sams Cider (04/04/2023)</v>
      </c>
      <c r="H61" s="19"/>
    </row>
    <row r="62">
      <c r="A62" s="9"/>
      <c r="B62" s="15"/>
      <c r="C62" s="9">
        <f>IFERROR(__xludf.DUMMYFUNCTION("""COMPUTED_VALUE"""),45143.9940171064)</f>
        <v>45143.99402</v>
      </c>
      <c r="D62" s="15">
        <f>IFERROR(__xludf.DUMMYFUNCTION("""COMPUTED_VALUE"""),0.998)</f>
        <v>0.998</v>
      </c>
      <c r="E62" s="16">
        <f>IFERROR(__xludf.DUMMYFUNCTION("""COMPUTED_VALUE"""),71.0)</f>
        <v>71</v>
      </c>
      <c r="F62" s="19" t="str">
        <f>IFERROR(__xludf.DUMMYFUNCTION("""COMPUTED_VALUE"""),"BLUE")</f>
        <v>BLUE</v>
      </c>
      <c r="G62" s="20" t="str">
        <f>IFERROR(__xludf.DUMMYFUNCTION("""COMPUTED_VALUE"""),"Uncle Sams Cider (04/04/2023)")</f>
        <v>Uncle Sams Cider (04/04/2023)</v>
      </c>
      <c r="H62" s="19"/>
    </row>
    <row r="63">
      <c r="A63" s="9"/>
      <c r="B63" s="15"/>
      <c r="C63" s="9">
        <f>IFERROR(__xludf.DUMMYFUNCTION("""COMPUTED_VALUE"""),45143.9835956365)</f>
        <v>45143.9836</v>
      </c>
      <c r="D63" s="15">
        <f>IFERROR(__xludf.DUMMYFUNCTION("""COMPUTED_VALUE"""),0.998)</f>
        <v>0.998</v>
      </c>
      <c r="E63" s="16">
        <f>IFERROR(__xludf.DUMMYFUNCTION("""COMPUTED_VALUE"""),71.0)</f>
        <v>71</v>
      </c>
      <c r="F63" s="19" t="str">
        <f>IFERROR(__xludf.DUMMYFUNCTION("""COMPUTED_VALUE"""),"BLUE")</f>
        <v>BLUE</v>
      </c>
      <c r="G63" s="20" t="str">
        <f>IFERROR(__xludf.DUMMYFUNCTION("""COMPUTED_VALUE"""),"Uncle Sams Cider (04/04/2023)")</f>
        <v>Uncle Sams Cider (04/04/2023)</v>
      </c>
      <c r="H63" s="19"/>
    </row>
    <row r="64">
      <c r="A64" s="9"/>
      <c r="B64" s="15"/>
      <c r="C64" s="9">
        <f>IFERROR(__xludf.DUMMYFUNCTION("""COMPUTED_VALUE"""),45143.973174699)</f>
        <v>45143.97317</v>
      </c>
      <c r="D64" s="15">
        <f>IFERROR(__xludf.DUMMYFUNCTION("""COMPUTED_VALUE"""),0.998)</f>
        <v>0.998</v>
      </c>
      <c r="E64" s="16">
        <f>IFERROR(__xludf.DUMMYFUNCTION("""COMPUTED_VALUE"""),72.0)</f>
        <v>72</v>
      </c>
      <c r="F64" s="19" t="str">
        <f>IFERROR(__xludf.DUMMYFUNCTION("""COMPUTED_VALUE"""),"BLUE")</f>
        <v>BLUE</v>
      </c>
      <c r="G64" s="20" t="str">
        <f>IFERROR(__xludf.DUMMYFUNCTION("""COMPUTED_VALUE"""),"Uncle Sams Cider (04/04/2023)")</f>
        <v>Uncle Sams Cider (04/04/2023)</v>
      </c>
      <c r="H64" s="19"/>
    </row>
    <row r="65">
      <c r="A65" s="9"/>
      <c r="B65" s="15"/>
      <c r="C65" s="9">
        <f>IFERROR(__xludf.DUMMYFUNCTION("""COMPUTED_VALUE"""),45143.9627420138)</f>
        <v>45143.96274</v>
      </c>
      <c r="D65" s="15">
        <f>IFERROR(__xludf.DUMMYFUNCTION("""COMPUTED_VALUE"""),0.998)</f>
        <v>0.998</v>
      </c>
      <c r="E65" s="16">
        <f>IFERROR(__xludf.DUMMYFUNCTION("""COMPUTED_VALUE"""),71.0)</f>
        <v>71</v>
      </c>
      <c r="F65" s="19" t="str">
        <f>IFERROR(__xludf.DUMMYFUNCTION("""COMPUTED_VALUE"""),"BLUE")</f>
        <v>BLUE</v>
      </c>
      <c r="G65" s="20" t="str">
        <f>IFERROR(__xludf.DUMMYFUNCTION("""COMPUTED_VALUE"""),"Uncle Sams Cider (04/04/2023)")</f>
        <v>Uncle Sams Cider (04/04/2023)</v>
      </c>
      <c r="H65" s="19"/>
    </row>
    <row r="66">
      <c r="A66" s="9"/>
      <c r="B66" s="15"/>
      <c r="C66" s="9">
        <f>IFERROR(__xludf.DUMMYFUNCTION("""COMPUTED_VALUE"""),45143.9523208449)</f>
        <v>45143.95232</v>
      </c>
      <c r="D66" s="15">
        <f>IFERROR(__xludf.DUMMYFUNCTION("""COMPUTED_VALUE"""),0.998)</f>
        <v>0.998</v>
      </c>
      <c r="E66" s="16">
        <f>IFERROR(__xludf.DUMMYFUNCTION("""COMPUTED_VALUE"""),72.0)</f>
        <v>72</v>
      </c>
      <c r="F66" s="19" t="str">
        <f>IFERROR(__xludf.DUMMYFUNCTION("""COMPUTED_VALUE"""),"BLUE")</f>
        <v>BLUE</v>
      </c>
      <c r="G66" s="20" t="str">
        <f>IFERROR(__xludf.DUMMYFUNCTION("""COMPUTED_VALUE"""),"Uncle Sams Cider (04/04/2023)")</f>
        <v>Uncle Sams Cider (04/04/2023)</v>
      </c>
      <c r="H66" s="19"/>
    </row>
    <row r="67">
      <c r="A67" s="9"/>
      <c r="B67" s="15"/>
      <c r="C67" s="9">
        <f>IFERROR(__xludf.DUMMYFUNCTION("""COMPUTED_VALUE"""),45143.9419007986)</f>
        <v>45143.9419</v>
      </c>
      <c r="D67" s="15">
        <f>IFERROR(__xludf.DUMMYFUNCTION("""COMPUTED_VALUE"""),0.998)</f>
        <v>0.998</v>
      </c>
      <c r="E67" s="16">
        <f>IFERROR(__xludf.DUMMYFUNCTION("""COMPUTED_VALUE"""),72.0)</f>
        <v>72</v>
      </c>
      <c r="F67" s="19" t="str">
        <f>IFERROR(__xludf.DUMMYFUNCTION("""COMPUTED_VALUE"""),"BLUE")</f>
        <v>BLUE</v>
      </c>
      <c r="G67" s="20" t="str">
        <f>IFERROR(__xludf.DUMMYFUNCTION("""COMPUTED_VALUE"""),"Uncle Sams Cider (04/04/2023)")</f>
        <v>Uncle Sams Cider (04/04/2023)</v>
      </c>
      <c r="H67" s="19"/>
    </row>
    <row r="68">
      <c r="A68" s="9"/>
      <c r="B68" s="15"/>
      <c r="C68" s="9">
        <f>IFERROR(__xludf.DUMMYFUNCTION("""COMPUTED_VALUE"""),45143.9314807523)</f>
        <v>45143.93148</v>
      </c>
      <c r="D68" s="15">
        <f>IFERROR(__xludf.DUMMYFUNCTION("""COMPUTED_VALUE"""),0.998)</f>
        <v>0.998</v>
      </c>
      <c r="E68" s="16">
        <f>IFERROR(__xludf.DUMMYFUNCTION("""COMPUTED_VALUE"""),72.0)</f>
        <v>72</v>
      </c>
      <c r="F68" s="19" t="str">
        <f>IFERROR(__xludf.DUMMYFUNCTION("""COMPUTED_VALUE"""),"BLUE")</f>
        <v>BLUE</v>
      </c>
      <c r="G68" s="20" t="str">
        <f>IFERROR(__xludf.DUMMYFUNCTION("""COMPUTED_VALUE"""),"Uncle Sams Cider (04/04/2023)")</f>
        <v>Uncle Sams Cider (04/04/2023)</v>
      </c>
      <c r="H68" s="19"/>
    </row>
    <row r="69">
      <c r="A69" s="9"/>
      <c r="B69" s="15"/>
      <c r="C69" s="9">
        <f>IFERROR(__xludf.DUMMYFUNCTION("""COMPUTED_VALUE"""),45143.9210583217)</f>
        <v>45143.92106</v>
      </c>
      <c r="D69" s="15">
        <f>IFERROR(__xludf.DUMMYFUNCTION("""COMPUTED_VALUE"""),0.998)</f>
        <v>0.998</v>
      </c>
      <c r="E69" s="16">
        <f>IFERROR(__xludf.DUMMYFUNCTION("""COMPUTED_VALUE"""),72.0)</f>
        <v>72</v>
      </c>
      <c r="F69" s="19" t="str">
        <f>IFERROR(__xludf.DUMMYFUNCTION("""COMPUTED_VALUE"""),"BLUE")</f>
        <v>BLUE</v>
      </c>
      <c r="G69" s="20" t="str">
        <f>IFERROR(__xludf.DUMMYFUNCTION("""COMPUTED_VALUE"""),"Uncle Sams Cider (04/04/2023)")</f>
        <v>Uncle Sams Cider (04/04/2023)</v>
      </c>
      <c r="H69" s="19"/>
    </row>
    <row r="70">
      <c r="A70" s="9"/>
      <c r="B70" s="15"/>
      <c r="C70" s="9">
        <f>IFERROR(__xludf.DUMMYFUNCTION("""COMPUTED_VALUE"""),45143.9106376967)</f>
        <v>45143.91064</v>
      </c>
      <c r="D70" s="15">
        <f>IFERROR(__xludf.DUMMYFUNCTION("""COMPUTED_VALUE"""),0.998)</f>
        <v>0.998</v>
      </c>
      <c r="E70" s="16">
        <f>IFERROR(__xludf.DUMMYFUNCTION("""COMPUTED_VALUE"""),72.0)</f>
        <v>72</v>
      </c>
      <c r="F70" s="19" t="str">
        <f>IFERROR(__xludf.DUMMYFUNCTION("""COMPUTED_VALUE"""),"BLUE")</f>
        <v>BLUE</v>
      </c>
      <c r="G70" s="20" t="str">
        <f>IFERROR(__xludf.DUMMYFUNCTION("""COMPUTED_VALUE"""),"Uncle Sams Cider (04/04/2023)")</f>
        <v>Uncle Sams Cider (04/04/2023)</v>
      </c>
      <c r="H70" s="19"/>
    </row>
    <row r="71">
      <c r="A71" s="9"/>
      <c r="B71" s="15"/>
      <c r="C71" s="9">
        <f>IFERROR(__xludf.DUMMYFUNCTION("""COMPUTED_VALUE"""),45143.9002161574)</f>
        <v>45143.90022</v>
      </c>
      <c r="D71" s="15">
        <f>IFERROR(__xludf.DUMMYFUNCTION("""COMPUTED_VALUE"""),0.998)</f>
        <v>0.998</v>
      </c>
      <c r="E71" s="16">
        <f>IFERROR(__xludf.DUMMYFUNCTION("""COMPUTED_VALUE"""),72.0)</f>
        <v>72</v>
      </c>
      <c r="F71" s="19" t="str">
        <f>IFERROR(__xludf.DUMMYFUNCTION("""COMPUTED_VALUE"""),"BLUE")</f>
        <v>BLUE</v>
      </c>
      <c r="G71" s="20" t="str">
        <f>IFERROR(__xludf.DUMMYFUNCTION("""COMPUTED_VALUE"""),"Uncle Sams Cider (04/04/2023)")</f>
        <v>Uncle Sams Cider (04/04/2023)</v>
      </c>
      <c r="H71" s="19"/>
    </row>
    <row r="72">
      <c r="A72" s="9"/>
      <c r="B72" s="15"/>
      <c r="C72" s="9">
        <f>IFERROR(__xludf.DUMMYFUNCTION("""COMPUTED_VALUE"""),45143.8897846064)</f>
        <v>45143.88978</v>
      </c>
      <c r="D72" s="15">
        <f>IFERROR(__xludf.DUMMYFUNCTION("""COMPUTED_VALUE"""),0.998)</f>
        <v>0.998</v>
      </c>
      <c r="E72" s="16">
        <f>IFERROR(__xludf.DUMMYFUNCTION("""COMPUTED_VALUE"""),72.0)</f>
        <v>72</v>
      </c>
      <c r="F72" s="19" t="str">
        <f>IFERROR(__xludf.DUMMYFUNCTION("""COMPUTED_VALUE"""),"BLUE")</f>
        <v>BLUE</v>
      </c>
      <c r="G72" s="20" t="str">
        <f>IFERROR(__xludf.DUMMYFUNCTION("""COMPUTED_VALUE"""),"Uncle Sams Cider (04/04/2023)")</f>
        <v>Uncle Sams Cider (04/04/2023)</v>
      </c>
      <c r="H72" s="19"/>
    </row>
    <row r="73">
      <c r="A73" s="9"/>
      <c r="B73" s="15"/>
      <c r="C73" s="9">
        <f>IFERROR(__xludf.DUMMYFUNCTION("""COMPUTED_VALUE"""),45143.8793518402)</f>
        <v>45143.87935</v>
      </c>
      <c r="D73" s="15">
        <f>IFERROR(__xludf.DUMMYFUNCTION("""COMPUTED_VALUE"""),0.998)</f>
        <v>0.998</v>
      </c>
      <c r="E73" s="16">
        <f>IFERROR(__xludf.DUMMYFUNCTION("""COMPUTED_VALUE"""),72.0)</f>
        <v>72</v>
      </c>
      <c r="F73" s="19" t="str">
        <f>IFERROR(__xludf.DUMMYFUNCTION("""COMPUTED_VALUE"""),"BLUE")</f>
        <v>BLUE</v>
      </c>
      <c r="G73" s="20" t="str">
        <f>IFERROR(__xludf.DUMMYFUNCTION("""COMPUTED_VALUE"""),"Uncle Sams Cider (04/04/2023)")</f>
        <v>Uncle Sams Cider (04/04/2023)</v>
      </c>
      <c r="H73" s="19"/>
    </row>
    <row r="74">
      <c r="A74" s="9"/>
      <c r="B74" s="15"/>
      <c r="C74" s="9">
        <f>IFERROR(__xludf.DUMMYFUNCTION("""COMPUTED_VALUE"""),45143.8689286111)</f>
        <v>45143.86893</v>
      </c>
      <c r="D74" s="15">
        <f>IFERROR(__xludf.DUMMYFUNCTION("""COMPUTED_VALUE"""),0.998)</f>
        <v>0.998</v>
      </c>
      <c r="E74" s="16">
        <f>IFERROR(__xludf.DUMMYFUNCTION("""COMPUTED_VALUE"""),72.0)</f>
        <v>72</v>
      </c>
      <c r="F74" s="19" t="str">
        <f>IFERROR(__xludf.DUMMYFUNCTION("""COMPUTED_VALUE"""),"BLUE")</f>
        <v>BLUE</v>
      </c>
      <c r="G74" s="20" t="str">
        <f>IFERROR(__xludf.DUMMYFUNCTION("""COMPUTED_VALUE"""),"Uncle Sams Cider (04/04/2023)")</f>
        <v>Uncle Sams Cider (04/04/2023)</v>
      </c>
      <c r="H74" s="19"/>
    </row>
    <row r="75">
      <c r="A75" s="9"/>
      <c r="B75" s="15"/>
      <c r="C75" s="9">
        <f>IFERROR(__xludf.DUMMYFUNCTION("""COMPUTED_VALUE"""),45143.8585060532)</f>
        <v>45143.85851</v>
      </c>
      <c r="D75" s="15">
        <f>IFERROR(__xludf.DUMMYFUNCTION("""COMPUTED_VALUE"""),0.998)</f>
        <v>0.998</v>
      </c>
      <c r="E75" s="16">
        <f>IFERROR(__xludf.DUMMYFUNCTION("""COMPUTED_VALUE"""),72.0)</f>
        <v>72</v>
      </c>
      <c r="F75" s="19" t="str">
        <f>IFERROR(__xludf.DUMMYFUNCTION("""COMPUTED_VALUE"""),"BLUE")</f>
        <v>BLUE</v>
      </c>
      <c r="G75" s="20" t="str">
        <f>IFERROR(__xludf.DUMMYFUNCTION("""COMPUTED_VALUE"""),"Uncle Sams Cider (04/04/2023)")</f>
        <v>Uncle Sams Cider (04/04/2023)</v>
      </c>
      <c r="H75" s="19"/>
    </row>
    <row r="76">
      <c r="A76" s="9"/>
      <c r="B76" s="15"/>
      <c r="C76" s="9">
        <f>IFERROR(__xludf.DUMMYFUNCTION("""COMPUTED_VALUE"""),45143.8480853009)</f>
        <v>45143.84809</v>
      </c>
      <c r="D76" s="15">
        <f>IFERROR(__xludf.DUMMYFUNCTION("""COMPUTED_VALUE"""),0.998)</f>
        <v>0.998</v>
      </c>
      <c r="E76" s="16">
        <f>IFERROR(__xludf.DUMMYFUNCTION("""COMPUTED_VALUE"""),72.0)</f>
        <v>72</v>
      </c>
      <c r="F76" s="19" t="str">
        <f>IFERROR(__xludf.DUMMYFUNCTION("""COMPUTED_VALUE"""),"BLUE")</f>
        <v>BLUE</v>
      </c>
      <c r="G76" s="20" t="str">
        <f>IFERROR(__xludf.DUMMYFUNCTION("""COMPUTED_VALUE"""),"Uncle Sams Cider (04/04/2023)")</f>
        <v>Uncle Sams Cider (04/04/2023)</v>
      </c>
      <c r="H76" s="19"/>
    </row>
    <row r="77">
      <c r="A77" s="9"/>
      <c r="B77" s="15"/>
      <c r="C77" s="9">
        <f>IFERROR(__xludf.DUMMYFUNCTION("""COMPUTED_VALUE"""),45143.8376643402)</f>
        <v>45143.83766</v>
      </c>
      <c r="D77" s="15">
        <f>IFERROR(__xludf.DUMMYFUNCTION("""COMPUTED_VALUE"""),0.998)</f>
        <v>0.998</v>
      </c>
      <c r="E77" s="16">
        <f>IFERROR(__xludf.DUMMYFUNCTION("""COMPUTED_VALUE"""),72.0)</f>
        <v>72</v>
      </c>
      <c r="F77" s="19" t="str">
        <f>IFERROR(__xludf.DUMMYFUNCTION("""COMPUTED_VALUE"""),"BLUE")</f>
        <v>BLUE</v>
      </c>
      <c r="G77" s="20" t="str">
        <f>IFERROR(__xludf.DUMMYFUNCTION("""COMPUTED_VALUE"""),"Uncle Sams Cider (04/04/2023)")</f>
        <v>Uncle Sams Cider (04/04/2023)</v>
      </c>
      <c r="H77" s="19"/>
    </row>
    <row r="78">
      <c r="A78" s="9"/>
      <c r="B78" s="15"/>
      <c r="C78" s="9">
        <f>IFERROR(__xludf.DUMMYFUNCTION("""COMPUTED_VALUE"""),45143.8272452662)</f>
        <v>45143.82725</v>
      </c>
      <c r="D78" s="15">
        <f>IFERROR(__xludf.DUMMYFUNCTION("""COMPUTED_VALUE"""),0.998)</f>
        <v>0.998</v>
      </c>
      <c r="E78" s="16">
        <f>IFERROR(__xludf.DUMMYFUNCTION("""COMPUTED_VALUE"""),72.0)</f>
        <v>72</v>
      </c>
      <c r="F78" s="19" t="str">
        <f>IFERROR(__xludf.DUMMYFUNCTION("""COMPUTED_VALUE"""),"BLUE")</f>
        <v>BLUE</v>
      </c>
      <c r="G78" s="20" t="str">
        <f>IFERROR(__xludf.DUMMYFUNCTION("""COMPUTED_VALUE"""),"Uncle Sams Cider (04/04/2023)")</f>
        <v>Uncle Sams Cider (04/04/2023)</v>
      </c>
      <c r="H78" s="19"/>
    </row>
    <row r="79">
      <c r="A79" s="9"/>
      <c r="B79" s="15"/>
      <c r="C79" s="9">
        <f>IFERROR(__xludf.DUMMYFUNCTION("""COMPUTED_VALUE"""),45143.816823125)</f>
        <v>45143.81682</v>
      </c>
      <c r="D79" s="15">
        <f>IFERROR(__xludf.DUMMYFUNCTION("""COMPUTED_VALUE"""),0.998)</f>
        <v>0.998</v>
      </c>
      <c r="E79" s="16">
        <f>IFERROR(__xludf.DUMMYFUNCTION("""COMPUTED_VALUE"""),72.0)</f>
        <v>72</v>
      </c>
      <c r="F79" s="19" t="str">
        <f>IFERROR(__xludf.DUMMYFUNCTION("""COMPUTED_VALUE"""),"BLUE")</f>
        <v>BLUE</v>
      </c>
      <c r="G79" s="20" t="str">
        <f>IFERROR(__xludf.DUMMYFUNCTION("""COMPUTED_VALUE"""),"Uncle Sams Cider (04/04/2023)")</f>
        <v>Uncle Sams Cider (04/04/2023)</v>
      </c>
      <c r="H79" s="19"/>
    </row>
    <row r="80">
      <c r="A80" s="9"/>
      <c r="B80" s="15"/>
      <c r="C80" s="9">
        <f>IFERROR(__xludf.DUMMYFUNCTION("""COMPUTED_VALUE"""),45143.8064037384)</f>
        <v>45143.8064</v>
      </c>
      <c r="D80" s="15">
        <f>IFERROR(__xludf.DUMMYFUNCTION("""COMPUTED_VALUE"""),0.998)</f>
        <v>0.998</v>
      </c>
      <c r="E80" s="16">
        <f>IFERROR(__xludf.DUMMYFUNCTION("""COMPUTED_VALUE"""),72.0)</f>
        <v>72</v>
      </c>
      <c r="F80" s="19" t="str">
        <f>IFERROR(__xludf.DUMMYFUNCTION("""COMPUTED_VALUE"""),"BLUE")</f>
        <v>BLUE</v>
      </c>
      <c r="G80" s="20" t="str">
        <f>IFERROR(__xludf.DUMMYFUNCTION("""COMPUTED_VALUE"""),"Uncle Sams Cider (04/04/2023)")</f>
        <v>Uncle Sams Cider (04/04/2023)</v>
      </c>
      <c r="H80" s="19"/>
    </row>
    <row r="81">
      <c r="A81" s="9"/>
      <c r="B81" s="15"/>
      <c r="C81" s="9">
        <f>IFERROR(__xludf.DUMMYFUNCTION("""COMPUTED_VALUE"""),45143.7959831597)</f>
        <v>45143.79598</v>
      </c>
      <c r="D81" s="15">
        <f>IFERROR(__xludf.DUMMYFUNCTION("""COMPUTED_VALUE"""),0.998)</f>
        <v>0.998</v>
      </c>
      <c r="E81" s="16">
        <f>IFERROR(__xludf.DUMMYFUNCTION("""COMPUTED_VALUE"""),72.0)</f>
        <v>72</v>
      </c>
      <c r="F81" s="19" t="str">
        <f>IFERROR(__xludf.DUMMYFUNCTION("""COMPUTED_VALUE"""),"BLUE")</f>
        <v>BLUE</v>
      </c>
      <c r="G81" s="20" t="str">
        <f>IFERROR(__xludf.DUMMYFUNCTION("""COMPUTED_VALUE"""),"Uncle Sams Cider (04/04/2023)")</f>
        <v>Uncle Sams Cider (04/04/2023)</v>
      </c>
      <c r="H81" s="19"/>
    </row>
    <row r="82">
      <c r="A82" s="9"/>
      <c r="B82" s="15"/>
      <c r="C82" s="9">
        <f>IFERROR(__xludf.DUMMYFUNCTION("""COMPUTED_VALUE"""),45143.7855603703)</f>
        <v>45143.78556</v>
      </c>
      <c r="D82" s="15">
        <f>IFERROR(__xludf.DUMMYFUNCTION("""COMPUTED_VALUE"""),0.998)</f>
        <v>0.998</v>
      </c>
      <c r="E82" s="16">
        <f>IFERROR(__xludf.DUMMYFUNCTION("""COMPUTED_VALUE"""),72.0)</f>
        <v>72</v>
      </c>
      <c r="F82" s="19" t="str">
        <f>IFERROR(__xludf.DUMMYFUNCTION("""COMPUTED_VALUE"""),"BLUE")</f>
        <v>BLUE</v>
      </c>
      <c r="G82" s="20" t="str">
        <f>IFERROR(__xludf.DUMMYFUNCTION("""COMPUTED_VALUE"""),"Uncle Sams Cider (04/04/2023)")</f>
        <v>Uncle Sams Cider (04/04/2023)</v>
      </c>
      <c r="H82" s="19"/>
    </row>
    <row r="83">
      <c r="A83" s="9"/>
      <c r="B83" s="15"/>
      <c r="C83" s="9">
        <f>IFERROR(__xludf.DUMMYFUNCTION("""COMPUTED_VALUE"""),45143.7751368634)</f>
        <v>45143.77514</v>
      </c>
      <c r="D83" s="15">
        <f>IFERROR(__xludf.DUMMYFUNCTION("""COMPUTED_VALUE"""),0.998)</f>
        <v>0.998</v>
      </c>
      <c r="E83" s="16">
        <f>IFERROR(__xludf.DUMMYFUNCTION("""COMPUTED_VALUE"""),72.0)</f>
        <v>72</v>
      </c>
      <c r="F83" s="19" t="str">
        <f>IFERROR(__xludf.DUMMYFUNCTION("""COMPUTED_VALUE"""),"BLUE")</f>
        <v>BLUE</v>
      </c>
      <c r="G83" s="20" t="str">
        <f>IFERROR(__xludf.DUMMYFUNCTION("""COMPUTED_VALUE"""),"Uncle Sams Cider (04/04/2023)")</f>
        <v>Uncle Sams Cider (04/04/2023)</v>
      </c>
      <c r="H83" s="19"/>
    </row>
    <row r="84">
      <c r="A84" s="9"/>
      <c r="B84" s="15"/>
      <c r="C84" s="9">
        <f>IFERROR(__xludf.DUMMYFUNCTION("""COMPUTED_VALUE"""),45143.764714699)</f>
        <v>45143.76471</v>
      </c>
      <c r="D84" s="15">
        <f>IFERROR(__xludf.DUMMYFUNCTION("""COMPUTED_VALUE"""),0.998)</f>
        <v>0.998</v>
      </c>
      <c r="E84" s="16">
        <f>IFERROR(__xludf.DUMMYFUNCTION("""COMPUTED_VALUE"""),72.0)</f>
        <v>72</v>
      </c>
      <c r="F84" s="19" t="str">
        <f>IFERROR(__xludf.DUMMYFUNCTION("""COMPUTED_VALUE"""),"BLUE")</f>
        <v>BLUE</v>
      </c>
      <c r="G84" s="20" t="str">
        <f>IFERROR(__xludf.DUMMYFUNCTION("""COMPUTED_VALUE"""),"Uncle Sams Cider (04/04/2023)")</f>
        <v>Uncle Sams Cider (04/04/2023)</v>
      </c>
      <c r="H84" s="19"/>
    </row>
    <row r="85">
      <c r="A85" s="9"/>
      <c r="B85" s="15"/>
      <c r="C85" s="9">
        <f>IFERROR(__xludf.DUMMYFUNCTION("""COMPUTED_VALUE"""),45143.75429353)</f>
        <v>45143.75429</v>
      </c>
      <c r="D85" s="15">
        <f>IFERROR(__xludf.DUMMYFUNCTION("""COMPUTED_VALUE"""),0.998)</f>
        <v>0.998</v>
      </c>
      <c r="E85" s="16">
        <f>IFERROR(__xludf.DUMMYFUNCTION("""COMPUTED_VALUE"""),72.0)</f>
        <v>72</v>
      </c>
      <c r="F85" s="19" t="str">
        <f>IFERROR(__xludf.DUMMYFUNCTION("""COMPUTED_VALUE"""),"BLUE")</f>
        <v>BLUE</v>
      </c>
      <c r="G85" s="20" t="str">
        <f>IFERROR(__xludf.DUMMYFUNCTION("""COMPUTED_VALUE"""),"Uncle Sams Cider (04/04/2023)")</f>
        <v>Uncle Sams Cider (04/04/2023)</v>
      </c>
      <c r="H85" s="19"/>
    </row>
    <row r="86">
      <c r="A86" s="9"/>
      <c r="B86" s="15"/>
      <c r="C86" s="9">
        <f>IFERROR(__xludf.DUMMYFUNCTION("""COMPUTED_VALUE"""),45143.7438603819)</f>
        <v>45143.74386</v>
      </c>
      <c r="D86" s="15">
        <f>IFERROR(__xludf.DUMMYFUNCTION("""COMPUTED_VALUE"""),0.998)</f>
        <v>0.998</v>
      </c>
      <c r="E86" s="16">
        <f>IFERROR(__xludf.DUMMYFUNCTION("""COMPUTED_VALUE"""),72.0)</f>
        <v>72</v>
      </c>
      <c r="F86" s="19" t="str">
        <f>IFERROR(__xludf.DUMMYFUNCTION("""COMPUTED_VALUE"""),"BLUE")</f>
        <v>BLUE</v>
      </c>
      <c r="G86" s="20" t="str">
        <f>IFERROR(__xludf.DUMMYFUNCTION("""COMPUTED_VALUE"""),"Uncle Sams Cider (04/04/2023)")</f>
        <v>Uncle Sams Cider (04/04/2023)</v>
      </c>
      <c r="H86" s="19"/>
    </row>
    <row r="87">
      <c r="A87" s="9"/>
      <c r="B87" s="15"/>
      <c r="C87" s="9">
        <f>IFERROR(__xludf.DUMMYFUNCTION("""COMPUTED_VALUE"""),45143.7334389236)</f>
        <v>45143.73344</v>
      </c>
      <c r="D87" s="15">
        <f>IFERROR(__xludf.DUMMYFUNCTION("""COMPUTED_VALUE"""),0.998)</f>
        <v>0.998</v>
      </c>
      <c r="E87" s="16">
        <f>IFERROR(__xludf.DUMMYFUNCTION("""COMPUTED_VALUE"""),72.0)</f>
        <v>72</v>
      </c>
      <c r="F87" s="19" t="str">
        <f>IFERROR(__xludf.DUMMYFUNCTION("""COMPUTED_VALUE"""),"BLUE")</f>
        <v>BLUE</v>
      </c>
      <c r="G87" s="20" t="str">
        <f>IFERROR(__xludf.DUMMYFUNCTION("""COMPUTED_VALUE"""),"Uncle Sams Cider (04/04/2023)")</f>
        <v>Uncle Sams Cider (04/04/2023)</v>
      </c>
      <c r="H87" s="19"/>
    </row>
    <row r="88">
      <c r="A88" s="9"/>
      <c r="B88" s="15"/>
      <c r="C88" s="9">
        <f>IFERROR(__xludf.DUMMYFUNCTION("""COMPUTED_VALUE"""),45143.7229946412)</f>
        <v>45143.72299</v>
      </c>
      <c r="D88" s="15">
        <f>IFERROR(__xludf.DUMMYFUNCTION("""COMPUTED_VALUE"""),0.998)</f>
        <v>0.998</v>
      </c>
      <c r="E88" s="16">
        <f>IFERROR(__xludf.DUMMYFUNCTION("""COMPUTED_VALUE"""),72.0)</f>
        <v>72</v>
      </c>
      <c r="F88" s="19" t="str">
        <f>IFERROR(__xludf.DUMMYFUNCTION("""COMPUTED_VALUE"""),"BLUE")</f>
        <v>BLUE</v>
      </c>
      <c r="G88" s="20" t="str">
        <f>IFERROR(__xludf.DUMMYFUNCTION("""COMPUTED_VALUE"""),"Uncle Sams Cider (04/04/2023)")</f>
        <v>Uncle Sams Cider (04/04/2023)</v>
      </c>
      <c r="H88" s="19"/>
    </row>
    <row r="89">
      <c r="A89" s="9"/>
      <c r="B89" s="15"/>
      <c r="C89" s="9">
        <f>IFERROR(__xludf.DUMMYFUNCTION("""COMPUTED_VALUE"""),45143.712562824)</f>
        <v>45143.71256</v>
      </c>
      <c r="D89" s="15">
        <f>IFERROR(__xludf.DUMMYFUNCTION("""COMPUTED_VALUE"""),0.998)</f>
        <v>0.998</v>
      </c>
      <c r="E89" s="16">
        <f>IFERROR(__xludf.DUMMYFUNCTION("""COMPUTED_VALUE"""),72.0)</f>
        <v>72</v>
      </c>
      <c r="F89" s="19" t="str">
        <f>IFERROR(__xludf.DUMMYFUNCTION("""COMPUTED_VALUE"""),"BLUE")</f>
        <v>BLUE</v>
      </c>
      <c r="G89" s="20" t="str">
        <f>IFERROR(__xludf.DUMMYFUNCTION("""COMPUTED_VALUE"""),"Uncle Sams Cider (04/04/2023)")</f>
        <v>Uncle Sams Cider (04/04/2023)</v>
      </c>
      <c r="H89" s="19"/>
    </row>
    <row r="90">
      <c r="A90" s="9"/>
      <c r="B90" s="15"/>
      <c r="C90" s="9">
        <f>IFERROR(__xludf.DUMMYFUNCTION("""COMPUTED_VALUE"""),45143.7021410185)</f>
        <v>45143.70214</v>
      </c>
      <c r="D90" s="15">
        <f>IFERROR(__xludf.DUMMYFUNCTION("""COMPUTED_VALUE"""),0.998)</f>
        <v>0.998</v>
      </c>
      <c r="E90" s="16">
        <f>IFERROR(__xludf.DUMMYFUNCTION("""COMPUTED_VALUE"""),72.0)</f>
        <v>72</v>
      </c>
      <c r="F90" s="19" t="str">
        <f>IFERROR(__xludf.DUMMYFUNCTION("""COMPUTED_VALUE"""),"BLUE")</f>
        <v>BLUE</v>
      </c>
      <c r="G90" s="20" t="str">
        <f>IFERROR(__xludf.DUMMYFUNCTION("""COMPUTED_VALUE"""),"Uncle Sams Cider (04/04/2023)")</f>
        <v>Uncle Sams Cider (04/04/2023)</v>
      </c>
      <c r="H90" s="19"/>
    </row>
    <row r="91">
      <c r="A91" s="9"/>
      <c r="B91" s="15"/>
      <c r="C91" s="9">
        <f>IFERROR(__xludf.DUMMYFUNCTION("""COMPUTED_VALUE"""),45143.6917087268)</f>
        <v>45143.69171</v>
      </c>
      <c r="D91" s="15">
        <f>IFERROR(__xludf.DUMMYFUNCTION("""COMPUTED_VALUE"""),0.998)</f>
        <v>0.998</v>
      </c>
      <c r="E91" s="16">
        <f>IFERROR(__xludf.DUMMYFUNCTION("""COMPUTED_VALUE"""),72.0)</f>
        <v>72</v>
      </c>
      <c r="F91" s="19" t="str">
        <f>IFERROR(__xludf.DUMMYFUNCTION("""COMPUTED_VALUE"""),"BLUE")</f>
        <v>BLUE</v>
      </c>
      <c r="G91" s="20" t="str">
        <f>IFERROR(__xludf.DUMMYFUNCTION("""COMPUTED_VALUE"""),"Uncle Sams Cider (04/04/2023)")</f>
        <v>Uncle Sams Cider (04/04/2023)</v>
      </c>
      <c r="H91" s="19"/>
    </row>
    <row r="92">
      <c r="A92" s="9"/>
      <c r="B92" s="15"/>
      <c r="C92" s="9">
        <f>IFERROR(__xludf.DUMMYFUNCTION("""COMPUTED_VALUE"""),45143.6812883217)</f>
        <v>45143.68129</v>
      </c>
      <c r="D92" s="15">
        <f>IFERROR(__xludf.DUMMYFUNCTION("""COMPUTED_VALUE"""),0.998)</f>
        <v>0.998</v>
      </c>
      <c r="E92" s="16">
        <f>IFERROR(__xludf.DUMMYFUNCTION("""COMPUTED_VALUE"""),72.0)</f>
        <v>72</v>
      </c>
      <c r="F92" s="19" t="str">
        <f>IFERROR(__xludf.DUMMYFUNCTION("""COMPUTED_VALUE"""),"BLUE")</f>
        <v>BLUE</v>
      </c>
      <c r="G92" s="20" t="str">
        <f>IFERROR(__xludf.DUMMYFUNCTION("""COMPUTED_VALUE"""),"Uncle Sams Cider (04/04/2023)")</f>
        <v>Uncle Sams Cider (04/04/2023)</v>
      </c>
      <c r="H92" s="19"/>
    </row>
    <row r="93">
      <c r="A93" s="9"/>
      <c r="B93" s="15"/>
      <c r="C93" s="9">
        <f>IFERROR(__xludf.DUMMYFUNCTION("""COMPUTED_VALUE"""),45143.6708547222)</f>
        <v>45143.67085</v>
      </c>
      <c r="D93" s="15">
        <f>IFERROR(__xludf.DUMMYFUNCTION("""COMPUTED_VALUE"""),0.998)</f>
        <v>0.998</v>
      </c>
      <c r="E93" s="16">
        <f>IFERROR(__xludf.DUMMYFUNCTION("""COMPUTED_VALUE"""),72.0)</f>
        <v>72</v>
      </c>
      <c r="F93" s="19" t="str">
        <f>IFERROR(__xludf.DUMMYFUNCTION("""COMPUTED_VALUE"""),"BLUE")</f>
        <v>BLUE</v>
      </c>
      <c r="G93" s="20" t="str">
        <f>IFERROR(__xludf.DUMMYFUNCTION("""COMPUTED_VALUE"""),"Uncle Sams Cider (04/04/2023)")</f>
        <v>Uncle Sams Cider (04/04/2023)</v>
      </c>
      <c r="H93" s="19"/>
    </row>
    <row r="94">
      <c r="A94" s="9"/>
      <c r="B94" s="15"/>
      <c r="C94" s="9">
        <f>IFERROR(__xludf.DUMMYFUNCTION("""COMPUTED_VALUE"""),45143.6604208564)</f>
        <v>45143.66042</v>
      </c>
      <c r="D94" s="15">
        <f>IFERROR(__xludf.DUMMYFUNCTION("""COMPUTED_VALUE"""),0.998)</f>
        <v>0.998</v>
      </c>
      <c r="E94" s="16">
        <f>IFERROR(__xludf.DUMMYFUNCTION("""COMPUTED_VALUE"""),72.0)</f>
        <v>72</v>
      </c>
      <c r="F94" s="19" t="str">
        <f>IFERROR(__xludf.DUMMYFUNCTION("""COMPUTED_VALUE"""),"BLUE")</f>
        <v>BLUE</v>
      </c>
      <c r="G94" s="20" t="str">
        <f>IFERROR(__xludf.DUMMYFUNCTION("""COMPUTED_VALUE"""),"Uncle Sams Cider (04/04/2023)")</f>
        <v>Uncle Sams Cider (04/04/2023)</v>
      </c>
      <c r="H94" s="19"/>
    </row>
    <row r="95">
      <c r="A95" s="9"/>
      <c r="B95" s="15"/>
      <c r="C95" s="9">
        <f>IFERROR(__xludf.DUMMYFUNCTION("""COMPUTED_VALUE"""),45143.649998449)</f>
        <v>45143.65</v>
      </c>
      <c r="D95" s="15">
        <f>IFERROR(__xludf.DUMMYFUNCTION("""COMPUTED_VALUE"""),0.998)</f>
        <v>0.998</v>
      </c>
      <c r="E95" s="16">
        <f>IFERROR(__xludf.DUMMYFUNCTION("""COMPUTED_VALUE"""),72.0)</f>
        <v>72</v>
      </c>
      <c r="F95" s="19" t="str">
        <f>IFERROR(__xludf.DUMMYFUNCTION("""COMPUTED_VALUE"""),"BLUE")</f>
        <v>BLUE</v>
      </c>
      <c r="G95" s="20" t="str">
        <f>IFERROR(__xludf.DUMMYFUNCTION("""COMPUTED_VALUE"""),"Uncle Sams Cider (04/04/2023)")</f>
        <v>Uncle Sams Cider (04/04/2023)</v>
      </c>
      <c r="H95" s="19"/>
    </row>
    <row r="96">
      <c r="A96" s="9"/>
      <c r="B96" s="15"/>
      <c r="C96" s="9">
        <f>IFERROR(__xludf.DUMMYFUNCTION("""COMPUTED_VALUE"""),45143.6395668171)</f>
        <v>45143.63957</v>
      </c>
      <c r="D96" s="15">
        <f>IFERROR(__xludf.DUMMYFUNCTION("""COMPUTED_VALUE"""),0.998)</f>
        <v>0.998</v>
      </c>
      <c r="E96" s="16">
        <f>IFERROR(__xludf.DUMMYFUNCTION("""COMPUTED_VALUE"""),72.0)</f>
        <v>72</v>
      </c>
      <c r="F96" s="19" t="str">
        <f>IFERROR(__xludf.DUMMYFUNCTION("""COMPUTED_VALUE"""),"BLUE")</f>
        <v>BLUE</v>
      </c>
      <c r="G96" s="20" t="str">
        <f>IFERROR(__xludf.DUMMYFUNCTION("""COMPUTED_VALUE"""),"Uncle Sams Cider (04/04/2023)")</f>
        <v>Uncle Sams Cider (04/04/2023)</v>
      </c>
      <c r="H96" s="19"/>
    </row>
    <row r="97">
      <c r="A97" s="9"/>
      <c r="B97" s="15"/>
      <c r="C97" s="9">
        <f>IFERROR(__xludf.DUMMYFUNCTION("""COMPUTED_VALUE"""),45143.6291456134)</f>
        <v>45143.62915</v>
      </c>
      <c r="D97" s="15">
        <f>IFERROR(__xludf.DUMMYFUNCTION("""COMPUTED_VALUE"""),0.998)</f>
        <v>0.998</v>
      </c>
      <c r="E97" s="16">
        <f>IFERROR(__xludf.DUMMYFUNCTION("""COMPUTED_VALUE"""),72.0)</f>
        <v>72</v>
      </c>
      <c r="F97" s="19" t="str">
        <f>IFERROR(__xludf.DUMMYFUNCTION("""COMPUTED_VALUE"""),"BLUE")</f>
        <v>BLUE</v>
      </c>
      <c r="G97" s="20" t="str">
        <f>IFERROR(__xludf.DUMMYFUNCTION("""COMPUTED_VALUE"""),"Uncle Sams Cider (04/04/2023)")</f>
        <v>Uncle Sams Cider (04/04/2023)</v>
      </c>
      <c r="H97" s="19"/>
    </row>
    <row r="98">
      <c r="A98" s="9"/>
      <c r="B98" s="15"/>
      <c r="C98" s="9">
        <f>IFERROR(__xludf.DUMMYFUNCTION("""COMPUTED_VALUE"""),45143.6187242361)</f>
        <v>45143.61872</v>
      </c>
      <c r="D98" s="15">
        <f>IFERROR(__xludf.DUMMYFUNCTION("""COMPUTED_VALUE"""),0.998)</f>
        <v>0.998</v>
      </c>
      <c r="E98" s="16">
        <f>IFERROR(__xludf.DUMMYFUNCTION("""COMPUTED_VALUE"""),72.0)</f>
        <v>72</v>
      </c>
      <c r="F98" s="19" t="str">
        <f>IFERROR(__xludf.DUMMYFUNCTION("""COMPUTED_VALUE"""),"BLUE")</f>
        <v>BLUE</v>
      </c>
      <c r="G98" s="20" t="str">
        <f>IFERROR(__xludf.DUMMYFUNCTION("""COMPUTED_VALUE"""),"Uncle Sams Cider (04/04/2023)")</f>
        <v>Uncle Sams Cider (04/04/2023)</v>
      </c>
      <c r="H98" s="19"/>
    </row>
    <row r="99">
      <c r="A99" s="9"/>
      <c r="B99" s="15"/>
      <c r="C99" s="9">
        <f>IFERROR(__xludf.DUMMYFUNCTION("""COMPUTED_VALUE"""),45143.6082441319)</f>
        <v>45143.60824</v>
      </c>
      <c r="D99" s="15">
        <f>IFERROR(__xludf.DUMMYFUNCTION("""COMPUTED_VALUE"""),0.998)</f>
        <v>0.998</v>
      </c>
      <c r="E99" s="16">
        <f>IFERROR(__xludf.DUMMYFUNCTION("""COMPUTED_VALUE"""),72.0)</f>
        <v>72</v>
      </c>
      <c r="F99" s="19" t="str">
        <f>IFERROR(__xludf.DUMMYFUNCTION("""COMPUTED_VALUE"""),"BLUE")</f>
        <v>BLUE</v>
      </c>
      <c r="G99" s="20" t="str">
        <f>IFERROR(__xludf.DUMMYFUNCTION("""COMPUTED_VALUE"""),"Uncle Sams Cider (04/04/2023)")</f>
        <v>Uncle Sams Cider (04/04/2023)</v>
      </c>
      <c r="H99" s="19"/>
    </row>
    <row r="100">
      <c r="A100" s="9"/>
      <c r="B100" s="15"/>
      <c r="C100" s="9">
        <f>IFERROR(__xludf.DUMMYFUNCTION("""COMPUTED_VALUE"""),45143.5978122916)</f>
        <v>45143.59781</v>
      </c>
      <c r="D100" s="15">
        <f>IFERROR(__xludf.DUMMYFUNCTION("""COMPUTED_VALUE"""),0.998)</f>
        <v>0.998</v>
      </c>
      <c r="E100" s="16">
        <f>IFERROR(__xludf.DUMMYFUNCTION("""COMPUTED_VALUE"""),72.0)</f>
        <v>72</v>
      </c>
      <c r="F100" s="19" t="str">
        <f>IFERROR(__xludf.DUMMYFUNCTION("""COMPUTED_VALUE"""),"BLUE")</f>
        <v>BLUE</v>
      </c>
      <c r="G100" s="20" t="str">
        <f>IFERROR(__xludf.DUMMYFUNCTION("""COMPUTED_VALUE"""),"Uncle Sams Cider (04/04/2023)")</f>
        <v>Uncle Sams Cider (04/04/2023)</v>
      </c>
      <c r="H100" s="19"/>
    </row>
    <row r="101">
      <c r="A101" s="9"/>
      <c r="B101" s="15"/>
      <c r="C101" s="9">
        <f>IFERROR(__xludf.DUMMYFUNCTION("""COMPUTED_VALUE"""),45143.5873918055)</f>
        <v>45143.58739</v>
      </c>
      <c r="D101" s="15">
        <f>IFERROR(__xludf.DUMMYFUNCTION("""COMPUTED_VALUE"""),0.998)</f>
        <v>0.998</v>
      </c>
      <c r="E101" s="16">
        <f>IFERROR(__xludf.DUMMYFUNCTION("""COMPUTED_VALUE"""),72.0)</f>
        <v>72</v>
      </c>
      <c r="F101" s="19" t="str">
        <f>IFERROR(__xludf.DUMMYFUNCTION("""COMPUTED_VALUE"""),"BLUE")</f>
        <v>BLUE</v>
      </c>
      <c r="G101" s="20" t="str">
        <f>IFERROR(__xludf.DUMMYFUNCTION("""COMPUTED_VALUE"""),"Uncle Sams Cider (04/04/2023)")</f>
        <v>Uncle Sams Cider (04/04/2023)</v>
      </c>
      <c r="H101" s="19"/>
    </row>
    <row r="102">
      <c r="A102" s="9"/>
      <c r="B102" s="15"/>
      <c r="C102" s="9">
        <f>IFERROR(__xludf.DUMMYFUNCTION("""COMPUTED_VALUE"""),45143.5769606018)</f>
        <v>45143.57696</v>
      </c>
      <c r="D102" s="15">
        <f>IFERROR(__xludf.DUMMYFUNCTION("""COMPUTED_VALUE"""),0.998)</f>
        <v>0.998</v>
      </c>
      <c r="E102" s="16">
        <f>IFERROR(__xludf.DUMMYFUNCTION("""COMPUTED_VALUE"""),72.0)</f>
        <v>72</v>
      </c>
      <c r="F102" s="19" t="str">
        <f>IFERROR(__xludf.DUMMYFUNCTION("""COMPUTED_VALUE"""),"BLUE")</f>
        <v>BLUE</v>
      </c>
      <c r="G102" s="20" t="str">
        <f>IFERROR(__xludf.DUMMYFUNCTION("""COMPUTED_VALUE"""),"Uncle Sams Cider (04/04/2023)")</f>
        <v>Uncle Sams Cider (04/04/2023)</v>
      </c>
      <c r="H102" s="19"/>
    </row>
    <row r="103">
      <c r="A103" s="9"/>
      <c r="B103" s="15"/>
      <c r="C103" s="9">
        <f>IFERROR(__xludf.DUMMYFUNCTION("""COMPUTED_VALUE"""),45143.5665396759)</f>
        <v>45143.56654</v>
      </c>
      <c r="D103" s="15">
        <f>IFERROR(__xludf.DUMMYFUNCTION("""COMPUTED_VALUE"""),0.998)</f>
        <v>0.998</v>
      </c>
      <c r="E103" s="16">
        <f>IFERROR(__xludf.DUMMYFUNCTION("""COMPUTED_VALUE"""),72.0)</f>
        <v>72</v>
      </c>
      <c r="F103" s="19" t="str">
        <f>IFERROR(__xludf.DUMMYFUNCTION("""COMPUTED_VALUE"""),"BLUE")</f>
        <v>BLUE</v>
      </c>
      <c r="G103" s="20" t="str">
        <f>IFERROR(__xludf.DUMMYFUNCTION("""COMPUTED_VALUE"""),"Uncle Sams Cider (04/04/2023)")</f>
        <v>Uncle Sams Cider (04/04/2023)</v>
      </c>
      <c r="H103" s="19"/>
    </row>
    <row r="104">
      <c r="A104" s="9"/>
      <c r="B104" s="15"/>
      <c r="C104" s="9">
        <f>IFERROR(__xludf.DUMMYFUNCTION("""COMPUTED_VALUE"""),45143.5561193865)</f>
        <v>45143.55612</v>
      </c>
      <c r="D104" s="15">
        <f>IFERROR(__xludf.DUMMYFUNCTION("""COMPUTED_VALUE"""),0.998)</f>
        <v>0.998</v>
      </c>
      <c r="E104" s="16">
        <f>IFERROR(__xludf.DUMMYFUNCTION("""COMPUTED_VALUE"""),72.0)</f>
        <v>72</v>
      </c>
      <c r="F104" s="19" t="str">
        <f>IFERROR(__xludf.DUMMYFUNCTION("""COMPUTED_VALUE"""),"BLUE")</f>
        <v>BLUE</v>
      </c>
      <c r="G104" s="20" t="str">
        <f>IFERROR(__xludf.DUMMYFUNCTION("""COMPUTED_VALUE"""),"Uncle Sams Cider (04/04/2023)")</f>
        <v>Uncle Sams Cider (04/04/2023)</v>
      </c>
      <c r="H104" s="19"/>
    </row>
    <row r="105">
      <c r="A105" s="9"/>
      <c r="B105" s="15"/>
      <c r="C105" s="9">
        <f>IFERROR(__xludf.DUMMYFUNCTION("""COMPUTED_VALUE"""),45143.5456973842)</f>
        <v>45143.5457</v>
      </c>
      <c r="D105" s="15">
        <f>IFERROR(__xludf.DUMMYFUNCTION("""COMPUTED_VALUE"""),0.998)</f>
        <v>0.998</v>
      </c>
      <c r="E105" s="16">
        <f>IFERROR(__xludf.DUMMYFUNCTION("""COMPUTED_VALUE"""),72.0)</f>
        <v>72</v>
      </c>
      <c r="F105" s="19" t="str">
        <f>IFERROR(__xludf.DUMMYFUNCTION("""COMPUTED_VALUE"""),"BLUE")</f>
        <v>BLUE</v>
      </c>
      <c r="G105" s="20" t="str">
        <f>IFERROR(__xludf.DUMMYFUNCTION("""COMPUTED_VALUE"""),"Uncle Sams Cider (04/04/2023)")</f>
        <v>Uncle Sams Cider (04/04/2023)</v>
      </c>
      <c r="H105" s="19"/>
    </row>
    <row r="106">
      <c r="A106" s="9"/>
      <c r="B106" s="15"/>
      <c r="C106" s="9">
        <f>IFERROR(__xludf.DUMMYFUNCTION("""COMPUTED_VALUE"""),45143.5352773032)</f>
        <v>45143.53528</v>
      </c>
      <c r="D106" s="15">
        <f>IFERROR(__xludf.DUMMYFUNCTION("""COMPUTED_VALUE"""),0.998)</f>
        <v>0.998</v>
      </c>
      <c r="E106" s="16">
        <f>IFERROR(__xludf.DUMMYFUNCTION("""COMPUTED_VALUE"""),72.0)</f>
        <v>72</v>
      </c>
      <c r="F106" s="19" t="str">
        <f>IFERROR(__xludf.DUMMYFUNCTION("""COMPUTED_VALUE"""),"BLUE")</f>
        <v>BLUE</v>
      </c>
      <c r="G106" s="20" t="str">
        <f>IFERROR(__xludf.DUMMYFUNCTION("""COMPUTED_VALUE"""),"Uncle Sams Cider (04/04/2023)")</f>
        <v>Uncle Sams Cider (04/04/2023)</v>
      </c>
      <c r="H106" s="19"/>
    </row>
    <row r="107">
      <c r="A107" s="9"/>
      <c r="B107" s="15"/>
      <c r="C107" s="9">
        <f>IFERROR(__xludf.DUMMYFUNCTION("""COMPUTED_VALUE"""),45143.5248562384)</f>
        <v>45143.52486</v>
      </c>
      <c r="D107" s="15">
        <f>IFERROR(__xludf.DUMMYFUNCTION("""COMPUTED_VALUE"""),0.998)</f>
        <v>0.998</v>
      </c>
      <c r="E107" s="16">
        <f>IFERROR(__xludf.DUMMYFUNCTION("""COMPUTED_VALUE"""),72.0)</f>
        <v>72</v>
      </c>
      <c r="F107" s="19" t="str">
        <f>IFERROR(__xludf.DUMMYFUNCTION("""COMPUTED_VALUE"""),"BLUE")</f>
        <v>BLUE</v>
      </c>
      <c r="G107" s="20" t="str">
        <f>IFERROR(__xludf.DUMMYFUNCTION("""COMPUTED_VALUE"""),"Uncle Sams Cider (04/04/2023)")</f>
        <v>Uncle Sams Cider (04/04/2023)</v>
      </c>
      <c r="H107" s="19"/>
    </row>
    <row r="108">
      <c r="A108" s="9"/>
      <c r="B108" s="15"/>
      <c r="C108" s="9">
        <f>IFERROR(__xludf.DUMMYFUNCTION("""COMPUTED_VALUE"""),45143.5144342824)</f>
        <v>45143.51443</v>
      </c>
      <c r="D108" s="15">
        <f>IFERROR(__xludf.DUMMYFUNCTION("""COMPUTED_VALUE"""),0.998)</f>
        <v>0.998</v>
      </c>
      <c r="E108" s="16">
        <f>IFERROR(__xludf.DUMMYFUNCTION("""COMPUTED_VALUE"""),72.0)</f>
        <v>72</v>
      </c>
      <c r="F108" s="19" t="str">
        <f>IFERROR(__xludf.DUMMYFUNCTION("""COMPUTED_VALUE"""),"BLUE")</f>
        <v>BLUE</v>
      </c>
      <c r="G108" s="20" t="str">
        <f>IFERROR(__xludf.DUMMYFUNCTION("""COMPUTED_VALUE"""),"Uncle Sams Cider (04/04/2023)")</f>
        <v>Uncle Sams Cider (04/04/2023)</v>
      </c>
      <c r="H108" s="19"/>
    </row>
    <row r="109">
      <c r="A109" s="9"/>
      <c r="B109" s="15"/>
      <c r="C109" s="9">
        <f>IFERROR(__xludf.DUMMYFUNCTION("""COMPUTED_VALUE"""),45143.5040000347)</f>
        <v>45143.504</v>
      </c>
      <c r="D109" s="15">
        <f>IFERROR(__xludf.DUMMYFUNCTION("""COMPUTED_VALUE"""),0.998)</f>
        <v>0.998</v>
      </c>
      <c r="E109" s="16">
        <f>IFERROR(__xludf.DUMMYFUNCTION("""COMPUTED_VALUE"""),72.0)</f>
        <v>72</v>
      </c>
      <c r="F109" s="19" t="str">
        <f>IFERROR(__xludf.DUMMYFUNCTION("""COMPUTED_VALUE"""),"BLUE")</f>
        <v>BLUE</v>
      </c>
      <c r="G109" s="20" t="str">
        <f>IFERROR(__xludf.DUMMYFUNCTION("""COMPUTED_VALUE"""),"Uncle Sams Cider (04/04/2023)")</f>
        <v>Uncle Sams Cider (04/04/2023)</v>
      </c>
      <c r="H109" s="19"/>
    </row>
    <row r="110">
      <c r="A110" s="9"/>
      <c r="B110" s="15"/>
      <c r="C110" s="9">
        <f>IFERROR(__xludf.DUMMYFUNCTION("""COMPUTED_VALUE"""),45143.4935774652)</f>
        <v>45143.49358</v>
      </c>
      <c r="D110" s="15">
        <f>IFERROR(__xludf.DUMMYFUNCTION("""COMPUTED_VALUE"""),0.998)</f>
        <v>0.998</v>
      </c>
      <c r="E110" s="16">
        <f>IFERROR(__xludf.DUMMYFUNCTION("""COMPUTED_VALUE"""),72.0)</f>
        <v>72</v>
      </c>
      <c r="F110" s="19" t="str">
        <f>IFERROR(__xludf.DUMMYFUNCTION("""COMPUTED_VALUE"""),"BLUE")</f>
        <v>BLUE</v>
      </c>
      <c r="G110" s="20" t="str">
        <f>IFERROR(__xludf.DUMMYFUNCTION("""COMPUTED_VALUE"""),"Uncle Sams Cider (04/04/2023)")</f>
        <v>Uncle Sams Cider (04/04/2023)</v>
      </c>
      <c r="H110" s="19"/>
    </row>
    <row r="111">
      <c r="A111" s="9"/>
      <c r="B111" s="15"/>
      <c r="C111" s="9">
        <f>IFERROR(__xludf.DUMMYFUNCTION("""COMPUTED_VALUE"""),45143.4831575926)</f>
        <v>45143.48316</v>
      </c>
      <c r="D111" s="15">
        <f>IFERROR(__xludf.DUMMYFUNCTION("""COMPUTED_VALUE"""),0.998)</f>
        <v>0.998</v>
      </c>
      <c r="E111" s="16">
        <f>IFERROR(__xludf.DUMMYFUNCTION("""COMPUTED_VALUE"""),72.0)</f>
        <v>72</v>
      </c>
      <c r="F111" s="19" t="str">
        <f>IFERROR(__xludf.DUMMYFUNCTION("""COMPUTED_VALUE"""),"BLUE")</f>
        <v>BLUE</v>
      </c>
      <c r="G111" s="20" t="str">
        <f>IFERROR(__xludf.DUMMYFUNCTION("""COMPUTED_VALUE"""),"Uncle Sams Cider (04/04/2023)")</f>
        <v>Uncle Sams Cider (04/04/2023)</v>
      </c>
      <c r="H111" s="19"/>
    </row>
    <row r="112">
      <c r="A112" s="9"/>
      <c r="B112" s="15"/>
      <c r="C112" s="9">
        <f>IFERROR(__xludf.DUMMYFUNCTION("""COMPUTED_VALUE"""),45143.4727360532)</f>
        <v>45143.47274</v>
      </c>
      <c r="D112" s="15">
        <f>IFERROR(__xludf.DUMMYFUNCTION("""COMPUTED_VALUE"""),0.998)</f>
        <v>0.998</v>
      </c>
      <c r="E112" s="16">
        <f>IFERROR(__xludf.DUMMYFUNCTION("""COMPUTED_VALUE"""),72.0)</f>
        <v>72</v>
      </c>
      <c r="F112" s="19" t="str">
        <f>IFERROR(__xludf.DUMMYFUNCTION("""COMPUTED_VALUE"""),"BLUE")</f>
        <v>BLUE</v>
      </c>
      <c r="G112" s="20" t="str">
        <f>IFERROR(__xludf.DUMMYFUNCTION("""COMPUTED_VALUE"""),"Uncle Sams Cider (04/04/2023)")</f>
        <v>Uncle Sams Cider (04/04/2023)</v>
      </c>
      <c r="H112" s="19"/>
    </row>
    <row r="113">
      <c r="A113" s="9"/>
      <c r="B113" s="15"/>
      <c r="C113" s="9">
        <f>IFERROR(__xludf.DUMMYFUNCTION("""COMPUTED_VALUE"""),45143.462314537)</f>
        <v>45143.46231</v>
      </c>
      <c r="D113" s="15">
        <f>IFERROR(__xludf.DUMMYFUNCTION("""COMPUTED_VALUE"""),0.998)</f>
        <v>0.998</v>
      </c>
      <c r="E113" s="16">
        <f>IFERROR(__xludf.DUMMYFUNCTION("""COMPUTED_VALUE"""),72.0)</f>
        <v>72</v>
      </c>
      <c r="F113" s="19" t="str">
        <f>IFERROR(__xludf.DUMMYFUNCTION("""COMPUTED_VALUE"""),"BLUE")</f>
        <v>BLUE</v>
      </c>
      <c r="G113" s="20" t="str">
        <f>IFERROR(__xludf.DUMMYFUNCTION("""COMPUTED_VALUE"""),"Uncle Sams Cider (04/04/2023)")</f>
        <v>Uncle Sams Cider (04/04/2023)</v>
      </c>
      <c r="H113" s="19"/>
    </row>
    <row r="114">
      <c r="A114" s="9"/>
      <c r="B114" s="15"/>
      <c r="C114" s="9">
        <f>IFERROR(__xludf.DUMMYFUNCTION("""COMPUTED_VALUE"""),45143.4518930324)</f>
        <v>45143.45189</v>
      </c>
      <c r="D114" s="15">
        <f>IFERROR(__xludf.DUMMYFUNCTION("""COMPUTED_VALUE"""),0.998)</f>
        <v>0.998</v>
      </c>
      <c r="E114" s="16">
        <f>IFERROR(__xludf.DUMMYFUNCTION("""COMPUTED_VALUE"""),72.0)</f>
        <v>72</v>
      </c>
      <c r="F114" s="19" t="str">
        <f>IFERROR(__xludf.DUMMYFUNCTION("""COMPUTED_VALUE"""),"BLUE")</f>
        <v>BLUE</v>
      </c>
      <c r="G114" s="20" t="str">
        <f>IFERROR(__xludf.DUMMYFUNCTION("""COMPUTED_VALUE"""),"Uncle Sams Cider (04/04/2023)")</f>
        <v>Uncle Sams Cider (04/04/2023)</v>
      </c>
      <c r="H114" s="19"/>
    </row>
    <row r="115">
      <c r="A115" s="9"/>
      <c r="B115" s="15"/>
      <c r="C115" s="9">
        <f>IFERROR(__xludf.DUMMYFUNCTION("""COMPUTED_VALUE"""),45143.44147353)</f>
        <v>45143.44147</v>
      </c>
      <c r="D115" s="15">
        <f>IFERROR(__xludf.DUMMYFUNCTION("""COMPUTED_VALUE"""),0.998)</f>
        <v>0.998</v>
      </c>
      <c r="E115" s="16">
        <f>IFERROR(__xludf.DUMMYFUNCTION("""COMPUTED_VALUE"""),72.0)</f>
        <v>72</v>
      </c>
      <c r="F115" s="19" t="str">
        <f>IFERROR(__xludf.DUMMYFUNCTION("""COMPUTED_VALUE"""),"BLUE")</f>
        <v>BLUE</v>
      </c>
      <c r="G115" s="20" t="str">
        <f>IFERROR(__xludf.DUMMYFUNCTION("""COMPUTED_VALUE"""),"Uncle Sams Cider (04/04/2023)")</f>
        <v>Uncle Sams Cider (04/04/2023)</v>
      </c>
      <c r="H115" s="19"/>
    </row>
    <row r="116">
      <c r="A116" s="9"/>
      <c r="B116" s="15"/>
      <c r="C116" s="9">
        <f>IFERROR(__xludf.DUMMYFUNCTION("""COMPUTED_VALUE"""),45143.431053125)</f>
        <v>45143.43105</v>
      </c>
      <c r="D116" s="15">
        <f>IFERROR(__xludf.DUMMYFUNCTION("""COMPUTED_VALUE"""),0.998)</f>
        <v>0.998</v>
      </c>
      <c r="E116" s="16">
        <f>IFERROR(__xludf.DUMMYFUNCTION("""COMPUTED_VALUE"""),72.0)</f>
        <v>72</v>
      </c>
      <c r="F116" s="19" t="str">
        <f>IFERROR(__xludf.DUMMYFUNCTION("""COMPUTED_VALUE"""),"BLUE")</f>
        <v>BLUE</v>
      </c>
      <c r="G116" s="20" t="str">
        <f>IFERROR(__xludf.DUMMYFUNCTION("""COMPUTED_VALUE"""),"Uncle Sams Cider (04/04/2023)")</f>
        <v>Uncle Sams Cider (04/04/2023)</v>
      </c>
      <c r="H116" s="19"/>
    </row>
    <row r="117">
      <c r="A117" s="9"/>
      <c r="B117" s="15"/>
      <c r="C117" s="9">
        <f>IFERROR(__xludf.DUMMYFUNCTION("""COMPUTED_VALUE"""),45143.4206316666)</f>
        <v>45143.42063</v>
      </c>
      <c r="D117" s="15">
        <f>IFERROR(__xludf.DUMMYFUNCTION("""COMPUTED_VALUE"""),0.998)</f>
        <v>0.998</v>
      </c>
      <c r="E117" s="16">
        <f>IFERROR(__xludf.DUMMYFUNCTION("""COMPUTED_VALUE"""),72.0)</f>
        <v>72</v>
      </c>
      <c r="F117" s="19" t="str">
        <f>IFERROR(__xludf.DUMMYFUNCTION("""COMPUTED_VALUE"""),"BLUE")</f>
        <v>BLUE</v>
      </c>
      <c r="G117" s="20" t="str">
        <f>IFERROR(__xludf.DUMMYFUNCTION("""COMPUTED_VALUE"""),"Uncle Sams Cider (04/04/2023)")</f>
        <v>Uncle Sams Cider (04/04/2023)</v>
      </c>
      <c r="H117" s="19"/>
    </row>
    <row r="118">
      <c r="A118" s="9"/>
      <c r="B118" s="15"/>
      <c r="C118" s="9">
        <f>IFERROR(__xludf.DUMMYFUNCTION("""COMPUTED_VALUE"""),45143.4102098032)</f>
        <v>45143.41021</v>
      </c>
      <c r="D118" s="15">
        <f>IFERROR(__xludf.DUMMYFUNCTION("""COMPUTED_VALUE"""),0.998)</f>
        <v>0.998</v>
      </c>
      <c r="E118" s="16">
        <f>IFERROR(__xludf.DUMMYFUNCTION("""COMPUTED_VALUE"""),72.0)</f>
        <v>72</v>
      </c>
      <c r="F118" s="19" t="str">
        <f>IFERROR(__xludf.DUMMYFUNCTION("""COMPUTED_VALUE"""),"BLUE")</f>
        <v>BLUE</v>
      </c>
      <c r="G118" s="20" t="str">
        <f>IFERROR(__xludf.DUMMYFUNCTION("""COMPUTED_VALUE"""),"Uncle Sams Cider (04/04/2023)")</f>
        <v>Uncle Sams Cider (04/04/2023)</v>
      </c>
      <c r="H118" s="19"/>
    </row>
    <row r="119">
      <c r="A119" s="9"/>
      <c r="B119" s="15"/>
      <c r="C119" s="9">
        <f>IFERROR(__xludf.DUMMYFUNCTION("""COMPUTED_VALUE"""),45143.3997901504)</f>
        <v>45143.39979</v>
      </c>
      <c r="D119" s="15">
        <f>IFERROR(__xludf.DUMMYFUNCTION("""COMPUTED_VALUE"""),0.998)</f>
        <v>0.998</v>
      </c>
      <c r="E119" s="16">
        <f>IFERROR(__xludf.DUMMYFUNCTION("""COMPUTED_VALUE"""),72.0)</f>
        <v>72</v>
      </c>
      <c r="F119" s="19" t="str">
        <f>IFERROR(__xludf.DUMMYFUNCTION("""COMPUTED_VALUE"""),"BLUE")</f>
        <v>BLUE</v>
      </c>
      <c r="G119" s="20" t="str">
        <f>IFERROR(__xludf.DUMMYFUNCTION("""COMPUTED_VALUE"""),"Uncle Sams Cider (04/04/2023)")</f>
        <v>Uncle Sams Cider (04/04/2023)</v>
      </c>
      <c r="H119" s="19"/>
    </row>
    <row r="120">
      <c r="A120" s="9"/>
      <c r="B120" s="15"/>
      <c r="C120" s="9">
        <f>IFERROR(__xludf.DUMMYFUNCTION("""COMPUTED_VALUE"""),45143.3893690856)</f>
        <v>45143.38937</v>
      </c>
      <c r="D120" s="15">
        <f>IFERROR(__xludf.DUMMYFUNCTION("""COMPUTED_VALUE"""),0.998)</f>
        <v>0.998</v>
      </c>
      <c r="E120" s="16">
        <f>IFERROR(__xludf.DUMMYFUNCTION("""COMPUTED_VALUE"""),72.0)</f>
        <v>72</v>
      </c>
      <c r="F120" s="19" t="str">
        <f>IFERROR(__xludf.DUMMYFUNCTION("""COMPUTED_VALUE"""),"BLUE")</f>
        <v>BLUE</v>
      </c>
      <c r="G120" s="20" t="str">
        <f>IFERROR(__xludf.DUMMYFUNCTION("""COMPUTED_VALUE"""),"Uncle Sams Cider (04/04/2023)")</f>
        <v>Uncle Sams Cider (04/04/2023)</v>
      </c>
      <c r="H120" s="19"/>
    </row>
    <row r="121">
      <c r="A121" s="9"/>
      <c r="B121" s="15"/>
      <c r="C121" s="9">
        <f>IFERROR(__xludf.DUMMYFUNCTION("""COMPUTED_VALUE"""),45143.3789482754)</f>
        <v>45143.37895</v>
      </c>
      <c r="D121" s="15">
        <f>IFERROR(__xludf.DUMMYFUNCTION("""COMPUTED_VALUE"""),0.998)</f>
        <v>0.998</v>
      </c>
      <c r="E121" s="16">
        <f>IFERROR(__xludf.DUMMYFUNCTION("""COMPUTED_VALUE"""),72.0)</f>
        <v>72</v>
      </c>
      <c r="F121" s="19" t="str">
        <f>IFERROR(__xludf.DUMMYFUNCTION("""COMPUTED_VALUE"""),"BLUE")</f>
        <v>BLUE</v>
      </c>
      <c r="G121" s="20" t="str">
        <f>IFERROR(__xludf.DUMMYFUNCTION("""COMPUTED_VALUE"""),"Uncle Sams Cider (04/04/2023)")</f>
        <v>Uncle Sams Cider (04/04/2023)</v>
      </c>
      <c r="H121" s="19"/>
    </row>
    <row r="122">
      <c r="A122" s="9"/>
      <c r="B122" s="15"/>
      <c r="C122" s="9">
        <f>IFERROR(__xludf.DUMMYFUNCTION("""COMPUTED_VALUE"""),45143.3685267476)</f>
        <v>45143.36853</v>
      </c>
      <c r="D122" s="15">
        <f>IFERROR(__xludf.DUMMYFUNCTION("""COMPUTED_VALUE"""),0.998)</f>
        <v>0.998</v>
      </c>
      <c r="E122" s="16">
        <f>IFERROR(__xludf.DUMMYFUNCTION("""COMPUTED_VALUE"""),72.0)</f>
        <v>72</v>
      </c>
      <c r="F122" s="19" t="str">
        <f>IFERROR(__xludf.DUMMYFUNCTION("""COMPUTED_VALUE"""),"BLUE")</f>
        <v>BLUE</v>
      </c>
      <c r="G122" s="20" t="str">
        <f>IFERROR(__xludf.DUMMYFUNCTION("""COMPUTED_VALUE"""),"Uncle Sams Cider (04/04/2023)")</f>
        <v>Uncle Sams Cider (04/04/2023)</v>
      </c>
      <c r="H122" s="19"/>
    </row>
    <row r="123">
      <c r="A123" s="9"/>
      <c r="B123" s="15"/>
      <c r="C123" s="9">
        <f>IFERROR(__xludf.DUMMYFUNCTION("""COMPUTED_VALUE"""),45143.3581038773)</f>
        <v>45143.3581</v>
      </c>
      <c r="D123" s="15">
        <f>IFERROR(__xludf.DUMMYFUNCTION("""COMPUTED_VALUE"""),0.998)</f>
        <v>0.998</v>
      </c>
      <c r="E123" s="16">
        <f>IFERROR(__xludf.DUMMYFUNCTION("""COMPUTED_VALUE"""),72.0)</f>
        <v>72</v>
      </c>
      <c r="F123" s="19" t="str">
        <f>IFERROR(__xludf.DUMMYFUNCTION("""COMPUTED_VALUE"""),"BLUE")</f>
        <v>BLUE</v>
      </c>
      <c r="G123" s="20" t="str">
        <f>IFERROR(__xludf.DUMMYFUNCTION("""COMPUTED_VALUE"""),"Uncle Sams Cider (04/04/2023)")</f>
        <v>Uncle Sams Cider (04/04/2023)</v>
      </c>
      <c r="H123" s="19"/>
    </row>
    <row r="124">
      <c r="A124" s="9"/>
      <c r="B124" s="15"/>
      <c r="C124" s="9">
        <f>IFERROR(__xludf.DUMMYFUNCTION("""COMPUTED_VALUE"""),45143.3476835648)</f>
        <v>45143.34768</v>
      </c>
      <c r="D124" s="15">
        <f>IFERROR(__xludf.DUMMYFUNCTION("""COMPUTED_VALUE"""),0.998)</f>
        <v>0.998</v>
      </c>
      <c r="E124" s="16">
        <f>IFERROR(__xludf.DUMMYFUNCTION("""COMPUTED_VALUE"""),72.0)</f>
        <v>72</v>
      </c>
      <c r="F124" s="19" t="str">
        <f>IFERROR(__xludf.DUMMYFUNCTION("""COMPUTED_VALUE"""),"BLUE")</f>
        <v>BLUE</v>
      </c>
      <c r="G124" s="20" t="str">
        <f>IFERROR(__xludf.DUMMYFUNCTION("""COMPUTED_VALUE"""),"Uncle Sams Cider (04/04/2023)")</f>
        <v>Uncle Sams Cider (04/04/2023)</v>
      </c>
      <c r="H124" s="19"/>
    </row>
    <row r="125">
      <c r="A125" s="9"/>
      <c r="B125" s="15"/>
      <c r="C125" s="9">
        <f>IFERROR(__xludf.DUMMYFUNCTION("""COMPUTED_VALUE"""),45143.3372517592)</f>
        <v>45143.33725</v>
      </c>
      <c r="D125" s="15">
        <f>IFERROR(__xludf.DUMMYFUNCTION("""COMPUTED_VALUE"""),0.998)</f>
        <v>0.998</v>
      </c>
      <c r="E125" s="16">
        <f>IFERROR(__xludf.DUMMYFUNCTION("""COMPUTED_VALUE"""),72.0)</f>
        <v>72</v>
      </c>
      <c r="F125" s="19" t="str">
        <f>IFERROR(__xludf.DUMMYFUNCTION("""COMPUTED_VALUE"""),"BLUE")</f>
        <v>BLUE</v>
      </c>
      <c r="G125" s="20" t="str">
        <f>IFERROR(__xludf.DUMMYFUNCTION("""COMPUTED_VALUE"""),"Uncle Sams Cider (04/04/2023)")</f>
        <v>Uncle Sams Cider (04/04/2023)</v>
      </c>
      <c r="H125" s="19"/>
    </row>
    <row r="126">
      <c r="A126" s="9"/>
      <c r="B126" s="15"/>
      <c r="C126" s="9">
        <f>IFERROR(__xludf.DUMMYFUNCTION("""COMPUTED_VALUE"""),45143.3268308912)</f>
        <v>45143.32683</v>
      </c>
      <c r="D126" s="15">
        <f>IFERROR(__xludf.DUMMYFUNCTION("""COMPUTED_VALUE"""),0.998)</f>
        <v>0.998</v>
      </c>
      <c r="E126" s="16">
        <f>IFERROR(__xludf.DUMMYFUNCTION("""COMPUTED_VALUE"""),72.0)</f>
        <v>72</v>
      </c>
      <c r="F126" s="19" t="str">
        <f>IFERROR(__xludf.DUMMYFUNCTION("""COMPUTED_VALUE"""),"BLUE")</f>
        <v>BLUE</v>
      </c>
      <c r="G126" s="20" t="str">
        <f>IFERROR(__xludf.DUMMYFUNCTION("""COMPUTED_VALUE"""),"Uncle Sams Cider (04/04/2023)")</f>
        <v>Uncle Sams Cider (04/04/2023)</v>
      </c>
      <c r="H126" s="19"/>
    </row>
    <row r="127">
      <c r="A127" s="9"/>
      <c r="B127" s="15"/>
      <c r="C127" s="9">
        <f>IFERROR(__xludf.DUMMYFUNCTION("""COMPUTED_VALUE"""),45143.3164100231)</f>
        <v>45143.31641</v>
      </c>
      <c r="D127" s="15">
        <f>IFERROR(__xludf.DUMMYFUNCTION("""COMPUTED_VALUE"""),0.998)</f>
        <v>0.998</v>
      </c>
      <c r="E127" s="16">
        <f>IFERROR(__xludf.DUMMYFUNCTION("""COMPUTED_VALUE"""),72.0)</f>
        <v>72</v>
      </c>
      <c r="F127" s="19" t="str">
        <f>IFERROR(__xludf.DUMMYFUNCTION("""COMPUTED_VALUE"""),"BLUE")</f>
        <v>BLUE</v>
      </c>
      <c r="G127" s="20" t="str">
        <f>IFERROR(__xludf.DUMMYFUNCTION("""COMPUTED_VALUE"""),"Uncle Sams Cider (04/04/2023)")</f>
        <v>Uncle Sams Cider (04/04/2023)</v>
      </c>
      <c r="H127" s="19"/>
    </row>
    <row r="128">
      <c r="A128" s="9"/>
      <c r="B128" s="15"/>
      <c r="C128" s="9">
        <f>IFERROR(__xludf.DUMMYFUNCTION("""COMPUTED_VALUE"""),45143.3059897222)</f>
        <v>45143.30599</v>
      </c>
      <c r="D128" s="15">
        <f>IFERROR(__xludf.DUMMYFUNCTION("""COMPUTED_VALUE"""),0.998)</f>
        <v>0.998</v>
      </c>
      <c r="E128" s="16">
        <f>IFERROR(__xludf.DUMMYFUNCTION("""COMPUTED_VALUE"""),72.0)</f>
        <v>72</v>
      </c>
      <c r="F128" s="19" t="str">
        <f>IFERROR(__xludf.DUMMYFUNCTION("""COMPUTED_VALUE"""),"BLUE")</f>
        <v>BLUE</v>
      </c>
      <c r="G128" s="20" t="str">
        <f>IFERROR(__xludf.DUMMYFUNCTION("""COMPUTED_VALUE"""),"Uncle Sams Cider (04/04/2023)")</f>
        <v>Uncle Sams Cider (04/04/2023)</v>
      </c>
      <c r="H128" s="19"/>
    </row>
    <row r="129">
      <c r="A129" s="9"/>
      <c r="B129" s="15"/>
      <c r="C129" s="9">
        <f>IFERROR(__xludf.DUMMYFUNCTION("""COMPUTED_VALUE"""),45143.2955670254)</f>
        <v>45143.29557</v>
      </c>
      <c r="D129" s="15">
        <f>IFERROR(__xludf.DUMMYFUNCTION("""COMPUTED_VALUE"""),0.998)</f>
        <v>0.998</v>
      </c>
      <c r="E129" s="16">
        <f>IFERROR(__xludf.DUMMYFUNCTION("""COMPUTED_VALUE"""),72.0)</f>
        <v>72</v>
      </c>
      <c r="F129" s="19" t="str">
        <f>IFERROR(__xludf.DUMMYFUNCTION("""COMPUTED_VALUE"""),"BLUE")</f>
        <v>BLUE</v>
      </c>
      <c r="G129" s="20" t="str">
        <f>IFERROR(__xludf.DUMMYFUNCTION("""COMPUTED_VALUE"""),"Uncle Sams Cider (04/04/2023)")</f>
        <v>Uncle Sams Cider (04/04/2023)</v>
      </c>
      <c r="H129" s="19"/>
    </row>
    <row r="130">
      <c r="A130" s="9"/>
      <c r="B130" s="15"/>
      <c r="C130" s="9">
        <f>IFERROR(__xludf.DUMMYFUNCTION("""COMPUTED_VALUE"""),45143.2851464583)</f>
        <v>45143.28515</v>
      </c>
      <c r="D130" s="15">
        <f>IFERROR(__xludf.DUMMYFUNCTION("""COMPUTED_VALUE"""),0.998)</f>
        <v>0.998</v>
      </c>
      <c r="E130" s="16">
        <f>IFERROR(__xludf.DUMMYFUNCTION("""COMPUTED_VALUE"""),72.0)</f>
        <v>72</v>
      </c>
      <c r="F130" s="19" t="str">
        <f>IFERROR(__xludf.DUMMYFUNCTION("""COMPUTED_VALUE"""),"BLUE")</f>
        <v>BLUE</v>
      </c>
      <c r="G130" s="20" t="str">
        <f>IFERROR(__xludf.DUMMYFUNCTION("""COMPUTED_VALUE"""),"Uncle Sams Cider (04/04/2023)")</f>
        <v>Uncle Sams Cider (04/04/2023)</v>
      </c>
      <c r="H130" s="19"/>
    </row>
    <row r="131">
      <c r="A131" s="9"/>
      <c r="B131" s="15"/>
      <c r="C131" s="9">
        <f>IFERROR(__xludf.DUMMYFUNCTION("""COMPUTED_VALUE"""),45143.2747137962)</f>
        <v>45143.27471</v>
      </c>
      <c r="D131" s="15">
        <f>IFERROR(__xludf.DUMMYFUNCTION("""COMPUTED_VALUE"""),0.998)</f>
        <v>0.998</v>
      </c>
      <c r="E131" s="16">
        <f>IFERROR(__xludf.DUMMYFUNCTION("""COMPUTED_VALUE"""),72.0)</f>
        <v>72</v>
      </c>
      <c r="F131" s="19" t="str">
        <f>IFERROR(__xludf.DUMMYFUNCTION("""COMPUTED_VALUE"""),"BLUE")</f>
        <v>BLUE</v>
      </c>
      <c r="G131" s="20" t="str">
        <f>IFERROR(__xludf.DUMMYFUNCTION("""COMPUTED_VALUE"""),"Uncle Sams Cider (04/04/2023)")</f>
        <v>Uncle Sams Cider (04/04/2023)</v>
      </c>
      <c r="H131" s="19"/>
    </row>
    <row r="132">
      <c r="A132" s="9"/>
      <c r="B132" s="15"/>
      <c r="C132" s="9">
        <f>IFERROR(__xludf.DUMMYFUNCTION("""COMPUTED_VALUE"""),45143.2642906018)</f>
        <v>45143.26429</v>
      </c>
      <c r="D132" s="15">
        <f>IFERROR(__xludf.DUMMYFUNCTION("""COMPUTED_VALUE"""),0.998)</f>
        <v>0.998</v>
      </c>
      <c r="E132" s="16">
        <f>IFERROR(__xludf.DUMMYFUNCTION("""COMPUTED_VALUE"""),72.0)</f>
        <v>72</v>
      </c>
      <c r="F132" s="19" t="str">
        <f>IFERROR(__xludf.DUMMYFUNCTION("""COMPUTED_VALUE"""),"BLUE")</f>
        <v>BLUE</v>
      </c>
      <c r="G132" s="20" t="str">
        <f>IFERROR(__xludf.DUMMYFUNCTION("""COMPUTED_VALUE"""),"Uncle Sams Cider (04/04/2023)")</f>
        <v>Uncle Sams Cider (04/04/2023)</v>
      </c>
      <c r="H132" s="19"/>
    </row>
    <row r="133">
      <c r="A133" s="9"/>
      <c r="B133" s="15"/>
      <c r="C133" s="9">
        <f>IFERROR(__xludf.DUMMYFUNCTION("""COMPUTED_VALUE"""),45143.2538680208)</f>
        <v>45143.25387</v>
      </c>
      <c r="D133" s="15">
        <f>IFERROR(__xludf.DUMMYFUNCTION("""COMPUTED_VALUE"""),0.998)</f>
        <v>0.998</v>
      </c>
      <c r="E133" s="16">
        <f>IFERROR(__xludf.DUMMYFUNCTION("""COMPUTED_VALUE"""),72.0)</f>
        <v>72</v>
      </c>
      <c r="F133" s="19" t="str">
        <f>IFERROR(__xludf.DUMMYFUNCTION("""COMPUTED_VALUE"""),"BLUE")</f>
        <v>BLUE</v>
      </c>
      <c r="G133" s="20" t="str">
        <f>IFERROR(__xludf.DUMMYFUNCTION("""COMPUTED_VALUE"""),"Uncle Sams Cider (04/04/2023)")</f>
        <v>Uncle Sams Cider (04/04/2023)</v>
      </c>
      <c r="H133" s="19"/>
    </row>
    <row r="134">
      <c r="A134" s="9"/>
      <c r="B134" s="15"/>
      <c r="C134" s="9">
        <f>IFERROR(__xludf.DUMMYFUNCTION("""COMPUTED_VALUE"""),45143.2434494213)</f>
        <v>45143.24345</v>
      </c>
      <c r="D134" s="15">
        <f>IFERROR(__xludf.DUMMYFUNCTION("""COMPUTED_VALUE"""),0.998)</f>
        <v>0.998</v>
      </c>
      <c r="E134" s="16">
        <f>IFERROR(__xludf.DUMMYFUNCTION("""COMPUTED_VALUE"""),72.0)</f>
        <v>72</v>
      </c>
      <c r="F134" s="19" t="str">
        <f>IFERROR(__xludf.DUMMYFUNCTION("""COMPUTED_VALUE"""),"BLUE")</f>
        <v>BLUE</v>
      </c>
      <c r="G134" s="20" t="str">
        <f>IFERROR(__xludf.DUMMYFUNCTION("""COMPUTED_VALUE"""),"Uncle Sams Cider (04/04/2023)")</f>
        <v>Uncle Sams Cider (04/04/2023)</v>
      </c>
      <c r="H134" s="19"/>
    </row>
    <row r="135">
      <c r="A135" s="9"/>
      <c r="B135" s="15"/>
      <c r="C135" s="9">
        <f>IFERROR(__xludf.DUMMYFUNCTION("""COMPUTED_VALUE"""),45143.2330286226)</f>
        <v>45143.23303</v>
      </c>
      <c r="D135" s="15">
        <f>IFERROR(__xludf.DUMMYFUNCTION("""COMPUTED_VALUE"""),0.998)</f>
        <v>0.998</v>
      </c>
      <c r="E135" s="16">
        <f>IFERROR(__xludf.DUMMYFUNCTION("""COMPUTED_VALUE"""),72.0)</f>
        <v>72</v>
      </c>
      <c r="F135" s="19" t="str">
        <f>IFERROR(__xludf.DUMMYFUNCTION("""COMPUTED_VALUE"""),"BLUE")</f>
        <v>BLUE</v>
      </c>
      <c r="G135" s="20" t="str">
        <f>IFERROR(__xludf.DUMMYFUNCTION("""COMPUTED_VALUE"""),"Uncle Sams Cider (04/04/2023)")</f>
        <v>Uncle Sams Cider (04/04/2023)</v>
      </c>
      <c r="H135" s="19"/>
    </row>
    <row r="136">
      <c r="A136" s="9"/>
      <c r="B136" s="15"/>
      <c r="C136" s="9">
        <f>IFERROR(__xludf.DUMMYFUNCTION("""COMPUTED_VALUE"""),45143.2225954513)</f>
        <v>45143.2226</v>
      </c>
      <c r="D136" s="15">
        <f>IFERROR(__xludf.DUMMYFUNCTION("""COMPUTED_VALUE"""),0.998)</f>
        <v>0.998</v>
      </c>
      <c r="E136" s="16">
        <f>IFERROR(__xludf.DUMMYFUNCTION("""COMPUTED_VALUE"""),72.0)</f>
        <v>72</v>
      </c>
      <c r="F136" s="19" t="str">
        <f>IFERROR(__xludf.DUMMYFUNCTION("""COMPUTED_VALUE"""),"BLUE")</f>
        <v>BLUE</v>
      </c>
      <c r="G136" s="20" t="str">
        <f>IFERROR(__xludf.DUMMYFUNCTION("""COMPUTED_VALUE"""),"Uncle Sams Cider (04/04/2023)")</f>
        <v>Uncle Sams Cider (04/04/2023)</v>
      </c>
      <c r="H136" s="19"/>
    </row>
    <row r="137">
      <c r="A137" s="9"/>
      <c r="B137" s="15"/>
      <c r="C137" s="9">
        <f>IFERROR(__xludf.DUMMYFUNCTION("""COMPUTED_VALUE"""),45143.2121729514)</f>
        <v>45143.21217</v>
      </c>
      <c r="D137" s="15">
        <f>IFERROR(__xludf.DUMMYFUNCTION("""COMPUTED_VALUE"""),0.998)</f>
        <v>0.998</v>
      </c>
      <c r="E137" s="16">
        <f>IFERROR(__xludf.DUMMYFUNCTION("""COMPUTED_VALUE"""),72.0)</f>
        <v>72</v>
      </c>
      <c r="F137" s="19" t="str">
        <f>IFERROR(__xludf.DUMMYFUNCTION("""COMPUTED_VALUE"""),"BLUE")</f>
        <v>BLUE</v>
      </c>
      <c r="G137" s="20" t="str">
        <f>IFERROR(__xludf.DUMMYFUNCTION("""COMPUTED_VALUE"""),"Uncle Sams Cider (04/04/2023)")</f>
        <v>Uncle Sams Cider (04/04/2023)</v>
      </c>
      <c r="H137" s="19"/>
    </row>
    <row r="138">
      <c r="A138" s="9"/>
      <c r="B138" s="15"/>
      <c r="C138" s="9">
        <f>IFERROR(__xludf.DUMMYFUNCTION("""COMPUTED_VALUE"""),45143.2017398379)</f>
        <v>45143.20174</v>
      </c>
      <c r="D138" s="15">
        <f>IFERROR(__xludf.DUMMYFUNCTION("""COMPUTED_VALUE"""),0.998)</f>
        <v>0.998</v>
      </c>
      <c r="E138" s="16">
        <f>IFERROR(__xludf.DUMMYFUNCTION("""COMPUTED_VALUE"""),72.0)</f>
        <v>72</v>
      </c>
      <c r="F138" s="19" t="str">
        <f>IFERROR(__xludf.DUMMYFUNCTION("""COMPUTED_VALUE"""),"BLUE")</f>
        <v>BLUE</v>
      </c>
      <c r="G138" s="20" t="str">
        <f>IFERROR(__xludf.DUMMYFUNCTION("""COMPUTED_VALUE"""),"Uncle Sams Cider (04/04/2023)")</f>
        <v>Uncle Sams Cider (04/04/2023)</v>
      </c>
      <c r="H138" s="19"/>
    </row>
    <row r="139">
      <c r="A139" s="9"/>
      <c r="B139" s="15"/>
      <c r="C139" s="9">
        <f>IFERROR(__xludf.DUMMYFUNCTION("""COMPUTED_VALUE"""),45143.1913084375)</f>
        <v>45143.19131</v>
      </c>
      <c r="D139" s="15">
        <f>IFERROR(__xludf.DUMMYFUNCTION("""COMPUTED_VALUE"""),0.998)</f>
        <v>0.998</v>
      </c>
      <c r="E139" s="16">
        <f>IFERROR(__xludf.DUMMYFUNCTION("""COMPUTED_VALUE"""),72.0)</f>
        <v>72</v>
      </c>
      <c r="F139" s="19" t="str">
        <f>IFERROR(__xludf.DUMMYFUNCTION("""COMPUTED_VALUE"""),"BLUE")</f>
        <v>BLUE</v>
      </c>
      <c r="G139" s="20" t="str">
        <f>IFERROR(__xludf.DUMMYFUNCTION("""COMPUTED_VALUE"""),"Uncle Sams Cider (04/04/2023)")</f>
        <v>Uncle Sams Cider (04/04/2023)</v>
      </c>
      <c r="H139" s="19"/>
    </row>
    <row r="140">
      <c r="A140" s="9"/>
      <c r="B140" s="15"/>
      <c r="C140" s="9">
        <f>IFERROR(__xludf.DUMMYFUNCTION("""COMPUTED_VALUE"""),45143.1808866898)</f>
        <v>45143.18089</v>
      </c>
      <c r="D140" s="15">
        <f>IFERROR(__xludf.DUMMYFUNCTION("""COMPUTED_VALUE"""),0.998)</f>
        <v>0.998</v>
      </c>
      <c r="E140" s="16">
        <f>IFERROR(__xludf.DUMMYFUNCTION("""COMPUTED_VALUE"""),72.0)</f>
        <v>72</v>
      </c>
      <c r="F140" s="19" t="str">
        <f>IFERROR(__xludf.DUMMYFUNCTION("""COMPUTED_VALUE"""),"BLUE")</f>
        <v>BLUE</v>
      </c>
      <c r="G140" s="20" t="str">
        <f>IFERROR(__xludf.DUMMYFUNCTION("""COMPUTED_VALUE"""),"Uncle Sams Cider (04/04/2023)")</f>
        <v>Uncle Sams Cider (04/04/2023)</v>
      </c>
      <c r="H140" s="19"/>
    </row>
    <row r="141">
      <c r="A141" s="9"/>
      <c r="B141" s="15"/>
      <c r="C141" s="9">
        <f>IFERROR(__xludf.DUMMYFUNCTION("""COMPUTED_VALUE"""),45143.1704540162)</f>
        <v>45143.17045</v>
      </c>
      <c r="D141" s="15">
        <f>IFERROR(__xludf.DUMMYFUNCTION("""COMPUTED_VALUE"""),0.998)</f>
        <v>0.998</v>
      </c>
      <c r="E141" s="16">
        <f>IFERROR(__xludf.DUMMYFUNCTION("""COMPUTED_VALUE"""),72.0)</f>
        <v>72</v>
      </c>
      <c r="F141" s="19" t="str">
        <f>IFERROR(__xludf.DUMMYFUNCTION("""COMPUTED_VALUE"""),"BLUE")</f>
        <v>BLUE</v>
      </c>
      <c r="G141" s="20" t="str">
        <f>IFERROR(__xludf.DUMMYFUNCTION("""COMPUTED_VALUE"""),"Uncle Sams Cider (04/04/2023)")</f>
        <v>Uncle Sams Cider (04/04/2023)</v>
      </c>
      <c r="H141" s="19"/>
    </row>
    <row r="142">
      <c r="A142" s="9"/>
      <c r="B142" s="15"/>
      <c r="C142" s="9">
        <f>IFERROR(__xludf.DUMMYFUNCTION("""COMPUTED_VALUE"""),45143.1600224768)</f>
        <v>45143.16002</v>
      </c>
      <c r="D142" s="15">
        <f>IFERROR(__xludf.DUMMYFUNCTION("""COMPUTED_VALUE"""),0.998)</f>
        <v>0.998</v>
      </c>
      <c r="E142" s="16">
        <f>IFERROR(__xludf.DUMMYFUNCTION("""COMPUTED_VALUE"""),72.0)</f>
        <v>72</v>
      </c>
      <c r="F142" s="19" t="str">
        <f>IFERROR(__xludf.DUMMYFUNCTION("""COMPUTED_VALUE"""),"BLUE")</f>
        <v>BLUE</v>
      </c>
      <c r="G142" s="20" t="str">
        <f>IFERROR(__xludf.DUMMYFUNCTION("""COMPUTED_VALUE"""),"Uncle Sams Cider (04/04/2023)")</f>
        <v>Uncle Sams Cider (04/04/2023)</v>
      </c>
      <c r="H142" s="19"/>
    </row>
    <row r="143">
      <c r="A143" s="9"/>
      <c r="B143" s="15"/>
      <c r="C143" s="9">
        <f>IFERROR(__xludf.DUMMYFUNCTION("""COMPUTED_VALUE"""),45143.1496013541)</f>
        <v>45143.1496</v>
      </c>
      <c r="D143" s="15">
        <f>IFERROR(__xludf.DUMMYFUNCTION("""COMPUTED_VALUE"""),0.998)</f>
        <v>0.998</v>
      </c>
      <c r="E143" s="16">
        <f>IFERROR(__xludf.DUMMYFUNCTION("""COMPUTED_VALUE"""),72.0)</f>
        <v>72</v>
      </c>
      <c r="F143" s="19" t="str">
        <f>IFERROR(__xludf.DUMMYFUNCTION("""COMPUTED_VALUE"""),"BLUE")</f>
        <v>BLUE</v>
      </c>
      <c r="G143" s="20" t="str">
        <f>IFERROR(__xludf.DUMMYFUNCTION("""COMPUTED_VALUE"""),"Uncle Sams Cider (04/04/2023)")</f>
        <v>Uncle Sams Cider (04/04/2023)</v>
      </c>
      <c r="H143" s="19"/>
    </row>
    <row r="144">
      <c r="A144" s="9"/>
      <c r="B144" s="15"/>
      <c r="C144" s="9">
        <f>IFERROR(__xludf.DUMMYFUNCTION("""COMPUTED_VALUE"""),45143.139180324)</f>
        <v>45143.13918</v>
      </c>
      <c r="D144" s="15">
        <f>IFERROR(__xludf.DUMMYFUNCTION("""COMPUTED_VALUE"""),0.998)</f>
        <v>0.998</v>
      </c>
      <c r="E144" s="16">
        <f>IFERROR(__xludf.DUMMYFUNCTION("""COMPUTED_VALUE"""),72.0)</f>
        <v>72</v>
      </c>
      <c r="F144" s="19" t="str">
        <f>IFERROR(__xludf.DUMMYFUNCTION("""COMPUTED_VALUE"""),"BLUE")</f>
        <v>BLUE</v>
      </c>
      <c r="G144" s="20" t="str">
        <f>IFERROR(__xludf.DUMMYFUNCTION("""COMPUTED_VALUE"""),"Uncle Sams Cider (04/04/2023)")</f>
        <v>Uncle Sams Cider (04/04/2023)</v>
      </c>
      <c r="H144" s="19"/>
    </row>
    <row r="145">
      <c r="A145" s="9"/>
      <c r="B145" s="15"/>
      <c r="C145" s="9">
        <f>IFERROR(__xludf.DUMMYFUNCTION("""COMPUTED_VALUE"""),45143.1287585879)</f>
        <v>45143.12876</v>
      </c>
      <c r="D145" s="15">
        <f>IFERROR(__xludf.DUMMYFUNCTION("""COMPUTED_VALUE"""),0.998)</f>
        <v>0.998</v>
      </c>
      <c r="E145" s="16">
        <f>IFERROR(__xludf.DUMMYFUNCTION("""COMPUTED_VALUE"""),72.0)</f>
        <v>72</v>
      </c>
      <c r="F145" s="19" t="str">
        <f>IFERROR(__xludf.DUMMYFUNCTION("""COMPUTED_VALUE"""),"BLUE")</f>
        <v>BLUE</v>
      </c>
      <c r="G145" s="20" t="str">
        <f>IFERROR(__xludf.DUMMYFUNCTION("""COMPUTED_VALUE"""),"Uncle Sams Cider (04/04/2023)")</f>
        <v>Uncle Sams Cider (04/04/2023)</v>
      </c>
      <c r="H145" s="19"/>
    </row>
    <row r="146">
      <c r="A146" s="9"/>
      <c r="B146" s="15"/>
      <c r="C146" s="9">
        <f>IFERROR(__xludf.DUMMYFUNCTION("""COMPUTED_VALUE"""),45143.118338206)</f>
        <v>45143.11834</v>
      </c>
      <c r="D146" s="15">
        <f>IFERROR(__xludf.DUMMYFUNCTION("""COMPUTED_VALUE"""),0.998)</f>
        <v>0.998</v>
      </c>
      <c r="E146" s="16">
        <f>IFERROR(__xludf.DUMMYFUNCTION("""COMPUTED_VALUE"""),72.0)</f>
        <v>72</v>
      </c>
      <c r="F146" s="19" t="str">
        <f>IFERROR(__xludf.DUMMYFUNCTION("""COMPUTED_VALUE"""),"BLUE")</f>
        <v>BLUE</v>
      </c>
      <c r="G146" s="20" t="str">
        <f>IFERROR(__xludf.DUMMYFUNCTION("""COMPUTED_VALUE"""),"Uncle Sams Cider (04/04/2023)")</f>
        <v>Uncle Sams Cider (04/04/2023)</v>
      </c>
      <c r="H146" s="19"/>
    </row>
    <row r="147">
      <c r="A147" s="9"/>
      <c r="B147" s="15"/>
      <c r="C147" s="9">
        <f>IFERROR(__xludf.DUMMYFUNCTION("""COMPUTED_VALUE"""),45143.1079182986)</f>
        <v>45143.10792</v>
      </c>
      <c r="D147" s="15">
        <f>IFERROR(__xludf.DUMMYFUNCTION("""COMPUTED_VALUE"""),0.998)</f>
        <v>0.998</v>
      </c>
      <c r="E147" s="16">
        <f>IFERROR(__xludf.DUMMYFUNCTION("""COMPUTED_VALUE"""),72.0)</f>
        <v>72</v>
      </c>
      <c r="F147" s="19" t="str">
        <f>IFERROR(__xludf.DUMMYFUNCTION("""COMPUTED_VALUE"""),"BLUE")</f>
        <v>BLUE</v>
      </c>
      <c r="G147" s="20" t="str">
        <f>IFERROR(__xludf.DUMMYFUNCTION("""COMPUTED_VALUE"""),"Uncle Sams Cider (04/04/2023)")</f>
        <v>Uncle Sams Cider (04/04/2023)</v>
      </c>
      <c r="H147" s="19"/>
    </row>
    <row r="148">
      <c r="A148" s="9"/>
      <c r="B148" s="15"/>
      <c r="C148" s="9">
        <f>IFERROR(__xludf.DUMMYFUNCTION("""COMPUTED_VALUE"""),45143.0974855324)</f>
        <v>45143.09749</v>
      </c>
      <c r="D148" s="15">
        <f>IFERROR(__xludf.DUMMYFUNCTION("""COMPUTED_VALUE"""),0.998)</f>
        <v>0.998</v>
      </c>
      <c r="E148" s="16">
        <f>IFERROR(__xludf.DUMMYFUNCTION("""COMPUTED_VALUE"""),72.0)</f>
        <v>72</v>
      </c>
      <c r="F148" s="19" t="str">
        <f>IFERROR(__xludf.DUMMYFUNCTION("""COMPUTED_VALUE"""),"BLUE")</f>
        <v>BLUE</v>
      </c>
      <c r="G148" s="20" t="str">
        <f>IFERROR(__xludf.DUMMYFUNCTION("""COMPUTED_VALUE"""),"Uncle Sams Cider (04/04/2023)")</f>
        <v>Uncle Sams Cider (04/04/2023)</v>
      </c>
      <c r="H148" s="19"/>
    </row>
    <row r="149">
      <c r="A149" s="9"/>
      <c r="B149" s="15"/>
      <c r="C149" s="9">
        <f>IFERROR(__xludf.DUMMYFUNCTION("""COMPUTED_VALUE"""),45143.087063912)</f>
        <v>45143.08706</v>
      </c>
      <c r="D149" s="15">
        <f>IFERROR(__xludf.DUMMYFUNCTION("""COMPUTED_VALUE"""),0.998)</f>
        <v>0.998</v>
      </c>
      <c r="E149" s="16">
        <f>IFERROR(__xludf.DUMMYFUNCTION("""COMPUTED_VALUE"""),72.0)</f>
        <v>72</v>
      </c>
      <c r="F149" s="19" t="str">
        <f>IFERROR(__xludf.DUMMYFUNCTION("""COMPUTED_VALUE"""),"BLUE")</f>
        <v>BLUE</v>
      </c>
      <c r="G149" s="20" t="str">
        <f>IFERROR(__xludf.DUMMYFUNCTION("""COMPUTED_VALUE"""),"Uncle Sams Cider (04/04/2023)")</f>
        <v>Uncle Sams Cider (04/04/2023)</v>
      </c>
      <c r="H149" s="19"/>
    </row>
    <row r="150">
      <c r="A150" s="9"/>
      <c r="B150" s="15"/>
      <c r="C150" s="9">
        <f>IFERROR(__xludf.DUMMYFUNCTION("""COMPUTED_VALUE"""),45143.0766434606)</f>
        <v>45143.07664</v>
      </c>
      <c r="D150" s="15">
        <f>IFERROR(__xludf.DUMMYFUNCTION("""COMPUTED_VALUE"""),0.998)</f>
        <v>0.998</v>
      </c>
      <c r="E150" s="16">
        <f>IFERROR(__xludf.DUMMYFUNCTION("""COMPUTED_VALUE"""),72.0)</f>
        <v>72</v>
      </c>
      <c r="F150" s="19" t="str">
        <f>IFERROR(__xludf.DUMMYFUNCTION("""COMPUTED_VALUE"""),"BLUE")</f>
        <v>BLUE</v>
      </c>
      <c r="G150" s="20" t="str">
        <f>IFERROR(__xludf.DUMMYFUNCTION("""COMPUTED_VALUE"""),"Uncle Sams Cider (04/04/2023)")</f>
        <v>Uncle Sams Cider (04/04/2023)</v>
      </c>
      <c r="H150" s="19"/>
    </row>
    <row r="151">
      <c r="A151" s="9"/>
      <c r="B151" s="15"/>
      <c r="C151" s="9">
        <f>IFERROR(__xludf.DUMMYFUNCTION("""COMPUTED_VALUE"""),45143.0662109953)</f>
        <v>45143.06621</v>
      </c>
      <c r="D151" s="15">
        <f>IFERROR(__xludf.DUMMYFUNCTION("""COMPUTED_VALUE"""),0.998)</f>
        <v>0.998</v>
      </c>
      <c r="E151" s="16">
        <f>IFERROR(__xludf.DUMMYFUNCTION("""COMPUTED_VALUE"""),72.0)</f>
        <v>72</v>
      </c>
      <c r="F151" s="19" t="str">
        <f>IFERROR(__xludf.DUMMYFUNCTION("""COMPUTED_VALUE"""),"BLUE")</f>
        <v>BLUE</v>
      </c>
      <c r="G151" s="20" t="str">
        <f>IFERROR(__xludf.DUMMYFUNCTION("""COMPUTED_VALUE"""),"Uncle Sams Cider (04/04/2023)")</f>
        <v>Uncle Sams Cider (04/04/2023)</v>
      </c>
      <c r="H151" s="19"/>
    </row>
    <row r="152">
      <c r="A152" s="9"/>
      <c r="B152" s="15"/>
      <c r="C152" s="9">
        <f>IFERROR(__xludf.DUMMYFUNCTION("""COMPUTED_VALUE"""),45143.0557655324)</f>
        <v>45143.05577</v>
      </c>
      <c r="D152" s="15">
        <f>IFERROR(__xludf.DUMMYFUNCTION("""COMPUTED_VALUE"""),0.998)</f>
        <v>0.998</v>
      </c>
      <c r="E152" s="16">
        <f>IFERROR(__xludf.DUMMYFUNCTION("""COMPUTED_VALUE"""),72.0)</f>
        <v>72</v>
      </c>
      <c r="F152" s="19" t="str">
        <f>IFERROR(__xludf.DUMMYFUNCTION("""COMPUTED_VALUE"""),"BLUE")</f>
        <v>BLUE</v>
      </c>
      <c r="G152" s="20" t="str">
        <f>IFERROR(__xludf.DUMMYFUNCTION("""COMPUTED_VALUE"""),"Uncle Sams Cider (04/04/2023)")</f>
        <v>Uncle Sams Cider (04/04/2023)</v>
      </c>
      <c r="H152" s="19"/>
    </row>
    <row r="153">
      <c r="A153" s="9"/>
      <c r="B153" s="15"/>
      <c r="C153" s="9">
        <f>IFERROR(__xludf.DUMMYFUNCTION("""COMPUTED_VALUE"""),45143.0453447453)</f>
        <v>45143.04534</v>
      </c>
      <c r="D153" s="15">
        <f>IFERROR(__xludf.DUMMYFUNCTION("""COMPUTED_VALUE"""),0.998)</f>
        <v>0.998</v>
      </c>
      <c r="E153" s="16">
        <f>IFERROR(__xludf.DUMMYFUNCTION("""COMPUTED_VALUE"""),72.0)</f>
        <v>72</v>
      </c>
      <c r="F153" s="19" t="str">
        <f>IFERROR(__xludf.DUMMYFUNCTION("""COMPUTED_VALUE"""),"BLUE")</f>
        <v>BLUE</v>
      </c>
      <c r="G153" s="20" t="str">
        <f>IFERROR(__xludf.DUMMYFUNCTION("""COMPUTED_VALUE"""),"Uncle Sams Cider (04/04/2023)")</f>
        <v>Uncle Sams Cider (04/04/2023)</v>
      </c>
      <c r="H153" s="19"/>
    </row>
    <row r="154">
      <c r="A154" s="9"/>
      <c r="B154" s="15"/>
      <c r="C154" s="9">
        <f>IFERROR(__xludf.DUMMYFUNCTION("""COMPUTED_VALUE"""),45143.034925162)</f>
        <v>45143.03493</v>
      </c>
      <c r="D154" s="15">
        <f>IFERROR(__xludf.DUMMYFUNCTION("""COMPUTED_VALUE"""),0.998)</f>
        <v>0.998</v>
      </c>
      <c r="E154" s="16">
        <f>IFERROR(__xludf.DUMMYFUNCTION("""COMPUTED_VALUE"""),72.0)</f>
        <v>72</v>
      </c>
      <c r="F154" s="19" t="str">
        <f>IFERROR(__xludf.DUMMYFUNCTION("""COMPUTED_VALUE"""),"BLUE")</f>
        <v>BLUE</v>
      </c>
      <c r="G154" s="20" t="str">
        <f>IFERROR(__xludf.DUMMYFUNCTION("""COMPUTED_VALUE"""),"Uncle Sams Cider (04/04/2023)")</f>
        <v>Uncle Sams Cider (04/04/2023)</v>
      </c>
      <c r="H154" s="19"/>
    </row>
    <row r="155">
      <c r="A155" s="9"/>
      <c r="B155" s="15"/>
      <c r="C155" s="9">
        <f>IFERROR(__xludf.DUMMYFUNCTION("""COMPUTED_VALUE"""),45143.0245019328)</f>
        <v>45143.0245</v>
      </c>
      <c r="D155" s="15">
        <f>IFERROR(__xludf.DUMMYFUNCTION("""COMPUTED_VALUE"""),0.998)</f>
        <v>0.998</v>
      </c>
      <c r="E155" s="16">
        <f>IFERROR(__xludf.DUMMYFUNCTION("""COMPUTED_VALUE"""),72.0)</f>
        <v>72</v>
      </c>
      <c r="F155" s="19" t="str">
        <f>IFERROR(__xludf.DUMMYFUNCTION("""COMPUTED_VALUE"""),"BLUE")</f>
        <v>BLUE</v>
      </c>
      <c r="G155" s="20" t="str">
        <f>IFERROR(__xludf.DUMMYFUNCTION("""COMPUTED_VALUE"""),"Uncle Sams Cider (04/04/2023)")</f>
        <v>Uncle Sams Cider (04/04/2023)</v>
      </c>
      <c r="H155" s="19"/>
    </row>
    <row r="156">
      <c r="A156" s="9"/>
      <c r="B156" s="15"/>
      <c r="C156" s="9">
        <f>IFERROR(__xludf.DUMMYFUNCTION("""COMPUTED_VALUE"""),45143.014071956)</f>
        <v>45143.01407</v>
      </c>
      <c r="D156" s="15">
        <f>IFERROR(__xludf.DUMMYFUNCTION("""COMPUTED_VALUE"""),0.998)</f>
        <v>0.998</v>
      </c>
      <c r="E156" s="16">
        <f>IFERROR(__xludf.DUMMYFUNCTION("""COMPUTED_VALUE"""),72.0)</f>
        <v>72</v>
      </c>
      <c r="F156" s="19" t="str">
        <f>IFERROR(__xludf.DUMMYFUNCTION("""COMPUTED_VALUE"""),"BLUE")</f>
        <v>BLUE</v>
      </c>
      <c r="G156" s="20" t="str">
        <f>IFERROR(__xludf.DUMMYFUNCTION("""COMPUTED_VALUE"""),"Uncle Sams Cider (04/04/2023)")</f>
        <v>Uncle Sams Cider (04/04/2023)</v>
      </c>
      <c r="H156" s="19"/>
    </row>
    <row r="157">
      <c r="A157" s="9"/>
      <c r="B157" s="15"/>
      <c r="C157" s="9">
        <f>IFERROR(__xludf.DUMMYFUNCTION("""COMPUTED_VALUE"""),45143.0036513773)</f>
        <v>45143.00365</v>
      </c>
      <c r="D157" s="15">
        <f>IFERROR(__xludf.DUMMYFUNCTION("""COMPUTED_VALUE"""),0.998)</f>
        <v>0.998</v>
      </c>
      <c r="E157" s="16">
        <f>IFERROR(__xludf.DUMMYFUNCTION("""COMPUTED_VALUE"""),72.0)</f>
        <v>72</v>
      </c>
      <c r="F157" s="19" t="str">
        <f>IFERROR(__xludf.DUMMYFUNCTION("""COMPUTED_VALUE"""),"BLUE")</f>
        <v>BLUE</v>
      </c>
      <c r="G157" s="20" t="str">
        <f>IFERROR(__xludf.DUMMYFUNCTION("""COMPUTED_VALUE"""),"Uncle Sams Cider (04/04/2023)")</f>
        <v>Uncle Sams Cider (04/04/2023)</v>
      </c>
      <c r="H157" s="19"/>
    </row>
    <row r="158">
      <c r="A158" s="9"/>
      <c r="B158" s="15"/>
      <c r="C158" s="9">
        <f>IFERROR(__xludf.DUMMYFUNCTION("""COMPUTED_VALUE"""),45142.9932294907)</f>
        <v>45142.99323</v>
      </c>
      <c r="D158" s="15">
        <f>IFERROR(__xludf.DUMMYFUNCTION("""COMPUTED_VALUE"""),0.998)</f>
        <v>0.998</v>
      </c>
      <c r="E158" s="16">
        <f>IFERROR(__xludf.DUMMYFUNCTION("""COMPUTED_VALUE"""),72.0)</f>
        <v>72</v>
      </c>
      <c r="F158" s="19" t="str">
        <f>IFERROR(__xludf.DUMMYFUNCTION("""COMPUTED_VALUE"""),"BLUE")</f>
        <v>BLUE</v>
      </c>
      <c r="G158" s="20" t="str">
        <f>IFERROR(__xludf.DUMMYFUNCTION("""COMPUTED_VALUE"""),"Uncle Sams Cider (04/04/2023)")</f>
        <v>Uncle Sams Cider (04/04/2023)</v>
      </c>
      <c r="H158" s="19"/>
    </row>
    <row r="159">
      <c r="A159" s="9"/>
      <c r="B159" s="15"/>
      <c r="C159" s="9">
        <f>IFERROR(__xludf.DUMMYFUNCTION("""COMPUTED_VALUE"""),45142.9828092824)</f>
        <v>45142.98281</v>
      </c>
      <c r="D159" s="15">
        <f>IFERROR(__xludf.DUMMYFUNCTION("""COMPUTED_VALUE"""),0.998)</f>
        <v>0.998</v>
      </c>
      <c r="E159" s="16">
        <f>IFERROR(__xludf.DUMMYFUNCTION("""COMPUTED_VALUE"""),72.0)</f>
        <v>72</v>
      </c>
      <c r="F159" s="19" t="str">
        <f>IFERROR(__xludf.DUMMYFUNCTION("""COMPUTED_VALUE"""),"BLUE")</f>
        <v>BLUE</v>
      </c>
      <c r="G159" s="20" t="str">
        <f>IFERROR(__xludf.DUMMYFUNCTION("""COMPUTED_VALUE"""),"Uncle Sams Cider (04/04/2023)")</f>
        <v>Uncle Sams Cider (04/04/2023)</v>
      </c>
      <c r="H159" s="19"/>
    </row>
    <row r="160">
      <c r="A160" s="9"/>
      <c r="B160" s="15"/>
      <c r="C160" s="9">
        <f>IFERROR(__xludf.DUMMYFUNCTION("""COMPUTED_VALUE"""),45142.9723883333)</f>
        <v>45142.97239</v>
      </c>
      <c r="D160" s="15">
        <f>IFERROR(__xludf.DUMMYFUNCTION("""COMPUTED_VALUE"""),0.998)</f>
        <v>0.998</v>
      </c>
      <c r="E160" s="16">
        <f>IFERROR(__xludf.DUMMYFUNCTION("""COMPUTED_VALUE"""),72.0)</f>
        <v>72</v>
      </c>
      <c r="F160" s="19" t="str">
        <f>IFERROR(__xludf.DUMMYFUNCTION("""COMPUTED_VALUE"""),"BLUE")</f>
        <v>BLUE</v>
      </c>
      <c r="G160" s="20" t="str">
        <f>IFERROR(__xludf.DUMMYFUNCTION("""COMPUTED_VALUE"""),"Uncle Sams Cider (04/04/2023)")</f>
        <v>Uncle Sams Cider (04/04/2023)</v>
      </c>
      <c r="H160" s="19"/>
    </row>
    <row r="161">
      <c r="A161" s="9"/>
      <c r="B161" s="15"/>
      <c r="C161" s="9">
        <f>IFERROR(__xludf.DUMMYFUNCTION("""COMPUTED_VALUE"""),45142.9619674652)</f>
        <v>45142.96197</v>
      </c>
      <c r="D161" s="15">
        <f>IFERROR(__xludf.DUMMYFUNCTION("""COMPUTED_VALUE"""),0.998)</f>
        <v>0.998</v>
      </c>
      <c r="E161" s="16">
        <f>IFERROR(__xludf.DUMMYFUNCTION("""COMPUTED_VALUE"""),72.0)</f>
        <v>72</v>
      </c>
      <c r="F161" s="19" t="str">
        <f>IFERROR(__xludf.DUMMYFUNCTION("""COMPUTED_VALUE"""),"BLUE")</f>
        <v>BLUE</v>
      </c>
      <c r="G161" s="20" t="str">
        <f>IFERROR(__xludf.DUMMYFUNCTION("""COMPUTED_VALUE"""),"Uncle Sams Cider (04/04/2023)")</f>
        <v>Uncle Sams Cider (04/04/2023)</v>
      </c>
      <c r="H161" s="19"/>
    </row>
    <row r="162">
      <c r="A162" s="9"/>
      <c r="B162" s="15"/>
      <c r="C162" s="9">
        <f>IFERROR(__xludf.DUMMYFUNCTION("""COMPUTED_VALUE"""),45142.9515462268)</f>
        <v>45142.95155</v>
      </c>
      <c r="D162" s="15">
        <f>IFERROR(__xludf.DUMMYFUNCTION("""COMPUTED_VALUE"""),0.998)</f>
        <v>0.998</v>
      </c>
      <c r="E162" s="16">
        <f>IFERROR(__xludf.DUMMYFUNCTION("""COMPUTED_VALUE"""),72.0)</f>
        <v>72</v>
      </c>
      <c r="F162" s="19" t="str">
        <f>IFERROR(__xludf.DUMMYFUNCTION("""COMPUTED_VALUE"""),"BLUE")</f>
        <v>BLUE</v>
      </c>
      <c r="G162" s="20" t="str">
        <f>IFERROR(__xludf.DUMMYFUNCTION("""COMPUTED_VALUE"""),"Uncle Sams Cider (04/04/2023)")</f>
        <v>Uncle Sams Cider (04/04/2023)</v>
      </c>
      <c r="H162" s="19"/>
    </row>
    <row r="163">
      <c r="A163" s="9"/>
      <c r="B163" s="15"/>
      <c r="C163" s="9">
        <f>IFERROR(__xludf.DUMMYFUNCTION("""COMPUTED_VALUE"""),45142.941125405)</f>
        <v>45142.94113</v>
      </c>
      <c r="D163" s="15">
        <f>IFERROR(__xludf.DUMMYFUNCTION("""COMPUTED_VALUE"""),0.998)</f>
        <v>0.998</v>
      </c>
      <c r="E163" s="16">
        <f>IFERROR(__xludf.DUMMYFUNCTION("""COMPUTED_VALUE"""),72.0)</f>
        <v>72</v>
      </c>
      <c r="F163" s="19" t="str">
        <f>IFERROR(__xludf.DUMMYFUNCTION("""COMPUTED_VALUE"""),"BLUE")</f>
        <v>BLUE</v>
      </c>
      <c r="G163" s="20" t="str">
        <f>IFERROR(__xludf.DUMMYFUNCTION("""COMPUTED_VALUE"""),"Uncle Sams Cider (04/04/2023)")</f>
        <v>Uncle Sams Cider (04/04/2023)</v>
      </c>
      <c r="H163" s="19"/>
    </row>
    <row r="164">
      <c r="A164" s="9"/>
      <c r="B164" s="15"/>
      <c r="C164" s="9">
        <f>IFERROR(__xludf.DUMMYFUNCTION("""COMPUTED_VALUE"""),45142.93070478)</f>
        <v>45142.9307</v>
      </c>
      <c r="D164" s="15">
        <f>IFERROR(__xludf.DUMMYFUNCTION("""COMPUTED_VALUE"""),0.998)</f>
        <v>0.998</v>
      </c>
      <c r="E164" s="16">
        <f>IFERROR(__xludf.DUMMYFUNCTION("""COMPUTED_VALUE"""),72.0)</f>
        <v>72</v>
      </c>
      <c r="F164" s="19" t="str">
        <f>IFERROR(__xludf.DUMMYFUNCTION("""COMPUTED_VALUE"""),"BLUE")</f>
        <v>BLUE</v>
      </c>
      <c r="G164" s="20" t="str">
        <f>IFERROR(__xludf.DUMMYFUNCTION("""COMPUTED_VALUE"""),"Uncle Sams Cider (04/04/2023)")</f>
        <v>Uncle Sams Cider (04/04/2023)</v>
      </c>
      <c r="H164" s="19"/>
    </row>
    <row r="165">
      <c r="A165" s="9"/>
      <c r="B165" s="15"/>
      <c r="C165" s="9">
        <f>IFERROR(__xludf.DUMMYFUNCTION("""COMPUTED_VALUE"""),45142.9202822106)</f>
        <v>45142.92028</v>
      </c>
      <c r="D165" s="15">
        <f>IFERROR(__xludf.DUMMYFUNCTION("""COMPUTED_VALUE"""),0.998)</f>
        <v>0.998</v>
      </c>
      <c r="E165" s="16">
        <f>IFERROR(__xludf.DUMMYFUNCTION("""COMPUTED_VALUE"""),72.0)</f>
        <v>72</v>
      </c>
      <c r="F165" s="19" t="str">
        <f>IFERROR(__xludf.DUMMYFUNCTION("""COMPUTED_VALUE"""),"BLUE")</f>
        <v>BLUE</v>
      </c>
      <c r="G165" s="20" t="str">
        <f>IFERROR(__xludf.DUMMYFUNCTION("""COMPUTED_VALUE"""),"Uncle Sams Cider (04/04/2023)")</f>
        <v>Uncle Sams Cider (04/04/2023)</v>
      </c>
      <c r="H165" s="19"/>
    </row>
    <row r="166">
      <c r="A166" s="9"/>
      <c r="B166" s="15"/>
      <c r="C166" s="9">
        <f>IFERROR(__xludf.DUMMYFUNCTION("""COMPUTED_VALUE"""),45142.9098602314)</f>
        <v>45142.90986</v>
      </c>
      <c r="D166" s="15">
        <f>IFERROR(__xludf.DUMMYFUNCTION("""COMPUTED_VALUE"""),0.998)</f>
        <v>0.998</v>
      </c>
      <c r="E166" s="16">
        <f>IFERROR(__xludf.DUMMYFUNCTION("""COMPUTED_VALUE"""),72.0)</f>
        <v>72</v>
      </c>
      <c r="F166" s="19" t="str">
        <f>IFERROR(__xludf.DUMMYFUNCTION("""COMPUTED_VALUE"""),"BLUE")</f>
        <v>BLUE</v>
      </c>
      <c r="G166" s="20" t="str">
        <f>IFERROR(__xludf.DUMMYFUNCTION("""COMPUTED_VALUE"""),"Uncle Sams Cider (04/04/2023)")</f>
        <v>Uncle Sams Cider (04/04/2023)</v>
      </c>
      <c r="H166" s="19"/>
    </row>
    <row r="167">
      <c r="A167" s="9"/>
      <c r="B167" s="15"/>
      <c r="C167" s="9">
        <f>IFERROR(__xludf.DUMMYFUNCTION("""COMPUTED_VALUE"""),45142.899440706)</f>
        <v>45142.89944</v>
      </c>
      <c r="D167" s="15">
        <f>IFERROR(__xludf.DUMMYFUNCTION("""COMPUTED_VALUE"""),0.998)</f>
        <v>0.998</v>
      </c>
      <c r="E167" s="16">
        <f>IFERROR(__xludf.DUMMYFUNCTION("""COMPUTED_VALUE"""),72.0)</f>
        <v>72</v>
      </c>
      <c r="F167" s="19" t="str">
        <f>IFERROR(__xludf.DUMMYFUNCTION("""COMPUTED_VALUE"""),"BLUE")</f>
        <v>BLUE</v>
      </c>
      <c r="G167" s="20" t="str">
        <f>IFERROR(__xludf.DUMMYFUNCTION("""COMPUTED_VALUE"""),"Uncle Sams Cider (04/04/2023)")</f>
        <v>Uncle Sams Cider (04/04/2023)</v>
      </c>
      <c r="H167" s="19"/>
    </row>
    <row r="168">
      <c r="A168" s="9"/>
      <c r="B168" s="15"/>
      <c r="C168" s="9">
        <f>IFERROR(__xludf.DUMMYFUNCTION("""COMPUTED_VALUE"""),45142.8890088773)</f>
        <v>45142.88901</v>
      </c>
      <c r="D168" s="15">
        <f>IFERROR(__xludf.DUMMYFUNCTION("""COMPUTED_VALUE"""),0.998)</f>
        <v>0.998</v>
      </c>
      <c r="E168" s="16">
        <f>IFERROR(__xludf.DUMMYFUNCTION("""COMPUTED_VALUE"""),72.0)</f>
        <v>72</v>
      </c>
      <c r="F168" s="19" t="str">
        <f>IFERROR(__xludf.DUMMYFUNCTION("""COMPUTED_VALUE"""),"BLUE")</f>
        <v>BLUE</v>
      </c>
      <c r="G168" s="20" t="str">
        <f>IFERROR(__xludf.DUMMYFUNCTION("""COMPUTED_VALUE"""),"Uncle Sams Cider (04/04/2023)")</f>
        <v>Uncle Sams Cider (04/04/2023)</v>
      </c>
      <c r="H168" s="19"/>
    </row>
    <row r="169">
      <c r="A169" s="9"/>
      <c r="B169" s="15"/>
      <c r="C169" s="9">
        <f>IFERROR(__xludf.DUMMYFUNCTION("""COMPUTED_VALUE"""),45142.8785884838)</f>
        <v>45142.87859</v>
      </c>
      <c r="D169" s="15">
        <f>IFERROR(__xludf.DUMMYFUNCTION("""COMPUTED_VALUE"""),0.998)</f>
        <v>0.998</v>
      </c>
      <c r="E169" s="16">
        <f>IFERROR(__xludf.DUMMYFUNCTION("""COMPUTED_VALUE"""),72.0)</f>
        <v>72</v>
      </c>
      <c r="F169" s="19" t="str">
        <f>IFERROR(__xludf.DUMMYFUNCTION("""COMPUTED_VALUE"""),"BLUE")</f>
        <v>BLUE</v>
      </c>
      <c r="G169" s="20" t="str">
        <f>IFERROR(__xludf.DUMMYFUNCTION("""COMPUTED_VALUE"""),"Uncle Sams Cider (04/04/2023)")</f>
        <v>Uncle Sams Cider (04/04/2023)</v>
      </c>
      <c r="H169" s="19"/>
    </row>
    <row r="170">
      <c r="A170" s="9"/>
      <c r="B170" s="15"/>
      <c r="C170" s="9">
        <f>IFERROR(__xludf.DUMMYFUNCTION("""COMPUTED_VALUE"""),45142.8681669907)</f>
        <v>45142.86817</v>
      </c>
      <c r="D170" s="15">
        <f>IFERROR(__xludf.DUMMYFUNCTION("""COMPUTED_VALUE"""),0.998)</f>
        <v>0.998</v>
      </c>
      <c r="E170" s="16">
        <f>IFERROR(__xludf.DUMMYFUNCTION("""COMPUTED_VALUE"""),72.0)</f>
        <v>72</v>
      </c>
      <c r="F170" s="19" t="str">
        <f>IFERROR(__xludf.DUMMYFUNCTION("""COMPUTED_VALUE"""),"BLUE")</f>
        <v>BLUE</v>
      </c>
      <c r="G170" s="20" t="str">
        <f>IFERROR(__xludf.DUMMYFUNCTION("""COMPUTED_VALUE"""),"Uncle Sams Cider (04/04/2023)")</f>
        <v>Uncle Sams Cider (04/04/2023)</v>
      </c>
      <c r="H170" s="19"/>
    </row>
    <row r="171">
      <c r="A171" s="9"/>
      <c r="B171" s="15"/>
      <c r="C171" s="9">
        <f>IFERROR(__xludf.DUMMYFUNCTION("""COMPUTED_VALUE"""),45142.8577457523)</f>
        <v>45142.85775</v>
      </c>
      <c r="D171" s="15">
        <f>IFERROR(__xludf.DUMMYFUNCTION("""COMPUTED_VALUE"""),0.998)</f>
        <v>0.998</v>
      </c>
      <c r="E171" s="16">
        <f>IFERROR(__xludf.DUMMYFUNCTION("""COMPUTED_VALUE"""),72.0)</f>
        <v>72</v>
      </c>
      <c r="F171" s="19" t="str">
        <f>IFERROR(__xludf.DUMMYFUNCTION("""COMPUTED_VALUE"""),"BLUE")</f>
        <v>BLUE</v>
      </c>
      <c r="G171" s="20" t="str">
        <f>IFERROR(__xludf.DUMMYFUNCTION("""COMPUTED_VALUE"""),"Uncle Sams Cider (04/04/2023)")</f>
        <v>Uncle Sams Cider (04/04/2023)</v>
      </c>
      <c r="H171" s="19"/>
    </row>
    <row r="172">
      <c r="A172" s="9"/>
      <c r="B172" s="15"/>
      <c r="C172" s="9">
        <f>IFERROR(__xludf.DUMMYFUNCTION("""COMPUTED_VALUE"""),45142.8473241088)</f>
        <v>45142.84732</v>
      </c>
      <c r="D172" s="15">
        <f>IFERROR(__xludf.DUMMYFUNCTION("""COMPUTED_VALUE"""),0.998)</f>
        <v>0.998</v>
      </c>
      <c r="E172" s="16">
        <f>IFERROR(__xludf.DUMMYFUNCTION("""COMPUTED_VALUE"""),72.0)</f>
        <v>72</v>
      </c>
      <c r="F172" s="19" t="str">
        <f>IFERROR(__xludf.DUMMYFUNCTION("""COMPUTED_VALUE"""),"BLUE")</f>
        <v>BLUE</v>
      </c>
      <c r="G172" s="20" t="str">
        <f>IFERROR(__xludf.DUMMYFUNCTION("""COMPUTED_VALUE"""),"Uncle Sams Cider (04/04/2023)")</f>
        <v>Uncle Sams Cider (04/04/2023)</v>
      </c>
      <c r="H172" s="19"/>
    </row>
    <row r="173">
      <c r="A173" s="9"/>
      <c r="B173" s="15"/>
      <c r="C173" s="9">
        <f>IFERROR(__xludf.DUMMYFUNCTION("""COMPUTED_VALUE"""),45142.8369044212)</f>
        <v>45142.8369</v>
      </c>
      <c r="D173" s="15">
        <f>IFERROR(__xludf.DUMMYFUNCTION("""COMPUTED_VALUE"""),0.998)</f>
        <v>0.998</v>
      </c>
      <c r="E173" s="16">
        <f>IFERROR(__xludf.DUMMYFUNCTION("""COMPUTED_VALUE"""),72.0)</f>
        <v>72</v>
      </c>
      <c r="F173" s="19" t="str">
        <f>IFERROR(__xludf.DUMMYFUNCTION("""COMPUTED_VALUE"""),"BLUE")</f>
        <v>BLUE</v>
      </c>
      <c r="G173" s="20" t="str">
        <f>IFERROR(__xludf.DUMMYFUNCTION("""COMPUTED_VALUE"""),"Uncle Sams Cider (04/04/2023)")</f>
        <v>Uncle Sams Cider (04/04/2023)</v>
      </c>
      <c r="H173" s="19"/>
    </row>
    <row r="174">
      <c r="A174" s="9"/>
      <c r="B174" s="15"/>
      <c r="C174" s="9">
        <f>IFERROR(__xludf.DUMMYFUNCTION("""COMPUTED_VALUE"""),45142.8264709722)</f>
        <v>45142.82647</v>
      </c>
      <c r="D174" s="15">
        <f>IFERROR(__xludf.DUMMYFUNCTION("""COMPUTED_VALUE"""),0.998)</f>
        <v>0.998</v>
      </c>
      <c r="E174" s="16">
        <f>IFERROR(__xludf.DUMMYFUNCTION("""COMPUTED_VALUE"""),72.0)</f>
        <v>72</v>
      </c>
      <c r="F174" s="19" t="str">
        <f>IFERROR(__xludf.DUMMYFUNCTION("""COMPUTED_VALUE"""),"BLUE")</f>
        <v>BLUE</v>
      </c>
      <c r="G174" s="20" t="str">
        <f>IFERROR(__xludf.DUMMYFUNCTION("""COMPUTED_VALUE"""),"Uncle Sams Cider (04/04/2023)")</f>
        <v>Uncle Sams Cider (04/04/2023)</v>
      </c>
      <c r="H174" s="19"/>
    </row>
    <row r="175">
      <c r="A175" s="9"/>
      <c r="B175" s="15"/>
      <c r="C175" s="9">
        <f>IFERROR(__xludf.DUMMYFUNCTION("""COMPUTED_VALUE"""),45142.8160504051)</f>
        <v>45142.81605</v>
      </c>
      <c r="D175" s="15">
        <f>IFERROR(__xludf.DUMMYFUNCTION("""COMPUTED_VALUE"""),0.998)</f>
        <v>0.998</v>
      </c>
      <c r="E175" s="16">
        <f>IFERROR(__xludf.DUMMYFUNCTION("""COMPUTED_VALUE"""),72.0)</f>
        <v>72</v>
      </c>
      <c r="F175" s="19" t="str">
        <f>IFERROR(__xludf.DUMMYFUNCTION("""COMPUTED_VALUE"""),"BLUE")</f>
        <v>BLUE</v>
      </c>
      <c r="G175" s="20" t="str">
        <f>IFERROR(__xludf.DUMMYFUNCTION("""COMPUTED_VALUE"""),"Uncle Sams Cider (04/04/2023)")</f>
        <v>Uncle Sams Cider (04/04/2023)</v>
      </c>
      <c r="H175" s="19"/>
    </row>
    <row r="176">
      <c r="A176" s="9"/>
      <c r="B176" s="15"/>
      <c r="C176" s="9">
        <f>IFERROR(__xludf.DUMMYFUNCTION("""COMPUTED_VALUE"""),45142.8056201041)</f>
        <v>45142.80562</v>
      </c>
      <c r="D176" s="15">
        <f>IFERROR(__xludf.DUMMYFUNCTION("""COMPUTED_VALUE"""),0.998)</f>
        <v>0.998</v>
      </c>
      <c r="E176" s="16">
        <f>IFERROR(__xludf.DUMMYFUNCTION("""COMPUTED_VALUE"""),72.0)</f>
        <v>72</v>
      </c>
      <c r="F176" s="19" t="str">
        <f>IFERROR(__xludf.DUMMYFUNCTION("""COMPUTED_VALUE"""),"BLUE")</f>
        <v>BLUE</v>
      </c>
      <c r="G176" s="20" t="str">
        <f>IFERROR(__xludf.DUMMYFUNCTION("""COMPUTED_VALUE"""),"Uncle Sams Cider (04/04/2023)")</f>
        <v>Uncle Sams Cider (04/04/2023)</v>
      </c>
      <c r="H176" s="19"/>
    </row>
    <row r="177">
      <c r="A177" s="9"/>
      <c r="B177" s="15"/>
      <c r="C177" s="9">
        <f>IFERROR(__xludf.DUMMYFUNCTION("""COMPUTED_VALUE"""),45142.7951985301)</f>
        <v>45142.7952</v>
      </c>
      <c r="D177" s="15">
        <f>IFERROR(__xludf.DUMMYFUNCTION("""COMPUTED_VALUE"""),0.998)</f>
        <v>0.998</v>
      </c>
      <c r="E177" s="16">
        <f>IFERROR(__xludf.DUMMYFUNCTION("""COMPUTED_VALUE"""),72.0)</f>
        <v>72</v>
      </c>
      <c r="F177" s="19" t="str">
        <f>IFERROR(__xludf.DUMMYFUNCTION("""COMPUTED_VALUE"""),"BLUE")</f>
        <v>BLUE</v>
      </c>
      <c r="G177" s="20" t="str">
        <f>IFERROR(__xludf.DUMMYFUNCTION("""COMPUTED_VALUE"""),"Uncle Sams Cider (04/04/2023)")</f>
        <v>Uncle Sams Cider (04/04/2023)</v>
      </c>
      <c r="H177" s="19"/>
    </row>
    <row r="178">
      <c r="A178" s="9"/>
      <c r="B178" s="15"/>
      <c r="C178" s="9">
        <f>IFERROR(__xludf.DUMMYFUNCTION("""COMPUTED_VALUE"""),45142.7847784027)</f>
        <v>45142.78478</v>
      </c>
      <c r="D178" s="15">
        <f>IFERROR(__xludf.DUMMYFUNCTION("""COMPUTED_VALUE"""),0.998)</f>
        <v>0.998</v>
      </c>
      <c r="E178" s="16">
        <f>IFERROR(__xludf.DUMMYFUNCTION("""COMPUTED_VALUE"""),72.0)</f>
        <v>72</v>
      </c>
      <c r="F178" s="19" t="str">
        <f>IFERROR(__xludf.DUMMYFUNCTION("""COMPUTED_VALUE"""),"BLUE")</f>
        <v>BLUE</v>
      </c>
      <c r="G178" s="20" t="str">
        <f>IFERROR(__xludf.DUMMYFUNCTION("""COMPUTED_VALUE"""),"Uncle Sams Cider (04/04/2023)")</f>
        <v>Uncle Sams Cider (04/04/2023)</v>
      </c>
      <c r="H178" s="19"/>
    </row>
    <row r="179">
      <c r="A179" s="9"/>
      <c r="B179" s="15"/>
      <c r="C179" s="9">
        <f>IFERROR(__xludf.DUMMYFUNCTION("""COMPUTED_VALUE"""),45142.7743477893)</f>
        <v>45142.77435</v>
      </c>
      <c r="D179" s="15">
        <f>IFERROR(__xludf.DUMMYFUNCTION("""COMPUTED_VALUE"""),0.998)</f>
        <v>0.998</v>
      </c>
      <c r="E179" s="16">
        <f>IFERROR(__xludf.DUMMYFUNCTION("""COMPUTED_VALUE"""),72.0)</f>
        <v>72</v>
      </c>
      <c r="F179" s="19" t="str">
        <f>IFERROR(__xludf.DUMMYFUNCTION("""COMPUTED_VALUE"""),"BLUE")</f>
        <v>BLUE</v>
      </c>
      <c r="G179" s="20" t="str">
        <f>IFERROR(__xludf.DUMMYFUNCTION("""COMPUTED_VALUE"""),"Uncle Sams Cider (04/04/2023)")</f>
        <v>Uncle Sams Cider (04/04/2023)</v>
      </c>
      <c r="H179" s="19"/>
    </row>
    <row r="180">
      <c r="A180" s="9"/>
      <c r="B180" s="15"/>
      <c r="C180" s="9">
        <f>IFERROR(__xludf.DUMMYFUNCTION("""COMPUTED_VALUE"""),45142.7639256018)</f>
        <v>45142.76393</v>
      </c>
      <c r="D180" s="15">
        <f>IFERROR(__xludf.DUMMYFUNCTION("""COMPUTED_VALUE"""),0.998)</f>
        <v>0.998</v>
      </c>
      <c r="E180" s="16">
        <f>IFERROR(__xludf.DUMMYFUNCTION("""COMPUTED_VALUE"""),72.0)</f>
        <v>72</v>
      </c>
      <c r="F180" s="19" t="str">
        <f>IFERROR(__xludf.DUMMYFUNCTION("""COMPUTED_VALUE"""),"BLUE")</f>
        <v>BLUE</v>
      </c>
      <c r="G180" s="20" t="str">
        <f>IFERROR(__xludf.DUMMYFUNCTION("""COMPUTED_VALUE"""),"Uncle Sams Cider (04/04/2023)")</f>
        <v>Uncle Sams Cider (04/04/2023)</v>
      </c>
      <c r="H180" s="19"/>
    </row>
    <row r="181">
      <c r="A181" s="9"/>
      <c r="B181" s="15"/>
      <c r="C181" s="9">
        <f>IFERROR(__xludf.DUMMYFUNCTION("""COMPUTED_VALUE"""),45142.7535034259)</f>
        <v>45142.7535</v>
      </c>
      <c r="D181" s="15">
        <f>IFERROR(__xludf.DUMMYFUNCTION("""COMPUTED_VALUE"""),0.998)</f>
        <v>0.998</v>
      </c>
      <c r="E181" s="16">
        <f>IFERROR(__xludf.DUMMYFUNCTION("""COMPUTED_VALUE"""),72.0)</f>
        <v>72</v>
      </c>
      <c r="F181" s="19" t="str">
        <f>IFERROR(__xludf.DUMMYFUNCTION("""COMPUTED_VALUE"""),"BLUE")</f>
        <v>BLUE</v>
      </c>
      <c r="G181" s="20" t="str">
        <f>IFERROR(__xludf.DUMMYFUNCTION("""COMPUTED_VALUE"""),"Uncle Sams Cider (04/04/2023)")</f>
        <v>Uncle Sams Cider (04/04/2023)</v>
      </c>
      <c r="H181" s="19"/>
    </row>
    <row r="182">
      <c r="A182" s="9"/>
      <c r="B182" s="15"/>
      <c r="C182" s="9">
        <f>IFERROR(__xludf.DUMMYFUNCTION("""COMPUTED_VALUE"""),45142.7430821064)</f>
        <v>45142.74308</v>
      </c>
      <c r="D182" s="15">
        <f>IFERROR(__xludf.DUMMYFUNCTION("""COMPUTED_VALUE"""),0.998)</f>
        <v>0.998</v>
      </c>
      <c r="E182" s="16">
        <f>IFERROR(__xludf.DUMMYFUNCTION("""COMPUTED_VALUE"""),72.0)</f>
        <v>72</v>
      </c>
      <c r="F182" s="19" t="str">
        <f>IFERROR(__xludf.DUMMYFUNCTION("""COMPUTED_VALUE"""),"BLUE")</f>
        <v>BLUE</v>
      </c>
      <c r="G182" s="20" t="str">
        <f>IFERROR(__xludf.DUMMYFUNCTION("""COMPUTED_VALUE"""),"Uncle Sams Cider (04/04/2023)")</f>
        <v>Uncle Sams Cider (04/04/2023)</v>
      </c>
      <c r="H182" s="19"/>
    </row>
    <row r="183">
      <c r="A183" s="9"/>
      <c r="B183" s="15"/>
      <c r="C183" s="9">
        <f>IFERROR(__xludf.DUMMYFUNCTION("""COMPUTED_VALUE"""),45142.7326613541)</f>
        <v>45142.73266</v>
      </c>
      <c r="D183" s="15">
        <f>IFERROR(__xludf.DUMMYFUNCTION("""COMPUTED_VALUE"""),0.998)</f>
        <v>0.998</v>
      </c>
      <c r="E183" s="16">
        <f>IFERROR(__xludf.DUMMYFUNCTION("""COMPUTED_VALUE"""),72.0)</f>
        <v>72</v>
      </c>
      <c r="F183" s="19" t="str">
        <f>IFERROR(__xludf.DUMMYFUNCTION("""COMPUTED_VALUE"""),"BLUE")</f>
        <v>BLUE</v>
      </c>
      <c r="G183" s="20" t="str">
        <f>IFERROR(__xludf.DUMMYFUNCTION("""COMPUTED_VALUE"""),"Uncle Sams Cider (04/04/2023)")</f>
        <v>Uncle Sams Cider (04/04/2023)</v>
      </c>
      <c r="H183" s="19"/>
    </row>
    <row r="184">
      <c r="A184" s="9"/>
      <c r="B184" s="15"/>
      <c r="C184" s="9">
        <f>IFERROR(__xludf.DUMMYFUNCTION("""COMPUTED_VALUE"""),45142.7222290393)</f>
        <v>45142.72223</v>
      </c>
      <c r="D184" s="15">
        <f>IFERROR(__xludf.DUMMYFUNCTION("""COMPUTED_VALUE"""),0.998)</f>
        <v>0.998</v>
      </c>
      <c r="E184" s="16">
        <f>IFERROR(__xludf.DUMMYFUNCTION("""COMPUTED_VALUE"""),72.0)</f>
        <v>72</v>
      </c>
      <c r="F184" s="19" t="str">
        <f>IFERROR(__xludf.DUMMYFUNCTION("""COMPUTED_VALUE"""),"BLUE")</f>
        <v>BLUE</v>
      </c>
      <c r="G184" s="20" t="str">
        <f>IFERROR(__xludf.DUMMYFUNCTION("""COMPUTED_VALUE"""),"Uncle Sams Cider (04/04/2023)")</f>
        <v>Uncle Sams Cider (04/04/2023)</v>
      </c>
      <c r="H184" s="19"/>
    </row>
    <row r="185">
      <c r="A185" s="9"/>
      <c r="B185" s="15"/>
      <c r="C185" s="9">
        <f>IFERROR(__xludf.DUMMYFUNCTION("""COMPUTED_VALUE"""),45142.71180625)</f>
        <v>45142.71181</v>
      </c>
      <c r="D185" s="15">
        <f>IFERROR(__xludf.DUMMYFUNCTION("""COMPUTED_VALUE"""),0.998)</f>
        <v>0.998</v>
      </c>
      <c r="E185" s="16">
        <f>IFERROR(__xludf.DUMMYFUNCTION("""COMPUTED_VALUE"""),72.0)</f>
        <v>72</v>
      </c>
      <c r="F185" s="19" t="str">
        <f>IFERROR(__xludf.DUMMYFUNCTION("""COMPUTED_VALUE"""),"BLUE")</f>
        <v>BLUE</v>
      </c>
      <c r="G185" s="20" t="str">
        <f>IFERROR(__xludf.DUMMYFUNCTION("""COMPUTED_VALUE"""),"Uncle Sams Cider (04/04/2023)")</f>
        <v>Uncle Sams Cider (04/04/2023)</v>
      </c>
      <c r="H185" s="19"/>
    </row>
    <row r="186">
      <c r="A186" s="9"/>
      <c r="B186" s="15"/>
      <c r="C186" s="9">
        <f>IFERROR(__xludf.DUMMYFUNCTION("""COMPUTED_VALUE"""),45142.7013728703)</f>
        <v>45142.70137</v>
      </c>
      <c r="D186" s="15">
        <f>IFERROR(__xludf.DUMMYFUNCTION("""COMPUTED_VALUE"""),0.998)</f>
        <v>0.998</v>
      </c>
      <c r="E186" s="16">
        <f>IFERROR(__xludf.DUMMYFUNCTION("""COMPUTED_VALUE"""),72.0)</f>
        <v>72</v>
      </c>
      <c r="F186" s="19" t="str">
        <f>IFERROR(__xludf.DUMMYFUNCTION("""COMPUTED_VALUE"""),"BLUE")</f>
        <v>BLUE</v>
      </c>
      <c r="G186" s="20" t="str">
        <f>IFERROR(__xludf.DUMMYFUNCTION("""COMPUTED_VALUE"""),"Uncle Sams Cider (04/04/2023)")</f>
        <v>Uncle Sams Cider (04/04/2023)</v>
      </c>
      <c r="H186" s="19"/>
    </row>
    <row r="187">
      <c r="A187" s="9"/>
      <c r="B187" s="15"/>
      <c r="C187" s="9">
        <f>IFERROR(__xludf.DUMMYFUNCTION("""COMPUTED_VALUE"""),45142.6909499421)</f>
        <v>45142.69095</v>
      </c>
      <c r="D187" s="15">
        <f>IFERROR(__xludf.DUMMYFUNCTION("""COMPUTED_VALUE"""),0.998)</f>
        <v>0.998</v>
      </c>
      <c r="E187" s="16">
        <f>IFERROR(__xludf.DUMMYFUNCTION("""COMPUTED_VALUE"""),72.0)</f>
        <v>72</v>
      </c>
      <c r="F187" s="19" t="str">
        <f>IFERROR(__xludf.DUMMYFUNCTION("""COMPUTED_VALUE"""),"BLUE")</f>
        <v>BLUE</v>
      </c>
      <c r="G187" s="20" t="str">
        <f>IFERROR(__xludf.DUMMYFUNCTION("""COMPUTED_VALUE"""),"Uncle Sams Cider (04/04/2023)")</f>
        <v>Uncle Sams Cider (04/04/2023)</v>
      </c>
      <c r="H187" s="19"/>
    </row>
    <row r="188">
      <c r="A188" s="9"/>
      <c r="B188" s="15"/>
      <c r="C188" s="9">
        <f>IFERROR(__xludf.DUMMYFUNCTION("""COMPUTED_VALUE"""),45142.6805299652)</f>
        <v>45142.68053</v>
      </c>
      <c r="D188" s="15">
        <f>IFERROR(__xludf.DUMMYFUNCTION("""COMPUTED_VALUE"""),0.998)</f>
        <v>0.998</v>
      </c>
      <c r="E188" s="16">
        <f>IFERROR(__xludf.DUMMYFUNCTION("""COMPUTED_VALUE"""),72.0)</f>
        <v>72</v>
      </c>
      <c r="F188" s="19" t="str">
        <f>IFERROR(__xludf.DUMMYFUNCTION("""COMPUTED_VALUE"""),"BLUE")</f>
        <v>BLUE</v>
      </c>
      <c r="G188" s="20" t="str">
        <f>IFERROR(__xludf.DUMMYFUNCTION("""COMPUTED_VALUE"""),"Uncle Sams Cider (04/04/2023)")</f>
        <v>Uncle Sams Cider (04/04/2023)</v>
      </c>
      <c r="H188" s="19"/>
    </row>
    <row r="189">
      <c r="A189" s="9"/>
      <c r="B189" s="15"/>
      <c r="C189" s="9">
        <f>IFERROR(__xludf.DUMMYFUNCTION("""COMPUTED_VALUE"""),45142.6701075347)</f>
        <v>45142.67011</v>
      </c>
      <c r="D189" s="15">
        <f>IFERROR(__xludf.DUMMYFUNCTION("""COMPUTED_VALUE"""),0.998)</f>
        <v>0.998</v>
      </c>
      <c r="E189" s="16">
        <f>IFERROR(__xludf.DUMMYFUNCTION("""COMPUTED_VALUE"""),72.0)</f>
        <v>72</v>
      </c>
      <c r="F189" s="19" t="str">
        <f>IFERROR(__xludf.DUMMYFUNCTION("""COMPUTED_VALUE"""),"BLUE")</f>
        <v>BLUE</v>
      </c>
      <c r="G189" s="20" t="str">
        <f>IFERROR(__xludf.DUMMYFUNCTION("""COMPUTED_VALUE"""),"Uncle Sams Cider (04/04/2023)")</f>
        <v>Uncle Sams Cider (04/04/2023)</v>
      </c>
      <c r="H189" s="19"/>
    </row>
    <row r="190">
      <c r="A190" s="9"/>
      <c r="B190" s="15"/>
      <c r="C190" s="9">
        <f>IFERROR(__xludf.DUMMYFUNCTION("""COMPUTED_VALUE"""),45142.6596860763)</f>
        <v>45142.65969</v>
      </c>
      <c r="D190" s="15">
        <f>IFERROR(__xludf.DUMMYFUNCTION("""COMPUTED_VALUE"""),0.998)</f>
        <v>0.998</v>
      </c>
      <c r="E190" s="16">
        <f>IFERROR(__xludf.DUMMYFUNCTION("""COMPUTED_VALUE"""),72.0)</f>
        <v>72</v>
      </c>
      <c r="F190" s="19" t="str">
        <f>IFERROR(__xludf.DUMMYFUNCTION("""COMPUTED_VALUE"""),"BLUE")</f>
        <v>BLUE</v>
      </c>
      <c r="G190" s="20" t="str">
        <f>IFERROR(__xludf.DUMMYFUNCTION("""COMPUTED_VALUE"""),"Uncle Sams Cider (04/04/2023)")</f>
        <v>Uncle Sams Cider (04/04/2023)</v>
      </c>
      <c r="H190" s="19"/>
    </row>
    <row r="191">
      <c r="A191" s="9"/>
      <c r="B191" s="15"/>
      <c r="C191" s="9">
        <f>IFERROR(__xludf.DUMMYFUNCTION("""COMPUTED_VALUE"""),45142.6492648032)</f>
        <v>45142.64926</v>
      </c>
      <c r="D191" s="15">
        <f>IFERROR(__xludf.DUMMYFUNCTION("""COMPUTED_VALUE"""),0.998)</f>
        <v>0.998</v>
      </c>
      <c r="E191" s="16">
        <f>IFERROR(__xludf.DUMMYFUNCTION("""COMPUTED_VALUE"""),72.0)</f>
        <v>72</v>
      </c>
      <c r="F191" s="19" t="str">
        <f>IFERROR(__xludf.DUMMYFUNCTION("""COMPUTED_VALUE"""),"BLUE")</f>
        <v>BLUE</v>
      </c>
      <c r="G191" s="20" t="str">
        <f>IFERROR(__xludf.DUMMYFUNCTION("""COMPUTED_VALUE"""),"Uncle Sams Cider (04/04/2023)")</f>
        <v>Uncle Sams Cider (04/04/2023)</v>
      </c>
      <c r="H191" s="19"/>
    </row>
    <row r="192">
      <c r="A192" s="9"/>
      <c r="B192" s="15"/>
      <c r="C192" s="9">
        <f>IFERROR(__xludf.DUMMYFUNCTION("""COMPUTED_VALUE"""),45142.6388432291)</f>
        <v>45142.63884</v>
      </c>
      <c r="D192" s="15">
        <f>IFERROR(__xludf.DUMMYFUNCTION("""COMPUTED_VALUE"""),0.998)</f>
        <v>0.998</v>
      </c>
      <c r="E192" s="16">
        <f>IFERROR(__xludf.DUMMYFUNCTION("""COMPUTED_VALUE"""),72.0)</f>
        <v>72</v>
      </c>
      <c r="F192" s="19" t="str">
        <f>IFERROR(__xludf.DUMMYFUNCTION("""COMPUTED_VALUE"""),"BLUE")</f>
        <v>BLUE</v>
      </c>
      <c r="G192" s="20" t="str">
        <f>IFERROR(__xludf.DUMMYFUNCTION("""COMPUTED_VALUE"""),"Uncle Sams Cider (04/04/2023)")</f>
        <v>Uncle Sams Cider (04/04/2023)</v>
      </c>
      <c r="H192" s="19"/>
    </row>
    <row r="193">
      <c r="A193" s="9"/>
      <c r="B193" s="15"/>
      <c r="C193" s="9">
        <f>IFERROR(__xludf.DUMMYFUNCTION("""COMPUTED_VALUE"""),45142.6284079976)</f>
        <v>45142.62841</v>
      </c>
      <c r="D193" s="15">
        <f>IFERROR(__xludf.DUMMYFUNCTION("""COMPUTED_VALUE"""),0.998)</f>
        <v>0.998</v>
      </c>
      <c r="E193" s="16">
        <f>IFERROR(__xludf.DUMMYFUNCTION("""COMPUTED_VALUE"""),72.0)</f>
        <v>72</v>
      </c>
      <c r="F193" s="19" t="str">
        <f>IFERROR(__xludf.DUMMYFUNCTION("""COMPUTED_VALUE"""),"BLUE")</f>
        <v>BLUE</v>
      </c>
      <c r="G193" s="20" t="str">
        <f>IFERROR(__xludf.DUMMYFUNCTION("""COMPUTED_VALUE"""),"Uncle Sams Cider (04/04/2023)")</f>
        <v>Uncle Sams Cider (04/04/2023)</v>
      </c>
      <c r="H193" s="19"/>
    </row>
    <row r="194">
      <c r="A194" s="9"/>
      <c r="B194" s="15"/>
      <c r="C194" s="9">
        <f>IFERROR(__xludf.DUMMYFUNCTION("""COMPUTED_VALUE"""),45142.6179879745)</f>
        <v>45142.61799</v>
      </c>
      <c r="D194" s="15">
        <f>IFERROR(__xludf.DUMMYFUNCTION("""COMPUTED_VALUE"""),0.998)</f>
        <v>0.998</v>
      </c>
      <c r="E194" s="16">
        <f>IFERROR(__xludf.DUMMYFUNCTION("""COMPUTED_VALUE"""),72.0)</f>
        <v>72</v>
      </c>
      <c r="F194" s="19" t="str">
        <f>IFERROR(__xludf.DUMMYFUNCTION("""COMPUTED_VALUE"""),"BLUE")</f>
        <v>BLUE</v>
      </c>
      <c r="G194" s="20" t="str">
        <f>IFERROR(__xludf.DUMMYFUNCTION("""COMPUTED_VALUE"""),"Uncle Sams Cider (04/04/2023)")</f>
        <v>Uncle Sams Cider (04/04/2023)</v>
      </c>
      <c r="H194" s="19"/>
    </row>
    <row r="195">
      <c r="A195" s="9"/>
      <c r="B195" s="15"/>
      <c r="C195" s="9">
        <f>IFERROR(__xludf.DUMMYFUNCTION("""COMPUTED_VALUE"""),45142.6075650694)</f>
        <v>45142.60757</v>
      </c>
      <c r="D195" s="15">
        <f>IFERROR(__xludf.DUMMYFUNCTION("""COMPUTED_VALUE"""),0.998)</f>
        <v>0.998</v>
      </c>
      <c r="E195" s="16">
        <f>IFERROR(__xludf.DUMMYFUNCTION("""COMPUTED_VALUE"""),72.0)</f>
        <v>72</v>
      </c>
      <c r="F195" s="19" t="str">
        <f>IFERROR(__xludf.DUMMYFUNCTION("""COMPUTED_VALUE"""),"BLUE")</f>
        <v>BLUE</v>
      </c>
      <c r="G195" s="20" t="str">
        <f>IFERROR(__xludf.DUMMYFUNCTION("""COMPUTED_VALUE"""),"Uncle Sams Cider (04/04/2023)")</f>
        <v>Uncle Sams Cider (04/04/2023)</v>
      </c>
      <c r="H195" s="19"/>
    </row>
    <row r="196">
      <c r="A196" s="9"/>
      <c r="B196" s="15"/>
      <c r="C196" s="9">
        <f>IFERROR(__xludf.DUMMYFUNCTION("""COMPUTED_VALUE"""),45142.5971426504)</f>
        <v>45142.59714</v>
      </c>
      <c r="D196" s="15">
        <f>IFERROR(__xludf.DUMMYFUNCTION("""COMPUTED_VALUE"""),0.998)</f>
        <v>0.998</v>
      </c>
      <c r="E196" s="16">
        <f>IFERROR(__xludf.DUMMYFUNCTION("""COMPUTED_VALUE"""),72.0)</f>
        <v>72</v>
      </c>
      <c r="F196" s="19" t="str">
        <f>IFERROR(__xludf.DUMMYFUNCTION("""COMPUTED_VALUE"""),"BLUE")</f>
        <v>BLUE</v>
      </c>
      <c r="G196" s="20" t="str">
        <f>IFERROR(__xludf.DUMMYFUNCTION("""COMPUTED_VALUE"""),"Uncle Sams Cider (04/04/2023)")</f>
        <v>Uncle Sams Cider (04/04/2023)</v>
      </c>
      <c r="H196" s="19"/>
    </row>
    <row r="197">
      <c r="A197" s="9"/>
      <c r="B197" s="15"/>
      <c r="C197" s="9">
        <f>IFERROR(__xludf.DUMMYFUNCTION("""COMPUTED_VALUE"""),45142.5867097106)</f>
        <v>45142.58671</v>
      </c>
      <c r="D197" s="15">
        <f>IFERROR(__xludf.DUMMYFUNCTION("""COMPUTED_VALUE"""),0.998)</f>
        <v>0.998</v>
      </c>
      <c r="E197" s="16">
        <f>IFERROR(__xludf.DUMMYFUNCTION("""COMPUTED_VALUE"""),72.0)</f>
        <v>72</v>
      </c>
      <c r="F197" s="19" t="str">
        <f>IFERROR(__xludf.DUMMYFUNCTION("""COMPUTED_VALUE"""),"BLUE")</f>
        <v>BLUE</v>
      </c>
      <c r="G197" s="20" t="str">
        <f>IFERROR(__xludf.DUMMYFUNCTION("""COMPUTED_VALUE"""),"Uncle Sams Cider (04/04/2023)")</f>
        <v>Uncle Sams Cider (04/04/2023)</v>
      </c>
      <c r="H197" s="19"/>
    </row>
    <row r="198">
      <c r="A198" s="9"/>
      <c r="B198" s="15"/>
      <c r="C198" s="9">
        <f>IFERROR(__xludf.DUMMYFUNCTION("""COMPUTED_VALUE"""),45142.5762651388)</f>
        <v>45142.57627</v>
      </c>
      <c r="D198" s="15">
        <f>IFERROR(__xludf.DUMMYFUNCTION("""COMPUTED_VALUE"""),0.998)</f>
        <v>0.998</v>
      </c>
      <c r="E198" s="16">
        <f>IFERROR(__xludf.DUMMYFUNCTION("""COMPUTED_VALUE"""),72.0)</f>
        <v>72</v>
      </c>
      <c r="F198" s="19" t="str">
        <f>IFERROR(__xludf.DUMMYFUNCTION("""COMPUTED_VALUE"""),"BLUE")</f>
        <v>BLUE</v>
      </c>
      <c r="G198" s="20" t="str">
        <f>IFERROR(__xludf.DUMMYFUNCTION("""COMPUTED_VALUE"""),"Uncle Sams Cider (04/04/2023)")</f>
        <v>Uncle Sams Cider (04/04/2023)</v>
      </c>
      <c r="H198" s="19"/>
    </row>
    <row r="199">
      <c r="A199" s="9"/>
      <c r="B199" s="15"/>
      <c r="C199" s="9">
        <f>IFERROR(__xludf.DUMMYFUNCTION("""COMPUTED_VALUE"""),45142.5658439814)</f>
        <v>45142.56584</v>
      </c>
      <c r="D199" s="15">
        <f>IFERROR(__xludf.DUMMYFUNCTION("""COMPUTED_VALUE"""),0.998)</f>
        <v>0.998</v>
      </c>
      <c r="E199" s="16">
        <f>IFERROR(__xludf.DUMMYFUNCTION("""COMPUTED_VALUE"""),72.0)</f>
        <v>72</v>
      </c>
      <c r="F199" s="19" t="str">
        <f>IFERROR(__xludf.DUMMYFUNCTION("""COMPUTED_VALUE"""),"BLUE")</f>
        <v>BLUE</v>
      </c>
      <c r="G199" s="20" t="str">
        <f>IFERROR(__xludf.DUMMYFUNCTION("""COMPUTED_VALUE"""),"Uncle Sams Cider (04/04/2023)")</f>
        <v>Uncle Sams Cider (04/04/2023)</v>
      </c>
      <c r="H199" s="19"/>
    </row>
    <row r="200">
      <c r="A200" s="9"/>
      <c r="B200" s="15"/>
      <c r="C200" s="9">
        <f>IFERROR(__xludf.DUMMYFUNCTION("""COMPUTED_VALUE"""),45142.5554224537)</f>
        <v>45142.55542</v>
      </c>
      <c r="D200" s="15">
        <f>IFERROR(__xludf.DUMMYFUNCTION("""COMPUTED_VALUE"""),0.998)</f>
        <v>0.998</v>
      </c>
      <c r="E200" s="16">
        <f>IFERROR(__xludf.DUMMYFUNCTION("""COMPUTED_VALUE"""),72.0)</f>
        <v>72</v>
      </c>
      <c r="F200" s="19" t="str">
        <f>IFERROR(__xludf.DUMMYFUNCTION("""COMPUTED_VALUE"""),"BLUE")</f>
        <v>BLUE</v>
      </c>
      <c r="G200" s="20" t="str">
        <f>IFERROR(__xludf.DUMMYFUNCTION("""COMPUTED_VALUE"""),"Uncle Sams Cider (04/04/2023)")</f>
        <v>Uncle Sams Cider (04/04/2023)</v>
      </c>
      <c r="H200" s="19"/>
    </row>
    <row r="201">
      <c r="A201" s="9"/>
      <c r="B201" s="15"/>
      <c r="C201" s="9">
        <f>IFERROR(__xludf.DUMMYFUNCTION("""COMPUTED_VALUE"""),45142.5450014004)</f>
        <v>45142.545</v>
      </c>
      <c r="D201" s="15">
        <f>IFERROR(__xludf.DUMMYFUNCTION("""COMPUTED_VALUE"""),0.998)</f>
        <v>0.998</v>
      </c>
      <c r="E201" s="16">
        <f>IFERROR(__xludf.DUMMYFUNCTION("""COMPUTED_VALUE"""),72.0)</f>
        <v>72</v>
      </c>
      <c r="F201" s="19" t="str">
        <f>IFERROR(__xludf.DUMMYFUNCTION("""COMPUTED_VALUE"""),"BLUE")</f>
        <v>BLUE</v>
      </c>
      <c r="G201" s="20" t="str">
        <f>IFERROR(__xludf.DUMMYFUNCTION("""COMPUTED_VALUE"""),"Uncle Sams Cider (04/04/2023)")</f>
        <v>Uncle Sams Cider (04/04/2023)</v>
      </c>
      <c r="H201" s="19"/>
    </row>
    <row r="202">
      <c r="A202" s="9"/>
      <c r="B202" s="15"/>
      <c r="C202" s="9">
        <f>IFERROR(__xludf.DUMMYFUNCTION("""COMPUTED_VALUE"""),45142.5345809722)</f>
        <v>45142.53458</v>
      </c>
      <c r="D202" s="15">
        <f>IFERROR(__xludf.DUMMYFUNCTION("""COMPUTED_VALUE"""),0.998)</f>
        <v>0.998</v>
      </c>
      <c r="E202" s="16">
        <f>IFERROR(__xludf.DUMMYFUNCTION("""COMPUTED_VALUE"""),72.0)</f>
        <v>72</v>
      </c>
      <c r="F202" s="19" t="str">
        <f>IFERROR(__xludf.DUMMYFUNCTION("""COMPUTED_VALUE"""),"BLUE")</f>
        <v>BLUE</v>
      </c>
      <c r="G202" s="20" t="str">
        <f>IFERROR(__xludf.DUMMYFUNCTION("""COMPUTED_VALUE"""),"Uncle Sams Cider (04/04/2023)")</f>
        <v>Uncle Sams Cider (04/04/2023)</v>
      </c>
      <c r="H202" s="19"/>
    </row>
    <row r="203">
      <c r="A203" s="9"/>
      <c r="B203" s="15"/>
      <c r="C203" s="9">
        <f>IFERROR(__xludf.DUMMYFUNCTION("""COMPUTED_VALUE"""),45142.5241597916)</f>
        <v>45142.52416</v>
      </c>
      <c r="D203" s="15">
        <f>IFERROR(__xludf.DUMMYFUNCTION("""COMPUTED_VALUE"""),0.998)</f>
        <v>0.998</v>
      </c>
      <c r="E203" s="16">
        <f>IFERROR(__xludf.DUMMYFUNCTION("""COMPUTED_VALUE"""),72.0)</f>
        <v>72</v>
      </c>
      <c r="F203" s="19" t="str">
        <f>IFERROR(__xludf.DUMMYFUNCTION("""COMPUTED_VALUE"""),"BLUE")</f>
        <v>BLUE</v>
      </c>
      <c r="G203" s="20" t="str">
        <f>IFERROR(__xludf.DUMMYFUNCTION("""COMPUTED_VALUE"""),"Uncle Sams Cider (04/04/2023)")</f>
        <v>Uncle Sams Cider (04/04/2023)</v>
      </c>
      <c r="H203" s="19"/>
    </row>
    <row r="204">
      <c r="A204" s="9"/>
      <c r="B204" s="15"/>
      <c r="C204" s="9">
        <f>IFERROR(__xludf.DUMMYFUNCTION("""COMPUTED_VALUE"""),45142.5137382754)</f>
        <v>45142.51374</v>
      </c>
      <c r="D204" s="15">
        <f>IFERROR(__xludf.DUMMYFUNCTION("""COMPUTED_VALUE"""),0.998)</f>
        <v>0.998</v>
      </c>
      <c r="E204" s="16">
        <f>IFERROR(__xludf.DUMMYFUNCTION("""COMPUTED_VALUE"""),72.0)</f>
        <v>72</v>
      </c>
      <c r="F204" s="19" t="str">
        <f>IFERROR(__xludf.DUMMYFUNCTION("""COMPUTED_VALUE"""),"BLUE")</f>
        <v>BLUE</v>
      </c>
      <c r="G204" s="20" t="str">
        <f>IFERROR(__xludf.DUMMYFUNCTION("""COMPUTED_VALUE"""),"Uncle Sams Cider (04/04/2023)")</f>
        <v>Uncle Sams Cider (04/04/2023)</v>
      </c>
      <c r="H204" s="19"/>
    </row>
    <row r="205">
      <c r="A205" s="9"/>
      <c r="B205" s="15"/>
      <c r="C205" s="9">
        <f>IFERROR(__xludf.DUMMYFUNCTION("""COMPUTED_VALUE"""),45142.5033181134)</f>
        <v>45142.50332</v>
      </c>
      <c r="D205" s="15">
        <f>IFERROR(__xludf.DUMMYFUNCTION("""COMPUTED_VALUE"""),0.998)</f>
        <v>0.998</v>
      </c>
      <c r="E205" s="16">
        <f>IFERROR(__xludf.DUMMYFUNCTION("""COMPUTED_VALUE"""),72.0)</f>
        <v>72</v>
      </c>
      <c r="F205" s="19" t="str">
        <f>IFERROR(__xludf.DUMMYFUNCTION("""COMPUTED_VALUE"""),"BLUE")</f>
        <v>BLUE</v>
      </c>
      <c r="G205" s="20" t="str">
        <f>IFERROR(__xludf.DUMMYFUNCTION("""COMPUTED_VALUE"""),"Uncle Sams Cider (04/04/2023)")</f>
        <v>Uncle Sams Cider (04/04/2023)</v>
      </c>
      <c r="H205" s="19"/>
    </row>
    <row r="206">
      <c r="A206" s="9"/>
      <c r="B206" s="15"/>
      <c r="C206" s="9">
        <f>IFERROR(__xludf.DUMMYFUNCTION("""COMPUTED_VALUE"""),45142.4928760416)</f>
        <v>45142.49288</v>
      </c>
      <c r="D206" s="15">
        <f>IFERROR(__xludf.DUMMYFUNCTION("""COMPUTED_VALUE"""),0.998)</f>
        <v>0.998</v>
      </c>
      <c r="E206" s="16">
        <f>IFERROR(__xludf.DUMMYFUNCTION("""COMPUTED_VALUE"""),72.0)</f>
        <v>72</v>
      </c>
      <c r="F206" s="19" t="str">
        <f>IFERROR(__xludf.DUMMYFUNCTION("""COMPUTED_VALUE"""),"BLUE")</f>
        <v>BLUE</v>
      </c>
      <c r="G206" s="20" t="str">
        <f>IFERROR(__xludf.DUMMYFUNCTION("""COMPUTED_VALUE"""),"Uncle Sams Cider (04/04/2023)")</f>
        <v>Uncle Sams Cider (04/04/2023)</v>
      </c>
      <c r="H206" s="19"/>
    </row>
    <row r="207">
      <c r="A207" s="9"/>
      <c r="B207" s="15"/>
      <c r="C207" s="9">
        <f>IFERROR(__xludf.DUMMYFUNCTION("""COMPUTED_VALUE"""),45142.4824553935)</f>
        <v>45142.48246</v>
      </c>
      <c r="D207" s="15">
        <f>IFERROR(__xludf.DUMMYFUNCTION("""COMPUTED_VALUE"""),0.998)</f>
        <v>0.998</v>
      </c>
      <c r="E207" s="16">
        <f>IFERROR(__xludf.DUMMYFUNCTION("""COMPUTED_VALUE"""),72.0)</f>
        <v>72</v>
      </c>
      <c r="F207" s="19" t="str">
        <f>IFERROR(__xludf.DUMMYFUNCTION("""COMPUTED_VALUE"""),"BLUE")</f>
        <v>BLUE</v>
      </c>
      <c r="G207" s="20" t="str">
        <f>IFERROR(__xludf.DUMMYFUNCTION("""COMPUTED_VALUE"""),"Uncle Sams Cider (04/04/2023)")</f>
        <v>Uncle Sams Cider (04/04/2023)</v>
      </c>
      <c r="H207" s="19"/>
    </row>
    <row r="208">
      <c r="A208" s="9"/>
      <c r="B208" s="15"/>
      <c r="C208" s="9">
        <f>IFERROR(__xludf.DUMMYFUNCTION("""COMPUTED_VALUE"""),45142.4720218402)</f>
        <v>45142.47202</v>
      </c>
      <c r="D208" s="15">
        <f>IFERROR(__xludf.DUMMYFUNCTION("""COMPUTED_VALUE"""),0.998)</f>
        <v>0.998</v>
      </c>
      <c r="E208" s="16">
        <f>IFERROR(__xludf.DUMMYFUNCTION("""COMPUTED_VALUE"""),72.0)</f>
        <v>72</v>
      </c>
      <c r="F208" s="19" t="str">
        <f>IFERROR(__xludf.DUMMYFUNCTION("""COMPUTED_VALUE"""),"BLUE")</f>
        <v>BLUE</v>
      </c>
      <c r="G208" s="20" t="str">
        <f>IFERROR(__xludf.DUMMYFUNCTION("""COMPUTED_VALUE"""),"Uncle Sams Cider (04/04/2023)")</f>
        <v>Uncle Sams Cider (04/04/2023)</v>
      </c>
      <c r="H208" s="19"/>
    </row>
    <row r="209">
      <c r="A209" s="9"/>
      <c r="B209" s="15"/>
      <c r="C209" s="9">
        <f>IFERROR(__xludf.DUMMYFUNCTION("""COMPUTED_VALUE"""),45142.4616004745)</f>
        <v>45142.4616</v>
      </c>
      <c r="D209" s="15">
        <f>IFERROR(__xludf.DUMMYFUNCTION("""COMPUTED_VALUE"""),0.998)</f>
        <v>0.998</v>
      </c>
      <c r="E209" s="16">
        <f>IFERROR(__xludf.DUMMYFUNCTION("""COMPUTED_VALUE"""),72.0)</f>
        <v>72</v>
      </c>
      <c r="F209" s="19" t="str">
        <f>IFERROR(__xludf.DUMMYFUNCTION("""COMPUTED_VALUE"""),"BLUE")</f>
        <v>BLUE</v>
      </c>
      <c r="G209" s="20" t="str">
        <f>IFERROR(__xludf.DUMMYFUNCTION("""COMPUTED_VALUE"""),"Uncle Sams Cider (04/04/2023)")</f>
        <v>Uncle Sams Cider (04/04/2023)</v>
      </c>
      <c r="H209" s="19"/>
    </row>
    <row r="210">
      <c r="A210" s="9"/>
      <c r="B210" s="15"/>
      <c r="C210" s="9">
        <f>IFERROR(__xludf.DUMMYFUNCTION("""COMPUTED_VALUE"""),45142.4511804166)</f>
        <v>45142.45118</v>
      </c>
      <c r="D210" s="15">
        <f>IFERROR(__xludf.DUMMYFUNCTION("""COMPUTED_VALUE"""),0.998)</f>
        <v>0.998</v>
      </c>
      <c r="E210" s="16">
        <f>IFERROR(__xludf.DUMMYFUNCTION("""COMPUTED_VALUE"""),72.0)</f>
        <v>72</v>
      </c>
      <c r="F210" s="19" t="str">
        <f>IFERROR(__xludf.DUMMYFUNCTION("""COMPUTED_VALUE"""),"BLUE")</f>
        <v>BLUE</v>
      </c>
      <c r="G210" s="20" t="str">
        <f>IFERROR(__xludf.DUMMYFUNCTION("""COMPUTED_VALUE"""),"Uncle Sams Cider (04/04/2023)")</f>
        <v>Uncle Sams Cider (04/04/2023)</v>
      </c>
      <c r="H210" s="19"/>
    </row>
    <row r="211">
      <c r="A211" s="9"/>
      <c r="B211" s="15"/>
      <c r="C211" s="9">
        <f>IFERROR(__xludf.DUMMYFUNCTION("""COMPUTED_VALUE"""),45142.4407607407)</f>
        <v>45142.44076</v>
      </c>
      <c r="D211" s="15">
        <f>IFERROR(__xludf.DUMMYFUNCTION("""COMPUTED_VALUE"""),0.998)</f>
        <v>0.998</v>
      </c>
      <c r="E211" s="16">
        <f>IFERROR(__xludf.DUMMYFUNCTION("""COMPUTED_VALUE"""),72.0)</f>
        <v>72</v>
      </c>
      <c r="F211" s="19" t="str">
        <f>IFERROR(__xludf.DUMMYFUNCTION("""COMPUTED_VALUE"""),"BLUE")</f>
        <v>BLUE</v>
      </c>
      <c r="G211" s="20" t="str">
        <f>IFERROR(__xludf.DUMMYFUNCTION("""COMPUTED_VALUE"""),"Uncle Sams Cider (04/04/2023)")</f>
        <v>Uncle Sams Cider (04/04/2023)</v>
      </c>
      <c r="H211" s="19"/>
    </row>
    <row r="212">
      <c r="A212" s="9"/>
      <c r="B212" s="15"/>
      <c r="C212" s="9">
        <f>IFERROR(__xludf.DUMMYFUNCTION("""COMPUTED_VALUE"""),45142.4303384838)</f>
        <v>45142.43034</v>
      </c>
      <c r="D212" s="15">
        <f>IFERROR(__xludf.DUMMYFUNCTION("""COMPUTED_VALUE"""),0.998)</f>
        <v>0.998</v>
      </c>
      <c r="E212" s="16">
        <f>IFERROR(__xludf.DUMMYFUNCTION("""COMPUTED_VALUE"""),72.0)</f>
        <v>72</v>
      </c>
      <c r="F212" s="19" t="str">
        <f>IFERROR(__xludf.DUMMYFUNCTION("""COMPUTED_VALUE"""),"BLUE")</f>
        <v>BLUE</v>
      </c>
      <c r="G212" s="20" t="str">
        <f>IFERROR(__xludf.DUMMYFUNCTION("""COMPUTED_VALUE"""),"Uncle Sams Cider (04/04/2023)")</f>
        <v>Uncle Sams Cider (04/04/2023)</v>
      </c>
      <c r="H212" s="19"/>
    </row>
    <row r="213">
      <c r="A213" s="9"/>
      <c r="B213" s="15"/>
      <c r="C213" s="9">
        <f>IFERROR(__xludf.DUMMYFUNCTION("""COMPUTED_VALUE"""),45142.4199163078)</f>
        <v>45142.41992</v>
      </c>
      <c r="D213" s="15">
        <f>IFERROR(__xludf.DUMMYFUNCTION("""COMPUTED_VALUE"""),0.998)</f>
        <v>0.998</v>
      </c>
      <c r="E213" s="16">
        <f>IFERROR(__xludf.DUMMYFUNCTION("""COMPUTED_VALUE"""),72.0)</f>
        <v>72</v>
      </c>
      <c r="F213" s="19" t="str">
        <f>IFERROR(__xludf.DUMMYFUNCTION("""COMPUTED_VALUE"""),"BLUE")</f>
        <v>BLUE</v>
      </c>
      <c r="G213" s="20" t="str">
        <f>IFERROR(__xludf.DUMMYFUNCTION("""COMPUTED_VALUE"""),"Uncle Sams Cider (04/04/2023)")</f>
        <v>Uncle Sams Cider (04/04/2023)</v>
      </c>
      <c r="H213" s="19"/>
    </row>
    <row r="214">
      <c r="A214" s="9"/>
      <c r="B214" s="15"/>
      <c r="C214" s="9">
        <f>IFERROR(__xludf.DUMMYFUNCTION("""COMPUTED_VALUE"""),45142.4094832638)</f>
        <v>45142.40948</v>
      </c>
      <c r="D214" s="15">
        <f>IFERROR(__xludf.DUMMYFUNCTION("""COMPUTED_VALUE"""),0.998)</f>
        <v>0.998</v>
      </c>
      <c r="E214" s="16">
        <f>IFERROR(__xludf.DUMMYFUNCTION("""COMPUTED_VALUE"""),72.0)</f>
        <v>72</v>
      </c>
      <c r="F214" s="19" t="str">
        <f>IFERROR(__xludf.DUMMYFUNCTION("""COMPUTED_VALUE"""),"BLUE")</f>
        <v>BLUE</v>
      </c>
      <c r="G214" s="20" t="str">
        <f>IFERROR(__xludf.DUMMYFUNCTION("""COMPUTED_VALUE"""),"Uncle Sams Cider (04/04/2023)")</f>
        <v>Uncle Sams Cider (04/04/2023)</v>
      </c>
      <c r="H214" s="19"/>
    </row>
    <row r="215">
      <c r="A215" s="9"/>
      <c r="B215" s="15"/>
      <c r="C215" s="9">
        <f>IFERROR(__xludf.DUMMYFUNCTION("""COMPUTED_VALUE"""),45142.3990635648)</f>
        <v>45142.39906</v>
      </c>
      <c r="D215" s="15">
        <f>IFERROR(__xludf.DUMMYFUNCTION("""COMPUTED_VALUE"""),0.998)</f>
        <v>0.998</v>
      </c>
      <c r="E215" s="16">
        <f>IFERROR(__xludf.DUMMYFUNCTION("""COMPUTED_VALUE"""),72.0)</f>
        <v>72</v>
      </c>
      <c r="F215" s="19" t="str">
        <f>IFERROR(__xludf.DUMMYFUNCTION("""COMPUTED_VALUE"""),"BLUE")</f>
        <v>BLUE</v>
      </c>
      <c r="G215" s="20" t="str">
        <f>IFERROR(__xludf.DUMMYFUNCTION("""COMPUTED_VALUE"""),"Uncle Sams Cider (04/04/2023)")</f>
        <v>Uncle Sams Cider (04/04/2023)</v>
      </c>
      <c r="H215" s="19"/>
    </row>
    <row r="216">
      <c r="A216" s="9"/>
      <c r="B216" s="15"/>
      <c r="C216" s="9">
        <f>IFERROR(__xludf.DUMMYFUNCTION("""COMPUTED_VALUE"""),45142.3886307407)</f>
        <v>45142.38863</v>
      </c>
      <c r="D216" s="15">
        <f>IFERROR(__xludf.DUMMYFUNCTION("""COMPUTED_VALUE"""),0.998)</f>
        <v>0.998</v>
      </c>
      <c r="E216" s="16">
        <f>IFERROR(__xludf.DUMMYFUNCTION("""COMPUTED_VALUE"""),72.0)</f>
        <v>72</v>
      </c>
      <c r="F216" s="19" t="str">
        <f>IFERROR(__xludf.DUMMYFUNCTION("""COMPUTED_VALUE"""),"BLUE")</f>
        <v>BLUE</v>
      </c>
      <c r="G216" s="20" t="str">
        <f>IFERROR(__xludf.DUMMYFUNCTION("""COMPUTED_VALUE"""),"Uncle Sams Cider (04/04/2023)")</f>
        <v>Uncle Sams Cider (04/04/2023)</v>
      </c>
      <c r="H216" s="19"/>
    </row>
    <row r="217">
      <c r="A217" s="9"/>
      <c r="B217" s="15"/>
      <c r="C217" s="9">
        <f>IFERROR(__xludf.DUMMYFUNCTION("""COMPUTED_VALUE"""),45142.3782096412)</f>
        <v>45142.37821</v>
      </c>
      <c r="D217" s="15">
        <f>IFERROR(__xludf.DUMMYFUNCTION("""COMPUTED_VALUE"""),0.998)</f>
        <v>0.998</v>
      </c>
      <c r="E217" s="16">
        <f>IFERROR(__xludf.DUMMYFUNCTION("""COMPUTED_VALUE"""),72.0)</f>
        <v>72</v>
      </c>
      <c r="F217" s="19" t="str">
        <f>IFERROR(__xludf.DUMMYFUNCTION("""COMPUTED_VALUE"""),"BLUE")</f>
        <v>BLUE</v>
      </c>
      <c r="G217" s="20" t="str">
        <f>IFERROR(__xludf.DUMMYFUNCTION("""COMPUTED_VALUE"""),"Uncle Sams Cider (04/04/2023)")</f>
        <v>Uncle Sams Cider (04/04/2023)</v>
      </c>
      <c r="H217" s="19"/>
    </row>
    <row r="218">
      <c r="A218" s="9"/>
      <c r="B218" s="15"/>
      <c r="C218" s="9">
        <f>IFERROR(__xludf.DUMMYFUNCTION("""COMPUTED_VALUE"""),45142.3677760648)</f>
        <v>45142.36778</v>
      </c>
      <c r="D218" s="15">
        <f>IFERROR(__xludf.DUMMYFUNCTION("""COMPUTED_VALUE"""),0.998)</f>
        <v>0.998</v>
      </c>
      <c r="E218" s="16">
        <f>IFERROR(__xludf.DUMMYFUNCTION("""COMPUTED_VALUE"""),72.0)</f>
        <v>72</v>
      </c>
      <c r="F218" s="19" t="str">
        <f>IFERROR(__xludf.DUMMYFUNCTION("""COMPUTED_VALUE"""),"BLUE")</f>
        <v>BLUE</v>
      </c>
      <c r="G218" s="20" t="str">
        <f>IFERROR(__xludf.DUMMYFUNCTION("""COMPUTED_VALUE"""),"Uncle Sams Cider (04/04/2023)")</f>
        <v>Uncle Sams Cider (04/04/2023)</v>
      </c>
      <c r="H218" s="19"/>
    </row>
    <row r="219">
      <c r="A219" s="9"/>
      <c r="B219" s="15"/>
      <c r="C219" s="9">
        <f>IFERROR(__xludf.DUMMYFUNCTION("""COMPUTED_VALUE"""),45142.3573425578)</f>
        <v>45142.35734</v>
      </c>
      <c r="D219" s="15">
        <f>IFERROR(__xludf.DUMMYFUNCTION("""COMPUTED_VALUE"""),0.998)</f>
        <v>0.998</v>
      </c>
      <c r="E219" s="16">
        <f>IFERROR(__xludf.DUMMYFUNCTION("""COMPUTED_VALUE"""),72.0)</f>
        <v>72</v>
      </c>
      <c r="F219" s="19" t="str">
        <f>IFERROR(__xludf.DUMMYFUNCTION("""COMPUTED_VALUE"""),"BLUE")</f>
        <v>BLUE</v>
      </c>
      <c r="G219" s="20" t="str">
        <f>IFERROR(__xludf.DUMMYFUNCTION("""COMPUTED_VALUE"""),"Uncle Sams Cider (04/04/2023)")</f>
        <v>Uncle Sams Cider (04/04/2023)</v>
      </c>
      <c r="H219" s="19"/>
    </row>
    <row r="220">
      <c r="A220" s="9"/>
      <c r="B220" s="15"/>
      <c r="C220" s="9">
        <f>IFERROR(__xludf.DUMMYFUNCTION("""COMPUTED_VALUE"""),45142.3469225694)</f>
        <v>45142.34692</v>
      </c>
      <c r="D220" s="15">
        <f>IFERROR(__xludf.DUMMYFUNCTION("""COMPUTED_VALUE"""),0.998)</f>
        <v>0.998</v>
      </c>
      <c r="E220" s="16">
        <f>IFERROR(__xludf.DUMMYFUNCTION("""COMPUTED_VALUE"""),72.0)</f>
        <v>72</v>
      </c>
      <c r="F220" s="19" t="str">
        <f>IFERROR(__xludf.DUMMYFUNCTION("""COMPUTED_VALUE"""),"BLUE")</f>
        <v>BLUE</v>
      </c>
      <c r="G220" s="20" t="str">
        <f>IFERROR(__xludf.DUMMYFUNCTION("""COMPUTED_VALUE"""),"Uncle Sams Cider (04/04/2023)")</f>
        <v>Uncle Sams Cider (04/04/2023)</v>
      </c>
      <c r="H220" s="19"/>
    </row>
    <row r="221">
      <c r="A221" s="9"/>
      <c r="B221" s="15"/>
      <c r="C221" s="9">
        <f>IFERROR(__xludf.DUMMYFUNCTION("""COMPUTED_VALUE"""),45142.3364901504)</f>
        <v>45142.33649</v>
      </c>
      <c r="D221" s="15">
        <f>IFERROR(__xludf.DUMMYFUNCTION("""COMPUTED_VALUE"""),0.998)</f>
        <v>0.998</v>
      </c>
      <c r="E221" s="16">
        <f>IFERROR(__xludf.DUMMYFUNCTION("""COMPUTED_VALUE"""),72.0)</f>
        <v>72</v>
      </c>
      <c r="F221" s="19" t="str">
        <f>IFERROR(__xludf.DUMMYFUNCTION("""COMPUTED_VALUE"""),"BLUE")</f>
        <v>BLUE</v>
      </c>
      <c r="G221" s="20" t="str">
        <f>IFERROR(__xludf.DUMMYFUNCTION("""COMPUTED_VALUE"""),"Uncle Sams Cider (04/04/2023)")</f>
        <v>Uncle Sams Cider (04/04/2023)</v>
      </c>
      <c r="H221" s="19"/>
    </row>
    <row r="222">
      <c r="A222" s="9"/>
      <c r="B222" s="15"/>
      <c r="C222" s="9">
        <f>IFERROR(__xludf.DUMMYFUNCTION("""COMPUTED_VALUE"""),45142.3260682986)</f>
        <v>45142.32607</v>
      </c>
      <c r="D222" s="15">
        <f>IFERROR(__xludf.DUMMYFUNCTION("""COMPUTED_VALUE"""),0.998)</f>
        <v>0.998</v>
      </c>
      <c r="E222" s="16">
        <f>IFERROR(__xludf.DUMMYFUNCTION("""COMPUTED_VALUE"""),72.0)</f>
        <v>72</v>
      </c>
      <c r="F222" s="19" t="str">
        <f>IFERROR(__xludf.DUMMYFUNCTION("""COMPUTED_VALUE"""),"BLUE")</f>
        <v>BLUE</v>
      </c>
      <c r="G222" s="20" t="str">
        <f>IFERROR(__xludf.DUMMYFUNCTION("""COMPUTED_VALUE"""),"Uncle Sams Cider (04/04/2023)")</f>
        <v>Uncle Sams Cider (04/04/2023)</v>
      </c>
      <c r="H222" s="19"/>
    </row>
    <row r="223">
      <c r="A223" s="9"/>
      <c r="B223" s="15"/>
      <c r="C223" s="9">
        <f>IFERROR(__xludf.DUMMYFUNCTION("""COMPUTED_VALUE"""),45142.3156489236)</f>
        <v>45142.31565</v>
      </c>
      <c r="D223" s="15">
        <f>IFERROR(__xludf.DUMMYFUNCTION("""COMPUTED_VALUE"""),0.998)</f>
        <v>0.998</v>
      </c>
      <c r="E223" s="16">
        <f>IFERROR(__xludf.DUMMYFUNCTION("""COMPUTED_VALUE"""),72.0)</f>
        <v>72</v>
      </c>
      <c r="F223" s="19" t="str">
        <f>IFERROR(__xludf.DUMMYFUNCTION("""COMPUTED_VALUE"""),"BLUE")</f>
        <v>BLUE</v>
      </c>
      <c r="G223" s="20" t="str">
        <f>IFERROR(__xludf.DUMMYFUNCTION("""COMPUTED_VALUE"""),"Uncle Sams Cider (04/04/2023)")</f>
        <v>Uncle Sams Cider (04/04/2023)</v>
      </c>
      <c r="H223" s="19"/>
    </row>
    <row r="224">
      <c r="A224" s="9"/>
      <c r="B224" s="15"/>
      <c r="C224" s="9">
        <f>IFERROR(__xludf.DUMMYFUNCTION("""COMPUTED_VALUE"""),45142.3052263888)</f>
        <v>45142.30523</v>
      </c>
      <c r="D224" s="15">
        <f>IFERROR(__xludf.DUMMYFUNCTION("""COMPUTED_VALUE"""),0.998)</f>
        <v>0.998</v>
      </c>
      <c r="E224" s="16">
        <f>IFERROR(__xludf.DUMMYFUNCTION("""COMPUTED_VALUE"""),72.0)</f>
        <v>72</v>
      </c>
      <c r="F224" s="19" t="str">
        <f>IFERROR(__xludf.DUMMYFUNCTION("""COMPUTED_VALUE"""),"BLUE")</f>
        <v>BLUE</v>
      </c>
      <c r="G224" s="20" t="str">
        <f>IFERROR(__xludf.DUMMYFUNCTION("""COMPUTED_VALUE"""),"Uncle Sams Cider (04/04/2023)")</f>
        <v>Uncle Sams Cider (04/04/2023)</v>
      </c>
      <c r="H224" s="19"/>
    </row>
    <row r="225">
      <c r="A225" s="9"/>
      <c r="B225" s="15"/>
      <c r="C225" s="9">
        <f>IFERROR(__xludf.DUMMYFUNCTION("""COMPUTED_VALUE"""),45142.2948062384)</f>
        <v>45142.29481</v>
      </c>
      <c r="D225" s="15">
        <f>IFERROR(__xludf.DUMMYFUNCTION("""COMPUTED_VALUE"""),0.998)</f>
        <v>0.998</v>
      </c>
      <c r="E225" s="16">
        <f>IFERROR(__xludf.DUMMYFUNCTION("""COMPUTED_VALUE"""),72.0)</f>
        <v>72</v>
      </c>
      <c r="F225" s="19" t="str">
        <f>IFERROR(__xludf.DUMMYFUNCTION("""COMPUTED_VALUE"""),"BLUE")</f>
        <v>BLUE</v>
      </c>
      <c r="G225" s="20" t="str">
        <f>IFERROR(__xludf.DUMMYFUNCTION("""COMPUTED_VALUE"""),"Uncle Sams Cider (04/04/2023)")</f>
        <v>Uncle Sams Cider (04/04/2023)</v>
      </c>
      <c r="H225" s="19"/>
    </row>
    <row r="226">
      <c r="A226" s="9"/>
      <c r="B226" s="15"/>
      <c r="C226" s="9">
        <f>IFERROR(__xludf.DUMMYFUNCTION("""COMPUTED_VALUE"""),45142.2843854629)</f>
        <v>45142.28439</v>
      </c>
      <c r="D226" s="15">
        <f>IFERROR(__xludf.DUMMYFUNCTION("""COMPUTED_VALUE"""),0.998)</f>
        <v>0.998</v>
      </c>
      <c r="E226" s="16">
        <f>IFERROR(__xludf.DUMMYFUNCTION("""COMPUTED_VALUE"""),72.0)</f>
        <v>72</v>
      </c>
      <c r="F226" s="19" t="str">
        <f>IFERROR(__xludf.DUMMYFUNCTION("""COMPUTED_VALUE"""),"BLUE")</f>
        <v>BLUE</v>
      </c>
      <c r="G226" s="20" t="str">
        <f>IFERROR(__xludf.DUMMYFUNCTION("""COMPUTED_VALUE"""),"Uncle Sams Cider (04/04/2023)")</f>
        <v>Uncle Sams Cider (04/04/2023)</v>
      </c>
      <c r="H226" s="19"/>
    </row>
    <row r="227">
      <c r="A227" s="9"/>
      <c r="B227" s="15"/>
      <c r="C227" s="9">
        <f>IFERROR(__xludf.DUMMYFUNCTION("""COMPUTED_VALUE"""),45142.2739635069)</f>
        <v>45142.27396</v>
      </c>
      <c r="D227" s="15">
        <f>IFERROR(__xludf.DUMMYFUNCTION("""COMPUTED_VALUE"""),0.998)</f>
        <v>0.998</v>
      </c>
      <c r="E227" s="16">
        <f>IFERROR(__xludf.DUMMYFUNCTION("""COMPUTED_VALUE"""),72.0)</f>
        <v>72</v>
      </c>
      <c r="F227" s="19" t="str">
        <f>IFERROR(__xludf.DUMMYFUNCTION("""COMPUTED_VALUE"""),"BLUE")</f>
        <v>BLUE</v>
      </c>
      <c r="G227" s="20" t="str">
        <f>IFERROR(__xludf.DUMMYFUNCTION("""COMPUTED_VALUE"""),"Uncle Sams Cider (04/04/2023)")</f>
        <v>Uncle Sams Cider (04/04/2023)</v>
      </c>
      <c r="H227" s="19"/>
    </row>
    <row r="228">
      <c r="A228" s="9"/>
      <c r="B228" s="15"/>
      <c r="C228" s="9">
        <f>IFERROR(__xludf.DUMMYFUNCTION("""COMPUTED_VALUE"""),45142.2635417708)</f>
        <v>45142.26354</v>
      </c>
      <c r="D228" s="15">
        <f>IFERROR(__xludf.DUMMYFUNCTION("""COMPUTED_VALUE"""),0.998)</f>
        <v>0.998</v>
      </c>
      <c r="E228" s="16">
        <f>IFERROR(__xludf.DUMMYFUNCTION("""COMPUTED_VALUE"""),72.0)</f>
        <v>72</v>
      </c>
      <c r="F228" s="19" t="str">
        <f>IFERROR(__xludf.DUMMYFUNCTION("""COMPUTED_VALUE"""),"BLUE")</f>
        <v>BLUE</v>
      </c>
      <c r="G228" s="20" t="str">
        <f>IFERROR(__xludf.DUMMYFUNCTION("""COMPUTED_VALUE"""),"Uncle Sams Cider (04/04/2023)")</f>
        <v>Uncle Sams Cider (04/04/2023)</v>
      </c>
      <c r="H228" s="19"/>
    </row>
    <row r="229">
      <c r="A229" s="9"/>
      <c r="B229" s="15"/>
      <c r="C229" s="9">
        <f>IFERROR(__xludf.DUMMYFUNCTION("""COMPUTED_VALUE"""),45142.2531207986)</f>
        <v>45142.25312</v>
      </c>
      <c r="D229" s="15">
        <f>IFERROR(__xludf.DUMMYFUNCTION("""COMPUTED_VALUE"""),0.998)</f>
        <v>0.998</v>
      </c>
      <c r="E229" s="16">
        <f>IFERROR(__xludf.DUMMYFUNCTION("""COMPUTED_VALUE"""),72.0)</f>
        <v>72</v>
      </c>
      <c r="F229" s="19" t="str">
        <f>IFERROR(__xludf.DUMMYFUNCTION("""COMPUTED_VALUE"""),"BLUE")</f>
        <v>BLUE</v>
      </c>
      <c r="G229" s="20" t="str">
        <f>IFERROR(__xludf.DUMMYFUNCTION("""COMPUTED_VALUE"""),"Uncle Sams Cider (04/04/2023)")</f>
        <v>Uncle Sams Cider (04/04/2023)</v>
      </c>
      <c r="H229" s="19"/>
    </row>
    <row r="230">
      <c r="A230" s="9"/>
      <c r="B230" s="15"/>
      <c r="C230" s="9">
        <f>IFERROR(__xludf.DUMMYFUNCTION("""COMPUTED_VALUE"""),45142.2426892476)</f>
        <v>45142.24269</v>
      </c>
      <c r="D230" s="15">
        <f>IFERROR(__xludf.DUMMYFUNCTION("""COMPUTED_VALUE"""),0.998)</f>
        <v>0.998</v>
      </c>
      <c r="E230" s="16">
        <f>IFERROR(__xludf.DUMMYFUNCTION("""COMPUTED_VALUE"""),72.0)</f>
        <v>72</v>
      </c>
      <c r="F230" s="19" t="str">
        <f>IFERROR(__xludf.DUMMYFUNCTION("""COMPUTED_VALUE"""),"BLUE")</f>
        <v>BLUE</v>
      </c>
      <c r="G230" s="20" t="str">
        <f>IFERROR(__xludf.DUMMYFUNCTION("""COMPUTED_VALUE"""),"Uncle Sams Cider (04/04/2023)")</f>
        <v>Uncle Sams Cider (04/04/2023)</v>
      </c>
      <c r="H230" s="19"/>
    </row>
    <row r="231">
      <c r="A231" s="9"/>
      <c r="B231" s="15"/>
      <c r="C231" s="9">
        <f>IFERROR(__xludf.DUMMYFUNCTION("""COMPUTED_VALUE"""),45142.232268831)</f>
        <v>45142.23227</v>
      </c>
      <c r="D231" s="15">
        <f>IFERROR(__xludf.DUMMYFUNCTION("""COMPUTED_VALUE"""),0.998)</f>
        <v>0.998</v>
      </c>
      <c r="E231" s="16">
        <f>IFERROR(__xludf.DUMMYFUNCTION("""COMPUTED_VALUE"""),72.0)</f>
        <v>72</v>
      </c>
      <c r="F231" s="19" t="str">
        <f>IFERROR(__xludf.DUMMYFUNCTION("""COMPUTED_VALUE"""),"BLUE")</f>
        <v>BLUE</v>
      </c>
      <c r="G231" s="20" t="str">
        <f>IFERROR(__xludf.DUMMYFUNCTION("""COMPUTED_VALUE"""),"Uncle Sams Cider (04/04/2023)")</f>
        <v>Uncle Sams Cider (04/04/2023)</v>
      </c>
      <c r="H231" s="19"/>
    </row>
    <row r="232">
      <c r="A232" s="9"/>
      <c r="B232" s="15"/>
      <c r="C232" s="9">
        <f>IFERROR(__xludf.DUMMYFUNCTION("""COMPUTED_VALUE"""),45142.2218487037)</f>
        <v>45142.22185</v>
      </c>
      <c r="D232" s="15">
        <f>IFERROR(__xludf.DUMMYFUNCTION("""COMPUTED_VALUE"""),0.998)</f>
        <v>0.998</v>
      </c>
      <c r="E232" s="16">
        <f>IFERROR(__xludf.DUMMYFUNCTION("""COMPUTED_VALUE"""),72.0)</f>
        <v>72</v>
      </c>
      <c r="F232" s="19" t="str">
        <f>IFERROR(__xludf.DUMMYFUNCTION("""COMPUTED_VALUE"""),"BLUE")</f>
        <v>BLUE</v>
      </c>
      <c r="G232" s="20" t="str">
        <f>IFERROR(__xludf.DUMMYFUNCTION("""COMPUTED_VALUE"""),"Uncle Sams Cider (04/04/2023)")</f>
        <v>Uncle Sams Cider (04/04/2023)</v>
      </c>
      <c r="H232" s="19"/>
    </row>
    <row r="233">
      <c r="A233" s="9"/>
      <c r="B233" s="15"/>
      <c r="C233" s="9">
        <f>IFERROR(__xludf.DUMMYFUNCTION("""COMPUTED_VALUE"""),45142.2114148495)</f>
        <v>45142.21141</v>
      </c>
      <c r="D233" s="15">
        <f>IFERROR(__xludf.DUMMYFUNCTION("""COMPUTED_VALUE"""),0.998)</f>
        <v>0.998</v>
      </c>
      <c r="E233" s="16">
        <f>IFERROR(__xludf.DUMMYFUNCTION("""COMPUTED_VALUE"""),72.0)</f>
        <v>72</v>
      </c>
      <c r="F233" s="19" t="str">
        <f>IFERROR(__xludf.DUMMYFUNCTION("""COMPUTED_VALUE"""),"BLUE")</f>
        <v>BLUE</v>
      </c>
      <c r="G233" s="20" t="str">
        <f>IFERROR(__xludf.DUMMYFUNCTION("""COMPUTED_VALUE"""),"Uncle Sams Cider (04/04/2023)")</f>
        <v>Uncle Sams Cider (04/04/2023)</v>
      </c>
      <c r="H233" s="19"/>
    </row>
    <row r="234">
      <c r="A234" s="9"/>
      <c r="B234" s="15"/>
      <c r="C234" s="9">
        <f>IFERROR(__xludf.DUMMYFUNCTION("""COMPUTED_VALUE"""),45142.2009927083)</f>
        <v>45142.20099</v>
      </c>
      <c r="D234" s="15">
        <f>IFERROR(__xludf.DUMMYFUNCTION("""COMPUTED_VALUE"""),0.998)</f>
        <v>0.998</v>
      </c>
      <c r="E234" s="16">
        <f>IFERROR(__xludf.DUMMYFUNCTION("""COMPUTED_VALUE"""),72.0)</f>
        <v>72</v>
      </c>
      <c r="F234" s="19" t="str">
        <f>IFERROR(__xludf.DUMMYFUNCTION("""COMPUTED_VALUE"""),"BLUE")</f>
        <v>BLUE</v>
      </c>
      <c r="G234" s="20" t="str">
        <f>IFERROR(__xludf.DUMMYFUNCTION("""COMPUTED_VALUE"""),"Uncle Sams Cider (04/04/2023)")</f>
        <v>Uncle Sams Cider (04/04/2023)</v>
      </c>
      <c r="H234" s="19"/>
    </row>
    <row r="235">
      <c r="A235" s="9"/>
      <c r="B235" s="15"/>
      <c r="C235" s="9">
        <f>IFERROR(__xludf.DUMMYFUNCTION("""COMPUTED_VALUE"""),45142.1905708912)</f>
        <v>45142.19057</v>
      </c>
      <c r="D235" s="15">
        <f>IFERROR(__xludf.DUMMYFUNCTION("""COMPUTED_VALUE"""),0.998)</f>
        <v>0.998</v>
      </c>
      <c r="E235" s="16">
        <f>IFERROR(__xludf.DUMMYFUNCTION("""COMPUTED_VALUE"""),72.0)</f>
        <v>72</v>
      </c>
      <c r="F235" s="19" t="str">
        <f>IFERROR(__xludf.DUMMYFUNCTION("""COMPUTED_VALUE"""),"BLUE")</f>
        <v>BLUE</v>
      </c>
      <c r="G235" s="20" t="str">
        <f>IFERROR(__xludf.DUMMYFUNCTION("""COMPUTED_VALUE"""),"Uncle Sams Cider (04/04/2023)")</f>
        <v>Uncle Sams Cider (04/04/2023)</v>
      </c>
      <c r="H235" s="19"/>
    </row>
    <row r="236">
      <c r="A236" s="9"/>
      <c r="B236" s="15"/>
      <c r="C236" s="9">
        <f>IFERROR(__xludf.DUMMYFUNCTION("""COMPUTED_VALUE"""),45142.1801517476)</f>
        <v>45142.18015</v>
      </c>
      <c r="D236" s="15">
        <f>IFERROR(__xludf.DUMMYFUNCTION("""COMPUTED_VALUE"""),0.998)</f>
        <v>0.998</v>
      </c>
      <c r="E236" s="16">
        <f>IFERROR(__xludf.DUMMYFUNCTION("""COMPUTED_VALUE"""),72.0)</f>
        <v>72</v>
      </c>
      <c r="F236" s="19" t="str">
        <f>IFERROR(__xludf.DUMMYFUNCTION("""COMPUTED_VALUE"""),"BLUE")</f>
        <v>BLUE</v>
      </c>
      <c r="G236" s="20" t="str">
        <f>IFERROR(__xludf.DUMMYFUNCTION("""COMPUTED_VALUE"""),"Uncle Sams Cider (04/04/2023)")</f>
        <v>Uncle Sams Cider (04/04/2023)</v>
      </c>
      <c r="H236" s="19"/>
    </row>
    <row r="237">
      <c r="A237" s="9"/>
      <c r="B237" s="15"/>
      <c r="C237" s="9">
        <f>IFERROR(__xludf.DUMMYFUNCTION("""COMPUTED_VALUE"""),45142.1697186111)</f>
        <v>45142.16972</v>
      </c>
      <c r="D237" s="15">
        <f>IFERROR(__xludf.DUMMYFUNCTION("""COMPUTED_VALUE"""),0.998)</f>
        <v>0.998</v>
      </c>
      <c r="E237" s="16">
        <f>IFERROR(__xludf.DUMMYFUNCTION("""COMPUTED_VALUE"""),72.0)</f>
        <v>72</v>
      </c>
      <c r="F237" s="19" t="str">
        <f>IFERROR(__xludf.DUMMYFUNCTION("""COMPUTED_VALUE"""),"BLUE")</f>
        <v>BLUE</v>
      </c>
      <c r="G237" s="20" t="str">
        <f>IFERROR(__xludf.DUMMYFUNCTION("""COMPUTED_VALUE"""),"Uncle Sams Cider (04/04/2023)")</f>
        <v>Uncle Sams Cider (04/04/2023)</v>
      </c>
      <c r="H237" s="19"/>
    </row>
    <row r="238">
      <c r="A238" s="9"/>
      <c r="B238" s="15"/>
      <c r="C238" s="9">
        <f>IFERROR(__xludf.DUMMYFUNCTION("""COMPUTED_VALUE"""),45142.1592964467)</f>
        <v>45142.1593</v>
      </c>
      <c r="D238" s="15">
        <f>IFERROR(__xludf.DUMMYFUNCTION("""COMPUTED_VALUE"""),0.998)</f>
        <v>0.998</v>
      </c>
      <c r="E238" s="16">
        <f>IFERROR(__xludf.DUMMYFUNCTION("""COMPUTED_VALUE"""),72.0)</f>
        <v>72</v>
      </c>
      <c r="F238" s="19" t="str">
        <f>IFERROR(__xludf.DUMMYFUNCTION("""COMPUTED_VALUE"""),"BLUE")</f>
        <v>BLUE</v>
      </c>
      <c r="G238" s="20" t="str">
        <f>IFERROR(__xludf.DUMMYFUNCTION("""COMPUTED_VALUE"""),"Uncle Sams Cider (04/04/2023)")</f>
        <v>Uncle Sams Cider (04/04/2023)</v>
      </c>
      <c r="H238" s="19"/>
    </row>
    <row r="239">
      <c r="A239" s="9"/>
      <c r="B239" s="15"/>
      <c r="C239" s="9">
        <f>IFERROR(__xludf.DUMMYFUNCTION("""COMPUTED_VALUE"""),45142.1488641666)</f>
        <v>45142.14886</v>
      </c>
      <c r="D239" s="15">
        <f>IFERROR(__xludf.DUMMYFUNCTION("""COMPUTED_VALUE"""),0.998)</f>
        <v>0.998</v>
      </c>
      <c r="E239" s="16">
        <f>IFERROR(__xludf.DUMMYFUNCTION("""COMPUTED_VALUE"""),72.0)</f>
        <v>72</v>
      </c>
      <c r="F239" s="19" t="str">
        <f>IFERROR(__xludf.DUMMYFUNCTION("""COMPUTED_VALUE"""),"BLUE")</f>
        <v>BLUE</v>
      </c>
      <c r="G239" s="20" t="str">
        <f>IFERROR(__xludf.DUMMYFUNCTION("""COMPUTED_VALUE"""),"Uncle Sams Cider (04/04/2023)")</f>
        <v>Uncle Sams Cider (04/04/2023)</v>
      </c>
      <c r="H239" s="19"/>
    </row>
    <row r="240">
      <c r="A240" s="9"/>
      <c r="B240" s="15"/>
      <c r="C240" s="9">
        <f>IFERROR(__xludf.DUMMYFUNCTION("""COMPUTED_VALUE"""),45142.138443368)</f>
        <v>45142.13844</v>
      </c>
      <c r="D240" s="15">
        <f>IFERROR(__xludf.DUMMYFUNCTION("""COMPUTED_VALUE"""),0.998)</f>
        <v>0.998</v>
      </c>
      <c r="E240" s="16">
        <f>IFERROR(__xludf.DUMMYFUNCTION("""COMPUTED_VALUE"""),72.0)</f>
        <v>72</v>
      </c>
      <c r="F240" s="19" t="str">
        <f>IFERROR(__xludf.DUMMYFUNCTION("""COMPUTED_VALUE"""),"BLUE")</f>
        <v>BLUE</v>
      </c>
      <c r="G240" s="20" t="str">
        <f>IFERROR(__xludf.DUMMYFUNCTION("""COMPUTED_VALUE"""),"Uncle Sams Cider (04/04/2023)")</f>
        <v>Uncle Sams Cider (04/04/2023)</v>
      </c>
      <c r="H240" s="19"/>
    </row>
    <row r="241">
      <c r="A241" s="9"/>
      <c r="B241" s="15"/>
      <c r="C241" s="9">
        <f>IFERROR(__xludf.DUMMYFUNCTION("""COMPUTED_VALUE"""),45142.1280107407)</f>
        <v>45142.12801</v>
      </c>
      <c r="D241" s="15">
        <f>IFERROR(__xludf.DUMMYFUNCTION("""COMPUTED_VALUE"""),0.998)</f>
        <v>0.998</v>
      </c>
      <c r="E241" s="16">
        <f>IFERROR(__xludf.DUMMYFUNCTION("""COMPUTED_VALUE"""),72.0)</f>
        <v>72</v>
      </c>
      <c r="F241" s="19" t="str">
        <f>IFERROR(__xludf.DUMMYFUNCTION("""COMPUTED_VALUE"""),"BLUE")</f>
        <v>BLUE</v>
      </c>
      <c r="G241" s="20" t="str">
        <f>IFERROR(__xludf.DUMMYFUNCTION("""COMPUTED_VALUE"""),"Uncle Sams Cider (04/04/2023)")</f>
        <v>Uncle Sams Cider (04/04/2023)</v>
      </c>
      <c r="H241" s="19"/>
    </row>
    <row r="242">
      <c r="A242" s="9"/>
      <c r="B242" s="15"/>
      <c r="C242" s="9">
        <f>IFERROR(__xludf.DUMMYFUNCTION("""COMPUTED_VALUE"""),45142.1175899074)</f>
        <v>45142.11759</v>
      </c>
      <c r="D242" s="15">
        <f>IFERROR(__xludf.DUMMYFUNCTION("""COMPUTED_VALUE"""),0.998)</f>
        <v>0.998</v>
      </c>
      <c r="E242" s="16">
        <f>IFERROR(__xludf.DUMMYFUNCTION("""COMPUTED_VALUE"""),72.0)</f>
        <v>72</v>
      </c>
      <c r="F242" s="19" t="str">
        <f>IFERROR(__xludf.DUMMYFUNCTION("""COMPUTED_VALUE"""),"BLUE")</f>
        <v>BLUE</v>
      </c>
      <c r="G242" s="20" t="str">
        <f>IFERROR(__xludf.DUMMYFUNCTION("""COMPUTED_VALUE"""),"Uncle Sams Cider (04/04/2023)")</f>
        <v>Uncle Sams Cider (04/04/2023)</v>
      </c>
      <c r="H242" s="19"/>
    </row>
    <row r="243">
      <c r="A243" s="9"/>
      <c r="B243" s="15"/>
      <c r="C243" s="9">
        <f>IFERROR(__xludf.DUMMYFUNCTION("""COMPUTED_VALUE"""),45142.1071686458)</f>
        <v>45142.10717</v>
      </c>
      <c r="D243" s="15">
        <f>IFERROR(__xludf.DUMMYFUNCTION("""COMPUTED_VALUE"""),0.998)</f>
        <v>0.998</v>
      </c>
      <c r="E243" s="16">
        <f>IFERROR(__xludf.DUMMYFUNCTION("""COMPUTED_VALUE"""),72.0)</f>
        <v>72</v>
      </c>
      <c r="F243" s="19" t="str">
        <f>IFERROR(__xludf.DUMMYFUNCTION("""COMPUTED_VALUE"""),"BLUE")</f>
        <v>BLUE</v>
      </c>
      <c r="G243" s="20" t="str">
        <f>IFERROR(__xludf.DUMMYFUNCTION("""COMPUTED_VALUE"""),"Uncle Sams Cider (04/04/2023)")</f>
        <v>Uncle Sams Cider (04/04/2023)</v>
      </c>
      <c r="H243" s="19"/>
    </row>
    <row r="244">
      <c r="A244" s="9"/>
      <c r="B244" s="15"/>
      <c r="C244" s="9">
        <f>IFERROR(__xludf.DUMMYFUNCTION("""COMPUTED_VALUE"""),45142.096747662)</f>
        <v>45142.09675</v>
      </c>
      <c r="D244" s="15">
        <f>IFERROR(__xludf.DUMMYFUNCTION("""COMPUTED_VALUE"""),0.998)</f>
        <v>0.998</v>
      </c>
      <c r="E244" s="16">
        <f>IFERROR(__xludf.DUMMYFUNCTION("""COMPUTED_VALUE"""),72.0)</f>
        <v>72</v>
      </c>
      <c r="F244" s="19" t="str">
        <f>IFERROR(__xludf.DUMMYFUNCTION("""COMPUTED_VALUE"""),"BLUE")</f>
        <v>BLUE</v>
      </c>
      <c r="G244" s="20" t="str">
        <f>IFERROR(__xludf.DUMMYFUNCTION("""COMPUTED_VALUE"""),"Uncle Sams Cider (04/04/2023)")</f>
        <v>Uncle Sams Cider (04/04/2023)</v>
      </c>
      <c r="H244" s="19"/>
    </row>
    <row r="245">
      <c r="A245" s="9"/>
      <c r="B245" s="15"/>
      <c r="C245" s="9">
        <f>IFERROR(__xludf.DUMMYFUNCTION("""COMPUTED_VALUE"""),45142.0863271064)</f>
        <v>45142.08633</v>
      </c>
      <c r="D245" s="15">
        <f>IFERROR(__xludf.DUMMYFUNCTION("""COMPUTED_VALUE"""),0.998)</f>
        <v>0.998</v>
      </c>
      <c r="E245" s="16">
        <f>IFERROR(__xludf.DUMMYFUNCTION("""COMPUTED_VALUE"""),72.0)</f>
        <v>72</v>
      </c>
      <c r="F245" s="19" t="str">
        <f>IFERROR(__xludf.DUMMYFUNCTION("""COMPUTED_VALUE"""),"BLUE")</f>
        <v>BLUE</v>
      </c>
      <c r="G245" s="20" t="str">
        <f>IFERROR(__xludf.DUMMYFUNCTION("""COMPUTED_VALUE"""),"Uncle Sams Cider (04/04/2023)")</f>
        <v>Uncle Sams Cider (04/04/2023)</v>
      </c>
      <c r="H245" s="19"/>
    </row>
    <row r="246">
      <c r="A246" s="9"/>
      <c r="B246" s="15"/>
      <c r="C246" s="9">
        <f>IFERROR(__xludf.DUMMYFUNCTION("""COMPUTED_VALUE"""),45142.075905706)</f>
        <v>45142.07591</v>
      </c>
      <c r="D246" s="15">
        <f>IFERROR(__xludf.DUMMYFUNCTION("""COMPUTED_VALUE"""),0.998)</f>
        <v>0.998</v>
      </c>
      <c r="E246" s="16">
        <f>IFERROR(__xludf.DUMMYFUNCTION("""COMPUTED_VALUE"""),72.0)</f>
        <v>72</v>
      </c>
      <c r="F246" s="19" t="str">
        <f>IFERROR(__xludf.DUMMYFUNCTION("""COMPUTED_VALUE"""),"BLUE")</f>
        <v>BLUE</v>
      </c>
      <c r="G246" s="20" t="str">
        <f>IFERROR(__xludf.DUMMYFUNCTION("""COMPUTED_VALUE"""),"Uncle Sams Cider (04/04/2023)")</f>
        <v>Uncle Sams Cider (04/04/2023)</v>
      </c>
      <c r="H246" s="19"/>
    </row>
    <row r="247">
      <c r="A247" s="9"/>
      <c r="B247" s="15"/>
      <c r="C247" s="9">
        <f>IFERROR(__xludf.DUMMYFUNCTION("""COMPUTED_VALUE"""),45142.065484155)</f>
        <v>45142.06548</v>
      </c>
      <c r="D247" s="15">
        <f>IFERROR(__xludf.DUMMYFUNCTION("""COMPUTED_VALUE"""),0.998)</f>
        <v>0.998</v>
      </c>
      <c r="E247" s="16">
        <f>IFERROR(__xludf.DUMMYFUNCTION("""COMPUTED_VALUE"""),72.0)</f>
        <v>72</v>
      </c>
      <c r="F247" s="19" t="str">
        <f>IFERROR(__xludf.DUMMYFUNCTION("""COMPUTED_VALUE"""),"BLUE")</f>
        <v>BLUE</v>
      </c>
      <c r="G247" s="20" t="str">
        <f>IFERROR(__xludf.DUMMYFUNCTION("""COMPUTED_VALUE"""),"Uncle Sams Cider (04/04/2023)")</f>
        <v>Uncle Sams Cider (04/04/2023)</v>
      </c>
      <c r="H247" s="19"/>
    </row>
    <row r="248">
      <c r="A248" s="9"/>
      <c r="B248" s="15"/>
      <c r="C248" s="9">
        <f>IFERROR(__xludf.DUMMYFUNCTION("""COMPUTED_VALUE"""),45142.0550617708)</f>
        <v>45142.05506</v>
      </c>
      <c r="D248" s="15">
        <f>IFERROR(__xludf.DUMMYFUNCTION("""COMPUTED_VALUE"""),0.998)</f>
        <v>0.998</v>
      </c>
      <c r="E248" s="16">
        <f>IFERROR(__xludf.DUMMYFUNCTION("""COMPUTED_VALUE"""),72.0)</f>
        <v>72</v>
      </c>
      <c r="F248" s="19" t="str">
        <f>IFERROR(__xludf.DUMMYFUNCTION("""COMPUTED_VALUE"""),"BLUE")</f>
        <v>BLUE</v>
      </c>
      <c r="G248" s="20" t="str">
        <f>IFERROR(__xludf.DUMMYFUNCTION("""COMPUTED_VALUE"""),"Uncle Sams Cider (04/04/2023)")</f>
        <v>Uncle Sams Cider (04/04/2023)</v>
      </c>
      <c r="H248" s="19"/>
    </row>
    <row r="249">
      <c r="A249" s="9"/>
      <c r="B249" s="15"/>
      <c r="C249" s="9">
        <f>IFERROR(__xludf.DUMMYFUNCTION("""COMPUTED_VALUE"""),45142.0446416319)</f>
        <v>45142.04464</v>
      </c>
      <c r="D249" s="15">
        <f>IFERROR(__xludf.DUMMYFUNCTION("""COMPUTED_VALUE"""),0.998)</f>
        <v>0.998</v>
      </c>
      <c r="E249" s="16">
        <f>IFERROR(__xludf.DUMMYFUNCTION("""COMPUTED_VALUE"""),72.0)</f>
        <v>72</v>
      </c>
      <c r="F249" s="19" t="str">
        <f>IFERROR(__xludf.DUMMYFUNCTION("""COMPUTED_VALUE"""),"BLUE")</f>
        <v>BLUE</v>
      </c>
      <c r="G249" s="20" t="str">
        <f>IFERROR(__xludf.DUMMYFUNCTION("""COMPUTED_VALUE"""),"Uncle Sams Cider (04/04/2023)")</f>
        <v>Uncle Sams Cider (04/04/2023)</v>
      </c>
      <c r="H249" s="19"/>
    </row>
    <row r="250">
      <c r="A250" s="9"/>
      <c r="B250" s="15"/>
      <c r="C250" s="9">
        <f>IFERROR(__xludf.DUMMYFUNCTION("""COMPUTED_VALUE"""),45142.034220868)</f>
        <v>45142.03422</v>
      </c>
      <c r="D250" s="15">
        <f>IFERROR(__xludf.DUMMYFUNCTION("""COMPUTED_VALUE"""),0.998)</f>
        <v>0.998</v>
      </c>
      <c r="E250" s="16">
        <f>IFERROR(__xludf.DUMMYFUNCTION("""COMPUTED_VALUE"""),72.0)</f>
        <v>72</v>
      </c>
      <c r="F250" s="19" t="str">
        <f>IFERROR(__xludf.DUMMYFUNCTION("""COMPUTED_VALUE"""),"BLUE")</f>
        <v>BLUE</v>
      </c>
      <c r="G250" s="20" t="str">
        <f>IFERROR(__xludf.DUMMYFUNCTION("""COMPUTED_VALUE"""),"Uncle Sams Cider (04/04/2023)")</f>
        <v>Uncle Sams Cider (04/04/2023)</v>
      </c>
      <c r="H250" s="19"/>
    </row>
    <row r="251">
      <c r="A251" s="9"/>
      <c r="B251" s="15"/>
      <c r="C251" s="9">
        <f>IFERROR(__xludf.DUMMYFUNCTION("""COMPUTED_VALUE"""),45142.0237875115)</f>
        <v>45142.02379</v>
      </c>
      <c r="D251" s="15">
        <f>IFERROR(__xludf.DUMMYFUNCTION("""COMPUTED_VALUE"""),0.998)</f>
        <v>0.998</v>
      </c>
      <c r="E251" s="16">
        <f>IFERROR(__xludf.DUMMYFUNCTION("""COMPUTED_VALUE"""),72.0)</f>
        <v>72</v>
      </c>
      <c r="F251" s="19" t="str">
        <f>IFERROR(__xludf.DUMMYFUNCTION("""COMPUTED_VALUE"""),"BLUE")</f>
        <v>BLUE</v>
      </c>
      <c r="G251" s="20" t="str">
        <f>IFERROR(__xludf.DUMMYFUNCTION("""COMPUTED_VALUE"""),"Uncle Sams Cider (04/04/2023)")</f>
        <v>Uncle Sams Cider (04/04/2023)</v>
      </c>
      <c r="H251" s="19"/>
    </row>
    <row r="252">
      <c r="A252" s="9"/>
      <c r="B252" s="15"/>
      <c r="C252" s="9">
        <f>IFERROR(__xludf.DUMMYFUNCTION("""COMPUTED_VALUE"""),45142.0133658217)</f>
        <v>45142.01337</v>
      </c>
      <c r="D252" s="15">
        <f>IFERROR(__xludf.DUMMYFUNCTION("""COMPUTED_VALUE"""),0.998)</f>
        <v>0.998</v>
      </c>
      <c r="E252" s="16">
        <f>IFERROR(__xludf.DUMMYFUNCTION("""COMPUTED_VALUE"""),72.0)</f>
        <v>72</v>
      </c>
      <c r="F252" s="19" t="str">
        <f>IFERROR(__xludf.DUMMYFUNCTION("""COMPUTED_VALUE"""),"BLUE")</f>
        <v>BLUE</v>
      </c>
      <c r="G252" s="20" t="str">
        <f>IFERROR(__xludf.DUMMYFUNCTION("""COMPUTED_VALUE"""),"Uncle Sams Cider (04/04/2023)")</f>
        <v>Uncle Sams Cider (04/04/2023)</v>
      </c>
      <c r="H252" s="19"/>
    </row>
    <row r="253">
      <c r="A253" s="9"/>
      <c r="B253" s="15"/>
      <c r="C253" s="9">
        <f>IFERROR(__xludf.DUMMYFUNCTION("""COMPUTED_VALUE"""),45142.0029451504)</f>
        <v>45142.00295</v>
      </c>
      <c r="D253" s="15">
        <f>IFERROR(__xludf.DUMMYFUNCTION("""COMPUTED_VALUE"""),0.998)</f>
        <v>0.998</v>
      </c>
      <c r="E253" s="16">
        <f>IFERROR(__xludf.DUMMYFUNCTION("""COMPUTED_VALUE"""),72.0)</f>
        <v>72</v>
      </c>
      <c r="F253" s="19" t="str">
        <f>IFERROR(__xludf.DUMMYFUNCTION("""COMPUTED_VALUE"""),"BLUE")</f>
        <v>BLUE</v>
      </c>
      <c r="G253" s="20" t="str">
        <f>IFERROR(__xludf.DUMMYFUNCTION("""COMPUTED_VALUE"""),"Uncle Sams Cider (04/04/2023)")</f>
        <v>Uncle Sams Cider (04/04/2023)</v>
      </c>
      <c r="H253" s="19"/>
    </row>
    <row r="254">
      <c r="A254" s="9"/>
      <c r="B254" s="15"/>
      <c r="C254" s="9">
        <f>IFERROR(__xludf.DUMMYFUNCTION("""COMPUTED_VALUE"""),45141.992512037)</f>
        <v>45141.99251</v>
      </c>
      <c r="D254" s="15">
        <f>IFERROR(__xludf.DUMMYFUNCTION("""COMPUTED_VALUE"""),0.998)</f>
        <v>0.998</v>
      </c>
      <c r="E254" s="16">
        <f>IFERROR(__xludf.DUMMYFUNCTION("""COMPUTED_VALUE"""),72.0)</f>
        <v>72</v>
      </c>
      <c r="F254" s="19" t="str">
        <f>IFERROR(__xludf.DUMMYFUNCTION("""COMPUTED_VALUE"""),"BLUE")</f>
        <v>BLUE</v>
      </c>
      <c r="G254" s="20" t="str">
        <f>IFERROR(__xludf.DUMMYFUNCTION("""COMPUTED_VALUE"""),"Uncle Sams Cider (04/04/2023)")</f>
        <v>Uncle Sams Cider (04/04/2023)</v>
      </c>
      <c r="H254" s="19"/>
    </row>
    <row r="255">
      <c r="A255" s="9"/>
      <c r="B255" s="15"/>
      <c r="C255" s="9">
        <f>IFERROR(__xludf.DUMMYFUNCTION("""COMPUTED_VALUE"""),45141.9820895023)</f>
        <v>45141.98209</v>
      </c>
      <c r="D255" s="15">
        <f>IFERROR(__xludf.DUMMYFUNCTION("""COMPUTED_VALUE"""),0.998)</f>
        <v>0.998</v>
      </c>
      <c r="E255" s="16">
        <f>IFERROR(__xludf.DUMMYFUNCTION("""COMPUTED_VALUE"""),72.0)</f>
        <v>72</v>
      </c>
      <c r="F255" s="19" t="str">
        <f>IFERROR(__xludf.DUMMYFUNCTION("""COMPUTED_VALUE"""),"BLUE")</f>
        <v>BLUE</v>
      </c>
      <c r="G255" s="20" t="str">
        <f>IFERROR(__xludf.DUMMYFUNCTION("""COMPUTED_VALUE"""),"Uncle Sams Cider (04/04/2023)")</f>
        <v>Uncle Sams Cider (04/04/2023)</v>
      </c>
      <c r="H255" s="19"/>
    </row>
    <row r="256">
      <c r="A256" s="9"/>
      <c r="B256" s="15"/>
      <c r="C256" s="9">
        <f>IFERROR(__xludf.DUMMYFUNCTION("""COMPUTED_VALUE"""),45141.9716677546)</f>
        <v>45141.97167</v>
      </c>
      <c r="D256" s="15">
        <f>IFERROR(__xludf.DUMMYFUNCTION("""COMPUTED_VALUE"""),0.998)</f>
        <v>0.998</v>
      </c>
      <c r="E256" s="16">
        <f>IFERROR(__xludf.DUMMYFUNCTION("""COMPUTED_VALUE"""),72.0)</f>
        <v>72</v>
      </c>
      <c r="F256" s="19" t="str">
        <f>IFERROR(__xludf.DUMMYFUNCTION("""COMPUTED_VALUE"""),"BLUE")</f>
        <v>BLUE</v>
      </c>
      <c r="G256" s="20" t="str">
        <f>IFERROR(__xludf.DUMMYFUNCTION("""COMPUTED_VALUE"""),"Uncle Sams Cider (04/04/2023)")</f>
        <v>Uncle Sams Cider (04/04/2023)</v>
      </c>
      <c r="H256" s="19"/>
    </row>
    <row r="257">
      <c r="A257" s="9"/>
      <c r="B257" s="15"/>
      <c r="C257" s="9">
        <f>IFERROR(__xludf.DUMMYFUNCTION("""COMPUTED_VALUE"""),45141.961248449)</f>
        <v>45141.96125</v>
      </c>
      <c r="D257" s="15">
        <f>IFERROR(__xludf.DUMMYFUNCTION("""COMPUTED_VALUE"""),0.998)</f>
        <v>0.998</v>
      </c>
      <c r="E257" s="16">
        <f>IFERROR(__xludf.DUMMYFUNCTION("""COMPUTED_VALUE"""),72.0)</f>
        <v>72</v>
      </c>
      <c r="F257" s="19" t="str">
        <f>IFERROR(__xludf.DUMMYFUNCTION("""COMPUTED_VALUE"""),"BLUE")</f>
        <v>BLUE</v>
      </c>
      <c r="G257" s="20" t="str">
        <f>IFERROR(__xludf.DUMMYFUNCTION("""COMPUTED_VALUE"""),"Uncle Sams Cider (04/04/2023)")</f>
        <v>Uncle Sams Cider (04/04/2023)</v>
      </c>
      <c r="H257" s="19"/>
    </row>
    <row r="258">
      <c r="A258" s="9"/>
      <c r="B258" s="15"/>
      <c r="C258" s="9">
        <f>IFERROR(__xludf.DUMMYFUNCTION("""COMPUTED_VALUE"""),45141.9508141087)</f>
        <v>45141.95081</v>
      </c>
      <c r="D258" s="15">
        <f>IFERROR(__xludf.DUMMYFUNCTION("""COMPUTED_VALUE"""),0.998)</f>
        <v>0.998</v>
      </c>
      <c r="E258" s="16">
        <f>IFERROR(__xludf.DUMMYFUNCTION("""COMPUTED_VALUE"""),72.0)</f>
        <v>72</v>
      </c>
      <c r="F258" s="19" t="str">
        <f>IFERROR(__xludf.DUMMYFUNCTION("""COMPUTED_VALUE"""),"BLUE")</f>
        <v>BLUE</v>
      </c>
      <c r="G258" s="20" t="str">
        <f>IFERROR(__xludf.DUMMYFUNCTION("""COMPUTED_VALUE"""),"Uncle Sams Cider (04/04/2023)")</f>
        <v>Uncle Sams Cider (04/04/2023)</v>
      </c>
      <c r="H258" s="19"/>
    </row>
    <row r="259">
      <c r="A259" s="9"/>
      <c r="B259" s="15"/>
      <c r="C259" s="9">
        <f>IFERROR(__xludf.DUMMYFUNCTION("""COMPUTED_VALUE"""),45141.9403941203)</f>
        <v>45141.94039</v>
      </c>
      <c r="D259" s="15">
        <f>IFERROR(__xludf.DUMMYFUNCTION("""COMPUTED_VALUE"""),0.998)</f>
        <v>0.998</v>
      </c>
      <c r="E259" s="16">
        <f>IFERROR(__xludf.DUMMYFUNCTION("""COMPUTED_VALUE"""),72.0)</f>
        <v>72</v>
      </c>
      <c r="F259" s="19" t="str">
        <f>IFERROR(__xludf.DUMMYFUNCTION("""COMPUTED_VALUE"""),"BLUE")</f>
        <v>BLUE</v>
      </c>
      <c r="G259" s="20" t="str">
        <f>IFERROR(__xludf.DUMMYFUNCTION("""COMPUTED_VALUE"""),"Uncle Sams Cider (04/04/2023)")</f>
        <v>Uncle Sams Cider (04/04/2023)</v>
      </c>
      <c r="H259" s="19"/>
    </row>
    <row r="260">
      <c r="A260" s="9"/>
      <c r="B260" s="15"/>
      <c r="C260" s="9">
        <f>IFERROR(__xludf.DUMMYFUNCTION("""COMPUTED_VALUE"""),45141.9299746412)</f>
        <v>45141.92997</v>
      </c>
      <c r="D260" s="15">
        <f>IFERROR(__xludf.DUMMYFUNCTION("""COMPUTED_VALUE"""),0.998)</f>
        <v>0.998</v>
      </c>
      <c r="E260" s="16">
        <f>IFERROR(__xludf.DUMMYFUNCTION("""COMPUTED_VALUE"""),72.0)</f>
        <v>72</v>
      </c>
      <c r="F260" s="19" t="str">
        <f>IFERROR(__xludf.DUMMYFUNCTION("""COMPUTED_VALUE"""),"BLUE")</f>
        <v>BLUE</v>
      </c>
      <c r="G260" s="20" t="str">
        <f>IFERROR(__xludf.DUMMYFUNCTION("""COMPUTED_VALUE"""),"Uncle Sams Cider (04/04/2023)")</f>
        <v>Uncle Sams Cider (04/04/2023)</v>
      </c>
      <c r="H260" s="19"/>
    </row>
    <row r="261">
      <c r="A261" s="9"/>
      <c r="B261" s="15"/>
      <c r="C261" s="9">
        <f>IFERROR(__xludf.DUMMYFUNCTION("""COMPUTED_VALUE"""),45141.919553831)</f>
        <v>45141.91955</v>
      </c>
      <c r="D261" s="15">
        <f>IFERROR(__xludf.DUMMYFUNCTION("""COMPUTED_VALUE"""),0.998)</f>
        <v>0.998</v>
      </c>
      <c r="E261" s="16">
        <f>IFERROR(__xludf.DUMMYFUNCTION("""COMPUTED_VALUE"""),72.0)</f>
        <v>72</v>
      </c>
      <c r="F261" s="19" t="str">
        <f>IFERROR(__xludf.DUMMYFUNCTION("""COMPUTED_VALUE"""),"BLUE")</f>
        <v>BLUE</v>
      </c>
      <c r="G261" s="20" t="str">
        <f>IFERROR(__xludf.DUMMYFUNCTION("""COMPUTED_VALUE"""),"Uncle Sams Cider (04/04/2023)")</f>
        <v>Uncle Sams Cider (04/04/2023)</v>
      </c>
      <c r="H261" s="19"/>
    </row>
    <row r="262">
      <c r="A262" s="9"/>
      <c r="B262" s="15"/>
      <c r="C262" s="9">
        <f>IFERROR(__xludf.DUMMYFUNCTION("""COMPUTED_VALUE"""),45141.9091349768)</f>
        <v>45141.90913</v>
      </c>
      <c r="D262" s="15">
        <f>IFERROR(__xludf.DUMMYFUNCTION("""COMPUTED_VALUE"""),0.998)</f>
        <v>0.998</v>
      </c>
      <c r="E262" s="16">
        <f>IFERROR(__xludf.DUMMYFUNCTION("""COMPUTED_VALUE"""),72.0)</f>
        <v>72</v>
      </c>
      <c r="F262" s="19" t="str">
        <f>IFERROR(__xludf.DUMMYFUNCTION("""COMPUTED_VALUE"""),"BLUE")</f>
        <v>BLUE</v>
      </c>
      <c r="G262" s="20" t="str">
        <f>IFERROR(__xludf.DUMMYFUNCTION("""COMPUTED_VALUE"""),"Uncle Sams Cider (04/04/2023)")</f>
        <v>Uncle Sams Cider (04/04/2023)</v>
      </c>
      <c r="H262" s="19"/>
    </row>
    <row r="263">
      <c r="A263" s="9"/>
      <c r="B263" s="15"/>
      <c r="C263" s="9">
        <f>IFERROR(__xludf.DUMMYFUNCTION("""COMPUTED_VALUE"""),45141.8987139814)</f>
        <v>45141.89871</v>
      </c>
      <c r="D263" s="15">
        <f>IFERROR(__xludf.DUMMYFUNCTION("""COMPUTED_VALUE"""),0.998)</f>
        <v>0.998</v>
      </c>
      <c r="E263" s="16">
        <f>IFERROR(__xludf.DUMMYFUNCTION("""COMPUTED_VALUE"""),72.0)</f>
        <v>72</v>
      </c>
      <c r="F263" s="19" t="str">
        <f>IFERROR(__xludf.DUMMYFUNCTION("""COMPUTED_VALUE"""),"BLUE")</f>
        <v>BLUE</v>
      </c>
      <c r="G263" s="20" t="str">
        <f>IFERROR(__xludf.DUMMYFUNCTION("""COMPUTED_VALUE"""),"Uncle Sams Cider (04/04/2023)")</f>
        <v>Uncle Sams Cider (04/04/2023)</v>
      </c>
      <c r="H263" s="19"/>
    </row>
    <row r="264">
      <c r="A264" s="9"/>
      <c r="B264" s="15"/>
      <c r="C264" s="9">
        <f>IFERROR(__xludf.DUMMYFUNCTION("""COMPUTED_VALUE"""),45141.8882933796)</f>
        <v>45141.88829</v>
      </c>
      <c r="D264" s="15">
        <f>IFERROR(__xludf.DUMMYFUNCTION("""COMPUTED_VALUE"""),0.998)</f>
        <v>0.998</v>
      </c>
      <c r="E264" s="16">
        <f>IFERROR(__xludf.DUMMYFUNCTION("""COMPUTED_VALUE"""),72.0)</f>
        <v>72</v>
      </c>
      <c r="F264" s="19" t="str">
        <f>IFERROR(__xludf.DUMMYFUNCTION("""COMPUTED_VALUE"""),"BLUE")</f>
        <v>BLUE</v>
      </c>
      <c r="G264" s="20" t="str">
        <f>IFERROR(__xludf.DUMMYFUNCTION("""COMPUTED_VALUE"""),"Uncle Sams Cider (04/04/2023)")</f>
        <v>Uncle Sams Cider (04/04/2023)</v>
      </c>
      <c r="H264" s="19"/>
    </row>
    <row r="265">
      <c r="A265" s="9"/>
      <c r="B265" s="15"/>
      <c r="C265" s="9">
        <f>IFERROR(__xludf.DUMMYFUNCTION("""COMPUTED_VALUE"""),45141.8778715162)</f>
        <v>45141.87787</v>
      </c>
      <c r="D265" s="15">
        <f>IFERROR(__xludf.DUMMYFUNCTION("""COMPUTED_VALUE"""),0.998)</f>
        <v>0.998</v>
      </c>
      <c r="E265" s="16">
        <f>IFERROR(__xludf.DUMMYFUNCTION("""COMPUTED_VALUE"""),72.0)</f>
        <v>72</v>
      </c>
      <c r="F265" s="19" t="str">
        <f>IFERROR(__xludf.DUMMYFUNCTION("""COMPUTED_VALUE"""),"BLUE")</f>
        <v>BLUE</v>
      </c>
      <c r="G265" s="20" t="str">
        <f>IFERROR(__xludf.DUMMYFUNCTION("""COMPUTED_VALUE"""),"Uncle Sams Cider (04/04/2023)")</f>
        <v>Uncle Sams Cider (04/04/2023)</v>
      </c>
      <c r="H265" s="19"/>
    </row>
    <row r="266">
      <c r="A266" s="9"/>
      <c r="B266" s="15"/>
      <c r="C266" s="9">
        <f>IFERROR(__xludf.DUMMYFUNCTION("""COMPUTED_VALUE"""),45141.8674508449)</f>
        <v>45141.86745</v>
      </c>
      <c r="D266" s="15">
        <f>IFERROR(__xludf.DUMMYFUNCTION("""COMPUTED_VALUE"""),0.998)</f>
        <v>0.998</v>
      </c>
      <c r="E266" s="16">
        <f>IFERROR(__xludf.DUMMYFUNCTION("""COMPUTED_VALUE"""),72.0)</f>
        <v>72</v>
      </c>
      <c r="F266" s="19" t="str">
        <f>IFERROR(__xludf.DUMMYFUNCTION("""COMPUTED_VALUE"""),"BLUE")</f>
        <v>BLUE</v>
      </c>
      <c r="G266" s="20" t="str">
        <f>IFERROR(__xludf.DUMMYFUNCTION("""COMPUTED_VALUE"""),"Uncle Sams Cider (04/04/2023)")</f>
        <v>Uncle Sams Cider (04/04/2023)</v>
      </c>
      <c r="H266" s="19"/>
    </row>
    <row r="267">
      <c r="A267" s="9"/>
      <c r="B267" s="15"/>
      <c r="C267" s="9">
        <f>IFERROR(__xludf.DUMMYFUNCTION("""COMPUTED_VALUE"""),45141.8570299074)</f>
        <v>45141.85703</v>
      </c>
      <c r="D267" s="15">
        <f>IFERROR(__xludf.DUMMYFUNCTION("""COMPUTED_VALUE"""),0.998)</f>
        <v>0.998</v>
      </c>
      <c r="E267" s="16">
        <f>IFERROR(__xludf.DUMMYFUNCTION("""COMPUTED_VALUE"""),72.0)</f>
        <v>72</v>
      </c>
      <c r="F267" s="19" t="str">
        <f>IFERROR(__xludf.DUMMYFUNCTION("""COMPUTED_VALUE"""),"BLUE")</f>
        <v>BLUE</v>
      </c>
      <c r="G267" s="20" t="str">
        <f>IFERROR(__xludf.DUMMYFUNCTION("""COMPUTED_VALUE"""),"Uncle Sams Cider (04/04/2023)")</f>
        <v>Uncle Sams Cider (04/04/2023)</v>
      </c>
      <c r="H267" s="19"/>
    </row>
    <row r="268">
      <c r="A268" s="9"/>
      <c r="B268" s="15"/>
      <c r="C268" s="9">
        <f>IFERROR(__xludf.DUMMYFUNCTION("""COMPUTED_VALUE"""),45141.8466084027)</f>
        <v>45141.84661</v>
      </c>
      <c r="D268" s="15">
        <f>IFERROR(__xludf.DUMMYFUNCTION("""COMPUTED_VALUE"""),0.998)</f>
        <v>0.998</v>
      </c>
      <c r="E268" s="16">
        <f>IFERROR(__xludf.DUMMYFUNCTION("""COMPUTED_VALUE"""),72.0)</f>
        <v>72</v>
      </c>
      <c r="F268" s="19" t="str">
        <f>IFERROR(__xludf.DUMMYFUNCTION("""COMPUTED_VALUE"""),"BLUE")</f>
        <v>BLUE</v>
      </c>
      <c r="G268" s="20" t="str">
        <f>IFERROR(__xludf.DUMMYFUNCTION("""COMPUTED_VALUE"""),"Uncle Sams Cider (04/04/2023)")</f>
        <v>Uncle Sams Cider (04/04/2023)</v>
      </c>
      <c r="H268" s="19"/>
    </row>
    <row r="269">
      <c r="A269" s="9"/>
      <c r="B269" s="15"/>
      <c r="C269" s="9">
        <f>IFERROR(__xludf.DUMMYFUNCTION("""COMPUTED_VALUE"""),45141.8361886805)</f>
        <v>45141.83619</v>
      </c>
      <c r="D269" s="15">
        <f>IFERROR(__xludf.DUMMYFUNCTION("""COMPUTED_VALUE"""),0.998)</f>
        <v>0.998</v>
      </c>
      <c r="E269" s="16">
        <f>IFERROR(__xludf.DUMMYFUNCTION("""COMPUTED_VALUE"""),72.0)</f>
        <v>72</v>
      </c>
      <c r="F269" s="19" t="str">
        <f>IFERROR(__xludf.DUMMYFUNCTION("""COMPUTED_VALUE"""),"BLUE")</f>
        <v>BLUE</v>
      </c>
      <c r="G269" s="20" t="str">
        <f>IFERROR(__xludf.DUMMYFUNCTION("""COMPUTED_VALUE"""),"Uncle Sams Cider (04/04/2023)")</f>
        <v>Uncle Sams Cider (04/04/2023)</v>
      </c>
      <c r="H269" s="19"/>
    </row>
    <row r="270">
      <c r="A270" s="9"/>
      <c r="B270" s="15"/>
      <c r="C270" s="9">
        <f>IFERROR(__xludf.DUMMYFUNCTION("""COMPUTED_VALUE"""),45141.8257663773)</f>
        <v>45141.82577</v>
      </c>
      <c r="D270" s="15">
        <f>IFERROR(__xludf.DUMMYFUNCTION("""COMPUTED_VALUE"""),0.998)</f>
        <v>0.998</v>
      </c>
      <c r="E270" s="16">
        <f>IFERROR(__xludf.DUMMYFUNCTION("""COMPUTED_VALUE"""),72.0)</f>
        <v>72</v>
      </c>
      <c r="F270" s="19" t="str">
        <f>IFERROR(__xludf.DUMMYFUNCTION("""COMPUTED_VALUE"""),"BLUE")</f>
        <v>BLUE</v>
      </c>
      <c r="G270" s="20" t="str">
        <f>IFERROR(__xludf.DUMMYFUNCTION("""COMPUTED_VALUE"""),"Uncle Sams Cider (04/04/2023)")</f>
        <v>Uncle Sams Cider (04/04/2023)</v>
      </c>
      <c r="H270" s="19"/>
    </row>
    <row r="271">
      <c r="A271" s="9"/>
      <c r="B271" s="15"/>
      <c r="C271" s="9">
        <f>IFERROR(__xludf.DUMMYFUNCTION("""COMPUTED_VALUE"""),45141.8153452083)</f>
        <v>45141.81535</v>
      </c>
      <c r="D271" s="15">
        <f>IFERROR(__xludf.DUMMYFUNCTION("""COMPUTED_VALUE"""),0.998)</f>
        <v>0.998</v>
      </c>
      <c r="E271" s="16">
        <f>IFERROR(__xludf.DUMMYFUNCTION("""COMPUTED_VALUE"""),72.0)</f>
        <v>72</v>
      </c>
      <c r="F271" s="19" t="str">
        <f>IFERROR(__xludf.DUMMYFUNCTION("""COMPUTED_VALUE"""),"BLUE")</f>
        <v>BLUE</v>
      </c>
      <c r="G271" s="20" t="str">
        <f>IFERROR(__xludf.DUMMYFUNCTION("""COMPUTED_VALUE"""),"Uncle Sams Cider (04/04/2023)")</f>
        <v>Uncle Sams Cider (04/04/2023)</v>
      </c>
      <c r="H271" s="19"/>
    </row>
    <row r="272">
      <c r="A272" s="9"/>
      <c r="B272" s="15"/>
      <c r="C272" s="9">
        <f>IFERROR(__xludf.DUMMYFUNCTION("""COMPUTED_VALUE"""),45141.8049119328)</f>
        <v>45141.80491</v>
      </c>
      <c r="D272" s="15">
        <f>IFERROR(__xludf.DUMMYFUNCTION("""COMPUTED_VALUE"""),0.998)</f>
        <v>0.998</v>
      </c>
      <c r="E272" s="16">
        <f>IFERROR(__xludf.DUMMYFUNCTION("""COMPUTED_VALUE"""),72.0)</f>
        <v>72</v>
      </c>
      <c r="F272" s="19" t="str">
        <f>IFERROR(__xludf.DUMMYFUNCTION("""COMPUTED_VALUE"""),"BLUE")</f>
        <v>BLUE</v>
      </c>
      <c r="G272" s="20" t="str">
        <f>IFERROR(__xludf.DUMMYFUNCTION("""COMPUTED_VALUE"""),"Uncle Sams Cider (04/04/2023)")</f>
        <v>Uncle Sams Cider (04/04/2023)</v>
      </c>
      <c r="H272" s="19"/>
    </row>
    <row r="273">
      <c r="A273" s="9"/>
      <c r="B273" s="15"/>
      <c r="C273" s="9">
        <f>IFERROR(__xludf.DUMMYFUNCTION("""COMPUTED_VALUE"""),45141.7944799768)</f>
        <v>45141.79448</v>
      </c>
      <c r="D273" s="15">
        <f>IFERROR(__xludf.DUMMYFUNCTION("""COMPUTED_VALUE"""),0.998)</f>
        <v>0.998</v>
      </c>
      <c r="E273" s="16">
        <f>IFERROR(__xludf.DUMMYFUNCTION("""COMPUTED_VALUE"""),72.0)</f>
        <v>72</v>
      </c>
      <c r="F273" s="19" t="str">
        <f>IFERROR(__xludf.DUMMYFUNCTION("""COMPUTED_VALUE"""),"BLUE")</f>
        <v>BLUE</v>
      </c>
      <c r="G273" s="20" t="str">
        <f>IFERROR(__xludf.DUMMYFUNCTION("""COMPUTED_VALUE"""),"Uncle Sams Cider (04/04/2023)")</f>
        <v>Uncle Sams Cider (04/04/2023)</v>
      </c>
      <c r="H273" s="19"/>
    </row>
    <row r="274">
      <c r="A274" s="9"/>
      <c r="B274" s="15"/>
      <c r="C274" s="9">
        <f>IFERROR(__xludf.DUMMYFUNCTION("""COMPUTED_VALUE"""),45141.7840584143)</f>
        <v>45141.78406</v>
      </c>
      <c r="D274" s="15">
        <f>IFERROR(__xludf.DUMMYFUNCTION("""COMPUTED_VALUE"""),0.998)</f>
        <v>0.998</v>
      </c>
      <c r="E274" s="16">
        <f>IFERROR(__xludf.DUMMYFUNCTION("""COMPUTED_VALUE"""),72.0)</f>
        <v>72</v>
      </c>
      <c r="F274" s="19" t="str">
        <f>IFERROR(__xludf.DUMMYFUNCTION("""COMPUTED_VALUE"""),"BLUE")</f>
        <v>BLUE</v>
      </c>
      <c r="G274" s="20" t="str">
        <f>IFERROR(__xludf.DUMMYFUNCTION("""COMPUTED_VALUE"""),"Uncle Sams Cider (04/04/2023)")</f>
        <v>Uncle Sams Cider (04/04/2023)</v>
      </c>
      <c r="H274" s="19"/>
    </row>
    <row r="275">
      <c r="A275" s="9"/>
      <c r="B275" s="15"/>
      <c r="C275" s="9">
        <f>IFERROR(__xludf.DUMMYFUNCTION("""COMPUTED_VALUE"""),45141.7736364699)</f>
        <v>45141.77364</v>
      </c>
      <c r="D275" s="15">
        <f>IFERROR(__xludf.DUMMYFUNCTION("""COMPUTED_VALUE"""),0.998)</f>
        <v>0.998</v>
      </c>
      <c r="E275" s="16">
        <f>IFERROR(__xludf.DUMMYFUNCTION("""COMPUTED_VALUE"""),72.0)</f>
        <v>72</v>
      </c>
      <c r="F275" s="19" t="str">
        <f>IFERROR(__xludf.DUMMYFUNCTION("""COMPUTED_VALUE"""),"BLUE")</f>
        <v>BLUE</v>
      </c>
      <c r="G275" s="20" t="str">
        <f>IFERROR(__xludf.DUMMYFUNCTION("""COMPUTED_VALUE"""),"Uncle Sams Cider (04/04/2023)")</f>
        <v>Uncle Sams Cider (04/04/2023)</v>
      </c>
      <c r="H275" s="19"/>
    </row>
    <row r="276">
      <c r="A276" s="9"/>
      <c r="B276" s="15"/>
      <c r="C276" s="9">
        <f>IFERROR(__xludf.DUMMYFUNCTION("""COMPUTED_VALUE"""),45141.7632155787)</f>
        <v>45141.76322</v>
      </c>
      <c r="D276" s="15">
        <f>IFERROR(__xludf.DUMMYFUNCTION("""COMPUTED_VALUE"""),0.998)</f>
        <v>0.998</v>
      </c>
      <c r="E276" s="16">
        <f>IFERROR(__xludf.DUMMYFUNCTION("""COMPUTED_VALUE"""),72.0)</f>
        <v>72</v>
      </c>
      <c r="F276" s="19" t="str">
        <f>IFERROR(__xludf.DUMMYFUNCTION("""COMPUTED_VALUE"""),"BLUE")</f>
        <v>BLUE</v>
      </c>
      <c r="G276" s="20" t="str">
        <f>IFERROR(__xludf.DUMMYFUNCTION("""COMPUTED_VALUE"""),"Uncle Sams Cider (04/04/2023)")</f>
        <v>Uncle Sams Cider (04/04/2023)</v>
      </c>
      <c r="H276" s="19"/>
    </row>
    <row r="277">
      <c r="A277" s="9"/>
      <c r="B277" s="15"/>
      <c r="C277" s="9">
        <f>IFERROR(__xludf.DUMMYFUNCTION("""COMPUTED_VALUE"""),45141.7527824768)</f>
        <v>45141.75278</v>
      </c>
      <c r="D277" s="15">
        <f>IFERROR(__xludf.DUMMYFUNCTION("""COMPUTED_VALUE"""),0.998)</f>
        <v>0.998</v>
      </c>
      <c r="E277" s="16">
        <f>IFERROR(__xludf.DUMMYFUNCTION("""COMPUTED_VALUE"""),72.0)</f>
        <v>72</v>
      </c>
      <c r="F277" s="19" t="str">
        <f>IFERROR(__xludf.DUMMYFUNCTION("""COMPUTED_VALUE"""),"BLUE")</f>
        <v>BLUE</v>
      </c>
      <c r="G277" s="20" t="str">
        <f>IFERROR(__xludf.DUMMYFUNCTION("""COMPUTED_VALUE"""),"Uncle Sams Cider (04/04/2023)")</f>
        <v>Uncle Sams Cider (04/04/2023)</v>
      </c>
      <c r="H277" s="19"/>
    </row>
    <row r="278">
      <c r="A278" s="9"/>
      <c r="B278" s="15"/>
      <c r="C278" s="9">
        <f>IFERROR(__xludf.DUMMYFUNCTION("""COMPUTED_VALUE"""),45141.7423608217)</f>
        <v>45141.74236</v>
      </c>
      <c r="D278" s="15">
        <f>IFERROR(__xludf.DUMMYFUNCTION("""COMPUTED_VALUE"""),0.998)</f>
        <v>0.998</v>
      </c>
      <c r="E278" s="16">
        <f>IFERROR(__xludf.DUMMYFUNCTION("""COMPUTED_VALUE"""),72.0)</f>
        <v>72</v>
      </c>
      <c r="F278" s="19" t="str">
        <f>IFERROR(__xludf.DUMMYFUNCTION("""COMPUTED_VALUE"""),"BLUE")</f>
        <v>BLUE</v>
      </c>
      <c r="G278" s="20" t="str">
        <f>IFERROR(__xludf.DUMMYFUNCTION("""COMPUTED_VALUE"""),"Uncle Sams Cider (04/04/2023)")</f>
        <v>Uncle Sams Cider (04/04/2023)</v>
      </c>
      <c r="H278" s="19"/>
    </row>
    <row r="279">
      <c r="A279" s="9"/>
      <c r="B279" s="15"/>
      <c r="C279" s="9">
        <f>IFERROR(__xludf.DUMMYFUNCTION("""COMPUTED_VALUE"""),45141.7319390625)</f>
        <v>45141.73194</v>
      </c>
      <c r="D279" s="15">
        <f>IFERROR(__xludf.DUMMYFUNCTION("""COMPUTED_VALUE"""),0.998)</f>
        <v>0.998</v>
      </c>
      <c r="E279" s="16">
        <f>IFERROR(__xludf.DUMMYFUNCTION("""COMPUTED_VALUE"""),72.0)</f>
        <v>72</v>
      </c>
      <c r="F279" s="19" t="str">
        <f>IFERROR(__xludf.DUMMYFUNCTION("""COMPUTED_VALUE"""),"BLUE")</f>
        <v>BLUE</v>
      </c>
      <c r="G279" s="20" t="str">
        <f>IFERROR(__xludf.DUMMYFUNCTION("""COMPUTED_VALUE"""),"Uncle Sams Cider (04/04/2023)")</f>
        <v>Uncle Sams Cider (04/04/2023)</v>
      </c>
      <c r="H279" s="19"/>
    </row>
    <row r="280">
      <c r="A280" s="9"/>
      <c r="B280" s="15"/>
      <c r="C280" s="9">
        <f>IFERROR(__xludf.DUMMYFUNCTION("""COMPUTED_VALUE"""),45141.7215186226)</f>
        <v>45141.72152</v>
      </c>
      <c r="D280" s="15">
        <f>IFERROR(__xludf.DUMMYFUNCTION("""COMPUTED_VALUE"""),0.998)</f>
        <v>0.998</v>
      </c>
      <c r="E280" s="16">
        <f>IFERROR(__xludf.DUMMYFUNCTION("""COMPUTED_VALUE"""),72.0)</f>
        <v>72</v>
      </c>
      <c r="F280" s="19" t="str">
        <f>IFERROR(__xludf.DUMMYFUNCTION("""COMPUTED_VALUE"""),"BLUE")</f>
        <v>BLUE</v>
      </c>
      <c r="G280" s="20" t="str">
        <f>IFERROR(__xludf.DUMMYFUNCTION("""COMPUTED_VALUE"""),"Uncle Sams Cider (04/04/2023)")</f>
        <v>Uncle Sams Cider (04/04/2023)</v>
      </c>
      <c r="H280" s="19"/>
    </row>
    <row r="281">
      <c r="A281" s="9"/>
      <c r="B281" s="15"/>
      <c r="C281" s="9">
        <f>IFERROR(__xludf.DUMMYFUNCTION("""COMPUTED_VALUE"""),45141.711097199)</f>
        <v>45141.7111</v>
      </c>
      <c r="D281" s="15">
        <f>IFERROR(__xludf.DUMMYFUNCTION("""COMPUTED_VALUE"""),0.998)</f>
        <v>0.998</v>
      </c>
      <c r="E281" s="16">
        <f>IFERROR(__xludf.DUMMYFUNCTION("""COMPUTED_VALUE"""),72.0)</f>
        <v>72</v>
      </c>
      <c r="F281" s="19" t="str">
        <f>IFERROR(__xludf.DUMMYFUNCTION("""COMPUTED_VALUE"""),"BLUE")</f>
        <v>BLUE</v>
      </c>
      <c r="G281" s="20" t="str">
        <f>IFERROR(__xludf.DUMMYFUNCTION("""COMPUTED_VALUE"""),"Uncle Sams Cider (04/04/2023)")</f>
        <v>Uncle Sams Cider (04/04/2023)</v>
      </c>
      <c r="H281" s="19"/>
    </row>
    <row r="282">
      <c r="A282" s="9"/>
      <c r="B282" s="15"/>
      <c r="C282" s="9">
        <f>IFERROR(__xludf.DUMMYFUNCTION("""COMPUTED_VALUE"""),45141.7006780208)</f>
        <v>45141.70068</v>
      </c>
      <c r="D282" s="15">
        <f>IFERROR(__xludf.DUMMYFUNCTION("""COMPUTED_VALUE"""),0.998)</f>
        <v>0.998</v>
      </c>
      <c r="E282" s="16">
        <f>IFERROR(__xludf.DUMMYFUNCTION("""COMPUTED_VALUE"""),72.0)</f>
        <v>72</v>
      </c>
      <c r="F282" s="19" t="str">
        <f>IFERROR(__xludf.DUMMYFUNCTION("""COMPUTED_VALUE"""),"BLUE")</f>
        <v>BLUE</v>
      </c>
      <c r="G282" s="20" t="str">
        <f>IFERROR(__xludf.DUMMYFUNCTION("""COMPUTED_VALUE"""),"Uncle Sams Cider (04/04/2023)")</f>
        <v>Uncle Sams Cider (04/04/2023)</v>
      </c>
      <c r="H282" s="19"/>
    </row>
    <row r="283">
      <c r="A283" s="9"/>
      <c r="B283" s="15"/>
      <c r="C283" s="9">
        <f>IFERROR(__xludf.DUMMYFUNCTION("""COMPUTED_VALUE"""),45141.6902590509)</f>
        <v>45141.69026</v>
      </c>
      <c r="D283" s="15">
        <f>IFERROR(__xludf.DUMMYFUNCTION("""COMPUTED_VALUE"""),0.998)</f>
        <v>0.998</v>
      </c>
      <c r="E283" s="16">
        <f>IFERROR(__xludf.DUMMYFUNCTION("""COMPUTED_VALUE"""),72.0)</f>
        <v>72</v>
      </c>
      <c r="F283" s="19" t="str">
        <f>IFERROR(__xludf.DUMMYFUNCTION("""COMPUTED_VALUE"""),"BLUE")</f>
        <v>BLUE</v>
      </c>
      <c r="G283" s="20" t="str">
        <f>IFERROR(__xludf.DUMMYFUNCTION("""COMPUTED_VALUE"""),"Uncle Sams Cider (04/04/2023)")</f>
        <v>Uncle Sams Cider (04/04/2023)</v>
      </c>
      <c r="H283" s="19"/>
    </row>
    <row r="284">
      <c r="A284" s="9"/>
      <c r="B284" s="15"/>
      <c r="C284" s="9">
        <f>IFERROR(__xludf.DUMMYFUNCTION("""COMPUTED_VALUE"""),45141.6798394328)</f>
        <v>45141.67984</v>
      </c>
      <c r="D284" s="15">
        <f>IFERROR(__xludf.DUMMYFUNCTION("""COMPUTED_VALUE"""),0.998)</f>
        <v>0.998</v>
      </c>
      <c r="E284" s="16">
        <f>IFERROR(__xludf.DUMMYFUNCTION("""COMPUTED_VALUE"""),72.0)</f>
        <v>72</v>
      </c>
      <c r="F284" s="19" t="str">
        <f>IFERROR(__xludf.DUMMYFUNCTION("""COMPUTED_VALUE"""),"BLUE")</f>
        <v>BLUE</v>
      </c>
      <c r="G284" s="20" t="str">
        <f>IFERROR(__xludf.DUMMYFUNCTION("""COMPUTED_VALUE"""),"Uncle Sams Cider (04/04/2023)")</f>
        <v>Uncle Sams Cider (04/04/2023)</v>
      </c>
      <c r="H284" s="19"/>
    </row>
    <row r="285">
      <c r="A285" s="9"/>
      <c r="B285" s="15"/>
      <c r="C285" s="9">
        <f>IFERROR(__xludf.DUMMYFUNCTION("""COMPUTED_VALUE"""),45141.669417743)</f>
        <v>45141.66942</v>
      </c>
      <c r="D285" s="15">
        <f>IFERROR(__xludf.DUMMYFUNCTION("""COMPUTED_VALUE"""),0.998)</f>
        <v>0.998</v>
      </c>
      <c r="E285" s="16">
        <f>IFERROR(__xludf.DUMMYFUNCTION("""COMPUTED_VALUE"""),72.0)</f>
        <v>72</v>
      </c>
      <c r="F285" s="19" t="str">
        <f>IFERROR(__xludf.DUMMYFUNCTION("""COMPUTED_VALUE"""),"BLUE")</f>
        <v>BLUE</v>
      </c>
      <c r="G285" s="20" t="str">
        <f>IFERROR(__xludf.DUMMYFUNCTION("""COMPUTED_VALUE"""),"Uncle Sams Cider (04/04/2023)")</f>
        <v>Uncle Sams Cider (04/04/2023)</v>
      </c>
      <c r="H285" s="19"/>
    </row>
    <row r="286">
      <c r="A286" s="9"/>
      <c r="B286" s="15"/>
      <c r="C286" s="9">
        <f>IFERROR(__xludf.DUMMYFUNCTION("""COMPUTED_VALUE"""),45141.6589963078)</f>
        <v>45141.659</v>
      </c>
      <c r="D286" s="15">
        <f>IFERROR(__xludf.DUMMYFUNCTION("""COMPUTED_VALUE"""),0.998)</f>
        <v>0.998</v>
      </c>
      <c r="E286" s="16">
        <f>IFERROR(__xludf.DUMMYFUNCTION("""COMPUTED_VALUE"""),72.0)</f>
        <v>72</v>
      </c>
      <c r="F286" s="19" t="str">
        <f>IFERROR(__xludf.DUMMYFUNCTION("""COMPUTED_VALUE"""),"BLUE")</f>
        <v>BLUE</v>
      </c>
      <c r="G286" s="20" t="str">
        <f>IFERROR(__xludf.DUMMYFUNCTION("""COMPUTED_VALUE"""),"Uncle Sams Cider (04/04/2023)")</f>
        <v>Uncle Sams Cider (04/04/2023)</v>
      </c>
      <c r="H286" s="19"/>
    </row>
    <row r="287">
      <c r="A287" s="9"/>
      <c r="B287" s="15"/>
      <c r="C287" s="9">
        <f>IFERROR(__xludf.DUMMYFUNCTION("""COMPUTED_VALUE"""),45141.6485740625)</f>
        <v>45141.64857</v>
      </c>
      <c r="D287" s="15">
        <f>IFERROR(__xludf.DUMMYFUNCTION("""COMPUTED_VALUE"""),0.998)</f>
        <v>0.998</v>
      </c>
      <c r="E287" s="16">
        <f>IFERROR(__xludf.DUMMYFUNCTION("""COMPUTED_VALUE"""),72.0)</f>
        <v>72</v>
      </c>
      <c r="F287" s="19" t="str">
        <f>IFERROR(__xludf.DUMMYFUNCTION("""COMPUTED_VALUE"""),"BLUE")</f>
        <v>BLUE</v>
      </c>
      <c r="G287" s="20" t="str">
        <f>IFERROR(__xludf.DUMMYFUNCTION("""COMPUTED_VALUE"""),"Uncle Sams Cider (04/04/2023)")</f>
        <v>Uncle Sams Cider (04/04/2023)</v>
      </c>
      <c r="H287" s="19"/>
    </row>
    <row r="288">
      <c r="A288" s="9"/>
      <c r="B288" s="15"/>
      <c r="C288" s="9">
        <f>IFERROR(__xludf.DUMMYFUNCTION("""COMPUTED_VALUE"""),45141.6381542708)</f>
        <v>45141.63815</v>
      </c>
      <c r="D288" s="15">
        <f>IFERROR(__xludf.DUMMYFUNCTION("""COMPUTED_VALUE"""),0.998)</f>
        <v>0.998</v>
      </c>
      <c r="E288" s="16">
        <f>IFERROR(__xludf.DUMMYFUNCTION("""COMPUTED_VALUE"""),72.0)</f>
        <v>72</v>
      </c>
      <c r="F288" s="19" t="str">
        <f>IFERROR(__xludf.DUMMYFUNCTION("""COMPUTED_VALUE"""),"BLUE")</f>
        <v>BLUE</v>
      </c>
      <c r="G288" s="20" t="str">
        <f>IFERROR(__xludf.DUMMYFUNCTION("""COMPUTED_VALUE"""),"Uncle Sams Cider (04/04/2023)")</f>
        <v>Uncle Sams Cider (04/04/2023)</v>
      </c>
      <c r="H288" s="19"/>
    </row>
    <row r="289">
      <c r="A289" s="9"/>
      <c r="B289" s="15"/>
      <c r="C289" s="9">
        <f>IFERROR(__xludf.DUMMYFUNCTION("""COMPUTED_VALUE"""),45141.6277205555)</f>
        <v>45141.62772</v>
      </c>
      <c r="D289" s="15">
        <f>IFERROR(__xludf.DUMMYFUNCTION("""COMPUTED_VALUE"""),0.998)</f>
        <v>0.998</v>
      </c>
      <c r="E289" s="16">
        <f>IFERROR(__xludf.DUMMYFUNCTION("""COMPUTED_VALUE"""),72.0)</f>
        <v>72</v>
      </c>
      <c r="F289" s="19" t="str">
        <f>IFERROR(__xludf.DUMMYFUNCTION("""COMPUTED_VALUE"""),"BLUE")</f>
        <v>BLUE</v>
      </c>
      <c r="G289" s="20" t="str">
        <f>IFERROR(__xludf.DUMMYFUNCTION("""COMPUTED_VALUE"""),"Uncle Sams Cider (04/04/2023)")</f>
        <v>Uncle Sams Cider (04/04/2023)</v>
      </c>
      <c r="H289" s="19"/>
    </row>
    <row r="290">
      <c r="A290" s="9"/>
      <c r="B290" s="15"/>
      <c r="C290" s="9">
        <f>IFERROR(__xludf.DUMMYFUNCTION("""COMPUTED_VALUE"""),45141.6172992245)</f>
        <v>45141.6173</v>
      </c>
      <c r="D290" s="15">
        <f>IFERROR(__xludf.DUMMYFUNCTION("""COMPUTED_VALUE"""),0.998)</f>
        <v>0.998</v>
      </c>
      <c r="E290" s="16">
        <f>IFERROR(__xludf.DUMMYFUNCTION("""COMPUTED_VALUE"""),72.0)</f>
        <v>72</v>
      </c>
      <c r="F290" s="19" t="str">
        <f>IFERROR(__xludf.DUMMYFUNCTION("""COMPUTED_VALUE"""),"BLUE")</f>
        <v>BLUE</v>
      </c>
      <c r="G290" s="20" t="str">
        <f>IFERROR(__xludf.DUMMYFUNCTION("""COMPUTED_VALUE"""),"Uncle Sams Cider (04/04/2023)")</f>
        <v>Uncle Sams Cider (04/04/2023)</v>
      </c>
      <c r="H290" s="19"/>
    </row>
    <row r="291">
      <c r="A291" s="9"/>
      <c r="B291" s="15"/>
      <c r="C291" s="9">
        <f>IFERROR(__xludf.DUMMYFUNCTION("""COMPUTED_VALUE"""),45141.606877905)</f>
        <v>45141.60688</v>
      </c>
      <c r="D291" s="15">
        <f>IFERROR(__xludf.DUMMYFUNCTION("""COMPUTED_VALUE"""),0.998)</f>
        <v>0.998</v>
      </c>
      <c r="E291" s="16">
        <f>IFERROR(__xludf.DUMMYFUNCTION("""COMPUTED_VALUE"""),72.0)</f>
        <v>72</v>
      </c>
      <c r="F291" s="19" t="str">
        <f>IFERROR(__xludf.DUMMYFUNCTION("""COMPUTED_VALUE"""),"BLUE")</f>
        <v>BLUE</v>
      </c>
      <c r="G291" s="20" t="str">
        <f>IFERROR(__xludf.DUMMYFUNCTION("""COMPUTED_VALUE"""),"Uncle Sams Cider (04/04/2023)")</f>
        <v>Uncle Sams Cider (04/04/2023)</v>
      </c>
      <c r="H291" s="19"/>
    </row>
    <row r="292">
      <c r="A292" s="9"/>
      <c r="B292" s="15"/>
      <c r="C292" s="9">
        <f>IFERROR(__xludf.DUMMYFUNCTION("""COMPUTED_VALUE"""),45141.5964568865)</f>
        <v>45141.59646</v>
      </c>
      <c r="D292" s="15">
        <f>IFERROR(__xludf.DUMMYFUNCTION("""COMPUTED_VALUE"""),0.998)</f>
        <v>0.998</v>
      </c>
      <c r="E292" s="16">
        <f>IFERROR(__xludf.DUMMYFUNCTION("""COMPUTED_VALUE"""),72.0)</f>
        <v>72</v>
      </c>
      <c r="F292" s="19" t="str">
        <f>IFERROR(__xludf.DUMMYFUNCTION("""COMPUTED_VALUE"""),"BLUE")</f>
        <v>BLUE</v>
      </c>
      <c r="G292" s="20" t="str">
        <f>IFERROR(__xludf.DUMMYFUNCTION("""COMPUTED_VALUE"""),"Uncle Sams Cider (04/04/2023)")</f>
        <v>Uncle Sams Cider (04/04/2023)</v>
      </c>
      <c r="H292" s="19"/>
    </row>
    <row r="293">
      <c r="A293" s="9"/>
      <c r="B293" s="15"/>
      <c r="C293" s="9">
        <f>IFERROR(__xludf.DUMMYFUNCTION("""COMPUTED_VALUE"""),45141.5860376967)</f>
        <v>45141.58604</v>
      </c>
      <c r="D293" s="15">
        <f>IFERROR(__xludf.DUMMYFUNCTION("""COMPUTED_VALUE"""),0.998)</f>
        <v>0.998</v>
      </c>
      <c r="E293" s="16">
        <f>IFERROR(__xludf.DUMMYFUNCTION("""COMPUTED_VALUE"""),72.0)</f>
        <v>72</v>
      </c>
      <c r="F293" s="19" t="str">
        <f>IFERROR(__xludf.DUMMYFUNCTION("""COMPUTED_VALUE"""),"BLUE")</f>
        <v>BLUE</v>
      </c>
      <c r="G293" s="20" t="str">
        <f>IFERROR(__xludf.DUMMYFUNCTION("""COMPUTED_VALUE"""),"Uncle Sams Cider (04/04/2023)")</f>
        <v>Uncle Sams Cider (04/04/2023)</v>
      </c>
      <c r="H293" s="19"/>
    </row>
    <row r="294">
      <c r="A294" s="9"/>
      <c r="B294" s="15"/>
      <c r="C294" s="9">
        <f>IFERROR(__xludf.DUMMYFUNCTION("""COMPUTED_VALUE"""),45141.5756158796)</f>
        <v>45141.57562</v>
      </c>
      <c r="D294" s="15">
        <f>IFERROR(__xludf.DUMMYFUNCTION("""COMPUTED_VALUE"""),0.998)</f>
        <v>0.998</v>
      </c>
      <c r="E294" s="16">
        <f>IFERROR(__xludf.DUMMYFUNCTION("""COMPUTED_VALUE"""),72.0)</f>
        <v>72</v>
      </c>
      <c r="F294" s="19" t="str">
        <f>IFERROR(__xludf.DUMMYFUNCTION("""COMPUTED_VALUE"""),"BLUE")</f>
        <v>BLUE</v>
      </c>
      <c r="G294" s="20" t="str">
        <f>IFERROR(__xludf.DUMMYFUNCTION("""COMPUTED_VALUE"""),"Uncle Sams Cider (04/04/2023)")</f>
        <v>Uncle Sams Cider (04/04/2023)</v>
      </c>
      <c r="H294" s="19"/>
    </row>
    <row r="295">
      <c r="A295" s="9"/>
      <c r="B295" s="15"/>
      <c r="C295" s="9">
        <f>IFERROR(__xludf.DUMMYFUNCTION("""COMPUTED_VALUE"""),45141.5651814236)</f>
        <v>45141.56518</v>
      </c>
      <c r="D295" s="15">
        <f>IFERROR(__xludf.DUMMYFUNCTION("""COMPUTED_VALUE"""),0.998)</f>
        <v>0.998</v>
      </c>
      <c r="E295" s="16">
        <f>IFERROR(__xludf.DUMMYFUNCTION("""COMPUTED_VALUE"""),72.0)</f>
        <v>72</v>
      </c>
      <c r="F295" s="19" t="str">
        <f>IFERROR(__xludf.DUMMYFUNCTION("""COMPUTED_VALUE"""),"BLUE")</f>
        <v>BLUE</v>
      </c>
      <c r="G295" s="20" t="str">
        <f>IFERROR(__xludf.DUMMYFUNCTION("""COMPUTED_VALUE"""),"Uncle Sams Cider (04/04/2023)")</f>
        <v>Uncle Sams Cider (04/04/2023)</v>
      </c>
      <c r="H295" s="19"/>
    </row>
    <row r="296">
      <c r="A296" s="9"/>
      <c r="B296" s="15"/>
      <c r="C296" s="9">
        <f>IFERROR(__xludf.DUMMYFUNCTION("""COMPUTED_VALUE"""),45141.5547355439)</f>
        <v>45141.55474</v>
      </c>
      <c r="D296" s="15">
        <f>IFERROR(__xludf.DUMMYFUNCTION("""COMPUTED_VALUE"""),0.998)</f>
        <v>0.998</v>
      </c>
      <c r="E296" s="16">
        <f>IFERROR(__xludf.DUMMYFUNCTION("""COMPUTED_VALUE"""),72.0)</f>
        <v>72</v>
      </c>
      <c r="F296" s="19" t="str">
        <f>IFERROR(__xludf.DUMMYFUNCTION("""COMPUTED_VALUE"""),"BLUE")</f>
        <v>BLUE</v>
      </c>
      <c r="G296" s="20" t="str">
        <f>IFERROR(__xludf.DUMMYFUNCTION("""COMPUTED_VALUE"""),"Uncle Sams Cider (04/04/2023)")</f>
        <v>Uncle Sams Cider (04/04/2023)</v>
      </c>
      <c r="H296" s="19"/>
    </row>
    <row r="297">
      <c r="A297" s="9"/>
      <c r="B297" s="15"/>
      <c r="C297" s="9">
        <f>IFERROR(__xludf.DUMMYFUNCTION("""COMPUTED_VALUE"""),45141.5443137037)</f>
        <v>45141.54431</v>
      </c>
      <c r="D297" s="15">
        <f>IFERROR(__xludf.DUMMYFUNCTION("""COMPUTED_VALUE"""),0.998)</f>
        <v>0.998</v>
      </c>
      <c r="E297" s="16">
        <f>IFERROR(__xludf.DUMMYFUNCTION("""COMPUTED_VALUE"""),72.0)</f>
        <v>72</v>
      </c>
      <c r="F297" s="19" t="str">
        <f>IFERROR(__xludf.DUMMYFUNCTION("""COMPUTED_VALUE"""),"BLUE")</f>
        <v>BLUE</v>
      </c>
      <c r="G297" s="20" t="str">
        <f>IFERROR(__xludf.DUMMYFUNCTION("""COMPUTED_VALUE"""),"Uncle Sams Cider (04/04/2023)")</f>
        <v>Uncle Sams Cider (04/04/2023)</v>
      </c>
      <c r="H297" s="19"/>
    </row>
    <row r="298">
      <c r="A298" s="9"/>
      <c r="B298" s="15"/>
      <c r="C298" s="9">
        <f>IFERROR(__xludf.DUMMYFUNCTION("""COMPUTED_VALUE"""),45141.5338922222)</f>
        <v>45141.53389</v>
      </c>
      <c r="D298" s="15">
        <f>IFERROR(__xludf.DUMMYFUNCTION("""COMPUTED_VALUE"""),0.998)</f>
        <v>0.998</v>
      </c>
      <c r="E298" s="16">
        <f>IFERROR(__xludf.DUMMYFUNCTION("""COMPUTED_VALUE"""),72.0)</f>
        <v>72</v>
      </c>
      <c r="F298" s="19" t="str">
        <f>IFERROR(__xludf.DUMMYFUNCTION("""COMPUTED_VALUE"""),"BLUE")</f>
        <v>BLUE</v>
      </c>
      <c r="G298" s="20" t="str">
        <f>IFERROR(__xludf.DUMMYFUNCTION("""COMPUTED_VALUE"""),"Uncle Sams Cider (04/04/2023)")</f>
        <v>Uncle Sams Cider (04/04/2023)</v>
      </c>
      <c r="H298" s="19"/>
    </row>
    <row r="299">
      <c r="A299" s="9"/>
      <c r="B299" s="15"/>
      <c r="C299" s="9">
        <f>IFERROR(__xludf.DUMMYFUNCTION("""COMPUTED_VALUE"""),45141.5234708912)</f>
        <v>45141.52347</v>
      </c>
      <c r="D299" s="15">
        <f>IFERROR(__xludf.DUMMYFUNCTION("""COMPUTED_VALUE"""),0.998)</f>
        <v>0.998</v>
      </c>
      <c r="E299" s="16">
        <f>IFERROR(__xludf.DUMMYFUNCTION("""COMPUTED_VALUE"""),72.0)</f>
        <v>72</v>
      </c>
      <c r="F299" s="19" t="str">
        <f>IFERROR(__xludf.DUMMYFUNCTION("""COMPUTED_VALUE"""),"BLUE")</f>
        <v>BLUE</v>
      </c>
      <c r="G299" s="20" t="str">
        <f>IFERROR(__xludf.DUMMYFUNCTION("""COMPUTED_VALUE"""),"Uncle Sams Cider (04/04/2023)")</f>
        <v>Uncle Sams Cider (04/04/2023)</v>
      </c>
      <c r="H299" s="19"/>
    </row>
    <row r="300">
      <c r="A300" s="9"/>
      <c r="B300" s="15"/>
      <c r="C300" s="9">
        <f>IFERROR(__xludf.DUMMYFUNCTION("""COMPUTED_VALUE"""),45141.5130509143)</f>
        <v>45141.51305</v>
      </c>
      <c r="D300" s="15">
        <f>IFERROR(__xludf.DUMMYFUNCTION("""COMPUTED_VALUE"""),0.998)</f>
        <v>0.998</v>
      </c>
      <c r="E300" s="16">
        <f>IFERROR(__xludf.DUMMYFUNCTION("""COMPUTED_VALUE"""),72.0)</f>
        <v>72</v>
      </c>
      <c r="F300" s="19" t="str">
        <f>IFERROR(__xludf.DUMMYFUNCTION("""COMPUTED_VALUE"""),"BLUE")</f>
        <v>BLUE</v>
      </c>
      <c r="G300" s="20" t="str">
        <f>IFERROR(__xludf.DUMMYFUNCTION("""COMPUTED_VALUE"""),"Uncle Sams Cider (04/04/2023)")</f>
        <v>Uncle Sams Cider (04/04/2023)</v>
      </c>
      <c r="H300" s="19"/>
    </row>
    <row r="301">
      <c r="A301" s="9"/>
      <c r="B301" s="15"/>
      <c r="C301" s="9">
        <f>IFERROR(__xludf.DUMMYFUNCTION("""COMPUTED_VALUE"""),45141.502630162)</f>
        <v>45141.50263</v>
      </c>
      <c r="D301" s="15">
        <f>IFERROR(__xludf.DUMMYFUNCTION("""COMPUTED_VALUE"""),0.998)</f>
        <v>0.998</v>
      </c>
      <c r="E301" s="16">
        <f>IFERROR(__xludf.DUMMYFUNCTION("""COMPUTED_VALUE"""),72.0)</f>
        <v>72</v>
      </c>
      <c r="F301" s="19" t="str">
        <f>IFERROR(__xludf.DUMMYFUNCTION("""COMPUTED_VALUE"""),"BLUE")</f>
        <v>BLUE</v>
      </c>
      <c r="G301" s="20" t="str">
        <f>IFERROR(__xludf.DUMMYFUNCTION("""COMPUTED_VALUE"""),"Uncle Sams Cider (04/04/2023)")</f>
        <v>Uncle Sams Cider (04/04/2023)</v>
      </c>
      <c r="H301" s="19"/>
    </row>
    <row r="302">
      <c r="A302" s="9"/>
      <c r="B302" s="15"/>
      <c r="C302" s="9">
        <f>IFERROR(__xludf.DUMMYFUNCTION("""COMPUTED_VALUE"""),45141.4921988773)</f>
        <v>45141.4922</v>
      </c>
      <c r="D302" s="15">
        <f>IFERROR(__xludf.DUMMYFUNCTION("""COMPUTED_VALUE"""),0.998)</f>
        <v>0.998</v>
      </c>
      <c r="E302" s="16">
        <f>IFERROR(__xludf.DUMMYFUNCTION("""COMPUTED_VALUE"""),72.0)</f>
        <v>72</v>
      </c>
      <c r="F302" s="19" t="str">
        <f>IFERROR(__xludf.DUMMYFUNCTION("""COMPUTED_VALUE"""),"BLUE")</f>
        <v>BLUE</v>
      </c>
      <c r="G302" s="20" t="str">
        <f>IFERROR(__xludf.DUMMYFUNCTION("""COMPUTED_VALUE"""),"Uncle Sams Cider (04/04/2023)")</f>
        <v>Uncle Sams Cider (04/04/2023)</v>
      </c>
      <c r="H302" s="19"/>
    </row>
    <row r="303">
      <c r="A303" s="9"/>
      <c r="B303" s="15"/>
      <c r="C303" s="9">
        <f>IFERROR(__xludf.DUMMYFUNCTION("""COMPUTED_VALUE"""),45141.4817790393)</f>
        <v>45141.48178</v>
      </c>
      <c r="D303" s="15">
        <f>IFERROR(__xludf.DUMMYFUNCTION("""COMPUTED_VALUE"""),0.998)</f>
        <v>0.998</v>
      </c>
      <c r="E303" s="16">
        <f>IFERROR(__xludf.DUMMYFUNCTION("""COMPUTED_VALUE"""),72.0)</f>
        <v>72</v>
      </c>
      <c r="F303" s="19" t="str">
        <f>IFERROR(__xludf.DUMMYFUNCTION("""COMPUTED_VALUE"""),"BLUE")</f>
        <v>BLUE</v>
      </c>
      <c r="G303" s="20" t="str">
        <f>IFERROR(__xludf.DUMMYFUNCTION("""COMPUTED_VALUE"""),"Uncle Sams Cider (04/04/2023)")</f>
        <v>Uncle Sams Cider (04/04/2023)</v>
      </c>
      <c r="H303" s="19"/>
    </row>
    <row r="304">
      <c r="A304" s="9"/>
      <c r="B304" s="15"/>
      <c r="C304" s="9">
        <f>IFERROR(__xludf.DUMMYFUNCTION("""COMPUTED_VALUE"""),45141.4713597222)</f>
        <v>45141.47136</v>
      </c>
      <c r="D304" s="15">
        <f>IFERROR(__xludf.DUMMYFUNCTION("""COMPUTED_VALUE"""),0.998)</f>
        <v>0.998</v>
      </c>
      <c r="E304" s="16">
        <f>IFERROR(__xludf.DUMMYFUNCTION("""COMPUTED_VALUE"""),72.0)</f>
        <v>72</v>
      </c>
      <c r="F304" s="19" t="str">
        <f>IFERROR(__xludf.DUMMYFUNCTION("""COMPUTED_VALUE"""),"BLUE")</f>
        <v>BLUE</v>
      </c>
      <c r="G304" s="20" t="str">
        <f>IFERROR(__xludf.DUMMYFUNCTION("""COMPUTED_VALUE"""),"Uncle Sams Cider (04/04/2023)")</f>
        <v>Uncle Sams Cider (04/04/2023)</v>
      </c>
      <c r="H304" s="19"/>
    </row>
    <row r="305">
      <c r="A305" s="9"/>
      <c r="B305" s="15"/>
      <c r="C305" s="9">
        <f>IFERROR(__xludf.DUMMYFUNCTION("""COMPUTED_VALUE"""),45141.4609380555)</f>
        <v>45141.46094</v>
      </c>
      <c r="D305" s="15">
        <f>IFERROR(__xludf.DUMMYFUNCTION("""COMPUTED_VALUE"""),0.998)</f>
        <v>0.998</v>
      </c>
      <c r="E305" s="16">
        <f>IFERROR(__xludf.DUMMYFUNCTION("""COMPUTED_VALUE"""),72.0)</f>
        <v>72</v>
      </c>
      <c r="F305" s="19" t="str">
        <f>IFERROR(__xludf.DUMMYFUNCTION("""COMPUTED_VALUE"""),"BLUE")</f>
        <v>BLUE</v>
      </c>
      <c r="G305" s="20" t="str">
        <f>IFERROR(__xludf.DUMMYFUNCTION("""COMPUTED_VALUE"""),"Uncle Sams Cider (04/04/2023)")</f>
        <v>Uncle Sams Cider (04/04/2023)</v>
      </c>
      <c r="H305" s="19"/>
    </row>
    <row r="306">
      <c r="A306" s="9"/>
      <c r="B306" s="15"/>
      <c r="C306" s="9">
        <f>IFERROR(__xludf.DUMMYFUNCTION("""COMPUTED_VALUE"""),45141.4505034375)</f>
        <v>45141.4505</v>
      </c>
      <c r="D306" s="15">
        <f>IFERROR(__xludf.DUMMYFUNCTION("""COMPUTED_VALUE"""),0.998)</f>
        <v>0.998</v>
      </c>
      <c r="E306" s="16">
        <f>IFERROR(__xludf.DUMMYFUNCTION("""COMPUTED_VALUE"""),72.0)</f>
        <v>72</v>
      </c>
      <c r="F306" s="19" t="str">
        <f>IFERROR(__xludf.DUMMYFUNCTION("""COMPUTED_VALUE"""),"BLUE")</f>
        <v>BLUE</v>
      </c>
      <c r="G306" s="20" t="str">
        <f>IFERROR(__xludf.DUMMYFUNCTION("""COMPUTED_VALUE"""),"Uncle Sams Cider (04/04/2023)")</f>
        <v>Uncle Sams Cider (04/04/2023)</v>
      </c>
      <c r="H306" s="19"/>
    </row>
    <row r="307">
      <c r="A307" s="9"/>
      <c r="B307" s="15"/>
      <c r="C307" s="9">
        <f>IFERROR(__xludf.DUMMYFUNCTION("""COMPUTED_VALUE"""),45141.4400821759)</f>
        <v>45141.44008</v>
      </c>
      <c r="D307" s="15">
        <f>IFERROR(__xludf.DUMMYFUNCTION("""COMPUTED_VALUE"""),0.998)</f>
        <v>0.998</v>
      </c>
      <c r="E307" s="16">
        <f>IFERROR(__xludf.DUMMYFUNCTION("""COMPUTED_VALUE"""),72.0)</f>
        <v>72</v>
      </c>
      <c r="F307" s="19" t="str">
        <f>IFERROR(__xludf.DUMMYFUNCTION("""COMPUTED_VALUE"""),"BLUE")</f>
        <v>BLUE</v>
      </c>
      <c r="G307" s="20" t="str">
        <f>IFERROR(__xludf.DUMMYFUNCTION("""COMPUTED_VALUE"""),"Uncle Sams Cider (04/04/2023)")</f>
        <v>Uncle Sams Cider (04/04/2023)</v>
      </c>
      <c r="H307" s="19"/>
    </row>
    <row r="308">
      <c r="A308" s="9"/>
      <c r="B308" s="15"/>
      <c r="C308" s="9">
        <f>IFERROR(__xludf.DUMMYFUNCTION("""COMPUTED_VALUE"""),45141.429661331)</f>
        <v>45141.42966</v>
      </c>
      <c r="D308" s="15">
        <f>IFERROR(__xludf.DUMMYFUNCTION("""COMPUTED_VALUE"""),0.998)</f>
        <v>0.998</v>
      </c>
      <c r="E308" s="16">
        <f>IFERROR(__xludf.DUMMYFUNCTION("""COMPUTED_VALUE"""),72.0)</f>
        <v>72</v>
      </c>
      <c r="F308" s="19" t="str">
        <f>IFERROR(__xludf.DUMMYFUNCTION("""COMPUTED_VALUE"""),"BLUE")</f>
        <v>BLUE</v>
      </c>
      <c r="G308" s="20" t="str">
        <f>IFERROR(__xludf.DUMMYFUNCTION("""COMPUTED_VALUE"""),"Uncle Sams Cider (04/04/2023)")</f>
        <v>Uncle Sams Cider (04/04/2023)</v>
      </c>
      <c r="H308" s="19"/>
    </row>
    <row r="309">
      <c r="A309" s="9"/>
      <c r="B309" s="15"/>
      <c r="C309" s="9">
        <f>IFERROR(__xludf.DUMMYFUNCTION("""COMPUTED_VALUE"""),45141.4192400115)</f>
        <v>45141.41924</v>
      </c>
      <c r="D309" s="15">
        <f>IFERROR(__xludf.DUMMYFUNCTION("""COMPUTED_VALUE"""),0.998)</f>
        <v>0.998</v>
      </c>
      <c r="E309" s="16">
        <f>IFERROR(__xludf.DUMMYFUNCTION("""COMPUTED_VALUE"""),72.0)</f>
        <v>72</v>
      </c>
      <c r="F309" s="19" t="str">
        <f>IFERROR(__xludf.DUMMYFUNCTION("""COMPUTED_VALUE"""),"BLUE")</f>
        <v>BLUE</v>
      </c>
      <c r="G309" s="20" t="str">
        <f>IFERROR(__xludf.DUMMYFUNCTION("""COMPUTED_VALUE"""),"Uncle Sams Cider (04/04/2023)")</f>
        <v>Uncle Sams Cider (04/04/2023)</v>
      </c>
      <c r="H309" s="19"/>
    </row>
    <row r="310">
      <c r="A310" s="9"/>
      <c r="B310" s="15"/>
      <c r="C310" s="9">
        <f>IFERROR(__xludf.DUMMYFUNCTION("""COMPUTED_VALUE"""),45141.4088191319)</f>
        <v>45141.40882</v>
      </c>
      <c r="D310" s="15">
        <f>IFERROR(__xludf.DUMMYFUNCTION("""COMPUTED_VALUE"""),0.998)</f>
        <v>0.998</v>
      </c>
      <c r="E310" s="16">
        <f>IFERROR(__xludf.DUMMYFUNCTION("""COMPUTED_VALUE"""),72.0)</f>
        <v>72</v>
      </c>
      <c r="F310" s="19" t="str">
        <f>IFERROR(__xludf.DUMMYFUNCTION("""COMPUTED_VALUE"""),"BLUE")</f>
        <v>BLUE</v>
      </c>
      <c r="G310" s="20" t="str">
        <f>IFERROR(__xludf.DUMMYFUNCTION("""COMPUTED_VALUE"""),"Uncle Sams Cider (04/04/2023)")</f>
        <v>Uncle Sams Cider (04/04/2023)</v>
      </c>
      <c r="H310" s="19"/>
    </row>
    <row r="311">
      <c r="A311" s="9"/>
      <c r="B311" s="15"/>
      <c r="C311" s="9">
        <f>IFERROR(__xludf.DUMMYFUNCTION("""COMPUTED_VALUE"""),45141.3983984722)</f>
        <v>45141.3984</v>
      </c>
      <c r="D311" s="15">
        <f>IFERROR(__xludf.DUMMYFUNCTION("""COMPUTED_VALUE"""),0.998)</f>
        <v>0.998</v>
      </c>
      <c r="E311" s="16">
        <f>IFERROR(__xludf.DUMMYFUNCTION("""COMPUTED_VALUE"""),72.0)</f>
        <v>72</v>
      </c>
      <c r="F311" s="19" t="str">
        <f>IFERROR(__xludf.DUMMYFUNCTION("""COMPUTED_VALUE"""),"BLUE")</f>
        <v>BLUE</v>
      </c>
      <c r="G311" s="20" t="str">
        <f>IFERROR(__xludf.DUMMYFUNCTION("""COMPUTED_VALUE"""),"Uncle Sams Cider (04/04/2023)")</f>
        <v>Uncle Sams Cider (04/04/2023)</v>
      </c>
      <c r="H311" s="19"/>
    </row>
    <row r="312">
      <c r="A312" s="9"/>
      <c r="B312" s="15"/>
      <c r="C312" s="9">
        <f>IFERROR(__xludf.DUMMYFUNCTION("""COMPUTED_VALUE"""),45141.3879764583)</f>
        <v>45141.38798</v>
      </c>
      <c r="D312" s="15">
        <f>IFERROR(__xludf.DUMMYFUNCTION("""COMPUTED_VALUE"""),0.998)</f>
        <v>0.998</v>
      </c>
      <c r="E312" s="16">
        <f>IFERROR(__xludf.DUMMYFUNCTION("""COMPUTED_VALUE"""),72.0)</f>
        <v>72</v>
      </c>
      <c r="F312" s="19" t="str">
        <f>IFERROR(__xludf.DUMMYFUNCTION("""COMPUTED_VALUE"""),"BLUE")</f>
        <v>BLUE</v>
      </c>
      <c r="G312" s="20" t="str">
        <f>IFERROR(__xludf.DUMMYFUNCTION("""COMPUTED_VALUE"""),"Uncle Sams Cider (04/04/2023)")</f>
        <v>Uncle Sams Cider (04/04/2023)</v>
      </c>
      <c r="H312" s="19"/>
    </row>
    <row r="313">
      <c r="A313" s="9"/>
      <c r="B313" s="15"/>
      <c r="C313" s="9">
        <f>IFERROR(__xludf.DUMMYFUNCTION("""COMPUTED_VALUE"""),45141.3775538194)</f>
        <v>45141.37755</v>
      </c>
      <c r="D313" s="15">
        <f>IFERROR(__xludf.DUMMYFUNCTION("""COMPUTED_VALUE"""),0.998)</f>
        <v>0.998</v>
      </c>
      <c r="E313" s="16">
        <f>IFERROR(__xludf.DUMMYFUNCTION("""COMPUTED_VALUE"""),72.0)</f>
        <v>72</v>
      </c>
      <c r="F313" s="19" t="str">
        <f>IFERROR(__xludf.DUMMYFUNCTION("""COMPUTED_VALUE"""),"BLUE")</f>
        <v>BLUE</v>
      </c>
      <c r="G313" s="20" t="str">
        <f>IFERROR(__xludf.DUMMYFUNCTION("""COMPUTED_VALUE"""),"Uncle Sams Cider (04/04/2023)")</f>
        <v>Uncle Sams Cider (04/04/2023)</v>
      </c>
      <c r="H313" s="19"/>
    </row>
    <row r="314">
      <c r="A314" s="9"/>
      <c r="B314" s="15"/>
      <c r="C314" s="9">
        <f>IFERROR(__xludf.DUMMYFUNCTION("""COMPUTED_VALUE"""),45141.367120081)</f>
        <v>45141.36712</v>
      </c>
      <c r="D314" s="15">
        <f>IFERROR(__xludf.DUMMYFUNCTION("""COMPUTED_VALUE"""),0.998)</f>
        <v>0.998</v>
      </c>
      <c r="E314" s="16">
        <f>IFERROR(__xludf.DUMMYFUNCTION("""COMPUTED_VALUE"""),72.0)</f>
        <v>72</v>
      </c>
      <c r="F314" s="19" t="str">
        <f>IFERROR(__xludf.DUMMYFUNCTION("""COMPUTED_VALUE"""),"BLUE")</f>
        <v>BLUE</v>
      </c>
      <c r="G314" s="20" t="str">
        <f>IFERROR(__xludf.DUMMYFUNCTION("""COMPUTED_VALUE"""),"Uncle Sams Cider (04/04/2023)")</f>
        <v>Uncle Sams Cider (04/04/2023)</v>
      </c>
      <c r="H314" s="19"/>
    </row>
    <row r="315">
      <c r="A315" s="9"/>
      <c r="B315" s="15"/>
      <c r="C315" s="9">
        <f>IFERROR(__xludf.DUMMYFUNCTION("""COMPUTED_VALUE"""),45141.3567001041)</f>
        <v>45141.3567</v>
      </c>
      <c r="D315" s="15">
        <f>IFERROR(__xludf.DUMMYFUNCTION("""COMPUTED_VALUE"""),0.998)</f>
        <v>0.998</v>
      </c>
      <c r="E315" s="16">
        <f>IFERROR(__xludf.DUMMYFUNCTION("""COMPUTED_VALUE"""),72.0)</f>
        <v>72</v>
      </c>
      <c r="F315" s="19" t="str">
        <f>IFERROR(__xludf.DUMMYFUNCTION("""COMPUTED_VALUE"""),"BLUE")</f>
        <v>BLUE</v>
      </c>
      <c r="G315" s="20" t="str">
        <f>IFERROR(__xludf.DUMMYFUNCTION("""COMPUTED_VALUE"""),"Uncle Sams Cider (04/04/2023)")</f>
        <v>Uncle Sams Cider (04/04/2023)</v>
      </c>
      <c r="H315" s="19"/>
    </row>
    <row r="316">
      <c r="A316" s="9"/>
      <c r="B316" s="15"/>
      <c r="C316" s="9">
        <f>IFERROR(__xludf.DUMMYFUNCTION("""COMPUTED_VALUE"""),45141.3462781597)</f>
        <v>45141.34628</v>
      </c>
      <c r="D316" s="15">
        <f>IFERROR(__xludf.DUMMYFUNCTION("""COMPUTED_VALUE"""),0.998)</f>
        <v>0.998</v>
      </c>
      <c r="E316" s="16">
        <f>IFERROR(__xludf.DUMMYFUNCTION("""COMPUTED_VALUE"""),72.0)</f>
        <v>72</v>
      </c>
      <c r="F316" s="19" t="str">
        <f>IFERROR(__xludf.DUMMYFUNCTION("""COMPUTED_VALUE"""),"BLUE")</f>
        <v>BLUE</v>
      </c>
      <c r="G316" s="20" t="str">
        <f>IFERROR(__xludf.DUMMYFUNCTION("""COMPUTED_VALUE"""),"Uncle Sams Cider (04/04/2023)")</f>
        <v>Uncle Sams Cider (04/04/2023)</v>
      </c>
      <c r="H316" s="19"/>
    </row>
    <row r="317">
      <c r="A317" s="9"/>
      <c r="B317" s="15"/>
      <c r="C317" s="9">
        <f>IFERROR(__xludf.DUMMYFUNCTION("""COMPUTED_VALUE"""),45141.3358564583)</f>
        <v>45141.33586</v>
      </c>
      <c r="D317" s="15">
        <f>IFERROR(__xludf.DUMMYFUNCTION("""COMPUTED_VALUE"""),0.998)</f>
        <v>0.998</v>
      </c>
      <c r="E317" s="16">
        <f>IFERROR(__xludf.DUMMYFUNCTION("""COMPUTED_VALUE"""),72.0)</f>
        <v>72</v>
      </c>
      <c r="F317" s="19" t="str">
        <f>IFERROR(__xludf.DUMMYFUNCTION("""COMPUTED_VALUE"""),"BLUE")</f>
        <v>BLUE</v>
      </c>
      <c r="G317" s="20" t="str">
        <f>IFERROR(__xludf.DUMMYFUNCTION("""COMPUTED_VALUE"""),"Uncle Sams Cider (04/04/2023)")</f>
        <v>Uncle Sams Cider (04/04/2023)</v>
      </c>
      <c r="H317" s="19"/>
    </row>
    <row r="318">
      <c r="A318" s="9"/>
      <c r="B318" s="15"/>
      <c r="C318" s="9">
        <f>IFERROR(__xludf.DUMMYFUNCTION("""COMPUTED_VALUE"""),45141.3254359722)</f>
        <v>45141.32544</v>
      </c>
      <c r="D318" s="15">
        <f>IFERROR(__xludf.DUMMYFUNCTION("""COMPUTED_VALUE"""),0.998)</f>
        <v>0.998</v>
      </c>
      <c r="E318" s="16">
        <f>IFERROR(__xludf.DUMMYFUNCTION("""COMPUTED_VALUE"""),72.0)</f>
        <v>72</v>
      </c>
      <c r="F318" s="19" t="str">
        <f>IFERROR(__xludf.DUMMYFUNCTION("""COMPUTED_VALUE"""),"BLUE")</f>
        <v>BLUE</v>
      </c>
      <c r="G318" s="20" t="str">
        <f>IFERROR(__xludf.DUMMYFUNCTION("""COMPUTED_VALUE"""),"Uncle Sams Cider (04/04/2023)")</f>
        <v>Uncle Sams Cider (04/04/2023)</v>
      </c>
      <c r="H318" s="19"/>
    </row>
    <row r="319">
      <c r="A319" s="9"/>
      <c r="B319" s="15"/>
      <c r="C319" s="9">
        <f>IFERROR(__xludf.DUMMYFUNCTION("""COMPUTED_VALUE"""),45141.3150132986)</f>
        <v>45141.31501</v>
      </c>
      <c r="D319" s="15">
        <f>IFERROR(__xludf.DUMMYFUNCTION("""COMPUTED_VALUE"""),0.998)</f>
        <v>0.998</v>
      </c>
      <c r="E319" s="16">
        <f>IFERROR(__xludf.DUMMYFUNCTION("""COMPUTED_VALUE"""),72.0)</f>
        <v>72</v>
      </c>
      <c r="F319" s="19" t="str">
        <f>IFERROR(__xludf.DUMMYFUNCTION("""COMPUTED_VALUE"""),"BLUE")</f>
        <v>BLUE</v>
      </c>
      <c r="G319" s="20" t="str">
        <f>IFERROR(__xludf.DUMMYFUNCTION("""COMPUTED_VALUE"""),"Uncle Sams Cider (04/04/2023)")</f>
        <v>Uncle Sams Cider (04/04/2023)</v>
      </c>
      <c r="H319" s="19"/>
    </row>
    <row r="320">
      <c r="A320" s="9"/>
      <c r="B320" s="15"/>
      <c r="C320" s="9">
        <f>IFERROR(__xludf.DUMMYFUNCTION("""COMPUTED_VALUE"""),45141.3045809953)</f>
        <v>45141.30458</v>
      </c>
      <c r="D320" s="15">
        <f>IFERROR(__xludf.DUMMYFUNCTION("""COMPUTED_VALUE"""),0.998)</f>
        <v>0.998</v>
      </c>
      <c r="E320" s="16">
        <f>IFERROR(__xludf.DUMMYFUNCTION("""COMPUTED_VALUE"""),72.0)</f>
        <v>72</v>
      </c>
      <c r="F320" s="19" t="str">
        <f>IFERROR(__xludf.DUMMYFUNCTION("""COMPUTED_VALUE"""),"BLUE")</f>
        <v>BLUE</v>
      </c>
      <c r="G320" s="20" t="str">
        <f>IFERROR(__xludf.DUMMYFUNCTION("""COMPUTED_VALUE"""),"Uncle Sams Cider (04/04/2023)")</f>
        <v>Uncle Sams Cider (04/04/2023)</v>
      </c>
      <c r="H320" s="19"/>
    </row>
    <row r="321">
      <c r="A321" s="9"/>
      <c r="B321" s="15"/>
      <c r="C321" s="9">
        <f>IFERROR(__xludf.DUMMYFUNCTION("""COMPUTED_VALUE"""),45141.2941478009)</f>
        <v>45141.29415</v>
      </c>
      <c r="D321" s="15">
        <f>IFERROR(__xludf.DUMMYFUNCTION("""COMPUTED_VALUE"""),0.998)</f>
        <v>0.998</v>
      </c>
      <c r="E321" s="16">
        <f>IFERROR(__xludf.DUMMYFUNCTION("""COMPUTED_VALUE"""),72.0)</f>
        <v>72</v>
      </c>
      <c r="F321" s="19" t="str">
        <f>IFERROR(__xludf.DUMMYFUNCTION("""COMPUTED_VALUE"""),"BLUE")</f>
        <v>BLUE</v>
      </c>
      <c r="G321" s="20" t="str">
        <f>IFERROR(__xludf.DUMMYFUNCTION("""COMPUTED_VALUE"""),"Uncle Sams Cider (04/04/2023)")</f>
        <v>Uncle Sams Cider (04/04/2023)</v>
      </c>
      <c r="H321" s="19"/>
    </row>
    <row r="322">
      <c r="A322" s="9"/>
      <c r="B322" s="15"/>
      <c r="C322" s="9">
        <f>IFERROR(__xludf.DUMMYFUNCTION("""COMPUTED_VALUE"""),45141.2837273148)</f>
        <v>45141.28373</v>
      </c>
      <c r="D322" s="15">
        <f>IFERROR(__xludf.DUMMYFUNCTION("""COMPUTED_VALUE"""),0.998)</f>
        <v>0.998</v>
      </c>
      <c r="E322" s="16">
        <f>IFERROR(__xludf.DUMMYFUNCTION("""COMPUTED_VALUE"""),72.0)</f>
        <v>72</v>
      </c>
      <c r="F322" s="19" t="str">
        <f>IFERROR(__xludf.DUMMYFUNCTION("""COMPUTED_VALUE"""),"BLUE")</f>
        <v>BLUE</v>
      </c>
      <c r="G322" s="20" t="str">
        <f>IFERROR(__xludf.DUMMYFUNCTION("""COMPUTED_VALUE"""),"Uncle Sams Cider (04/04/2023)")</f>
        <v>Uncle Sams Cider (04/04/2023)</v>
      </c>
      <c r="H322" s="19"/>
    </row>
    <row r="323">
      <c r="A323" s="9"/>
      <c r="B323" s="15"/>
      <c r="C323" s="9">
        <f>IFERROR(__xludf.DUMMYFUNCTION("""COMPUTED_VALUE"""),45141.2733074884)</f>
        <v>45141.27331</v>
      </c>
      <c r="D323" s="15">
        <f>IFERROR(__xludf.DUMMYFUNCTION("""COMPUTED_VALUE"""),0.998)</f>
        <v>0.998</v>
      </c>
      <c r="E323" s="16">
        <f>IFERROR(__xludf.DUMMYFUNCTION("""COMPUTED_VALUE"""),72.0)</f>
        <v>72</v>
      </c>
      <c r="F323" s="19" t="str">
        <f>IFERROR(__xludf.DUMMYFUNCTION("""COMPUTED_VALUE"""),"BLUE")</f>
        <v>BLUE</v>
      </c>
      <c r="G323" s="20" t="str">
        <f>IFERROR(__xludf.DUMMYFUNCTION("""COMPUTED_VALUE"""),"Uncle Sams Cider (04/04/2023)")</f>
        <v>Uncle Sams Cider (04/04/2023)</v>
      </c>
      <c r="H323" s="19"/>
    </row>
    <row r="324">
      <c r="A324" s="9"/>
      <c r="B324" s="15"/>
      <c r="C324" s="9">
        <f>IFERROR(__xludf.DUMMYFUNCTION("""COMPUTED_VALUE"""),45141.2628854514)</f>
        <v>45141.26289</v>
      </c>
      <c r="D324" s="15">
        <f>IFERROR(__xludf.DUMMYFUNCTION("""COMPUTED_VALUE"""),0.998)</f>
        <v>0.998</v>
      </c>
      <c r="E324" s="16">
        <f>IFERROR(__xludf.DUMMYFUNCTION("""COMPUTED_VALUE"""),72.0)</f>
        <v>72</v>
      </c>
      <c r="F324" s="19" t="str">
        <f>IFERROR(__xludf.DUMMYFUNCTION("""COMPUTED_VALUE"""),"BLUE")</f>
        <v>BLUE</v>
      </c>
      <c r="G324" s="20" t="str">
        <f>IFERROR(__xludf.DUMMYFUNCTION("""COMPUTED_VALUE"""),"Uncle Sams Cider (04/04/2023)")</f>
        <v>Uncle Sams Cider (04/04/2023)</v>
      </c>
      <c r="H324" s="19"/>
    </row>
    <row r="325">
      <c r="A325" s="9"/>
      <c r="B325" s="15"/>
      <c r="C325" s="9">
        <f>IFERROR(__xludf.DUMMYFUNCTION("""COMPUTED_VALUE"""),45141.2524645833)</f>
        <v>45141.25246</v>
      </c>
      <c r="D325" s="15">
        <f>IFERROR(__xludf.DUMMYFUNCTION("""COMPUTED_VALUE"""),0.998)</f>
        <v>0.998</v>
      </c>
      <c r="E325" s="16">
        <f>IFERROR(__xludf.DUMMYFUNCTION("""COMPUTED_VALUE"""),72.0)</f>
        <v>72</v>
      </c>
      <c r="F325" s="19" t="str">
        <f>IFERROR(__xludf.DUMMYFUNCTION("""COMPUTED_VALUE"""),"BLUE")</f>
        <v>BLUE</v>
      </c>
      <c r="G325" s="20" t="str">
        <f>IFERROR(__xludf.DUMMYFUNCTION("""COMPUTED_VALUE"""),"Uncle Sams Cider (04/04/2023)")</f>
        <v>Uncle Sams Cider (04/04/2023)</v>
      </c>
      <c r="H325" s="19"/>
    </row>
    <row r="326">
      <c r="A326" s="9"/>
      <c r="B326" s="15"/>
      <c r="C326" s="9">
        <f>IFERROR(__xludf.DUMMYFUNCTION("""COMPUTED_VALUE"""),45141.2420424652)</f>
        <v>45141.24204</v>
      </c>
      <c r="D326" s="15">
        <f>IFERROR(__xludf.DUMMYFUNCTION("""COMPUTED_VALUE"""),0.998)</f>
        <v>0.998</v>
      </c>
      <c r="E326" s="16">
        <f>IFERROR(__xludf.DUMMYFUNCTION("""COMPUTED_VALUE"""),72.0)</f>
        <v>72</v>
      </c>
      <c r="F326" s="19" t="str">
        <f>IFERROR(__xludf.DUMMYFUNCTION("""COMPUTED_VALUE"""),"BLUE")</f>
        <v>BLUE</v>
      </c>
      <c r="G326" s="20" t="str">
        <f>IFERROR(__xludf.DUMMYFUNCTION("""COMPUTED_VALUE"""),"Uncle Sams Cider (04/04/2023)")</f>
        <v>Uncle Sams Cider (04/04/2023)</v>
      </c>
      <c r="H326" s="19"/>
    </row>
    <row r="327">
      <c r="A327" s="9"/>
      <c r="B327" s="15"/>
      <c r="C327" s="9">
        <f>IFERROR(__xludf.DUMMYFUNCTION("""COMPUTED_VALUE"""),45141.2316104745)</f>
        <v>45141.23161</v>
      </c>
      <c r="D327" s="15">
        <f>IFERROR(__xludf.DUMMYFUNCTION("""COMPUTED_VALUE"""),0.998)</f>
        <v>0.998</v>
      </c>
      <c r="E327" s="16">
        <f>IFERROR(__xludf.DUMMYFUNCTION("""COMPUTED_VALUE"""),72.0)</f>
        <v>72</v>
      </c>
      <c r="F327" s="19" t="str">
        <f>IFERROR(__xludf.DUMMYFUNCTION("""COMPUTED_VALUE"""),"BLUE")</f>
        <v>BLUE</v>
      </c>
      <c r="G327" s="20" t="str">
        <f>IFERROR(__xludf.DUMMYFUNCTION("""COMPUTED_VALUE"""),"Uncle Sams Cider (04/04/2023)")</f>
        <v>Uncle Sams Cider (04/04/2023)</v>
      </c>
      <c r="H327" s="19"/>
    </row>
    <row r="328">
      <c r="A328" s="9"/>
      <c r="B328" s="15"/>
      <c r="C328" s="9">
        <f>IFERROR(__xludf.DUMMYFUNCTION("""COMPUTED_VALUE"""),45141.221189155)</f>
        <v>45141.22119</v>
      </c>
      <c r="D328" s="15">
        <f>IFERROR(__xludf.DUMMYFUNCTION("""COMPUTED_VALUE"""),0.998)</f>
        <v>0.998</v>
      </c>
      <c r="E328" s="16">
        <f>IFERROR(__xludf.DUMMYFUNCTION("""COMPUTED_VALUE"""),72.0)</f>
        <v>72</v>
      </c>
      <c r="F328" s="19" t="str">
        <f>IFERROR(__xludf.DUMMYFUNCTION("""COMPUTED_VALUE"""),"BLUE")</f>
        <v>BLUE</v>
      </c>
      <c r="G328" s="20" t="str">
        <f>IFERROR(__xludf.DUMMYFUNCTION("""COMPUTED_VALUE"""),"Uncle Sams Cider (04/04/2023)")</f>
        <v>Uncle Sams Cider (04/04/2023)</v>
      </c>
      <c r="H328" s="19"/>
    </row>
    <row r="329">
      <c r="A329" s="9"/>
      <c r="B329" s="15"/>
      <c r="C329" s="9">
        <f>IFERROR(__xludf.DUMMYFUNCTION("""COMPUTED_VALUE"""),45141.2107565972)</f>
        <v>45141.21076</v>
      </c>
      <c r="D329" s="15">
        <f>IFERROR(__xludf.DUMMYFUNCTION("""COMPUTED_VALUE"""),0.998)</f>
        <v>0.998</v>
      </c>
      <c r="E329" s="16">
        <f>IFERROR(__xludf.DUMMYFUNCTION("""COMPUTED_VALUE"""),72.0)</f>
        <v>72</v>
      </c>
      <c r="F329" s="19" t="str">
        <f>IFERROR(__xludf.DUMMYFUNCTION("""COMPUTED_VALUE"""),"BLUE")</f>
        <v>BLUE</v>
      </c>
      <c r="G329" s="20" t="str">
        <f>IFERROR(__xludf.DUMMYFUNCTION("""COMPUTED_VALUE"""),"Uncle Sams Cider (04/04/2023)")</f>
        <v>Uncle Sams Cider (04/04/2023)</v>
      </c>
      <c r="H329" s="19"/>
    </row>
    <row r="330">
      <c r="A330" s="9"/>
      <c r="B330" s="15"/>
      <c r="C330" s="9">
        <f>IFERROR(__xludf.DUMMYFUNCTION("""COMPUTED_VALUE"""),45141.2003361689)</f>
        <v>45141.20034</v>
      </c>
      <c r="D330" s="15">
        <f>IFERROR(__xludf.DUMMYFUNCTION("""COMPUTED_VALUE"""),0.998)</f>
        <v>0.998</v>
      </c>
      <c r="E330" s="16">
        <f>IFERROR(__xludf.DUMMYFUNCTION("""COMPUTED_VALUE"""),72.0)</f>
        <v>72</v>
      </c>
      <c r="F330" s="19" t="str">
        <f>IFERROR(__xludf.DUMMYFUNCTION("""COMPUTED_VALUE"""),"BLUE")</f>
        <v>BLUE</v>
      </c>
      <c r="G330" s="20" t="str">
        <f>IFERROR(__xludf.DUMMYFUNCTION("""COMPUTED_VALUE"""),"Uncle Sams Cider (04/04/2023)")</f>
        <v>Uncle Sams Cider (04/04/2023)</v>
      </c>
      <c r="H330" s="19"/>
    </row>
    <row r="331">
      <c r="A331" s="9"/>
      <c r="B331" s="15"/>
      <c r="C331" s="9">
        <f>IFERROR(__xludf.DUMMYFUNCTION("""COMPUTED_VALUE"""),45141.1899061111)</f>
        <v>45141.18991</v>
      </c>
      <c r="D331" s="15">
        <f>IFERROR(__xludf.DUMMYFUNCTION("""COMPUTED_VALUE"""),0.998)</f>
        <v>0.998</v>
      </c>
      <c r="E331" s="16">
        <f>IFERROR(__xludf.DUMMYFUNCTION("""COMPUTED_VALUE"""),72.0)</f>
        <v>72</v>
      </c>
      <c r="F331" s="19" t="str">
        <f>IFERROR(__xludf.DUMMYFUNCTION("""COMPUTED_VALUE"""),"BLUE")</f>
        <v>BLUE</v>
      </c>
      <c r="G331" s="20" t="str">
        <f>IFERROR(__xludf.DUMMYFUNCTION("""COMPUTED_VALUE"""),"Uncle Sams Cider (04/04/2023)")</f>
        <v>Uncle Sams Cider (04/04/2023)</v>
      </c>
      <c r="H331" s="19"/>
    </row>
    <row r="332">
      <c r="A332" s="9"/>
      <c r="B332" s="15"/>
      <c r="C332" s="9">
        <f>IFERROR(__xludf.DUMMYFUNCTION("""COMPUTED_VALUE"""),45141.1794875925)</f>
        <v>45141.17949</v>
      </c>
      <c r="D332" s="15">
        <f>IFERROR(__xludf.DUMMYFUNCTION("""COMPUTED_VALUE"""),0.998)</f>
        <v>0.998</v>
      </c>
      <c r="E332" s="16">
        <f>IFERROR(__xludf.DUMMYFUNCTION("""COMPUTED_VALUE"""),72.0)</f>
        <v>72</v>
      </c>
      <c r="F332" s="19" t="str">
        <f>IFERROR(__xludf.DUMMYFUNCTION("""COMPUTED_VALUE"""),"BLUE")</f>
        <v>BLUE</v>
      </c>
      <c r="G332" s="20" t="str">
        <f>IFERROR(__xludf.DUMMYFUNCTION("""COMPUTED_VALUE"""),"Uncle Sams Cider (04/04/2023)")</f>
        <v>Uncle Sams Cider (04/04/2023)</v>
      </c>
      <c r="H332" s="19"/>
    </row>
    <row r="333">
      <c r="A333" s="9"/>
      <c r="B333" s="15"/>
      <c r="C333" s="9">
        <f>IFERROR(__xludf.DUMMYFUNCTION("""COMPUTED_VALUE"""),45141.1690657754)</f>
        <v>45141.16907</v>
      </c>
      <c r="D333" s="15">
        <f>IFERROR(__xludf.DUMMYFUNCTION("""COMPUTED_VALUE"""),0.998)</f>
        <v>0.998</v>
      </c>
      <c r="E333" s="16">
        <f>IFERROR(__xludf.DUMMYFUNCTION("""COMPUTED_VALUE"""),72.0)</f>
        <v>72</v>
      </c>
      <c r="F333" s="19" t="str">
        <f>IFERROR(__xludf.DUMMYFUNCTION("""COMPUTED_VALUE"""),"BLUE")</f>
        <v>BLUE</v>
      </c>
      <c r="G333" s="20" t="str">
        <f>IFERROR(__xludf.DUMMYFUNCTION("""COMPUTED_VALUE"""),"Uncle Sams Cider (04/04/2023)")</f>
        <v>Uncle Sams Cider (04/04/2023)</v>
      </c>
      <c r="H333" s="19"/>
    </row>
    <row r="334">
      <c r="A334" s="9"/>
      <c r="B334" s="15"/>
      <c r="C334" s="9">
        <f>IFERROR(__xludf.DUMMYFUNCTION("""COMPUTED_VALUE"""),45141.1586438888)</f>
        <v>45141.15864</v>
      </c>
      <c r="D334" s="15">
        <f>IFERROR(__xludf.DUMMYFUNCTION("""COMPUTED_VALUE"""),0.998)</f>
        <v>0.998</v>
      </c>
      <c r="E334" s="16">
        <f>IFERROR(__xludf.DUMMYFUNCTION("""COMPUTED_VALUE"""),72.0)</f>
        <v>72</v>
      </c>
      <c r="F334" s="19" t="str">
        <f>IFERROR(__xludf.DUMMYFUNCTION("""COMPUTED_VALUE"""),"BLUE")</f>
        <v>BLUE</v>
      </c>
      <c r="G334" s="20" t="str">
        <f>IFERROR(__xludf.DUMMYFUNCTION("""COMPUTED_VALUE"""),"Uncle Sams Cider (04/04/2023)")</f>
        <v>Uncle Sams Cider (04/04/2023)</v>
      </c>
      <c r="H334" s="19"/>
    </row>
    <row r="335">
      <c r="A335" s="9"/>
      <c r="B335" s="15"/>
      <c r="C335" s="9">
        <f>IFERROR(__xludf.DUMMYFUNCTION("""COMPUTED_VALUE"""),45141.148222662)</f>
        <v>45141.14822</v>
      </c>
      <c r="D335" s="15">
        <f>IFERROR(__xludf.DUMMYFUNCTION("""COMPUTED_VALUE"""),0.998)</f>
        <v>0.998</v>
      </c>
      <c r="E335" s="16">
        <f>IFERROR(__xludf.DUMMYFUNCTION("""COMPUTED_VALUE"""),72.0)</f>
        <v>72</v>
      </c>
      <c r="F335" s="19" t="str">
        <f>IFERROR(__xludf.DUMMYFUNCTION("""COMPUTED_VALUE"""),"BLUE")</f>
        <v>BLUE</v>
      </c>
      <c r="G335" s="20" t="str">
        <f>IFERROR(__xludf.DUMMYFUNCTION("""COMPUTED_VALUE"""),"Uncle Sams Cider (04/04/2023)")</f>
        <v>Uncle Sams Cider (04/04/2023)</v>
      </c>
      <c r="H335" s="19"/>
    </row>
    <row r="336">
      <c r="A336" s="9"/>
      <c r="B336" s="15"/>
      <c r="C336" s="9">
        <f>IFERROR(__xludf.DUMMYFUNCTION("""COMPUTED_VALUE"""),45141.1378004629)</f>
        <v>45141.1378</v>
      </c>
      <c r="D336" s="15">
        <f>IFERROR(__xludf.DUMMYFUNCTION("""COMPUTED_VALUE"""),0.998)</f>
        <v>0.998</v>
      </c>
      <c r="E336" s="16">
        <f>IFERROR(__xludf.DUMMYFUNCTION("""COMPUTED_VALUE"""),72.0)</f>
        <v>72</v>
      </c>
      <c r="F336" s="19" t="str">
        <f>IFERROR(__xludf.DUMMYFUNCTION("""COMPUTED_VALUE"""),"BLUE")</f>
        <v>BLUE</v>
      </c>
      <c r="G336" s="20" t="str">
        <f>IFERROR(__xludf.DUMMYFUNCTION("""COMPUTED_VALUE"""),"Uncle Sams Cider (04/04/2023)")</f>
        <v>Uncle Sams Cider (04/04/2023)</v>
      </c>
      <c r="H336" s="19"/>
    </row>
    <row r="337">
      <c r="A337" s="9"/>
      <c r="B337" s="15"/>
      <c r="C337" s="9">
        <f>IFERROR(__xludf.DUMMYFUNCTION("""COMPUTED_VALUE"""),45141.1273793865)</f>
        <v>45141.12738</v>
      </c>
      <c r="D337" s="15">
        <f>IFERROR(__xludf.DUMMYFUNCTION("""COMPUTED_VALUE"""),0.998)</f>
        <v>0.998</v>
      </c>
      <c r="E337" s="16">
        <f>IFERROR(__xludf.DUMMYFUNCTION("""COMPUTED_VALUE"""),72.0)</f>
        <v>72</v>
      </c>
      <c r="F337" s="19" t="str">
        <f>IFERROR(__xludf.DUMMYFUNCTION("""COMPUTED_VALUE"""),"BLUE")</f>
        <v>BLUE</v>
      </c>
      <c r="G337" s="20" t="str">
        <f>IFERROR(__xludf.DUMMYFUNCTION("""COMPUTED_VALUE"""),"Uncle Sams Cider (04/04/2023)")</f>
        <v>Uncle Sams Cider (04/04/2023)</v>
      </c>
      <c r="H337" s="19"/>
    </row>
    <row r="338">
      <c r="A338" s="9"/>
      <c r="B338" s="15"/>
      <c r="C338" s="9">
        <f>IFERROR(__xludf.DUMMYFUNCTION("""COMPUTED_VALUE"""),45141.1169351273)</f>
        <v>45141.11694</v>
      </c>
      <c r="D338" s="15">
        <f>IFERROR(__xludf.DUMMYFUNCTION("""COMPUTED_VALUE"""),0.998)</f>
        <v>0.998</v>
      </c>
      <c r="E338" s="16">
        <f>IFERROR(__xludf.DUMMYFUNCTION("""COMPUTED_VALUE"""),72.0)</f>
        <v>72</v>
      </c>
      <c r="F338" s="19" t="str">
        <f>IFERROR(__xludf.DUMMYFUNCTION("""COMPUTED_VALUE"""),"BLUE")</f>
        <v>BLUE</v>
      </c>
      <c r="G338" s="20" t="str">
        <f>IFERROR(__xludf.DUMMYFUNCTION("""COMPUTED_VALUE"""),"Uncle Sams Cider (04/04/2023)")</f>
        <v>Uncle Sams Cider (04/04/2023)</v>
      </c>
      <c r="H338" s="19"/>
    </row>
    <row r="339">
      <c r="A339" s="9"/>
      <c r="B339" s="15"/>
      <c r="C339" s="9">
        <f>IFERROR(__xludf.DUMMYFUNCTION("""COMPUTED_VALUE"""),45141.106513831)</f>
        <v>45141.10651</v>
      </c>
      <c r="D339" s="15">
        <f>IFERROR(__xludf.DUMMYFUNCTION("""COMPUTED_VALUE"""),0.998)</f>
        <v>0.998</v>
      </c>
      <c r="E339" s="16">
        <f>IFERROR(__xludf.DUMMYFUNCTION("""COMPUTED_VALUE"""),72.0)</f>
        <v>72</v>
      </c>
      <c r="F339" s="19" t="str">
        <f>IFERROR(__xludf.DUMMYFUNCTION("""COMPUTED_VALUE"""),"BLUE")</f>
        <v>BLUE</v>
      </c>
      <c r="G339" s="20" t="str">
        <f>IFERROR(__xludf.DUMMYFUNCTION("""COMPUTED_VALUE"""),"Uncle Sams Cider (04/04/2023)")</f>
        <v>Uncle Sams Cider (04/04/2023)</v>
      </c>
      <c r="H339" s="19"/>
    </row>
    <row r="340">
      <c r="A340" s="9"/>
      <c r="B340" s="15"/>
      <c r="C340" s="9">
        <f>IFERROR(__xludf.DUMMYFUNCTION("""COMPUTED_VALUE"""),45141.0960927662)</f>
        <v>45141.09609</v>
      </c>
      <c r="D340" s="15">
        <f>IFERROR(__xludf.DUMMYFUNCTION("""COMPUTED_VALUE"""),0.998)</f>
        <v>0.998</v>
      </c>
      <c r="E340" s="16">
        <f>IFERROR(__xludf.DUMMYFUNCTION("""COMPUTED_VALUE"""),72.0)</f>
        <v>72</v>
      </c>
      <c r="F340" s="19" t="str">
        <f>IFERROR(__xludf.DUMMYFUNCTION("""COMPUTED_VALUE"""),"BLUE")</f>
        <v>BLUE</v>
      </c>
      <c r="G340" s="20" t="str">
        <f>IFERROR(__xludf.DUMMYFUNCTION("""COMPUTED_VALUE"""),"Uncle Sams Cider (04/04/2023)")</f>
        <v>Uncle Sams Cider (04/04/2023)</v>
      </c>
      <c r="H340" s="19"/>
    </row>
    <row r="341">
      <c r="A341" s="9"/>
      <c r="B341" s="15"/>
      <c r="C341" s="9">
        <f>IFERROR(__xludf.DUMMYFUNCTION("""COMPUTED_VALUE"""),45141.0856602199)</f>
        <v>45141.08566</v>
      </c>
      <c r="D341" s="15">
        <f>IFERROR(__xludf.DUMMYFUNCTION("""COMPUTED_VALUE"""),0.998)</f>
        <v>0.998</v>
      </c>
      <c r="E341" s="16">
        <f>IFERROR(__xludf.DUMMYFUNCTION("""COMPUTED_VALUE"""),72.0)</f>
        <v>72</v>
      </c>
      <c r="F341" s="19" t="str">
        <f>IFERROR(__xludf.DUMMYFUNCTION("""COMPUTED_VALUE"""),"BLUE")</f>
        <v>BLUE</v>
      </c>
      <c r="G341" s="20" t="str">
        <f>IFERROR(__xludf.DUMMYFUNCTION("""COMPUTED_VALUE"""),"Uncle Sams Cider (04/04/2023)")</f>
        <v>Uncle Sams Cider (04/04/2023)</v>
      </c>
      <c r="H341" s="19"/>
    </row>
    <row r="342">
      <c r="A342" s="9"/>
      <c r="B342" s="15"/>
      <c r="C342" s="9">
        <f>IFERROR(__xludf.DUMMYFUNCTION("""COMPUTED_VALUE"""),45141.0752399305)</f>
        <v>45141.07524</v>
      </c>
      <c r="D342" s="15">
        <f>IFERROR(__xludf.DUMMYFUNCTION("""COMPUTED_VALUE"""),0.998)</f>
        <v>0.998</v>
      </c>
      <c r="E342" s="16">
        <f>IFERROR(__xludf.DUMMYFUNCTION("""COMPUTED_VALUE"""),72.0)</f>
        <v>72</v>
      </c>
      <c r="F342" s="19" t="str">
        <f>IFERROR(__xludf.DUMMYFUNCTION("""COMPUTED_VALUE"""),"BLUE")</f>
        <v>BLUE</v>
      </c>
      <c r="G342" s="20" t="str">
        <f>IFERROR(__xludf.DUMMYFUNCTION("""COMPUTED_VALUE"""),"Uncle Sams Cider (04/04/2023)")</f>
        <v>Uncle Sams Cider (04/04/2023)</v>
      </c>
      <c r="H342" s="19"/>
    </row>
    <row r="343">
      <c r="A343" s="9"/>
      <c r="B343" s="15"/>
      <c r="C343" s="9">
        <f>IFERROR(__xludf.DUMMYFUNCTION("""COMPUTED_VALUE"""),45141.0648187037)</f>
        <v>45141.06482</v>
      </c>
      <c r="D343" s="15">
        <f>IFERROR(__xludf.DUMMYFUNCTION("""COMPUTED_VALUE"""),0.998)</f>
        <v>0.998</v>
      </c>
      <c r="E343" s="16">
        <f>IFERROR(__xludf.DUMMYFUNCTION("""COMPUTED_VALUE"""),72.0)</f>
        <v>72</v>
      </c>
      <c r="F343" s="19" t="str">
        <f>IFERROR(__xludf.DUMMYFUNCTION("""COMPUTED_VALUE"""),"BLUE")</f>
        <v>BLUE</v>
      </c>
      <c r="G343" s="20" t="str">
        <f>IFERROR(__xludf.DUMMYFUNCTION("""COMPUTED_VALUE"""),"Uncle Sams Cider (04/04/2023)")</f>
        <v>Uncle Sams Cider (04/04/2023)</v>
      </c>
      <c r="H343" s="19"/>
    </row>
    <row r="344">
      <c r="A344" s="9"/>
      <c r="B344" s="15"/>
      <c r="C344" s="9">
        <f>IFERROR(__xludf.DUMMYFUNCTION("""COMPUTED_VALUE"""),45141.0543979282)</f>
        <v>45141.0544</v>
      </c>
      <c r="D344" s="15">
        <f>IFERROR(__xludf.DUMMYFUNCTION("""COMPUTED_VALUE"""),0.998)</f>
        <v>0.998</v>
      </c>
      <c r="E344" s="16">
        <f>IFERROR(__xludf.DUMMYFUNCTION("""COMPUTED_VALUE"""),72.0)</f>
        <v>72</v>
      </c>
      <c r="F344" s="19" t="str">
        <f>IFERROR(__xludf.DUMMYFUNCTION("""COMPUTED_VALUE"""),"BLUE")</f>
        <v>BLUE</v>
      </c>
      <c r="G344" s="20" t="str">
        <f>IFERROR(__xludf.DUMMYFUNCTION("""COMPUTED_VALUE"""),"Uncle Sams Cider (04/04/2023)")</f>
        <v>Uncle Sams Cider (04/04/2023)</v>
      </c>
      <c r="H344" s="19"/>
    </row>
    <row r="345">
      <c r="A345" s="9"/>
      <c r="B345" s="15"/>
      <c r="C345" s="9">
        <f>IFERROR(__xludf.DUMMYFUNCTION("""COMPUTED_VALUE"""),45141.0439655555)</f>
        <v>45141.04397</v>
      </c>
      <c r="D345" s="15">
        <f>IFERROR(__xludf.DUMMYFUNCTION("""COMPUTED_VALUE"""),0.998)</f>
        <v>0.998</v>
      </c>
      <c r="E345" s="16">
        <f>IFERROR(__xludf.DUMMYFUNCTION("""COMPUTED_VALUE"""),72.0)</f>
        <v>72</v>
      </c>
      <c r="F345" s="19" t="str">
        <f>IFERROR(__xludf.DUMMYFUNCTION("""COMPUTED_VALUE"""),"BLUE")</f>
        <v>BLUE</v>
      </c>
      <c r="G345" s="20" t="str">
        <f>IFERROR(__xludf.DUMMYFUNCTION("""COMPUTED_VALUE"""),"Uncle Sams Cider (04/04/2023)")</f>
        <v>Uncle Sams Cider (04/04/2023)</v>
      </c>
      <c r="H345" s="19"/>
    </row>
    <row r="346">
      <c r="A346" s="9"/>
      <c r="B346" s="15"/>
      <c r="C346" s="9">
        <f>IFERROR(__xludf.DUMMYFUNCTION("""COMPUTED_VALUE"""),45141.0335313541)</f>
        <v>45141.03353</v>
      </c>
      <c r="D346" s="15">
        <f>IFERROR(__xludf.DUMMYFUNCTION("""COMPUTED_VALUE"""),0.998)</f>
        <v>0.998</v>
      </c>
      <c r="E346" s="16">
        <f>IFERROR(__xludf.DUMMYFUNCTION("""COMPUTED_VALUE"""),72.0)</f>
        <v>72</v>
      </c>
      <c r="F346" s="19" t="str">
        <f>IFERROR(__xludf.DUMMYFUNCTION("""COMPUTED_VALUE"""),"BLUE")</f>
        <v>BLUE</v>
      </c>
      <c r="G346" s="20" t="str">
        <f>IFERROR(__xludf.DUMMYFUNCTION("""COMPUTED_VALUE"""),"Uncle Sams Cider (04/04/2023)")</f>
        <v>Uncle Sams Cider (04/04/2023)</v>
      </c>
      <c r="H346" s="19"/>
    </row>
    <row r="347">
      <c r="A347" s="9"/>
      <c r="B347" s="15"/>
      <c r="C347" s="9">
        <f>IFERROR(__xludf.DUMMYFUNCTION("""COMPUTED_VALUE"""),45141.0231096643)</f>
        <v>45141.02311</v>
      </c>
      <c r="D347" s="15">
        <f>IFERROR(__xludf.DUMMYFUNCTION("""COMPUTED_VALUE"""),0.998)</f>
        <v>0.998</v>
      </c>
      <c r="E347" s="16">
        <f>IFERROR(__xludf.DUMMYFUNCTION("""COMPUTED_VALUE"""),72.0)</f>
        <v>72</v>
      </c>
      <c r="F347" s="19" t="str">
        <f>IFERROR(__xludf.DUMMYFUNCTION("""COMPUTED_VALUE"""),"BLUE")</f>
        <v>BLUE</v>
      </c>
      <c r="G347" s="20" t="str">
        <f>IFERROR(__xludf.DUMMYFUNCTION("""COMPUTED_VALUE"""),"Uncle Sams Cider (04/04/2023)")</f>
        <v>Uncle Sams Cider (04/04/2023)</v>
      </c>
      <c r="H347" s="19"/>
    </row>
    <row r="348">
      <c r="A348" s="9"/>
      <c r="B348" s="15"/>
      <c r="C348" s="9">
        <f>IFERROR(__xludf.DUMMYFUNCTION("""COMPUTED_VALUE"""),45141.012687824)</f>
        <v>45141.01269</v>
      </c>
      <c r="D348" s="15">
        <f>IFERROR(__xludf.DUMMYFUNCTION("""COMPUTED_VALUE"""),0.998)</f>
        <v>0.998</v>
      </c>
      <c r="E348" s="16">
        <f>IFERROR(__xludf.DUMMYFUNCTION("""COMPUTED_VALUE"""),72.0)</f>
        <v>72</v>
      </c>
      <c r="F348" s="19" t="str">
        <f>IFERROR(__xludf.DUMMYFUNCTION("""COMPUTED_VALUE"""),"BLUE")</f>
        <v>BLUE</v>
      </c>
      <c r="G348" s="20" t="str">
        <f>IFERROR(__xludf.DUMMYFUNCTION("""COMPUTED_VALUE"""),"Uncle Sams Cider (04/04/2023)")</f>
        <v>Uncle Sams Cider (04/04/2023)</v>
      </c>
      <c r="H348" s="19"/>
    </row>
    <row r="349">
      <c r="A349" s="9"/>
      <c r="B349" s="15"/>
      <c r="C349" s="9">
        <f>IFERROR(__xludf.DUMMYFUNCTION("""COMPUTED_VALUE"""),45141.0022672916)</f>
        <v>45141.00227</v>
      </c>
      <c r="D349" s="15">
        <f>IFERROR(__xludf.DUMMYFUNCTION("""COMPUTED_VALUE"""),0.998)</f>
        <v>0.998</v>
      </c>
      <c r="E349" s="16">
        <f>IFERROR(__xludf.DUMMYFUNCTION("""COMPUTED_VALUE"""),72.0)</f>
        <v>72</v>
      </c>
      <c r="F349" s="19" t="str">
        <f>IFERROR(__xludf.DUMMYFUNCTION("""COMPUTED_VALUE"""),"BLUE")</f>
        <v>BLUE</v>
      </c>
      <c r="G349" s="20" t="str">
        <f>IFERROR(__xludf.DUMMYFUNCTION("""COMPUTED_VALUE"""),"Uncle Sams Cider (04/04/2023)")</f>
        <v>Uncle Sams Cider (04/04/2023)</v>
      </c>
      <c r="H349" s="19"/>
    </row>
    <row r="350">
      <c r="A350" s="9"/>
      <c r="B350" s="15"/>
      <c r="C350" s="9">
        <f>IFERROR(__xludf.DUMMYFUNCTION("""COMPUTED_VALUE"""),45140.9918474421)</f>
        <v>45140.99185</v>
      </c>
      <c r="D350" s="15">
        <f>IFERROR(__xludf.DUMMYFUNCTION("""COMPUTED_VALUE"""),0.998)</f>
        <v>0.998</v>
      </c>
      <c r="E350" s="16">
        <f>IFERROR(__xludf.DUMMYFUNCTION("""COMPUTED_VALUE"""),72.0)</f>
        <v>72</v>
      </c>
      <c r="F350" s="19" t="str">
        <f>IFERROR(__xludf.DUMMYFUNCTION("""COMPUTED_VALUE"""),"BLUE")</f>
        <v>BLUE</v>
      </c>
      <c r="G350" s="20" t="str">
        <f>IFERROR(__xludf.DUMMYFUNCTION("""COMPUTED_VALUE"""),"Uncle Sams Cider (04/04/2023)")</f>
        <v>Uncle Sams Cider (04/04/2023)</v>
      </c>
      <c r="H350" s="19"/>
    </row>
    <row r="351">
      <c r="A351" s="9"/>
      <c r="B351" s="15"/>
      <c r="C351" s="9">
        <f>IFERROR(__xludf.DUMMYFUNCTION("""COMPUTED_VALUE"""),45140.981425706)</f>
        <v>45140.98143</v>
      </c>
      <c r="D351" s="15">
        <f>IFERROR(__xludf.DUMMYFUNCTION("""COMPUTED_VALUE"""),0.998)</f>
        <v>0.998</v>
      </c>
      <c r="E351" s="16">
        <f>IFERROR(__xludf.DUMMYFUNCTION("""COMPUTED_VALUE"""),72.0)</f>
        <v>72</v>
      </c>
      <c r="F351" s="19" t="str">
        <f>IFERROR(__xludf.DUMMYFUNCTION("""COMPUTED_VALUE"""),"BLUE")</f>
        <v>BLUE</v>
      </c>
      <c r="G351" s="20" t="str">
        <f>IFERROR(__xludf.DUMMYFUNCTION("""COMPUTED_VALUE"""),"Uncle Sams Cider (04/04/2023)")</f>
        <v>Uncle Sams Cider (04/04/2023)</v>
      </c>
      <c r="H351" s="19"/>
    </row>
    <row r="352">
      <c r="A352" s="9"/>
      <c r="B352" s="15"/>
      <c r="C352" s="9">
        <f>IFERROR(__xludf.DUMMYFUNCTION("""COMPUTED_VALUE"""),45140.9710054166)</f>
        <v>45140.97101</v>
      </c>
      <c r="D352" s="15">
        <f>IFERROR(__xludf.DUMMYFUNCTION("""COMPUTED_VALUE"""),0.998)</f>
        <v>0.998</v>
      </c>
      <c r="E352" s="16">
        <f>IFERROR(__xludf.DUMMYFUNCTION("""COMPUTED_VALUE"""),72.0)</f>
        <v>72</v>
      </c>
      <c r="F352" s="19" t="str">
        <f>IFERROR(__xludf.DUMMYFUNCTION("""COMPUTED_VALUE"""),"BLUE")</f>
        <v>BLUE</v>
      </c>
      <c r="G352" s="20" t="str">
        <f>IFERROR(__xludf.DUMMYFUNCTION("""COMPUTED_VALUE"""),"Uncle Sams Cider (04/04/2023)")</f>
        <v>Uncle Sams Cider (04/04/2023)</v>
      </c>
      <c r="H352" s="19"/>
    </row>
    <row r="353">
      <c r="A353" s="9"/>
      <c r="B353" s="15"/>
      <c r="C353" s="9">
        <f>IFERROR(__xludf.DUMMYFUNCTION("""COMPUTED_VALUE"""),45140.9605842592)</f>
        <v>45140.96058</v>
      </c>
      <c r="D353" s="15">
        <f>IFERROR(__xludf.DUMMYFUNCTION("""COMPUTED_VALUE"""),0.998)</f>
        <v>0.998</v>
      </c>
      <c r="E353" s="16">
        <f>IFERROR(__xludf.DUMMYFUNCTION("""COMPUTED_VALUE"""),72.0)</f>
        <v>72</v>
      </c>
      <c r="F353" s="19" t="str">
        <f>IFERROR(__xludf.DUMMYFUNCTION("""COMPUTED_VALUE"""),"BLUE")</f>
        <v>BLUE</v>
      </c>
      <c r="G353" s="20" t="str">
        <f>IFERROR(__xludf.DUMMYFUNCTION("""COMPUTED_VALUE"""),"Uncle Sams Cider (04/04/2023)")</f>
        <v>Uncle Sams Cider (04/04/2023)</v>
      </c>
      <c r="H353" s="19"/>
    </row>
    <row r="354">
      <c r="A354" s="9"/>
      <c r="B354" s="15"/>
      <c r="C354" s="9">
        <f>IFERROR(__xludf.DUMMYFUNCTION("""COMPUTED_VALUE"""),45140.9501507523)</f>
        <v>45140.95015</v>
      </c>
      <c r="D354" s="15">
        <f>IFERROR(__xludf.DUMMYFUNCTION("""COMPUTED_VALUE"""),0.998)</f>
        <v>0.998</v>
      </c>
      <c r="E354" s="16">
        <f>IFERROR(__xludf.DUMMYFUNCTION("""COMPUTED_VALUE"""),72.0)</f>
        <v>72</v>
      </c>
      <c r="F354" s="19" t="str">
        <f>IFERROR(__xludf.DUMMYFUNCTION("""COMPUTED_VALUE"""),"BLUE")</f>
        <v>BLUE</v>
      </c>
      <c r="G354" s="20" t="str">
        <f>IFERROR(__xludf.DUMMYFUNCTION("""COMPUTED_VALUE"""),"Uncle Sams Cider (04/04/2023)")</f>
        <v>Uncle Sams Cider (04/04/2023)</v>
      </c>
      <c r="H354" s="19"/>
    </row>
    <row r="355">
      <c r="A355" s="9"/>
      <c r="B355" s="15"/>
      <c r="C355" s="9">
        <f>IFERROR(__xludf.DUMMYFUNCTION("""COMPUTED_VALUE"""),45140.9397290162)</f>
        <v>45140.93973</v>
      </c>
      <c r="D355" s="15">
        <f>IFERROR(__xludf.DUMMYFUNCTION("""COMPUTED_VALUE"""),0.998)</f>
        <v>0.998</v>
      </c>
      <c r="E355" s="16">
        <f>IFERROR(__xludf.DUMMYFUNCTION("""COMPUTED_VALUE"""),72.0)</f>
        <v>72</v>
      </c>
      <c r="F355" s="19" t="str">
        <f>IFERROR(__xludf.DUMMYFUNCTION("""COMPUTED_VALUE"""),"BLUE")</f>
        <v>BLUE</v>
      </c>
      <c r="G355" s="20" t="str">
        <f>IFERROR(__xludf.DUMMYFUNCTION("""COMPUTED_VALUE"""),"Uncle Sams Cider (04/04/2023)")</f>
        <v>Uncle Sams Cider (04/04/2023)</v>
      </c>
      <c r="H355" s="19"/>
    </row>
    <row r="356">
      <c r="A356" s="9"/>
      <c r="B356" s="15"/>
      <c r="C356" s="9">
        <f>IFERROR(__xludf.DUMMYFUNCTION("""COMPUTED_VALUE"""),45140.9293067824)</f>
        <v>45140.92931</v>
      </c>
      <c r="D356" s="15">
        <f>IFERROR(__xludf.DUMMYFUNCTION("""COMPUTED_VALUE"""),0.998)</f>
        <v>0.998</v>
      </c>
      <c r="E356" s="16">
        <f>IFERROR(__xludf.DUMMYFUNCTION("""COMPUTED_VALUE"""),72.0)</f>
        <v>72</v>
      </c>
      <c r="F356" s="19" t="str">
        <f>IFERROR(__xludf.DUMMYFUNCTION("""COMPUTED_VALUE"""),"BLUE")</f>
        <v>BLUE</v>
      </c>
      <c r="G356" s="20" t="str">
        <f>IFERROR(__xludf.DUMMYFUNCTION("""COMPUTED_VALUE"""),"Uncle Sams Cider (04/04/2023)")</f>
        <v>Uncle Sams Cider (04/04/2023)</v>
      </c>
      <c r="H356" s="19"/>
    </row>
    <row r="357">
      <c r="A357" s="9"/>
      <c r="B357" s="15"/>
      <c r="C357" s="9">
        <f>IFERROR(__xludf.DUMMYFUNCTION("""COMPUTED_VALUE"""),45140.9188855208)</f>
        <v>45140.91889</v>
      </c>
      <c r="D357" s="15">
        <f>IFERROR(__xludf.DUMMYFUNCTION("""COMPUTED_VALUE"""),0.998)</f>
        <v>0.998</v>
      </c>
      <c r="E357" s="16">
        <f>IFERROR(__xludf.DUMMYFUNCTION("""COMPUTED_VALUE"""),72.0)</f>
        <v>72</v>
      </c>
      <c r="F357" s="19" t="str">
        <f>IFERROR(__xludf.DUMMYFUNCTION("""COMPUTED_VALUE"""),"BLUE")</f>
        <v>BLUE</v>
      </c>
      <c r="G357" s="20" t="str">
        <f>IFERROR(__xludf.DUMMYFUNCTION("""COMPUTED_VALUE"""),"Uncle Sams Cider (04/04/2023)")</f>
        <v>Uncle Sams Cider (04/04/2023)</v>
      </c>
      <c r="H357" s="19"/>
    </row>
    <row r="358">
      <c r="A358" s="9"/>
      <c r="B358" s="15"/>
      <c r="C358" s="9">
        <f>IFERROR(__xludf.DUMMYFUNCTION("""COMPUTED_VALUE"""),45140.9084636921)</f>
        <v>45140.90846</v>
      </c>
      <c r="D358" s="15">
        <f>IFERROR(__xludf.DUMMYFUNCTION("""COMPUTED_VALUE"""),0.998)</f>
        <v>0.998</v>
      </c>
      <c r="E358" s="16">
        <f>IFERROR(__xludf.DUMMYFUNCTION("""COMPUTED_VALUE"""),72.0)</f>
        <v>72</v>
      </c>
      <c r="F358" s="19" t="str">
        <f>IFERROR(__xludf.DUMMYFUNCTION("""COMPUTED_VALUE"""),"BLUE")</f>
        <v>BLUE</v>
      </c>
      <c r="G358" s="20" t="str">
        <f>IFERROR(__xludf.DUMMYFUNCTION("""COMPUTED_VALUE"""),"Uncle Sams Cider (04/04/2023)")</f>
        <v>Uncle Sams Cider (04/04/2023)</v>
      </c>
      <c r="H358" s="19"/>
    </row>
    <row r="359">
      <c r="A359" s="9"/>
      <c r="B359" s="15"/>
      <c r="C359" s="9">
        <f>IFERROR(__xludf.DUMMYFUNCTION("""COMPUTED_VALUE"""),45140.8980423495)</f>
        <v>45140.89804</v>
      </c>
      <c r="D359" s="15">
        <f>IFERROR(__xludf.DUMMYFUNCTION("""COMPUTED_VALUE"""),0.998)</f>
        <v>0.998</v>
      </c>
      <c r="E359" s="16">
        <f>IFERROR(__xludf.DUMMYFUNCTION("""COMPUTED_VALUE"""),72.0)</f>
        <v>72</v>
      </c>
      <c r="F359" s="19" t="str">
        <f>IFERROR(__xludf.DUMMYFUNCTION("""COMPUTED_VALUE"""),"BLUE")</f>
        <v>BLUE</v>
      </c>
      <c r="G359" s="20" t="str">
        <f>IFERROR(__xludf.DUMMYFUNCTION("""COMPUTED_VALUE"""),"Uncle Sams Cider (04/04/2023)")</f>
        <v>Uncle Sams Cider (04/04/2023)</v>
      </c>
      <c r="H359" s="19"/>
    </row>
    <row r="360">
      <c r="A360" s="9"/>
      <c r="B360" s="15"/>
      <c r="C360" s="9">
        <f>IFERROR(__xludf.DUMMYFUNCTION("""COMPUTED_VALUE"""),45140.8876212037)</f>
        <v>45140.88762</v>
      </c>
      <c r="D360" s="15">
        <f>IFERROR(__xludf.DUMMYFUNCTION("""COMPUTED_VALUE"""),0.998)</f>
        <v>0.998</v>
      </c>
      <c r="E360" s="16">
        <f>IFERROR(__xludf.DUMMYFUNCTION("""COMPUTED_VALUE"""),72.0)</f>
        <v>72</v>
      </c>
      <c r="F360" s="19" t="str">
        <f>IFERROR(__xludf.DUMMYFUNCTION("""COMPUTED_VALUE"""),"BLUE")</f>
        <v>BLUE</v>
      </c>
      <c r="G360" s="20" t="str">
        <f>IFERROR(__xludf.DUMMYFUNCTION("""COMPUTED_VALUE"""),"Uncle Sams Cider (04/04/2023)")</f>
        <v>Uncle Sams Cider (04/04/2023)</v>
      </c>
      <c r="H360" s="19"/>
    </row>
    <row r="361">
      <c r="A361" s="9"/>
      <c r="B361" s="15"/>
      <c r="C361" s="9">
        <f>IFERROR(__xludf.DUMMYFUNCTION("""COMPUTED_VALUE"""),45140.8771996064)</f>
        <v>45140.8772</v>
      </c>
      <c r="D361" s="15">
        <f>IFERROR(__xludf.DUMMYFUNCTION("""COMPUTED_VALUE"""),0.998)</f>
        <v>0.998</v>
      </c>
      <c r="E361" s="16">
        <f>IFERROR(__xludf.DUMMYFUNCTION("""COMPUTED_VALUE"""),72.0)</f>
        <v>72</v>
      </c>
      <c r="F361" s="19" t="str">
        <f>IFERROR(__xludf.DUMMYFUNCTION("""COMPUTED_VALUE"""),"BLUE")</f>
        <v>BLUE</v>
      </c>
      <c r="G361" s="20" t="str">
        <f>IFERROR(__xludf.DUMMYFUNCTION("""COMPUTED_VALUE"""),"Uncle Sams Cider (04/04/2023)")</f>
        <v>Uncle Sams Cider (04/04/2023)</v>
      </c>
      <c r="H361" s="19"/>
    </row>
    <row r="362">
      <c r="A362" s="9"/>
      <c r="B362" s="15"/>
      <c r="C362" s="9">
        <f>IFERROR(__xludf.DUMMYFUNCTION("""COMPUTED_VALUE"""),45140.8667784953)</f>
        <v>45140.86678</v>
      </c>
      <c r="D362" s="15">
        <f>IFERROR(__xludf.DUMMYFUNCTION("""COMPUTED_VALUE"""),0.998)</f>
        <v>0.998</v>
      </c>
      <c r="E362" s="16">
        <f>IFERROR(__xludf.DUMMYFUNCTION("""COMPUTED_VALUE"""),72.0)</f>
        <v>72</v>
      </c>
      <c r="F362" s="19" t="str">
        <f>IFERROR(__xludf.DUMMYFUNCTION("""COMPUTED_VALUE"""),"BLUE")</f>
        <v>BLUE</v>
      </c>
      <c r="G362" s="20" t="str">
        <f>IFERROR(__xludf.DUMMYFUNCTION("""COMPUTED_VALUE"""),"Uncle Sams Cider (04/04/2023)")</f>
        <v>Uncle Sams Cider (04/04/2023)</v>
      </c>
      <c r="H362" s="19"/>
    </row>
    <row r="363">
      <c r="A363" s="9"/>
      <c r="B363" s="15"/>
      <c r="C363" s="9">
        <f>IFERROR(__xludf.DUMMYFUNCTION("""COMPUTED_VALUE"""),45140.8563596412)</f>
        <v>45140.85636</v>
      </c>
      <c r="D363" s="15">
        <f>IFERROR(__xludf.DUMMYFUNCTION("""COMPUTED_VALUE"""),0.998)</f>
        <v>0.998</v>
      </c>
      <c r="E363" s="16">
        <f>IFERROR(__xludf.DUMMYFUNCTION("""COMPUTED_VALUE"""),72.0)</f>
        <v>72</v>
      </c>
      <c r="F363" s="19" t="str">
        <f>IFERROR(__xludf.DUMMYFUNCTION("""COMPUTED_VALUE"""),"BLUE")</f>
        <v>BLUE</v>
      </c>
      <c r="G363" s="20" t="str">
        <f>IFERROR(__xludf.DUMMYFUNCTION("""COMPUTED_VALUE"""),"Uncle Sams Cider (04/04/2023)")</f>
        <v>Uncle Sams Cider (04/04/2023)</v>
      </c>
      <c r="H363" s="19"/>
    </row>
    <row r="364">
      <c r="A364" s="9"/>
      <c r="B364" s="15"/>
      <c r="C364" s="9">
        <f>IFERROR(__xludf.DUMMYFUNCTION("""COMPUTED_VALUE"""),45140.8459379051)</f>
        <v>45140.84594</v>
      </c>
      <c r="D364" s="15">
        <f>IFERROR(__xludf.DUMMYFUNCTION("""COMPUTED_VALUE"""),0.998)</f>
        <v>0.998</v>
      </c>
      <c r="E364" s="16">
        <f>IFERROR(__xludf.DUMMYFUNCTION("""COMPUTED_VALUE"""),72.0)</f>
        <v>72</v>
      </c>
      <c r="F364" s="19" t="str">
        <f>IFERROR(__xludf.DUMMYFUNCTION("""COMPUTED_VALUE"""),"BLUE")</f>
        <v>BLUE</v>
      </c>
      <c r="G364" s="20" t="str">
        <f>IFERROR(__xludf.DUMMYFUNCTION("""COMPUTED_VALUE"""),"Uncle Sams Cider (04/04/2023)")</f>
        <v>Uncle Sams Cider (04/04/2023)</v>
      </c>
      <c r="H364" s="19"/>
    </row>
    <row r="365">
      <c r="A365" s="9"/>
      <c r="B365" s="15"/>
      <c r="C365" s="9">
        <f>IFERROR(__xludf.DUMMYFUNCTION("""COMPUTED_VALUE"""),45140.8354947222)</f>
        <v>45140.83549</v>
      </c>
      <c r="D365" s="15">
        <f>IFERROR(__xludf.DUMMYFUNCTION("""COMPUTED_VALUE"""),0.998)</f>
        <v>0.998</v>
      </c>
      <c r="E365" s="16">
        <f>IFERROR(__xludf.DUMMYFUNCTION("""COMPUTED_VALUE"""),72.0)</f>
        <v>72</v>
      </c>
      <c r="F365" s="19" t="str">
        <f>IFERROR(__xludf.DUMMYFUNCTION("""COMPUTED_VALUE"""),"BLUE")</f>
        <v>BLUE</v>
      </c>
      <c r="G365" s="20" t="str">
        <f>IFERROR(__xludf.DUMMYFUNCTION("""COMPUTED_VALUE"""),"Uncle Sams Cider (04/04/2023)")</f>
        <v>Uncle Sams Cider (04/04/2023)</v>
      </c>
      <c r="H365" s="19"/>
    </row>
    <row r="366">
      <c r="A366" s="9"/>
      <c r="B366" s="15"/>
      <c r="C366" s="9">
        <f>IFERROR(__xludf.DUMMYFUNCTION("""COMPUTED_VALUE"""),45140.8250748032)</f>
        <v>45140.82507</v>
      </c>
      <c r="D366" s="15">
        <f>IFERROR(__xludf.DUMMYFUNCTION("""COMPUTED_VALUE"""),0.998)</f>
        <v>0.998</v>
      </c>
      <c r="E366" s="16">
        <f>IFERROR(__xludf.DUMMYFUNCTION("""COMPUTED_VALUE"""),72.0)</f>
        <v>72</v>
      </c>
      <c r="F366" s="19" t="str">
        <f>IFERROR(__xludf.DUMMYFUNCTION("""COMPUTED_VALUE"""),"BLUE")</f>
        <v>BLUE</v>
      </c>
      <c r="G366" s="20" t="str">
        <f>IFERROR(__xludf.DUMMYFUNCTION("""COMPUTED_VALUE"""),"Uncle Sams Cider (04/04/2023)")</f>
        <v>Uncle Sams Cider (04/04/2023)</v>
      </c>
      <c r="H366" s="19"/>
    </row>
    <row r="367">
      <c r="A367" s="9"/>
      <c r="B367" s="15"/>
      <c r="C367" s="9">
        <f>IFERROR(__xludf.DUMMYFUNCTION("""COMPUTED_VALUE"""),45140.8146520486)</f>
        <v>45140.81465</v>
      </c>
      <c r="D367" s="15">
        <f>IFERROR(__xludf.DUMMYFUNCTION("""COMPUTED_VALUE"""),0.998)</f>
        <v>0.998</v>
      </c>
      <c r="E367" s="16">
        <f>IFERROR(__xludf.DUMMYFUNCTION("""COMPUTED_VALUE"""),72.0)</f>
        <v>72</v>
      </c>
      <c r="F367" s="19" t="str">
        <f>IFERROR(__xludf.DUMMYFUNCTION("""COMPUTED_VALUE"""),"BLUE")</f>
        <v>BLUE</v>
      </c>
      <c r="G367" s="20" t="str">
        <f>IFERROR(__xludf.DUMMYFUNCTION("""COMPUTED_VALUE"""),"Uncle Sams Cider (04/04/2023)")</f>
        <v>Uncle Sams Cider (04/04/2023)</v>
      </c>
      <c r="H367" s="19"/>
    </row>
    <row r="368">
      <c r="A368" s="9"/>
      <c r="B368" s="15"/>
      <c r="C368" s="9">
        <f>IFERROR(__xludf.DUMMYFUNCTION("""COMPUTED_VALUE"""),45140.8042288773)</f>
        <v>45140.80423</v>
      </c>
      <c r="D368" s="15">
        <f>IFERROR(__xludf.DUMMYFUNCTION("""COMPUTED_VALUE"""),0.998)</f>
        <v>0.998</v>
      </c>
      <c r="E368" s="16">
        <f>IFERROR(__xludf.DUMMYFUNCTION("""COMPUTED_VALUE"""),72.0)</f>
        <v>72</v>
      </c>
      <c r="F368" s="19" t="str">
        <f>IFERROR(__xludf.DUMMYFUNCTION("""COMPUTED_VALUE"""),"BLUE")</f>
        <v>BLUE</v>
      </c>
      <c r="G368" s="20" t="str">
        <f>IFERROR(__xludf.DUMMYFUNCTION("""COMPUTED_VALUE"""),"Uncle Sams Cider (04/04/2023)")</f>
        <v>Uncle Sams Cider (04/04/2023)</v>
      </c>
      <c r="H368" s="19"/>
    </row>
    <row r="369">
      <c r="A369" s="9"/>
      <c r="B369" s="15"/>
      <c r="C369" s="9">
        <f>IFERROR(__xludf.DUMMYFUNCTION("""COMPUTED_VALUE"""),45140.7938081713)</f>
        <v>45140.79381</v>
      </c>
      <c r="D369" s="15">
        <f>IFERROR(__xludf.DUMMYFUNCTION("""COMPUTED_VALUE"""),0.998)</f>
        <v>0.998</v>
      </c>
      <c r="E369" s="16">
        <f>IFERROR(__xludf.DUMMYFUNCTION("""COMPUTED_VALUE"""),72.0)</f>
        <v>72</v>
      </c>
      <c r="F369" s="19" t="str">
        <f>IFERROR(__xludf.DUMMYFUNCTION("""COMPUTED_VALUE"""),"BLUE")</f>
        <v>BLUE</v>
      </c>
      <c r="G369" s="20" t="str">
        <f>IFERROR(__xludf.DUMMYFUNCTION("""COMPUTED_VALUE"""),"Uncle Sams Cider (04/04/2023)")</f>
        <v>Uncle Sams Cider (04/04/2023)</v>
      </c>
      <c r="H369" s="19"/>
    </row>
    <row r="370">
      <c r="A370" s="9"/>
      <c r="B370" s="15"/>
      <c r="C370" s="9">
        <f>IFERROR(__xludf.DUMMYFUNCTION("""COMPUTED_VALUE"""),45140.7833748495)</f>
        <v>45140.78337</v>
      </c>
      <c r="D370" s="15">
        <f>IFERROR(__xludf.DUMMYFUNCTION("""COMPUTED_VALUE"""),0.998)</f>
        <v>0.998</v>
      </c>
      <c r="E370" s="16">
        <f>IFERROR(__xludf.DUMMYFUNCTION("""COMPUTED_VALUE"""),72.0)</f>
        <v>72</v>
      </c>
      <c r="F370" s="19" t="str">
        <f>IFERROR(__xludf.DUMMYFUNCTION("""COMPUTED_VALUE"""),"BLUE")</f>
        <v>BLUE</v>
      </c>
      <c r="G370" s="20" t="str">
        <f>IFERROR(__xludf.DUMMYFUNCTION("""COMPUTED_VALUE"""),"Uncle Sams Cider (04/04/2023)")</f>
        <v>Uncle Sams Cider (04/04/2023)</v>
      </c>
      <c r="H370" s="19"/>
    </row>
    <row r="371">
      <c r="A371" s="9"/>
      <c r="B371" s="15"/>
      <c r="C371" s="9">
        <f>IFERROR(__xludf.DUMMYFUNCTION("""COMPUTED_VALUE"""),45140.7729533217)</f>
        <v>45140.77295</v>
      </c>
      <c r="D371" s="15">
        <f>IFERROR(__xludf.DUMMYFUNCTION("""COMPUTED_VALUE"""),0.998)</f>
        <v>0.998</v>
      </c>
      <c r="E371" s="16">
        <f>IFERROR(__xludf.DUMMYFUNCTION("""COMPUTED_VALUE"""),72.0)</f>
        <v>72</v>
      </c>
      <c r="F371" s="19" t="str">
        <f>IFERROR(__xludf.DUMMYFUNCTION("""COMPUTED_VALUE"""),"BLUE")</f>
        <v>BLUE</v>
      </c>
      <c r="G371" s="20" t="str">
        <f>IFERROR(__xludf.DUMMYFUNCTION("""COMPUTED_VALUE"""),"Uncle Sams Cider (04/04/2023)")</f>
        <v>Uncle Sams Cider (04/04/2023)</v>
      </c>
      <c r="H371" s="19"/>
    </row>
    <row r="372">
      <c r="A372" s="9"/>
      <c r="B372" s="15"/>
      <c r="C372" s="9">
        <f>IFERROR(__xludf.DUMMYFUNCTION("""COMPUTED_VALUE"""),45140.7625322338)</f>
        <v>45140.76253</v>
      </c>
      <c r="D372" s="15">
        <f>IFERROR(__xludf.DUMMYFUNCTION("""COMPUTED_VALUE"""),0.998)</f>
        <v>0.998</v>
      </c>
      <c r="E372" s="16">
        <f>IFERROR(__xludf.DUMMYFUNCTION("""COMPUTED_VALUE"""),72.0)</f>
        <v>72</v>
      </c>
      <c r="F372" s="19" t="str">
        <f>IFERROR(__xludf.DUMMYFUNCTION("""COMPUTED_VALUE"""),"BLUE")</f>
        <v>BLUE</v>
      </c>
      <c r="G372" s="20" t="str">
        <f>IFERROR(__xludf.DUMMYFUNCTION("""COMPUTED_VALUE"""),"Uncle Sams Cider (04/04/2023)")</f>
        <v>Uncle Sams Cider (04/04/2023)</v>
      </c>
      <c r="H372" s="19"/>
    </row>
    <row r="373">
      <c r="A373" s="9"/>
      <c r="B373" s="15"/>
      <c r="C373" s="9">
        <f>IFERROR(__xludf.DUMMYFUNCTION("""COMPUTED_VALUE"""),45140.7521106018)</f>
        <v>45140.75211</v>
      </c>
      <c r="D373" s="15">
        <f>IFERROR(__xludf.DUMMYFUNCTION("""COMPUTED_VALUE"""),0.998)</f>
        <v>0.998</v>
      </c>
      <c r="E373" s="16">
        <f>IFERROR(__xludf.DUMMYFUNCTION("""COMPUTED_VALUE"""),72.0)</f>
        <v>72</v>
      </c>
      <c r="F373" s="19" t="str">
        <f>IFERROR(__xludf.DUMMYFUNCTION("""COMPUTED_VALUE"""),"BLUE")</f>
        <v>BLUE</v>
      </c>
      <c r="G373" s="20" t="str">
        <f>IFERROR(__xludf.DUMMYFUNCTION("""COMPUTED_VALUE"""),"Uncle Sams Cider (04/04/2023)")</f>
        <v>Uncle Sams Cider (04/04/2023)</v>
      </c>
      <c r="H373" s="19"/>
    </row>
    <row r="374">
      <c r="A374" s="9"/>
      <c r="B374" s="15"/>
      <c r="C374" s="9">
        <f>IFERROR(__xludf.DUMMYFUNCTION("""COMPUTED_VALUE"""),45140.7416911805)</f>
        <v>45140.74169</v>
      </c>
      <c r="D374" s="15">
        <f>IFERROR(__xludf.DUMMYFUNCTION("""COMPUTED_VALUE"""),0.998)</f>
        <v>0.998</v>
      </c>
      <c r="E374" s="16">
        <f>IFERROR(__xludf.DUMMYFUNCTION("""COMPUTED_VALUE"""),72.0)</f>
        <v>72</v>
      </c>
      <c r="F374" s="19" t="str">
        <f>IFERROR(__xludf.DUMMYFUNCTION("""COMPUTED_VALUE"""),"BLUE")</f>
        <v>BLUE</v>
      </c>
      <c r="G374" s="20" t="str">
        <f>IFERROR(__xludf.DUMMYFUNCTION("""COMPUTED_VALUE"""),"Uncle Sams Cider (04/04/2023)")</f>
        <v>Uncle Sams Cider (04/04/2023)</v>
      </c>
      <c r="H374" s="19"/>
    </row>
    <row r="375">
      <c r="A375" s="9"/>
      <c r="B375" s="15"/>
      <c r="C375" s="9">
        <f>IFERROR(__xludf.DUMMYFUNCTION("""COMPUTED_VALUE"""),45140.7312588773)</f>
        <v>45140.73126</v>
      </c>
      <c r="D375" s="15">
        <f>IFERROR(__xludf.DUMMYFUNCTION("""COMPUTED_VALUE"""),0.998)</f>
        <v>0.998</v>
      </c>
      <c r="E375" s="16">
        <f>IFERROR(__xludf.DUMMYFUNCTION("""COMPUTED_VALUE"""),72.0)</f>
        <v>72</v>
      </c>
      <c r="F375" s="19" t="str">
        <f>IFERROR(__xludf.DUMMYFUNCTION("""COMPUTED_VALUE"""),"BLUE")</f>
        <v>BLUE</v>
      </c>
      <c r="G375" s="20" t="str">
        <f>IFERROR(__xludf.DUMMYFUNCTION("""COMPUTED_VALUE"""),"Uncle Sams Cider (04/04/2023)")</f>
        <v>Uncle Sams Cider (04/04/2023)</v>
      </c>
      <c r="H375" s="19"/>
    </row>
    <row r="376">
      <c r="A376" s="9"/>
      <c r="B376" s="15"/>
      <c r="C376" s="9">
        <f>IFERROR(__xludf.DUMMYFUNCTION("""COMPUTED_VALUE"""),45140.7208360995)</f>
        <v>45140.72084</v>
      </c>
      <c r="D376" s="15">
        <f>IFERROR(__xludf.DUMMYFUNCTION("""COMPUTED_VALUE"""),0.998)</f>
        <v>0.998</v>
      </c>
      <c r="E376" s="16">
        <f>IFERROR(__xludf.DUMMYFUNCTION("""COMPUTED_VALUE"""),72.0)</f>
        <v>72</v>
      </c>
      <c r="F376" s="19" t="str">
        <f>IFERROR(__xludf.DUMMYFUNCTION("""COMPUTED_VALUE"""),"BLUE")</f>
        <v>BLUE</v>
      </c>
      <c r="G376" s="20" t="str">
        <f>IFERROR(__xludf.DUMMYFUNCTION("""COMPUTED_VALUE"""),"Uncle Sams Cider (04/04/2023)")</f>
        <v>Uncle Sams Cider (04/04/2023)</v>
      </c>
      <c r="H376" s="19"/>
    </row>
    <row r="377">
      <c r="A377" s="9"/>
      <c r="B377" s="15"/>
      <c r="C377" s="9">
        <f>IFERROR(__xludf.DUMMYFUNCTION("""COMPUTED_VALUE"""),45140.7104156018)</f>
        <v>45140.71042</v>
      </c>
      <c r="D377" s="15">
        <f>IFERROR(__xludf.DUMMYFUNCTION("""COMPUTED_VALUE"""),0.998)</f>
        <v>0.998</v>
      </c>
      <c r="E377" s="16">
        <f>IFERROR(__xludf.DUMMYFUNCTION("""COMPUTED_VALUE"""),72.0)</f>
        <v>72</v>
      </c>
      <c r="F377" s="19" t="str">
        <f>IFERROR(__xludf.DUMMYFUNCTION("""COMPUTED_VALUE"""),"BLUE")</f>
        <v>BLUE</v>
      </c>
      <c r="G377" s="20" t="str">
        <f>IFERROR(__xludf.DUMMYFUNCTION("""COMPUTED_VALUE"""),"Uncle Sams Cider (04/04/2023)")</f>
        <v>Uncle Sams Cider (04/04/2023)</v>
      </c>
      <c r="H377" s="19"/>
    </row>
    <row r="378">
      <c r="A378" s="9"/>
      <c r="B378" s="15"/>
      <c r="C378" s="9">
        <f>IFERROR(__xludf.DUMMYFUNCTION("""COMPUTED_VALUE"""),45140.6999942824)</f>
        <v>45140.69999</v>
      </c>
      <c r="D378" s="15">
        <f>IFERROR(__xludf.DUMMYFUNCTION("""COMPUTED_VALUE"""),0.998)</f>
        <v>0.998</v>
      </c>
      <c r="E378" s="16">
        <f>IFERROR(__xludf.DUMMYFUNCTION("""COMPUTED_VALUE"""),72.0)</f>
        <v>72</v>
      </c>
      <c r="F378" s="19" t="str">
        <f>IFERROR(__xludf.DUMMYFUNCTION("""COMPUTED_VALUE"""),"BLUE")</f>
        <v>BLUE</v>
      </c>
      <c r="G378" s="20" t="str">
        <f>IFERROR(__xludf.DUMMYFUNCTION("""COMPUTED_VALUE"""),"Uncle Sams Cider (04/04/2023)")</f>
        <v>Uncle Sams Cider (04/04/2023)</v>
      </c>
      <c r="H378" s="19"/>
    </row>
    <row r="379">
      <c r="A379" s="9"/>
      <c r="B379" s="15"/>
      <c r="C379" s="9">
        <f>IFERROR(__xludf.DUMMYFUNCTION("""COMPUTED_VALUE"""),45140.6895618981)</f>
        <v>45140.68956</v>
      </c>
      <c r="D379" s="15">
        <f>IFERROR(__xludf.DUMMYFUNCTION("""COMPUTED_VALUE"""),0.998)</f>
        <v>0.998</v>
      </c>
      <c r="E379" s="16">
        <f>IFERROR(__xludf.DUMMYFUNCTION("""COMPUTED_VALUE"""),72.0)</f>
        <v>72</v>
      </c>
      <c r="F379" s="19" t="str">
        <f>IFERROR(__xludf.DUMMYFUNCTION("""COMPUTED_VALUE"""),"BLUE")</f>
        <v>BLUE</v>
      </c>
      <c r="G379" s="20" t="str">
        <f>IFERROR(__xludf.DUMMYFUNCTION("""COMPUTED_VALUE"""),"Uncle Sams Cider (04/04/2023)")</f>
        <v>Uncle Sams Cider (04/04/2023)</v>
      </c>
      <c r="H379" s="19"/>
    </row>
    <row r="380">
      <c r="A380" s="9"/>
      <c r="B380" s="15"/>
      <c r="C380" s="9">
        <f>IFERROR(__xludf.DUMMYFUNCTION("""COMPUTED_VALUE"""),45140.679142743)</f>
        <v>45140.67914</v>
      </c>
      <c r="D380" s="15">
        <f>IFERROR(__xludf.DUMMYFUNCTION("""COMPUTED_VALUE"""),0.998)</f>
        <v>0.998</v>
      </c>
      <c r="E380" s="16">
        <f>IFERROR(__xludf.DUMMYFUNCTION("""COMPUTED_VALUE"""),72.0)</f>
        <v>72</v>
      </c>
      <c r="F380" s="19" t="str">
        <f>IFERROR(__xludf.DUMMYFUNCTION("""COMPUTED_VALUE"""),"BLUE")</f>
        <v>BLUE</v>
      </c>
      <c r="G380" s="20" t="str">
        <f>IFERROR(__xludf.DUMMYFUNCTION("""COMPUTED_VALUE"""),"Uncle Sams Cider (04/04/2023)")</f>
        <v>Uncle Sams Cider (04/04/2023)</v>
      </c>
      <c r="H380" s="19"/>
    </row>
    <row r="381">
      <c r="A381" s="9"/>
      <c r="B381" s="15"/>
      <c r="C381" s="9">
        <f>IFERROR(__xludf.DUMMYFUNCTION("""COMPUTED_VALUE"""),45140.6687223611)</f>
        <v>45140.66872</v>
      </c>
      <c r="D381" s="15">
        <f>IFERROR(__xludf.DUMMYFUNCTION("""COMPUTED_VALUE"""),0.998)</f>
        <v>0.998</v>
      </c>
      <c r="E381" s="16">
        <f>IFERROR(__xludf.DUMMYFUNCTION("""COMPUTED_VALUE"""),72.0)</f>
        <v>72</v>
      </c>
      <c r="F381" s="19" t="str">
        <f>IFERROR(__xludf.DUMMYFUNCTION("""COMPUTED_VALUE"""),"BLUE")</f>
        <v>BLUE</v>
      </c>
      <c r="G381" s="20" t="str">
        <f>IFERROR(__xludf.DUMMYFUNCTION("""COMPUTED_VALUE"""),"Uncle Sams Cider (04/04/2023)")</f>
        <v>Uncle Sams Cider (04/04/2023)</v>
      </c>
      <c r="H381" s="19"/>
    </row>
    <row r="382">
      <c r="A382" s="9"/>
      <c r="B382" s="15"/>
      <c r="C382" s="9">
        <f>IFERROR(__xludf.DUMMYFUNCTION("""COMPUTED_VALUE"""),45140.6583018055)</f>
        <v>45140.6583</v>
      </c>
      <c r="D382" s="15">
        <f>IFERROR(__xludf.DUMMYFUNCTION("""COMPUTED_VALUE"""),0.999)</f>
        <v>0.999</v>
      </c>
      <c r="E382" s="16">
        <f>IFERROR(__xludf.DUMMYFUNCTION("""COMPUTED_VALUE"""),72.0)</f>
        <v>72</v>
      </c>
      <c r="F382" s="19" t="str">
        <f>IFERROR(__xludf.DUMMYFUNCTION("""COMPUTED_VALUE"""),"BLUE")</f>
        <v>BLUE</v>
      </c>
      <c r="G382" s="20" t="str">
        <f>IFERROR(__xludf.DUMMYFUNCTION("""COMPUTED_VALUE"""),"Uncle Sams Cider (04/04/2023)")</f>
        <v>Uncle Sams Cider (04/04/2023)</v>
      </c>
      <c r="H382" s="19"/>
    </row>
    <row r="383">
      <c r="A383" s="9"/>
      <c r="B383" s="15"/>
      <c r="C383" s="9">
        <f>IFERROR(__xludf.DUMMYFUNCTION("""COMPUTED_VALUE"""),45140.6478812268)</f>
        <v>45140.64788</v>
      </c>
      <c r="D383" s="15">
        <f>IFERROR(__xludf.DUMMYFUNCTION("""COMPUTED_VALUE"""),0.998)</f>
        <v>0.998</v>
      </c>
      <c r="E383" s="16">
        <f>IFERROR(__xludf.DUMMYFUNCTION("""COMPUTED_VALUE"""),72.0)</f>
        <v>72</v>
      </c>
      <c r="F383" s="19" t="str">
        <f>IFERROR(__xludf.DUMMYFUNCTION("""COMPUTED_VALUE"""),"BLUE")</f>
        <v>BLUE</v>
      </c>
      <c r="G383" s="20" t="str">
        <f>IFERROR(__xludf.DUMMYFUNCTION("""COMPUTED_VALUE"""),"Uncle Sams Cider (04/04/2023)")</f>
        <v>Uncle Sams Cider (04/04/2023)</v>
      </c>
      <c r="H383" s="19"/>
    </row>
    <row r="384">
      <c r="A384" s="9"/>
      <c r="B384" s="15"/>
      <c r="C384" s="9">
        <f>IFERROR(__xludf.DUMMYFUNCTION("""COMPUTED_VALUE"""),45140.6374611574)</f>
        <v>45140.63746</v>
      </c>
      <c r="D384" s="15">
        <f>IFERROR(__xludf.DUMMYFUNCTION("""COMPUTED_VALUE"""),0.998)</f>
        <v>0.998</v>
      </c>
      <c r="E384" s="16">
        <f>IFERROR(__xludf.DUMMYFUNCTION("""COMPUTED_VALUE"""),72.0)</f>
        <v>72</v>
      </c>
      <c r="F384" s="19" t="str">
        <f>IFERROR(__xludf.DUMMYFUNCTION("""COMPUTED_VALUE"""),"BLUE")</f>
        <v>BLUE</v>
      </c>
      <c r="G384" s="20" t="str">
        <f>IFERROR(__xludf.DUMMYFUNCTION("""COMPUTED_VALUE"""),"Uncle Sams Cider (04/04/2023)")</f>
        <v>Uncle Sams Cider (04/04/2023)</v>
      </c>
      <c r="H384" s="19"/>
    </row>
    <row r="385">
      <c r="A385" s="9"/>
      <c r="B385" s="15"/>
      <c r="C385" s="9">
        <f>IFERROR(__xludf.DUMMYFUNCTION("""COMPUTED_VALUE"""),45140.6270382175)</f>
        <v>45140.62704</v>
      </c>
      <c r="D385" s="15">
        <f>IFERROR(__xludf.DUMMYFUNCTION("""COMPUTED_VALUE"""),0.999)</f>
        <v>0.999</v>
      </c>
      <c r="E385" s="16">
        <f>IFERROR(__xludf.DUMMYFUNCTION("""COMPUTED_VALUE"""),72.0)</f>
        <v>72</v>
      </c>
      <c r="F385" s="19" t="str">
        <f>IFERROR(__xludf.DUMMYFUNCTION("""COMPUTED_VALUE"""),"BLUE")</f>
        <v>BLUE</v>
      </c>
      <c r="G385" s="20" t="str">
        <f>IFERROR(__xludf.DUMMYFUNCTION("""COMPUTED_VALUE"""),"Uncle Sams Cider (04/04/2023)")</f>
        <v>Uncle Sams Cider (04/04/2023)</v>
      </c>
      <c r="H385" s="19"/>
    </row>
    <row r="386">
      <c r="A386" s="9"/>
      <c r="B386" s="15"/>
      <c r="C386" s="9">
        <f>IFERROR(__xludf.DUMMYFUNCTION("""COMPUTED_VALUE"""),45140.6166039351)</f>
        <v>45140.6166</v>
      </c>
      <c r="D386" s="15">
        <f>IFERROR(__xludf.DUMMYFUNCTION("""COMPUTED_VALUE"""),0.998)</f>
        <v>0.998</v>
      </c>
      <c r="E386" s="16">
        <f>IFERROR(__xludf.DUMMYFUNCTION("""COMPUTED_VALUE"""),72.0)</f>
        <v>72</v>
      </c>
      <c r="F386" s="19" t="str">
        <f>IFERROR(__xludf.DUMMYFUNCTION("""COMPUTED_VALUE"""),"BLUE")</f>
        <v>BLUE</v>
      </c>
      <c r="G386" s="20" t="str">
        <f>IFERROR(__xludf.DUMMYFUNCTION("""COMPUTED_VALUE"""),"Uncle Sams Cider (04/04/2023)")</f>
        <v>Uncle Sams Cider (04/04/2023)</v>
      </c>
      <c r="H386" s="19"/>
    </row>
    <row r="387">
      <c r="A387" s="9"/>
      <c r="B387" s="15"/>
      <c r="C387" s="9">
        <f>IFERROR(__xludf.DUMMYFUNCTION("""COMPUTED_VALUE"""),45140.606181331)</f>
        <v>45140.60618</v>
      </c>
      <c r="D387" s="15">
        <f>IFERROR(__xludf.DUMMYFUNCTION("""COMPUTED_VALUE"""),0.998)</f>
        <v>0.998</v>
      </c>
      <c r="E387" s="16">
        <f>IFERROR(__xludf.DUMMYFUNCTION("""COMPUTED_VALUE"""),72.0)</f>
        <v>72</v>
      </c>
      <c r="F387" s="19" t="str">
        <f>IFERROR(__xludf.DUMMYFUNCTION("""COMPUTED_VALUE"""),"BLUE")</f>
        <v>BLUE</v>
      </c>
      <c r="G387" s="20" t="str">
        <f>IFERROR(__xludf.DUMMYFUNCTION("""COMPUTED_VALUE"""),"Uncle Sams Cider (04/04/2023)")</f>
        <v>Uncle Sams Cider (04/04/2023)</v>
      </c>
      <c r="H387" s="19"/>
    </row>
    <row r="388">
      <c r="A388" s="9"/>
      <c r="B388" s="15"/>
      <c r="C388" s="9">
        <f>IFERROR(__xludf.DUMMYFUNCTION("""COMPUTED_VALUE"""),45140.5957606828)</f>
        <v>45140.59576</v>
      </c>
      <c r="D388" s="15">
        <f>IFERROR(__xludf.DUMMYFUNCTION("""COMPUTED_VALUE"""),0.998)</f>
        <v>0.998</v>
      </c>
      <c r="E388" s="16">
        <f>IFERROR(__xludf.DUMMYFUNCTION("""COMPUTED_VALUE"""),72.0)</f>
        <v>72</v>
      </c>
      <c r="F388" s="19" t="str">
        <f>IFERROR(__xludf.DUMMYFUNCTION("""COMPUTED_VALUE"""),"BLUE")</f>
        <v>BLUE</v>
      </c>
      <c r="G388" s="20" t="str">
        <f>IFERROR(__xludf.DUMMYFUNCTION("""COMPUTED_VALUE"""),"Uncle Sams Cider (04/04/2023)")</f>
        <v>Uncle Sams Cider (04/04/2023)</v>
      </c>
      <c r="H388" s="19"/>
    </row>
    <row r="389">
      <c r="A389" s="9"/>
      <c r="B389" s="15"/>
      <c r="C389" s="9">
        <f>IFERROR(__xludf.DUMMYFUNCTION("""COMPUTED_VALUE"""),45140.5853404282)</f>
        <v>45140.58534</v>
      </c>
      <c r="D389" s="15">
        <f>IFERROR(__xludf.DUMMYFUNCTION("""COMPUTED_VALUE"""),0.998)</f>
        <v>0.998</v>
      </c>
      <c r="E389" s="16">
        <f>IFERROR(__xludf.DUMMYFUNCTION("""COMPUTED_VALUE"""),72.0)</f>
        <v>72</v>
      </c>
      <c r="F389" s="19" t="str">
        <f>IFERROR(__xludf.DUMMYFUNCTION("""COMPUTED_VALUE"""),"BLUE")</f>
        <v>BLUE</v>
      </c>
      <c r="G389" s="20" t="str">
        <f>IFERROR(__xludf.DUMMYFUNCTION("""COMPUTED_VALUE"""),"Uncle Sams Cider (04/04/2023)")</f>
        <v>Uncle Sams Cider (04/04/2023)</v>
      </c>
      <c r="H389" s="19"/>
    </row>
    <row r="390">
      <c r="A390" s="9"/>
      <c r="B390" s="15"/>
      <c r="C390" s="9">
        <f>IFERROR(__xludf.DUMMYFUNCTION("""COMPUTED_VALUE"""),45140.5749202662)</f>
        <v>45140.57492</v>
      </c>
      <c r="D390" s="15">
        <f>IFERROR(__xludf.DUMMYFUNCTION("""COMPUTED_VALUE"""),0.998)</f>
        <v>0.998</v>
      </c>
      <c r="E390" s="16">
        <f>IFERROR(__xludf.DUMMYFUNCTION("""COMPUTED_VALUE"""),72.0)</f>
        <v>72</v>
      </c>
      <c r="F390" s="19" t="str">
        <f>IFERROR(__xludf.DUMMYFUNCTION("""COMPUTED_VALUE"""),"BLUE")</f>
        <v>BLUE</v>
      </c>
      <c r="G390" s="20" t="str">
        <f>IFERROR(__xludf.DUMMYFUNCTION("""COMPUTED_VALUE"""),"Uncle Sams Cider (04/04/2023)")</f>
        <v>Uncle Sams Cider (04/04/2023)</v>
      </c>
      <c r="H390" s="19"/>
    </row>
    <row r="391">
      <c r="A391" s="9"/>
      <c r="B391" s="15"/>
      <c r="C391" s="9">
        <f>IFERROR(__xludf.DUMMYFUNCTION("""COMPUTED_VALUE"""),45140.5644992824)</f>
        <v>45140.5645</v>
      </c>
      <c r="D391" s="15">
        <f>IFERROR(__xludf.DUMMYFUNCTION("""COMPUTED_VALUE"""),0.998)</f>
        <v>0.998</v>
      </c>
      <c r="E391" s="16">
        <f>IFERROR(__xludf.DUMMYFUNCTION("""COMPUTED_VALUE"""),72.0)</f>
        <v>72</v>
      </c>
      <c r="F391" s="19" t="str">
        <f>IFERROR(__xludf.DUMMYFUNCTION("""COMPUTED_VALUE"""),"BLUE")</f>
        <v>BLUE</v>
      </c>
      <c r="G391" s="20" t="str">
        <f>IFERROR(__xludf.DUMMYFUNCTION("""COMPUTED_VALUE"""),"Uncle Sams Cider (04/04/2023)")</f>
        <v>Uncle Sams Cider (04/04/2023)</v>
      </c>
      <c r="H391" s="19"/>
    </row>
    <row r="392">
      <c r="A392" s="9"/>
      <c r="B392" s="15"/>
      <c r="C392" s="9">
        <f>IFERROR(__xludf.DUMMYFUNCTION("""COMPUTED_VALUE"""),45140.5540763425)</f>
        <v>45140.55408</v>
      </c>
      <c r="D392" s="15">
        <f>IFERROR(__xludf.DUMMYFUNCTION("""COMPUTED_VALUE"""),0.998)</f>
        <v>0.998</v>
      </c>
      <c r="E392" s="16">
        <f>IFERROR(__xludf.DUMMYFUNCTION("""COMPUTED_VALUE"""),72.0)</f>
        <v>72</v>
      </c>
      <c r="F392" s="19" t="str">
        <f>IFERROR(__xludf.DUMMYFUNCTION("""COMPUTED_VALUE"""),"BLUE")</f>
        <v>BLUE</v>
      </c>
      <c r="G392" s="20" t="str">
        <f>IFERROR(__xludf.DUMMYFUNCTION("""COMPUTED_VALUE"""),"Uncle Sams Cider (04/04/2023)")</f>
        <v>Uncle Sams Cider (04/04/2023)</v>
      </c>
      <c r="H392" s="19"/>
    </row>
    <row r="393">
      <c r="A393" s="9"/>
      <c r="B393" s="15"/>
      <c r="C393" s="9">
        <f>IFERROR(__xludf.DUMMYFUNCTION("""COMPUTED_VALUE"""),45140.5436435879)</f>
        <v>45140.54364</v>
      </c>
      <c r="D393" s="15">
        <f>IFERROR(__xludf.DUMMYFUNCTION("""COMPUTED_VALUE"""),0.998)</f>
        <v>0.998</v>
      </c>
      <c r="E393" s="16">
        <f>IFERROR(__xludf.DUMMYFUNCTION("""COMPUTED_VALUE"""),72.0)</f>
        <v>72</v>
      </c>
      <c r="F393" s="19" t="str">
        <f>IFERROR(__xludf.DUMMYFUNCTION("""COMPUTED_VALUE"""),"BLUE")</f>
        <v>BLUE</v>
      </c>
      <c r="G393" s="20" t="str">
        <f>IFERROR(__xludf.DUMMYFUNCTION("""COMPUTED_VALUE"""),"Uncle Sams Cider (04/04/2023)")</f>
        <v>Uncle Sams Cider (04/04/2023)</v>
      </c>
      <c r="H393" s="19"/>
    </row>
    <row r="394">
      <c r="A394" s="9"/>
      <c r="B394" s="15"/>
      <c r="C394" s="9">
        <f>IFERROR(__xludf.DUMMYFUNCTION("""COMPUTED_VALUE"""),45140.5332221296)</f>
        <v>45140.53322</v>
      </c>
      <c r="D394" s="15">
        <f>IFERROR(__xludf.DUMMYFUNCTION("""COMPUTED_VALUE"""),0.998)</f>
        <v>0.998</v>
      </c>
      <c r="E394" s="16">
        <f>IFERROR(__xludf.DUMMYFUNCTION("""COMPUTED_VALUE"""),72.0)</f>
        <v>72</v>
      </c>
      <c r="F394" s="19" t="str">
        <f>IFERROR(__xludf.DUMMYFUNCTION("""COMPUTED_VALUE"""),"BLUE")</f>
        <v>BLUE</v>
      </c>
      <c r="G394" s="20" t="str">
        <f>IFERROR(__xludf.DUMMYFUNCTION("""COMPUTED_VALUE"""),"Uncle Sams Cider (04/04/2023)")</f>
        <v>Uncle Sams Cider (04/04/2023)</v>
      </c>
      <c r="H394" s="19"/>
    </row>
    <row r="395">
      <c r="A395" s="9"/>
      <c r="B395" s="15"/>
      <c r="C395" s="9">
        <f>IFERROR(__xludf.DUMMYFUNCTION("""COMPUTED_VALUE"""),45140.5228024768)</f>
        <v>45140.5228</v>
      </c>
      <c r="D395" s="15">
        <f>IFERROR(__xludf.DUMMYFUNCTION("""COMPUTED_VALUE"""),0.998)</f>
        <v>0.998</v>
      </c>
      <c r="E395" s="16">
        <f>IFERROR(__xludf.DUMMYFUNCTION("""COMPUTED_VALUE"""),72.0)</f>
        <v>72</v>
      </c>
      <c r="F395" s="19" t="str">
        <f>IFERROR(__xludf.DUMMYFUNCTION("""COMPUTED_VALUE"""),"BLUE")</f>
        <v>BLUE</v>
      </c>
      <c r="G395" s="20" t="str">
        <f>IFERROR(__xludf.DUMMYFUNCTION("""COMPUTED_VALUE"""),"Uncle Sams Cider (04/04/2023)")</f>
        <v>Uncle Sams Cider (04/04/2023)</v>
      </c>
      <c r="H395" s="19"/>
    </row>
    <row r="396">
      <c r="A396" s="9"/>
      <c r="B396" s="15"/>
      <c r="C396" s="9">
        <f>IFERROR(__xludf.DUMMYFUNCTION("""COMPUTED_VALUE"""),45140.5123702777)</f>
        <v>45140.51237</v>
      </c>
      <c r="D396" s="15">
        <f>IFERROR(__xludf.DUMMYFUNCTION("""COMPUTED_VALUE"""),0.998)</f>
        <v>0.998</v>
      </c>
      <c r="E396" s="16">
        <f>IFERROR(__xludf.DUMMYFUNCTION("""COMPUTED_VALUE"""),72.0)</f>
        <v>72</v>
      </c>
      <c r="F396" s="19" t="str">
        <f>IFERROR(__xludf.DUMMYFUNCTION("""COMPUTED_VALUE"""),"BLUE")</f>
        <v>BLUE</v>
      </c>
      <c r="G396" s="20" t="str">
        <f>IFERROR(__xludf.DUMMYFUNCTION("""COMPUTED_VALUE"""),"Uncle Sams Cider (04/04/2023)")</f>
        <v>Uncle Sams Cider (04/04/2023)</v>
      </c>
      <c r="H396" s="19"/>
    </row>
    <row r="397">
      <c r="A397" s="9"/>
      <c r="B397" s="15"/>
      <c r="C397" s="9">
        <f>IFERROR(__xludf.DUMMYFUNCTION("""COMPUTED_VALUE"""),45140.5019385532)</f>
        <v>45140.50194</v>
      </c>
      <c r="D397" s="15">
        <f>IFERROR(__xludf.DUMMYFUNCTION("""COMPUTED_VALUE"""),0.998)</f>
        <v>0.998</v>
      </c>
      <c r="E397" s="16">
        <f>IFERROR(__xludf.DUMMYFUNCTION("""COMPUTED_VALUE"""),72.0)</f>
        <v>72</v>
      </c>
      <c r="F397" s="19" t="str">
        <f>IFERROR(__xludf.DUMMYFUNCTION("""COMPUTED_VALUE"""),"BLUE")</f>
        <v>BLUE</v>
      </c>
      <c r="G397" s="20" t="str">
        <f>IFERROR(__xludf.DUMMYFUNCTION("""COMPUTED_VALUE"""),"Uncle Sams Cider (04/04/2023)")</f>
        <v>Uncle Sams Cider (04/04/2023)</v>
      </c>
      <c r="H397" s="19"/>
    </row>
    <row r="398">
      <c r="A398" s="9"/>
      <c r="B398" s="15"/>
      <c r="C398" s="9">
        <f>IFERROR(__xludf.DUMMYFUNCTION("""COMPUTED_VALUE"""),45140.4915059838)</f>
        <v>45140.49151</v>
      </c>
      <c r="D398" s="15">
        <f>IFERROR(__xludf.DUMMYFUNCTION("""COMPUTED_VALUE"""),0.998)</f>
        <v>0.998</v>
      </c>
      <c r="E398" s="16">
        <f>IFERROR(__xludf.DUMMYFUNCTION("""COMPUTED_VALUE"""),72.0)</f>
        <v>72</v>
      </c>
      <c r="F398" s="19" t="str">
        <f>IFERROR(__xludf.DUMMYFUNCTION("""COMPUTED_VALUE"""),"BLUE")</f>
        <v>BLUE</v>
      </c>
      <c r="G398" s="20" t="str">
        <f>IFERROR(__xludf.DUMMYFUNCTION("""COMPUTED_VALUE"""),"Uncle Sams Cider (04/04/2023)")</f>
        <v>Uncle Sams Cider (04/04/2023)</v>
      </c>
      <c r="H398" s="19"/>
    </row>
    <row r="399">
      <c r="A399" s="9"/>
      <c r="B399" s="15"/>
      <c r="C399" s="9">
        <f>IFERROR(__xludf.DUMMYFUNCTION("""COMPUTED_VALUE"""),45140.4810834722)</f>
        <v>45140.48108</v>
      </c>
      <c r="D399" s="15">
        <f>IFERROR(__xludf.DUMMYFUNCTION("""COMPUTED_VALUE"""),0.998)</f>
        <v>0.998</v>
      </c>
      <c r="E399" s="16">
        <f>IFERROR(__xludf.DUMMYFUNCTION("""COMPUTED_VALUE"""),72.0)</f>
        <v>72</v>
      </c>
      <c r="F399" s="19" t="str">
        <f>IFERROR(__xludf.DUMMYFUNCTION("""COMPUTED_VALUE"""),"BLUE")</f>
        <v>BLUE</v>
      </c>
      <c r="G399" s="20" t="str">
        <f>IFERROR(__xludf.DUMMYFUNCTION("""COMPUTED_VALUE"""),"Uncle Sams Cider (04/04/2023)")</f>
        <v>Uncle Sams Cider (04/04/2023)</v>
      </c>
      <c r="H399" s="19"/>
    </row>
    <row r="400">
      <c r="A400" s="9"/>
      <c r="B400" s="15"/>
      <c r="C400" s="9">
        <f>IFERROR(__xludf.DUMMYFUNCTION("""COMPUTED_VALUE"""),45140.4706620717)</f>
        <v>45140.47066</v>
      </c>
      <c r="D400" s="15">
        <f>IFERROR(__xludf.DUMMYFUNCTION("""COMPUTED_VALUE"""),0.998)</f>
        <v>0.998</v>
      </c>
      <c r="E400" s="16">
        <f>IFERROR(__xludf.DUMMYFUNCTION("""COMPUTED_VALUE"""),72.0)</f>
        <v>72</v>
      </c>
      <c r="F400" s="19" t="str">
        <f>IFERROR(__xludf.DUMMYFUNCTION("""COMPUTED_VALUE"""),"BLUE")</f>
        <v>BLUE</v>
      </c>
      <c r="G400" s="20" t="str">
        <f>IFERROR(__xludf.DUMMYFUNCTION("""COMPUTED_VALUE"""),"Uncle Sams Cider (04/04/2023)")</f>
        <v>Uncle Sams Cider (04/04/2023)</v>
      </c>
      <c r="H400" s="19"/>
    </row>
    <row r="401">
      <c r="A401" s="9"/>
      <c r="B401" s="15"/>
      <c r="C401" s="9">
        <f>IFERROR(__xludf.DUMMYFUNCTION("""COMPUTED_VALUE"""),45140.4602421412)</f>
        <v>45140.46024</v>
      </c>
      <c r="D401" s="15">
        <f>IFERROR(__xludf.DUMMYFUNCTION("""COMPUTED_VALUE"""),0.998)</f>
        <v>0.998</v>
      </c>
      <c r="E401" s="16">
        <f>IFERROR(__xludf.DUMMYFUNCTION("""COMPUTED_VALUE"""),72.0)</f>
        <v>72</v>
      </c>
      <c r="F401" s="19" t="str">
        <f>IFERROR(__xludf.DUMMYFUNCTION("""COMPUTED_VALUE"""),"BLUE")</f>
        <v>BLUE</v>
      </c>
      <c r="G401" s="20" t="str">
        <f>IFERROR(__xludf.DUMMYFUNCTION("""COMPUTED_VALUE"""),"Uncle Sams Cider (04/04/2023)")</f>
        <v>Uncle Sams Cider (04/04/2023)</v>
      </c>
      <c r="H401" s="19"/>
    </row>
    <row r="402">
      <c r="A402" s="9"/>
      <c r="B402" s="15"/>
      <c r="C402" s="9">
        <f>IFERROR(__xludf.DUMMYFUNCTION("""COMPUTED_VALUE"""),45140.4498208796)</f>
        <v>45140.44982</v>
      </c>
      <c r="D402" s="15">
        <f>IFERROR(__xludf.DUMMYFUNCTION("""COMPUTED_VALUE"""),0.998)</f>
        <v>0.998</v>
      </c>
      <c r="E402" s="16">
        <f>IFERROR(__xludf.DUMMYFUNCTION("""COMPUTED_VALUE"""),72.0)</f>
        <v>72</v>
      </c>
      <c r="F402" s="19" t="str">
        <f>IFERROR(__xludf.DUMMYFUNCTION("""COMPUTED_VALUE"""),"BLUE")</f>
        <v>BLUE</v>
      </c>
      <c r="G402" s="20" t="str">
        <f>IFERROR(__xludf.DUMMYFUNCTION("""COMPUTED_VALUE"""),"Uncle Sams Cider (04/04/2023)")</f>
        <v>Uncle Sams Cider (04/04/2023)</v>
      </c>
      <c r="H402" s="19"/>
    </row>
    <row r="403">
      <c r="A403" s="9"/>
      <c r="B403" s="15"/>
      <c r="C403" s="9">
        <f>IFERROR(__xludf.DUMMYFUNCTION("""COMPUTED_VALUE"""),45140.4393992245)</f>
        <v>45140.4394</v>
      </c>
      <c r="D403" s="15">
        <f>IFERROR(__xludf.DUMMYFUNCTION("""COMPUTED_VALUE"""),0.998)</f>
        <v>0.998</v>
      </c>
      <c r="E403" s="16">
        <f>IFERROR(__xludf.DUMMYFUNCTION("""COMPUTED_VALUE"""),72.0)</f>
        <v>72</v>
      </c>
      <c r="F403" s="19" t="str">
        <f>IFERROR(__xludf.DUMMYFUNCTION("""COMPUTED_VALUE"""),"BLUE")</f>
        <v>BLUE</v>
      </c>
      <c r="G403" s="20" t="str">
        <f>IFERROR(__xludf.DUMMYFUNCTION("""COMPUTED_VALUE"""),"Uncle Sams Cider (04/04/2023)")</f>
        <v>Uncle Sams Cider (04/04/2023)</v>
      </c>
      <c r="H403" s="19"/>
    </row>
    <row r="404">
      <c r="A404" s="9"/>
      <c r="B404" s="15"/>
      <c r="C404" s="9">
        <f>IFERROR(__xludf.DUMMYFUNCTION("""COMPUTED_VALUE"""),45140.4289755439)</f>
        <v>45140.42898</v>
      </c>
      <c r="D404" s="15">
        <f>IFERROR(__xludf.DUMMYFUNCTION("""COMPUTED_VALUE"""),0.998)</f>
        <v>0.998</v>
      </c>
      <c r="E404" s="16">
        <f>IFERROR(__xludf.DUMMYFUNCTION("""COMPUTED_VALUE"""),72.0)</f>
        <v>72</v>
      </c>
      <c r="F404" s="19" t="str">
        <f>IFERROR(__xludf.DUMMYFUNCTION("""COMPUTED_VALUE"""),"BLUE")</f>
        <v>BLUE</v>
      </c>
      <c r="G404" s="20" t="str">
        <f>IFERROR(__xludf.DUMMYFUNCTION("""COMPUTED_VALUE"""),"Uncle Sams Cider (04/04/2023)")</f>
        <v>Uncle Sams Cider (04/04/2023)</v>
      </c>
      <c r="H404" s="19"/>
    </row>
    <row r="405">
      <c r="A405" s="9"/>
      <c r="B405" s="15"/>
      <c r="C405" s="9">
        <f>IFERROR(__xludf.DUMMYFUNCTION("""COMPUTED_VALUE"""),45140.4185429861)</f>
        <v>45140.41854</v>
      </c>
      <c r="D405" s="15">
        <f>IFERROR(__xludf.DUMMYFUNCTION("""COMPUTED_VALUE"""),0.998)</f>
        <v>0.998</v>
      </c>
      <c r="E405" s="16">
        <f>IFERROR(__xludf.DUMMYFUNCTION("""COMPUTED_VALUE"""),72.0)</f>
        <v>72</v>
      </c>
      <c r="F405" s="19" t="str">
        <f>IFERROR(__xludf.DUMMYFUNCTION("""COMPUTED_VALUE"""),"BLUE")</f>
        <v>BLUE</v>
      </c>
      <c r="G405" s="20" t="str">
        <f>IFERROR(__xludf.DUMMYFUNCTION("""COMPUTED_VALUE"""),"Uncle Sams Cider (04/04/2023)")</f>
        <v>Uncle Sams Cider (04/04/2023)</v>
      </c>
      <c r="H405" s="19"/>
    </row>
    <row r="406">
      <c r="A406" s="9"/>
      <c r="B406" s="15"/>
      <c r="C406" s="9">
        <f>IFERROR(__xludf.DUMMYFUNCTION("""COMPUTED_VALUE"""),45140.4081220486)</f>
        <v>45140.40812</v>
      </c>
      <c r="D406" s="15">
        <f>IFERROR(__xludf.DUMMYFUNCTION("""COMPUTED_VALUE"""),0.998)</f>
        <v>0.998</v>
      </c>
      <c r="E406" s="16">
        <f>IFERROR(__xludf.DUMMYFUNCTION("""COMPUTED_VALUE"""),72.0)</f>
        <v>72</v>
      </c>
      <c r="F406" s="19" t="str">
        <f>IFERROR(__xludf.DUMMYFUNCTION("""COMPUTED_VALUE"""),"BLUE")</f>
        <v>BLUE</v>
      </c>
      <c r="G406" s="20" t="str">
        <f>IFERROR(__xludf.DUMMYFUNCTION("""COMPUTED_VALUE"""),"Uncle Sams Cider (04/04/2023)")</f>
        <v>Uncle Sams Cider (04/04/2023)</v>
      </c>
      <c r="H406" s="19"/>
    </row>
    <row r="407">
      <c r="A407" s="9"/>
      <c r="B407" s="15"/>
      <c r="C407" s="9">
        <f>IFERROR(__xludf.DUMMYFUNCTION("""COMPUTED_VALUE"""),45140.3977016435)</f>
        <v>45140.3977</v>
      </c>
      <c r="D407" s="15">
        <f>IFERROR(__xludf.DUMMYFUNCTION("""COMPUTED_VALUE"""),0.998)</f>
        <v>0.998</v>
      </c>
      <c r="E407" s="16">
        <f>IFERROR(__xludf.DUMMYFUNCTION("""COMPUTED_VALUE"""),72.0)</f>
        <v>72</v>
      </c>
      <c r="F407" s="19" t="str">
        <f>IFERROR(__xludf.DUMMYFUNCTION("""COMPUTED_VALUE"""),"BLUE")</f>
        <v>BLUE</v>
      </c>
      <c r="G407" s="20" t="str">
        <f>IFERROR(__xludf.DUMMYFUNCTION("""COMPUTED_VALUE"""),"Uncle Sams Cider (04/04/2023)")</f>
        <v>Uncle Sams Cider (04/04/2023)</v>
      </c>
      <c r="H407" s="19"/>
    </row>
    <row r="408">
      <c r="A408" s="9"/>
      <c r="B408" s="15"/>
      <c r="C408" s="9">
        <f>IFERROR(__xludf.DUMMYFUNCTION("""COMPUTED_VALUE"""),45140.3872815277)</f>
        <v>45140.38728</v>
      </c>
      <c r="D408" s="15">
        <f>IFERROR(__xludf.DUMMYFUNCTION("""COMPUTED_VALUE"""),0.998)</f>
        <v>0.998</v>
      </c>
      <c r="E408" s="16">
        <f>IFERROR(__xludf.DUMMYFUNCTION("""COMPUTED_VALUE"""),72.0)</f>
        <v>72</v>
      </c>
      <c r="F408" s="19" t="str">
        <f>IFERROR(__xludf.DUMMYFUNCTION("""COMPUTED_VALUE"""),"BLUE")</f>
        <v>BLUE</v>
      </c>
      <c r="G408" s="20" t="str">
        <f>IFERROR(__xludf.DUMMYFUNCTION("""COMPUTED_VALUE"""),"Uncle Sams Cider (04/04/2023)")</f>
        <v>Uncle Sams Cider (04/04/2023)</v>
      </c>
      <c r="H408" s="19"/>
    </row>
    <row r="409">
      <c r="A409" s="9"/>
      <c r="B409" s="15"/>
      <c r="C409" s="9">
        <f>IFERROR(__xludf.DUMMYFUNCTION("""COMPUTED_VALUE"""),45140.3768476736)</f>
        <v>45140.37685</v>
      </c>
      <c r="D409" s="15">
        <f>IFERROR(__xludf.DUMMYFUNCTION("""COMPUTED_VALUE"""),0.998)</f>
        <v>0.998</v>
      </c>
      <c r="E409" s="16">
        <f>IFERROR(__xludf.DUMMYFUNCTION("""COMPUTED_VALUE"""),72.0)</f>
        <v>72</v>
      </c>
      <c r="F409" s="19" t="str">
        <f>IFERROR(__xludf.DUMMYFUNCTION("""COMPUTED_VALUE"""),"BLUE")</f>
        <v>BLUE</v>
      </c>
      <c r="G409" s="20" t="str">
        <f>IFERROR(__xludf.DUMMYFUNCTION("""COMPUTED_VALUE"""),"Uncle Sams Cider (04/04/2023)")</f>
        <v>Uncle Sams Cider (04/04/2023)</v>
      </c>
      <c r="H409" s="19"/>
    </row>
    <row r="410">
      <c r="A410" s="9"/>
      <c r="B410" s="15"/>
      <c r="C410" s="9">
        <f>IFERROR(__xludf.DUMMYFUNCTION("""COMPUTED_VALUE"""),45140.3664274189)</f>
        <v>45140.36643</v>
      </c>
      <c r="D410" s="15">
        <f>IFERROR(__xludf.DUMMYFUNCTION("""COMPUTED_VALUE"""),0.998)</f>
        <v>0.998</v>
      </c>
      <c r="E410" s="16">
        <f>IFERROR(__xludf.DUMMYFUNCTION("""COMPUTED_VALUE"""),72.0)</f>
        <v>72</v>
      </c>
      <c r="F410" s="19" t="str">
        <f>IFERROR(__xludf.DUMMYFUNCTION("""COMPUTED_VALUE"""),"BLUE")</f>
        <v>BLUE</v>
      </c>
      <c r="G410" s="20" t="str">
        <f>IFERROR(__xludf.DUMMYFUNCTION("""COMPUTED_VALUE"""),"Uncle Sams Cider (04/04/2023)")</f>
        <v>Uncle Sams Cider (04/04/2023)</v>
      </c>
      <c r="H410" s="19"/>
    </row>
    <row r="411">
      <c r="A411" s="9"/>
      <c r="B411" s="15"/>
      <c r="C411" s="9">
        <f>IFERROR(__xludf.DUMMYFUNCTION("""COMPUTED_VALUE"""),45140.3560061574)</f>
        <v>45140.35601</v>
      </c>
      <c r="D411" s="15">
        <f>IFERROR(__xludf.DUMMYFUNCTION("""COMPUTED_VALUE"""),0.998)</f>
        <v>0.998</v>
      </c>
      <c r="E411" s="16">
        <f>IFERROR(__xludf.DUMMYFUNCTION("""COMPUTED_VALUE"""),72.0)</f>
        <v>72</v>
      </c>
      <c r="F411" s="19" t="str">
        <f>IFERROR(__xludf.DUMMYFUNCTION("""COMPUTED_VALUE"""),"BLUE")</f>
        <v>BLUE</v>
      </c>
      <c r="G411" s="20" t="str">
        <f>IFERROR(__xludf.DUMMYFUNCTION("""COMPUTED_VALUE"""),"Uncle Sams Cider (04/04/2023)")</f>
        <v>Uncle Sams Cider (04/04/2023)</v>
      </c>
      <c r="H411" s="19"/>
    </row>
    <row r="412">
      <c r="A412" s="9"/>
      <c r="B412" s="15"/>
      <c r="C412" s="9">
        <f>IFERROR(__xludf.DUMMYFUNCTION("""COMPUTED_VALUE"""),45140.3455854513)</f>
        <v>45140.34559</v>
      </c>
      <c r="D412" s="15">
        <f>IFERROR(__xludf.DUMMYFUNCTION("""COMPUTED_VALUE"""),0.998)</f>
        <v>0.998</v>
      </c>
      <c r="E412" s="16">
        <f>IFERROR(__xludf.DUMMYFUNCTION("""COMPUTED_VALUE"""),72.0)</f>
        <v>72</v>
      </c>
      <c r="F412" s="19" t="str">
        <f>IFERROR(__xludf.DUMMYFUNCTION("""COMPUTED_VALUE"""),"BLUE")</f>
        <v>BLUE</v>
      </c>
      <c r="G412" s="20" t="str">
        <f>IFERROR(__xludf.DUMMYFUNCTION("""COMPUTED_VALUE"""),"Uncle Sams Cider (04/04/2023)")</f>
        <v>Uncle Sams Cider (04/04/2023)</v>
      </c>
      <c r="H412" s="19"/>
    </row>
    <row r="413">
      <c r="A413" s="9"/>
      <c r="B413" s="15"/>
      <c r="C413" s="9">
        <f>IFERROR(__xludf.DUMMYFUNCTION("""COMPUTED_VALUE"""),45140.3351641203)</f>
        <v>45140.33516</v>
      </c>
      <c r="D413" s="15">
        <f>IFERROR(__xludf.DUMMYFUNCTION("""COMPUTED_VALUE"""),0.998)</f>
        <v>0.998</v>
      </c>
      <c r="E413" s="16">
        <f>IFERROR(__xludf.DUMMYFUNCTION("""COMPUTED_VALUE"""),72.0)</f>
        <v>72</v>
      </c>
      <c r="F413" s="19" t="str">
        <f>IFERROR(__xludf.DUMMYFUNCTION("""COMPUTED_VALUE"""),"BLUE")</f>
        <v>BLUE</v>
      </c>
      <c r="G413" s="20" t="str">
        <f>IFERROR(__xludf.DUMMYFUNCTION("""COMPUTED_VALUE"""),"Uncle Sams Cider (04/04/2023)")</f>
        <v>Uncle Sams Cider (04/04/2023)</v>
      </c>
      <c r="H413" s="19"/>
    </row>
    <row r="414">
      <c r="A414" s="9"/>
      <c r="B414" s="15"/>
      <c r="C414" s="9">
        <f>IFERROR(__xludf.DUMMYFUNCTION("""COMPUTED_VALUE"""),45140.3247317245)</f>
        <v>45140.32473</v>
      </c>
      <c r="D414" s="15">
        <f>IFERROR(__xludf.DUMMYFUNCTION("""COMPUTED_VALUE"""),0.998)</f>
        <v>0.998</v>
      </c>
      <c r="E414" s="16">
        <f>IFERROR(__xludf.DUMMYFUNCTION("""COMPUTED_VALUE"""),72.0)</f>
        <v>72</v>
      </c>
      <c r="F414" s="19" t="str">
        <f>IFERROR(__xludf.DUMMYFUNCTION("""COMPUTED_VALUE"""),"BLUE")</f>
        <v>BLUE</v>
      </c>
      <c r="G414" s="20" t="str">
        <f>IFERROR(__xludf.DUMMYFUNCTION("""COMPUTED_VALUE"""),"Uncle Sams Cider (04/04/2023)")</f>
        <v>Uncle Sams Cider (04/04/2023)</v>
      </c>
      <c r="H414" s="19"/>
    </row>
    <row r="415">
      <c r="A415" s="9"/>
      <c r="B415" s="15"/>
      <c r="C415" s="9">
        <f>IFERROR(__xludf.DUMMYFUNCTION("""COMPUTED_VALUE"""),45140.3142987615)</f>
        <v>45140.3143</v>
      </c>
      <c r="D415" s="15">
        <f>IFERROR(__xludf.DUMMYFUNCTION("""COMPUTED_VALUE"""),0.999)</f>
        <v>0.999</v>
      </c>
      <c r="E415" s="16">
        <f>IFERROR(__xludf.DUMMYFUNCTION("""COMPUTED_VALUE"""),72.0)</f>
        <v>72</v>
      </c>
      <c r="F415" s="19" t="str">
        <f>IFERROR(__xludf.DUMMYFUNCTION("""COMPUTED_VALUE"""),"BLUE")</f>
        <v>BLUE</v>
      </c>
      <c r="G415" s="20" t="str">
        <f>IFERROR(__xludf.DUMMYFUNCTION("""COMPUTED_VALUE"""),"Uncle Sams Cider (04/04/2023)")</f>
        <v>Uncle Sams Cider (04/04/2023)</v>
      </c>
      <c r="H415" s="19"/>
    </row>
    <row r="416">
      <c r="A416" s="9"/>
      <c r="B416" s="15"/>
      <c r="C416" s="9">
        <f>IFERROR(__xludf.DUMMYFUNCTION("""COMPUTED_VALUE"""),45140.3038770717)</f>
        <v>45140.30388</v>
      </c>
      <c r="D416" s="15">
        <f>IFERROR(__xludf.DUMMYFUNCTION("""COMPUTED_VALUE"""),0.998)</f>
        <v>0.998</v>
      </c>
      <c r="E416" s="16">
        <f>IFERROR(__xludf.DUMMYFUNCTION("""COMPUTED_VALUE"""),72.0)</f>
        <v>72</v>
      </c>
      <c r="F416" s="19" t="str">
        <f>IFERROR(__xludf.DUMMYFUNCTION("""COMPUTED_VALUE"""),"BLUE")</f>
        <v>BLUE</v>
      </c>
      <c r="G416" s="20" t="str">
        <f>IFERROR(__xludf.DUMMYFUNCTION("""COMPUTED_VALUE"""),"Uncle Sams Cider (04/04/2023)")</f>
        <v>Uncle Sams Cider (04/04/2023)</v>
      </c>
      <c r="H416" s="19"/>
    </row>
    <row r="417">
      <c r="A417" s="9"/>
      <c r="B417" s="15"/>
      <c r="C417" s="9">
        <f>IFERROR(__xludf.DUMMYFUNCTION("""COMPUTED_VALUE"""),45140.2934331134)</f>
        <v>45140.29343</v>
      </c>
      <c r="D417" s="15">
        <f>IFERROR(__xludf.DUMMYFUNCTION("""COMPUTED_VALUE"""),0.998)</f>
        <v>0.998</v>
      </c>
      <c r="E417" s="16">
        <f>IFERROR(__xludf.DUMMYFUNCTION("""COMPUTED_VALUE"""),72.0)</f>
        <v>72</v>
      </c>
      <c r="F417" s="19" t="str">
        <f>IFERROR(__xludf.DUMMYFUNCTION("""COMPUTED_VALUE"""),"BLUE")</f>
        <v>BLUE</v>
      </c>
      <c r="G417" s="20" t="str">
        <f>IFERROR(__xludf.DUMMYFUNCTION("""COMPUTED_VALUE"""),"Uncle Sams Cider (04/04/2023)")</f>
        <v>Uncle Sams Cider (04/04/2023)</v>
      </c>
      <c r="H417" s="19"/>
    </row>
    <row r="418">
      <c r="A418" s="9"/>
      <c r="B418" s="15"/>
      <c r="C418" s="9">
        <f>IFERROR(__xludf.DUMMYFUNCTION("""COMPUTED_VALUE"""),45140.2830120949)</f>
        <v>45140.28301</v>
      </c>
      <c r="D418" s="15">
        <f>IFERROR(__xludf.DUMMYFUNCTION("""COMPUTED_VALUE"""),0.998)</f>
        <v>0.998</v>
      </c>
      <c r="E418" s="16">
        <f>IFERROR(__xludf.DUMMYFUNCTION("""COMPUTED_VALUE"""),72.0)</f>
        <v>72</v>
      </c>
      <c r="F418" s="19" t="str">
        <f>IFERROR(__xludf.DUMMYFUNCTION("""COMPUTED_VALUE"""),"BLUE")</f>
        <v>BLUE</v>
      </c>
      <c r="G418" s="20" t="str">
        <f>IFERROR(__xludf.DUMMYFUNCTION("""COMPUTED_VALUE"""),"Uncle Sams Cider (04/04/2023)")</f>
        <v>Uncle Sams Cider (04/04/2023)</v>
      </c>
      <c r="H418" s="19"/>
    </row>
    <row r="419">
      <c r="A419" s="9"/>
      <c r="B419" s="15"/>
      <c r="C419" s="9">
        <f>IFERROR(__xludf.DUMMYFUNCTION("""COMPUTED_VALUE"""),45140.2725905787)</f>
        <v>45140.27259</v>
      </c>
      <c r="D419" s="15">
        <f>IFERROR(__xludf.DUMMYFUNCTION("""COMPUTED_VALUE"""),0.998)</f>
        <v>0.998</v>
      </c>
      <c r="E419" s="16">
        <f>IFERROR(__xludf.DUMMYFUNCTION("""COMPUTED_VALUE"""),72.0)</f>
        <v>72</v>
      </c>
      <c r="F419" s="19" t="str">
        <f>IFERROR(__xludf.DUMMYFUNCTION("""COMPUTED_VALUE"""),"BLUE")</f>
        <v>BLUE</v>
      </c>
      <c r="G419" s="20" t="str">
        <f>IFERROR(__xludf.DUMMYFUNCTION("""COMPUTED_VALUE"""),"Uncle Sams Cider (04/04/2023)")</f>
        <v>Uncle Sams Cider (04/04/2023)</v>
      </c>
      <c r="H419" s="19"/>
    </row>
    <row r="420">
      <c r="A420" s="9"/>
      <c r="B420" s="15"/>
      <c r="C420" s="9">
        <f>IFERROR(__xludf.DUMMYFUNCTION("""COMPUTED_VALUE"""),45140.262169375)</f>
        <v>45140.26217</v>
      </c>
      <c r="D420" s="15">
        <f>IFERROR(__xludf.DUMMYFUNCTION("""COMPUTED_VALUE"""),0.998)</f>
        <v>0.998</v>
      </c>
      <c r="E420" s="16">
        <f>IFERROR(__xludf.DUMMYFUNCTION("""COMPUTED_VALUE"""),72.0)</f>
        <v>72</v>
      </c>
      <c r="F420" s="19" t="str">
        <f>IFERROR(__xludf.DUMMYFUNCTION("""COMPUTED_VALUE"""),"BLUE")</f>
        <v>BLUE</v>
      </c>
      <c r="G420" s="20" t="str">
        <f>IFERROR(__xludf.DUMMYFUNCTION("""COMPUTED_VALUE"""),"Uncle Sams Cider (04/04/2023)")</f>
        <v>Uncle Sams Cider (04/04/2023)</v>
      </c>
      <c r="H420" s="19"/>
    </row>
    <row r="421">
      <c r="A421" s="9"/>
      <c r="B421" s="15"/>
      <c r="C421" s="9">
        <f>IFERROR(__xludf.DUMMYFUNCTION("""COMPUTED_VALUE"""),45140.2517367939)</f>
        <v>45140.25174</v>
      </c>
      <c r="D421" s="15">
        <f>IFERROR(__xludf.DUMMYFUNCTION("""COMPUTED_VALUE"""),0.998)</f>
        <v>0.998</v>
      </c>
      <c r="E421" s="16">
        <f>IFERROR(__xludf.DUMMYFUNCTION("""COMPUTED_VALUE"""),72.0)</f>
        <v>72</v>
      </c>
      <c r="F421" s="19" t="str">
        <f>IFERROR(__xludf.DUMMYFUNCTION("""COMPUTED_VALUE"""),"BLUE")</f>
        <v>BLUE</v>
      </c>
      <c r="G421" s="20" t="str">
        <f>IFERROR(__xludf.DUMMYFUNCTION("""COMPUTED_VALUE"""),"Uncle Sams Cider (04/04/2023)")</f>
        <v>Uncle Sams Cider (04/04/2023)</v>
      </c>
      <c r="H421" s="19"/>
    </row>
    <row r="422">
      <c r="A422" s="9"/>
      <c r="B422" s="15"/>
      <c r="C422" s="9">
        <f>IFERROR(__xludf.DUMMYFUNCTION("""COMPUTED_VALUE"""),45140.2413153703)</f>
        <v>45140.24132</v>
      </c>
      <c r="D422" s="15">
        <f>IFERROR(__xludf.DUMMYFUNCTION("""COMPUTED_VALUE"""),0.998)</f>
        <v>0.998</v>
      </c>
      <c r="E422" s="16">
        <f>IFERROR(__xludf.DUMMYFUNCTION("""COMPUTED_VALUE"""),72.0)</f>
        <v>72</v>
      </c>
      <c r="F422" s="19" t="str">
        <f>IFERROR(__xludf.DUMMYFUNCTION("""COMPUTED_VALUE"""),"BLUE")</f>
        <v>BLUE</v>
      </c>
      <c r="G422" s="20" t="str">
        <f>IFERROR(__xludf.DUMMYFUNCTION("""COMPUTED_VALUE"""),"Uncle Sams Cider (04/04/2023)")</f>
        <v>Uncle Sams Cider (04/04/2023)</v>
      </c>
      <c r="H422" s="19"/>
    </row>
    <row r="423">
      <c r="A423" s="9"/>
      <c r="B423" s="15"/>
      <c r="C423" s="9">
        <f>IFERROR(__xludf.DUMMYFUNCTION("""COMPUTED_VALUE"""),45140.2308939699)</f>
        <v>45140.23089</v>
      </c>
      <c r="D423" s="15">
        <f>IFERROR(__xludf.DUMMYFUNCTION("""COMPUTED_VALUE"""),0.998)</f>
        <v>0.998</v>
      </c>
      <c r="E423" s="16">
        <f>IFERROR(__xludf.DUMMYFUNCTION("""COMPUTED_VALUE"""),72.0)</f>
        <v>72</v>
      </c>
      <c r="F423" s="19" t="str">
        <f>IFERROR(__xludf.DUMMYFUNCTION("""COMPUTED_VALUE"""),"BLUE")</f>
        <v>BLUE</v>
      </c>
      <c r="G423" s="20" t="str">
        <f>IFERROR(__xludf.DUMMYFUNCTION("""COMPUTED_VALUE"""),"Uncle Sams Cider (04/04/2023)")</f>
        <v>Uncle Sams Cider (04/04/2023)</v>
      </c>
      <c r="H423" s="19"/>
    </row>
    <row r="424">
      <c r="A424" s="9"/>
      <c r="B424" s="15"/>
      <c r="C424" s="9">
        <f>IFERROR(__xludf.DUMMYFUNCTION("""COMPUTED_VALUE"""),45140.2204713425)</f>
        <v>45140.22047</v>
      </c>
      <c r="D424" s="15">
        <f>IFERROR(__xludf.DUMMYFUNCTION("""COMPUTED_VALUE"""),0.998)</f>
        <v>0.998</v>
      </c>
      <c r="E424" s="16">
        <f>IFERROR(__xludf.DUMMYFUNCTION("""COMPUTED_VALUE"""),72.0)</f>
        <v>72</v>
      </c>
      <c r="F424" s="19" t="str">
        <f>IFERROR(__xludf.DUMMYFUNCTION("""COMPUTED_VALUE"""),"BLUE")</f>
        <v>BLUE</v>
      </c>
      <c r="G424" s="20" t="str">
        <f>IFERROR(__xludf.DUMMYFUNCTION("""COMPUTED_VALUE"""),"Uncle Sams Cider (04/04/2023)")</f>
        <v>Uncle Sams Cider (04/04/2023)</v>
      </c>
      <c r="H424" s="19"/>
    </row>
    <row r="425">
      <c r="A425" s="9"/>
      <c r="B425" s="15"/>
      <c r="C425" s="9">
        <f>IFERROR(__xludf.DUMMYFUNCTION("""COMPUTED_VALUE"""),45140.2100396759)</f>
        <v>45140.21004</v>
      </c>
      <c r="D425" s="15">
        <f>IFERROR(__xludf.DUMMYFUNCTION("""COMPUTED_VALUE"""),0.998)</f>
        <v>0.998</v>
      </c>
      <c r="E425" s="16">
        <f>IFERROR(__xludf.DUMMYFUNCTION("""COMPUTED_VALUE"""),72.0)</f>
        <v>72</v>
      </c>
      <c r="F425" s="19" t="str">
        <f>IFERROR(__xludf.DUMMYFUNCTION("""COMPUTED_VALUE"""),"BLUE")</f>
        <v>BLUE</v>
      </c>
      <c r="G425" s="20" t="str">
        <f>IFERROR(__xludf.DUMMYFUNCTION("""COMPUTED_VALUE"""),"Uncle Sams Cider (04/04/2023)")</f>
        <v>Uncle Sams Cider (04/04/2023)</v>
      </c>
      <c r="H425" s="19"/>
    </row>
    <row r="426">
      <c r="A426" s="9"/>
      <c r="B426" s="15"/>
      <c r="C426" s="9">
        <f>IFERROR(__xludf.DUMMYFUNCTION("""COMPUTED_VALUE"""),45140.1996179976)</f>
        <v>45140.19962</v>
      </c>
      <c r="D426" s="15">
        <f>IFERROR(__xludf.DUMMYFUNCTION("""COMPUTED_VALUE"""),0.998)</f>
        <v>0.998</v>
      </c>
      <c r="E426" s="16">
        <f>IFERROR(__xludf.DUMMYFUNCTION("""COMPUTED_VALUE"""),72.0)</f>
        <v>72</v>
      </c>
      <c r="F426" s="19" t="str">
        <f>IFERROR(__xludf.DUMMYFUNCTION("""COMPUTED_VALUE"""),"BLUE")</f>
        <v>BLUE</v>
      </c>
      <c r="G426" s="20" t="str">
        <f>IFERROR(__xludf.DUMMYFUNCTION("""COMPUTED_VALUE"""),"Uncle Sams Cider (04/04/2023)")</f>
        <v>Uncle Sams Cider (04/04/2023)</v>
      </c>
      <c r="H426" s="19"/>
    </row>
    <row r="427">
      <c r="A427" s="9"/>
      <c r="B427" s="15"/>
      <c r="C427" s="9">
        <f>IFERROR(__xludf.DUMMYFUNCTION("""COMPUTED_VALUE"""),45140.1891843055)</f>
        <v>45140.18918</v>
      </c>
      <c r="D427" s="15">
        <f>IFERROR(__xludf.DUMMYFUNCTION("""COMPUTED_VALUE"""),0.998)</f>
        <v>0.998</v>
      </c>
      <c r="E427" s="16">
        <f>IFERROR(__xludf.DUMMYFUNCTION("""COMPUTED_VALUE"""),72.0)</f>
        <v>72</v>
      </c>
      <c r="F427" s="19" t="str">
        <f>IFERROR(__xludf.DUMMYFUNCTION("""COMPUTED_VALUE"""),"BLUE")</f>
        <v>BLUE</v>
      </c>
      <c r="G427" s="20" t="str">
        <f>IFERROR(__xludf.DUMMYFUNCTION("""COMPUTED_VALUE"""),"Uncle Sams Cider (04/04/2023)")</f>
        <v>Uncle Sams Cider (04/04/2023)</v>
      </c>
      <c r="H427" s="19"/>
    </row>
    <row r="428">
      <c r="A428" s="9"/>
      <c r="B428" s="15"/>
      <c r="C428" s="9">
        <f>IFERROR(__xludf.DUMMYFUNCTION("""COMPUTED_VALUE"""),45140.1787525926)</f>
        <v>45140.17875</v>
      </c>
      <c r="D428" s="15">
        <f>IFERROR(__xludf.DUMMYFUNCTION("""COMPUTED_VALUE"""),0.998)</f>
        <v>0.998</v>
      </c>
      <c r="E428" s="16">
        <f>IFERROR(__xludf.DUMMYFUNCTION("""COMPUTED_VALUE"""),72.0)</f>
        <v>72</v>
      </c>
      <c r="F428" s="19" t="str">
        <f>IFERROR(__xludf.DUMMYFUNCTION("""COMPUTED_VALUE"""),"BLUE")</f>
        <v>BLUE</v>
      </c>
      <c r="G428" s="20" t="str">
        <f>IFERROR(__xludf.DUMMYFUNCTION("""COMPUTED_VALUE"""),"Uncle Sams Cider (04/04/2023)")</f>
        <v>Uncle Sams Cider (04/04/2023)</v>
      </c>
      <c r="H428" s="19"/>
    </row>
    <row r="429">
      <c r="A429" s="9"/>
      <c r="B429" s="15"/>
      <c r="C429" s="9">
        <f>IFERROR(__xludf.DUMMYFUNCTION("""COMPUTED_VALUE"""),45140.1683310879)</f>
        <v>45140.16833</v>
      </c>
      <c r="D429" s="15">
        <f>IFERROR(__xludf.DUMMYFUNCTION("""COMPUTED_VALUE"""),0.998)</f>
        <v>0.998</v>
      </c>
      <c r="E429" s="16">
        <f>IFERROR(__xludf.DUMMYFUNCTION("""COMPUTED_VALUE"""),72.0)</f>
        <v>72</v>
      </c>
      <c r="F429" s="19" t="str">
        <f>IFERROR(__xludf.DUMMYFUNCTION("""COMPUTED_VALUE"""),"BLUE")</f>
        <v>BLUE</v>
      </c>
      <c r="G429" s="20" t="str">
        <f>IFERROR(__xludf.DUMMYFUNCTION("""COMPUTED_VALUE"""),"Uncle Sams Cider (04/04/2023)")</f>
        <v>Uncle Sams Cider (04/04/2023)</v>
      </c>
      <c r="H429" s="19"/>
    </row>
    <row r="430">
      <c r="A430" s="9"/>
      <c r="B430" s="15"/>
      <c r="C430" s="9">
        <f>IFERROR(__xludf.DUMMYFUNCTION("""COMPUTED_VALUE"""),45140.157910625)</f>
        <v>45140.15791</v>
      </c>
      <c r="D430" s="15">
        <f>IFERROR(__xludf.DUMMYFUNCTION("""COMPUTED_VALUE"""),0.998)</f>
        <v>0.998</v>
      </c>
      <c r="E430" s="16">
        <f>IFERROR(__xludf.DUMMYFUNCTION("""COMPUTED_VALUE"""),72.0)</f>
        <v>72</v>
      </c>
      <c r="F430" s="19" t="str">
        <f>IFERROR(__xludf.DUMMYFUNCTION("""COMPUTED_VALUE"""),"BLUE")</f>
        <v>BLUE</v>
      </c>
      <c r="G430" s="20" t="str">
        <f>IFERROR(__xludf.DUMMYFUNCTION("""COMPUTED_VALUE"""),"Uncle Sams Cider (04/04/2023)")</f>
        <v>Uncle Sams Cider (04/04/2023)</v>
      </c>
      <c r="H430" s="19"/>
    </row>
    <row r="431">
      <c r="A431" s="9"/>
      <c r="B431" s="15"/>
      <c r="C431" s="9">
        <f>IFERROR(__xludf.DUMMYFUNCTION("""COMPUTED_VALUE"""),45140.1474903819)</f>
        <v>45140.14749</v>
      </c>
      <c r="D431" s="15">
        <f>IFERROR(__xludf.DUMMYFUNCTION("""COMPUTED_VALUE"""),0.998)</f>
        <v>0.998</v>
      </c>
      <c r="E431" s="16">
        <f>IFERROR(__xludf.DUMMYFUNCTION("""COMPUTED_VALUE"""),72.0)</f>
        <v>72</v>
      </c>
      <c r="F431" s="19" t="str">
        <f>IFERROR(__xludf.DUMMYFUNCTION("""COMPUTED_VALUE"""),"BLUE")</f>
        <v>BLUE</v>
      </c>
      <c r="G431" s="20" t="str">
        <f>IFERROR(__xludf.DUMMYFUNCTION("""COMPUTED_VALUE"""),"Uncle Sams Cider (04/04/2023)")</f>
        <v>Uncle Sams Cider (04/04/2023)</v>
      </c>
      <c r="H431" s="19"/>
    </row>
    <row r="432">
      <c r="A432" s="9"/>
      <c r="B432" s="15"/>
      <c r="C432" s="9">
        <f>IFERROR(__xludf.DUMMYFUNCTION("""COMPUTED_VALUE"""),45140.1370672222)</f>
        <v>45140.13707</v>
      </c>
      <c r="D432" s="15">
        <f>IFERROR(__xludf.DUMMYFUNCTION("""COMPUTED_VALUE"""),0.998)</f>
        <v>0.998</v>
      </c>
      <c r="E432" s="16">
        <f>IFERROR(__xludf.DUMMYFUNCTION("""COMPUTED_VALUE"""),72.0)</f>
        <v>72</v>
      </c>
      <c r="F432" s="19" t="str">
        <f>IFERROR(__xludf.DUMMYFUNCTION("""COMPUTED_VALUE"""),"BLUE")</f>
        <v>BLUE</v>
      </c>
      <c r="G432" s="20" t="str">
        <f>IFERROR(__xludf.DUMMYFUNCTION("""COMPUTED_VALUE"""),"Uncle Sams Cider (04/04/2023)")</f>
        <v>Uncle Sams Cider (04/04/2023)</v>
      </c>
      <c r="H432" s="19"/>
    </row>
    <row r="433">
      <c r="A433" s="9"/>
      <c r="B433" s="15"/>
      <c r="C433" s="9">
        <f>IFERROR(__xludf.DUMMYFUNCTION("""COMPUTED_VALUE"""),45140.1266464814)</f>
        <v>45140.12665</v>
      </c>
      <c r="D433" s="15">
        <f>IFERROR(__xludf.DUMMYFUNCTION("""COMPUTED_VALUE"""),0.998)</f>
        <v>0.998</v>
      </c>
      <c r="E433" s="16">
        <f>IFERROR(__xludf.DUMMYFUNCTION("""COMPUTED_VALUE"""),72.0)</f>
        <v>72</v>
      </c>
      <c r="F433" s="19" t="str">
        <f>IFERROR(__xludf.DUMMYFUNCTION("""COMPUTED_VALUE"""),"BLUE")</f>
        <v>BLUE</v>
      </c>
      <c r="G433" s="20" t="str">
        <f>IFERROR(__xludf.DUMMYFUNCTION("""COMPUTED_VALUE"""),"Uncle Sams Cider (04/04/2023)")</f>
        <v>Uncle Sams Cider (04/04/2023)</v>
      </c>
      <c r="H433" s="19"/>
    </row>
    <row r="434">
      <c r="A434" s="9"/>
      <c r="B434" s="15"/>
      <c r="C434" s="9">
        <f>IFERROR(__xludf.DUMMYFUNCTION("""COMPUTED_VALUE"""),45140.1162260763)</f>
        <v>45140.11623</v>
      </c>
      <c r="D434" s="15">
        <f>IFERROR(__xludf.DUMMYFUNCTION("""COMPUTED_VALUE"""),0.998)</f>
        <v>0.998</v>
      </c>
      <c r="E434" s="16">
        <f>IFERROR(__xludf.DUMMYFUNCTION("""COMPUTED_VALUE"""),72.0)</f>
        <v>72</v>
      </c>
      <c r="F434" s="19" t="str">
        <f>IFERROR(__xludf.DUMMYFUNCTION("""COMPUTED_VALUE"""),"BLUE")</f>
        <v>BLUE</v>
      </c>
      <c r="G434" s="20" t="str">
        <f>IFERROR(__xludf.DUMMYFUNCTION("""COMPUTED_VALUE"""),"Uncle Sams Cider (04/04/2023)")</f>
        <v>Uncle Sams Cider (04/04/2023)</v>
      </c>
      <c r="H434" s="19"/>
    </row>
    <row r="435">
      <c r="A435" s="9"/>
      <c r="B435" s="15"/>
      <c r="C435" s="9">
        <f>IFERROR(__xludf.DUMMYFUNCTION("""COMPUTED_VALUE"""),45140.1058062847)</f>
        <v>45140.10581</v>
      </c>
      <c r="D435" s="15">
        <f>IFERROR(__xludf.DUMMYFUNCTION("""COMPUTED_VALUE"""),0.998)</f>
        <v>0.998</v>
      </c>
      <c r="E435" s="16">
        <f>IFERROR(__xludf.DUMMYFUNCTION("""COMPUTED_VALUE"""),72.0)</f>
        <v>72</v>
      </c>
      <c r="F435" s="19" t="str">
        <f>IFERROR(__xludf.DUMMYFUNCTION("""COMPUTED_VALUE"""),"BLUE")</f>
        <v>BLUE</v>
      </c>
      <c r="G435" s="20" t="str">
        <f>IFERROR(__xludf.DUMMYFUNCTION("""COMPUTED_VALUE"""),"Uncle Sams Cider (04/04/2023)")</f>
        <v>Uncle Sams Cider (04/04/2023)</v>
      </c>
      <c r="H435" s="19"/>
    </row>
    <row r="436">
      <c r="A436" s="9"/>
      <c r="B436" s="15"/>
      <c r="C436" s="9">
        <f>IFERROR(__xludf.DUMMYFUNCTION("""COMPUTED_VALUE"""),45140.0953843171)</f>
        <v>45140.09538</v>
      </c>
      <c r="D436" s="15">
        <f>IFERROR(__xludf.DUMMYFUNCTION("""COMPUTED_VALUE"""),0.998)</f>
        <v>0.998</v>
      </c>
      <c r="E436" s="16">
        <f>IFERROR(__xludf.DUMMYFUNCTION("""COMPUTED_VALUE"""),72.0)</f>
        <v>72</v>
      </c>
      <c r="F436" s="19" t="str">
        <f>IFERROR(__xludf.DUMMYFUNCTION("""COMPUTED_VALUE"""),"BLUE")</f>
        <v>BLUE</v>
      </c>
      <c r="G436" s="20" t="str">
        <f>IFERROR(__xludf.DUMMYFUNCTION("""COMPUTED_VALUE"""),"Uncle Sams Cider (04/04/2023)")</f>
        <v>Uncle Sams Cider (04/04/2023)</v>
      </c>
      <c r="H436" s="19"/>
    </row>
    <row r="437">
      <c r="A437" s="9"/>
      <c r="B437" s="15"/>
      <c r="C437" s="9">
        <f>IFERROR(__xludf.DUMMYFUNCTION("""COMPUTED_VALUE"""),45140.0849614004)</f>
        <v>45140.08496</v>
      </c>
      <c r="D437" s="15">
        <f>IFERROR(__xludf.DUMMYFUNCTION("""COMPUTED_VALUE"""),0.998)</f>
        <v>0.998</v>
      </c>
      <c r="E437" s="16">
        <f>IFERROR(__xludf.DUMMYFUNCTION("""COMPUTED_VALUE"""),72.0)</f>
        <v>72</v>
      </c>
      <c r="F437" s="19" t="str">
        <f>IFERROR(__xludf.DUMMYFUNCTION("""COMPUTED_VALUE"""),"BLUE")</f>
        <v>BLUE</v>
      </c>
      <c r="G437" s="20" t="str">
        <f>IFERROR(__xludf.DUMMYFUNCTION("""COMPUTED_VALUE"""),"Uncle Sams Cider (04/04/2023)")</f>
        <v>Uncle Sams Cider (04/04/2023)</v>
      </c>
      <c r="H437" s="19"/>
    </row>
    <row r="438">
      <c r="A438" s="9"/>
      <c r="B438" s="15"/>
      <c r="C438" s="9">
        <f>IFERROR(__xludf.DUMMYFUNCTION("""COMPUTED_VALUE"""),45140.0745408333)</f>
        <v>45140.07454</v>
      </c>
      <c r="D438" s="15">
        <f>IFERROR(__xludf.DUMMYFUNCTION("""COMPUTED_VALUE"""),0.998)</f>
        <v>0.998</v>
      </c>
      <c r="E438" s="16">
        <f>IFERROR(__xludf.DUMMYFUNCTION("""COMPUTED_VALUE"""),72.0)</f>
        <v>72</v>
      </c>
      <c r="F438" s="19" t="str">
        <f>IFERROR(__xludf.DUMMYFUNCTION("""COMPUTED_VALUE"""),"BLUE")</f>
        <v>BLUE</v>
      </c>
      <c r="G438" s="20" t="str">
        <f>IFERROR(__xludf.DUMMYFUNCTION("""COMPUTED_VALUE"""),"Uncle Sams Cider (04/04/2023)")</f>
        <v>Uncle Sams Cider (04/04/2023)</v>
      </c>
      <c r="H438" s="19"/>
    </row>
    <row r="439">
      <c r="A439" s="9"/>
      <c r="B439" s="15"/>
      <c r="C439" s="9">
        <f>IFERROR(__xludf.DUMMYFUNCTION("""COMPUTED_VALUE"""),45140.0641204398)</f>
        <v>45140.06412</v>
      </c>
      <c r="D439" s="15">
        <f>IFERROR(__xludf.DUMMYFUNCTION("""COMPUTED_VALUE"""),0.998)</f>
        <v>0.998</v>
      </c>
      <c r="E439" s="16">
        <f>IFERROR(__xludf.DUMMYFUNCTION("""COMPUTED_VALUE"""),72.0)</f>
        <v>72</v>
      </c>
      <c r="F439" s="19" t="str">
        <f>IFERROR(__xludf.DUMMYFUNCTION("""COMPUTED_VALUE"""),"BLUE")</f>
        <v>BLUE</v>
      </c>
      <c r="G439" s="20" t="str">
        <f>IFERROR(__xludf.DUMMYFUNCTION("""COMPUTED_VALUE"""),"Uncle Sams Cider (04/04/2023)")</f>
        <v>Uncle Sams Cider (04/04/2023)</v>
      </c>
      <c r="H439" s="19"/>
    </row>
    <row r="440">
      <c r="A440" s="9"/>
      <c r="B440" s="15"/>
      <c r="C440" s="9">
        <f>IFERROR(__xludf.DUMMYFUNCTION("""COMPUTED_VALUE"""),45140.0536998379)</f>
        <v>45140.0537</v>
      </c>
      <c r="D440" s="15">
        <f>IFERROR(__xludf.DUMMYFUNCTION("""COMPUTED_VALUE"""),0.998)</f>
        <v>0.998</v>
      </c>
      <c r="E440" s="16">
        <f>IFERROR(__xludf.DUMMYFUNCTION("""COMPUTED_VALUE"""),72.0)</f>
        <v>72</v>
      </c>
      <c r="F440" s="19" t="str">
        <f>IFERROR(__xludf.DUMMYFUNCTION("""COMPUTED_VALUE"""),"BLUE")</f>
        <v>BLUE</v>
      </c>
      <c r="G440" s="20" t="str">
        <f>IFERROR(__xludf.DUMMYFUNCTION("""COMPUTED_VALUE"""),"Uncle Sams Cider (04/04/2023)")</f>
        <v>Uncle Sams Cider (04/04/2023)</v>
      </c>
      <c r="H440" s="19"/>
    </row>
    <row r="441">
      <c r="A441" s="9"/>
      <c r="B441" s="15"/>
      <c r="C441" s="9">
        <f>IFERROR(__xludf.DUMMYFUNCTION("""COMPUTED_VALUE"""),45140.0432780324)</f>
        <v>45140.04328</v>
      </c>
      <c r="D441" s="15">
        <f>IFERROR(__xludf.DUMMYFUNCTION("""COMPUTED_VALUE"""),0.998)</f>
        <v>0.998</v>
      </c>
      <c r="E441" s="16">
        <f>IFERROR(__xludf.DUMMYFUNCTION("""COMPUTED_VALUE"""),72.0)</f>
        <v>72</v>
      </c>
      <c r="F441" s="19" t="str">
        <f>IFERROR(__xludf.DUMMYFUNCTION("""COMPUTED_VALUE"""),"BLUE")</f>
        <v>BLUE</v>
      </c>
      <c r="G441" s="20" t="str">
        <f>IFERROR(__xludf.DUMMYFUNCTION("""COMPUTED_VALUE"""),"Uncle Sams Cider (04/04/2023)")</f>
        <v>Uncle Sams Cider (04/04/2023)</v>
      </c>
      <c r="H441" s="19"/>
    </row>
    <row r="442">
      <c r="A442" s="9"/>
      <c r="B442" s="15"/>
      <c r="C442" s="9">
        <f>IFERROR(__xludf.DUMMYFUNCTION("""COMPUTED_VALUE"""),45140.0328573842)</f>
        <v>45140.03286</v>
      </c>
      <c r="D442" s="15">
        <f>IFERROR(__xludf.DUMMYFUNCTION("""COMPUTED_VALUE"""),0.998)</f>
        <v>0.998</v>
      </c>
      <c r="E442" s="16">
        <f>IFERROR(__xludf.DUMMYFUNCTION("""COMPUTED_VALUE"""),72.0)</f>
        <v>72</v>
      </c>
      <c r="F442" s="19" t="str">
        <f>IFERROR(__xludf.DUMMYFUNCTION("""COMPUTED_VALUE"""),"BLUE")</f>
        <v>BLUE</v>
      </c>
      <c r="G442" s="20" t="str">
        <f>IFERROR(__xludf.DUMMYFUNCTION("""COMPUTED_VALUE"""),"Uncle Sams Cider (04/04/2023)")</f>
        <v>Uncle Sams Cider (04/04/2023)</v>
      </c>
      <c r="H442" s="19"/>
    </row>
    <row r="443">
      <c r="A443" s="9"/>
      <c r="B443" s="15"/>
      <c r="C443" s="9">
        <f>IFERROR(__xludf.DUMMYFUNCTION("""COMPUTED_VALUE"""),45140.0224344097)</f>
        <v>45140.02243</v>
      </c>
      <c r="D443" s="15">
        <f>IFERROR(__xludf.DUMMYFUNCTION("""COMPUTED_VALUE"""),0.998)</f>
        <v>0.998</v>
      </c>
      <c r="E443" s="16">
        <f>IFERROR(__xludf.DUMMYFUNCTION("""COMPUTED_VALUE"""),72.0)</f>
        <v>72</v>
      </c>
      <c r="F443" s="19" t="str">
        <f>IFERROR(__xludf.DUMMYFUNCTION("""COMPUTED_VALUE"""),"BLUE")</f>
        <v>BLUE</v>
      </c>
      <c r="G443" s="20" t="str">
        <f>IFERROR(__xludf.DUMMYFUNCTION("""COMPUTED_VALUE"""),"Uncle Sams Cider (04/04/2023)")</f>
        <v>Uncle Sams Cider (04/04/2023)</v>
      </c>
      <c r="H443" s="19"/>
    </row>
    <row r="444">
      <c r="A444" s="9"/>
      <c r="B444" s="15"/>
      <c r="C444" s="9">
        <f>IFERROR(__xludf.DUMMYFUNCTION("""COMPUTED_VALUE"""),45140.0120136689)</f>
        <v>45140.01201</v>
      </c>
      <c r="D444" s="15">
        <f>IFERROR(__xludf.DUMMYFUNCTION("""COMPUTED_VALUE"""),0.998)</f>
        <v>0.998</v>
      </c>
      <c r="E444" s="16">
        <f>IFERROR(__xludf.DUMMYFUNCTION("""COMPUTED_VALUE"""),72.0)</f>
        <v>72</v>
      </c>
      <c r="F444" s="19" t="str">
        <f>IFERROR(__xludf.DUMMYFUNCTION("""COMPUTED_VALUE"""),"BLUE")</f>
        <v>BLUE</v>
      </c>
      <c r="G444" s="20" t="str">
        <f>IFERROR(__xludf.DUMMYFUNCTION("""COMPUTED_VALUE"""),"Uncle Sams Cider (04/04/2023)")</f>
        <v>Uncle Sams Cider (04/04/2023)</v>
      </c>
      <c r="H444" s="19"/>
    </row>
    <row r="445">
      <c r="A445" s="9"/>
      <c r="B445" s="15"/>
      <c r="C445" s="9">
        <f>IFERROR(__xludf.DUMMYFUNCTION("""COMPUTED_VALUE"""),45140.0015933912)</f>
        <v>45140.00159</v>
      </c>
      <c r="D445" s="15">
        <f>IFERROR(__xludf.DUMMYFUNCTION("""COMPUTED_VALUE"""),0.998)</f>
        <v>0.998</v>
      </c>
      <c r="E445" s="16">
        <f>IFERROR(__xludf.DUMMYFUNCTION("""COMPUTED_VALUE"""),72.0)</f>
        <v>72</v>
      </c>
      <c r="F445" s="19" t="str">
        <f>IFERROR(__xludf.DUMMYFUNCTION("""COMPUTED_VALUE"""),"BLUE")</f>
        <v>BLUE</v>
      </c>
      <c r="G445" s="20" t="str">
        <f>IFERROR(__xludf.DUMMYFUNCTION("""COMPUTED_VALUE"""),"Uncle Sams Cider (04/04/2023)")</f>
        <v>Uncle Sams Cider (04/04/2023)</v>
      </c>
      <c r="H445" s="19"/>
    </row>
    <row r="446">
      <c r="A446" s="9"/>
      <c r="B446" s="15"/>
      <c r="C446" s="9">
        <f>IFERROR(__xludf.DUMMYFUNCTION("""COMPUTED_VALUE"""),45139.99117103)</f>
        <v>45139.99117</v>
      </c>
      <c r="D446" s="15">
        <f>IFERROR(__xludf.DUMMYFUNCTION("""COMPUTED_VALUE"""),0.998)</f>
        <v>0.998</v>
      </c>
      <c r="E446" s="16">
        <f>IFERROR(__xludf.DUMMYFUNCTION("""COMPUTED_VALUE"""),72.0)</f>
        <v>72</v>
      </c>
      <c r="F446" s="19" t="str">
        <f>IFERROR(__xludf.DUMMYFUNCTION("""COMPUTED_VALUE"""),"BLUE")</f>
        <v>BLUE</v>
      </c>
      <c r="G446" s="20" t="str">
        <f>IFERROR(__xludf.DUMMYFUNCTION("""COMPUTED_VALUE"""),"Uncle Sams Cider (04/04/2023)")</f>
        <v>Uncle Sams Cider (04/04/2023)</v>
      </c>
      <c r="H446" s="19"/>
    </row>
    <row r="447">
      <c r="A447" s="9"/>
      <c r="B447" s="15"/>
      <c r="C447" s="9">
        <f>IFERROR(__xludf.DUMMYFUNCTION("""COMPUTED_VALUE"""),45139.9807487384)</f>
        <v>45139.98075</v>
      </c>
      <c r="D447" s="15">
        <f>IFERROR(__xludf.DUMMYFUNCTION("""COMPUTED_VALUE"""),0.998)</f>
        <v>0.998</v>
      </c>
      <c r="E447" s="16">
        <f>IFERROR(__xludf.DUMMYFUNCTION("""COMPUTED_VALUE"""),72.0)</f>
        <v>72</v>
      </c>
      <c r="F447" s="19" t="str">
        <f>IFERROR(__xludf.DUMMYFUNCTION("""COMPUTED_VALUE"""),"BLUE")</f>
        <v>BLUE</v>
      </c>
      <c r="G447" s="20" t="str">
        <f>IFERROR(__xludf.DUMMYFUNCTION("""COMPUTED_VALUE"""),"Uncle Sams Cider (04/04/2023)")</f>
        <v>Uncle Sams Cider (04/04/2023)</v>
      </c>
      <c r="H447" s="19"/>
    </row>
    <row r="448">
      <c r="A448" s="9"/>
      <c r="B448" s="15"/>
      <c r="C448" s="9">
        <f>IFERROR(__xludf.DUMMYFUNCTION("""COMPUTED_VALUE"""),45139.9703272569)</f>
        <v>45139.97033</v>
      </c>
      <c r="D448" s="15">
        <f>IFERROR(__xludf.DUMMYFUNCTION("""COMPUTED_VALUE"""),0.998)</f>
        <v>0.998</v>
      </c>
      <c r="E448" s="16">
        <f>IFERROR(__xludf.DUMMYFUNCTION("""COMPUTED_VALUE"""),72.0)</f>
        <v>72</v>
      </c>
      <c r="F448" s="19" t="str">
        <f>IFERROR(__xludf.DUMMYFUNCTION("""COMPUTED_VALUE"""),"BLUE")</f>
        <v>BLUE</v>
      </c>
      <c r="G448" s="20" t="str">
        <f>IFERROR(__xludf.DUMMYFUNCTION("""COMPUTED_VALUE"""),"Uncle Sams Cider (04/04/2023)")</f>
        <v>Uncle Sams Cider (04/04/2023)</v>
      </c>
      <c r="H448" s="19"/>
    </row>
    <row r="449">
      <c r="A449" s="9"/>
      <c r="B449" s="15"/>
      <c r="C449" s="9">
        <f>IFERROR(__xludf.DUMMYFUNCTION("""COMPUTED_VALUE"""),45139.9599056597)</f>
        <v>45139.95991</v>
      </c>
      <c r="D449" s="15">
        <f>IFERROR(__xludf.DUMMYFUNCTION("""COMPUTED_VALUE"""),0.998)</f>
        <v>0.998</v>
      </c>
      <c r="E449" s="16">
        <f>IFERROR(__xludf.DUMMYFUNCTION("""COMPUTED_VALUE"""),72.0)</f>
        <v>72</v>
      </c>
      <c r="F449" s="19" t="str">
        <f>IFERROR(__xludf.DUMMYFUNCTION("""COMPUTED_VALUE"""),"BLUE")</f>
        <v>BLUE</v>
      </c>
      <c r="G449" s="20" t="str">
        <f>IFERROR(__xludf.DUMMYFUNCTION("""COMPUTED_VALUE"""),"Uncle Sams Cider (04/04/2023)")</f>
        <v>Uncle Sams Cider (04/04/2023)</v>
      </c>
      <c r="H449" s="19"/>
    </row>
    <row r="450">
      <c r="A450" s="9"/>
      <c r="B450" s="15"/>
      <c r="C450" s="9">
        <f>IFERROR(__xludf.DUMMYFUNCTION("""COMPUTED_VALUE"""),45139.9494851388)</f>
        <v>45139.94949</v>
      </c>
      <c r="D450" s="15">
        <f>IFERROR(__xludf.DUMMYFUNCTION("""COMPUTED_VALUE"""),0.998)</f>
        <v>0.998</v>
      </c>
      <c r="E450" s="16">
        <f>IFERROR(__xludf.DUMMYFUNCTION("""COMPUTED_VALUE"""),72.0)</f>
        <v>72</v>
      </c>
      <c r="F450" s="19" t="str">
        <f>IFERROR(__xludf.DUMMYFUNCTION("""COMPUTED_VALUE"""),"BLUE")</f>
        <v>BLUE</v>
      </c>
      <c r="G450" s="20" t="str">
        <f>IFERROR(__xludf.DUMMYFUNCTION("""COMPUTED_VALUE"""),"Uncle Sams Cider (04/04/2023)")</f>
        <v>Uncle Sams Cider (04/04/2023)</v>
      </c>
      <c r="H450" s="19"/>
    </row>
    <row r="451">
      <c r="A451" s="9"/>
      <c r="B451" s="15"/>
      <c r="C451" s="9">
        <f>IFERROR(__xludf.DUMMYFUNCTION("""COMPUTED_VALUE"""),45139.9390648148)</f>
        <v>45139.93906</v>
      </c>
      <c r="D451" s="15">
        <f>IFERROR(__xludf.DUMMYFUNCTION("""COMPUTED_VALUE"""),0.998)</f>
        <v>0.998</v>
      </c>
      <c r="E451" s="16">
        <f>IFERROR(__xludf.DUMMYFUNCTION("""COMPUTED_VALUE"""),72.0)</f>
        <v>72</v>
      </c>
      <c r="F451" s="19" t="str">
        <f>IFERROR(__xludf.DUMMYFUNCTION("""COMPUTED_VALUE"""),"BLUE")</f>
        <v>BLUE</v>
      </c>
      <c r="G451" s="20" t="str">
        <f>IFERROR(__xludf.DUMMYFUNCTION("""COMPUTED_VALUE"""),"Uncle Sams Cider (04/04/2023)")</f>
        <v>Uncle Sams Cider (04/04/2023)</v>
      </c>
      <c r="H451" s="19"/>
    </row>
    <row r="452">
      <c r="A452" s="9"/>
      <c r="B452" s="15"/>
      <c r="C452" s="9">
        <f>IFERROR(__xludf.DUMMYFUNCTION("""COMPUTED_VALUE"""),45139.9286202662)</f>
        <v>45139.92862</v>
      </c>
      <c r="D452" s="15">
        <f>IFERROR(__xludf.DUMMYFUNCTION("""COMPUTED_VALUE"""),0.998)</f>
        <v>0.998</v>
      </c>
      <c r="E452" s="16">
        <f>IFERROR(__xludf.DUMMYFUNCTION("""COMPUTED_VALUE"""),72.0)</f>
        <v>72</v>
      </c>
      <c r="F452" s="19" t="str">
        <f>IFERROR(__xludf.DUMMYFUNCTION("""COMPUTED_VALUE"""),"BLUE")</f>
        <v>BLUE</v>
      </c>
      <c r="G452" s="20" t="str">
        <f>IFERROR(__xludf.DUMMYFUNCTION("""COMPUTED_VALUE"""),"Uncle Sams Cider (04/04/2023)")</f>
        <v>Uncle Sams Cider (04/04/2023)</v>
      </c>
      <c r="H452" s="19"/>
    </row>
    <row r="453">
      <c r="A453" s="9"/>
      <c r="B453" s="15"/>
      <c r="C453" s="9">
        <f>IFERROR(__xludf.DUMMYFUNCTION("""COMPUTED_VALUE"""),45139.9181994907)</f>
        <v>45139.9182</v>
      </c>
      <c r="D453" s="15">
        <f>IFERROR(__xludf.DUMMYFUNCTION("""COMPUTED_VALUE"""),0.998)</f>
        <v>0.998</v>
      </c>
      <c r="E453" s="16">
        <f>IFERROR(__xludf.DUMMYFUNCTION("""COMPUTED_VALUE"""),72.0)</f>
        <v>72</v>
      </c>
      <c r="F453" s="19" t="str">
        <f>IFERROR(__xludf.DUMMYFUNCTION("""COMPUTED_VALUE"""),"BLUE")</f>
        <v>BLUE</v>
      </c>
      <c r="G453" s="20" t="str">
        <f>IFERROR(__xludf.DUMMYFUNCTION("""COMPUTED_VALUE"""),"Uncle Sams Cider (04/04/2023)")</f>
        <v>Uncle Sams Cider (04/04/2023)</v>
      </c>
      <c r="H453" s="19"/>
    </row>
    <row r="454">
      <c r="A454" s="9"/>
      <c r="B454" s="15"/>
      <c r="C454" s="9">
        <f>IFERROR(__xludf.DUMMYFUNCTION("""COMPUTED_VALUE"""),45139.9077786574)</f>
        <v>45139.90778</v>
      </c>
      <c r="D454" s="15">
        <f>IFERROR(__xludf.DUMMYFUNCTION("""COMPUTED_VALUE"""),0.998)</f>
        <v>0.998</v>
      </c>
      <c r="E454" s="16">
        <f>IFERROR(__xludf.DUMMYFUNCTION("""COMPUTED_VALUE"""),72.0)</f>
        <v>72</v>
      </c>
      <c r="F454" s="19" t="str">
        <f>IFERROR(__xludf.DUMMYFUNCTION("""COMPUTED_VALUE"""),"BLUE")</f>
        <v>BLUE</v>
      </c>
      <c r="G454" s="20" t="str">
        <f>IFERROR(__xludf.DUMMYFUNCTION("""COMPUTED_VALUE"""),"Uncle Sams Cider (04/04/2023)")</f>
        <v>Uncle Sams Cider (04/04/2023)</v>
      </c>
      <c r="H454" s="19"/>
    </row>
    <row r="455">
      <c r="A455" s="9"/>
      <c r="B455" s="15"/>
      <c r="C455" s="9">
        <f>IFERROR(__xludf.DUMMYFUNCTION("""COMPUTED_VALUE"""),45139.8973456597)</f>
        <v>45139.89735</v>
      </c>
      <c r="D455" s="15">
        <f>IFERROR(__xludf.DUMMYFUNCTION("""COMPUTED_VALUE"""),0.998)</f>
        <v>0.998</v>
      </c>
      <c r="E455" s="16">
        <f>IFERROR(__xludf.DUMMYFUNCTION("""COMPUTED_VALUE"""),72.0)</f>
        <v>72</v>
      </c>
      <c r="F455" s="19" t="str">
        <f>IFERROR(__xludf.DUMMYFUNCTION("""COMPUTED_VALUE"""),"BLUE")</f>
        <v>BLUE</v>
      </c>
      <c r="G455" s="20" t="str">
        <f>IFERROR(__xludf.DUMMYFUNCTION("""COMPUTED_VALUE"""),"Uncle Sams Cider (04/04/2023)")</f>
        <v>Uncle Sams Cider (04/04/2023)</v>
      </c>
      <c r="H455" s="19"/>
    </row>
    <row r="456">
      <c r="A456" s="9"/>
      <c r="B456" s="15"/>
      <c r="C456" s="9">
        <f>IFERROR(__xludf.DUMMYFUNCTION("""COMPUTED_VALUE"""),45139.8869253009)</f>
        <v>45139.88693</v>
      </c>
      <c r="D456" s="15">
        <f>IFERROR(__xludf.DUMMYFUNCTION("""COMPUTED_VALUE"""),0.998)</f>
        <v>0.998</v>
      </c>
      <c r="E456" s="16">
        <f>IFERROR(__xludf.DUMMYFUNCTION("""COMPUTED_VALUE"""),72.0)</f>
        <v>72</v>
      </c>
      <c r="F456" s="19" t="str">
        <f>IFERROR(__xludf.DUMMYFUNCTION("""COMPUTED_VALUE"""),"BLUE")</f>
        <v>BLUE</v>
      </c>
      <c r="G456" s="20" t="str">
        <f>IFERROR(__xludf.DUMMYFUNCTION("""COMPUTED_VALUE"""),"Uncle Sams Cider (04/04/2023)")</f>
        <v>Uncle Sams Cider (04/04/2023)</v>
      </c>
      <c r="H456" s="19"/>
    </row>
    <row r="457">
      <c r="A457" s="9"/>
      <c r="B457" s="15"/>
      <c r="C457" s="9">
        <f>IFERROR(__xludf.DUMMYFUNCTION("""COMPUTED_VALUE"""),45139.8765042361)</f>
        <v>45139.8765</v>
      </c>
      <c r="D457" s="15">
        <f>IFERROR(__xludf.DUMMYFUNCTION("""COMPUTED_VALUE"""),0.998)</f>
        <v>0.998</v>
      </c>
      <c r="E457" s="16">
        <f>IFERROR(__xludf.DUMMYFUNCTION("""COMPUTED_VALUE"""),72.0)</f>
        <v>72</v>
      </c>
      <c r="F457" s="19" t="str">
        <f>IFERROR(__xludf.DUMMYFUNCTION("""COMPUTED_VALUE"""),"BLUE")</f>
        <v>BLUE</v>
      </c>
      <c r="G457" s="20" t="str">
        <f>IFERROR(__xludf.DUMMYFUNCTION("""COMPUTED_VALUE"""),"Uncle Sams Cider (04/04/2023)")</f>
        <v>Uncle Sams Cider (04/04/2023)</v>
      </c>
      <c r="H457" s="19"/>
    </row>
    <row r="458">
      <c r="A458" s="9"/>
      <c r="B458" s="15"/>
      <c r="C458" s="9">
        <f>IFERROR(__xludf.DUMMYFUNCTION("""COMPUTED_VALUE"""),45139.8660843171)</f>
        <v>45139.86608</v>
      </c>
      <c r="D458" s="15">
        <f>IFERROR(__xludf.DUMMYFUNCTION("""COMPUTED_VALUE"""),0.998)</f>
        <v>0.998</v>
      </c>
      <c r="E458" s="16">
        <f>IFERROR(__xludf.DUMMYFUNCTION("""COMPUTED_VALUE"""),72.0)</f>
        <v>72</v>
      </c>
      <c r="F458" s="19" t="str">
        <f>IFERROR(__xludf.DUMMYFUNCTION("""COMPUTED_VALUE"""),"BLUE")</f>
        <v>BLUE</v>
      </c>
      <c r="G458" s="20" t="str">
        <f>IFERROR(__xludf.DUMMYFUNCTION("""COMPUTED_VALUE"""),"Uncle Sams Cider (04/04/2023)")</f>
        <v>Uncle Sams Cider (04/04/2023)</v>
      </c>
      <c r="H458" s="19"/>
    </row>
    <row r="459">
      <c r="A459" s="9"/>
      <c r="B459" s="15"/>
      <c r="C459" s="9">
        <f>IFERROR(__xludf.DUMMYFUNCTION("""COMPUTED_VALUE"""),45139.8556617708)</f>
        <v>45139.85566</v>
      </c>
      <c r="D459" s="15">
        <f>IFERROR(__xludf.DUMMYFUNCTION("""COMPUTED_VALUE"""),0.998)</f>
        <v>0.998</v>
      </c>
      <c r="E459" s="16">
        <f>IFERROR(__xludf.DUMMYFUNCTION("""COMPUTED_VALUE"""),72.0)</f>
        <v>72</v>
      </c>
      <c r="F459" s="19" t="str">
        <f>IFERROR(__xludf.DUMMYFUNCTION("""COMPUTED_VALUE"""),"BLUE")</f>
        <v>BLUE</v>
      </c>
      <c r="G459" s="20" t="str">
        <f>IFERROR(__xludf.DUMMYFUNCTION("""COMPUTED_VALUE"""),"Uncle Sams Cider (04/04/2023)")</f>
        <v>Uncle Sams Cider (04/04/2023)</v>
      </c>
      <c r="H459" s="19"/>
    </row>
    <row r="460">
      <c r="A460" s="9"/>
      <c r="B460" s="15"/>
      <c r="C460" s="9">
        <f>IFERROR(__xludf.DUMMYFUNCTION("""COMPUTED_VALUE"""),45139.8452424652)</f>
        <v>45139.84524</v>
      </c>
      <c r="D460" s="15">
        <f>IFERROR(__xludf.DUMMYFUNCTION("""COMPUTED_VALUE"""),0.998)</f>
        <v>0.998</v>
      </c>
      <c r="E460" s="16">
        <f>IFERROR(__xludf.DUMMYFUNCTION("""COMPUTED_VALUE"""),72.0)</f>
        <v>72</v>
      </c>
      <c r="F460" s="19" t="str">
        <f>IFERROR(__xludf.DUMMYFUNCTION("""COMPUTED_VALUE"""),"BLUE")</f>
        <v>BLUE</v>
      </c>
      <c r="G460" s="20" t="str">
        <f>IFERROR(__xludf.DUMMYFUNCTION("""COMPUTED_VALUE"""),"Uncle Sams Cider (04/04/2023)")</f>
        <v>Uncle Sams Cider (04/04/2023)</v>
      </c>
      <c r="H460" s="19"/>
    </row>
    <row r="461">
      <c r="A461" s="9"/>
      <c r="B461" s="15"/>
      <c r="C461" s="9">
        <f>IFERROR(__xludf.DUMMYFUNCTION("""COMPUTED_VALUE"""),45139.8348223958)</f>
        <v>45139.83482</v>
      </c>
      <c r="D461" s="15">
        <f>IFERROR(__xludf.DUMMYFUNCTION("""COMPUTED_VALUE"""),0.998)</f>
        <v>0.998</v>
      </c>
      <c r="E461" s="16">
        <f>IFERROR(__xludf.DUMMYFUNCTION("""COMPUTED_VALUE"""),72.0)</f>
        <v>72</v>
      </c>
      <c r="F461" s="19" t="str">
        <f>IFERROR(__xludf.DUMMYFUNCTION("""COMPUTED_VALUE"""),"BLUE")</f>
        <v>BLUE</v>
      </c>
      <c r="G461" s="20" t="str">
        <f>IFERROR(__xludf.DUMMYFUNCTION("""COMPUTED_VALUE"""),"Uncle Sams Cider (04/04/2023)")</f>
        <v>Uncle Sams Cider (04/04/2023)</v>
      </c>
      <c r="H461" s="19"/>
    </row>
    <row r="462">
      <c r="A462" s="9"/>
      <c r="B462" s="15"/>
      <c r="C462" s="9">
        <f>IFERROR(__xludf.DUMMYFUNCTION("""COMPUTED_VALUE"""),45139.8244001388)</f>
        <v>45139.8244</v>
      </c>
      <c r="D462" s="15">
        <f>IFERROR(__xludf.DUMMYFUNCTION("""COMPUTED_VALUE"""),0.998)</f>
        <v>0.998</v>
      </c>
      <c r="E462" s="16">
        <f>IFERROR(__xludf.DUMMYFUNCTION("""COMPUTED_VALUE"""),72.0)</f>
        <v>72</v>
      </c>
      <c r="F462" s="19" t="str">
        <f>IFERROR(__xludf.DUMMYFUNCTION("""COMPUTED_VALUE"""),"BLUE")</f>
        <v>BLUE</v>
      </c>
      <c r="G462" s="20" t="str">
        <f>IFERROR(__xludf.DUMMYFUNCTION("""COMPUTED_VALUE"""),"Uncle Sams Cider (04/04/2023)")</f>
        <v>Uncle Sams Cider (04/04/2023)</v>
      </c>
      <c r="H462" s="19"/>
    </row>
    <row r="463">
      <c r="A463" s="9"/>
      <c r="B463" s="15"/>
      <c r="C463" s="9">
        <f>IFERROR(__xludf.DUMMYFUNCTION("""COMPUTED_VALUE"""),45139.813979375)</f>
        <v>45139.81398</v>
      </c>
      <c r="D463" s="15">
        <f>IFERROR(__xludf.DUMMYFUNCTION("""COMPUTED_VALUE"""),0.998)</f>
        <v>0.998</v>
      </c>
      <c r="E463" s="16">
        <f>IFERROR(__xludf.DUMMYFUNCTION("""COMPUTED_VALUE"""),72.0)</f>
        <v>72</v>
      </c>
      <c r="F463" s="19" t="str">
        <f>IFERROR(__xludf.DUMMYFUNCTION("""COMPUTED_VALUE"""),"BLUE")</f>
        <v>BLUE</v>
      </c>
      <c r="G463" s="20" t="str">
        <f>IFERROR(__xludf.DUMMYFUNCTION("""COMPUTED_VALUE"""),"Uncle Sams Cider (04/04/2023)")</f>
        <v>Uncle Sams Cider (04/04/2023)</v>
      </c>
      <c r="H463" s="19"/>
    </row>
    <row r="464">
      <c r="A464" s="9"/>
      <c r="B464" s="15"/>
      <c r="C464" s="9">
        <f>IFERROR(__xludf.DUMMYFUNCTION("""COMPUTED_VALUE"""),45139.8035582176)</f>
        <v>45139.80356</v>
      </c>
      <c r="D464" s="15">
        <f>IFERROR(__xludf.DUMMYFUNCTION("""COMPUTED_VALUE"""),0.998)</f>
        <v>0.998</v>
      </c>
      <c r="E464" s="16">
        <f>IFERROR(__xludf.DUMMYFUNCTION("""COMPUTED_VALUE"""),72.0)</f>
        <v>72</v>
      </c>
      <c r="F464" s="19" t="str">
        <f>IFERROR(__xludf.DUMMYFUNCTION("""COMPUTED_VALUE"""),"BLUE")</f>
        <v>BLUE</v>
      </c>
      <c r="G464" s="20" t="str">
        <f>IFERROR(__xludf.DUMMYFUNCTION("""COMPUTED_VALUE"""),"Uncle Sams Cider (04/04/2023)")</f>
        <v>Uncle Sams Cider (04/04/2023)</v>
      </c>
      <c r="H464" s="19"/>
    </row>
    <row r="465">
      <c r="A465" s="9"/>
      <c r="B465" s="15"/>
      <c r="C465" s="9">
        <f>IFERROR(__xludf.DUMMYFUNCTION("""COMPUTED_VALUE"""),45139.7931256134)</f>
        <v>45139.79313</v>
      </c>
      <c r="D465" s="15">
        <f>IFERROR(__xludf.DUMMYFUNCTION("""COMPUTED_VALUE"""),0.998)</f>
        <v>0.998</v>
      </c>
      <c r="E465" s="16">
        <f>IFERROR(__xludf.DUMMYFUNCTION("""COMPUTED_VALUE"""),72.0)</f>
        <v>72</v>
      </c>
      <c r="F465" s="19" t="str">
        <f>IFERROR(__xludf.DUMMYFUNCTION("""COMPUTED_VALUE"""),"BLUE")</f>
        <v>BLUE</v>
      </c>
      <c r="G465" s="20" t="str">
        <f>IFERROR(__xludf.DUMMYFUNCTION("""COMPUTED_VALUE"""),"Uncle Sams Cider (04/04/2023)")</f>
        <v>Uncle Sams Cider (04/04/2023)</v>
      </c>
      <c r="H465" s="19"/>
    </row>
    <row r="466">
      <c r="A466" s="9"/>
      <c r="B466" s="15"/>
      <c r="C466" s="9">
        <f>IFERROR(__xludf.DUMMYFUNCTION("""COMPUTED_VALUE"""),45139.7826916898)</f>
        <v>45139.78269</v>
      </c>
      <c r="D466" s="15">
        <f>IFERROR(__xludf.DUMMYFUNCTION("""COMPUTED_VALUE"""),0.998)</f>
        <v>0.998</v>
      </c>
      <c r="E466" s="16">
        <f>IFERROR(__xludf.DUMMYFUNCTION("""COMPUTED_VALUE"""),72.0)</f>
        <v>72</v>
      </c>
      <c r="F466" s="19" t="str">
        <f>IFERROR(__xludf.DUMMYFUNCTION("""COMPUTED_VALUE"""),"BLUE")</f>
        <v>BLUE</v>
      </c>
      <c r="G466" s="20" t="str">
        <f>IFERROR(__xludf.DUMMYFUNCTION("""COMPUTED_VALUE"""),"Uncle Sams Cider (04/04/2023)")</f>
        <v>Uncle Sams Cider (04/04/2023)</v>
      </c>
      <c r="H466" s="19"/>
    </row>
    <row r="467">
      <c r="A467" s="9"/>
      <c r="B467" s="15"/>
      <c r="C467" s="9">
        <f>IFERROR(__xludf.DUMMYFUNCTION("""COMPUTED_VALUE"""),45139.7722590277)</f>
        <v>45139.77226</v>
      </c>
      <c r="D467" s="15">
        <f>IFERROR(__xludf.DUMMYFUNCTION("""COMPUTED_VALUE"""),0.998)</f>
        <v>0.998</v>
      </c>
      <c r="E467" s="16">
        <f>IFERROR(__xludf.DUMMYFUNCTION("""COMPUTED_VALUE"""),72.0)</f>
        <v>72</v>
      </c>
      <c r="F467" s="19" t="str">
        <f>IFERROR(__xludf.DUMMYFUNCTION("""COMPUTED_VALUE"""),"BLUE")</f>
        <v>BLUE</v>
      </c>
      <c r="G467" s="20" t="str">
        <f>IFERROR(__xludf.DUMMYFUNCTION("""COMPUTED_VALUE"""),"Uncle Sams Cider (04/04/2023)")</f>
        <v>Uncle Sams Cider (04/04/2023)</v>
      </c>
      <c r="H467" s="19"/>
    </row>
    <row r="468">
      <c r="A468" s="9"/>
      <c r="B468" s="15"/>
      <c r="C468" s="9">
        <f>IFERROR(__xludf.DUMMYFUNCTION("""COMPUTED_VALUE"""),45139.7618376736)</f>
        <v>45139.76184</v>
      </c>
      <c r="D468" s="15">
        <f>IFERROR(__xludf.DUMMYFUNCTION("""COMPUTED_VALUE"""),0.998)</f>
        <v>0.998</v>
      </c>
      <c r="E468" s="16">
        <f>IFERROR(__xludf.DUMMYFUNCTION("""COMPUTED_VALUE"""),72.0)</f>
        <v>72</v>
      </c>
      <c r="F468" s="19" t="str">
        <f>IFERROR(__xludf.DUMMYFUNCTION("""COMPUTED_VALUE"""),"BLUE")</f>
        <v>BLUE</v>
      </c>
      <c r="G468" s="20" t="str">
        <f>IFERROR(__xludf.DUMMYFUNCTION("""COMPUTED_VALUE"""),"Uncle Sams Cider (04/04/2023)")</f>
        <v>Uncle Sams Cider (04/04/2023)</v>
      </c>
      <c r="H468" s="19"/>
    </row>
    <row r="469">
      <c r="A469" s="9"/>
      <c r="B469" s="15"/>
      <c r="C469" s="9">
        <f>IFERROR(__xludf.DUMMYFUNCTION("""COMPUTED_VALUE"""),45139.7514141551)</f>
        <v>45139.75141</v>
      </c>
      <c r="D469" s="15">
        <f>IFERROR(__xludf.DUMMYFUNCTION("""COMPUTED_VALUE"""),0.998)</f>
        <v>0.998</v>
      </c>
      <c r="E469" s="16">
        <f>IFERROR(__xludf.DUMMYFUNCTION("""COMPUTED_VALUE"""),72.0)</f>
        <v>72</v>
      </c>
      <c r="F469" s="19" t="str">
        <f>IFERROR(__xludf.DUMMYFUNCTION("""COMPUTED_VALUE"""),"BLUE")</f>
        <v>BLUE</v>
      </c>
      <c r="G469" s="20" t="str">
        <f>IFERROR(__xludf.DUMMYFUNCTION("""COMPUTED_VALUE"""),"Uncle Sams Cider (04/04/2023)")</f>
        <v>Uncle Sams Cider (04/04/2023)</v>
      </c>
      <c r="H469" s="19"/>
    </row>
    <row r="470">
      <c r="A470" s="9"/>
      <c r="B470" s="15"/>
      <c r="C470" s="9">
        <f>IFERROR(__xludf.DUMMYFUNCTION("""COMPUTED_VALUE"""),45139.7409817013)</f>
        <v>45139.74098</v>
      </c>
      <c r="D470" s="15">
        <f>IFERROR(__xludf.DUMMYFUNCTION("""COMPUTED_VALUE"""),0.998)</f>
        <v>0.998</v>
      </c>
      <c r="E470" s="16">
        <f>IFERROR(__xludf.DUMMYFUNCTION("""COMPUTED_VALUE"""),72.0)</f>
        <v>72</v>
      </c>
      <c r="F470" s="19" t="str">
        <f>IFERROR(__xludf.DUMMYFUNCTION("""COMPUTED_VALUE"""),"BLUE")</f>
        <v>BLUE</v>
      </c>
      <c r="G470" s="20" t="str">
        <f>IFERROR(__xludf.DUMMYFUNCTION("""COMPUTED_VALUE"""),"Uncle Sams Cider (04/04/2023)")</f>
        <v>Uncle Sams Cider (04/04/2023)</v>
      </c>
      <c r="H470" s="19"/>
    </row>
    <row r="471">
      <c r="A471" s="9"/>
      <c r="B471" s="15"/>
      <c r="C471" s="9">
        <f>IFERROR(__xludf.DUMMYFUNCTION("""COMPUTED_VALUE"""),45139.7305591435)</f>
        <v>45139.73056</v>
      </c>
      <c r="D471" s="15">
        <f>IFERROR(__xludf.DUMMYFUNCTION("""COMPUTED_VALUE"""),0.998)</f>
        <v>0.998</v>
      </c>
      <c r="E471" s="16">
        <f>IFERROR(__xludf.DUMMYFUNCTION("""COMPUTED_VALUE"""),72.0)</f>
        <v>72</v>
      </c>
      <c r="F471" s="19" t="str">
        <f>IFERROR(__xludf.DUMMYFUNCTION("""COMPUTED_VALUE"""),"BLUE")</f>
        <v>BLUE</v>
      </c>
      <c r="G471" s="20" t="str">
        <f>IFERROR(__xludf.DUMMYFUNCTION("""COMPUTED_VALUE"""),"Uncle Sams Cider (04/04/2023)")</f>
        <v>Uncle Sams Cider (04/04/2023)</v>
      </c>
      <c r="H471" s="19"/>
    </row>
    <row r="472">
      <c r="A472" s="9"/>
      <c r="B472" s="15"/>
      <c r="C472" s="9">
        <f>IFERROR(__xludf.DUMMYFUNCTION("""COMPUTED_VALUE"""),45139.7201257176)</f>
        <v>45139.72013</v>
      </c>
      <c r="D472" s="15">
        <f>IFERROR(__xludf.DUMMYFUNCTION("""COMPUTED_VALUE"""),0.998)</f>
        <v>0.998</v>
      </c>
      <c r="E472" s="16">
        <f>IFERROR(__xludf.DUMMYFUNCTION("""COMPUTED_VALUE"""),72.0)</f>
        <v>72</v>
      </c>
      <c r="F472" s="19" t="str">
        <f>IFERROR(__xludf.DUMMYFUNCTION("""COMPUTED_VALUE"""),"BLUE")</f>
        <v>BLUE</v>
      </c>
      <c r="G472" s="20" t="str">
        <f>IFERROR(__xludf.DUMMYFUNCTION("""COMPUTED_VALUE"""),"Uncle Sams Cider (04/04/2023)")</f>
        <v>Uncle Sams Cider (04/04/2023)</v>
      </c>
      <c r="H472" s="19"/>
    </row>
    <row r="473">
      <c r="A473" s="9"/>
      <c r="B473" s="15"/>
      <c r="C473" s="9">
        <f>IFERROR(__xludf.DUMMYFUNCTION("""COMPUTED_VALUE"""),45139.709705868)</f>
        <v>45139.70971</v>
      </c>
      <c r="D473" s="15">
        <f>IFERROR(__xludf.DUMMYFUNCTION("""COMPUTED_VALUE"""),0.998)</f>
        <v>0.998</v>
      </c>
      <c r="E473" s="16">
        <f>IFERROR(__xludf.DUMMYFUNCTION("""COMPUTED_VALUE"""),72.0)</f>
        <v>72</v>
      </c>
      <c r="F473" s="19" t="str">
        <f>IFERROR(__xludf.DUMMYFUNCTION("""COMPUTED_VALUE"""),"BLUE")</f>
        <v>BLUE</v>
      </c>
      <c r="G473" s="20" t="str">
        <f>IFERROR(__xludf.DUMMYFUNCTION("""COMPUTED_VALUE"""),"Uncle Sams Cider (04/04/2023)")</f>
        <v>Uncle Sams Cider (04/04/2023)</v>
      </c>
      <c r="H473" s="19"/>
    </row>
    <row r="474">
      <c r="A474" s="9"/>
      <c r="B474" s="15"/>
      <c r="C474" s="9">
        <f>IFERROR(__xludf.DUMMYFUNCTION("""COMPUTED_VALUE"""),45139.6992743981)</f>
        <v>45139.69927</v>
      </c>
      <c r="D474" s="15">
        <f>IFERROR(__xludf.DUMMYFUNCTION("""COMPUTED_VALUE"""),0.998)</f>
        <v>0.998</v>
      </c>
      <c r="E474" s="16">
        <f>IFERROR(__xludf.DUMMYFUNCTION("""COMPUTED_VALUE"""),72.0)</f>
        <v>72</v>
      </c>
      <c r="F474" s="19" t="str">
        <f>IFERROR(__xludf.DUMMYFUNCTION("""COMPUTED_VALUE"""),"BLUE")</f>
        <v>BLUE</v>
      </c>
      <c r="G474" s="20" t="str">
        <f>IFERROR(__xludf.DUMMYFUNCTION("""COMPUTED_VALUE"""),"Uncle Sams Cider (04/04/2023)")</f>
        <v>Uncle Sams Cider (04/04/2023)</v>
      </c>
      <c r="H474" s="19"/>
    </row>
    <row r="475">
      <c r="A475" s="9"/>
      <c r="B475" s="15"/>
      <c r="C475" s="9">
        <f>IFERROR(__xludf.DUMMYFUNCTION("""COMPUTED_VALUE"""),45139.6888530787)</f>
        <v>45139.68885</v>
      </c>
      <c r="D475" s="15">
        <f>IFERROR(__xludf.DUMMYFUNCTION("""COMPUTED_VALUE"""),0.998)</f>
        <v>0.998</v>
      </c>
      <c r="E475" s="16">
        <f>IFERROR(__xludf.DUMMYFUNCTION("""COMPUTED_VALUE"""),72.0)</f>
        <v>72</v>
      </c>
      <c r="F475" s="19" t="str">
        <f>IFERROR(__xludf.DUMMYFUNCTION("""COMPUTED_VALUE"""),"BLUE")</f>
        <v>BLUE</v>
      </c>
      <c r="G475" s="20" t="str">
        <f>IFERROR(__xludf.DUMMYFUNCTION("""COMPUTED_VALUE"""),"Uncle Sams Cider (04/04/2023)")</f>
        <v>Uncle Sams Cider (04/04/2023)</v>
      </c>
      <c r="H475" s="19"/>
    </row>
    <row r="476">
      <c r="A476" s="9"/>
      <c r="B476" s="15"/>
      <c r="C476" s="9">
        <f>IFERROR(__xludf.DUMMYFUNCTION("""COMPUTED_VALUE"""),45139.6680106018)</f>
        <v>45139.66801</v>
      </c>
      <c r="D476" s="15">
        <f>IFERROR(__xludf.DUMMYFUNCTION("""COMPUTED_VALUE"""),0.998)</f>
        <v>0.998</v>
      </c>
      <c r="E476" s="16">
        <f>IFERROR(__xludf.DUMMYFUNCTION("""COMPUTED_VALUE"""),72.0)</f>
        <v>72</v>
      </c>
      <c r="F476" s="19" t="str">
        <f>IFERROR(__xludf.DUMMYFUNCTION("""COMPUTED_VALUE"""),"BLUE")</f>
        <v>BLUE</v>
      </c>
      <c r="G476" s="20" t="str">
        <f>IFERROR(__xludf.DUMMYFUNCTION("""COMPUTED_VALUE"""),"Uncle Sams Cider (04/04/2023)")</f>
        <v>Uncle Sams Cider (04/04/2023)</v>
      </c>
      <c r="H476" s="19"/>
    </row>
    <row r="477">
      <c r="A477" s="9"/>
      <c r="B477" s="15"/>
      <c r="C477" s="9">
        <f>IFERROR(__xludf.DUMMYFUNCTION("""COMPUTED_VALUE"""),45139.6575893518)</f>
        <v>45139.65759</v>
      </c>
      <c r="D477" s="15">
        <f>IFERROR(__xludf.DUMMYFUNCTION("""COMPUTED_VALUE"""),0.998)</f>
        <v>0.998</v>
      </c>
      <c r="E477" s="16">
        <f>IFERROR(__xludf.DUMMYFUNCTION("""COMPUTED_VALUE"""),72.0)</f>
        <v>72</v>
      </c>
      <c r="F477" s="19" t="str">
        <f>IFERROR(__xludf.DUMMYFUNCTION("""COMPUTED_VALUE"""),"BLUE")</f>
        <v>BLUE</v>
      </c>
      <c r="G477" s="20" t="str">
        <f>IFERROR(__xludf.DUMMYFUNCTION("""COMPUTED_VALUE"""),"Uncle Sams Cider (04/04/2023)")</f>
        <v>Uncle Sams Cider (04/04/2023)</v>
      </c>
      <c r="H477" s="19"/>
    </row>
    <row r="478">
      <c r="A478" s="9"/>
      <c r="B478" s="15"/>
      <c r="C478" s="9">
        <f>IFERROR(__xludf.DUMMYFUNCTION("""COMPUTED_VALUE"""),45139.6471684837)</f>
        <v>45139.64717</v>
      </c>
      <c r="D478" s="15">
        <f>IFERROR(__xludf.DUMMYFUNCTION("""COMPUTED_VALUE"""),0.998)</f>
        <v>0.998</v>
      </c>
      <c r="E478" s="16">
        <f>IFERROR(__xludf.DUMMYFUNCTION("""COMPUTED_VALUE"""),72.0)</f>
        <v>72</v>
      </c>
      <c r="F478" s="19" t="str">
        <f>IFERROR(__xludf.DUMMYFUNCTION("""COMPUTED_VALUE"""),"BLUE")</f>
        <v>BLUE</v>
      </c>
      <c r="G478" s="20" t="str">
        <f>IFERROR(__xludf.DUMMYFUNCTION("""COMPUTED_VALUE"""),"Uncle Sams Cider (04/04/2023)")</f>
        <v>Uncle Sams Cider (04/04/2023)</v>
      </c>
      <c r="H478" s="19"/>
    </row>
    <row r="479">
      <c r="A479" s="9"/>
      <c r="B479" s="15"/>
      <c r="C479" s="9">
        <f>IFERROR(__xludf.DUMMYFUNCTION("""COMPUTED_VALUE"""),45139.6367472685)</f>
        <v>45139.63675</v>
      </c>
      <c r="D479" s="15">
        <f>IFERROR(__xludf.DUMMYFUNCTION("""COMPUTED_VALUE"""),0.998)</f>
        <v>0.998</v>
      </c>
      <c r="E479" s="16">
        <f>IFERROR(__xludf.DUMMYFUNCTION("""COMPUTED_VALUE"""),72.0)</f>
        <v>72</v>
      </c>
      <c r="F479" s="19" t="str">
        <f>IFERROR(__xludf.DUMMYFUNCTION("""COMPUTED_VALUE"""),"BLUE")</f>
        <v>BLUE</v>
      </c>
      <c r="G479" s="20" t="str">
        <f>IFERROR(__xludf.DUMMYFUNCTION("""COMPUTED_VALUE"""),"Uncle Sams Cider (04/04/2023)")</f>
        <v>Uncle Sams Cider (04/04/2023)</v>
      </c>
      <c r="H479" s="19"/>
    </row>
    <row r="480">
      <c r="A480" s="9"/>
      <c r="B480" s="15"/>
      <c r="C480" s="9">
        <f>IFERROR(__xludf.DUMMYFUNCTION("""COMPUTED_VALUE"""),45139.6263265046)</f>
        <v>45139.62633</v>
      </c>
      <c r="D480" s="15">
        <f>IFERROR(__xludf.DUMMYFUNCTION("""COMPUTED_VALUE"""),0.998)</f>
        <v>0.998</v>
      </c>
      <c r="E480" s="16">
        <f>IFERROR(__xludf.DUMMYFUNCTION("""COMPUTED_VALUE"""),72.0)</f>
        <v>72</v>
      </c>
      <c r="F480" s="19" t="str">
        <f>IFERROR(__xludf.DUMMYFUNCTION("""COMPUTED_VALUE"""),"BLUE")</f>
        <v>BLUE</v>
      </c>
      <c r="G480" s="20" t="str">
        <f>IFERROR(__xludf.DUMMYFUNCTION("""COMPUTED_VALUE"""),"Uncle Sams Cider (04/04/2023)")</f>
        <v>Uncle Sams Cider (04/04/2023)</v>
      </c>
      <c r="H480" s="19"/>
    </row>
    <row r="481">
      <c r="A481" s="9"/>
      <c r="B481" s="15"/>
      <c r="C481" s="9">
        <f>IFERROR(__xludf.DUMMYFUNCTION("""COMPUTED_VALUE"""),45139.6159056365)</f>
        <v>45139.61591</v>
      </c>
      <c r="D481" s="15">
        <f>IFERROR(__xludf.DUMMYFUNCTION("""COMPUTED_VALUE"""),0.998)</f>
        <v>0.998</v>
      </c>
      <c r="E481" s="16">
        <f>IFERROR(__xludf.DUMMYFUNCTION("""COMPUTED_VALUE"""),72.0)</f>
        <v>72</v>
      </c>
      <c r="F481" s="19" t="str">
        <f>IFERROR(__xludf.DUMMYFUNCTION("""COMPUTED_VALUE"""),"BLUE")</f>
        <v>BLUE</v>
      </c>
      <c r="G481" s="20" t="str">
        <f>IFERROR(__xludf.DUMMYFUNCTION("""COMPUTED_VALUE"""),"Uncle Sams Cider (04/04/2023)")</f>
        <v>Uncle Sams Cider (04/04/2023)</v>
      </c>
      <c r="H481" s="19"/>
    </row>
    <row r="482">
      <c r="A482" s="9"/>
      <c r="B482" s="15"/>
      <c r="C482" s="9">
        <f>IFERROR(__xludf.DUMMYFUNCTION("""COMPUTED_VALUE"""),45139.6054843749)</f>
        <v>45139.60548</v>
      </c>
      <c r="D482" s="15">
        <f>IFERROR(__xludf.DUMMYFUNCTION("""COMPUTED_VALUE"""),0.998)</f>
        <v>0.998</v>
      </c>
      <c r="E482" s="16">
        <f>IFERROR(__xludf.DUMMYFUNCTION("""COMPUTED_VALUE"""),72.0)</f>
        <v>72</v>
      </c>
      <c r="F482" s="19" t="str">
        <f>IFERROR(__xludf.DUMMYFUNCTION("""COMPUTED_VALUE"""),"BLUE")</f>
        <v>BLUE</v>
      </c>
      <c r="G482" s="20" t="str">
        <f>IFERROR(__xludf.DUMMYFUNCTION("""COMPUTED_VALUE"""),"Uncle Sams Cider (04/04/2023)")</f>
        <v>Uncle Sams Cider (04/04/2023)</v>
      </c>
      <c r="H482" s="19"/>
    </row>
    <row r="483">
      <c r="A483" s="9"/>
      <c r="B483" s="15"/>
      <c r="C483" s="9">
        <f>IFERROR(__xludf.DUMMYFUNCTION("""COMPUTED_VALUE"""),45139.5950643171)</f>
        <v>45139.59506</v>
      </c>
      <c r="D483" s="15">
        <f>IFERROR(__xludf.DUMMYFUNCTION("""COMPUTED_VALUE"""),0.998)</f>
        <v>0.998</v>
      </c>
      <c r="E483" s="16">
        <f>IFERROR(__xludf.DUMMYFUNCTION("""COMPUTED_VALUE"""),72.0)</f>
        <v>72</v>
      </c>
      <c r="F483" s="19" t="str">
        <f>IFERROR(__xludf.DUMMYFUNCTION("""COMPUTED_VALUE"""),"BLUE")</f>
        <v>BLUE</v>
      </c>
      <c r="G483" s="20" t="str">
        <f>IFERROR(__xludf.DUMMYFUNCTION("""COMPUTED_VALUE"""),"Uncle Sams Cider (04/04/2023)")</f>
        <v>Uncle Sams Cider (04/04/2023)</v>
      </c>
      <c r="H483" s="19"/>
    </row>
    <row r="484">
      <c r="A484" s="9"/>
      <c r="B484" s="15"/>
      <c r="C484" s="9">
        <f>IFERROR(__xludf.DUMMYFUNCTION("""COMPUTED_VALUE"""),45139.5846075694)</f>
        <v>45139.58461</v>
      </c>
      <c r="D484" s="15">
        <f>IFERROR(__xludf.DUMMYFUNCTION("""COMPUTED_VALUE"""),0.998)</f>
        <v>0.998</v>
      </c>
      <c r="E484" s="16">
        <f>IFERROR(__xludf.DUMMYFUNCTION("""COMPUTED_VALUE"""),72.0)</f>
        <v>72</v>
      </c>
      <c r="F484" s="19" t="str">
        <f>IFERROR(__xludf.DUMMYFUNCTION("""COMPUTED_VALUE"""),"BLUE")</f>
        <v>BLUE</v>
      </c>
      <c r="G484" s="20" t="str">
        <f>IFERROR(__xludf.DUMMYFUNCTION("""COMPUTED_VALUE"""),"Uncle Sams Cider (04/04/2023)")</f>
        <v>Uncle Sams Cider (04/04/2023)</v>
      </c>
      <c r="H484" s="19"/>
    </row>
    <row r="485">
      <c r="A485" s="9"/>
      <c r="B485" s="15"/>
      <c r="C485" s="9">
        <f>IFERROR(__xludf.DUMMYFUNCTION("""COMPUTED_VALUE"""),45139.5741848958)</f>
        <v>45139.57418</v>
      </c>
      <c r="D485" s="15">
        <f>IFERROR(__xludf.DUMMYFUNCTION("""COMPUTED_VALUE"""),0.998)</f>
        <v>0.998</v>
      </c>
      <c r="E485" s="16">
        <f>IFERROR(__xludf.DUMMYFUNCTION("""COMPUTED_VALUE"""),72.0)</f>
        <v>72</v>
      </c>
      <c r="F485" s="19" t="str">
        <f>IFERROR(__xludf.DUMMYFUNCTION("""COMPUTED_VALUE"""),"BLUE")</f>
        <v>BLUE</v>
      </c>
      <c r="G485" s="20" t="str">
        <f>IFERROR(__xludf.DUMMYFUNCTION("""COMPUTED_VALUE"""),"Uncle Sams Cider (04/04/2023)")</f>
        <v>Uncle Sams Cider (04/04/2023)</v>
      </c>
      <c r="H485" s="19"/>
    </row>
    <row r="486">
      <c r="A486" s="9"/>
      <c r="B486" s="15"/>
      <c r="C486" s="9">
        <f>IFERROR(__xludf.DUMMYFUNCTION("""COMPUTED_VALUE"""),45139.563762743)</f>
        <v>45139.56376</v>
      </c>
      <c r="D486" s="15">
        <f>IFERROR(__xludf.DUMMYFUNCTION("""COMPUTED_VALUE"""),0.998)</f>
        <v>0.998</v>
      </c>
      <c r="E486" s="16">
        <f>IFERROR(__xludf.DUMMYFUNCTION("""COMPUTED_VALUE"""),72.0)</f>
        <v>72</v>
      </c>
      <c r="F486" s="19" t="str">
        <f>IFERROR(__xludf.DUMMYFUNCTION("""COMPUTED_VALUE"""),"BLUE")</f>
        <v>BLUE</v>
      </c>
      <c r="G486" s="20" t="str">
        <f>IFERROR(__xludf.DUMMYFUNCTION("""COMPUTED_VALUE"""),"Uncle Sams Cider (04/04/2023)")</f>
        <v>Uncle Sams Cider (04/04/2023)</v>
      </c>
      <c r="H486" s="19"/>
    </row>
    <row r="487">
      <c r="A487" s="9"/>
      <c r="B487" s="15"/>
      <c r="C487" s="9">
        <f>IFERROR(__xludf.DUMMYFUNCTION("""COMPUTED_VALUE"""),45139.5533300115)</f>
        <v>45139.55333</v>
      </c>
      <c r="D487" s="15">
        <f>IFERROR(__xludf.DUMMYFUNCTION("""COMPUTED_VALUE"""),0.998)</f>
        <v>0.998</v>
      </c>
      <c r="E487" s="16">
        <f>IFERROR(__xludf.DUMMYFUNCTION("""COMPUTED_VALUE"""),72.0)</f>
        <v>72</v>
      </c>
      <c r="F487" s="19" t="str">
        <f>IFERROR(__xludf.DUMMYFUNCTION("""COMPUTED_VALUE"""),"BLUE")</f>
        <v>BLUE</v>
      </c>
      <c r="G487" s="20" t="str">
        <f>IFERROR(__xludf.DUMMYFUNCTION("""COMPUTED_VALUE"""),"Uncle Sams Cider (04/04/2023)")</f>
        <v>Uncle Sams Cider (04/04/2023)</v>
      </c>
      <c r="H487" s="19"/>
    </row>
    <row r="488">
      <c r="A488" s="9"/>
      <c r="B488" s="15"/>
      <c r="C488" s="9">
        <f>IFERROR(__xludf.DUMMYFUNCTION("""COMPUTED_VALUE"""),45139.5429079398)</f>
        <v>45139.54291</v>
      </c>
      <c r="D488" s="15">
        <f>IFERROR(__xludf.DUMMYFUNCTION("""COMPUTED_VALUE"""),0.998)</f>
        <v>0.998</v>
      </c>
      <c r="E488" s="16">
        <f>IFERROR(__xludf.DUMMYFUNCTION("""COMPUTED_VALUE"""),72.0)</f>
        <v>72</v>
      </c>
      <c r="F488" s="19" t="str">
        <f>IFERROR(__xludf.DUMMYFUNCTION("""COMPUTED_VALUE"""),"BLUE")</f>
        <v>BLUE</v>
      </c>
      <c r="G488" s="20" t="str">
        <f>IFERROR(__xludf.DUMMYFUNCTION("""COMPUTED_VALUE"""),"Uncle Sams Cider (04/04/2023)")</f>
        <v>Uncle Sams Cider (04/04/2023)</v>
      </c>
      <c r="H488" s="19"/>
    </row>
    <row r="489">
      <c r="A489" s="9"/>
      <c r="B489" s="15"/>
      <c r="C489" s="9">
        <f>IFERROR(__xludf.DUMMYFUNCTION("""COMPUTED_VALUE"""),45139.5324877777)</f>
        <v>45139.53249</v>
      </c>
      <c r="D489" s="15">
        <f>IFERROR(__xludf.DUMMYFUNCTION("""COMPUTED_VALUE"""),0.998)</f>
        <v>0.998</v>
      </c>
      <c r="E489" s="16">
        <f>IFERROR(__xludf.DUMMYFUNCTION("""COMPUTED_VALUE"""),72.0)</f>
        <v>72</v>
      </c>
      <c r="F489" s="19" t="str">
        <f>IFERROR(__xludf.DUMMYFUNCTION("""COMPUTED_VALUE"""),"BLUE")</f>
        <v>BLUE</v>
      </c>
      <c r="G489" s="20" t="str">
        <f>IFERROR(__xludf.DUMMYFUNCTION("""COMPUTED_VALUE"""),"Uncle Sams Cider (04/04/2023)")</f>
        <v>Uncle Sams Cider (04/04/2023)</v>
      </c>
      <c r="H489" s="19"/>
    </row>
    <row r="490">
      <c r="A490" s="9"/>
      <c r="B490" s="15"/>
      <c r="C490" s="9">
        <f>IFERROR(__xludf.DUMMYFUNCTION("""COMPUTED_VALUE"""),45139.5220662847)</f>
        <v>45139.52207</v>
      </c>
      <c r="D490" s="15">
        <f>IFERROR(__xludf.DUMMYFUNCTION("""COMPUTED_VALUE"""),0.998)</f>
        <v>0.998</v>
      </c>
      <c r="E490" s="16">
        <f>IFERROR(__xludf.DUMMYFUNCTION("""COMPUTED_VALUE"""),72.0)</f>
        <v>72</v>
      </c>
      <c r="F490" s="19" t="str">
        <f>IFERROR(__xludf.DUMMYFUNCTION("""COMPUTED_VALUE"""),"BLUE")</f>
        <v>BLUE</v>
      </c>
      <c r="G490" s="20" t="str">
        <f>IFERROR(__xludf.DUMMYFUNCTION("""COMPUTED_VALUE"""),"Uncle Sams Cider (04/04/2023)")</f>
        <v>Uncle Sams Cider (04/04/2023)</v>
      </c>
      <c r="H490" s="19"/>
    </row>
    <row r="491">
      <c r="A491" s="9"/>
      <c r="B491" s="15"/>
      <c r="C491" s="9">
        <f>IFERROR(__xludf.DUMMYFUNCTION("""COMPUTED_VALUE"""),45139.5012247916)</f>
        <v>45139.50122</v>
      </c>
      <c r="D491" s="15">
        <f>IFERROR(__xludf.DUMMYFUNCTION("""COMPUTED_VALUE"""),0.998)</f>
        <v>0.998</v>
      </c>
      <c r="E491" s="16">
        <f>IFERROR(__xludf.DUMMYFUNCTION("""COMPUTED_VALUE"""),72.0)</f>
        <v>72</v>
      </c>
      <c r="F491" s="19" t="str">
        <f>IFERROR(__xludf.DUMMYFUNCTION("""COMPUTED_VALUE"""),"BLUE")</f>
        <v>BLUE</v>
      </c>
      <c r="G491" s="20" t="str">
        <f>IFERROR(__xludf.DUMMYFUNCTION("""COMPUTED_VALUE"""),"Uncle Sams Cider (04/04/2023)")</f>
        <v>Uncle Sams Cider (04/04/2023)</v>
      </c>
      <c r="H491" s="19"/>
    </row>
    <row r="492">
      <c r="A492" s="9"/>
      <c r="B492" s="15"/>
      <c r="C492" s="9">
        <f>IFERROR(__xludf.DUMMYFUNCTION("""COMPUTED_VALUE"""),45139.4908009375)</f>
        <v>45139.4908</v>
      </c>
      <c r="D492" s="15">
        <f>IFERROR(__xludf.DUMMYFUNCTION("""COMPUTED_VALUE"""),0.998)</f>
        <v>0.998</v>
      </c>
      <c r="E492" s="16">
        <f>IFERROR(__xludf.DUMMYFUNCTION("""COMPUTED_VALUE"""),72.0)</f>
        <v>72</v>
      </c>
      <c r="F492" s="19" t="str">
        <f>IFERROR(__xludf.DUMMYFUNCTION("""COMPUTED_VALUE"""),"BLUE")</f>
        <v>BLUE</v>
      </c>
      <c r="G492" s="20" t="str">
        <f>IFERROR(__xludf.DUMMYFUNCTION("""COMPUTED_VALUE"""),"Uncle Sams Cider (04/04/2023)")</f>
        <v>Uncle Sams Cider (04/04/2023)</v>
      </c>
      <c r="H492" s="19"/>
    </row>
    <row r="493">
      <c r="A493" s="9"/>
      <c r="B493" s="15"/>
      <c r="C493" s="9">
        <f>IFERROR(__xludf.DUMMYFUNCTION("""COMPUTED_VALUE"""),45139.4803821412)</f>
        <v>45139.48038</v>
      </c>
      <c r="D493" s="15">
        <f>IFERROR(__xludf.DUMMYFUNCTION("""COMPUTED_VALUE"""),0.998)</f>
        <v>0.998</v>
      </c>
      <c r="E493" s="16">
        <f>IFERROR(__xludf.DUMMYFUNCTION("""COMPUTED_VALUE"""),72.0)</f>
        <v>72</v>
      </c>
      <c r="F493" s="19" t="str">
        <f>IFERROR(__xludf.DUMMYFUNCTION("""COMPUTED_VALUE"""),"BLUE")</f>
        <v>BLUE</v>
      </c>
      <c r="G493" s="20" t="str">
        <f>IFERROR(__xludf.DUMMYFUNCTION("""COMPUTED_VALUE"""),"Uncle Sams Cider (04/04/2023)")</f>
        <v>Uncle Sams Cider (04/04/2023)</v>
      </c>
      <c r="H493" s="19"/>
    </row>
    <row r="494">
      <c r="A494" s="9"/>
      <c r="B494" s="15"/>
      <c r="C494" s="9">
        <f>IFERROR(__xludf.DUMMYFUNCTION("""COMPUTED_VALUE"""),45139.469960243)</f>
        <v>45139.46996</v>
      </c>
      <c r="D494" s="15">
        <f>IFERROR(__xludf.DUMMYFUNCTION("""COMPUTED_VALUE"""),0.998)</f>
        <v>0.998</v>
      </c>
      <c r="E494" s="16">
        <f>IFERROR(__xludf.DUMMYFUNCTION("""COMPUTED_VALUE"""),72.0)</f>
        <v>72</v>
      </c>
      <c r="F494" s="19" t="str">
        <f>IFERROR(__xludf.DUMMYFUNCTION("""COMPUTED_VALUE"""),"BLUE")</f>
        <v>BLUE</v>
      </c>
      <c r="G494" s="20" t="str">
        <f>IFERROR(__xludf.DUMMYFUNCTION("""COMPUTED_VALUE"""),"Uncle Sams Cider (04/04/2023)")</f>
        <v>Uncle Sams Cider (04/04/2023)</v>
      </c>
      <c r="H494" s="19"/>
    </row>
    <row r="495">
      <c r="A495" s="9"/>
      <c r="B495" s="15"/>
      <c r="C495" s="9">
        <f>IFERROR(__xludf.DUMMYFUNCTION("""COMPUTED_VALUE"""),45139.4595279513)</f>
        <v>45139.45953</v>
      </c>
      <c r="D495" s="15">
        <f>IFERROR(__xludf.DUMMYFUNCTION("""COMPUTED_VALUE"""),0.998)</f>
        <v>0.998</v>
      </c>
      <c r="E495" s="16">
        <f>IFERROR(__xludf.DUMMYFUNCTION("""COMPUTED_VALUE"""),72.0)</f>
        <v>72</v>
      </c>
      <c r="F495" s="19" t="str">
        <f>IFERROR(__xludf.DUMMYFUNCTION("""COMPUTED_VALUE"""),"BLUE")</f>
        <v>BLUE</v>
      </c>
      <c r="G495" s="20" t="str">
        <f>IFERROR(__xludf.DUMMYFUNCTION("""COMPUTED_VALUE"""),"Uncle Sams Cider (04/04/2023)")</f>
        <v>Uncle Sams Cider (04/04/2023)</v>
      </c>
      <c r="H495" s="19"/>
    </row>
    <row r="496">
      <c r="A496" s="9"/>
      <c r="B496" s="15"/>
      <c r="C496" s="9">
        <f>IFERROR(__xludf.DUMMYFUNCTION("""COMPUTED_VALUE"""),45139.4490958564)</f>
        <v>45139.4491</v>
      </c>
      <c r="D496" s="15">
        <f>IFERROR(__xludf.DUMMYFUNCTION("""COMPUTED_VALUE"""),0.998)</f>
        <v>0.998</v>
      </c>
      <c r="E496" s="16">
        <f>IFERROR(__xludf.DUMMYFUNCTION("""COMPUTED_VALUE"""),72.0)</f>
        <v>72</v>
      </c>
      <c r="F496" s="19" t="str">
        <f>IFERROR(__xludf.DUMMYFUNCTION("""COMPUTED_VALUE"""),"BLUE")</f>
        <v>BLUE</v>
      </c>
      <c r="G496" s="20" t="str">
        <f>IFERROR(__xludf.DUMMYFUNCTION("""COMPUTED_VALUE"""),"Uncle Sams Cider (04/04/2023)")</f>
        <v>Uncle Sams Cider (04/04/2023)</v>
      </c>
      <c r="H496" s="19"/>
    </row>
    <row r="497">
      <c r="A497" s="9"/>
      <c r="B497" s="15"/>
      <c r="C497" s="9">
        <f>IFERROR(__xludf.DUMMYFUNCTION("""COMPUTED_VALUE"""),45139.4386739467)</f>
        <v>45139.43867</v>
      </c>
      <c r="D497" s="15">
        <f>IFERROR(__xludf.DUMMYFUNCTION("""COMPUTED_VALUE"""),0.998)</f>
        <v>0.998</v>
      </c>
      <c r="E497" s="16">
        <f>IFERROR(__xludf.DUMMYFUNCTION("""COMPUTED_VALUE"""),72.0)</f>
        <v>72</v>
      </c>
      <c r="F497" s="19" t="str">
        <f>IFERROR(__xludf.DUMMYFUNCTION("""COMPUTED_VALUE"""),"BLUE")</f>
        <v>BLUE</v>
      </c>
      <c r="G497" s="20" t="str">
        <f>IFERROR(__xludf.DUMMYFUNCTION("""COMPUTED_VALUE"""),"Uncle Sams Cider (04/04/2023)")</f>
        <v>Uncle Sams Cider (04/04/2023)</v>
      </c>
      <c r="H497" s="19"/>
    </row>
    <row r="498">
      <c r="A498" s="9"/>
      <c r="B498" s="15"/>
      <c r="C498" s="9">
        <f>IFERROR(__xludf.DUMMYFUNCTION("""COMPUTED_VALUE"""),45139.4282548726)</f>
        <v>45139.42825</v>
      </c>
      <c r="D498" s="15">
        <f>IFERROR(__xludf.DUMMYFUNCTION("""COMPUTED_VALUE"""),0.998)</f>
        <v>0.998</v>
      </c>
      <c r="E498" s="16">
        <f>IFERROR(__xludf.DUMMYFUNCTION("""COMPUTED_VALUE"""),72.0)</f>
        <v>72</v>
      </c>
      <c r="F498" s="19" t="str">
        <f>IFERROR(__xludf.DUMMYFUNCTION("""COMPUTED_VALUE"""),"BLUE")</f>
        <v>BLUE</v>
      </c>
      <c r="G498" s="20" t="str">
        <f>IFERROR(__xludf.DUMMYFUNCTION("""COMPUTED_VALUE"""),"Uncle Sams Cider (04/04/2023)")</f>
        <v>Uncle Sams Cider (04/04/2023)</v>
      </c>
      <c r="H498" s="19"/>
    </row>
    <row r="499">
      <c r="A499" s="9"/>
      <c r="B499" s="15"/>
      <c r="C499" s="9">
        <f>IFERROR(__xludf.DUMMYFUNCTION("""COMPUTED_VALUE"""),45139.4178342708)</f>
        <v>45139.41783</v>
      </c>
      <c r="D499" s="15">
        <f>IFERROR(__xludf.DUMMYFUNCTION("""COMPUTED_VALUE"""),0.998)</f>
        <v>0.998</v>
      </c>
      <c r="E499" s="16">
        <f>IFERROR(__xludf.DUMMYFUNCTION("""COMPUTED_VALUE"""),72.0)</f>
        <v>72</v>
      </c>
      <c r="F499" s="19" t="str">
        <f>IFERROR(__xludf.DUMMYFUNCTION("""COMPUTED_VALUE"""),"BLUE")</f>
        <v>BLUE</v>
      </c>
      <c r="G499" s="20" t="str">
        <f>IFERROR(__xludf.DUMMYFUNCTION("""COMPUTED_VALUE"""),"Uncle Sams Cider (04/04/2023)")</f>
        <v>Uncle Sams Cider (04/04/2023)</v>
      </c>
      <c r="H499" s="19"/>
    </row>
    <row r="500">
      <c r="A500" s="9"/>
      <c r="B500" s="15"/>
      <c r="C500" s="9">
        <f>IFERROR(__xludf.DUMMYFUNCTION("""COMPUTED_VALUE"""),45139.4074139699)</f>
        <v>45139.40741</v>
      </c>
      <c r="D500" s="15">
        <f>IFERROR(__xludf.DUMMYFUNCTION("""COMPUTED_VALUE"""),0.998)</f>
        <v>0.998</v>
      </c>
      <c r="E500" s="16">
        <f>IFERROR(__xludf.DUMMYFUNCTION("""COMPUTED_VALUE"""),72.0)</f>
        <v>72</v>
      </c>
      <c r="F500" s="19" t="str">
        <f>IFERROR(__xludf.DUMMYFUNCTION("""COMPUTED_VALUE"""),"BLUE")</f>
        <v>BLUE</v>
      </c>
      <c r="G500" s="20" t="str">
        <f>IFERROR(__xludf.DUMMYFUNCTION("""COMPUTED_VALUE"""),"Uncle Sams Cider (04/04/2023)")</f>
        <v>Uncle Sams Cider (04/04/2023)</v>
      </c>
      <c r="H500" s="19"/>
    </row>
    <row r="501">
      <c r="A501" s="9"/>
      <c r="B501" s="15"/>
      <c r="C501" s="9">
        <f>IFERROR(__xludf.DUMMYFUNCTION("""COMPUTED_VALUE"""),45139.3969913541)</f>
        <v>45139.39699</v>
      </c>
      <c r="D501" s="15">
        <f>IFERROR(__xludf.DUMMYFUNCTION("""COMPUTED_VALUE"""),0.998)</f>
        <v>0.998</v>
      </c>
      <c r="E501" s="16">
        <f>IFERROR(__xludf.DUMMYFUNCTION("""COMPUTED_VALUE"""),72.0)</f>
        <v>72</v>
      </c>
      <c r="F501" s="19" t="str">
        <f>IFERROR(__xludf.DUMMYFUNCTION("""COMPUTED_VALUE"""),"BLUE")</f>
        <v>BLUE</v>
      </c>
      <c r="G501" s="20" t="str">
        <f>IFERROR(__xludf.DUMMYFUNCTION("""COMPUTED_VALUE"""),"Uncle Sams Cider (04/04/2023)")</f>
        <v>Uncle Sams Cider (04/04/2023)</v>
      </c>
      <c r="H501" s="19"/>
    </row>
    <row r="502">
      <c r="A502" s="9"/>
      <c r="B502" s="15"/>
      <c r="C502" s="9">
        <f>IFERROR(__xludf.DUMMYFUNCTION("""COMPUTED_VALUE"""),45139.3865698958)</f>
        <v>45139.38657</v>
      </c>
      <c r="D502" s="15">
        <f>IFERROR(__xludf.DUMMYFUNCTION("""COMPUTED_VALUE"""),0.998)</f>
        <v>0.998</v>
      </c>
      <c r="E502" s="16">
        <f>IFERROR(__xludf.DUMMYFUNCTION("""COMPUTED_VALUE"""),72.0)</f>
        <v>72</v>
      </c>
      <c r="F502" s="19" t="str">
        <f>IFERROR(__xludf.DUMMYFUNCTION("""COMPUTED_VALUE"""),"BLUE")</f>
        <v>BLUE</v>
      </c>
      <c r="G502" s="20" t="str">
        <f>IFERROR(__xludf.DUMMYFUNCTION("""COMPUTED_VALUE"""),"Uncle Sams Cider (04/04/2023)")</f>
        <v>Uncle Sams Cider (04/04/2023)</v>
      </c>
      <c r="H502" s="19"/>
    </row>
    <row r="503">
      <c r="A503" s="9"/>
      <c r="B503" s="15"/>
      <c r="C503" s="9">
        <f>IFERROR(__xludf.DUMMYFUNCTION("""COMPUTED_VALUE"""),45139.3761488078)</f>
        <v>45139.37615</v>
      </c>
      <c r="D503" s="15">
        <f>IFERROR(__xludf.DUMMYFUNCTION("""COMPUTED_VALUE"""),0.998)</f>
        <v>0.998</v>
      </c>
      <c r="E503" s="16">
        <f>IFERROR(__xludf.DUMMYFUNCTION("""COMPUTED_VALUE"""),72.0)</f>
        <v>72</v>
      </c>
      <c r="F503" s="19" t="str">
        <f>IFERROR(__xludf.DUMMYFUNCTION("""COMPUTED_VALUE"""),"BLUE")</f>
        <v>BLUE</v>
      </c>
      <c r="G503" s="20" t="str">
        <f>IFERROR(__xludf.DUMMYFUNCTION("""COMPUTED_VALUE"""),"Uncle Sams Cider (04/04/2023)")</f>
        <v>Uncle Sams Cider (04/04/2023)</v>
      </c>
      <c r="H503" s="19"/>
    </row>
    <row r="504">
      <c r="A504" s="9"/>
      <c r="B504" s="15"/>
      <c r="C504" s="9">
        <f>IFERROR(__xludf.DUMMYFUNCTION("""COMPUTED_VALUE"""),45139.3657275115)</f>
        <v>45139.36573</v>
      </c>
      <c r="D504" s="15">
        <f>IFERROR(__xludf.DUMMYFUNCTION("""COMPUTED_VALUE"""),0.998)</f>
        <v>0.998</v>
      </c>
      <c r="E504" s="16">
        <f>IFERROR(__xludf.DUMMYFUNCTION("""COMPUTED_VALUE"""),72.0)</f>
        <v>72</v>
      </c>
      <c r="F504" s="19" t="str">
        <f>IFERROR(__xludf.DUMMYFUNCTION("""COMPUTED_VALUE"""),"BLUE")</f>
        <v>BLUE</v>
      </c>
      <c r="G504" s="20" t="str">
        <f>IFERROR(__xludf.DUMMYFUNCTION("""COMPUTED_VALUE"""),"Uncle Sams Cider (04/04/2023)")</f>
        <v>Uncle Sams Cider (04/04/2023)</v>
      </c>
      <c r="H504" s="19"/>
    </row>
    <row r="505">
      <c r="A505" s="9"/>
      <c r="B505" s="15"/>
      <c r="C505" s="9">
        <f>IFERROR(__xludf.DUMMYFUNCTION("""COMPUTED_VALUE"""),45139.3553067013)</f>
        <v>45139.35531</v>
      </c>
      <c r="D505" s="15">
        <f>IFERROR(__xludf.DUMMYFUNCTION("""COMPUTED_VALUE"""),0.998)</f>
        <v>0.998</v>
      </c>
      <c r="E505" s="16">
        <f>IFERROR(__xludf.DUMMYFUNCTION("""COMPUTED_VALUE"""),72.0)</f>
        <v>72</v>
      </c>
      <c r="F505" s="19" t="str">
        <f>IFERROR(__xludf.DUMMYFUNCTION("""COMPUTED_VALUE"""),"BLUE")</f>
        <v>BLUE</v>
      </c>
      <c r="G505" s="20" t="str">
        <f>IFERROR(__xludf.DUMMYFUNCTION("""COMPUTED_VALUE"""),"Uncle Sams Cider (04/04/2023)")</f>
        <v>Uncle Sams Cider (04/04/2023)</v>
      </c>
      <c r="H505" s="19"/>
    </row>
    <row r="506">
      <c r="A506" s="9"/>
      <c r="B506" s="15"/>
      <c r="C506" s="9">
        <f>IFERROR(__xludf.DUMMYFUNCTION("""COMPUTED_VALUE"""),45139.3448739699)</f>
        <v>45139.34487</v>
      </c>
      <c r="D506" s="15">
        <f>IFERROR(__xludf.DUMMYFUNCTION("""COMPUTED_VALUE"""),0.998)</f>
        <v>0.998</v>
      </c>
      <c r="E506" s="16">
        <f>IFERROR(__xludf.DUMMYFUNCTION("""COMPUTED_VALUE"""),72.0)</f>
        <v>72</v>
      </c>
      <c r="F506" s="19" t="str">
        <f>IFERROR(__xludf.DUMMYFUNCTION("""COMPUTED_VALUE"""),"BLUE")</f>
        <v>BLUE</v>
      </c>
      <c r="G506" s="20" t="str">
        <f>IFERROR(__xludf.DUMMYFUNCTION("""COMPUTED_VALUE"""),"Uncle Sams Cider (04/04/2023)")</f>
        <v>Uncle Sams Cider (04/04/2023)</v>
      </c>
      <c r="H506" s="19"/>
    </row>
    <row r="507">
      <c r="A507" s="9"/>
      <c r="B507" s="15"/>
      <c r="C507" s="9">
        <f>IFERROR(__xludf.DUMMYFUNCTION("""COMPUTED_VALUE"""),45139.334452662)</f>
        <v>45139.33445</v>
      </c>
      <c r="D507" s="15">
        <f>IFERROR(__xludf.DUMMYFUNCTION("""COMPUTED_VALUE"""),0.998)</f>
        <v>0.998</v>
      </c>
      <c r="E507" s="16">
        <f>IFERROR(__xludf.DUMMYFUNCTION("""COMPUTED_VALUE"""),72.0)</f>
        <v>72</v>
      </c>
      <c r="F507" s="19" t="str">
        <f>IFERROR(__xludf.DUMMYFUNCTION("""COMPUTED_VALUE"""),"BLUE")</f>
        <v>BLUE</v>
      </c>
      <c r="G507" s="20" t="str">
        <f>IFERROR(__xludf.DUMMYFUNCTION("""COMPUTED_VALUE"""),"Uncle Sams Cider (04/04/2023)")</f>
        <v>Uncle Sams Cider (04/04/2023)</v>
      </c>
      <c r="H507" s="19"/>
    </row>
    <row r="508">
      <c r="A508" s="9"/>
      <c r="B508" s="15"/>
      <c r="C508" s="9">
        <f>IFERROR(__xludf.DUMMYFUNCTION("""COMPUTED_VALUE"""),45139.3240083796)</f>
        <v>45139.32401</v>
      </c>
      <c r="D508" s="15">
        <f>IFERROR(__xludf.DUMMYFUNCTION("""COMPUTED_VALUE"""),0.998)</f>
        <v>0.998</v>
      </c>
      <c r="E508" s="16">
        <f>IFERROR(__xludf.DUMMYFUNCTION("""COMPUTED_VALUE"""),72.0)</f>
        <v>72</v>
      </c>
      <c r="F508" s="19" t="str">
        <f>IFERROR(__xludf.DUMMYFUNCTION("""COMPUTED_VALUE"""),"BLUE")</f>
        <v>BLUE</v>
      </c>
      <c r="G508" s="20" t="str">
        <f>IFERROR(__xludf.DUMMYFUNCTION("""COMPUTED_VALUE"""),"Uncle Sams Cider (04/04/2023)")</f>
        <v>Uncle Sams Cider (04/04/2023)</v>
      </c>
      <c r="H508" s="19"/>
    </row>
    <row r="509">
      <c r="A509" s="9"/>
      <c r="B509" s="15"/>
      <c r="C509" s="9">
        <f>IFERROR(__xludf.DUMMYFUNCTION("""COMPUTED_VALUE"""),45139.3135887037)</f>
        <v>45139.31359</v>
      </c>
      <c r="D509" s="15">
        <f>IFERROR(__xludf.DUMMYFUNCTION("""COMPUTED_VALUE"""),0.998)</f>
        <v>0.998</v>
      </c>
      <c r="E509" s="16">
        <f>IFERROR(__xludf.DUMMYFUNCTION("""COMPUTED_VALUE"""),72.0)</f>
        <v>72</v>
      </c>
      <c r="F509" s="19" t="str">
        <f>IFERROR(__xludf.DUMMYFUNCTION("""COMPUTED_VALUE"""),"BLUE")</f>
        <v>BLUE</v>
      </c>
      <c r="G509" s="20" t="str">
        <f>IFERROR(__xludf.DUMMYFUNCTION("""COMPUTED_VALUE"""),"Uncle Sams Cider (04/04/2023)")</f>
        <v>Uncle Sams Cider (04/04/2023)</v>
      </c>
      <c r="H509" s="19"/>
    </row>
    <row r="510">
      <c r="A510" s="9"/>
      <c r="B510" s="15"/>
      <c r="C510" s="9">
        <f>IFERROR(__xludf.DUMMYFUNCTION("""COMPUTED_VALUE"""),45139.3031446875)</f>
        <v>45139.30314</v>
      </c>
      <c r="D510" s="15">
        <f>IFERROR(__xludf.DUMMYFUNCTION("""COMPUTED_VALUE"""),0.998)</f>
        <v>0.998</v>
      </c>
      <c r="E510" s="16">
        <f>IFERROR(__xludf.DUMMYFUNCTION("""COMPUTED_VALUE"""),72.0)</f>
        <v>72</v>
      </c>
      <c r="F510" s="19" t="str">
        <f>IFERROR(__xludf.DUMMYFUNCTION("""COMPUTED_VALUE"""),"BLUE")</f>
        <v>BLUE</v>
      </c>
      <c r="G510" s="20" t="str">
        <f>IFERROR(__xludf.DUMMYFUNCTION("""COMPUTED_VALUE"""),"Uncle Sams Cider (04/04/2023)")</f>
        <v>Uncle Sams Cider (04/04/2023)</v>
      </c>
      <c r="H510" s="19"/>
    </row>
    <row r="511">
      <c r="A511" s="9"/>
      <c r="B511" s="15"/>
      <c r="C511" s="9">
        <f>IFERROR(__xludf.DUMMYFUNCTION("""COMPUTED_VALUE"""),45139.2927131365)</f>
        <v>45139.29271</v>
      </c>
      <c r="D511" s="15">
        <f>IFERROR(__xludf.DUMMYFUNCTION("""COMPUTED_VALUE"""),0.998)</f>
        <v>0.998</v>
      </c>
      <c r="E511" s="16">
        <f>IFERROR(__xludf.DUMMYFUNCTION("""COMPUTED_VALUE"""),72.0)</f>
        <v>72</v>
      </c>
      <c r="F511" s="19" t="str">
        <f>IFERROR(__xludf.DUMMYFUNCTION("""COMPUTED_VALUE"""),"BLUE")</f>
        <v>BLUE</v>
      </c>
      <c r="G511" s="20" t="str">
        <f>IFERROR(__xludf.DUMMYFUNCTION("""COMPUTED_VALUE"""),"Uncle Sams Cider (04/04/2023)")</f>
        <v>Uncle Sams Cider (04/04/2023)</v>
      </c>
      <c r="H511" s="19"/>
    </row>
    <row r="512">
      <c r="A512" s="9"/>
      <c r="B512" s="15"/>
      <c r="C512" s="9">
        <f>IFERROR(__xludf.DUMMYFUNCTION("""COMPUTED_VALUE"""),45139.2822804513)</f>
        <v>45139.28228</v>
      </c>
      <c r="D512" s="15">
        <f>IFERROR(__xludf.DUMMYFUNCTION("""COMPUTED_VALUE"""),0.998)</f>
        <v>0.998</v>
      </c>
      <c r="E512" s="16">
        <f>IFERROR(__xludf.DUMMYFUNCTION("""COMPUTED_VALUE"""),72.0)</f>
        <v>72</v>
      </c>
      <c r="F512" s="19" t="str">
        <f>IFERROR(__xludf.DUMMYFUNCTION("""COMPUTED_VALUE"""),"BLUE")</f>
        <v>BLUE</v>
      </c>
      <c r="G512" s="20" t="str">
        <f>IFERROR(__xludf.DUMMYFUNCTION("""COMPUTED_VALUE"""),"Uncle Sams Cider (04/04/2023)")</f>
        <v>Uncle Sams Cider (04/04/2023)</v>
      </c>
      <c r="H512" s="19"/>
    </row>
    <row r="513">
      <c r="A513" s="9"/>
      <c r="B513" s="15"/>
      <c r="C513" s="9">
        <f>IFERROR(__xludf.DUMMYFUNCTION("""COMPUTED_VALUE"""),45139.2718594907)</f>
        <v>45139.27186</v>
      </c>
      <c r="D513" s="15">
        <f>IFERROR(__xludf.DUMMYFUNCTION("""COMPUTED_VALUE"""),0.998)</f>
        <v>0.998</v>
      </c>
      <c r="E513" s="16">
        <f>IFERROR(__xludf.DUMMYFUNCTION("""COMPUTED_VALUE"""),72.0)</f>
        <v>72</v>
      </c>
      <c r="F513" s="19" t="str">
        <f>IFERROR(__xludf.DUMMYFUNCTION("""COMPUTED_VALUE"""),"BLUE")</f>
        <v>BLUE</v>
      </c>
      <c r="G513" s="20" t="str">
        <f>IFERROR(__xludf.DUMMYFUNCTION("""COMPUTED_VALUE"""),"Uncle Sams Cider (04/04/2023)")</f>
        <v>Uncle Sams Cider (04/04/2023)</v>
      </c>
      <c r="H513" s="19"/>
    </row>
    <row r="514">
      <c r="A514" s="9"/>
      <c r="B514" s="15"/>
      <c r="C514" s="9">
        <f>IFERROR(__xludf.DUMMYFUNCTION("""COMPUTED_VALUE"""),45139.2614392129)</f>
        <v>45139.26144</v>
      </c>
      <c r="D514" s="15">
        <f>IFERROR(__xludf.DUMMYFUNCTION("""COMPUTED_VALUE"""),0.998)</f>
        <v>0.998</v>
      </c>
      <c r="E514" s="16">
        <f>IFERROR(__xludf.DUMMYFUNCTION("""COMPUTED_VALUE"""),72.0)</f>
        <v>72</v>
      </c>
      <c r="F514" s="19" t="str">
        <f>IFERROR(__xludf.DUMMYFUNCTION("""COMPUTED_VALUE"""),"BLUE")</f>
        <v>BLUE</v>
      </c>
      <c r="G514" s="20" t="str">
        <f>IFERROR(__xludf.DUMMYFUNCTION("""COMPUTED_VALUE"""),"Uncle Sams Cider (04/04/2023)")</f>
        <v>Uncle Sams Cider (04/04/2023)</v>
      </c>
      <c r="H514" s="19"/>
    </row>
    <row r="515">
      <c r="A515" s="9"/>
      <c r="B515" s="15"/>
      <c r="C515" s="9">
        <f>IFERROR(__xludf.DUMMYFUNCTION("""COMPUTED_VALUE"""),45139.2510173495)</f>
        <v>45139.25102</v>
      </c>
      <c r="D515" s="15">
        <f>IFERROR(__xludf.DUMMYFUNCTION("""COMPUTED_VALUE"""),0.998)</f>
        <v>0.998</v>
      </c>
      <c r="E515" s="16">
        <f>IFERROR(__xludf.DUMMYFUNCTION("""COMPUTED_VALUE"""),72.0)</f>
        <v>72</v>
      </c>
      <c r="F515" s="19" t="str">
        <f>IFERROR(__xludf.DUMMYFUNCTION("""COMPUTED_VALUE"""),"BLUE")</f>
        <v>BLUE</v>
      </c>
      <c r="G515" s="20" t="str">
        <f>IFERROR(__xludf.DUMMYFUNCTION("""COMPUTED_VALUE"""),"Uncle Sams Cider (04/04/2023)")</f>
        <v>Uncle Sams Cider (04/04/2023)</v>
      </c>
      <c r="H515" s="19"/>
    </row>
    <row r="516">
      <c r="A516" s="9"/>
      <c r="B516" s="15"/>
      <c r="C516" s="9">
        <f>IFERROR(__xludf.DUMMYFUNCTION("""COMPUTED_VALUE"""),45139.2405963425)</f>
        <v>45139.2406</v>
      </c>
      <c r="D516" s="15">
        <f>IFERROR(__xludf.DUMMYFUNCTION("""COMPUTED_VALUE"""),0.998)</f>
        <v>0.998</v>
      </c>
      <c r="E516" s="16">
        <f>IFERROR(__xludf.DUMMYFUNCTION("""COMPUTED_VALUE"""),72.0)</f>
        <v>72</v>
      </c>
      <c r="F516" s="19" t="str">
        <f>IFERROR(__xludf.DUMMYFUNCTION("""COMPUTED_VALUE"""),"BLUE")</f>
        <v>BLUE</v>
      </c>
      <c r="G516" s="20" t="str">
        <f>IFERROR(__xludf.DUMMYFUNCTION("""COMPUTED_VALUE"""),"Uncle Sams Cider (04/04/2023)")</f>
        <v>Uncle Sams Cider (04/04/2023)</v>
      </c>
      <c r="H516" s="19"/>
    </row>
    <row r="517">
      <c r="A517" s="9"/>
      <c r="B517" s="15"/>
      <c r="C517" s="9">
        <f>IFERROR(__xludf.DUMMYFUNCTION("""COMPUTED_VALUE"""),45139.2301757291)</f>
        <v>45139.23018</v>
      </c>
      <c r="D517" s="15">
        <f>IFERROR(__xludf.DUMMYFUNCTION("""COMPUTED_VALUE"""),0.998)</f>
        <v>0.998</v>
      </c>
      <c r="E517" s="16">
        <f>IFERROR(__xludf.DUMMYFUNCTION("""COMPUTED_VALUE"""),72.0)</f>
        <v>72</v>
      </c>
      <c r="F517" s="19" t="str">
        <f>IFERROR(__xludf.DUMMYFUNCTION("""COMPUTED_VALUE"""),"BLUE")</f>
        <v>BLUE</v>
      </c>
      <c r="G517" s="20" t="str">
        <f>IFERROR(__xludf.DUMMYFUNCTION("""COMPUTED_VALUE"""),"Uncle Sams Cider (04/04/2023)")</f>
        <v>Uncle Sams Cider (04/04/2023)</v>
      </c>
      <c r="H517" s="19"/>
    </row>
    <row r="518">
      <c r="A518" s="9"/>
      <c r="B518" s="15"/>
      <c r="C518" s="9">
        <f>IFERROR(__xludf.DUMMYFUNCTION("""COMPUTED_VALUE"""),45139.2197545717)</f>
        <v>45139.21975</v>
      </c>
      <c r="D518" s="15">
        <f>IFERROR(__xludf.DUMMYFUNCTION("""COMPUTED_VALUE"""),0.998)</f>
        <v>0.998</v>
      </c>
      <c r="E518" s="16">
        <f>IFERROR(__xludf.DUMMYFUNCTION("""COMPUTED_VALUE"""),72.0)</f>
        <v>72</v>
      </c>
      <c r="F518" s="19" t="str">
        <f>IFERROR(__xludf.DUMMYFUNCTION("""COMPUTED_VALUE"""),"BLUE")</f>
        <v>BLUE</v>
      </c>
      <c r="G518" s="20" t="str">
        <f>IFERROR(__xludf.DUMMYFUNCTION("""COMPUTED_VALUE"""),"Uncle Sams Cider (04/04/2023)")</f>
        <v>Uncle Sams Cider (04/04/2023)</v>
      </c>
      <c r="H518" s="19"/>
    </row>
    <row r="519">
      <c r="A519" s="9"/>
      <c r="B519" s="15"/>
      <c r="C519" s="9">
        <f>IFERROR(__xludf.DUMMYFUNCTION("""COMPUTED_VALUE"""),45139.209334456)</f>
        <v>45139.20933</v>
      </c>
      <c r="D519" s="15">
        <f>IFERROR(__xludf.DUMMYFUNCTION("""COMPUTED_VALUE"""),0.999)</f>
        <v>0.999</v>
      </c>
      <c r="E519" s="16">
        <f>IFERROR(__xludf.DUMMYFUNCTION("""COMPUTED_VALUE"""),72.0)</f>
        <v>72</v>
      </c>
      <c r="F519" s="19" t="str">
        <f>IFERROR(__xludf.DUMMYFUNCTION("""COMPUTED_VALUE"""),"BLUE")</f>
        <v>BLUE</v>
      </c>
      <c r="G519" s="20" t="str">
        <f>IFERROR(__xludf.DUMMYFUNCTION("""COMPUTED_VALUE"""),"Uncle Sams Cider (04/04/2023)")</f>
        <v>Uncle Sams Cider (04/04/2023)</v>
      </c>
      <c r="H519" s="19"/>
    </row>
    <row r="520">
      <c r="A520" s="9"/>
      <c r="B520" s="15"/>
      <c r="C520" s="9">
        <f>IFERROR(__xludf.DUMMYFUNCTION("""COMPUTED_VALUE"""),45139.198911875)</f>
        <v>45139.19891</v>
      </c>
      <c r="D520" s="15">
        <f>IFERROR(__xludf.DUMMYFUNCTION("""COMPUTED_VALUE"""),0.998)</f>
        <v>0.998</v>
      </c>
      <c r="E520" s="11">
        <f>IFERROR(__xludf.DUMMYFUNCTION("""COMPUTED_VALUE"""),72.0)</f>
        <v>72</v>
      </c>
      <c r="F520" s="12" t="str">
        <f>IFERROR(__xludf.DUMMYFUNCTION("""COMPUTED_VALUE"""),"BLUE")</f>
        <v>BLUE</v>
      </c>
      <c r="G520" s="20" t="str">
        <f>IFERROR(__xludf.DUMMYFUNCTION("""COMPUTED_VALUE"""),"Uncle Sams Cider (04/04/2023)")</f>
        <v>Uncle Sams Cider (04/04/2023)</v>
      </c>
      <c r="H520" s="19"/>
    </row>
    <row r="521">
      <c r="A521" s="9"/>
      <c r="B521" s="15"/>
      <c r="C521" s="9">
        <f>IFERROR(__xludf.DUMMYFUNCTION("""COMPUTED_VALUE"""),45139.1884909838)</f>
        <v>45139.18849</v>
      </c>
      <c r="D521" s="15">
        <f>IFERROR(__xludf.DUMMYFUNCTION("""COMPUTED_VALUE"""),0.998)</f>
        <v>0.998</v>
      </c>
      <c r="E521" s="16">
        <f>IFERROR(__xludf.DUMMYFUNCTION("""COMPUTED_VALUE"""),72.0)</f>
        <v>72</v>
      </c>
      <c r="F521" s="19" t="str">
        <f>IFERROR(__xludf.DUMMYFUNCTION("""COMPUTED_VALUE"""),"BLUE")</f>
        <v>BLUE</v>
      </c>
      <c r="G521" s="20" t="str">
        <f>IFERROR(__xludf.DUMMYFUNCTION("""COMPUTED_VALUE"""),"Uncle Sams Cider (04/04/2023)")</f>
        <v>Uncle Sams Cider (04/04/2023)</v>
      </c>
      <c r="H521" s="19"/>
    </row>
    <row r="522">
      <c r="A522" s="9"/>
      <c r="B522" s="15"/>
      <c r="C522" s="9">
        <f>IFERROR(__xludf.DUMMYFUNCTION("""COMPUTED_VALUE"""),45139.1780584259)</f>
        <v>45139.17806</v>
      </c>
      <c r="D522" s="15">
        <f>IFERROR(__xludf.DUMMYFUNCTION("""COMPUTED_VALUE"""),0.998)</f>
        <v>0.998</v>
      </c>
      <c r="E522" s="16">
        <f>IFERROR(__xludf.DUMMYFUNCTION("""COMPUTED_VALUE"""),72.0)</f>
        <v>72</v>
      </c>
      <c r="F522" s="19" t="str">
        <f>IFERROR(__xludf.DUMMYFUNCTION("""COMPUTED_VALUE"""),"BLUE")</f>
        <v>BLUE</v>
      </c>
      <c r="G522" s="20" t="str">
        <f>IFERROR(__xludf.DUMMYFUNCTION("""COMPUTED_VALUE"""),"Uncle Sams Cider (04/04/2023)")</f>
        <v>Uncle Sams Cider (04/04/2023)</v>
      </c>
      <c r="H522" s="19"/>
    </row>
    <row r="523">
      <c r="A523" s="9"/>
      <c r="B523" s="15"/>
      <c r="C523" s="9">
        <f>IFERROR(__xludf.DUMMYFUNCTION("""COMPUTED_VALUE"""),45139.1676256828)</f>
        <v>45139.16763</v>
      </c>
      <c r="D523" s="15">
        <f>IFERROR(__xludf.DUMMYFUNCTION("""COMPUTED_VALUE"""),0.998)</f>
        <v>0.998</v>
      </c>
      <c r="E523" s="16">
        <f>IFERROR(__xludf.DUMMYFUNCTION("""COMPUTED_VALUE"""),72.0)</f>
        <v>72</v>
      </c>
      <c r="F523" s="19" t="str">
        <f>IFERROR(__xludf.DUMMYFUNCTION("""COMPUTED_VALUE"""),"BLUE")</f>
        <v>BLUE</v>
      </c>
      <c r="G523" s="20" t="str">
        <f>IFERROR(__xludf.DUMMYFUNCTION("""COMPUTED_VALUE"""),"Uncle Sams Cider (04/04/2023)")</f>
        <v>Uncle Sams Cider (04/04/2023)</v>
      </c>
      <c r="H523" s="19"/>
    </row>
    <row r="524">
      <c r="A524" s="9"/>
      <c r="B524" s="15"/>
      <c r="C524" s="9">
        <f>IFERROR(__xludf.DUMMYFUNCTION("""COMPUTED_VALUE"""),45139.157204618)</f>
        <v>45139.1572</v>
      </c>
      <c r="D524" s="15">
        <f>IFERROR(__xludf.DUMMYFUNCTION("""COMPUTED_VALUE"""),0.998)</f>
        <v>0.998</v>
      </c>
      <c r="E524" s="16">
        <f>IFERROR(__xludf.DUMMYFUNCTION("""COMPUTED_VALUE"""),72.0)</f>
        <v>72</v>
      </c>
      <c r="F524" s="19" t="str">
        <f>IFERROR(__xludf.DUMMYFUNCTION("""COMPUTED_VALUE"""),"BLUE")</f>
        <v>BLUE</v>
      </c>
      <c r="G524" s="20" t="str">
        <f>IFERROR(__xludf.DUMMYFUNCTION("""COMPUTED_VALUE"""),"Uncle Sams Cider (04/04/2023)")</f>
        <v>Uncle Sams Cider (04/04/2023)</v>
      </c>
      <c r="H524" s="19"/>
    </row>
    <row r="525">
      <c r="A525" s="9"/>
      <c r="B525" s="15"/>
      <c r="C525" s="9">
        <f>IFERROR(__xludf.DUMMYFUNCTION("""COMPUTED_VALUE"""),45139.1467834143)</f>
        <v>45139.14678</v>
      </c>
      <c r="D525" s="15">
        <f>IFERROR(__xludf.DUMMYFUNCTION("""COMPUTED_VALUE"""),0.998)</f>
        <v>0.998</v>
      </c>
      <c r="E525" s="16">
        <f>IFERROR(__xludf.DUMMYFUNCTION("""COMPUTED_VALUE"""),72.0)</f>
        <v>72</v>
      </c>
      <c r="F525" s="19" t="str">
        <f>IFERROR(__xludf.DUMMYFUNCTION("""COMPUTED_VALUE"""),"BLUE")</f>
        <v>BLUE</v>
      </c>
      <c r="G525" s="20" t="str">
        <f>IFERROR(__xludf.DUMMYFUNCTION("""COMPUTED_VALUE"""),"Uncle Sams Cider (04/04/2023)")</f>
        <v>Uncle Sams Cider (04/04/2023)</v>
      </c>
      <c r="H525" s="19"/>
    </row>
    <row r="526">
      <c r="A526" s="9"/>
      <c r="B526" s="15"/>
      <c r="C526" s="9">
        <f>IFERROR(__xludf.DUMMYFUNCTION("""COMPUTED_VALUE"""),45139.1363513657)</f>
        <v>45139.13635</v>
      </c>
      <c r="D526" s="15">
        <f>IFERROR(__xludf.DUMMYFUNCTION("""COMPUTED_VALUE"""),0.998)</f>
        <v>0.998</v>
      </c>
      <c r="E526" s="16">
        <f>IFERROR(__xludf.DUMMYFUNCTION("""COMPUTED_VALUE"""),72.0)</f>
        <v>72</v>
      </c>
      <c r="F526" s="19" t="str">
        <f>IFERROR(__xludf.DUMMYFUNCTION("""COMPUTED_VALUE"""),"BLUE")</f>
        <v>BLUE</v>
      </c>
      <c r="G526" s="20" t="str">
        <f>IFERROR(__xludf.DUMMYFUNCTION("""COMPUTED_VALUE"""),"Uncle Sams Cider (04/04/2023)")</f>
        <v>Uncle Sams Cider (04/04/2023)</v>
      </c>
      <c r="H526" s="19"/>
    </row>
    <row r="527">
      <c r="A527" s="9"/>
      <c r="B527" s="15"/>
      <c r="C527" s="9">
        <f>IFERROR(__xludf.DUMMYFUNCTION("""COMPUTED_VALUE"""),45139.125931331)</f>
        <v>45139.12593</v>
      </c>
      <c r="D527" s="15">
        <f>IFERROR(__xludf.DUMMYFUNCTION("""COMPUTED_VALUE"""),0.998)</f>
        <v>0.998</v>
      </c>
      <c r="E527" s="16">
        <f>IFERROR(__xludf.DUMMYFUNCTION("""COMPUTED_VALUE"""),72.0)</f>
        <v>72</v>
      </c>
      <c r="F527" s="19" t="str">
        <f>IFERROR(__xludf.DUMMYFUNCTION("""COMPUTED_VALUE"""),"BLUE")</f>
        <v>BLUE</v>
      </c>
      <c r="G527" s="20" t="str">
        <f>IFERROR(__xludf.DUMMYFUNCTION("""COMPUTED_VALUE"""),"Uncle Sams Cider (04/04/2023)")</f>
        <v>Uncle Sams Cider (04/04/2023)</v>
      </c>
      <c r="H527" s="19"/>
    </row>
    <row r="528">
      <c r="A528" s="9"/>
      <c r="B528" s="15"/>
      <c r="C528" s="9">
        <f>IFERROR(__xludf.DUMMYFUNCTION("""COMPUTED_VALUE"""),45139.1155094907)</f>
        <v>45139.11551</v>
      </c>
      <c r="D528" s="15">
        <f>IFERROR(__xludf.DUMMYFUNCTION("""COMPUTED_VALUE"""),0.998)</f>
        <v>0.998</v>
      </c>
      <c r="E528" s="16">
        <f>IFERROR(__xludf.DUMMYFUNCTION("""COMPUTED_VALUE"""),72.0)</f>
        <v>72</v>
      </c>
      <c r="F528" s="19" t="str">
        <f>IFERROR(__xludf.DUMMYFUNCTION("""COMPUTED_VALUE"""),"BLUE")</f>
        <v>BLUE</v>
      </c>
      <c r="G528" s="20" t="str">
        <f>IFERROR(__xludf.DUMMYFUNCTION("""COMPUTED_VALUE"""),"Uncle Sams Cider (04/04/2023)")</f>
        <v>Uncle Sams Cider (04/04/2023)</v>
      </c>
      <c r="H528" s="19"/>
    </row>
    <row r="529">
      <c r="A529" s="9"/>
      <c r="B529" s="15"/>
      <c r="C529" s="9">
        <f>IFERROR(__xludf.DUMMYFUNCTION("""COMPUTED_VALUE"""),45139.1050878703)</f>
        <v>45139.10509</v>
      </c>
      <c r="D529" s="15">
        <f>IFERROR(__xludf.DUMMYFUNCTION("""COMPUTED_VALUE"""),0.998)</f>
        <v>0.998</v>
      </c>
      <c r="E529" s="16">
        <f>IFERROR(__xludf.DUMMYFUNCTION("""COMPUTED_VALUE"""),72.0)</f>
        <v>72</v>
      </c>
      <c r="F529" s="19" t="str">
        <f>IFERROR(__xludf.DUMMYFUNCTION("""COMPUTED_VALUE"""),"BLUE")</f>
        <v>BLUE</v>
      </c>
      <c r="G529" s="20" t="str">
        <f>IFERROR(__xludf.DUMMYFUNCTION("""COMPUTED_VALUE"""),"Uncle Sams Cider (04/04/2023)")</f>
        <v>Uncle Sams Cider (04/04/2023)</v>
      </c>
      <c r="H529" s="19"/>
    </row>
    <row r="530">
      <c r="A530" s="9"/>
      <c r="B530" s="15"/>
      <c r="C530" s="9">
        <f>IFERROR(__xludf.DUMMYFUNCTION("""COMPUTED_VALUE"""),45139.0946655439)</f>
        <v>45139.09467</v>
      </c>
      <c r="D530" s="15">
        <f>IFERROR(__xludf.DUMMYFUNCTION("""COMPUTED_VALUE"""),0.998)</f>
        <v>0.998</v>
      </c>
      <c r="E530" s="16">
        <f>IFERROR(__xludf.DUMMYFUNCTION("""COMPUTED_VALUE"""),72.0)</f>
        <v>72</v>
      </c>
      <c r="F530" s="19" t="str">
        <f>IFERROR(__xludf.DUMMYFUNCTION("""COMPUTED_VALUE"""),"BLUE")</f>
        <v>BLUE</v>
      </c>
      <c r="G530" s="20" t="str">
        <f>IFERROR(__xludf.DUMMYFUNCTION("""COMPUTED_VALUE"""),"Uncle Sams Cider (04/04/2023)")</f>
        <v>Uncle Sams Cider (04/04/2023)</v>
      </c>
      <c r="H530" s="19"/>
    </row>
    <row r="531">
      <c r="A531" s="9"/>
      <c r="B531" s="15"/>
      <c r="C531" s="9">
        <f>IFERROR(__xludf.DUMMYFUNCTION("""COMPUTED_VALUE"""),45139.084242662)</f>
        <v>45139.08424</v>
      </c>
      <c r="D531" s="15">
        <f>IFERROR(__xludf.DUMMYFUNCTION("""COMPUTED_VALUE"""),0.999)</f>
        <v>0.999</v>
      </c>
      <c r="E531" s="16">
        <f>IFERROR(__xludf.DUMMYFUNCTION("""COMPUTED_VALUE"""),72.0)</f>
        <v>72</v>
      </c>
      <c r="F531" s="19" t="str">
        <f>IFERROR(__xludf.DUMMYFUNCTION("""COMPUTED_VALUE"""),"BLUE")</f>
        <v>BLUE</v>
      </c>
      <c r="G531" s="20" t="str">
        <f>IFERROR(__xludf.DUMMYFUNCTION("""COMPUTED_VALUE"""),"Uncle Sams Cider (04/04/2023)")</f>
        <v>Uncle Sams Cider (04/04/2023)</v>
      </c>
      <c r="H531" s="19"/>
    </row>
    <row r="532">
      <c r="A532" s="9"/>
      <c r="B532" s="15"/>
      <c r="C532" s="9">
        <f>IFERROR(__xludf.DUMMYFUNCTION("""COMPUTED_VALUE"""),45139.0738206713)</f>
        <v>45139.07382</v>
      </c>
      <c r="D532" s="15">
        <f>IFERROR(__xludf.DUMMYFUNCTION("""COMPUTED_VALUE"""),0.998)</f>
        <v>0.998</v>
      </c>
      <c r="E532" s="16">
        <f>IFERROR(__xludf.DUMMYFUNCTION("""COMPUTED_VALUE"""),72.0)</f>
        <v>72</v>
      </c>
      <c r="F532" s="19" t="str">
        <f>IFERROR(__xludf.DUMMYFUNCTION("""COMPUTED_VALUE"""),"BLUE")</f>
        <v>BLUE</v>
      </c>
      <c r="G532" s="20" t="str">
        <f>IFERROR(__xludf.DUMMYFUNCTION("""COMPUTED_VALUE"""),"Uncle Sams Cider (04/04/2023)")</f>
        <v>Uncle Sams Cider (04/04/2023)</v>
      </c>
      <c r="H532" s="19"/>
    </row>
    <row r="533">
      <c r="A533" s="9"/>
      <c r="B533" s="15"/>
      <c r="C533" s="9">
        <f>IFERROR(__xludf.DUMMYFUNCTION("""COMPUTED_VALUE"""),45139.0634006134)</f>
        <v>45139.0634</v>
      </c>
      <c r="D533" s="15">
        <f>IFERROR(__xludf.DUMMYFUNCTION("""COMPUTED_VALUE"""),0.999)</f>
        <v>0.999</v>
      </c>
      <c r="E533" s="16">
        <f>IFERROR(__xludf.DUMMYFUNCTION("""COMPUTED_VALUE"""),72.0)</f>
        <v>72</v>
      </c>
      <c r="F533" s="19" t="str">
        <f>IFERROR(__xludf.DUMMYFUNCTION("""COMPUTED_VALUE"""),"BLUE")</f>
        <v>BLUE</v>
      </c>
      <c r="G533" s="20" t="str">
        <f>IFERROR(__xludf.DUMMYFUNCTION("""COMPUTED_VALUE"""),"Uncle Sams Cider (04/04/2023)")</f>
        <v>Uncle Sams Cider (04/04/2023)</v>
      </c>
      <c r="H533" s="19"/>
    </row>
    <row r="534">
      <c r="A534" s="9"/>
      <c r="B534" s="15"/>
      <c r="C534" s="9">
        <f>IFERROR(__xludf.DUMMYFUNCTION("""COMPUTED_VALUE"""),45139.0529798379)</f>
        <v>45139.05298</v>
      </c>
      <c r="D534" s="15">
        <f>IFERROR(__xludf.DUMMYFUNCTION("""COMPUTED_VALUE"""),0.998)</f>
        <v>0.998</v>
      </c>
      <c r="E534" s="16">
        <f>IFERROR(__xludf.DUMMYFUNCTION("""COMPUTED_VALUE"""),72.0)</f>
        <v>72</v>
      </c>
      <c r="F534" s="19" t="str">
        <f>IFERROR(__xludf.DUMMYFUNCTION("""COMPUTED_VALUE"""),"BLUE")</f>
        <v>BLUE</v>
      </c>
      <c r="G534" s="20" t="str">
        <f>IFERROR(__xludf.DUMMYFUNCTION("""COMPUTED_VALUE"""),"Uncle Sams Cider (04/04/2023)")</f>
        <v>Uncle Sams Cider (04/04/2023)</v>
      </c>
      <c r="H534" s="19"/>
    </row>
    <row r="535">
      <c r="A535" s="9"/>
      <c r="B535" s="15"/>
      <c r="C535" s="9">
        <f>IFERROR(__xludf.DUMMYFUNCTION("""COMPUTED_VALUE"""),45139.0425472338)</f>
        <v>45139.04255</v>
      </c>
      <c r="D535" s="15">
        <f>IFERROR(__xludf.DUMMYFUNCTION("""COMPUTED_VALUE"""),0.998)</f>
        <v>0.998</v>
      </c>
      <c r="E535" s="16">
        <f>IFERROR(__xludf.DUMMYFUNCTION("""COMPUTED_VALUE"""),72.0)</f>
        <v>72</v>
      </c>
      <c r="F535" s="19" t="str">
        <f>IFERROR(__xludf.DUMMYFUNCTION("""COMPUTED_VALUE"""),"BLUE")</f>
        <v>BLUE</v>
      </c>
      <c r="G535" s="20" t="str">
        <f>IFERROR(__xludf.DUMMYFUNCTION("""COMPUTED_VALUE"""),"Uncle Sams Cider (04/04/2023)")</f>
        <v>Uncle Sams Cider (04/04/2023)</v>
      </c>
      <c r="H535" s="19"/>
    </row>
    <row r="536">
      <c r="A536" s="9"/>
      <c r="B536" s="15"/>
      <c r="C536" s="9">
        <f>IFERROR(__xludf.DUMMYFUNCTION("""COMPUTED_VALUE"""),45139.0321247801)</f>
        <v>45139.03212</v>
      </c>
      <c r="D536" s="15">
        <f>IFERROR(__xludf.DUMMYFUNCTION("""COMPUTED_VALUE"""),0.998)</f>
        <v>0.998</v>
      </c>
      <c r="E536" s="16">
        <f>IFERROR(__xludf.DUMMYFUNCTION("""COMPUTED_VALUE"""),72.0)</f>
        <v>72</v>
      </c>
      <c r="F536" s="19" t="str">
        <f>IFERROR(__xludf.DUMMYFUNCTION("""COMPUTED_VALUE"""),"BLUE")</f>
        <v>BLUE</v>
      </c>
      <c r="G536" s="20" t="str">
        <f>IFERROR(__xludf.DUMMYFUNCTION("""COMPUTED_VALUE"""),"Uncle Sams Cider (04/04/2023)")</f>
        <v>Uncle Sams Cider (04/04/2023)</v>
      </c>
      <c r="H536" s="19"/>
    </row>
    <row r="537">
      <c r="A537" s="9"/>
      <c r="B537" s="15"/>
      <c r="C537" s="9">
        <f>IFERROR(__xludf.DUMMYFUNCTION("""COMPUTED_VALUE"""),45139.0216798611)</f>
        <v>45139.02168</v>
      </c>
      <c r="D537" s="15">
        <f>IFERROR(__xludf.DUMMYFUNCTION("""COMPUTED_VALUE"""),0.998)</f>
        <v>0.998</v>
      </c>
      <c r="E537" s="16">
        <f>IFERROR(__xludf.DUMMYFUNCTION("""COMPUTED_VALUE"""),72.0)</f>
        <v>72</v>
      </c>
      <c r="F537" s="19" t="str">
        <f>IFERROR(__xludf.DUMMYFUNCTION("""COMPUTED_VALUE"""),"BLUE")</f>
        <v>BLUE</v>
      </c>
      <c r="G537" s="20" t="str">
        <f>IFERROR(__xludf.DUMMYFUNCTION("""COMPUTED_VALUE"""),"Uncle Sams Cider (04/04/2023)")</f>
        <v>Uncle Sams Cider (04/04/2023)</v>
      </c>
      <c r="H537" s="19"/>
    </row>
    <row r="538">
      <c r="A538" s="9"/>
      <c r="B538" s="15"/>
      <c r="C538" s="9">
        <f>IFERROR(__xludf.DUMMYFUNCTION("""COMPUTED_VALUE"""),45139.0112592592)</f>
        <v>45139.01126</v>
      </c>
      <c r="D538" s="15">
        <f>IFERROR(__xludf.DUMMYFUNCTION("""COMPUTED_VALUE"""),0.998)</f>
        <v>0.998</v>
      </c>
      <c r="E538" s="16">
        <f>IFERROR(__xludf.DUMMYFUNCTION("""COMPUTED_VALUE"""),72.0)</f>
        <v>72</v>
      </c>
      <c r="F538" s="19" t="str">
        <f>IFERROR(__xludf.DUMMYFUNCTION("""COMPUTED_VALUE"""),"BLUE")</f>
        <v>BLUE</v>
      </c>
      <c r="G538" s="20" t="str">
        <f>IFERROR(__xludf.DUMMYFUNCTION("""COMPUTED_VALUE"""),"Uncle Sams Cider (04/04/2023)")</f>
        <v>Uncle Sams Cider (04/04/2023)</v>
      </c>
      <c r="H538" s="19"/>
    </row>
    <row r="539">
      <c r="A539" s="9"/>
      <c r="B539" s="15"/>
      <c r="C539" s="9">
        <f>IFERROR(__xludf.DUMMYFUNCTION("""COMPUTED_VALUE"""),45139.0008390856)</f>
        <v>45139.00084</v>
      </c>
      <c r="D539" s="15">
        <f>IFERROR(__xludf.DUMMYFUNCTION("""COMPUTED_VALUE"""),0.999)</f>
        <v>0.999</v>
      </c>
      <c r="E539" s="16">
        <f>IFERROR(__xludf.DUMMYFUNCTION("""COMPUTED_VALUE"""),72.0)</f>
        <v>72</v>
      </c>
      <c r="F539" s="19" t="str">
        <f>IFERROR(__xludf.DUMMYFUNCTION("""COMPUTED_VALUE"""),"BLUE")</f>
        <v>BLUE</v>
      </c>
      <c r="G539" s="20" t="str">
        <f>IFERROR(__xludf.DUMMYFUNCTION("""COMPUTED_VALUE"""),"Uncle Sams Cider (04/04/2023)")</f>
        <v>Uncle Sams Cider (04/04/2023)</v>
      </c>
      <c r="H539" s="19"/>
    </row>
    <row r="540">
      <c r="A540" s="9"/>
      <c r="B540" s="15"/>
      <c r="C540" s="9">
        <f>IFERROR(__xludf.DUMMYFUNCTION("""COMPUTED_VALUE"""),45138.9904175)</f>
        <v>45138.99042</v>
      </c>
      <c r="D540" s="15">
        <f>IFERROR(__xludf.DUMMYFUNCTION("""COMPUTED_VALUE"""),0.998)</f>
        <v>0.998</v>
      </c>
      <c r="E540" s="16">
        <f>IFERROR(__xludf.DUMMYFUNCTION("""COMPUTED_VALUE"""),72.0)</f>
        <v>72</v>
      </c>
      <c r="F540" s="19" t="str">
        <f>IFERROR(__xludf.DUMMYFUNCTION("""COMPUTED_VALUE"""),"BLUE")</f>
        <v>BLUE</v>
      </c>
      <c r="G540" s="20" t="str">
        <f>IFERROR(__xludf.DUMMYFUNCTION("""COMPUTED_VALUE"""),"Uncle Sams Cider (04/04/2023)")</f>
        <v>Uncle Sams Cider (04/04/2023)</v>
      </c>
      <c r="H540" s="19"/>
    </row>
    <row r="541">
      <c r="A541" s="9"/>
      <c r="B541" s="15"/>
      <c r="C541" s="9">
        <f>IFERROR(__xludf.DUMMYFUNCTION("""COMPUTED_VALUE"""),45138.9799963888)</f>
        <v>45138.98</v>
      </c>
      <c r="D541" s="15">
        <f>IFERROR(__xludf.DUMMYFUNCTION("""COMPUTED_VALUE"""),0.998)</f>
        <v>0.998</v>
      </c>
      <c r="E541" s="16">
        <f>IFERROR(__xludf.DUMMYFUNCTION("""COMPUTED_VALUE"""),72.0)</f>
        <v>72</v>
      </c>
      <c r="F541" s="19" t="str">
        <f>IFERROR(__xludf.DUMMYFUNCTION("""COMPUTED_VALUE"""),"BLUE")</f>
        <v>BLUE</v>
      </c>
      <c r="G541" s="20" t="str">
        <f>IFERROR(__xludf.DUMMYFUNCTION("""COMPUTED_VALUE"""),"Uncle Sams Cider (04/04/2023)")</f>
        <v>Uncle Sams Cider (04/04/2023)</v>
      </c>
      <c r="H541" s="19"/>
    </row>
    <row r="542">
      <c r="A542" s="9"/>
      <c r="B542" s="15"/>
      <c r="C542" s="9">
        <f>IFERROR(__xludf.DUMMYFUNCTION("""COMPUTED_VALUE"""),45138.9695746643)</f>
        <v>45138.96957</v>
      </c>
      <c r="D542" s="15">
        <f>IFERROR(__xludf.DUMMYFUNCTION("""COMPUTED_VALUE"""),0.998)</f>
        <v>0.998</v>
      </c>
      <c r="E542" s="16">
        <f>IFERROR(__xludf.DUMMYFUNCTION("""COMPUTED_VALUE"""),72.0)</f>
        <v>72</v>
      </c>
      <c r="F542" s="19" t="str">
        <f>IFERROR(__xludf.DUMMYFUNCTION("""COMPUTED_VALUE"""),"BLUE")</f>
        <v>BLUE</v>
      </c>
      <c r="G542" s="20" t="str">
        <f>IFERROR(__xludf.DUMMYFUNCTION("""COMPUTED_VALUE"""),"Uncle Sams Cider (04/04/2023)")</f>
        <v>Uncle Sams Cider (04/04/2023)</v>
      </c>
      <c r="H542" s="19"/>
    </row>
    <row r="543">
      <c r="A543" s="9"/>
      <c r="B543" s="15"/>
      <c r="C543" s="9">
        <f>IFERROR(__xludf.DUMMYFUNCTION("""COMPUTED_VALUE"""),45138.9591531828)</f>
        <v>45138.95915</v>
      </c>
      <c r="D543" s="15">
        <f>IFERROR(__xludf.DUMMYFUNCTION("""COMPUTED_VALUE"""),0.998)</f>
        <v>0.998</v>
      </c>
      <c r="E543" s="16">
        <f>IFERROR(__xludf.DUMMYFUNCTION("""COMPUTED_VALUE"""),72.0)</f>
        <v>72</v>
      </c>
      <c r="F543" s="19" t="str">
        <f>IFERROR(__xludf.DUMMYFUNCTION("""COMPUTED_VALUE"""),"BLUE")</f>
        <v>BLUE</v>
      </c>
      <c r="G543" s="20" t="str">
        <f>IFERROR(__xludf.DUMMYFUNCTION("""COMPUTED_VALUE"""),"Uncle Sams Cider (04/04/2023)")</f>
        <v>Uncle Sams Cider (04/04/2023)</v>
      </c>
      <c r="H543" s="19"/>
    </row>
    <row r="544">
      <c r="A544" s="9"/>
      <c r="B544" s="15"/>
      <c r="C544" s="9">
        <f>IFERROR(__xludf.DUMMYFUNCTION("""COMPUTED_VALUE"""),45138.9487315162)</f>
        <v>45138.94873</v>
      </c>
      <c r="D544" s="15">
        <f>IFERROR(__xludf.DUMMYFUNCTION("""COMPUTED_VALUE"""),0.998)</f>
        <v>0.998</v>
      </c>
      <c r="E544" s="16">
        <f>IFERROR(__xludf.DUMMYFUNCTION("""COMPUTED_VALUE"""),72.0)</f>
        <v>72</v>
      </c>
      <c r="F544" s="19" t="str">
        <f>IFERROR(__xludf.DUMMYFUNCTION("""COMPUTED_VALUE"""),"BLUE")</f>
        <v>BLUE</v>
      </c>
      <c r="G544" s="20" t="str">
        <f>IFERROR(__xludf.DUMMYFUNCTION("""COMPUTED_VALUE"""),"Uncle Sams Cider (04/04/2023)")</f>
        <v>Uncle Sams Cider (04/04/2023)</v>
      </c>
      <c r="H544" s="19"/>
    </row>
    <row r="545">
      <c r="A545" s="9"/>
      <c r="B545" s="15"/>
      <c r="C545" s="9">
        <f>IFERROR(__xludf.DUMMYFUNCTION("""COMPUTED_VALUE"""),45138.9383103356)</f>
        <v>45138.93831</v>
      </c>
      <c r="D545" s="15">
        <f>IFERROR(__xludf.DUMMYFUNCTION("""COMPUTED_VALUE"""),0.998)</f>
        <v>0.998</v>
      </c>
      <c r="E545" s="16">
        <f>IFERROR(__xludf.DUMMYFUNCTION("""COMPUTED_VALUE"""),72.0)</f>
        <v>72</v>
      </c>
      <c r="F545" s="19" t="str">
        <f>IFERROR(__xludf.DUMMYFUNCTION("""COMPUTED_VALUE"""),"BLUE")</f>
        <v>BLUE</v>
      </c>
      <c r="G545" s="20" t="str">
        <f>IFERROR(__xludf.DUMMYFUNCTION("""COMPUTED_VALUE"""),"Uncle Sams Cider (04/04/2023)")</f>
        <v>Uncle Sams Cider (04/04/2023)</v>
      </c>
      <c r="H545" s="19"/>
    </row>
    <row r="546">
      <c r="A546" s="9"/>
      <c r="B546" s="15"/>
      <c r="C546" s="9">
        <f>IFERROR(__xludf.DUMMYFUNCTION("""COMPUTED_VALUE"""),45138.9278889236)</f>
        <v>45138.92789</v>
      </c>
      <c r="D546" s="15">
        <f>IFERROR(__xludf.DUMMYFUNCTION("""COMPUTED_VALUE"""),0.998)</f>
        <v>0.998</v>
      </c>
      <c r="E546" s="16">
        <f>IFERROR(__xludf.DUMMYFUNCTION("""COMPUTED_VALUE"""),72.0)</f>
        <v>72</v>
      </c>
      <c r="F546" s="19" t="str">
        <f>IFERROR(__xludf.DUMMYFUNCTION("""COMPUTED_VALUE"""),"BLUE")</f>
        <v>BLUE</v>
      </c>
      <c r="G546" s="20" t="str">
        <f>IFERROR(__xludf.DUMMYFUNCTION("""COMPUTED_VALUE"""),"Uncle Sams Cider (04/04/2023)")</f>
        <v>Uncle Sams Cider (04/04/2023)</v>
      </c>
      <c r="H546" s="19"/>
    </row>
    <row r="547">
      <c r="A547" s="9"/>
      <c r="B547" s="15"/>
      <c r="C547" s="9">
        <f>IFERROR(__xludf.DUMMYFUNCTION("""COMPUTED_VALUE"""),45138.9174686342)</f>
        <v>45138.91747</v>
      </c>
      <c r="D547" s="15">
        <f>IFERROR(__xludf.DUMMYFUNCTION("""COMPUTED_VALUE"""),0.999)</f>
        <v>0.999</v>
      </c>
      <c r="E547" s="16">
        <f>IFERROR(__xludf.DUMMYFUNCTION("""COMPUTED_VALUE"""),72.0)</f>
        <v>72</v>
      </c>
      <c r="F547" s="19" t="str">
        <f>IFERROR(__xludf.DUMMYFUNCTION("""COMPUTED_VALUE"""),"BLUE")</f>
        <v>BLUE</v>
      </c>
      <c r="G547" s="20" t="str">
        <f>IFERROR(__xludf.DUMMYFUNCTION("""COMPUTED_VALUE"""),"Uncle Sams Cider (04/04/2023)")</f>
        <v>Uncle Sams Cider (04/04/2023)</v>
      </c>
      <c r="H547" s="19"/>
    </row>
    <row r="548">
      <c r="A548" s="9"/>
      <c r="B548" s="15"/>
      <c r="C548" s="9">
        <f>IFERROR(__xludf.DUMMYFUNCTION("""COMPUTED_VALUE"""),45138.9070473842)</f>
        <v>45138.90705</v>
      </c>
      <c r="D548" s="15">
        <f>IFERROR(__xludf.DUMMYFUNCTION("""COMPUTED_VALUE"""),0.998)</f>
        <v>0.998</v>
      </c>
      <c r="E548" s="16">
        <f>IFERROR(__xludf.DUMMYFUNCTION("""COMPUTED_VALUE"""),72.0)</f>
        <v>72</v>
      </c>
      <c r="F548" s="19" t="str">
        <f>IFERROR(__xludf.DUMMYFUNCTION("""COMPUTED_VALUE"""),"BLUE")</f>
        <v>BLUE</v>
      </c>
      <c r="G548" s="20" t="str">
        <f>IFERROR(__xludf.DUMMYFUNCTION("""COMPUTED_VALUE"""),"Uncle Sams Cider (04/04/2023)")</f>
        <v>Uncle Sams Cider (04/04/2023)</v>
      </c>
      <c r="H548" s="19"/>
    </row>
    <row r="549">
      <c r="A549" s="9"/>
      <c r="B549" s="15"/>
      <c r="C549" s="9">
        <f>IFERROR(__xludf.DUMMYFUNCTION("""COMPUTED_VALUE"""),45138.8966269444)</f>
        <v>45138.89663</v>
      </c>
      <c r="D549" s="15">
        <f>IFERROR(__xludf.DUMMYFUNCTION("""COMPUTED_VALUE"""),0.998)</f>
        <v>0.998</v>
      </c>
      <c r="E549" s="16">
        <f>IFERROR(__xludf.DUMMYFUNCTION("""COMPUTED_VALUE"""),72.0)</f>
        <v>72</v>
      </c>
      <c r="F549" s="19" t="str">
        <f>IFERROR(__xludf.DUMMYFUNCTION("""COMPUTED_VALUE"""),"BLUE")</f>
        <v>BLUE</v>
      </c>
      <c r="G549" s="20" t="str">
        <f>IFERROR(__xludf.DUMMYFUNCTION("""COMPUTED_VALUE"""),"Uncle Sams Cider (04/04/2023)")</f>
        <v>Uncle Sams Cider (04/04/2023)</v>
      </c>
      <c r="H549" s="19"/>
    </row>
    <row r="550">
      <c r="A550" s="9"/>
      <c r="B550" s="15"/>
      <c r="C550" s="9">
        <f>IFERROR(__xludf.DUMMYFUNCTION("""COMPUTED_VALUE"""),45138.8862070717)</f>
        <v>45138.88621</v>
      </c>
      <c r="D550" s="15">
        <f>IFERROR(__xludf.DUMMYFUNCTION("""COMPUTED_VALUE"""),0.998)</f>
        <v>0.998</v>
      </c>
      <c r="E550" s="16">
        <f>IFERROR(__xludf.DUMMYFUNCTION("""COMPUTED_VALUE"""),72.0)</f>
        <v>72</v>
      </c>
      <c r="F550" s="19" t="str">
        <f>IFERROR(__xludf.DUMMYFUNCTION("""COMPUTED_VALUE"""),"BLUE")</f>
        <v>BLUE</v>
      </c>
      <c r="G550" s="20" t="str">
        <f>IFERROR(__xludf.DUMMYFUNCTION("""COMPUTED_VALUE"""),"Uncle Sams Cider (04/04/2023)")</f>
        <v>Uncle Sams Cider (04/04/2023)</v>
      </c>
      <c r="H550" s="19"/>
    </row>
    <row r="551">
      <c r="A551" s="9"/>
      <c r="B551" s="15"/>
      <c r="C551" s="9">
        <f>IFERROR(__xludf.DUMMYFUNCTION("""COMPUTED_VALUE"""),45138.8757852083)</f>
        <v>45138.87579</v>
      </c>
      <c r="D551" s="15">
        <f>IFERROR(__xludf.DUMMYFUNCTION("""COMPUTED_VALUE"""),0.998)</f>
        <v>0.998</v>
      </c>
      <c r="E551" s="16">
        <f>IFERROR(__xludf.DUMMYFUNCTION("""COMPUTED_VALUE"""),72.0)</f>
        <v>72</v>
      </c>
      <c r="F551" s="19" t="str">
        <f>IFERROR(__xludf.DUMMYFUNCTION("""COMPUTED_VALUE"""),"BLUE")</f>
        <v>BLUE</v>
      </c>
      <c r="G551" s="20" t="str">
        <f>IFERROR(__xludf.DUMMYFUNCTION("""COMPUTED_VALUE"""),"Uncle Sams Cider (04/04/2023)")</f>
        <v>Uncle Sams Cider (04/04/2023)</v>
      </c>
      <c r="H551" s="19"/>
    </row>
    <row r="552">
      <c r="A552" s="9"/>
      <c r="B552" s="15"/>
      <c r="C552" s="9">
        <f>IFERROR(__xludf.DUMMYFUNCTION("""COMPUTED_VALUE"""),45138.8653644444)</f>
        <v>45138.86536</v>
      </c>
      <c r="D552" s="15">
        <f>IFERROR(__xludf.DUMMYFUNCTION("""COMPUTED_VALUE"""),0.998)</f>
        <v>0.998</v>
      </c>
      <c r="E552" s="16">
        <f>IFERROR(__xludf.DUMMYFUNCTION("""COMPUTED_VALUE"""),72.0)</f>
        <v>72</v>
      </c>
      <c r="F552" s="19" t="str">
        <f>IFERROR(__xludf.DUMMYFUNCTION("""COMPUTED_VALUE"""),"BLUE")</f>
        <v>BLUE</v>
      </c>
      <c r="G552" s="20" t="str">
        <f>IFERROR(__xludf.DUMMYFUNCTION("""COMPUTED_VALUE"""),"Uncle Sams Cider (04/04/2023)")</f>
        <v>Uncle Sams Cider (04/04/2023)</v>
      </c>
      <c r="H552" s="19"/>
    </row>
    <row r="553">
      <c r="A553" s="9"/>
      <c r="B553" s="15"/>
      <c r="C553" s="9">
        <f>IFERROR(__xludf.DUMMYFUNCTION("""COMPUTED_VALUE"""),45138.8549448842)</f>
        <v>45138.85494</v>
      </c>
      <c r="D553" s="15">
        <f>IFERROR(__xludf.DUMMYFUNCTION("""COMPUTED_VALUE"""),0.998)</f>
        <v>0.998</v>
      </c>
      <c r="E553" s="16">
        <f>IFERROR(__xludf.DUMMYFUNCTION("""COMPUTED_VALUE"""),72.0)</f>
        <v>72</v>
      </c>
      <c r="F553" s="19" t="str">
        <f>IFERROR(__xludf.DUMMYFUNCTION("""COMPUTED_VALUE"""),"BLUE")</f>
        <v>BLUE</v>
      </c>
      <c r="G553" s="20" t="str">
        <f>IFERROR(__xludf.DUMMYFUNCTION("""COMPUTED_VALUE"""),"Uncle Sams Cider (04/04/2023)")</f>
        <v>Uncle Sams Cider (04/04/2023)</v>
      </c>
      <c r="H553" s="19"/>
    </row>
    <row r="554">
      <c r="A554" s="9"/>
      <c r="B554" s="15"/>
      <c r="C554" s="9">
        <f>IFERROR(__xludf.DUMMYFUNCTION("""COMPUTED_VALUE"""),45138.8444893055)</f>
        <v>45138.84449</v>
      </c>
      <c r="D554" s="15">
        <f>IFERROR(__xludf.DUMMYFUNCTION("""COMPUTED_VALUE"""),0.998)</f>
        <v>0.998</v>
      </c>
      <c r="E554" s="16">
        <f>IFERROR(__xludf.DUMMYFUNCTION("""COMPUTED_VALUE"""),72.0)</f>
        <v>72</v>
      </c>
      <c r="F554" s="19" t="str">
        <f>IFERROR(__xludf.DUMMYFUNCTION("""COMPUTED_VALUE"""),"BLUE")</f>
        <v>BLUE</v>
      </c>
      <c r="G554" s="20" t="str">
        <f>IFERROR(__xludf.DUMMYFUNCTION("""COMPUTED_VALUE"""),"Uncle Sams Cider (04/04/2023)")</f>
        <v>Uncle Sams Cider (04/04/2023)</v>
      </c>
      <c r="H554" s="19"/>
    </row>
    <row r="555">
      <c r="A555" s="9"/>
      <c r="B555" s="15"/>
      <c r="C555" s="9">
        <f>IFERROR(__xludf.DUMMYFUNCTION("""COMPUTED_VALUE"""),45138.8340676967)</f>
        <v>45138.83407</v>
      </c>
      <c r="D555" s="15">
        <f>IFERROR(__xludf.DUMMYFUNCTION("""COMPUTED_VALUE"""),0.998)</f>
        <v>0.998</v>
      </c>
      <c r="E555" s="16">
        <f>IFERROR(__xludf.DUMMYFUNCTION("""COMPUTED_VALUE"""),72.0)</f>
        <v>72</v>
      </c>
      <c r="F555" s="19" t="str">
        <f>IFERROR(__xludf.DUMMYFUNCTION("""COMPUTED_VALUE"""),"BLUE")</f>
        <v>BLUE</v>
      </c>
      <c r="G555" s="20" t="str">
        <f>IFERROR(__xludf.DUMMYFUNCTION("""COMPUTED_VALUE"""),"Uncle Sams Cider (04/04/2023)")</f>
        <v>Uncle Sams Cider (04/04/2023)</v>
      </c>
      <c r="H555" s="19"/>
    </row>
    <row r="556">
      <c r="A556" s="9"/>
      <c r="B556" s="15"/>
      <c r="C556" s="9">
        <f>IFERROR(__xludf.DUMMYFUNCTION("""COMPUTED_VALUE"""),45138.8236476388)</f>
        <v>45138.82365</v>
      </c>
      <c r="D556" s="15">
        <f>IFERROR(__xludf.DUMMYFUNCTION("""COMPUTED_VALUE"""),0.998)</f>
        <v>0.998</v>
      </c>
      <c r="E556" s="16">
        <f>IFERROR(__xludf.DUMMYFUNCTION("""COMPUTED_VALUE"""),72.0)</f>
        <v>72</v>
      </c>
      <c r="F556" s="19" t="str">
        <f>IFERROR(__xludf.DUMMYFUNCTION("""COMPUTED_VALUE"""),"BLUE")</f>
        <v>BLUE</v>
      </c>
      <c r="G556" s="20" t="str">
        <f>IFERROR(__xludf.DUMMYFUNCTION("""COMPUTED_VALUE"""),"Uncle Sams Cider (04/04/2023)")</f>
        <v>Uncle Sams Cider (04/04/2023)</v>
      </c>
      <c r="H556" s="19"/>
    </row>
    <row r="557">
      <c r="A557" s="9"/>
      <c r="B557" s="15"/>
      <c r="C557" s="9">
        <f>IFERROR(__xludf.DUMMYFUNCTION("""COMPUTED_VALUE"""),45138.8132259837)</f>
        <v>45138.81323</v>
      </c>
      <c r="D557" s="15">
        <f>IFERROR(__xludf.DUMMYFUNCTION("""COMPUTED_VALUE"""),0.998)</f>
        <v>0.998</v>
      </c>
      <c r="E557" s="16">
        <f>IFERROR(__xludf.DUMMYFUNCTION("""COMPUTED_VALUE"""),72.0)</f>
        <v>72</v>
      </c>
      <c r="F557" s="19" t="str">
        <f>IFERROR(__xludf.DUMMYFUNCTION("""COMPUTED_VALUE"""),"BLUE")</f>
        <v>BLUE</v>
      </c>
      <c r="G557" s="20" t="str">
        <f>IFERROR(__xludf.DUMMYFUNCTION("""COMPUTED_VALUE"""),"Uncle Sams Cider (04/04/2023)")</f>
        <v>Uncle Sams Cider (04/04/2023)</v>
      </c>
      <c r="H557" s="19"/>
    </row>
    <row r="558">
      <c r="A558" s="9"/>
      <c r="B558" s="15"/>
      <c r="C558" s="9">
        <f>IFERROR(__xludf.DUMMYFUNCTION("""COMPUTED_VALUE"""),45138.8027907175)</f>
        <v>45138.80279</v>
      </c>
      <c r="D558" s="15">
        <f>IFERROR(__xludf.DUMMYFUNCTION("""COMPUTED_VALUE"""),0.998)</f>
        <v>0.998</v>
      </c>
      <c r="E558" s="16">
        <f>IFERROR(__xludf.DUMMYFUNCTION("""COMPUTED_VALUE"""),72.0)</f>
        <v>72</v>
      </c>
      <c r="F558" s="19" t="str">
        <f>IFERROR(__xludf.DUMMYFUNCTION("""COMPUTED_VALUE"""),"BLUE")</f>
        <v>BLUE</v>
      </c>
      <c r="G558" s="20" t="str">
        <f>IFERROR(__xludf.DUMMYFUNCTION("""COMPUTED_VALUE"""),"Uncle Sams Cider (04/04/2023)")</f>
        <v>Uncle Sams Cider (04/04/2023)</v>
      </c>
      <c r="H558" s="19"/>
    </row>
    <row r="559">
      <c r="A559" s="9"/>
      <c r="B559" s="15"/>
      <c r="C559" s="9">
        <f>IFERROR(__xludf.DUMMYFUNCTION("""COMPUTED_VALUE"""),45138.7923581713)</f>
        <v>45138.79236</v>
      </c>
      <c r="D559" s="15">
        <f>IFERROR(__xludf.DUMMYFUNCTION("""COMPUTED_VALUE"""),0.998)</f>
        <v>0.998</v>
      </c>
      <c r="E559" s="16">
        <f>IFERROR(__xludf.DUMMYFUNCTION("""COMPUTED_VALUE"""),72.0)</f>
        <v>72</v>
      </c>
      <c r="F559" s="19" t="str">
        <f>IFERROR(__xludf.DUMMYFUNCTION("""COMPUTED_VALUE"""),"BLUE")</f>
        <v>BLUE</v>
      </c>
      <c r="G559" s="20" t="str">
        <f>IFERROR(__xludf.DUMMYFUNCTION("""COMPUTED_VALUE"""),"Uncle Sams Cider (04/04/2023)")</f>
        <v>Uncle Sams Cider (04/04/2023)</v>
      </c>
      <c r="H559" s="19"/>
    </row>
    <row r="560">
      <c r="A560" s="9"/>
      <c r="B560" s="15"/>
      <c r="C560" s="9">
        <f>IFERROR(__xludf.DUMMYFUNCTION("""COMPUTED_VALUE"""),45138.7819371643)</f>
        <v>45138.78194</v>
      </c>
      <c r="D560" s="15">
        <f>IFERROR(__xludf.DUMMYFUNCTION("""COMPUTED_VALUE"""),0.998)</f>
        <v>0.998</v>
      </c>
      <c r="E560" s="16">
        <f>IFERROR(__xludf.DUMMYFUNCTION("""COMPUTED_VALUE"""),72.0)</f>
        <v>72</v>
      </c>
      <c r="F560" s="19" t="str">
        <f>IFERROR(__xludf.DUMMYFUNCTION("""COMPUTED_VALUE"""),"BLUE")</f>
        <v>BLUE</v>
      </c>
      <c r="G560" s="20" t="str">
        <f>IFERROR(__xludf.DUMMYFUNCTION("""COMPUTED_VALUE"""),"Uncle Sams Cider (04/04/2023)")</f>
        <v>Uncle Sams Cider (04/04/2023)</v>
      </c>
      <c r="H560" s="19"/>
    </row>
    <row r="561">
      <c r="A561" s="9"/>
      <c r="B561" s="15"/>
      <c r="C561" s="9">
        <f>IFERROR(__xludf.DUMMYFUNCTION("""COMPUTED_VALUE"""),45138.771515868)</f>
        <v>45138.77152</v>
      </c>
      <c r="D561" s="15">
        <f>IFERROR(__xludf.DUMMYFUNCTION("""COMPUTED_VALUE"""),0.998)</f>
        <v>0.998</v>
      </c>
      <c r="E561" s="16">
        <f>IFERROR(__xludf.DUMMYFUNCTION("""COMPUTED_VALUE"""),72.0)</f>
        <v>72</v>
      </c>
      <c r="F561" s="19" t="str">
        <f>IFERROR(__xludf.DUMMYFUNCTION("""COMPUTED_VALUE"""),"BLUE")</f>
        <v>BLUE</v>
      </c>
      <c r="G561" s="20" t="str">
        <f>IFERROR(__xludf.DUMMYFUNCTION("""COMPUTED_VALUE"""),"Uncle Sams Cider (04/04/2023)")</f>
        <v>Uncle Sams Cider (04/04/2023)</v>
      </c>
      <c r="H561" s="19"/>
    </row>
    <row r="562">
      <c r="A562" s="9"/>
      <c r="B562" s="15"/>
      <c r="C562" s="9">
        <f>IFERROR(__xludf.DUMMYFUNCTION("""COMPUTED_VALUE"""),45138.7610934606)</f>
        <v>45138.76109</v>
      </c>
      <c r="D562" s="15">
        <f>IFERROR(__xludf.DUMMYFUNCTION("""COMPUTED_VALUE"""),0.998)</f>
        <v>0.998</v>
      </c>
      <c r="E562" s="16">
        <f>IFERROR(__xludf.DUMMYFUNCTION("""COMPUTED_VALUE"""),72.0)</f>
        <v>72</v>
      </c>
      <c r="F562" s="19" t="str">
        <f>IFERROR(__xludf.DUMMYFUNCTION("""COMPUTED_VALUE"""),"BLUE")</f>
        <v>BLUE</v>
      </c>
      <c r="G562" s="20" t="str">
        <f>IFERROR(__xludf.DUMMYFUNCTION("""COMPUTED_VALUE"""),"Uncle Sams Cider (04/04/2023)")</f>
        <v>Uncle Sams Cider (04/04/2023)</v>
      </c>
      <c r="H562" s="19"/>
    </row>
    <row r="563">
      <c r="A563" s="9"/>
      <c r="B563" s="15"/>
      <c r="C563" s="9">
        <f>IFERROR(__xludf.DUMMYFUNCTION("""COMPUTED_VALUE"""),45138.7506720601)</f>
        <v>45138.75067</v>
      </c>
      <c r="D563" s="15">
        <f>IFERROR(__xludf.DUMMYFUNCTION("""COMPUTED_VALUE"""),0.998)</f>
        <v>0.998</v>
      </c>
      <c r="E563" s="16">
        <f>IFERROR(__xludf.DUMMYFUNCTION("""COMPUTED_VALUE"""),72.0)</f>
        <v>72</v>
      </c>
      <c r="F563" s="19" t="str">
        <f>IFERROR(__xludf.DUMMYFUNCTION("""COMPUTED_VALUE"""),"BLUE")</f>
        <v>BLUE</v>
      </c>
      <c r="G563" s="20" t="str">
        <f>IFERROR(__xludf.DUMMYFUNCTION("""COMPUTED_VALUE"""),"Uncle Sams Cider (04/04/2023)")</f>
        <v>Uncle Sams Cider (04/04/2023)</v>
      </c>
      <c r="H563" s="19"/>
    </row>
    <row r="564">
      <c r="A564" s="9"/>
      <c r="B564" s="15"/>
      <c r="C564" s="9">
        <f>IFERROR(__xludf.DUMMYFUNCTION("""COMPUTED_VALUE"""),45138.7402508449)</f>
        <v>45138.74025</v>
      </c>
      <c r="D564" s="15">
        <f>IFERROR(__xludf.DUMMYFUNCTION("""COMPUTED_VALUE"""),0.998)</f>
        <v>0.998</v>
      </c>
      <c r="E564" s="16">
        <f>IFERROR(__xludf.DUMMYFUNCTION("""COMPUTED_VALUE"""),72.0)</f>
        <v>72</v>
      </c>
      <c r="F564" s="19" t="str">
        <f>IFERROR(__xludf.DUMMYFUNCTION("""COMPUTED_VALUE"""),"BLUE")</f>
        <v>BLUE</v>
      </c>
      <c r="G564" s="20" t="str">
        <f>IFERROR(__xludf.DUMMYFUNCTION("""COMPUTED_VALUE"""),"Uncle Sams Cider (04/04/2023)")</f>
        <v>Uncle Sams Cider (04/04/2023)</v>
      </c>
      <c r="H564" s="19"/>
    </row>
    <row r="565">
      <c r="A565" s="9"/>
      <c r="B565" s="15"/>
      <c r="C565" s="9">
        <f>IFERROR(__xludf.DUMMYFUNCTION("""COMPUTED_VALUE"""),45138.7298285995)</f>
        <v>45138.72983</v>
      </c>
      <c r="D565" s="15">
        <f>IFERROR(__xludf.DUMMYFUNCTION("""COMPUTED_VALUE"""),0.998)</f>
        <v>0.998</v>
      </c>
      <c r="E565" s="16">
        <f>IFERROR(__xludf.DUMMYFUNCTION("""COMPUTED_VALUE"""),72.0)</f>
        <v>72</v>
      </c>
      <c r="F565" s="19" t="str">
        <f>IFERROR(__xludf.DUMMYFUNCTION("""COMPUTED_VALUE"""),"BLUE")</f>
        <v>BLUE</v>
      </c>
      <c r="G565" s="20" t="str">
        <f>IFERROR(__xludf.DUMMYFUNCTION("""COMPUTED_VALUE"""),"Uncle Sams Cider (04/04/2023)")</f>
        <v>Uncle Sams Cider (04/04/2023)</v>
      </c>
      <c r="H565" s="19"/>
    </row>
    <row r="566">
      <c r="A566" s="9"/>
      <c r="B566" s="15"/>
      <c r="C566" s="9">
        <f>IFERROR(__xludf.DUMMYFUNCTION("""COMPUTED_VALUE"""),45138.7194067361)</f>
        <v>45138.71941</v>
      </c>
      <c r="D566" s="15">
        <f>IFERROR(__xludf.DUMMYFUNCTION("""COMPUTED_VALUE"""),0.999)</f>
        <v>0.999</v>
      </c>
      <c r="E566" s="16">
        <f>IFERROR(__xludf.DUMMYFUNCTION("""COMPUTED_VALUE"""),72.0)</f>
        <v>72</v>
      </c>
      <c r="F566" s="19" t="str">
        <f>IFERROR(__xludf.DUMMYFUNCTION("""COMPUTED_VALUE"""),"BLUE")</f>
        <v>BLUE</v>
      </c>
      <c r="G566" s="20" t="str">
        <f>IFERROR(__xludf.DUMMYFUNCTION("""COMPUTED_VALUE"""),"Uncle Sams Cider (04/04/2023)")</f>
        <v>Uncle Sams Cider (04/04/2023)</v>
      </c>
      <c r="H566" s="19"/>
    </row>
    <row r="567">
      <c r="A567" s="9"/>
      <c r="B567" s="15"/>
      <c r="C567" s="9">
        <f>IFERROR(__xludf.DUMMYFUNCTION("""COMPUTED_VALUE"""),45138.7089855671)</f>
        <v>45138.70899</v>
      </c>
      <c r="D567" s="15">
        <f>IFERROR(__xludf.DUMMYFUNCTION("""COMPUTED_VALUE"""),0.998)</f>
        <v>0.998</v>
      </c>
      <c r="E567" s="16">
        <f>IFERROR(__xludf.DUMMYFUNCTION("""COMPUTED_VALUE"""),72.0)</f>
        <v>72</v>
      </c>
      <c r="F567" s="19" t="str">
        <f>IFERROR(__xludf.DUMMYFUNCTION("""COMPUTED_VALUE"""),"BLUE")</f>
        <v>BLUE</v>
      </c>
      <c r="G567" s="20" t="str">
        <f>IFERROR(__xludf.DUMMYFUNCTION("""COMPUTED_VALUE"""),"Uncle Sams Cider (04/04/2023)")</f>
        <v>Uncle Sams Cider (04/04/2023)</v>
      </c>
      <c r="H567" s="19"/>
    </row>
    <row r="568">
      <c r="A568" s="9"/>
      <c r="B568" s="15"/>
      <c r="C568" s="9">
        <f>IFERROR(__xludf.DUMMYFUNCTION("""COMPUTED_VALUE"""),45138.6985645833)</f>
        <v>45138.69856</v>
      </c>
      <c r="D568" s="15">
        <f>IFERROR(__xludf.DUMMYFUNCTION("""COMPUTED_VALUE"""),0.998)</f>
        <v>0.998</v>
      </c>
      <c r="E568" s="16">
        <f>IFERROR(__xludf.DUMMYFUNCTION("""COMPUTED_VALUE"""),72.0)</f>
        <v>72</v>
      </c>
      <c r="F568" s="19" t="str">
        <f>IFERROR(__xludf.DUMMYFUNCTION("""COMPUTED_VALUE"""),"BLUE")</f>
        <v>BLUE</v>
      </c>
      <c r="G568" s="20" t="str">
        <f>IFERROR(__xludf.DUMMYFUNCTION("""COMPUTED_VALUE"""),"Uncle Sams Cider (04/04/2023)")</f>
        <v>Uncle Sams Cider (04/04/2023)</v>
      </c>
      <c r="H568" s="19"/>
    </row>
    <row r="569">
      <c r="A569" s="9"/>
      <c r="B569" s="15"/>
      <c r="C569" s="9">
        <f>IFERROR(__xludf.DUMMYFUNCTION("""COMPUTED_VALUE"""),45138.6881430324)</f>
        <v>45138.68814</v>
      </c>
      <c r="D569" s="15">
        <f>IFERROR(__xludf.DUMMYFUNCTION("""COMPUTED_VALUE"""),0.998)</f>
        <v>0.998</v>
      </c>
      <c r="E569" s="16">
        <f>IFERROR(__xludf.DUMMYFUNCTION("""COMPUTED_VALUE"""),72.0)</f>
        <v>72</v>
      </c>
      <c r="F569" s="19" t="str">
        <f>IFERROR(__xludf.DUMMYFUNCTION("""COMPUTED_VALUE"""),"BLUE")</f>
        <v>BLUE</v>
      </c>
      <c r="G569" s="20" t="str">
        <f>IFERROR(__xludf.DUMMYFUNCTION("""COMPUTED_VALUE"""),"Uncle Sams Cider (04/04/2023)")</f>
        <v>Uncle Sams Cider (04/04/2023)</v>
      </c>
      <c r="H569" s="19"/>
    </row>
    <row r="570">
      <c r="A570" s="9"/>
      <c r="B570" s="15"/>
      <c r="C570" s="9">
        <f>IFERROR(__xludf.DUMMYFUNCTION("""COMPUTED_VALUE"""),45138.6777214351)</f>
        <v>45138.67772</v>
      </c>
      <c r="D570" s="15">
        <f>IFERROR(__xludf.DUMMYFUNCTION("""COMPUTED_VALUE"""),0.998)</f>
        <v>0.998</v>
      </c>
      <c r="E570" s="16">
        <f>IFERROR(__xludf.DUMMYFUNCTION("""COMPUTED_VALUE"""),72.0)</f>
        <v>72</v>
      </c>
      <c r="F570" s="19" t="str">
        <f>IFERROR(__xludf.DUMMYFUNCTION("""COMPUTED_VALUE"""),"BLUE")</f>
        <v>BLUE</v>
      </c>
      <c r="G570" s="20" t="str">
        <f>IFERROR(__xludf.DUMMYFUNCTION("""COMPUTED_VALUE"""),"Uncle Sams Cider (04/04/2023)")</f>
        <v>Uncle Sams Cider (04/04/2023)</v>
      </c>
      <c r="H570" s="19"/>
    </row>
    <row r="571">
      <c r="A571" s="9"/>
      <c r="B571" s="15"/>
      <c r="C571" s="9">
        <f>IFERROR(__xludf.DUMMYFUNCTION("""COMPUTED_VALUE"""),45138.6672656713)</f>
        <v>45138.66727</v>
      </c>
      <c r="D571" s="15">
        <f>IFERROR(__xludf.DUMMYFUNCTION("""COMPUTED_VALUE"""),0.998)</f>
        <v>0.998</v>
      </c>
      <c r="E571" s="16">
        <f>IFERROR(__xludf.DUMMYFUNCTION("""COMPUTED_VALUE"""),72.0)</f>
        <v>72</v>
      </c>
      <c r="F571" s="19" t="str">
        <f>IFERROR(__xludf.DUMMYFUNCTION("""COMPUTED_VALUE"""),"BLUE")</f>
        <v>BLUE</v>
      </c>
      <c r="G571" s="20" t="str">
        <f>IFERROR(__xludf.DUMMYFUNCTION("""COMPUTED_VALUE"""),"Uncle Sams Cider (04/04/2023)")</f>
        <v>Uncle Sams Cider (04/04/2023)</v>
      </c>
      <c r="H571" s="19"/>
    </row>
    <row r="572">
      <c r="A572" s="9"/>
      <c r="B572" s="15"/>
      <c r="C572" s="9">
        <f>IFERROR(__xludf.DUMMYFUNCTION("""COMPUTED_VALUE"""),45138.6568323148)</f>
        <v>45138.65683</v>
      </c>
      <c r="D572" s="15">
        <f>IFERROR(__xludf.DUMMYFUNCTION("""COMPUTED_VALUE"""),0.998)</f>
        <v>0.998</v>
      </c>
      <c r="E572" s="16">
        <f>IFERROR(__xludf.DUMMYFUNCTION("""COMPUTED_VALUE"""),72.0)</f>
        <v>72</v>
      </c>
      <c r="F572" s="19" t="str">
        <f>IFERROR(__xludf.DUMMYFUNCTION("""COMPUTED_VALUE"""),"BLUE")</f>
        <v>BLUE</v>
      </c>
      <c r="G572" s="20" t="str">
        <f>IFERROR(__xludf.DUMMYFUNCTION("""COMPUTED_VALUE"""),"Uncle Sams Cider (04/04/2023)")</f>
        <v>Uncle Sams Cider (04/04/2023)</v>
      </c>
      <c r="H572" s="19"/>
    </row>
    <row r="573">
      <c r="A573" s="9"/>
      <c r="B573" s="15"/>
      <c r="C573" s="9">
        <f>IFERROR(__xludf.DUMMYFUNCTION("""COMPUTED_VALUE"""),45138.6464114351)</f>
        <v>45138.64641</v>
      </c>
      <c r="D573" s="15">
        <f>IFERROR(__xludf.DUMMYFUNCTION("""COMPUTED_VALUE"""),0.998)</f>
        <v>0.998</v>
      </c>
      <c r="E573" s="16">
        <f>IFERROR(__xludf.DUMMYFUNCTION("""COMPUTED_VALUE"""),72.0)</f>
        <v>72</v>
      </c>
      <c r="F573" s="19" t="str">
        <f>IFERROR(__xludf.DUMMYFUNCTION("""COMPUTED_VALUE"""),"BLUE")</f>
        <v>BLUE</v>
      </c>
      <c r="G573" s="20" t="str">
        <f>IFERROR(__xludf.DUMMYFUNCTION("""COMPUTED_VALUE"""),"Uncle Sams Cider (04/04/2023)")</f>
        <v>Uncle Sams Cider (04/04/2023)</v>
      </c>
      <c r="H573" s="19"/>
    </row>
    <row r="574">
      <c r="A574" s="9"/>
      <c r="B574" s="15"/>
      <c r="C574" s="9">
        <f>IFERROR(__xludf.DUMMYFUNCTION("""COMPUTED_VALUE"""),45138.6359912268)</f>
        <v>45138.63599</v>
      </c>
      <c r="D574" s="15">
        <f>IFERROR(__xludf.DUMMYFUNCTION("""COMPUTED_VALUE"""),0.998)</f>
        <v>0.998</v>
      </c>
      <c r="E574" s="16">
        <f>IFERROR(__xludf.DUMMYFUNCTION("""COMPUTED_VALUE"""),72.0)</f>
        <v>72</v>
      </c>
      <c r="F574" s="19" t="str">
        <f>IFERROR(__xludf.DUMMYFUNCTION("""COMPUTED_VALUE"""),"BLUE")</f>
        <v>BLUE</v>
      </c>
      <c r="G574" s="20" t="str">
        <f>IFERROR(__xludf.DUMMYFUNCTION("""COMPUTED_VALUE"""),"Uncle Sams Cider (04/04/2023)")</f>
        <v>Uncle Sams Cider (04/04/2023)</v>
      </c>
      <c r="H574" s="19"/>
    </row>
    <row r="575">
      <c r="A575" s="9"/>
      <c r="B575" s="15"/>
      <c r="C575" s="9">
        <f>IFERROR(__xludf.DUMMYFUNCTION("""COMPUTED_VALUE"""),45138.6255693287)</f>
        <v>45138.62557</v>
      </c>
      <c r="D575" s="15">
        <f>IFERROR(__xludf.DUMMYFUNCTION("""COMPUTED_VALUE"""),0.998)</f>
        <v>0.998</v>
      </c>
      <c r="E575" s="16">
        <f>IFERROR(__xludf.DUMMYFUNCTION("""COMPUTED_VALUE"""),72.0)</f>
        <v>72</v>
      </c>
      <c r="F575" s="19" t="str">
        <f>IFERROR(__xludf.DUMMYFUNCTION("""COMPUTED_VALUE"""),"BLUE")</f>
        <v>BLUE</v>
      </c>
      <c r="G575" s="20" t="str">
        <f>IFERROR(__xludf.DUMMYFUNCTION("""COMPUTED_VALUE"""),"Uncle Sams Cider (04/04/2023)")</f>
        <v>Uncle Sams Cider (04/04/2023)</v>
      </c>
      <c r="H575" s="19"/>
    </row>
    <row r="576">
      <c r="A576" s="9"/>
      <c r="B576" s="15"/>
      <c r="C576" s="9">
        <f>IFERROR(__xludf.DUMMYFUNCTION("""COMPUTED_VALUE"""),45138.6151495717)</f>
        <v>45138.61515</v>
      </c>
      <c r="D576" s="15">
        <f>IFERROR(__xludf.DUMMYFUNCTION("""COMPUTED_VALUE"""),0.998)</f>
        <v>0.998</v>
      </c>
      <c r="E576" s="16">
        <f>IFERROR(__xludf.DUMMYFUNCTION("""COMPUTED_VALUE"""),72.0)</f>
        <v>72</v>
      </c>
      <c r="F576" s="19" t="str">
        <f>IFERROR(__xludf.DUMMYFUNCTION("""COMPUTED_VALUE"""),"BLUE")</f>
        <v>BLUE</v>
      </c>
      <c r="G576" s="20" t="str">
        <f>IFERROR(__xludf.DUMMYFUNCTION("""COMPUTED_VALUE"""),"Uncle Sams Cider (04/04/2023)")</f>
        <v>Uncle Sams Cider (04/04/2023)</v>
      </c>
      <c r="H576" s="19"/>
    </row>
    <row r="577">
      <c r="A577" s="9"/>
      <c r="B577" s="15"/>
      <c r="C577" s="9">
        <f>IFERROR(__xludf.DUMMYFUNCTION("""COMPUTED_VALUE"""),45138.6047300231)</f>
        <v>45138.60473</v>
      </c>
      <c r="D577" s="15">
        <f>IFERROR(__xludf.DUMMYFUNCTION("""COMPUTED_VALUE"""),0.998)</f>
        <v>0.998</v>
      </c>
      <c r="E577" s="16">
        <f>IFERROR(__xludf.DUMMYFUNCTION("""COMPUTED_VALUE"""),72.0)</f>
        <v>72</v>
      </c>
      <c r="F577" s="19" t="str">
        <f>IFERROR(__xludf.DUMMYFUNCTION("""COMPUTED_VALUE"""),"BLUE")</f>
        <v>BLUE</v>
      </c>
      <c r="G577" s="20" t="str">
        <f>IFERROR(__xludf.DUMMYFUNCTION("""COMPUTED_VALUE"""),"Uncle Sams Cider (04/04/2023)")</f>
        <v>Uncle Sams Cider (04/04/2023)</v>
      </c>
      <c r="H577" s="19"/>
    </row>
    <row r="578">
      <c r="A578" s="9"/>
      <c r="B578" s="15"/>
      <c r="C578" s="9">
        <f>IFERROR(__xludf.DUMMYFUNCTION("""COMPUTED_VALUE"""),45138.59430875)</f>
        <v>45138.59431</v>
      </c>
      <c r="D578" s="15">
        <f>IFERROR(__xludf.DUMMYFUNCTION("""COMPUTED_VALUE"""),0.998)</f>
        <v>0.998</v>
      </c>
      <c r="E578" s="16">
        <f>IFERROR(__xludf.DUMMYFUNCTION("""COMPUTED_VALUE"""),72.0)</f>
        <v>72</v>
      </c>
      <c r="F578" s="19" t="str">
        <f>IFERROR(__xludf.DUMMYFUNCTION("""COMPUTED_VALUE"""),"BLUE")</f>
        <v>BLUE</v>
      </c>
      <c r="G578" s="20" t="str">
        <f>IFERROR(__xludf.DUMMYFUNCTION("""COMPUTED_VALUE"""),"Uncle Sams Cider (04/04/2023)")</f>
        <v>Uncle Sams Cider (04/04/2023)</v>
      </c>
      <c r="H578" s="19"/>
    </row>
    <row r="579">
      <c r="A579" s="9"/>
      <c r="B579" s="15"/>
      <c r="C579" s="9">
        <f>IFERROR(__xludf.DUMMYFUNCTION("""COMPUTED_VALUE"""),45138.5838865625)</f>
        <v>45138.58389</v>
      </c>
      <c r="D579" s="15">
        <f>IFERROR(__xludf.DUMMYFUNCTION("""COMPUTED_VALUE"""),0.998)</f>
        <v>0.998</v>
      </c>
      <c r="E579" s="16">
        <f>IFERROR(__xludf.DUMMYFUNCTION("""COMPUTED_VALUE"""),72.0)</f>
        <v>72</v>
      </c>
      <c r="F579" s="19" t="str">
        <f>IFERROR(__xludf.DUMMYFUNCTION("""COMPUTED_VALUE"""),"BLUE")</f>
        <v>BLUE</v>
      </c>
      <c r="G579" s="20" t="str">
        <f>IFERROR(__xludf.DUMMYFUNCTION("""COMPUTED_VALUE"""),"Uncle Sams Cider (04/04/2023)")</f>
        <v>Uncle Sams Cider (04/04/2023)</v>
      </c>
      <c r="H579" s="19"/>
    </row>
    <row r="580">
      <c r="A580" s="9"/>
      <c r="B580" s="15"/>
      <c r="C580" s="9">
        <f>IFERROR(__xludf.DUMMYFUNCTION("""COMPUTED_VALUE"""),45138.5734660532)</f>
        <v>45138.57347</v>
      </c>
      <c r="D580" s="15">
        <f>IFERROR(__xludf.DUMMYFUNCTION("""COMPUTED_VALUE"""),0.998)</f>
        <v>0.998</v>
      </c>
      <c r="E580" s="16">
        <f>IFERROR(__xludf.DUMMYFUNCTION("""COMPUTED_VALUE"""),72.0)</f>
        <v>72</v>
      </c>
      <c r="F580" s="19" t="str">
        <f>IFERROR(__xludf.DUMMYFUNCTION("""COMPUTED_VALUE"""),"BLUE")</f>
        <v>BLUE</v>
      </c>
      <c r="G580" s="20" t="str">
        <f>IFERROR(__xludf.DUMMYFUNCTION("""COMPUTED_VALUE"""),"Uncle Sams Cider (04/04/2023)")</f>
        <v>Uncle Sams Cider (04/04/2023)</v>
      </c>
      <c r="H580" s="19"/>
    </row>
    <row r="581">
      <c r="A581" s="9"/>
      <c r="B581" s="15"/>
      <c r="C581" s="9">
        <f>IFERROR(__xludf.DUMMYFUNCTION("""COMPUTED_VALUE"""),45138.5630447222)</f>
        <v>45138.56304</v>
      </c>
      <c r="D581" s="15">
        <f>IFERROR(__xludf.DUMMYFUNCTION("""COMPUTED_VALUE"""),0.998)</f>
        <v>0.998</v>
      </c>
      <c r="E581" s="16">
        <f>IFERROR(__xludf.DUMMYFUNCTION("""COMPUTED_VALUE"""),72.0)</f>
        <v>72</v>
      </c>
      <c r="F581" s="19" t="str">
        <f>IFERROR(__xludf.DUMMYFUNCTION("""COMPUTED_VALUE"""),"BLUE")</f>
        <v>BLUE</v>
      </c>
      <c r="G581" s="20" t="str">
        <f>IFERROR(__xludf.DUMMYFUNCTION("""COMPUTED_VALUE"""),"Uncle Sams Cider (04/04/2023)")</f>
        <v>Uncle Sams Cider (04/04/2023)</v>
      </c>
      <c r="H581" s="19"/>
    </row>
    <row r="582">
      <c r="A582" s="9"/>
      <c r="B582" s="15"/>
      <c r="C582" s="9">
        <f>IFERROR(__xludf.DUMMYFUNCTION("""COMPUTED_VALUE"""),45138.5526230439)</f>
        <v>45138.55262</v>
      </c>
      <c r="D582" s="15">
        <f>IFERROR(__xludf.DUMMYFUNCTION("""COMPUTED_VALUE"""),0.998)</f>
        <v>0.998</v>
      </c>
      <c r="E582" s="16">
        <f>IFERROR(__xludf.DUMMYFUNCTION("""COMPUTED_VALUE"""),72.0)</f>
        <v>72</v>
      </c>
      <c r="F582" s="19" t="str">
        <f>IFERROR(__xludf.DUMMYFUNCTION("""COMPUTED_VALUE"""),"BLUE")</f>
        <v>BLUE</v>
      </c>
      <c r="G582" s="20" t="str">
        <f>IFERROR(__xludf.DUMMYFUNCTION("""COMPUTED_VALUE"""),"Uncle Sams Cider (04/04/2023)")</f>
        <v>Uncle Sams Cider (04/04/2023)</v>
      </c>
      <c r="H582" s="19"/>
    </row>
    <row r="583">
      <c r="A583" s="9"/>
      <c r="B583" s="15"/>
      <c r="C583" s="9">
        <f>IFERROR(__xludf.DUMMYFUNCTION("""COMPUTED_VALUE"""),45138.5422024421)</f>
        <v>45138.5422</v>
      </c>
      <c r="D583" s="15">
        <f>IFERROR(__xludf.DUMMYFUNCTION("""COMPUTED_VALUE"""),0.998)</f>
        <v>0.998</v>
      </c>
      <c r="E583" s="16">
        <f>IFERROR(__xludf.DUMMYFUNCTION("""COMPUTED_VALUE"""),72.0)</f>
        <v>72</v>
      </c>
      <c r="F583" s="19" t="str">
        <f>IFERROR(__xludf.DUMMYFUNCTION("""COMPUTED_VALUE"""),"BLUE")</f>
        <v>BLUE</v>
      </c>
      <c r="G583" s="20" t="str">
        <f>IFERROR(__xludf.DUMMYFUNCTION("""COMPUTED_VALUE"""),"Uncle Sams Cider (04/04/2023)")</f>
        <v>Uncle Sams Cider (04/04/2023)</v>
      </c>
      <c r="H583" s="19"/>
    </row>
    <row r="584">
      <c r="A584" s="9"/>
      <c r="B584" s="15"/>
      <c r="C584" s="9">
        <f>IFERROR(__xludf.DUMMYFUNCTION("""COMPUTED_VALUE"""),45138.5317817476)</f>
        <v>45138.53178</v>
      </c>
      <c r="D584" s="15">
        <f>IFERROR(__xludf.DUMMYFUNCTION("""COMPUTED_VALUE"""),0.998)</f>
        <v>0.998</v>
      </c>
      <c r="E584" s="16">
        <f>IFERROR(__xludf.DUMMYFUNCTION("""COMPUTED_VALUE"""),72.0)</f>
        <v>72</v>
      </c>
      <c r="F584" s="19" t="str">
        <f>IFERROR(__xludf.DUMMYFUNCTION("""COMPUTED_VALUE"""),"BLUE")</f>
        <v>BLUE</v>
      </c>
      <c r="G584" s="20" t="str">
        <f>IFERROR(__xludf.DUMMYFUNCTION("""COMPUTED_VALUE"""),"Uncle Sams Cider (04/04/2023)")</f>
        <v>Uncle Sams Cider (04/04/2023)</v>
      </c>
      <c r="H584" s="19"/>
    </row>
    <row r="585">
      <c r="A585" s="9"/>
      <c r="B585" s="15"/>
      <c r="C585" s="9">
        <f>IFERROR(__xludf.DUMMYFUNCTION("""COMPUTED_VALUE"""),45138.5213597569)</f>
        <v>45138.52136</v>
      </c>
      <c r="D585" s="15">
        <f>IFERROR(__xludf.DUMMYFUNCTION("""COMPUTED_VALUE"""),0.998)</f>
        <v>0.998</v>
      </c>
      <c r="E585" s="16">
        <f>IFERROR(__xludf.DUMMYFUNCTION("""COMPUTED_VALUE"""),72.0)</f>
        <v>72</v>
      </c>
      <c r="F585" s="19" t="str">
        <f>IFERROR(__xludf.DUMMYFUNCTION("""COMPUTED_VALUE"""),"BLUE")</f>
        <v>BLUE</v>
      </c>
      <c r="G585" s="20" t="str">
        <f>IFERROR(__xludf.DUMMYFUNCTION("""COMPUTED_VALUE"""),"Uncle Sams Cider (04/04/2023)")</f>
        <v>Uncle Sams Cider (04/04/2023)</v>
      </c>
      <c r="H585" s="19"/>
    </row>
    <row r="586">
      <c r="A586" s="9"/>
      <c r="B586" s="15"/>
      <c r="C586" s="9">
        <f>IFERROR(__xludf.DUMMYFUNCTION("""COMPUTED_VALUE"""),45138.5109386689)</f>
        <v>45138.51094</v>
      </c>
      <c r="D586" s="15">
        <f>IFERROR(__xludf.DUMMYFUNCTION("""COMPUTED_VALUE"""),0.998)</f>
        <v>0.998</v>
      </c>
      <c r="E586" s="16">
        <f>IFERROR(__xludf.DUMMYFUNCTION("""COMPUTED_VALUE"""),72.0)</f>
        <v>72</v>
      </c>
      <c r="F586" s="19" t="str">
        <f>IFERROR(__xludf.DUMMYFUNCTION("""COMPUTED_VALUE"""),"BLUE")</f>
        <v>BLUE</v>
      </c>
      <c r="G586" s="20" t="str">
        <f>IFERROR(__xludf.DUMMYFUNCTION("""COMPUTED_VALUE"""),"Uncle Sams Cider (04/04/2023)")</f>
        <v>Uncle Sams Cider (04/04/2023)</v>
      </c>
      <c r="H586" s="19"/>
    </row>
    <row r="587">
      <c r="A587" s="9"/>
      <c r="B587" s="15"/>
      <c r="C587" s="9">
        <f>IFERROR(__xludf.DUMMYFUNCTION("""COMPUTED_VALUE"""),45138.5005179861)</f>
        <v>45138.50052</v>
      </c>
      <c r="D587" s="15">
        <f>IFERROR(__xludf.DUMMYFUNCTION("""COMPUTED_VALUE"""),0.998)</f>
        <v>0.998</v>
      </c>
      <c r="E587" s="16">
        <f>IFERROR(__xludf.DUMMYFUNCTION("""COMPUTED_VALUE"""),72.0)</f>
        <v>72</v>
      </c>
      <c r="F587" s="19" t="str">
        <f>IFERROR(__xludf.DUMMYFUNCTION("""COMPUTED_VALUE"""),"BLUE")</f>
        <v>BLUE</v>
      </c>
      <c r="G587" s="20" t="str">
        <f>IFERROR(__xludf.DUMMYFUNCTION("""COMPUTED_VALUE"""),"Uncle Sams Cider (04/04/2023)")</f>
        <v>Uncle Sams Cider (04/04/2023)</v>
      </c>
      <c r="H587" s="19"/>
    </row>
    <row r="588">
      <c r="A588" s="9"/>
      <c r="B588" s="15"/>
      <c r="C588" s="9">
        <f>IFERROR(__xludf.DUMMYFUNCTION("""COMPUTED_VALUE"""),45138.4900974074)</f>
        <v>45138.4901</v>
      </c>
      <c r="D588" s="15">
        <f>IFERROR(__xludf.DUMMYFUNCTION("""COMPUTED_VALUE"""),0.999)</f>
        <v>0.999</v>
      </c>
      <c r="E588" s="16">
        <f>IFERROR(__xludf.DUMMYFUNCTION("""COMPUTED_VALUE"""),72.0)</f>
        <v>72</v>
      </c>
      <c r="F588" s="19" t="str">
        <f>IFERROR(__xludf.DUMMYFUNCTION("""COMPUTED_VALUE"""),"BLUE")</f>
        <v>BLUE</v>
      </c>
      <c r="G588" s="20" t="str">
        <f>IFERROR(__xludf.DUMMYFUNCTION("""COMPUTED_VALUE"""),"Uncle Sams Cider (04/04/2023)")</f>
        <v>Uncle Sams Cider (04/04/2023)</v>
      </c>
      <c r="H588" s="19"/>
    </row>
    <row r="589">
      <c r="A589" s="9"/>
      <c r="B589" s="15"/>
      <c r="C589" s="9">
        <f>IFERROR(__xludf.DUMMYFUNCTION("""COMPUTED_VALUE"""),45138.4796763773)</f>
        <v>45138.47968</v>
      </c>
      <c r="D589" s="15">
        <f>IFERROR(__xludf.DUMMYFUNCTION("""COMPUTED_VALUE"""),0.998)</f>
        <v>0.998</v>
      </c>
      <c r="E589" s="16">
        <f>IFERROR(__xludf.DUMMYFUNCTION("""COMPUTED_VALUE"""),72.0)</f>
        <v>72</v>
      </c>
      <c r="F589" s="19" t="str">
        <f>IFERROR(__xludf.DUMMYFUNCTION("""COMPUTED_VALUE"""),"BLUE")</f>
        <v>BLUE</v>
      </c>
      <c r="G589" s="20" t="str">
        <f>IFERROR(__xludf.DUMMYFUNCTION("""COMPUTED_VALUE"""),"Uncle Sams Cider (04/04/2023)")</f>
        <v>Uncle Sams Cider (04/04/2023)</v>
      </c>
      <c r="H589" s="19"/>
    </row>
    <row r="590">
      <c r="A590" s="9"/>
      <c r="B590" s="15"/>
      <c r="C590" s="9">
        <f>IFERROR(__xludf.DUMMYFUNCTION("""COMPUTED_VALUE"""),45138.4692444444)</f>
        <v>45138.46924</v>
      </c>
      <c r="D590" s="15">
        <f>IFERROR(__xludf.DUMMYFUNCTION("""COMPUTED_VALUE"""),0.998)</f>
        <v>0.998</v>
      </c>
      <c r="E590" s="16">
        <f>IFERROR(__xludf.DUMMYFUNCTION("""COMPUTED_VALUE"""),72.0)</f>
        <v>72</v>
      </c>
      <c r="F590" s="19" t="str">
        <f>IFERROR(__xludf.DUMMYFUNCTION("""COMPUTED_VALUE"""),"BLUE")</f>
        <v>BLUE</v>
      </c>
      <c r="G590" s="20" t="str">
        <f>IFERROR(__xludf.DUMMYFUNCTION("""COMPUTED_VALUE"""),"Uncle Sams Cider (04/04/2023)")</f>
        <v>Uncle Sams Cider (04/04/2023)</v>
      </c>
      <c r="H590" s="19"/>
    </row>
    <row r="591">
      <c r="A591" s="9"/>
      <c r="B591" s="15"/>
      <c r="C591" s="9">
        <f>IFERROR(__xludf.DUMMYFUNCTION("""COMPUTED_VALUE"""),45138.4588103472)</f>
        <v>45138.45881</v>
      </c>
      <c r="D591" s="15">
        <f>IFERROR(__xludf.DUMMYFUNCTION("""COMPUTED_VALUE"""),0.998)</f>
        <v>0.998</v>
      </c>
      <c r="E591" s="16">
        <f>IFERROR(__xludf.DUMMYFUNCTION("""COMPUTED_VALUE"""),72.0)</f>
        <v>72</v>
      </c>
      <c r="F591" s="19" t="str">
        <f>IFERROR(__xludf.DUMMYFUNCTION("""COMPUTED_VALUE"""),"BLUE")</f>
        <v>BLUE</v>
      </c>
      <c r="G591" s="20" t="str">
        <f>IFERROR(__xludf.DUMMYFUNCTION("""COMPUTED_VALUE"""),"Uncle Sams Cider (04/04/2023)")</f>
        <v>Uncle Sams Cider (04/04/2023)</v>
      </c>
      <c r="H591" s="19"/>
    </row>
    <row r="592">
      <c r="A592" s="9"/>
      <c r="B592" s="15"/>
      <c r="C592" s="9">
        <f>IFERROR(__xludf.DUMMYFUNCTION("""COMPUTED_VALUE"""),45138.4483888888)</f>
        <v>45138.44839</v>
      </c>
      <c r="D592" s="15">
        <f>IFERROR(__xludf.DUMMYFUNCTION("""COMPUTED_VALUE"""),0.998)</f>
        <v>0.998</v>
      </c>
      <c r="E592" s="16">
        <f>IFERROR(__xludf.DUMMYFUNCTION("""COMPUTED_VALUE"""),72.0)</f>
        <v>72</v>
      </c>
      <c r="F592" s="19" t="str">
        <f>IFERROR(__xludf.DUMMYFUNCTION("""COMPUTED_VALUE"""),"BLUE")</f>
        <v>BLUE</v>
      </c>
      <c r="G592" s="20" t="str">
        <f>IFERROR(__xludf.DUMMYFUNCTION("""COMPUTED_VALUE"""),"Uncle Sams Cider (04/04/2023)")</f>
        <v>Uncle Sams Cider (04/04/2023)</v>
      </c>
      <c r="H592" s="19"/>
    </row>
    <row r="593">
      <c r="A593" s="9"/>
      <c r="B593" s="15"/>
      <c r="C593" s="9">
        <f>IFERROR(__xludf.DUMMYFUNCTION("""COMPUTED_VALUE"""),45138.4379560648)</f>
        <v>45138.43796</v>
      </c>
      <c r="D593" s="15">
        <f>IFERROR(__xludf.DUMMYFUNCTION("""COMPUTED_VALUE"""),0.998)</f>
        <v>0.998</v>
      </c>
      <c r="E593" s="16">
        <f>IFERROR(__xludf.DUMMYFUNCTION("""COMPUTED_VALUE"""),72.0)</f>
        <v>72</v>
      </c>
      <c r="F593" s="19" t="str">
        <f>IFERROR(__xludf.DUMMYFUNCTION("""COMPUTED_VALUE"""),"BLUE")</f>
        <v>BLUE</v>
      </c>
      <c r="G593" s="20" t="str">
        <f>IFERROR(__xludf.DUMMYFUNCTION("""COMPUTED_VALUE"""),"Uncle Sams Cider (04/04/2023)")</f>
        <v>Uncle Sams Cider (04/04/2023)</v>
      </c>
      <c r="H593" s="19"/>
    </row>
    <row r="594">
      <c r="A594" s="9"/>
      <c r="B594" s="15"/>
      <c r="C594" s="9">
        <f>IFERROR(__xludf.DUMMYFUNCTION("""COMPUTED_VALUE"""),45138.4275368055)</f>
        <v>45138.42754</v>
      </c>
      <c r="D594" s="15">
        <f>IFERROR(__xludf.DUMMYFUNCTION("""COMPUTED_VALUE"""),0.998)</f>
        <v>0.998</v>
      </c>
      <c r="E594" s="16">
        <f>IFERROR(__xludf.DUMMYFUNCTION("""COMPUTED_VALUE"""),72.0)</f>
        <v>72</v>
      </c>
      <c r="F594" s="19" t="str">
        <f>IFERROR(__xludf.DUMMYFUNCTION("""COMPUTED_VALUE"""),"BLUE")</f>
        <v>BLUE</v>
      </c>
      <c r="G594" s="20" t="str">
        <f>IFERROR(__xludf.DUMMYFUNCTION("""COMPUTED_VALUE"""),"Uncle Sams Cider (04/04/2023)")</f>
        <v>Uncle Sams Cider (04/04/2023)</v>
      </c>
      <c r="H594" s="19"/>
    </row>
    <row r="595">
      <c r="A595" s="9"/>
      <c r="B595" s="15"/>
      <c r="C595" s="9">
        <f>IFERROR(__xludf.DUMMYFUNCTION("""COMPUTED_VALUE"""),45138.4171163773)</f>
        <v>45138.41712</v>
      </c>
      <c r="D595" s="15">
        <f>IFERROR(__xludf.DUMMYFUNCTION("""COMPUTED_VALUE"""),0.998)</f>
        <v>0.998</v>
      </c>
      <c r="E595" s="16">
        <f>IFERROR(__xludf.DUMMYFUNCTION("""COMPUTED_VALUE"""),72.0)</f>
        <v>72</v>
      </c>
      <c r="F595" s="19" t="str">
        <f>IFERROR(__xludf.DUMMYFUNCTION("""COMPUTED_VALUE"""),"BLUE")</f>
        <v>BLUE</v>
      </c>
      <c r="G595" s="20" t="str">
        <f>IFERROR(__xludf.DUMMYFUNCTION("""COMPUTED_VALUE"""),"Uncle Sams Cider (04/04/2023)")</f>
        <v>Uncle Sams Cider (04/04/2023)</v>
      </c>
      <c r="H595" s="19"/>
    </row>
    <row r="596">
      <c r="A596" s="9"/>
      <c r="B596" s="15"/>
      <c r="C596" s="9">
        <f>IFERROR(__xludf.DUMMYFUNCTION("""COMPUTED_VALUE"""),45138.4066939814)</f>
        <v>45138.40669</v>
      </c>
      <c r="D596" s="15">
        <f>IFERROR(__xludf.DUMMYFUNCTION("""COMPUTED_VALUE"""),0.998)</f>
        <v>0.998</v>
      </c>
      <c r="E596" s="16">
        <f>IFERROR(__xludf.DUMMYFUNCTION("""COMPUTED_VALUE"""),72.0)</f>
        <v>72</v>
      </c>
      <c r="F596" s="19" t="str">
        <f>IFERROR(__xludf.DUMMYFUNCTION("""COMPUTED_VALUE"""),"BLUE")</f>
        <v>BLUE</v>
      </c>
      <c r="G596" s="20" t="str">
        <f>IFERROR(__xludf.DUMMYFUNCTION("""COMPUTED_VALUE"""),"Uncle Sams Cider (04/04/2023)")</f>
        <v>Uncle Sams Cider (04/04/2023)</v>
      </c>
      <c r="H596" s="19"/>
    </row>
    <row r="597">
      <c r="A597" s="9"/>
      <c r="B597" s="15"/>
      <c r="C597" s="9">
        <f>IFERROR(__xludf.DUMMYFUNCTION("""COMPUTED_VALUE"""),45138.3962729513)</f>
        <v>45138.39627</v>
      </c>
      <c r="D597" s="15">
        <f>IFERROR(__xludf.DUMMYFUNCTION("""COMPUTED_VALUE"""),0.998)</f>
        <v>0.998</v>
      </c>
      <c r="E597" s="16">
        <f>IFERROR(__xludf.DUMMYFUNCTION("""COMPUTED_VALUE"""),72.0)</f>
        <v>72</v>
      </c>
      <c r="F597" s="19" t="str">
        <f>IFERROR(__xludf.DUMMYFUNCTION("""COMPUTED_VALUE"""),"BLUE")</f>
        <v>BLUE</v>
      </c>
      <c r="G597" s="20" t="str">
        <f>IFERROR(__xludf.DUMMYFUNCTION("""COMPUTED_VALUE"""),"Uncle Sams Cider (04/04/2023)")</f>
        <v>Uncle Sams Cider (04/04/2023)</v>
      </c>
      <c r="H597" s="19"/>
    </row>
    <row r="598">
      <c r="A598" s="9"/>
      <c r="B598" s="15"/>
      <c r="C598" s="9">
        <f>IFERROR(__xludf.DUMMYFUNCTION("""COMPUTED_VALUE"""),45138.3858512731)</f>
        <v>45138.38585</v>
      </c>
      <c r="D598" s="15">
        <f>IFERROR(__xludf.DUMMYFUNCTION("""COMPUTED_VALUE"""),0.998)</f>
        <v>0.998</v>
      </c>
      <c r="E598" s="16">
        <f>IFERROR(__xludf.DUMMYFUNCTION("""COMPUTED_VALUE"""),72.0)</f>
        <v>72</v>
      </c>
      <c r="F598" s="19" t="str">
        <f>IFERROR(__xludf.DUMMYFUNCTION("""COMPUTED_VALUE"""),"BLUE")</f>
        <v>BLUE</v>
      </c>
      <c r="G598" s="20" t="str">
        <f>IFERROR(__xludf.DUMMYFUNCTION("""COMPUTED_VALUE"""),"Uncle Sams Cider (04/04/2023)")</f>
        <v>Uncle Sams Cider (04/04/2023)</v>
      </c>
      <c r="H598" s="19"/>
    </row>
    <row r="599">
      <c r="A599" s="9"/>
      <c r="B599" s="15"/>
      <c r="C599" s="9">
        <f>IFERROR(__xludf.DUMMYFUNCTION("""COMPUTED_VALUE"""),45138.3754298379)</f>
        <v>45138.37543</v>
      </c>
      <c r="D599" s="15">
        <f>IFERROR(__xludf.DUMMYFUNCTION("""COMPUTED_VALUE"""),0.999)</f>
        <v>0.999</v>
      </c>
      <c r="E599" s="16">
        <f>IFERROR(__xludf.DUMMYFUNCTION("""COMPUTED_VALUE"""),72.0)</f>
        <v>72</v>
      </c>
      <c r="F599" s="19" t="str">
        <f>IFERROR(__xludf.DUMMYFUNCTION("""COMPUTED_VALUE"""),"BLUE")</f>
        <v>BLUE</v>
      </c>
      <c r="G599" s="20" t="str">
        <f>IFERROR(__xludf.DUMMYFUNCTION("""COMPUTED_VALUE"""),"Uncle Sams Cider (04/04/2023)")</f>
        <v>Uncle Sams Cider (04/04/2023)</v>
      </c>
      <c r="H599" s="19"/>
    </row>
    <row r="600">
      <c r="A600" s="9"/>
      <c r="B600" s="15"/>
      <c r="C600" s="9">
        <f>IFERROR(__xludf.DUMMYFUNCTION("""COMPUTED_VALUE"""),45138.3649957175)</f>
        <v>45138.365</v>
      </c>
      <c r="D600" s="15">
        <f>IFERROR(__xludf.DUMMYFUNCTION("""COMPUTED_VALUE"""),0.998)</f>
        <v>0.998</v>
      </c>
      <c r="E600" s="16">
        <f>IFERROR(__xludf.DUMMYFUNCTION("""COMPUTED_VALUE"""),72.0)</f>
        <v>72</v>
      </c>
      <c r="F600" s="19" t="str">
        <f>IFERROR(__xludf.DUMMYFUNCTION("""COMPUTED_VALUE"""),"BLUE")</f>
        <v>BLUE</v>
      </c>
      <c r="G600" s="20" t="str">
        <f>IFERROR(__xludf.DUMMYFUNCTION("""COMPUTED_VALUE"""),"Uncle Sams Cider (04/04/2023)")</f>
        <v>Uncle Sams Cider (04/04/2023)</v>
      </c>
      <c r="H600" s="19"/>
    </row>
    <row r="601">
      <c r="A601" s="9"/>
      <c r="B601" s="15"/>
      <c r="C601" s="9">
        <f>IFERROR(__xludf.DUMMYFUNCTION("""COMPUTED_VALUE"""),45138.3545748495)</f>
        <v>45138.35457</v>
      </c>
      <c r="D601" s="15">
        <f>IFERROR(__xludf.DUMMYFUNCTION("""COMPUTED_VALUE"""),0.998)</f>
        <v>0.998</v>
      </c>
      <c r="E601" s="16">
        <f>IFERROR(__xludf.DUMMYFUNCTION("""COMPUTED_VALUE"""),72.0)</f>
        <v>72</v>
      </c>
      <c r="F601" s="19" t="str">
        <f>IFERROR(__xludf.DUMMYFUNCTION("""COMPUTED_VALUE"""),"BLUE")</f>
        <v>BLUE</v>
      </c>
      <c r="G601" s="20" t="str">
        <f>IFERROR(__xludf.DUMMYFUNCTION("""COMPUTED_VALUE"""),"Uncle Sams Cider (04/04/2023)")</f>
        <v>Uncle Sams Cider (04/04/2023)</v>
      </c>
      <c r="H601" s="19"/>
    </row>
    <row r="602">
      <c r="A602" s="9"/>
      <c r="B602" s="15"/>
      <c r="C602" s="9">
        <f>IFERROR(__xludf.DUMMYFUNCTION("""COMPUTED_VALUE"""),45138.3441544212)</f>
        <v>45138.34415</v>
      </c>
      <c r="D602" s="15">
        <f>IFERROR(__xludf.DUMMYFUNCTION("""COMPUTED_VALUE"""),0.998)</f>
        <v>0.998</v>
      </c>
      <c r="E602" s="16">
        <f>IFERROR(__xludf.DUMMYFUNCTION("""COMPUTED_VALUE"""),72.0)</f>
        <v>72</v>
      </c>
      <c r="F602" s="19" t="str">
        <f>IFERROR(__xludf.DUMMYFUNCTION("""COMPUTED_VALUE"""),"BLUE")</f>
        <v>BLUE</v>
      </c>
      <c r="G602" s="20" t="str">
        <f>IFERROR(__xludf.DUMMYFUNCTION("""COMPUTED_VALUE"""),"Uncle Sams Cider (04/04/2023)")</f>
        <v>Uncle Sams Cider (04/04/2023)</v>
      </c>
      <c r="H602" s="19"/>
    </row>
    <row r="603">
      <c r="A603" s="9"/>
      <c r="B603" s="15"/>
      <c r="C603" s="9">
        <f>IFERROR(__xludf.DUMMYFUNCTION("""COMPUTED_VALUE"""),45138.3337332523)</f>
        <v>45138.33373</v>
      </c>
      <c r="D603" s="15">
        <f>IFERROR(__xludf.DUMMYFUNCTION("""COMPUTED_VALUE"""),0.999)</f>
        <v>0.999</v>
      </c>
      <c r="E603" s="16">
        <f>IFERROR(__xludf.DUMMYFUNCTION("""COMPUTED_VALUE"""),72.0)</f>
        <v>72</v>
      </c>
      <c r="F603" s="19" t="str">
        <f>IFERROR(__xludf.DUMMYFUNCTION("""COMPUTED_VALUE"""),"BLUE")</f>
        <v>BLUE</v>
      </c>
      <c r="G603" s="20" t="str">
        <f>IFERROR(__xludf.DUMMYFUNCTION("""COMPUTED_VALUE"""),"Uncle Sams Cider (04/04/2023)")</f>
        <v>Uncle Sams Cider (04/04/2023)</v>
      </c>
      <c r="H603" s="19"/>
    </row>
    <row r="604">
      <c r="A604" s="9"/>
      <c r="B604" s="15"/>
      <c r="C604" s="9">
        <f>IFERROR(__xludf.DUMMYFUNCTION("""COMPUTED_VALUE"""),45138.3233108217)</f>
        <v>45138.32331</v>
      </c>
      <c r="D604" s="15">
        <f>IFERROR(__xludf.DUMMYFUNCTION("""COMPUTED_VALUE"""),0.998)</f>
        <v>0.998</v>
      </c>
      <c r="E604" s="16">
        <f>IFERROR(__xludf.DUMMYFUNCTION("""COMPUTED_VALUE"""),72.0)</f>
        <v>72</v>
      </c>
      <c r="F604" s="19" t="str">
        <f>IFERROR(__xludf.DUMMYFUNCTION("""COMPUTED_VALUE"""),"BLUE")</f>
        <v>BLUE</v>
      </c>
      <c r="G604" s="20" t="str">
        <f>IFERROR(__xludf.DUMMYFUNCTION("""COMPUTED_VALUE"""),"Uncle Sams Cider (04/04/2023)")</f>
        <v>Uncle Sams Cider (04/04/2023)</v>
      </c>
      <c r="H604" s="19"/>
    </row>
    <row r="605">
      <c r="A605" s="9"/>
      <c r="B605" s="15"/>
      <c r="C605" s="9">
        <f>IFERROR(__xludf.DUMMYFUNCTION("""COMPUTED_VALUE"""),45138.3128892592)</f>
        <v>45138.31289</v>
      </c>
      <c r="D605" s="15">
        <f>IFERROR(__xludf.DUMMYFUNCTION("""COMPUTED_VALUE"""),0.998)</f>
        <v>0.998</v>
      </c>
      <c r="E605" s="16">
        <f>IFERROR(__xludf.DUMMYFUNCTION("""COMPUTED_VALUE"""),72.0)</f>
        <v>72</v>
      </c>
      <c r="F605" s="19" t="str">
        <f>IFERROR(__xludf.DUMMYFUNCTION("""COMPUTED_VALUE"""),"BLUE")</f>
        <v>BLUE</v>
      </c>
      <c r="G605" s="20" t="str">
        <f>IFERROR(__xludf.DUMMYFUNCTION("""COMPUTED_VALUE"""),"Uncle Sams Cider (04/04/2023)")</f>
        <v>Uncle Sams Cider (04/04/2023)</v>
      </c>
      <c r="H605" s="19"/>
    </row>
    <row r="606">
      <c r="A606" s="9"/>
      <c r="B606" s="15"/>
      <c r="C606" s="9">
        <f>IFERROR(__xludf.DUMMYFUNCTION("""COMPUTED_VALUE"""),45138.3024680324)</f>
        <v>45138.30247</v>
      </c>
      <c r="D606" s="15">
        <f>IFERROR(__xludf.DUMMYFUNCTION("""COMPUTED_VALUE"""),0.998)</f>
        <v>0.998</v>
      </c>
      <c r="E606" s="16">
        <f>IFERROR(__xludf.DUMMYFUNCTION("""COMPUTED_VALUE"""),72.0)</f>
        <v>72</v>
      </c>
      <c r="F606" s="19" t="str">
        <f>IFERROR(__xludf.DUMMYFUNCTION("""COMPUTED_VALUE"""),"BLUE")</f>
        <v>BLUE</v>
      </c>
      <c r="G606" s="20" t="str">
        <f>IFERROR(__xludf.DUMMYFUNCTION("""COMPUTED_VALUE"""),"Uncle Sams Cider (04/04/2023)")</f>
        <v>Uncle Sams Cider (04/04/2023)</v>
      </c>
      <c r="H606" s="19"/>
    </row>
    <row r="607">
      <c r="A607" s="9"/>
      <c r="B607" s="15"/>
      <c r="C607" s="9">
        <f>IFERROR(__xludf.DUMMYFUNCTION("""COMPUTED_VALUE"""),45138.2920470601)</f>
        <v>45138.29205</v>
      </c>
      <c r="D607" s="15">
        <f>IFERROR(__xludf.DUMMYFUNCTION("""COMPUTED_VALUE"""),0.998)</f>
        <v>0.998</v>
      </c>
      <c r="E607" s="16">
        <f>IFERROR(__xludf.DUMMYFUNCTION("""COMPUTED_VALUE"""),72.0)</f>
        <v>72</v>
      </c>
      <c r="F607" s="19" t="str">
        <f>IFERROR(__xludf.DUMMYFUNCTION("""COMPUTED_VALUE"""),"BLUE")</f>
        <v>BLUE</v>
      </c>
      <c r="G607" s="20" t="str">
        <f>IFERROR(__xludf.DUMMYFUNCTION("""COMPUTED_VALUE"""),"Uncle Sams Cider (04/04/2023)")</f>
        <v>Uncle Sams Cider (04/04/2023)</v>
      </c>
      <c r="H607" s="19"/>
    </row>
    <row r="608">
      <c r="A608" s="9"/>
      <c r="B608" s="15"/>
      <c r="C608" s="9">
        <f>IFERROR(__xludf.DUMMYFUNCTION("""COMPUTED_VALUE"""),45138.2816142824)</f>
        <v>45138.28161</v>
      </c>
      <c r="D608" s="15">
        <f>IFERROR(__xludf.DUMMYFUNCTION("""COMPUTED_VALUE"""),0.998)</f>
        <v>0.998</v>
      </c>
      <c r="E608" s="16">
        <f>IFERROR(__xludf.DUMMYFUNCTION("""COMPUTED_VALUE"""),72.0)</f>
        <v>72</v>
      </c>
      <c r="F608" s="19" t="str">
        <f>IFERROR(__xludf.DUMMYFUNCTION("""COMPUTED_VALUE"""),"BLUE")</f>
        <v>BLUE</v>
      </c>
      <c r="G608" s="20" t="str">
        <f>IFERROR(__xludf.DUMMYFUNCTION("""COMPUTED_VALUE"""),"Uncle Sams Cider (04/04/2023)")</f>
        <v>Uncle Sams Cider (04/04/2023)</v>
      </c>
      <c r="H608" s="19"/>
    </row>
    <row r="609">
      <c r="A609" s="9"/>
      <c r="B609" s="15"/>
      <c r="C609" s="9">
        <f>IFERROR(__xludf.DUMMYFUNCTION("""COMPUTED_VALUE"""),45138.2711928356)</f>
        <v>45138.27119</v>
      </c>
      <c r="D609" s="15">
        <f>IFERROR(__xludf.DUMMYFUNCTION("""COMPUTED_VALUE"""),0.998)</f>
        <v>0.998</v>
      </c>
      <c r="E609" s="16">
        <f>IFERROR(__xludf.DUMMYFUNCTION("""COMPUTED_VALUE"""),72.0)</f>
        <v>72</v>
      </c>
      <c r="F609" s="19" t="str">
        <f>IFERROR(__xludf.DUMMYFUNCTION("""COMPUTED_VALUE"""),"BLUE")</f>
        <v>BLUE</v>
      </c>
      <c r="G609" s="20" t="str">
        <f>IFERROR(__xludf.DUMMYFUNCTION("""COMPUTED_VALUE"""),"Uncle Sams Cider (04/04/2023)")</f>
        <v>Uncle Sams Cider (04/04/2023)</v>
      </c>
      <c r="H609" s="19"/>
    </row>
    <row r="610">
      <c r="A610" s="9"/>
      <c r="B610" s="15"/>
      <c r="C610" s="9">
        <f>IFERROR(__xludf.DUMMYFUNCTION("""COMPUTED_VALUE"""),45138.2607620833)</f>
        <v>45138.26076</v>
      </c>
      <c r="D610" s="15">
        <f>IFERROR(__xludf.DUMMYFUNCTION("""COMPUTED_VALUE"""),0.998)</f>
        <v>0.998</v>
      </c>
      <c r="E610" s="16">
        <f>IFERROR(__xludf.DUMMYFUNCTION("""COMPUTED_VALUE"""),72.0)</f>
        <v>72</v>
      </c>
      <c r="F610" s="19" t="str">
        <f>IFERROR(__xludf.DUMMYFUNCTION("""COMPUTED_VALUE"""),"BLUE")</f>
        <v>BLUE</v>
      </c>
      <c r="G610" s="20" t="str">
        <f>IFERROR(__xludf.DUMMYFUNCTION("""COMPUTED_VALUE"""),"Uncle Sams Cider (04/04/2023)")</f>
        <v>Uncle Sams Cider (04/04/2023)</v>
      </c>
      <c r="H610" s="19"/>
    </row>
    <row r="611">
      <c r="A611" s="9"/>
      <c r="B611" s="15"/>
      <c r="C611" s="9">
        <f>IFERROR(__xludf.DUMMYFUNCTION("""COMPUTED_VALUE"""),45138.250340868)</f>
        <v>45138.25034</v>
      </c>
      <c r="D611" s="15">
        <f>IFERROR(__xludf.DUMMYFUNCTION("""COMPUTED_VALUE"""),0.998)</f>
        <v>0.998</v>
      </c>
      <c r="E611" s="16">
        <f>IFERROR(__xludf.DUMMYFUNCTION("""COMPUTED_VALUE"""),72.0)</f>
        <v>72</v>
      </c>
      <c r="F611" s="19" t="str">
        <f>IFERROR(__xludf.DUMMYFUNCTION("""COMPUTED_VALUE"""),"BLUE")</f>
        <v>BLUE</v>
      </c>
      <c r="G611" s="20" t="str">
        <f>IFERROR(__xludf.DUMMYFUNCTION("""COMPUTED_VALUE"""),"Uncle Sams Cider (04/04/2023)")</f>
        <v>Uncle Sams Cider (04/04/2023)</v>
      </c>
      <c r="H611" s="19"/>
    </row>
    <row r="612">
      <c r="A612" s="9"/>
      <c r="B612" s="15"/>
      <c r="C612" s="9">
        <f>IFERROR(__xludf.DUMMYFUNCTION("""COMPUTED_VALUE"""),45138.2399195254)</f>
        <v>45138.23992</v>
      </c>
      <c r="D612" s="15">
        <f>IFERROR(__xludf.DUMMYFUNCTION("""COMPUTED_VALUE"""),0.998)</f>
        <v>0.998</v>
      </c>
      <c r="E612" s="16">
        <f>IFERROR(__xludf.DUMMYFUNCTION("""COMPUTED_VALUE"""),72.0)</f>
        <v>72</v>
      </c>
      <c r="F612" s="19" t="str">
        <f>IFERROR(__xludf.DUMMYFUNCTION("""COMPUTED_VALUE"""),"BLUE")</f>
        <v>BLUE</v>
      </c>
      <c r="G612" s="20" t="str">
        <f>IFERROR(__xludf.DUMMYFUNCTION("""COMPUTED_VALUE"""),"Uncle Sams Cider (04/04/2023)")</f>
        <v>Uncle Sams Cider (04/04/2023)</v>
      </c>
      <c r="H612" s="19"/>
    </row>
    <row r="613">
      <c r="A613" s="9"/>
      <c r="B613" s="15"/>
      <c r="C613" s="9">
        <f>IFERROR(__xludf.DUMMYFUNCTION("""COMPUTED_VALUE"""),45138.2294993865)</f>
        <v>45138.2295</v>
      </c>
      <c r="D613" s="15">
        <f>IFERROR(__xludf.DUMMYFUNCTION("""COMPUTED_VALUE"""),0.998)</f>
        <v>0.998</v>
      </c>
      <c r="E613" s="16">
        <f>IFERROR(__xludf.DUMMYFUNCTION("""COMPUTED_VALUE"""),72.0)</f>
        <v>72</v>
      </c>
      <c r="F613" s="19" t="str">
        <f>IFERROR(__xludf.DUMMYFUNCTION("""COMPUTED_VALUE"""),"BLUE")</f>
        <v>BLUE</v>
      </c>
      <c r="G613" s="20" t="str">
        <f>IFERROR(__xludf.DUMMYFUNCTION("""COMPUTED_VALUE"""),"Uncle Sams Cider (04/04/2023)")</f>
        <v>Uncle Sams Cider (04/04/2023)</v>
      </c>
      <c r="H613" s="19"/>
    </row>
    <row r="614">
      <c r="A614" s="9"/>
      <c r="B614" s="15"/>
      <c r="C614" s="9">
        <f>IFERROR(__xludf.DUMMYFUNCTION("""COMPUTED_VALUE"""),45138.2190776736)</f>
        <v>45138.21908</v>
      </c>
      <c r="D614" s="15">
        <f>IFERROR(__xludf.DUMMYFUNCTION("""COMPUTED_VALUE"""),0.998)</f>
        <v>0.998</v>
      </c>
      <c r="E614" s="16">
        <f>IFERROR(__xludf.DUMMYFUNCTION("""COMPUTED_VALUE"""),72.0)</f>
        <v>72</v>
      </c>
      <c r="F614" s="19" t="str">
        <f>IFERROR(__xludf.DUMMYFUNCTION("""COMPUTED_VALUE"""),"BLUE")</f>
        <v>BLUE</v>
      </c>
      <c r="G614" s="20" t="str">
        <f>IFERROR(__xludf.DUMMYFUNCTION("""COMPUTED_VALUE"""),"Uncle Sams Cider (04/04/2023)")</f>
        <v>Uncle Sams Cider (04/04/2023)</v>
      </c>
      <c r="H614" s="19"/>
    </row>
    <row r="615">
      <c r="A615" s="9"/>
      <c r="B615" s="15"/>
      <c r="C615" s="9">
        <f>IFERROR(__xludf.DUMMYFUNCTION("""COMPUTED_VALUE"""),45138.2086565162)</f>
        <v>45138.20866</v>
      </c>
      <c r="D615" s="15">
        <f>IFERROR(__xludf.DUMMYFUNCTION("""COMPUTED_VALUE"""),0.998)</f>
        <v>0.998</v>
      </c>
      <c r="E615" s="16">
        <f>IFERROR(__xludf.DUMMYFUNCTION("""COMPUTED_VALUE"""),72.0)</f>
        <v>72</v>
      </c>
      <c r="F615" s="19" t="str">
        <f>IFERROR(__xludf.DUMMYFUNCTION("""COMPUTED_VALUE"""),"BLUE")</f>
        <v>BLUE</v>
      </c>
      <c r="G615" s="20" t="str">
        <f>IFERROR(__xludf.DUMMYFUNCTION("""COMPUTED_VALUE"""),"Uncle Sams Cider (04/04/2023)")</f>
        <v>Uncle Sams Cider (04/04/2023)</v>
      </c>
      <c r="H615" s="19"/>
    </row>
    <row r="616">
      <c r="A616" s="9"/>
      <c r="B616" s="15"/>
      <c r="C616" s="9">
        <f>IFERROR(__xludf.DUMMYFUNCTION("""COMPUTED_VALUE"""),45138.19823478)</f>
        <v>45138.19823</v>
      </c>
      <c r="D616" s="15">
        <f>IFERROR(__xludf.DUMMYFUNCTION("""COMPUTED_VALUE"""),0.999)</f>
        <v>0.999</v>
      </c>
      <c r="E616" s="16">
        <f>IFERROR(__xludf.DUMMYFUNCTION("""COMPUTED_VALUE"""),72.0)</f>
        <v>72</v>
      </c>
      <c r="F616" s="19" t="str">
        <f>IFERROR(__xludf.DUMMYFUNCTION("""COMPUTED_VALUE"""),"BLUE")</f>
        <v>BLUE</v>
      </c>
      <c r="G616" s="20" t="str">
        <f>IFERROR(__xludf.DUMMYFUNCTION("""COMPUTED_VALUE"""),"Uncle Sams Cider (04/04/2023)")</f>
        <v>Uncle Sams Cider (04/04/2023)</v>
      </c>
      <c r="H616" s="19"/>
    </row>
    <row r="617">
      <c r="A617" s="9"/>
      <c r="B617" s="15"/>
      <c r="C617" s="9">
        <f>IFERROR(__xludf.DUMMYFUNCTION("""COMPUTED_VALUE"""),45138.1878028125)</f>
        <v>45138.1878</v>
      </c>
      <c r="D617" s="15">
        <f>IFERROR(__xludf.DUMMYFUNCTION("""COMPUTED_VALUE"""),0.998)</f>
        <v>0.998</v>
      </c>
      <c r="E617" s="16">
        <f>IFERROR(__xludf.DUMMYFUNCTION("""COMPUTED_VALUE"""),72.0)</f>
        <v>72</v>
      </c>
      <c r="F617" s="19" t="str">
        <f>IFERROR(__xludf.DUMMYFUNCTION("""COMPUTED_VALUE"""),"BLUE")</f>
        <v>BLUE</v>
      </c>
      <c r="G617" s="20" t="str">
        <f>IFERROR(__xludf.DUMMYFUNCTION("""COMPUTED_VALUE"""),"Uncle Sams Cider (04/04/2023)")</f>
        <v>Uncle Sams Cider (04/04/2023)</v>
      </c>
      <c r="H617" s="19"/>
    </row>
    <row r="618">
      <c r="A618" s="9"/>
      <c r="B618" s="15"/>
      <c r="C618" s="9">
        <f>IFERROR(__xludf.DUMMYFUNCTION("""COMPUTED_VALUE"""),45138.1773812615)</f>
        <v>45138.17738</v>
      </c>
      <c r="D618" s="15">
        <f>IFERROR(__xludf.DUMMYFUNCTION("""COMPUTED_VALUE"""),0.998)</f>
        <v>0.998</v>
      </c>
      <c r="E618" s="16">
        <f>IFERROR(__xludf.DUMMYFUNCTION("""COMPUTED_VALUE"""),72.0)</f>
        <v>72</v>
      </c>
      <c r="F618" s="19" t="str">
        <f>IFERROR(__xludf.DUMMYFUNCTION("""COMPUTED_VALUE"""),"BLUE")</f>
        <v>BLUE</v>
      </c>
      <c r="G618" s="20" t="str">
        <f>IFERROR(__xludf.DUMMYFUNCTION("""COMPUTED_VALUE"""),"Uncle Sams Cider (04/04/2023)")</f>
        <v>Uncle Sams Cider (04/04/2023)</v>
      </c>
      <c r="H618" s="19"/>
    </row>
    <row r="619">
      <c r="A619" s="9"/>
      <c r="B619" s="15"/>
      <c r="C619" s="9">
        <f>IFERROR(__xludf.DUMMYFUNCTION("""COMPUTED_VALUE"""),45138.1669625115)</f>
        <v>45138.16696</v>
      </c>
      <c r="D619" s="15">
        <f>IFERROR(__xludf.DUMMYFUNCTION("""COMPUTED_VALUE"""),0.998)</f>
        <v>0.998</v>
      </c>
      <c r="E619" s="16">
        <f>IFERROR(__xludf.DUMMYFUNCTION("""COMPUTED_VALUE"""),72.0)</f>
        <v>72</v>
      </c>
      <c r="F619" s="19" t="str">
        <f>IFERROR(__xludf.DUMMYFUNCTION("""COMPUTED_VALUE"""),"BLUE")</f>
        <v>BLUE</v>
      </c>
      <c r="G619" s="20" t="str">
        <f>IFERROR(__xludf.DUMMYFUNCTION("""COMPUTED_VALUE"""),"Uncle Sams Cider (04/04/2023)")</f>
        <v>Uncle Sams Cider (04/04/2023)</v>
      </c>
      <c r="H619" s="19"/>
    </row>
    <row r="620">
      <c r="A620" s="9"/>
      <c r="B620" s="15"/>
      <c r="C620" s="9">
        <f>IFERROR(__xludf.DUMMYFUNCTION("""COMPUTED_VALUE"""),45138.1565422222)</f>
        <v>45138.15654</v>
      </c>
      <c r="D620" s="15">
        <f>IFERROR(__xludf.DUMMYFUNCTION("""COMPUTED_VALUE"""),0.998)</f>
        <v>0.998</v>
      </c>
      <c r="E620" s="16">
        <f>IFERROR(__xludf.DUMMYFUNCTION("""COMPUTED_VALUE"""),72.0)</f>
        <v>72</v>
      </c>
      <c r="F620" s="19" t="str">
        <f>IFERROR(__xludf.DUMMYFUNCTION("""COMPUTED_VALUE"""),"BLUE")</f>
        <v>BLUE</v>
      </c>
      <c r="G620" s="20" t="str">
        <f>IFERROR(__xludf.DUMMYFUNCTION("""COMPUTED_VALUE"""),"Uncle Sams Cider (04/04/2023)")</f>
        <v>Uncle Sams Cider (04/04/2023)</v>
      </c>
      <c r="H620" s="19"/>
    </row>
    <row r="621">
      <c r="A621" s="9"/>
      <c r="B621" s="15"/>
      <c r="C621" s="9">
        <f>IFERROR(__xludf.DUMMYFUNCTION("""COMPUTED_VALUE"""),45138.1460967245)</f>
        <v>45138.1461</v>
      </c>
      <c r="D621" s="15">
        <f>IFERROR(__xludf.DUMMYFUNCTION("""COMPUTED_VALUE"""),0.998)</f>
        <v>0.998</v>
      </c>
      <c r="E621" s="16">
        <f>IFERROR(__xludf.DUMMYFUNCTION("""COMPUTED_VALUE"""),72.0)</f>
        <v>72</v>
      </c>
      <c r="F621" s="19" t="str">
        <f>IFERROR(__xludf.DUMMYFUNCTION("""COMPUTED_VALUE"""),"BLUE")</f>
        <v>BLUE</v>
      </c>
      <c r="G621" s="20" t="str">
        <f>IFERROR(__xludf.DUMMYFUNCTION("""COMPUTED_VALUE"""),"Uncle Sams Cider (04/04/2023)")</f>
        <v>Uncle Sams Cider (04/04/2023)</v>
      </c>
      <c r="H621" s="19"/>
    </row>
    <row r="622">
      <c r="A622" s="9"/>
      <c r="B622" s="15"/>
      <c r="C622" s="9">
        <f>IFERROR(__xludf.DUMMYFUNCTION("""COMPUTED_VALUE"""),45138.1356754513)</f>
        <v>45138.13568</v>
      </c>
      <c r="D622" s="15">
        <f>IFERROR(__xludf.DUMMYFUNCTION("""COMPUTED_VALUE"""),0.998)</f>
        <v>0.998</v>
      </c>
      <c r="E622" s="16">
        <f>IFERROR(__xludf.DUMMYFUNCTION("""COMPUTED_VALUE"""),72.0)</f>
        <v>72</v>
      </c>
      <c r="F622" s="19" t="str">
        <f>IFERROR(__xludf.DUMMYFUNCTION("""COMPUTED_VALUE"""),"BLUE")</f>
        <v>BLUE</v>
      </c>
      <c r="G622" s="20" t="str">
        <f>IFERROR(__xludf.DUMMYFUNCTION("""COMPUTED_VALUE"""),"Uncle Sams Cider (04/04/2023)")</f>
        <v>Uncle Sams Cider (04/04/2023)</v>
      </c>
      <c r="H622" s="19"/>
    </row>
    <row r="623">
      <c r="A623" s="9"/>
      <c r="B623" s="15"/>
      <c r="C623" s="9">
        <f>IFERROR(__xludf.DUMMYFUNCTION("""COMPUTED_VALUE"""),45138.1252551157)</f>
        <v>45138.12526</v>
      </c>
      <c r="D623" s="15">
        <f>IFERROR(__xludf.DUMMYFUNCTION("""COMPUTED_VALUE"""),0.998)</f>
        <v>0.998</v>
      </c>
      <c r="E623" s="16">
        <f>IFERROR(__xludf.DUMMYFUNCTION("""COMPUTED_VALUE"""),72.0)</f>
        <v>72</v>
      </c>
      <c r="F623" s="19" t="str">
        <f>IFERROR(__xludf.DUMMYFUNCTION("""COMPUTED_VALUE"""),"BLUE")</f>
        <v>BLUE</v>
      </c>
      <c r="G623" s="20" t="str">
        <f>IFERROR(__xludf.DUMMYFUNCTION("""COMPUTED_VALUE"""),"Uncle Sams Cider (04/04/2023)")</f>
        <v>Uncle Sams Cider (04/04/2023)</v>
      </c>
      <c r="H623" s="19"/>
    </row>
    <row r="624">
      <c r="A624" s="9"/>
      <c r="B624" s="15"/>
      <c r="C624" s="9">
        <f>IFERROR(__xludf.DUMMYFUNCTION("""COMPUTED_VALUE"""),45138.1148330902)</f>
        <v>45138.11483</v>
      </c>
      <c r="D624" s="15">
        <f>IFERROR(__xludf.DUMMYFUNCTION("""COMPUTED_VALUE"""),0.998)</f>
        <v>0.998</v>
      </c>
      <c r="E624" s="16">
        <f>IFERROR(__xludf.DUMMYFUNCTION("""COMPUTED_VALUE"""),72.0)</f>
        <v>72</v>
      </c>
      <c r="F624" s="19" t="str">
        <f>IFERROR(__xludf.DUMMYFUNCTION("""COMPUTED_VALUE"""),"BLUE")</f>
        <v>BLUE</v>
      </c>
      <c r="G624" s="20" t="str">
        <f>IFERROR(__xludf.DUMMYFUNCTION("""COMPUTED_VALUE"""),"Uncle Sams Cider (04/04/2023)")</f>
        <v>Uncle Sams Cider (04/04/2023)</v>
      </c>
      <c r="H624" s="19"/>
    </row>
    <row r="625">
      <c r="A625" s="9"/>
      <c r="B625" s="15"/>
      <c r="C625" s="9">
        <f>IFERROR(__xludf.DUMMYFUNCTION("""COMPUTED_VALUE"""),45138.1044113194)</f>
        <v>45138.10441</v>
      </c>
      <c r="D625" s="15">
        <f>IFERROR(__xludf.DUMMYFUNCTION("""COMPUTED_VALUE"""),0.998)</f>
        <v>0.998</v>
      </c>
      <c r="E625" s="16">
        <f>IFERROR(__xludf.DUMMYFUNCTION("""COMPUTED_VALUE"""),72.0)</f>
        <v>72</v>
      </c>
      <c r="F625" s="19" t="str">
        <f>IFERROR(__xludf.DUMMYFUNCTION("""COMPUTED_VALUE"""),"BLUE")</f>
        <v>BLUE</v>
      </c>
      <c r="G625" s="20" t="str">
        <f>IFERROR(__xludf.DUMMYFUNCTION("""COMPUTED_VALUE"""),"Uncle Sams Cider (04/04/2023)")</f>
        <v>Uncle Sams Cider (04/04/2023)</v>
      </c>
      <c r="H625" s="19"/>
    </row>
    <row r="626">
      <c r="A626" s="9"/>
      <c r="B626" s="15"/>
      <c r="C626" s="9">
        <f>IFERROR(__xludf.DUMMYFUNCTION("""COMPUTED_VALUE"""),45138.0939886574)</f>
        <v>45138.09399</v>
      </c>
      <c r="D626" s="15">
        <f>IFERROR(__xludf.DUMMYFUNCTION("""COMPUTED_VALUE"""),0.998)</f>
        <v>0.998</v>
      </c>
      <c r="E626" s="16">
        <f>IFERROR(__xludf.DUMMYFUNCTION("""COMPUTED_VALUE"""),72.0)</f>
        <v>72</v>
      </c>
      <c r="F626" s="19" t="str">
        <f>IFERROR(__xludf.DUMMYFUNCTION("""COMPUTED_VALUE"""),"BLUE")</f>
        <v>BLUE</v>
      </c>
      <c r="G626" s="20" t="str">
        <f>IFERROR(__xludf.DUMMYFUNCTION("""COMPUTED_VALUE"""),"Uncle Sams Cider (04/04/2023)")</f>
        <v>Uncle Sams Cider (04/04/2023)</v>
      </c>
      <c r="H626" s="19"/>
    </row>
    <row r="627">
      <c r="A627" s="9"/>
      <c r="B627" s="15"/>
      <c r="C627" s="9">
        <f>IFERROR(__xludf.DUMMYFUNCTION("""COMPUTED_VALUE"""),45138.083566331)</f>
        <v>45138.08357</v>
      </c>
      <c r="D627" s="15">
        <f>IFERROR(__xludf.DUMMYFUNCTION("""COMPUTED_VALUE"""),0.998)</f>
        <v>0.998</v>
      </c>
      <c r="E627" s="16">
        <f>IFERROR(__xludf.DUMMYFUNCTION("""COMPUTED_VALUE"""),72.0)</f>
        <v>72</v>
      </c>
      <c r="F627" s="19" t="str">
        <f>IFERROR(__xludf.DUMMYFUNCTION("""COMPUTED_VALUE"""),"BLUE")</f>
        <v>BLUE</v>
      </c>
      <c r="G627" s="20" t="str">
        <f>IFERROR(__xludf.DUMMYFUNCTION("""COMPUTED_VALUE"""),"Uncle Sams Cider (04/04/2023)")</f>
        <v>Uncle Sams Cider (04/04/2023)</v>
      </c>
      <c r="H627" s="19"/>
    </row>
    <row r="628">
      <c r="A628" s="9"/>
      <c r="B628" s="15"/>
      <c r="C628" s="9">
        <f>IFERROR(__xludf.DUMMYFUNCTION("""COMPUTED_VALUE"""),45138.0731455787)</f>
        <v>45138.07315</v>
      </c>
      <c r="D628" s="15">
        <f>IFERROR(__xludf.DUMMYFUNCTION("""COMPUTED_VALUE"""),0.998)</f>
        <v>0.998</v>
      </c>
      <c r="E628" s="16">
        <f>IFERROR(__xludf.DUMMYFUNCTION("""COMPUTED_VALUE"""),72.0)</f>
        <v>72</v>
      </c>
      <c r="F628" s="19" t="str">
        <f>IFERROR(__xludf.DUMMYFUNCTION("""COMPUTED_VALUE"""),"BLUE")</f>
        <v>BLUE</v>
      </c>
      <c r="G628" s="20" t="str">
        <f>IFERROR(__xludf.DUMMYFUNCTION("""COMPUTED_VALUE"""),"Uncle Sams Cider (04/04/2023)")</f>
        <v>Uncle Sams Cider (04/04/2023)</v>
      </c>
      <c r="H628" s="19"/>
    </row>
    <row r="629">
      <c r="A629" s="9"/>
      <c r="B629" s="15"/>
      <c r="C629" s="9">
        <f>IFERROR(__xludf.DUMMYFUNCTION("""COMPUTED_VALUE"""),45138.062723368)</f>
        <v>45138.06272</v>
      </c>
      <c r="D629" s="15">
        <f>IFERROR(__xludf.DUMMYFUNCTION("""COMPUTED_VALUE"""),0.998)</f>
        <v>0.998</v>
      </c>
      <c r="E629" s="16">
        <f>IFERROR(__xludf.DUMMYFUNCTION("""COMPUTED_VALUE"""),72.0)</f>
        <v>72</v>
      </c>
      <c r="F629" s="19" t="str">
        <f>IFERROR(__xludf.DUMMYFUNCTION("""COMPUTED_VALUE"""),"BLUE")</f>
        <v>BLUE</v>
      </c>
      <c r="G629" s="20" t="str">
        <f>IFERROR(__xludf.DUMMYFUNCTION("""COMPUTED_VALUE"""),"Uncle Sams Cider (04/04/2023)")</f>
        <v>Uncle Sams Cider (04/04/2023)</v>
      </c>
      <c r="H629" s="19"/>
    </row>
    <row r="630">
      <c r="A630" s="9"/>
      <c r="B630" s="15"/>
      <c r="C630" s="9">
        <f>IFERROR(__xludf.DUMMYFUNCTION("""COMPUTED_VALUE"""),45138.0523019676)</f>
        <v>45138.0523</v>
      </c>
      <c r="D630" s="15">
        <f>IFERROR(__xludf.DUMMYFUNCTION("""COMPUTED_VALUE"""),0.998)</f>
        <v>0.998</v>
      </c>
      <c r="E630" s="16">
        <f>IFERROR(__xludf.DUMMYFUNCTION("""COMPUTED_VALUE"""),72.0)</f>
        <v>72</v>
      </c>
      <c r="F630" s="19" t="str">
        <f>IFERROR(__xludf.DUMMYFUNCTION("""COMPUTED_VALUE"""),"BLUE")</f>
        <v>BLUE</v>
      </c>
      <c r="G630" s="20" t="str">
        <f>IFERROR(__xludf.DUMMYFUNCTION("""COMPUTED_VALUE"""),"Uncle Sams Cider (04/04/2023)")</f>
        <v>Uncle Sams Cider (04/04/2023)</v>
      </c>
      <c r="H630" s="19"/>
    </row>
    <row r="631">
      <c r="A631" s="9"/>
      <c r="B631" s="15"/>
      <c r="C631" s="9">
        <f>IFERROR(__xludf.DUMMYFUNCTION("""COMPUTED_VALUE"""),45138.0418792824)</f>
        <v>45138.04188</v>
      </c>
      <c r="D631" s="15">
        <f>IFERROR(__xludf.DUMMYFUNCTION("""COMPUTED_VALUE"""),0.998)</f>
        <v>0.998</v>
      </c>
      <c r="E631" s="16">
        <f>IFERROR(__xludf.DUMMYFUNCTION("""COMPUTED_VALUE"""),72.0)</f>
        <v>72</v>
      </c>
      <c r="F631" s="19" t="str">
        <f>IFERROR(__xludf.DUMMYFUNCTION("""COMPUTED_VALUE"""),"BLUE")</f>
        <v>BLUE</v>
      </c>
      <c r="G631" s="20" t="str">
        <f>IFERROR(__xludf.DUMMYFUNCTION("""COMPUTED_VALUE"""),"Uncle Sams Cider (04/04/2023)")</f>
        <v>Uncle Sams Cider (04/04/2023)</v>
      </c>
      <c r="H631" s="19"/>
    </row>
    <row r="632">
      <c r="A632" s="9"/>
      <c r="B632" s="15"/>
      <c r="C632" s="9">
        <f>IFERROR(__xludf.DUMMYFUNCTION("""COMPUTED_VALUE"""),45138.0314459143)</f>
        <v>45138.03145</v>
      </c>
      <c r="D632" s="15">
        <f>IFERROR(__xludf.DUMMYFUNCTION("""COMPUTED_VALUE"""),0.998)</f>
        <v>0.998</v>
      </c>
      <c r="E632" s="16">
        <f>IFERROR(__xludf.DUMMYFUNCTION("""COMPUTED_VALUE"""),72.0)</f>
        <v>72</v>
      </c>
      <c r="F632" s="19" t="str">
        <f>IFERROR(__xludf.DUMMYFUNCTION("""COMPUTED_VALUE"""),"BLUE")</f>
        <v>BLUE</v>
      </c>
      <c r="G632" s="20" t="str">
        <f>IFERROR(__xludf.DUMMYFUNCTION("""COMPUTED_VALUE"""),"Uncle Sams Cider (04/04/2023)")</f>
        <v>Uncle Sams Cider (04/04/2023)</v>
      </c>
      <c r="H632" s="19"/>
    </row>
    <row r="633">
      <c r="A633" s="9"/>
      <c r="B633" s="15"/>
      <c r="C633" s="9">
        <f>IFERROR(__xludf.DUMMYFUNCTION("""COMPUTED_VALUE"""),45138.0210275462)</f>
        <v>45138.02103</v>
      </c>
      <c r="D633" s="15">
        <f>IFERROR(__xludf.DUMMYFUNCTION("""COMPUTED_VALUE"""),0.998)</f>
        <v>0.998</v>
      </c>
      <c r="E633" s="16">
        <f>IFERROR(__xludf.DUMMYFUNCTION("""COMPUTED_VALUE"""),72.0)</f>
        <v>72</v>
      </c>
      <c r="F633" s="19" t="str">
        <f>IFERROR(__xludf.DUMMYFUNCTION("""COMPUTED_VALUE"""),"BLUE")</f>
        <v>BLUE</v>
      </c>
      <c r="G633" s="20" t="str">
        <f>IFERROR(__xludf.DUMMYFUNCTION("""COMPUTED_VALUE"""),"Uncle Sams Cider (04/04/2023)")</f>
        <v>Uncle Sams Cider (04/04/2023)</v>
      </c>
      <c r="H633" s="19"/>
    </row>
    <row r="634">
      <c r="A634" s="9"/>
      <c r="B634" s="15"/>
      <c r="C634" s="9">
        <f>IFERROR(__xludf.DUMMYFUNCTION("""COMPUTED_VALUE"""),45138.0106074074)</f>
        <v>45138.01061</v>
      </c>
      <c r="D634" s="15">
        <f>IFERROR(__xludf.DUMMYFUNCTION("""COMPUTED_VALUE"""),0.998)</f>
        <v>0.998</v>
      </c>
      <c r="E634" s="16">
        <f>IFERROR(__xludf.DUMMYFUNCTION("""COMPUTED_VALUE"""),72.0)</f>
        <v>72</v>
      </c>
      <c r="F634" s="19" t="str">
        <f>IFERROR(__xludf.DUMMYFUNCTION("""COMPUTED_VALUE"""),"BLUE")</f>
        <v>BLUE</v>
      </c>
      <c r="G634" s="20" t="str">
        <f>IFERROR(__xludf.DUMMYFUNCTION("""COMPUTED_VALUE"""),"Uncle Sams Cider (04/04/2023)")</f>
        <v>Uncle Sams Cider (04/04/2023)</v>
      </c>
      <c r="H634" s="19"/>
    </row>
    <row r="635">
      <c r="A635" s="9"/>
      <c r="B635" s="15"/>
      <c r="C635" s="9">
        <f>IFERROR(__xludf.DUMMYFUNCTION("""COMPUTED_VALUE"""),45138.0001860532)</f>
        <v>45138.00019</v>
      </c>
      <c r="D635" s="15">
        <f>IFERROR(__xludf.DUMMYFUNCTION("""COMPUTED_VALUE"""),0.999)</f>
        <v>0.999</v>
      </c>
      <c r="E635" s="16">
        <f>IFERROR(__xludf.DUMMYFUNCTION("""COMPUTED_VALUE"""),72.0)</f>
        <v>72</v>
      </c>
      <c r="F635" s="19" t="str">
        <f>IFERROR(__xludf.DUMMYFUNCTION("""COMPUTED_VALUE"""),"BLUE")</f>
        <v>BLUE</v>
      </c>
      <c r="G635" s="20" t="str">
        <f>IFERROR(__xludf.DUMMYFUNCTION("""COMPUTED_VALUE"""),"Uncle Sams Cider (04/04/2023)")</f>
        <v>Uncle Sams Cider (04/04/2023)</v>
      </c>
      <c r="H635" s="19"/>
    </row>
    <row r="636">
      <c r="A636" s="9"/>
      <c r="B636" s="15"/>
      <c r="C636" s="9">
        <f>IFERROR(__xludf.DUMMYFUNCTION("""COMPUTED_VALUE"""),45137.9897539351)</f>
        <v>45137.98975</v>
      </c>
      <c r="D636" s="15">
        <f>IFERROR(__xludf.DUMMYFUNCTION("""COMPUTED_VALUE"""),0.999)</f>
        <v>0.999</v>
      </c>
      <c r="E636" s="16">
        <f>IFERROR(__xludf.DUMMYFUNCTION("""COMPUTED_VALUE"""),72.0)</f>
        <v>72</v>
      </c>
      <c r="F636" s="19" t="str">
        <f>IFERROR(__xludf.DUMMYFUNCTION("""COMPUTED_VALUE"""),"BLUE")</f>
        <v>BLUE</v>
      </c>
      <c r="G636" s="20" t="str">
        <f>IFERROR(__xludf.DUMMYFUNCTION("""COMPUTED_VALUE"""),"Uncle Sams Cider (04/04/2023)")</f>
        <v>Uncle Sams Cider (04/04/2023)</v>
      </c>
      <c r="H636" s="19"/>
    </row>
    <row r="637">
      <c r="A637" s="9"/>
      <c r="B637" s="15"/>
      <c r="C637" s="9">
        <f>IFERROR(__xludf.DUMMYFUNCTION("""COMPUTED_VALUE"""),45137.9793339004)</f>
        <v>45137.97933</v>
      </c>
      <c r="D637" s="15">
        <f>IFERROR(__xludf.DUMMYFUNCTION("""COMPUTED_VALUE"""),0.998)</f>
        <v>0.998</v>
      </c>
      <c r="E637" s="16">
        <f>IFERROR(__xludf.DUMMYFUNCTION("""COMPUTED_VALUE"""),72.0)</f>
        <v>72</v>
      </c>
      <c r="F637" s="19" t="str">
        <f>IFERROR(__xludf.DUMMYFUNCTION("""COMPUTED_VALUE"""),"BLUE")</f>
        <v>BLUE</v>
      </c>
      <c r="G637" s="20" t="str">
        <f>IFERROR(__xludf.DUMMYFUNCTION("""COMPUTED_VALUE"""),"Uncle Sams Cider (04/04/2023)")</f>
        <v>Uncle Sams Cider (04/04/2023)</v>
      </c>
      <c r="H637" s="19"/>
    </row>
    <row r="638">
      <c r="A638" s="9"/>
      <c r="B638" s="15"/>
      <c r="C638" s="9">
        <f>IFERROR(__xludf.DUMMYFUNCTION("""COMPUTED_VALUE"""),45137.9689011689)</f>
        <v>45137.9689</v>
      </c>
      <c r="D638" s="15">
        <f>IFERROR(__xludf.DUMMYFUNCTION("""COMPUTED_VALUE"""),0.998)</f>
        <v>0.998</v>
      </c>
      <c r="E638" s="16">
        <f>IFERROR(__xludf.DUMMYFUNCTION("""COMPUTED_VALUE"""),72.0)</f>
        <v>72</v>
      </c>
      <c r="F638" s="19" t="str">
        <f>IFERROR(__xludf.DUMMYFUNCTION("""COMPUTED_VALUE"""),"BLUE")</f>
        <v>BLUE</v>
      </c>
      <c r="G638" s="20" t="str">
        <f>IFERROR(__xludf.DUMMYFUNCTION("""COMPUTED_VALUE"""),"Uncle Sams Cider (04/04/2023)")</f>
        <v>Uncle Sams Cider (04/04/2023)</v>
      </c>
      <c r="H638" s="19"/>
    </row>
    <row r="639">
      <c r="A639" s="9"/>
      <c r="B639" s="15"/>
      <c r="C639" s="9">
        <f>IFERROR(__xludf.DUMMYFUNCTION("""COMPUTED_VALUE"""),45137.958482037)</f>
        <v>45137.95848</v>
      </c>
      <c r="D639" s="15">
        <f>IFERROR(__xludf.DUMMYFUNCTION("""COMPUTED_VALUE"""),0.999)</f>
        <v>0.999</v>
      </c>
      <c r="E639" s="16">
        <f>IFERROR(__xludf.DUMMYFUNCTION("""COMPUTED_VALUE"""),72.0)</f>
        <v>72</v>
      </c>
      <c r="F639" s="19" t="str">
        <f>IFERROR(__xludf.DUMMYFUNCTION("""COMPUTED_VALUE"""),"BLUE")</f>
        <v>BLUE</v>
      </c>
      <c r="G639" s="20" t="str">
        <f>IFERROR(__xludf.DUMMYFUNCTION("""COMPUTED_VALUE"""),"Uncle Sams Cider (04/04/2023)")</f>
        <v>Uncle Sams Cider (04/04/2023)</v>
      </c>
      <c r="H639" s="19"/>
    </row>
    <row r="640">
      <c r="A640" s="9"/>
      <c r="B640" s="15"/>
      <c r="C640" s="9">
        <f>IFERROR(__xludf.DUMMYFUNCTION("""COMPUTED_VALUE"""),45137.9480609375)</f>
        <v>45137.94806</v>
      </c>
      <c r="D640" s="15">
        <f>IFERROR(__xludf.DUMMYFUNCTION("""COMPUTED_VALUE"""),0.998)</f>
        <v>0.998</v>
      </c>
      <c r="E640" s="16">
        <f>IFERROR(__xludf.DUMMYFUNCTION("""COMPUTED_VALUE"""),72.0)</f>
        <v>72</v>
      </c>
      <c r="F640" s="19" t="str">
        <f>IFERROR(__xludf.DUMMYFUNCTION("""COMPUTED_VALUE"""),"BLUE")</f>
        <v>BLUE</v>
      </c>
      <c r="G640" s="20" t="str">
        <f>IFERROR(__xludf.DUMMYFUNCTION("""COMPUTED_VALUE"""),"Uncle Sams Cider (04/04/2023)")</f>
        <v>Uncle Sams Cider (04/04/2023)</v>
      </c>
      <c r="H640" s="19"/>
    </row>
    <row r="641">
      <c r="A641" s="9"/>
      <c r="B641" s="15"/>
      <c r="C641" s="9">
        <f>IFERROR(__xludf.DUMMYFUNCTION("""COMPUTED_VALUE"""),45137.9376409375)</f>
        <v>45137.93764</v>
      </c>
      <c r="D641" s="15">
        <f>IFERROR(__xludf.DUMMYFUNCTION("""COMPUTED_VALUE"""),0.998)</f>
        <v>0.998</v>
      </c>
      <c r="E641" s="16">
        <f>IFERROR(__xludf.DUMMYFUNCTION("""COMPUTED_VALUE"""),72.0)</f>
        <v>72</v>
      </c>
      <c r="F641" s="19" t="str">
        <f>IFERROR(__xludf.DUMMYFUNCTION("""COMPUTED_VALUE"""),"BLUE")</f>
        <v>BLUE</v>
      </c>
      <c r="G641" s="20" t="str">
        <f>IFERROR(__xludf.DUMMYFUNCTION("""COMPUTED_VALUE"""),"Uncle Sams Cider (04/04/2023)")</f>
        <v>Uncle Sams Cider (04/04/2023)</v>
      </c>
      <c r="H641" s="19"/>
    </row>
    <row r="642">
      <c r="A642" s="9"/>
      <c r="B642" s="15"/>
      <c r="C642" s="9">
        <f>IFERROR(__xludf.DUMMYFUNCTION("""COMPUTED_VALUE"""),45137.9272194675)</f>
        <v>45137.92722</v>
      </c>
      <c r="D642" s="15">
        <f>IFERROR(__xludf.DUMMYFUNCTION("""COMPUTED_VALUE"""),0.998)</f>
        <v>0.998</v>
      </c>
      <c r="E642" s="16">
        <f>IFERROR(__xludf.DUMMYFUNCTION("""COMPUTED_VALUE"""),72.0)</f>
        <v>72</v>
      </c>
      <c r="F642" s="19" t="str">
        <f>IFERROR(__xludf.DUMMYFUNCTION("""COMPUTED_VALUE"""),"BLUE")</f>
        <v>BLUE</v>
      </c>
      <c r="G642" s="20" t="str">
        <f>IFERROR(__xludf.DUMMYFUNCTION("""COMPUTED_VALUE"""),"Uncle Sams Cider (04/04/2023)")</f>
        <v>Uncle Sams Cider (04/04/2023)</v>
      </c>
      <c r="H642" s="19"/>
    </row>
    <row r="643">
      <c r="A643" s="9"/>
      <c r="B643" s="15"/>
      <c r="C643" s="9">
        <f>IFERROR(__xludf.DUMMYFUNCTION("""COMPUTED_VALUE"""),45137.9167980208)</f>
        <v>45137.9168</v>
      </c>
      <c r="D643" s="15">
        <f>IFERROR(__xludf.DUMMYFUNCTION("""COMPUTED_VALUE"""),0.998)</f>
        <v>0.998</v>
      </c>
      <c r="E643" s="16">
        <f>IFERROR(__xludf.DUMMYFUNCTION("""COMPUTED_VALUE"""),73.0)</f>
        <v>73</v>
      </c>
      <c r="F643" s="19" t="str">
        <f>IFERROR(__xludf.DUMMYFUNCTION("""COMPUTED_VALUE"""),"BLUE")</f>
        <v>BLUE</v>
      </c>
      <c r="G643" s="20" t="str">
        <f>IFERROR(__xludf.DUMMYFUNCTION("""COMPUTED_VALUE"""),"Uncle Sams Cider (04/04/2023)")</f>
        <v>Uncle Sams Cider (04/04/2023)</v>
      </c>
      <c r="H643" s="19"/>
    </row>
    <row r="644">
      <c r="A644" s="9"/>
      <c r="B644" s="15"/>
      <c r="C644" s="9">
        <f>IFERROR(__xludf.DUMMYFUNCTION("""COMPUTED_VALUE"""),45137.9063777662)</f>
        <v>45137.90638</v>
      </c>
      <c r="D644" s="15">
        <f>IFERROR(__xludf.DUMMYFUNCTION("""COMPUTED_VALUE"""),0.998)</f>
        <v>0.998</v>
      </c>
      <c r="E644" s="16">
        <f>IFERROR(__xludf.DUMMYFUNCTION("""COMPUTED_VALUE"""),73.0)</f>
        <v>73</v>
      </c>
      <c r="F644" s="19" t="str">
        <f>IFERROR(__xludf.DUMMYFUNCTION("""COMPUTED_VALUE"""),"BLUE")</f>
        <v>BLUE</v>
      </c>
      <c r="G644" s="20" t="str">
        <f>IFERROR(__xludf.DUMMYFUNCTION("""COMPUTED_VALUE"""),"Uncle Sams Cider (04/04/2023)")</f>
        <v>Uncle Sams Cider (04/04/2023)</v>
      </c>
      <c r="H644" s="19"/>
    </row>
    <row r="645">
      <c r="A645" s="9"/>
      <c r="B645" s="15"/>
      <c r="C645" s="9">
        <f>IFERROR(__xludf.DUMMYFUNCTION("""COMPUTED_VALUE"""),45137.8959564467)</f>
        <v>45137.89596</v>
      </c>
      <c r="D645" s="15">
        <f>IFERROR(__xludf.DUMMYFUNCTION("""COMPUTED_VALUE"""),0.998)</f>
        <v>0.998</v>
      </c>
      <c r="E645" s="16">
        <f>IFERROR(__xludf.DUMMYFUNCTION("""COMPUTED_VALUE"""),73.0)</f>
        <v>73</v>
      </c>
      <c r="F645" s="19" t="str">
        <f>IFERROR(__xludf.DUMMYFUNCTION("""COMPUTED_VALUE"""),"BLUE")</f>
        <v>BLUE</v>
      </c>
      <c r="G645" s="20" t="str">
        <f>IFERROR(__xludf.DUMMYFUNCTION("""COMPUTED_VALUE"""),"Uncle Sams Cider (04/04/2023)")</f>
        <v>Uncle Sams Cider (04/04/2023)</v>
      </c>
      <c r="H645" s="19"/>
    </row>
    <row r="646">
      <c r="A646" s="9"/>
      <c r="B646" s="15"/>
      <c r="C646" s="9">
        <f>IFERROR(__xludf.DUMMYFUNCTION("""COMPUTED_VALUE"""),45137.8855354166)</f>
        <v>45137.88554</v>
      </c>
      <c r="D646" s="15">
        <f>IFERROR(__xludf.DUMMYFUNCTION("""COMPUTED_VALUE"""),0.998)</f>
        <v>0.998</v>
      </c>
      <c r="E646" s="16">
        <f>IFERROR(__xludf.DUMMYFUNCTION("""COMPUTED_VALUE"""),73.0)</f>
        <v>73</v>
      </c>
      <c r="F646" s="19" t="str">
        <f>IFERROR(__xludf.DUMMYFUNCTION("""COMPUTED_VALUE"""),"BLUE")</f>
        <v>BLUE</v>
      </c>
      <c r="G646" s="20" t="str">
        <f>IFERROR(__xludf.DUMMYFUNCTION("""COMPUTED_VALUE"""),"Uncle Sams Cider (04/04/2023)")</f>
        <v>Uncle Sams Cider (04/04/2023)</v>
      </c>
      <c r="H646" s="19"/>
    </row>
    <row r="647">
      <c r="A647" s="9"/>
      <c r="B647" s="15"/>
      <c r="C647" s="9">
        <f>IFERROR(__xludf.DUMMYFUNCTION("""COMPUTED_VALUE"""),45137.8751040277)</f>
        <v>45137.8751</v>
      </c>
      <c r="D647" s="15">
        <f>IFERROR(__xludf.DUMMYFUNCTION("""COMPUTED_VALUE"""),0.998)</f>
        <v>0.998</v>
      </c>
      <c r="E647" s="16">
        <f>IFERROR(__xludf.DUMMYFUNCTION("""COMPUTED_VALUE"""),73.0)</f>
        <v>73</v>
      </c>
      <c r="F647" s="19" t="str">
        <f>IFERROR(__xludf.DUMMYFUNCTION("""COMPUTED_VALUE"""),"BLUE")</f>
        <v>BLUE</v>
      </c>
      <c r="G647" s="20" t="str">
        <f>IFERROR(__xludf.DUMMYFUNCTION("""COMPUTED_VALUE"""),"Uncle Sams Cider (04/04/2023)")</f>
        <v>Uncle Sams Cider (04/04/2023)</v>
      </c>
      <c r="H647" s="19"/>
    </row>
    <row r="648">
      <c r="A648" s="9"/>
      <c r="B648" s="15"/>
      <c r="C648" s="9">
        <f>IFERROR(__xludf.DUMMYFUNCTION("""COMPUTED_VALUE"""),45137.8646846643)</f>
        <v>45137.86468</v>
      </c>
      <c r="D648" s="15">
        <f>IFERROR(__xludf.DUMMYFUNCTION("""COMPUTED_VALUE"""),0.998)</f>
        <v>0.998</v>
      </c>
      <c r="E648" s="16">
        <f>IFERROR(__xludf.DUMMYFUNCTION("""COMPUTED_VALUE"""),73.0)</f>
        <v>73</v>
      </c>
      <c r="F648" s="19" t="str">
        <f>IFERROR(__xludf.DUMMYFUNCTION("""COMPUTED_VALUE"""),"BLUE")</f>
        <v>BLUE</v>
      </c>
      <c r="G648" s="20" t="str">
        <f>IFERROR(__xludf.DUMMYFUNCTION("""COMPUTED_VALUE"""),"Uncle Sams Cider (04/04/2023)")</f>
        <v>Uncle Sams Cider (04/04/2023)</v>
      </c>
      <c r="H648" s="19"/>
    </row>
    <row r="649">
      <c r="A649" s="9"/>
      <c r="B649" s="15"/>
      <c r="C649" s="9">
        <f>IFERROR(__xludf.DUMMYFUNCTION("""COMPUTED_VALUE"""),45137.854253125)</f>
        <v>45137.85425</v>
      </c>
      <c r="D649" s="15">
        <f>IFERROR(__xludf.DUMMYFUNCTION("""COMPUTED_VALUE"""),0.999)</f>
        <v>0.999</v>
      </c>
      <c r="E649" s="16">
        <f>IFERROR(__xludf.DUMMYFUNCTION("""COMPUTED_VALUE"""),73.0)</f>
        <v>73</v>
      </c>
      <c r="F649" s="19" t="str">
        <f>IFERROR(__xludf.DUMMYFUNCTION("""COMPUTED_VALUE"""),"BLUE")</f>
        <v>BLUE</v>
      </c>
      <c r="G649" s="20" t="str">
        <f>IFERROR(__xludf.DUMMYFUNCTION("""COMPUTED_VALUE"""),"Uncle Sams Cider (04/04/2023)")</f>
        <v>Uncle Sams Cider (04/04/2023)</v>
      </c>
      <c r="H649" s="19"/>
    </row>
    <row r="650">
      <c r="A650" s="9"/>
      <c r="B650" s="15"/>
      <c r="C650" s="9">
        <f>IFERROR(__xludf.DUMMYFUNCTION("""COMPUTED_VALUE"""),45137.843831875)</f>
        <v>45137.84383</v>
      </c>
      <c r="D650" s="15">
        <f>IFERROR(__xludf.DUMMYFUNCTION("""COMPUTED_VALUE"""),0.998)</f>
        <v>0.998</v>
      </c>
      <c r="E650" s="16">
        <f>IFERROR(__xludf.DUMMYFUNCTION("""COMPUTED_VALUE"""),73.0)</f>
        <v>73</v>
      </c>
      <c r="F650" s="19" t="str">
        <f>IFERROR(__xludf.DUMMYFUNCTION("""COMPUTED_VALUE"""),"BLUE")</f>
        <v>BLUE</v>
      </c>
      <c r="G650" s="20" t="str">
        <f>IFERROR(__xludf.DUMMYFUNCTION("""COMPUTED_VALUE"""),"Uncle Sams Cider (04/04/2023)")</f>
        <v>Uncle Sams Cider (04/04/2023)</v>
      </c>
      <c r="H650" s="19"/>
    </row>
    <row r="651">
      <c r="A651" s="9"/>
      <c r="B651" s="15"/>
      <c r="C651" s="9">
        <f>IFERROR(__xludf.DUMMYFUNCTION("""COMPUTED_VALUE"""),45137.833411493)</f>
        <v>45137.83341</v>
      </c>
      <c r="D651" s="15">
        <f>IFERROR(__xludf.DUMMYFUNCTION("""COMPUTED_VALUE"""),0.998)</f>
        <v>0.998</v>
      </c>
      <c r="E651" s="16">
        <f>IFERROR(__xludf.DUMMYFUNCTION("""COMPUTED_VALUE"""),73.0)</f>
        <v>73</v>
      </c>
      <c r="F651" s="19" t="str">
        <f>IFERROR(__xludf.DUMMYFUNCTION("""COMPUTED_VALUE"""),"BLUE")</f>
        <v>BLUE</v>
      </c>
      <c r="G651" s="20" t="str">
        <f>IFERROR(__xludf.DUMMYFUNCTION("""COMPUTED_VALUE"""),"Uncle Sams Cider (04/04/2023)")</f>
        <v>Uncle Sams Cider (04/04/2023)</v>
      </c>
      <c r="H651" s="19"/>
    </row>
    <row r="652">
      <c r="A652" s="9"/>
      <c r="B652" s="15"/>
      <c r="C652" s="9">
        <f>IFERROR(__xludf.DUMMYFUNCTION("""COMPUTED_VALUE"""),45137.8229877546)</f>
        <v>45137.82299</v>
      </c>
      <c r="D652" s="15">
        <f>IFERROR(__xludf.DUMMYFUNCTION("""COMPUTED_VALUE"""),0.998)</f>
        <v>0.998</v>
      </c>
      <c r="E652" s="16">
        <f>IFERROR(__xludf.DUMMYFUNCTION("""COMPUTED_VALUE"""),73.0)</f>
        <v>73</v>
      </c>
      <c r="F652" s="19" t="str">
        <f>IFERROR(__xludf.DUMMYFUNCTION("""COMPUTED_VALUE"""),"BLUE")</f>
        <v>BLUE</v>
      </c>
      <c r="G652" s="20" t="str">
        <f>IFERROR(__xludf.DUMMYFUNCTION("""COMPUTED_VALUE"""),"Uncle Sams Cider (04/04/2023)")</f>
        <v>Uncle Sams Cider (04/04/2023)</v>
      </c>
      <c r="H652" s="19"/>
    </row>
    <row r="653">
      <c r="A653" s="9"/>
      <c r="B653" s="15"/>
      <c r="C653" s="9">
        <f>IFERROR(__xludf.DUMMYFUNCTION("""COMPUTED_VALUE"""),45137.8125678588)</f>
        <v>45137.81257</v>
      </c>
      <c r="D653" s="15">
        <f>IFERROR(__xludf.DUMMYFUNCTION("""COMPUTED_VALUE"""),0.998)</f>
        <v>0.998</v>
      </c>
      <c r="E653" s="16">
        <f>IFERROR(__xludf.DUMMYFUNCTION("""COMPUTED_VALUE"""),73.0)</f>
        <v>73</v>
      </c>
      <c r="F653" s="19" t="str">
        <f>IFERROR(__xludf.DUMMYFUNCTION("""COMPUTED_VALUE"""),"BLUE")</f>
        <v>BLUE</v>
      </c>
      <c r="G653" s="20" t="str">
        <f>IFERROR(__xludf.DUMMYFUNCTION("""COMPUTED_VALUE"""),"Uncle Sams Cider (04/04/2023)")</f>
        <v>Uncle Sams Cider (04/04/2023)</v>
      </c>
      <c r="H653" s="19"/>
    </row>
    <row r="654">
      <c r="A654" s="9"/>
      <c r="B654" s="15"/>
      <c r="C654" s="9">
        <f>IFERROR(__xludf.DUMMYFUNCTION("""COMPUTED_VALUE"""),45137.8021463078)</f>
        <v>45137.80215</v>
      </c>
      <c r="D654" s="15">
        <f>IFERROR(__xludf.DUMMYFUNCTION("""COMPUTED_VALUE"""),0.998)</f>
        <v>0.998</v>
      </c>
      <c r="E654" s="16">
        <f>IFERROR(__xludf.DUMMYFUNCTION("""COMPUTED_VALUE"""),73.0)</f>
        <v>73</v>
      </c>
      <c r="F654" s="19" t="str">
        <f>IFERROR(__xludf.DUMMYFUNCTION("""COMPUTED_VALUE"""),"BLUE")</f>
        <v>BLUE</v>
      </c>
      <c r="G654" s="20" t="str">
        <f>IFERROR(__xludf.DUMMYFUNCTION("""COMPUTED_VALUE"""),"Uncle Sams Cider (04/04/2023)")</f>
        <v>Uncle Sams Cider (04/04/2023)</v>
      </c>
      <c r="H654" s="19"/>
    </row>
    <row r="655">
      <c r="A655" s="9"/>
      <c r="B655" s="15"/>
      <c r="C655" s="9">
        <f>IFERROR(__xludf.DUMMYFUNCTION("""COMPUTED_VALUE"""),45137.7917259027)</f>
        <v>45137.79173</v>
      </c>
      <c r="D655" s="15">
        <f>IFERROR(__xludf.DUMMYFUNCTION("""COMPUTED_VALUE"""),0.998)</f>
        <v>0.998</v>
      </c>
      <c r="E655" s="16">
        <f>IFERROR(__xludf.DUMMYFUNCTION("""COMPUTED_VALUE"""),73.0)</f>
        <v>73</v>
      </c>
      <c r="F655" s="19" t="str">
        <f>IFERROR(__xludf.DUMMYFUNCTION("""COMPUTED_VALUE"""),"BLUE")</f>
        <v>BLUE</v>
      </c>
      <c r="G655" s="20" t="str">
        <f>IFERROR(__xludf.DUMMYFUNCTION("""COMPUTED_VALUE"""),"Uncle Sams Cider (04/04/2023)")</f>
        <v>Uncle Sams Cider (04/04/2023)</v>
      </c>
      <c r="H655" s="19"/>
    </row>
    <row r="656">
      <c r="A656" s="9"/>
      <c r="B656" s="15"/>
      <c r="C656" s="9">
        <f>IFERROR(__xludf.DUMMYFUNCTION("""COMPUTED_VALUE"""),45137.7812937384)</f>
        <v>45137.78129</v>
      </c>
      <c r="D656" s="15">
        <f>IFERROR(__xludf.DUMMYFUNCTION("""COMPUTED_VALUE"""),0.998)</f>
        <v>0.998</v>
      </c>
      <c r="E656" s="16">
        <f>IFERROR(__xludf.DUMMYFUNCTION("""COMPUTED_VALUE"""),73.0)</f>
        <v>73</v>
      </c>
      <c r="F656" s="19" t="str">
        <f>IFERROR(__xludf.DUMMYFUNCTION("""COMPUTED_VALUE"""),"BLUE")</f>
        <v>BLUE</v>
      </c>
      <c r="G656" s="20" t="str">
        <f>IFERROR(__xludf.DUMMYFUNCTION("""COMPUTED_VALUE"""),"Uncle Sams Cider (04/04/2023)")</f>
        <v>Uncle Sams Cider (04/04/2023)</v>
      </c>
      <c r="H656" s="19"/>
    </row>
    <row r="657">
      <c r="A657" s="9"/>
      <c r="B657" s="15"/>
      <c r="C657" s="9">
        <f>IFERROR(__xludf.DUMMYFUNCTION("""COMPUTED_VALUE"""),45137.7708732986)</f>
        <v>45137.77087</v>
      </c>
      <c r="D657" s="15">
        <f>IFERROR(__xludf.DUMMYFUNCTION("""COMPUTED_VALUE"""),0.999)</f>
        <v>0.999</v>
      </c>
      <c r="E657" s="16">
        <f>IFERROR(__xludf.DUMMYFUNCTION("""COMPUTED_VALUE"""),73.0)</f>
        <v>73</v>
      </c>
      <c r="F657" s="19" t="str">
        <f>IFERROR(__xludf.DUMMYFUNCTION("""COMPUTED_VALUE"""),"BLUE")</f>
        <v>BLUE</v>
      </c>
      <c r="G657" s="20" t="str">
        <f>IFERROR(__xludf.DUMMYFUNCTION("""COMPUTED_VALUE"""),"Uncle Sams Cider (04/04/2023)")</f>
        <v>Uncle Sams Cider (04/04/2023)</v>
      </c>
      <c r="H657" s="19"/>
    </row>
    <row r="658">
      <c r="A658" s="9"/>
      <c r="B658" s="15"/>
      <c r="C658" s="9">
        <f>IFERROR(__xludf.DUMMYFUNCTION("""COMPUTED_VALUE"""),45137.7604390625)</f>
        <v>45137.76044</v>
      </c>
      <c r="D658" s="15">
        <f>IFERROR(__xludf.DUMMYFUNCTION("""COMPUTED_VALUE"""),0.998)</f>
        <v>0.998</v>
      </c>
      <c r="E658" s="16">
        <f>IFERROR(__xludf.DUMMYFUNCTION("""COMPUTED_VALUE"""),73.0)</f>
        <v>73</v>
      </c>
      <c r="F658" s="19" t="str">
        <f>IFERROR(__xludf.DUMMYFUNCTION("""COMPUTED_VALUE"""),"BLUE")</f>
        <v>BLUE</v>
      </c>
      <c r="G658" s="20" t="str">
        <f>IFERROR(__xludf.DUMMYFUNCTION("""COMPUTED_VALUE"""),"Uncle Sams Cider (04/04/2023)")</f>
        <v>Uncle Sams Cider (04/04/2023)</v>
      </c>
      <c r="H658" s="19"/>
    </row>
    <row r="659">
      <c r="A659" s="9"/>
      <c r="B659" s="15"/>
      <c r="C659" s="9">
        <f>IFERROR(__xludf.DUMMYFUNCTION("""COMPUTED_VALUE"""),45137.7500048726)</f>
        <v>45137.75</v>
      </c>
      <c r="D659" s="15">
        <f>IFERROR(__xludf.DUMMYFUNCTION("""COMPUTED_VALUE"""),0.999)</f>
        <v>0.999</v>
      </c>
      <c r="E659" s="16">
        <f>IFERROR(__xludf.DUMMYFUNCTION("""COMPUTED_VALUE"""),73.0)</f>
        <v>73</v>
      </c>
      <c r="F659" s="19" t="str">
        <f>IFERROR(__xludf.DUMMYFUNCTION("""COMPUTED_VALUE"""),"BLUE")</f>
        <v>BLUE</v>
      </c>
      <c r="G659" s="20" t="str">
        <f>IFERROR(__xludf.DUMMYFUNCTION("""COMPUTED_VALUE"""),"Uncle Sams Cider (04/04/2023)")</f>
        <v>Uncle Sams Cider (04/04/2023)</v>
      </c>
      <c r="H659" s="19"/>
    </row>
    <row r="660">
      <c r="A660" s="9"/>
      <c r="B660" s="15"/>
      <c r="C660" s="9">
        <f>IFERROR(__xludf.DUMMYFUNCTION("""COMPUTED_VALUE"""),45137.739571331)</f>
        <v>45137.73957</v>
      </c>
      <c r="D660" s="15">
        <f>IFERROR(__xludf.DUMMYFUNCTION("""COMPUTED_VALUE"""),0.998)</f>
        <v>0.998</v>
      </c>
      <c r="E660" s="16">
        <f>IFERROR(__xludf.DUMMYFUNCTION("""COMPUTED_VALUE"""),73.0)</f>
        <v>73</v>
      </c>
      <c r="F660" s="19" t="str">
        <f>IFERROR(__xludf.DUMMYFUNCTION("""COMPUTED_VALUE"""),"BLUE")</f>
        <v>BLUE</v>
      </c>
      <c r="G660" s="20" t="str">
        <f>IFERROR(__xludf.DUMMYFUNCTION("""COMPUTED_VALUE"""),"Uncle Sams Cider (04/04/2023)")</f>
        <v>Uncle Sams Cider (04/04/2023)</v>
      </c>
      <c r="H660" s="19"/>
    </row>
    <row r="661">
      <c r="A661" s="9"/>
      <c r="B661" s="15"/>
      <c r="C661" s="9">
        <f>IFERROR(__xludf.DUMMYFUNCTION("""COMPUTED_VALUE"""),45137.7291501967)</f>
        <v>45137.72915</v>
      </c>
      <c r="D661" s="15">
        <f>IFERROR(__xludf.DUMMYFUNCTION("""COMPUTED_VALUE"""),0.999)</f>
        <v>0.999</v>
      </c>
      <c r="E661" s="16">
        <f>IFERROR(__xludf.DUMMYFUNCTION("""COMPUTED_VALUE"""),73.0)</f>
        <v>73</v>
      </c>
      <c r="F661" s="19" t="str">
        <f>IFERROR(__xludf.DUMMYFUNCTION("""COMPUTED_VALUE"""),"BLUE")</f>
        <v>BLUE</v>
      </c>
      <c r="G661" s="20" t="str">
        <f>IFERROR(__xludf.DUMMYFUNCTION("""COMPUTED_VALUE"""),"Uncle Sams Cider (04/04/2023)")</f>
        <v>Uncle Sams Cider (04/04/2023)</v>
      </c>
      <c r="H661" s="19"/>
    </row>
    <row r="662">
      <c r="A662" s="9"/>
      <c r="B662" s="15"/>
      <c r="C662" s="9">
        <f>IFERROR(__xludf.DUMMYFUNCTION("""COMPUTED_VALUE"""),45137.7187280787)</f>
        <v>45137.71873</v>
      </c>
      <c r="D662" s="15">
        <f>IFERROR(__xludf.DUMMYFUNCTION("""COMPUTED_VALUE"""),0.998)</f>
        <v>0.998</v>
      </c>
      <c r="E662" s="16">
        <f>IFERROR(__xludf.DUMMYFUNCTION("""COMPUTED_VALUE"""),73.0)</f>
        <v>73</v>
      </c>
      <c r="F662" s="19" t="str">
        <f>IFERROR(__xludf.DUMMYFUNCTION("""COMPUTED_VALUE"""),"BLUE")</f>
        <v>BLUE</v>
      </c>
      <c r="G662" s="20" t="str">
        <f>IFERROR(__xludf.DUMMYFUNCTION("""COMPUTED_VALUE"""),"Uncle Sams Cider (04/04/2023)")</f>
        <v>Uncle Sams Cider (04/04/2023)</v>
      </c>
      <c r="H662" s="19"/>
    </row>
    <row r="663">
      <c r="A663" s="9"/>
      <c r="B663" s="15"/>
      <c r="C663" s="9">
        <f>IFERROR(__xludf.DUMMYFUNCTION("""COMPUTED_VALUE"""),45137.7083070139)</f>
        <v>45137.70831</v>
      </c>
      <c r="D663" s="15">
        <f>IFERROR(__xludf.DUMMYFUNCTION("""COMPUTED_VALUE"""),0.998)</f>
        <v>0.998</v>
      </c>
      <c r="E663" s="16">
        <f>IFERROR(__xludf.DUMMYFUNCTION("""COMPUTED_VALUE"""),73.0)</f>
        <v>73</v>
      </c>
      <c r="F663" s="19" t="str">
        <f>IFERROR(__xludf.DUMMYFUNCTION("""COMPUTED_VALUE"""),"BLUE")</f>
        <v>BLUE</v>
      </c>
      <c r="G663" s="20" t="str">
        <f>IFERROR(__xludf.DUMMYFUNCTION("""COMPUTED_VALUE"""),"Uncle Sams Cider (04/04/2023)")</f>
        <v>Uncle Sams Cider (04/04/2023)</v>
      </c>
      <c r="H663" s="19"/>
    </row>
    <row r="664">
      <c r="A664" s="9"/>
      <c r="B664" s="15"/>
      <c r="C664" s="9">
        <f>IFERROR(__xludf.DUMMYFUNCTION("""COMPUTED_VALUE"""),45137.6978731018)</f>
        <v>45137.69787</v>
      </c>
      <c r="D664" s="15">
        <f>IFERROR(__xludf.DUMMYFUNCTION("""COMPUTED_VALUE"""),0.998)</f>
        <v>0.998</v>
      </c>
      <c r="E664" s="16">
        <f>IFERROR(__xludf.DUMMYFUNCTION("""COMPUTED_VALUE"""),73.0)</f>
        <v>73</v>
      </c>
      <c r="F664" s="19" t="str">
        <f>IFERROR(__xludf.DUMMYFUNCTION("""COMPUTED_VALUE"""),"BLUE")</f>
        <v>BLUE</v>
      </c>
      <c r="G664" s="20" t="str">
        <f>IFERROR(__xludf.DUMMYFUNCTION("""COMPUTED_VALUE"""),"Uncle Sams Cider (04/04/2023)")</f>
        <v>Uncle Sams Cider (04/04/2023)</v>
      </c>
      <c r="H664" s="19"/>
    </row>
    <row r="665">
      <c r="A665" s="9"/>
      <c r="B665" s="15"/>
      <c r="C665" s="9">
        <f>IFERROR(__xludf.DUMMYFUNCTION("""COMPUTED_VALUE"""),45137.6874295949)</f>
        <v>45137.68743</v>
      </c>
      <c r="D665" s="15">
        <f>IFERROR(__xludf.DUMMYFUNCTION("""COMPUTED_VALUE"""),0.998)</f>
        <v>0.998</v>
      </c>
      <c r="E665" s="16">
        <f>IFERROR(__xludf.DUMMYFUNCTION("""COMPUTED_VALUE"""),73.0)</f>
        <v>73</v>
      </c>
      <c r="F665" s="19" t="str">
        <f>IFERROR(__xludf.DUMMYFUNCTION("""COMPUTED_VALUE"""),"BLUE")</f>
        <v>BLUE</v>
      </c>
      <c r="G665" s="20" t="str">
        <f>IFERROR(__xludf.DUMMYFUNCTION("""COMPUTED_VALUE"""),"Uncle Sams Cider (04/04/2023)")</f>
        <v>Uncle Sams Cider (04/04/2023)</v>
      </c>
      <c r="H665" s="19"/>
    </row>
    <row r="666">
      <c r="A666" s="9"/>
      <c r="B666" s="15"/>
      <c r="C666" s="9">
        <f>IFERROR(__xludf.DUMMYFUNCTION("""COMPUTED_VALUE"""),45137.6770076388)</f>
        <v>45137.67701</v>
      </c>
      <c r="D666" s="15">
        <f>IFERROR(__xludf.DUMMYFUNCTION("""COMPUTED_VALUE"""),0.998)</f>
        <v>0.998</v>
      </c>
      <c r="E666" s="16">
        <f>IFERROR(__xludf.DUMMYFUNCTION("""COMPUTED_VALUE"""),73.0)</f>
        <v>73</v>
      </c>
      <c r="F666" s="19" t="str">
        <f>IFERROR(__xludf.DUMMYFUNCTION("""COMPUTED_VALUE"""),"BLUE")</f>
        <v>BLUE</v>
      </c>
      <c r="G666" s="20" t="str">
        <f>IFERROR(__xludf.DUMMYFUNCTION("""COMPUTED_VALUE"""),"Uncle Sams Cider (04/04/2023)")</f>
        <v>Uncle Sams Cider (04/04/2023)</v>
      </c>
      <c r="H666" s="19"/>
    </row>
    <row r="667">
      <c r="A667" s="9"/>
      <c r="B667" s="15"/>
      <c r="C667" s="9">
        <f>IFERROR(__xludf.DUMMYFUNCTION("""COMPUTED_VALUE"""),45137.6665881481)</f>
        <v>45137.66659</v>
      </c>
      <c r="D667" s="15">
        <f>IFERROR(__xludf.DUMMYFUNCTION("""COMPUTED_VALUE"""),0.998)</f>
        <v>0.998</v>
      </c>
      <c r="E667" s="16">
        <f>IFERROR(__xludf.DUMMYFUNCTION("""COMPUTED_VALUE"""),73.0)</f>
        <v>73</v>
      </c>
      <c r="F667" s="19" t="str">
        <f>IFERROR(__xludf.DUMMYFUNCTION("""COMPUTED_VALUE"""),"BLUE")</f>
        <v>BLUE</v>
      </c>
      <c r="G667" s="20" t="str">
        <f>IFERROR(__xludf.DUMMYFUNCTION("""COMPUTED_VALUE"""),"Uncle Sams Cider (04/04/2023)")</f>
        <v>Uncle Sams Cider (04/04/2023)</v>
      </c>
      <c r="H667" s="19"/>
    </row>
    <row r="668">
      <c r="A668" s="9"/>
      <c r="B668" s="15"/>
      <c r="C668" s="9">
        <f>IFERROR(__xludf.DUMMYFUNCTION("""COMPUTED_VALUE"""),45137.6561678588)</f>
        <v>45137.65617</v>
      </c>
      <c r="D668" s="15">
        <f>IFERROR(__xludf.DUMMYFUNCTION("""COMPUTED_VALUE"""),0.998)</f>
        <v>0.998</v>
      </c>
      <c r="E668" s="16">
        <f>IFERROR(__xludf.DUMMYFUNCTION("""COMPUTED_VALUE"""),73.0)</f>
        <v>73</v>
      </c>
      <c r="F668" s="19" t="str">
        <f>IFERROR(__xludf.DUMMYFUNCTION("""COMPUTED_VALUE"""),"BLUE")</f>
        <v>BLUE</v>
      </c>
      <c r="G668" s="20" t="str">
        <f>IFERROR(__xludf.DUMMYFUNCTION("""COMPUTED_VALUE"""),"Uncle Sams Cider (04/04/2023)")</f>
        <v>Uncle Sams Cider (04/04/2023)</v>
      </c>
      <c r="H668" s="19"/>
    </row>
    <row r="669">
      <c r="A669" s="9"/>
      <c r="B669" s="15"/>
      <c r="C669" s="9">
        <f>IFERROR(__xludf.DUMMYFUNCTION("""COMPUTED_VALUE"""),45137.6457464236)</f>
        <v>45137.64575</v>
      </c>
      <c r="D669" s="15">
        <f>IFERROR(__xludf.DUMMYFUNCTION("""COMPUTED_VALUE"""),0.998)</f>
        <v>0.998</v>
      </c>
      <c r="E669" s="16">
        <f>IFERROR(__xludf.DUMMYFUNCTION("""COMPUTED_VALUE"""),73.0)</f>
        <v>73</v>
      </c>
      <c r="F669" s="19" t="str">
        <f>IFERROR(__xludf.DUMMYFUNCTION("""COMPUTED_VALUE"""),"BLUE")</f>
        <v>BLUE</v>
      </c>
      <c r="G669" s="20" t="str">
        <f>IFERROR(__xludf.DUMMYFUNCTION("""COMPUTED_VALUE"""),"Uncle Sams Cider (04/04/2023)")</f>
        <v>Uncle Sams Cider (04/04/2023)</v>
      </c>
      <c r="H669" s="19"/>
    </row>
    <row r="670">
      <c r="A670" s="9"/>
      <c r="B670" s="15"/>
      <c r="C670" s="9">
        <f>IFERROR(__xludf.DUMMYFUNCTION("""COMPUTED_VALUE"""),45137.6353250926)</f>
        <v>45137.63533</v>
      </c>
      <c r="D670" s="15">
        <f>IFERROR(__xludf.DUMMYFUNCTION("""COMPUTED_VALUE"""),0.998)</f>
        <v>0.998</v>
      </c>
      <c r="E670" s="16">
        <f>IFERROR(__xludf.DUMMYFUNCTION("""COMPUTED_VALUE"""),73.0)</f>
        <v>73</v>
      </c>
      <c r="F670" s="19" t="str">
        <f>IFERROR(__xludf.DUMMYFUNCTION("""COMPUTED_VALUE"""),"BLUE")</f>
        <v>BLUE</v>
      </c>
      <c r="G670" s="20" t="str">
        <f>IFERROR(__xludf.DUMMYFUNCTION("""COMPUTED_VALUE"""),"Uncle Sams Cider (04/04/2023)")</f>
        <v>Uncle Sams Cider (04/04/2023)</v>
      </c>
      <c r="H670" s="19"/>
    </row>
    <row r="671">
      <c r="A671" s="9"/>
      <c r="B671" s="15"/>
      <c r="C671" s="9">
        <f>IFERROR(__xludf.DUMMYFUNCTION("""COMPUTED_VALUE"""),45137.6249033564)</f>
        <v>45137.6249</v>
      </c>
      <c r="D671" s="15">
        <f>IFERROR(__xludf.DUMMYFUNCTION("""COMPUTED_VALUE"""),0.998)</f>
        <v>0.998</v>
      </c>
      <c r="E671" s="16">
        <f>IFERROR(__xludf.DUMMYFUNCTION("""COMPUTED_VALUE"""),73.0)</f>
        <v>73</v>
      </c>
      <c r="F671" s="19" t="str">
        <f>IFERROR(__xludf.DUMMYFUNCTION("""COMPUTED_VALUE"""),"BLUE")</f>
        <v>BLUE</v>
      </c>
      <c r="G671" s="20" t="str">
        <f>IFERROR(__xludf.DUMMYFUNCTION("""COMPUTED_VALUE"""),"Uncle Sams Cider (04/04/2023)")</f>
        <v>Uncle Sams Cider (04/04/2023)</v>
      </c>
      <c r="H671" s="19"/>
    </row>
    <row r="672">
      <c r="A672" s="9"/>
      <c r="B672" s="15"/>
      <c r="C672" s="9">
        <f>IFERROR(__xludf.DUMMYFUNCTION("""COMPUTED_VALUE"""),45137.6144838194)</f>
        <v>45137.61448</v>
      </c>
      <c r="D672" s="15">
        <f>IFERROR(__xludf.DUMMYFUNCTION("""COMPUTED_VALUE"""),0.998)</f>
        <v>0.998</v>
      </c>
      <c r="E672" s="16">
        <f>IFERROR(__xludf.DUMMYFUNCTION("""COMPUTED_VALUE"""),73.0)</f>
        <v>73</v>
      </c>
      <c r="F672" s="19" t="str">
        <f>IFERROR(__xludf.DUMMYFUNCTION("""COMPUTED_VALUE"""),"BLUE")</f>
        <v>BLUE</v>
      </c>
      <c r="G672" s="20" t="str">
        <f>IFERROR(__xludf.DUMMYFUNCTION("""COMPUTED_VALUE"""),"Uncle Sams Cider (04/04/2023)")</f>
        <v>Uncle Sams Cider (04/04/2023)</v>
      </c>
      <c r="H672" s="19"/>
    </row>
    <row r="673">
      <c r="A673" s="9"/>
      <c r="B673" s="15"/>
      <c r="C673" s="9">
        <f>IFERROR(__xludf.DUMMYFUNCTION("""COMPUTED_VALUE"""),45137.6040613425)</f>
        <v>45137.60406</v>
      </c>
      <c r="D673" s="15">
        <f>IFERROR(__xludf.DUMMYFUNCTION("""COMPUTED_VALUE"""),0.998)</f>
        <v>0.998</v>
      </c>
      <c r="E673" s="16">
        <f>IFERROR(__xludf.DUMMYFUNCTION("""COMPUTED_VALUE"""),73.0)</f>
        <v>73</v>
      </c>
      <c r="F673" s="19" t="str">
        <f>IFERROR(__xludf.DUMMYFUNCTION("""COMPUTED_VALUE"""),"BLUE")</f>
        <v>BLUE</v>
      </c>
      <c r="G673" s="20" t="str">
        <f>IFERROR(__xludf.DUMMYFUNCTION("""COMPUTED_VALUE"""),"Uncle Sams Cider (04/04/2023)")</f>
        <v>Uncle Sams Cider (04/04/2023)</v>
      </c>
      <c r="H673" s="19"/>
    </row>
    <row r="674">
      <c r="A674" s="9"/>
      <c r="B674" s="15"/>
      <c r="C674" s="9">
        <f>IFERROR(__xludf.DUMMYFUNCTION("""COMPUTED_VALUE"""),45137.5936391319)</f>
        <v>45137.59364</v>
      </c>
      <c r="D674" s="15">
        <f>IFERROR(__xludf.DUMMYFUNCTION("""COMPUTED_VALUE"""),0.998)</f>
        <v>0.998</v>
      </c>
      <c r="E674" s="16">
        <f>IFERROR(__xludf.DUMMYFUNCTION("""COMPUTED_VALUE"""),73.0)</f>
        <v>73</v>
      </c>
      <c r="F674" s="19" t="str">
        <f>IFERROR(__xludf.DUMMYFUNCTION("""COMPUTED_VALUE"""),"BLUE")</f>
        <v>BLUE</v>
      </c>
      <c r="G674" s="20" t="str">
        <f>IFERROR(__xludf.DUMMYFUNCTION("""COMPUTED_VALUE"""),"Uncle Sams Cider (04/04/2023)")</f>
        <v>Uncle Sams Cider (04/04/2023)</v>
      </c>
      <c r="H674" s="19"/>
    </row>
    <row r="675">
      <c r="A675" s="9"/>
      <c r="B675" s="15"/>
      <c r="C675" s="9">
        <f>IFERROR(__xludf.DUMMYFUNCTION("""COMPUTED_VALUE"""),45137.5831940972)</f>
        <v>45137.58319</v>
      </c>
      <c r="D675" s="15">
        <f>IFERROR(__xludf.DUMMYFUNCTION("""COMPUTED_VALUE"""),0.998)</f>
        <v>0.998</v>
      </c>
      <c r="E675" s="16">
        <f>IFERROR(__xludf.DUMMYFUNCTION("""COMPUTED_VALUE"""),73.0)</f>
        <v>73</v>
      </c>
      <c r="F675" s="19" t="str">
        <f>IFERROR(__xludf.DUMMYFUNCTION("""COMPUTED_VALUE"""),"BLUE")</f>
        <v>BLUE</v>
      </c>
      <c r="G675" s="20" t="str">
        <f>IFERROR(__xludf.DUMMYFUNCTION("""COMPUTED_VALUE"""),"Uncle Sams Cider (04/04/2023)")</f>
        <v>Uncle Sams Cider (04/04/2023)</v>
      </c>
      <c r="H675" s="19"/>
    </row>
    <row r="676">
      <c r="A676" s="9"/>
      <c r="B676" s="15"/>
      <c r="C676" s="9">
        <f>IFERROR(__xludf.DUMMYFUNCTION("""COMPUTED_VALUE"""),45137.5727728009)</f>
        <v>45137.57277</v>
      </c>
      <c r="D676" s="15">
        <f>IFERROR(__xludf.DUMMYFUNCTION("""COMPUTED_VALUE"""),0.998)</f>
        <v>0.998</v>
      </c>
      <c r="E676" s="16">
        <f>IFERROR(__xludf.DUMMYFUNCTION("""COMPUTED_VALUE"""),73.0)</f>
        <v>73</v>
      </c>
      <c r="F676" s="19" t="str">
        <f>IFERROR(__xludf.DUMMYFUNCTION("""COMPUTED_VALUE"""),"BLUE")</f>
        <v>BLUE</v>
      </c>
      <c r="G676" s="20" t="str">
        <f>IFERROR(__xludf.DUMMYFUNCTION("""COMPUTED_VALUE"""),"Uncle Sams Cider (04/04/2023)")</f>
        <v>Uncle Sams Cider (04/04/2023)</v>
      </c>
      <c r="H676" s="19"/>
    </row>
    <row r="677">
      <c r="A677" s="9"/>
      <c r="B677" s="15"/>
      <c r="C677" s="9">
        <f>IFERROR(__xludf.DUMMYFUNCTION("""COMPUTED_VALUE"""),45137.5623498726)</f>
        <v>45137.56235</v>
      </c>
      <c r="D677" s="15">
        <f>IFERROR(__xludf.DUMMYFUNCTION("""COMPUTED_VALUE"""),0.998)</f>
        <v>0.998</v>
      </c>
      <c r="E677" s="16">
        <f>IFERROR(__xludf.DUMMYFUNCTION("""COMPUTED_VALUE"""),73.0)</f>
        <v>73</v>
      </c>
      <c r="F677" s="19" t="str">
        <f>IFERROR(__xludf.DUMMYFUNCTION("""COMPUTED_VALUE"""),"BLUE")</f>
        <v>BLUE</v>
      </c>
      <c r="G677" s="20" t="str">
        <f>IFERROR(__xludf.DUMMYFUNCTION("""COMPUTED_VALUE"""),"Uncle Sams Cider (04/04/2023)")</f>
        <v>Uncle Sams Cider (04/04/2023)</v>
      </c>
      <c r="H677" s="19"/>
    </row>
    <row r="678">
      <c r="A678" s="9"/>
      <c r="B678" s="15"/>
      <c r="C678" s="9">
        <f>IFERROR(__xludf.DUMMYFUNCTION("""COMPUTED_VALUE"""),45137.551917199)</f>
        <v>45137.55192</v>
      </c>
      <c r="D678" s="15">
        <f>IFERROR(__xludf.DUMMYFUNCTION("""COMPUTED_VALUE"""),0.998)</f>
        <v>0.998</v>
      </c>
      <c r="E678" s="16">
        <f>IFERROR(__xludf.DUMMYFUNCTION("""COMPUTED_VALUE"""),73.0)</f>
        <v>73</v>
      </c>
      <c r="F678" s="19" t="str">
        <f>IFERROR(__xludf.DUMMYFUNCTION("""COMPUTED_VALUE"""),"BLUE")</f>
        <v>BLUE</v>
      </c>
      <c r="G678" s="20" t="str">
        <f>IFERROR(__xludf.DUMMYFUNCTION("""COMPUTED_VALUE"""),"Uncle Sams Cider (04/04/2023)")</f>
        <v>Uncle Sams Cider (04/04/2023)</v>
      </c>
      <c r="H678" s="19"/>
    </row>
    <row r="679">
      <c r="A679" s="9"/>
      <c r="B679" s="15"/>
      <c r="C679" s="9">
        <f>IFERROR(__xludf.DUMMYFUNCTION("""COMPUTED_VALUE"""),45137.5414969328)</f>
        <v>45137.5415</v>
      </c>
      <c r="D679" s="15">
        <f>IFERROR(__xludf.DUMMYFUNCTION("""COMPUTED_VALUE"""),0.998)</f>
        <v>0.998</v>
      </c>
      <c r="E679" s="16">
        <f>IFERROR(__xludf.DUMMYFUNCTION("""COMPUTED_VALUE"""),73.0)</f>
        <v>73</v>
      </c>
      <c r="F679" s="19" t="str">
        <f>IFERROR(__xludf.DUMMYFUNCTION("""COMPUTED_VALUE"""),"BLUE")</f>
        <v>BLUE</v>
      </c>
      <c r="G679" s="20" t="str">
        <f>IFERROR(__xludf.DUMMYFUNCTION("""COMPUTED_VALUE"""),"Uncle Sams Cider (04/04/2023)")</f>
        <v>Uncle Sams Cider (04/04/2023)</v>
      </c>
      <c r="H679" s="19"/>
    </row>
    <row r="680">
      <c r="A680" s="9"/>
      <c r="B680" s="15"/>
      <c r="C680" s="9">
        <f>IFERROR(__xludf.DUMMYFUNCTION("""COMPUTED_VALUE"""),45137.5310764351)</f>
        <v>45137.53108</v>
      </c>
      <c r="D680" s="15">
        <f>IFERROR(__xludf.DUMMYFUNCTION("""COMPUTED_VALUE"""),0.998)</f>
        <v>0.998</v>
      </c>
      <c r="E680" s="16">
        <f>IFERROR(__xludf.DUMMYFUNCTION("""COMPUTED_VALUE"""),73.0)</f>
        <v>73</v>
      </c>
      <c r="F680" s="19" t="str">
        <f>IFERROR(__xludf.DUMMYFUNCTION("""COMPUTED_VALUE"""),"BLUE")</f>
        <v>BLUE</v>
      </c>
      <c r="G680" s="20" t="str">
        <f>IFERROR(__xludf.DUMMYFUNCTION("""COMPUTED_VALUE"""),"Uncle Sams Cider (04/04/2023)")</f>
        <v>Uncle Sams Cider (04/04/2023)</v>
      </c>
      <c r="H680" s="19"/>
    </row>
    <row r="681">
      <c r="A681" s="9"/>
      <c r="B681" s="15"/>
      <c r="C681" s="9">
        <f>IFERROR(__xludf.DUMMYFUNCTION("""COMPUTED_VALUE"""),45137.5206550347)</f>
        <v>45137.52066</v>
      </c>
      <c r="D681" s="15">
        <f>IFERROR(__xludf.DUMMYFUNCTION("""COMPUTED_VALUE"""),0.998)</f>
        <v>0.998</v>
      </c>
      <c r="E681" s="16">
        <f>IFERROR(__xludf.DUMMYFUNCTION("""COMPUTED_VALUE"""),73.0)</f>
        <v>73</v>
      </c>
      <c r="F681" s="19" t="str">
        <f>IFERROR(__xludf.DUMMYFUNCTION("""COMPUTED_VALUE"""),"BLUE")</f>
        <v>BLUE</v>
      </c>
      <c r="G681" s="20" t="str">
        <f>IFERROR(__xludf.DUMMYFUNCTION("""COMPUTED_VALUE"""),"Uncle Sams Cider (04/04/2023)")</f>
        <v>Uncle Sams Cider (04/04/2023)</v>
      </c>
      <c r="H681" s="19"/>
    </row>
    <row r="682">
      <c r="A682" s="9"/>
      <c r="B682" s="15"/>
      <c r="C682" s="9">
        <f>IFERROR(__xludf.DUMMYFUNCTION("""COMPUTED_VALUE"""),45137.5102347222)</f>
        <v>45137.51023</v>
      </c>
      <c r="D682" s="15">
        <f>IFERROR(__xludf.DUMMYFUNCTION("""COMPUTED_VALUE"""),0.998)</f>
        <v>0.998</v>
      </c>
      <c r="E682" s="16">
        <f>IFERROR(__xludf.DUMMYFUNCTION("""COMPUTED_VALUE"""),73.0)</f>
        <v>73</v>
      </c>
      <c r="F682" s="19" t="str">
        <f>IFERROR(__xludf.DUMMYFUNCTION("""COMPUTED_VALUE"""),"BLUE")</f>
        <v>BLUE</v>
      </c>
      <c r="G682" s="20" t="str">
        <f>IFERROR(__xludf.DUMMYFUNCTION("""COMPUTED_VALUE"""),"Uncle Sams Cider (04/04/2023)")</f>
        <v>Uncle Sams Cider (04/04/2023)</v>
      </c>
      <c r="H682" s="19"/>
    </row>
    <row r="683">
      <c r="A683" s="9"/>
      <c r="B683" s="15"/>
      <c r="C683" s="9">
        <f>IFERROR(__xludf.DUMMYFUNCTION("""COMPUTED_VALUE"""),45137.4998028587)</f>
        <v>45137.4998</v>
      </c>
      <c r="D683" s="15">
        <f>IFERROR(__xludf.DUMMYFUNCTION("""COMPUTED_VALUE"""),0.998)</f>
        <v>0.998</v>
      </c>
      <c r="E683" s="16">
        <f>IFERROR(__xludf.DUMMYFUNCTION("""COMPUTED_VALUE"""),73.0)</f>
        <v>73</v>
      </c>
      <c r="F683" s="19" t="str">
        <f>IFERROR(__xludf.DUMMYFUNCTION("""COMPUTED_VALUE"""),"BLUE")</f>
        <v>BLUE</v>
      </c>
      <c r="G683" s="20" t="str">
        <f>IFERROR(__xludf.DUMMYFUNCTION("""COMPUTED_VALUE"""),"Uncle Sams Cider (04/04/2023)")</f>
        <v>Uncle Sams Cider (04/04/2023)</v>
      </c>
      <c r="H683" s="19"/>
    </row>
    <row r="684">
      <c r="A684" s="9"/>
      <c r="B684" s="15"/>
      <c r="C684" s="9">
        <f>IFERROR(__xludf.DUMMYFUNCTION("""COMPUTED_VALUE"""),45137.4893823611)</f>
        <v>45137.48938</v>
      </c>
      <c r="D684" s="15">
        <f>IFERROR(__xludf.DUMMYFUNCTION("""COMPUTED_VALUE"""),0.998)</f>
        <v>0.998</v>
      </c>
      <c r="E684" s="16">
        <f>IFERROR(__xludf.DUMMYFUNCTION("""COMPUTED_VALUE"""),73.0)</f>
        <v>73</v>
      </c>
      <c r="F684" s="19" t="str">
        <f>IFERROR(__xludf.DUMMYFUNCTION("""COMPUTED_VALUE"""),"BLUE")</f>
        <v>BLUE</v>
      </c>
      <c r="G684" s="20" t="str">
        <f>IFERROR(__xludf.DUMMYFUNCTION("""COMPUTED_VALUE"""),"Uncle Sams Cider (04/04/2023)")</f>
        <v>Uncle Sams Cider (04/04/2023)</v>
      </c>
      <c r="H684" s="19"/>
    </row>
    <row r="685">
      <c r="A685" s="9"/>
      <c r="B685" s="15"/>
      <c r="C685" s="9">
        <f>IFERROR(__xludf.DUMMYFUNCTION("""COMPUTED_VALUE"""),45137.4789618518)</f>
        <v>45137.47896</v>
      </c>
      <c r="D685" s="15">
        <f>IFERROR(__xludf.DUMMYFUNCTION("""COMPUTED_VALUE"""),0.998)</f>
        <v>0.998</v>
      </c>
      <c r="E685" s="16">
        <f>IFERROR(__xludf.DUMMYFUNCTION("""COMPUTED_VALUE"""),73.0)</f>
        <v>73</v>
      </c>
      <c r="F685" s="19" t="str">
        <f>IFERROR(__xludf.DUMMYFUNCTION("""COMPUTED_VALUE"""),"BLUE")</f>
        <v>BLUE</v>
      </c>
      <c r="G685" s="20" t="str">
        <f>IFERROR(__xludf.DUMMYFUNCTION("""COMPUTED_VALUE"""),"Uncle Sams Cider (04/04/2023)")</f>
        <v>Uncle Sams Cider (04/04/2023)</v>
      </c>
      <c r="H685" s="19"/>
    </row>
    <row r="686">
      <c r="A686" s="9"/>
      <c r="B686" s="15"/>
      <c r="C686" s="9">
        <f>IFERROR(__xludf.DUMMYFUNCTION("""COMPUTED_VALUE"""),45137.4685420254)</f>
        <v>45137.46854</v>
      </c>
      <c r="D686" s="15">
        <f>IFERROR(__xludf.DUMMYFUNCTION("""COMPUTED_VALUE"""),0.998)</f>
        <v>0.998</v>
      </c>
      <c r="E686" s="16">
        <f>IFERROR(__xludf.DUMMYFUNCTION("""COMPUTED_VALUE"""),73.0)</f>
        <v>73</v>
      </c>
      <c r="F686" s="19" t="str">
        <f>IFERROR(__xludf.DUMMYFUNCTION("""COMPUTED_VALUE"""),"BLUE")</f>
        <v>BLUE</v>
      </c>
      <c r="G686" s="20" t="str">
        <f>IFERROR(__xludf.DUMMYFUNCTION("""COMPUTED_VALUE"""),"Uncle Sams Cider (04/04/2023)")</f>
        <v>Uncle Sams Cider (04/04/2023)</v>
      </c>
      <c r="H686" s="19"/>
    </row>
    <row r="687">
      <c r="A687" s="9"/>
      <c r="B687" s="15"/>
      <c r="C687" s="9">
        <f>IFERROR(__xludf.DUMMYFUNCTION("""COMPUTED_VALUE"""),45137.4581205555)</f>
        <v>45137.45812</v>
      </c>
      <c r="D687" s="15">
        <f>IFERROR(__xludf.DUMMYFUNCTION("""COMPUTED_VALUE"""),0.998)</f>
        <v>0.998</v>
      </c>
      <c r="E687" s="16">
        <f>IFERROR(__xludf.DUMMYFUNCTION("""COMPUTED_VALUE"""),73.0)</f>
        <v>73</v>
      </c>
      <c r="F687" s="19" t="str">
        <f>IFERROR(__xludf.DUMMYFUNCTION("""COMPUTED_VALUE"""),"BLUE")</f>
        <v>BLUE</v>
      </c>
      <c r="G687" s="20" t="str">
        <f>IFERROR(__xludf.DUMMYFUNCTION("""COMPUTED_VALUE"""),"Uncle Sams Cider (04/04/2023)")</f>
        <v>Uncle Sams Cider (04/04/2023)</v>
      </c>
      <c r="H687" s="19"/>
    </row>
    <row r="688">
      <c r="A688" s="9"/>
      <c r="B688" s="15"/>
      <c r="C688" s="9">
        <f>IFERROR(__xludf.DUMMYFUNCTION("""COMPUTED_VALUE"""),45137.4476983101)</f>
        <v>45137.4477</v>
      </c>
      <c r="D688" s="15">
        <f>IFERROR(__xludf.DUMMYFUNCTION("""COMPUTED_VALUE"""),0.998)</f>
        <v>0.998</v>
      </c>
      <c r="E688" s="16">
        <f>IFERROR(__xludf.DUMMYFUNCTION("""COMPUTED_VALUE"""),73.0)</f>
        <v>73</v>
      </c>
      <c r="F688" s="19" t="str">
        <f>IFERROR(__xludf.DUMMYFUNCTION("""COMPUTED_VALUE"""),"BLUE")</f>
        <v>BLUE</v>
      </c>
      <c r="G688" s="20" t="str">
        <f>IFERROR(__xludf.DUMMYFUNCTION("""COMPUTED_VALUE"""),"Uncle Sams Cider (04/04/2023)")</f>
        <v>Uncle Sams Cider (04/04/2023)</v>
      </c>
      <c r="H688" s="19"/>
    </row>
    <row r="689">
      <c r="A689" s="9"/>
      <c r="B689" s="15"/>
      <c r="C689" s="9">
        <f>IFERROR(__xludf.DUMMYFUNCTION("""COMPUTED_VALUE"""),45137.4372652662)</f>
        <v>45137.43727</v>
      </c>
      <c r="D689" s="15">
        <f>IFERROR(__xludf.DUMMYFUNCTION("""COMPUTED_VALUE"""),0.998)</f>
        <v>0.998</v>
      </c>
      <c r="E689" s="16">
        <f>IFERROR(__xludf.DUMMYFUNCTION("""COMPUTED_VALUE"""),73.0)</f>
        <v>73</v>
      </c>
      <c r="F689" s="19" t="str">
        <f>IFERROR(__xludf.DUMMYFUNCTION("""COMPUTED_VALUE"""),"BLUE")</f>
        <v>BLUE</v>
      </c>
      <c r="G689" s="20" t="str">
        <f>IFERROR(__xludf.DUMMYFUNCTION("""COMPUTED_VALUE"""),"Uncle Sams Cider (04/04/2023)")</f>
        <v>Uncle Sams Cider (04/04/2023)</v>
      </c>
      <c r="H689" s="19"/>
    </row>
    <row r="690">
      <c r="A690" s="9"/>
      <c r="B690" s="15"/>
      <c r="C690" s="9">
        <f>IFERROR(__xludf.DUMMYFUNCTION("""COMPUTED_VALUE"""),45137.4268424884)</f>
        <v>45137.42684</v>
      </c>
      <c r="D690" s="15">
        <f>IFERROR(__xludf.DUMMYFUNCTION("""COMPUTED_VALUE"""),0.998)</f>
        <v>0.998</v>
      </c>
      <c r="E690" s="16">
        <f>IFERROR(__xludf.DUMMYFUNCTION("""COMPUTED_VALUE"""),73.0)</f>
        <v>73</v>
      </c>
      <c r="F690" s="19" t="str">
        <f>IFERROR(__xludf.DUMMYFUNCTION("""COMPUTED_VALUE"""),"BLUE")</f>
        <v>BLUE</v>
      </c>
      <c r="G690" s="20" t="str">
        <f>IFERROR(__xludf.DUMMYFUNCTION("""COMPUTED_VALUE"""),"Uncle Sams Cider (04/04/2023)")</f>
        <v>Uncle Sams Cider (04/04/2023)</v>
      </c>
      <c r="H690" s="19"/>
    </row>
    <row r="691">
      <c r="A691" s="9"/>
      <c r="B691" s="15"/>
      <c r="C691" s="9">
        <f>IFERROR(__xludf.DUMMYFUNCTION("""COMPUTED_VALUE"""),45137.416422199)</f>
        <v>45137.41642</v>
      </c>
      <c r="D691" s="15">
        <f>IFERROR(__xludf.DUMMYFUNCTION("""COMPUTED_VALUE"""),0.998)</f>
        <v>0.998</v>
      </c>
      <c r="E691" s="16">
        <f>IFERROR(__xludf.DUMMYFUNCTION("""COMPUTED_VALUE"""),73.0)</f>
        <v>73</v>
      </c>
      <c r="F691" s="19" t="str">
        <f>IFERROR(__xludf.DUMMYFUNCTION("""COMPUTED_VALUE"""),"BLUE")</f>
        <v>BLUE</v>
      </c>
      <c r="G691" s="20" t="str">
        <f>IFERROR(__xludf.DUMMYFUNCTION("""COMPUTED_VALUE"""),"Uncle Sams Cider (04/04/2023)")</f>
        <v>Uncle Sams Cider (04/04/2023)</v>
      </c>
      <c r="H691" s="19"/>
    </row>
    <row r="692">
      <c r="A692" s="9"/>
      <c r="B692" s="15"/>
      <c r="C692" s="9">
        <f>IFERROR(__xludf.DUMMYFUNCTION("""COMPUTED_VALUE"""),45137.4059895601)</f>
        <v>45137.40599</v>
      </c>
      <c r="D692" s="15">
        <f>IFERROR(__xludf.DUMMYFUNCTION("""COMPUTED_VALUE"""),0.998)</f>
        <v>0.998</v>
      </c>
      <c r="E692" s="16">
        <f>IFERROR(__xludf.DUMMYFUNCTION("""COMPUTED_VALUE"""),73.0)</f>
        <v>73</v>
      </c>
      <c r="F692" s="19" t="str">
        <f>IFERROR(__xludf.DUMMYFUNCTION("""COMPUTED_VALUE"""),"BLUE")</f>
        <v>BLUE</v>
      </c>
      <c r="G692" s="20" t="str">
        <f>IFERROR(__xludf.DUMMYFUNCTION("""COMPUTED_VALUE"""),"Uncle Sams Cider (04/04/2023)")</f>
        <v>Uncle Sams Cider (04/04/2023)</v>
      </c>
      <c r="H692" s="19"/>
    </row>
    <row r="693">
      <c r="A693" s="9"/>
      <c r="B693" s="15"/>
      <c r="C693" s="9">
        <f>IFERROR(__xludf.DUMMYFUNCTION("""COMPUTED_VALUE"""),45137.3955672222)</f>
        <v>45137.39557</v>
      </c>
      <c r="D693" s="15">
        <f>IFERROR(__xludf.DUMMYFUNCTION("""COMPUTED_VALUE"""),0.998)</f>
        <v>0.998</v>
      </c>
      <c r="E693" s="16">
        <f>IFERROR(__xludf.DUMMYFUNCTION("""COMPUTED_VALUE"""),73.0)</f>
        <v>73</v>
      </c>
      <c r="F693" s="19" t="str">
        <f>IFERROR(__xludf.DUMMYFUNCTION("""COMPUTED_VALUE"""),"BLUE")</f>
        <v>BLUE</v>
      </c>
      <c r="G693" s="20" t="str">
        <f>IFERROR(__xludf.DUMMYFUNCTION("""COMPUTED_VALUE"""),"Uncle Sams Cider (04/04/2023)")</f>
        <v>Uncle Sams Cider (04/04/2023)</v>
      </c>
      <c r="H693" s="19"/>
    </row>
    <row r="694">
      <c r="A694" s="9"/>
      <c r="B694" s="15"/>
      <c r="C694" s="9">
        <f>IFERROR(__xludf.DUMMYFUNCTION("""COMPUTED_VALUE"""),45137.3851470023)</f>
        <v>45137.38515</v>
      </c>
      <c r="D694" s="15">
        <f>IFERROR(__xludf.DUMMYFUNCTION("""COMPUTED_VALUE"""),0.998)</f>
        <v>0.998</v>
      </c>
      <c r="E694" s="16">
        <f>IFERROR(__xludf.DUMMYFUNCTION("""COMPUTED_VALUE"""),73.0)</f>
        <v>73</v>
      </c>
      <c r="F694" s="19" t="str">
        <f>IFERROR(__xludf.DUMMYFUNCTION("""COMPUTED_VALUE"""),"BLUE")</f>
        <v>BLUE</v>
      </c>
      <c r="G694" s="20" t="str">
        <f>IFERROR(__xludf.DUMMYFUNCTION("""COMPUTED_VALUE"""),"Uncle Sams Cider (04/04/2023)")</f>
        <v>Uncle Sams Cider (04/04/2023)</v>
      </c>
      <c r="H694" s="19"/>
    </row>
    <row r="695">
      <c r="A695" s="9"/>
      <c r="B695" s="15"/>
      <c r="C695" s="9">
        <f>IFERROR(__xludf.DUMMYFUNCTION("""COMPUTED_VALUE"""),45137.3747260185)</f>
        <v>45137.37473</v>
      </c>
      <c r="D695" s="15">
        <f>IFERROR(__xludf.DUMMYFUNCTION("""COMPUTED_VALUE"""),0.998)</f>
        <v>0.998</v>
      </c>
      <c r="E695" s="16">
        <f>IFERROR(__xludf.DUMMYFUNCTION("""COMPUTED_VALUE"""),73.0)</f>
        <v>73</v>
      </c>
      <c r="F695" s="19" t="str">
        <f>IFERROR(__xludf.DUMMYFUNCTION("""COMPUTED_VALUE"""),"BLUE")</f>
        <v>BLUE</v>
      </c>
      <c r="G695" s="20" t="str">
        <f>IFERROR(__xludf.DUMMYFUNCTION("""COMPUTED_VALUE"""),"Uncle Sams Cider (04/04/2023)")</f>
        <v>Uncle Sams Cider (04/04/2023)</v>
      </c>
      <c r="H695" s="19"/>
    </row>
    <row r="696">
      <c r="A696" s="9"/>
      <c r="B696" s="15"/>
      <c r="C696" s="9">
        <f>IFERROR(__xludf.DUMMYFUNCTION("""COMPUTED_VALUE"""),45137.3643050578)</f>
        <v>45137.36431</v>
      </c>
      <c r="D696" s="15">
        <f>IFERROR(__xludf.DUMMYFUNCTION("""COMPUTED_VALUE"""),0.998)</f>
        <v>0.998</v>
      </c>
      <c r="E696" s="16">
        <f>IFERROR(__xludf.DUMMYFUNCTION("""COMPUTED_VALUE"""),73.0)</f>
        <v>73</v>
      </c>
      <c r="F696" s="19" t="str">
        <f>IFERROR(__xludf.DUMMYFUNCTION("""COMPUTED_VALUE"""),"BLUE")</f>
        <v>BLUE</v>
      </c>
      <c r="G696" s="20" t="str">
        <f>IFERROR(__xludf.DUMMYFUNCTION("""COMPUTED_VALUE"""),"Uncle Sams Cider (04/04/2023)")</f>
        <v>Uncle Sams Cider (04/04/2023)</v>
      </c>
      <c r="H696" s="19"/>
    </row>
    <row r="697">
      <c r="A697" s="9"/>
      <c r="B697" s="15"/>
      <c r="C697" s="9">
        <f>IFERROR(__xludf.DUMMYFUNCTION("""COMPUTED_VALUE"""),45137.3538829282)</f>
        <v>45137.35388</v>
      </c>
      <c r="D697" s="15">
        <f>IFERROR(__xludf.DUMMYFUNCTION("""COMPUTED_VALUE"""),0.998)</f>
        <v>0.998</v>
      </c>
      <c r="E697" s="16">
        <f>IFERROR(__xludf.DUMMYFUNCTION("""COMPUTED_VALUE"""),73.0)</f>
        <v>73</v>
      </c>
      <c r="F697" s="19" t="str">
        <f>IFERROR(__xludf.DUMMYFUNCTION("""COMPUTED_VALUE"""),"BLUE")</f>
        <v>BLUE</v>
      </c>
      <c r="G697" s="20" t="str">
        <f>IFERROR(__xludf.DUMMYFUNCTION("""COMPUTED_VALUE"""),"Uncle Sams Cider (04/04/2023)")</f>
        <v>Uncle Sams Cider (04/04/2023)</v>
      </c>
      <c r="H697" s="19"/>
    </row>
    <row r="698">
      <c r="A698" s="9"/>
      <c r="B698" s="15"/>
      <c r="C698" s="9">
        <f>IFERROR(__xludf.DUMMYFUNCTION("""COMPUTED_VALUE"""),45137.3434613657)</f>
        <v>45137.34346</v>
      </c>
      <c r="D698" s="15">
        <f>IFERROR(__xludf.DUMMYFUNCTION("""COMPUTED_VALUE"""),0.998)</f>
        <v>0.998</v>
      </c>
      <c r="E698" s="16">
        <f>IFERROR(__xludf.DUMMYFUNCTION("""COMPUTED_VALUE"""),73.0)</f>
        <v>73</v>
      </c>
      <c r="F698" s="19" t="str">
        <f>IFERROR(__xludf.DUMMYFUNCTION("""COMPUTED_VALUE"""),"BLUE")</f>
        <v>BLUE</v>
      </c>
      <c r="G698" s="20" t="str">
        <f>IFERROR(__xludf.DUMMYFUNCTION("""COMPUTED_VALUE"""),"Uncle Sams Cider (04/04/2023)")</f>
        <v>Uncle Sams Cider (04/04/2023)</v>
      </c>
      <c r="H698" s="19"/>
    </row>
    <row r="699">
      <c r="A699" s="9"/>
      <c r="B699" s="15"/>
      <c r="C699" s="9">
        <f>IFERROR(__xludf.DUMMYFUNCTION("""COMPUTED_VALUE"""),45137.3330269907)</f>
        <v>45137.33303</v>
      </c>
      <c r="D699" s="15">
        <f>IFERROR(__xludf.DUMMYFUNCTION("""COMPUTED_VALUE"""),0.998)</f>
        <v>0.998</v>
      </c>
      <c r="E699" s="16">
        <f>IFERROR(__xludf.DUMMYFUNCTION("""COMPUTED_VALUE"""),73.0)</f>
        <v>73</v>
      </c>
      <c r="F699" s="19" t="str">
        <f>IFERROR(__xludf.DUMMYFUNCTION("""COMPUTED_VALUE"""),"BLUE")</f>
        <v>BLUE</v>
      </c>
      <c r="G699" s="20" t="str">
        <f>IFERROR(__xludf.DUMMYFUNCTION("""COMPUTED_VALUE"""),"Uncle Sams Cider (04/04/2023)")</f>
        <v>Uncle Sams Cider (04/04/2023)</v>
      </c>
      <c r="H699" s="19"/>
    </row>
    <row r="700">
      <c r="A700" s="9"/>
      <c r="B700" s="15"/>
      <c r="C700" s="9">
        <f>IFERROR(__xludf.DUMMYFUNCTION("""COMPUTED_VALUE"""),45137.3226068171)</f>
        <v>45137.32261</v>
      </c>
      <c r="D700" s="15">
        <f>IFERROR(__xludf.DUMMYFUNCTION("""COMPUTED_VALUE"""),0.998)</f>
        <v>0.998</v>
      </c>
      <c r="E700" s="16">
        <f>IFERROR(__xludf.DUMMYFUNCTION("""COMPUTED_VALUE"""),73.0)</f>
        <v>73</v>
      </c>
      <c r="F700" s="19" t="str">
        <f>IFERROR(__xludf.DUMMYFUNCTION("""COMPUTED_VALUE"""),"BLUE")</f>
        <v>BLUE</v>
      </c>
      <c r="G700" s="20" t="str">
        <f>IFERROR(__xludf.DUMMYFUNCTION("""COMPUTED_VALUE"""),"Uncle Sams Cider (04/04/2023)")</f>
        <v>Uncle Sams Cider (04/04/2023)</v>
      </c>
      <c r="H700" s="19"/>
    </row>
    <row r="701">
      <c r="A701" s="9"/>
      <c r="B701" s="15"/>
      <c r="C701" s="9">
        <f>IFERROR(__xludf.DUMMYFUNCTION("""COMPUTED_VALUE"""),45137.3121856481)</f>
        <v>45137.31219</v>
      </c>
      <c r="D701" s="15">
        <f>IFERROR(__xludf.DUMMYFUNCTION("""COMPUTED_VALUE"""),0.998)</f>
        <v>0.998</v>
      </c>
      <c r="E701" s="16">
        <f>IFERROR(__xludf.DUMMYFUNCTION("""COMPUTED_VALUE"""),73.0)</f>
        <v>73</v>
      </c>
      <c r="F701" s="19" t="str">
        <f>IFERROR(__xludf.DUMMYFUNCTION("""COMPUTED_VALUE"""),"BLUE")</f>
        <v>BLUE</v>
      </c>
      <c r="G701" s="20" t="str">
        <f>IFERROR(__xludf.DUMMYFUNCTION("""COMPUTED_VALUE"""),"Uncle Sams Cider (04/04/2023)")</f>
        <v>Uncle Sams Cider (04/04/2023)</v>
      </c>
      <c r="H701" s="19"/>
    </row>
    <row r="702">
      <c r="A702" s="9"/>
      <c r="B702" s="15"/>
      <c r="C702" s="9">
        <f>IFERROR(__xludf.DUMMYFUNCTION("""COMPUTED_VALUE"""),45137.3017528356)</f>
        <v>45137.30175</v>
      </c>
      <c r="D702" s="15">
        <f>IFERROR(__xludf.DUMMYFUNCTION("""COMPUTED_VALUE"""),0.998)</f>
        <v>0.998</v>
      </c>
      <c r="E702" s="16">
        <f>IFERROR(__xludf.DUMMYFUNCTION("""COMPUTED_VALUE"""),73.0)</f>
        <v>73</v>
      </c>
      <c r="F702" s="19" t="str">
        <f>IFERROR(__xludf.DUMMYFUNCTION("""COMPUTED_VALUE"""),"BLUE")</f>
        <v>BLUE</v>
      </c>
      <c r="G702" s="20" t="str">
        <f>IFERROR(__xludf.DUMMYFUNCTION("""COMPUTED_VALUE"""),"Uncle Sams Cider (04/04/2023)")</f>
        <v>Uncle Sams Cider (04/04/2023)</v>
      </c>
      <c r="H702" s="19"/>
    </row>
    <row r="703">
      <c r="A703" s="9"/>
      <c r="B703" s="15"/>
      <c r="C703" s="9">
        <f>IFERROR(__xludf.DUMMYFUNCTION("""COMPUTED_VALUE"""),45137.2913326041)</f>
        <v>45137.29133</v>
      </c>
      <c r="D703" s="15">
        <f>IFERROR(__xludf.DUMMYFUNCTION("""COMPUTED_VALUE"""),0.998)</f>
        <v>0.998</v>
      </c>
      <c r="E703" s="16">
        <f>IFERROR(__xludf.DUMMYFUNCTION("""COMPUTED_VALUE"""),73.0)</f>
        <v>73</v>
      </c>
      <c r="F703" s="19" t="str">
        <f>IFERROR(__xludf.DUMMYFUNCTION("""COMPUTED_VALUE"""),"BLUE")</f>
        <v>BLUE</v>
      </c>
      <c r="G703" s="20" t="str">
        <f>IFERROR(__xludf.DUMMYFUNCTION("""COMPUTED_VALUE"""),"Uncle Sams Cider (04/04/2023)")</f>
        <v>Uncle Sams Cider (04/04/2023)</v>
      </c>
      <c r="H703" s="19"/>
    </row>
    <row r="704">
      <c r="A704" s="9"/>
      <c r="B704" s="15"/>
      <c r="C704" s="9">
        <f>IFERROR(__xludf.DUMMYFUNCTION("""COMPUTED_VALUE"""),45137.2808994097)</f>
        <v>45137.2809</v>
      </c>
      <c r="D704" s="15">
        <f>IFERROR(__xludf.DUMMYFUNCTION("""COMPUTED_VALUE"""),0.998)</f>
        <v>0.998</v>
      </c>
      <c r="E704" s="16">
        <f>IFERROR(__xludf.DUMMYFUNCTION("""COMPUTED_VALUE"""),73.0)</f>
        <v>73</v>
      </c>
      <c r="F704" s="19" t="str">
        <f>IFERROR(__xludf.DUMMYFUNCTION("""COMPUTED_VALUE"""),"BLUE")</f>
        <v>BLUE</v>
      </c>
      <c r="G704" s="20" t="str">
        <f>IFERROR(__xludf.DUMMYFUNCTION("""COMPUTED_VALUE"""),"Uncle Sams Cider (04/04/2023)")</f>
        <v>Uncle Sams Cider (04/04/2023)</v>
      </c>
      <c r="H704" s="19"/>
    </row>
    <row r="705">
      <c r="A705" s="9"/>
      <c r="B705" s="15"/>
      <c r="C705" s="9">
        <f>IFERROR(__xludf.DUMMYFUNCTION("""COMPUTED_VALUE"""),45137.2704646412)</f>
        <v>45137.27046</v>
      </c>
      <c r="D705" s="15">
        <f>IFERROR(__xludf.DUMMYFUNCTION("""COMPUTED_VALUE"""),0.998)</f>
        <v>0.998</v>
      </c>
      <c r="E705" s="16">
        <f>IFERROR(__xludf.DUMMYFUNCTION("""COMPUTED_VALUE"""),73.0)</f>
        <v>73</v>
      </c>
      <c r="F705" s="19" t="str">
        <f>IFERROR(__xludf.DUMMYFUNCTION("""COMPUTED_VALUE"""),"BLUE")</f>
        <v>BLUE</v>
      </c>
      <c r="G705" s="20" t="str">
        <f>IFERROR(__xludf.DUMMYFUNCTION("""COMPUTED_VALUE"""),"Uncle Sams Cider (04/04/2023)")</f>
        <v>Uncle Sams Cider (04/04/2023)</v>
      </c>
      <c r="H705" s="19"/>
    </row>
    <row r="706">
      <c r="A706" s="9"/>
      <c r="B706" s="15"/>
      <c r="C706" s="9">
        <f>IFERROR(__xludf.DUMMYFUNCTION("""COMPUTED_VALUE"""),45137.2600443981)</f>
        <v>45137.26004</v>
      </c>
      <c r="D706" s="15">
        <f>IFERROR(__xludf.DUMMYFUNCTION("""COMPUTED_VALUE"""),0.998)</f>
        <v>0.998</v>
      </c>
      <c r="E706" s="16">
        <f>IFERROR(__xludf.DUMMYFUNCTION("""COMPUTED_VALUE"""),73.0)</f>
        <v>73</v>
      </c>
      <c r="F706" s="19" t="str">
        <f>IFERROR(__xludf.DUMMYFUNCTION("""COMPUTED_VALUE"""),"BLUE")</f>
        <v>BLUE</v>
      </c>
      <c r="G706" s="20" t="str">
        <f>IFERROR(__xludf.DUMMYFUNCTION("""COMPUTED_VALUE"""),"Uncle Sams Cider (04/04/2023)")</f>
        <v>Uncle Sams Cider (04/04/2023)</v>
      </c>
      <c r="H706" s="19"/>
    </row>
    <row r="707">
      <c r="A707" s="9"/>
      <c r="B707" s="15"/>
      <c r="C707" s="9">
        <f>IFERROR(__xludf.DUMMYFUNCTION("""COMPUTED_VALUE"""),45137.2496234375)</f>
        <v>45137.24962</v>
      </c>
      <c r="D707" s="15">
        <f>IFERROR(__xludf.DUMMYFUNCTION("""COMPUTED_VALUE"""),0.998)</f>
        <v>0.998</v>
      </c>
      <c r="E707" s="16">
        <f>IFERROR(__xludf.DUMMYFUNCTION("""COMPUTED_VALUE"""),73.0)</f>
        <v>73</v>
      </c>
      <c r="F707" s="19" t="str">
        <f>IFERROR(__xludf.DUMMYFUNCTION("""COMPUTED_VALUE"""),"BLUE")</f>
        <v>BLUE</v>
      </c>
      <c r="G707" s="20" t="str">
        <f>IFERROR(__xludf.DUMMYFUNCTION("""COMPUTED_VALUE"""),"Uncle Sams Cider (04/04/2023)")</f>
        <v>Uncle Sams Cider (04/04/2023)</v>
      </c>
      <c r="H707" s="19"/>
    </row>
    <row r="708">
      <c r="A708" s="9"/>
      <c r="B708" s="15"/>
      <c r="C708" s="9">
        <f>IFERROR(__xludf.DUMMYFUNCTION("""COMPUTED_VALUE"""),45137.239201574)</f>
        <v>45137.2392</v>
      </c>
      <c r="D708" s="15">
        <f>IFERROR(__xludf.DUMMYFUNCTION("""COMPUTED_VALUE"""),0.998)</f>
        <v>0.998</v>
      </c>
      <c r="E708" s="16">
        <f>IFERROR(__xludf.DUMMYFUNCTION("""COMPUTED_VALUE"""),73.0)</f>
        <v>73</v>
      </c>
      <c r="F708" s="19" t="str">
        <f>IFERROR(__xludf.DUMMYFUNCTION("""COMPUTED_VALUE"""),"BLUE")</f>
        <v>BLUE</v>
      </c>
      <c r="G708" s="20" t="str">
        <f>IFERROR(__xludf.DUMMYFUNCTION("""COMPUTED_VALUE"""),"Uncle Sams Cider (04/04/2023)")</f>
        <v>Uncle Sams Cider (04/04/2023)</v>
      </c>
      <c r="H708" s="19"/>
    </row>
    <row r="709">
      <c r="A709" s="9"/>
      <c r="B709" s="15"/>
      <c r="C709" s="9">
        <f>IFERROR(__xludf.DUMMYFUNCTION("""COMPUTED_VALUE"""),45137.2287826504)</f>
        <v>45137.22878</v>
      </c>
      <c r="D709" s="15">
        <f>IFERROR(__xludf.DUMMYFUNCTION("""COMPUTED_VALUE"""),0.998)</f>
        <v>0.998</v>
      </c>
      <c r="E709" s="16">
        <f>IFERROR(__xludf.DUMMYFUNCTION("""COMPUTED_VALUE"""),73.0)</f>
        <v>73</v>
      </c>
      <c r="F709" s="19" t="str">
        <f>IFERROR(__xludf.DUMMYFUNCTION("""COMPUTED_VALUE"""),"BLUE")</f>
        <v>BLUE</v>
      </c>
      <c r="G709" s="20" t="str">
        <f>IFERROR(__xludf.DUMMYFUNCTION("""COMPUTED_VALUE"""),"Uncle Sams Cider (04/04/2023)")</f>
        <v>Uncle Sams Cider (04/04/2023)</v>
      </c>
      <c r="H709" s="19"/>
    </row>
    <row r="710">
      <c r="A710" s="9"/>
      <c r="B710" s="15"/>
      <c r="C710" s="9">
        <f>IFERROR(__xludf.DUMMYFUNCTION("""COMPUTED_VALUE"""),45137.2183617824)</f>
        <v>45137.21836</v>
      </c>
      <c r="D710" s="15">
        <f>IFERROR(__xludf.DUMMYFUNCTION("""COMPUTED_VALUE"""),0.998)</f>
        <v>0.998</v>
      </c>
      <c r="E710" s="16">
        <f>IFERROR(__xludf.DUMMYFUNCTION("""COMPUTED_VALUE"""),73.0)</f>
        <v>73</v>
      </c>
      <c r="F710" s="19" t="str">
        <f>IFERROR(__xludf.DUMMYFUNCTION("""COMPUTED_VALUE"""),"BLUE")</f>
        <v>BLUE</v>
      </c>
      <c r="G710" s="20" t="str">
        <f>IFERROR(__xludf.DUMMYFUNCTION("""COMPUTED_VALUE"""),"Uncle Sams Cider (04/04/2023)")</f>
        <v>Uncle Sams Cider (04/04/2023)</v>
      </c>
      <c r="H710" s="19"/>
    </row>
    <row r="711">
      <c r="A711" s="9"/>
      <c r="B711" s="15"/>
      <c r="C711" s="9">
        <f>IFERROR(__xludf.DUMMYFUNCTION("""COMPUTED_VALUE"""),45137.2079412731)</f>
        <v>45137.20794</v>
      </c>
      <c r="D711" s="15">
        <f>IFERROR(__xludf.DUMMYFUNCTION("""COMPUTED_VALUE"""),0.999)</f>
        <v>0.999</v>
      </c>
      <c r="E711" s="16">
        <f>IFERROR(__xludf.DUMMYFUNCTION("""COMPUTED_VALUE"""),73.0)</f>
        <v>73</v>
      </c>
      <c r="F711" s="19" t="str">
        <f>IFERROR(__xludf.DUMMYFUNCTION("""COMPUTED_VALUE"""),"BLUE")</f>
        <v>BLUE</v>
      </c>
      <c r="G711" s="20" t="str">
        <f>IFERROR(__xludf.DUMMYFUNCTION("""COMPUTED_VALUE"""),"Uncle Sams Cider (04/04/2023)")</f>
        <v>Uncle Sams Cider (04/04/2023)</v>
      </c>
      <c r="H711" s="19"/>
    </row>
    <row r="712">
      <c r="A712" s="9"/>
      <c r="B712" s="15"/>
      <c r="C712" s="9">
        <f>IFERROR(__xludf.DUMMYFUNCTION("""COMPUTED_VALUE"""),45137.1975207291)</f>
        <v>45137.19752</v>
      </c>
      <c r="D712" s="15">
        <f>IFERROR(__xludf.DUMMYFUNCTION("""COMPUTED_VALUE"""),0.998)</f>
        <v>0.998</v>
      </c>
      <c r="E712" s="16">
        <f>IFERROR(__xludf.DUMMYFUNCTION("""COMPUTED_VALUE"""),73.0)</f>
        <v>73</v>
      </c>
      <c r="F712" s="19" t="str">
        <f>IFERROR(__xludf.DUMMYFUNCTION("""COMPUTED_VALUE"""),"BLUE")</f>
        <v>BLUE</v>
      </c>
      <c r="G712" s="20" t="str">
        <f>IFERROR(__xludf.DUMMYFUNCTION("""COMPUTED_VALUE"""),"Uncle Sams Cider (04/04/2023)")</f>
        <v>Uncle Sams Cider (04/04/2023)</v>
      </c>
      <c r="H712" s="19"/>
    </row>
    <row r="713">
      <c r="A713" s="9"/>
      <c r="B713" s="15"/>
      <c r="C713" s="9">
        <f>IFERROR(__xludf.DUMMYFUNCTION("""COMPUTED_VALUE"""),45137.1870986921)</f>
        <v>45137.1871</v>
      </c>
      <c r="D713" s="15">
        <f>IFERROR(__xludf.DUMMYFUNCTION("""COMPUTED_VALUE"""),0.999)</f>
        <v>0.999</v>
      </c>
      <c r="E713" s="16">
        <f>IFERROR(__xludf.DUMMYFUNCTION("""COMPUTED_VALUE"""),73.0)</f>
        <v>73</v>
      </c>
      <c r="F713" s="19" t="str">
        <f>IFERROR(__xludf.DUMMYFUNCTION("""COMPUTED_VALUE"""),"BLUE")</f>
        <v>BLUE</v>
      </c>
      <c r="G713" s="20" t="str">
        <f>IFERROR(__xludf.DUMMYFUNCTION("""COMPUTED_VALUE"""),"Uncle Sams Cider (04/04/2023)")</f>
        <v>Uncle Sams Cider (04/04/2023)</v>
      </c>
      <c r="H713" s="19"/>
    </row>
    <row r="714">
      <c r="A714" s="9"/>
      <c r="B714" s="15"/>
      <c r="C714" s="9">
        <f>IFERROR(__xludf.DUMMYFUNCTION("""COMPUTED_VALUE"""),45137.1766784259)</f>
        <v>45137.17668</v>
      </c>
      <c r="D714" s="15">
        <f>IFERROR(__xludf.DUMMYFUNCTION("""COMPUTED_VALUE"""),0.998)</f>
        <v>0.998</v>
      </c>
      <c r="E714" s="16">
        <f>IFERROR(__xludf.DUMMYFUNCTION("""COMPUTED_VALUE"""),73.0)</f>
        <v>73</v>
      </c>
      <c r="F714" s="19" t="str">
        <f>IFERROR(__xludf.DUMMYFUNCTION("""COMPUTED_VALUE"""),"BLUE")</f>
        <v>BLUE</v>
      </c>
      <c r="G714" s="20" t="str">
        <f>IFERROR(__xludf.DUMMYFUNCTION("""COMPUTED_VALUE"""),"Uncle Sams Cider (04/04/2023)")</f>
        <v>Uncle Sams Cider (04/04/2023)</v>
      </c>
      <c r="H714" s="19"/>
    </row>
    <row r="715">
      <c r="A715" s="9"/>
      <c r="B715" s="15"/>
      <c r="C715" s="9">
        <f>IFERROR(__xludf.DUMMYFUNCTION("""COMPUTED_VALUE"""),45137.1662579051)</f>
        <v>45137.16626</v>
      </c>
      <c r="D715" s="15">
        <f>IFERROR(__xludf.DUMMYFUNCTION("""COMPUTED_VALUE"""),0.998)</f>
        <v>0.998</v>
      </c>
      <c r="E715" s="16">
        <f>IFERROR(__xludf.DUMMYFUNCTION("""COMPUTED_VALUE"""),73.0)</f>
        <v>73</v>
      </c>
      <c r="F715" s="19" t="str">
        <f>IFERROR(__xludf.DUMMYFUNCTION("""COMPUTED_VALUE"""),"BLUE")</f>
        <v>BLUE</v>
      </c>
      <c r="G715" s="20" t="str">
        <f>IFERROR(__xludf.DUMMYFUNCTION("""COMPUTED_VALUE"""),"Uncle Sams Cider (04/04/2023)")</f>
        <v>Uncle Sams Cider (04/04/2023)</v>
      </c>
      <c r="H715" s="19"/>
    </row>
    <row r="716">
      <c r="A716" s="9"/>
      <c r="B716" s="15"/>
      <c r="C716" s="9">
        <f>IFERROR(__xludf.DUMMYFUNCTION("""COMPUTED_VALUE"""),45137.1558357986)</f>
        <v>45137.15584</v>
      </c>
      <c r="D716" s="15">
        <f>IFERROR(__xludf.DUMMYFUNCTION("""COMPUTED_VALUE"""),0.999)</f>
        <v>0.999</v>
      </c>
      <c r="E716" s="16">
        <f>IFERROR(__xludf.DUMMYFUNCTION("""COMPUTED_VALUE"""),73.0)</f>
        <v>73</v>
      </c>
      <c r="F716" s="19" t="str">
        <f>IFERROR(__xludf.DUMMYFUNCTION("""COMPUTED_VALUE"""),"BLUE")</f>
        <v>BLUE</v>
      </c>
      <c r="G716" s="20" t="str">
        <f>IFERROR(__xludf.DUMMYFUNCTION("""COMPUTED_VALUE"""),"Uncle Sams Cider (04/04/2023)")</f>
        <v>Uncle Sams Cider (04/04/2023)</v>
      </c>
      <c r="H716" s="19"/>
    </row>
    <row r="717">
      <c r="A717" s="9"/>
      <c r="B717" s="15"/>
      <c r="C717" s="9">
        <f>IFERROR(__xludf.DUMMYFUNCTION("""COMPUTED_VALUE"""),45137.1454027314)</f>
        <v>45137.1454</v>
      </c>
      <c r="D717" s="15">
        <f>IFERROR(__xludf.DUMMYFUNCTION("""COMPUTED_VALUE"""),0.998)</f>
        <v>0.998</v>
      </c>
      <c r="E717" s="16">
        <f>IFERROR(__xludf.DUMMYFUNCTION("""COMPUTED_VALUE"""),73.0)</f>
        <v>73</v>
      </c>
      <c r="F717" s="19" t="str">
        <f>IFERROR(__xludf.DUMMYFUNCTION("""COMPUTED_VALUE"""),"BLUE")</f>
        <v>BLUE</v>
      </c>
      <c r="G717" s="20" t="str">
        <f>IFERROR(__xludf.DUMMYFUNCTION("""COMPUTED_VALUE"""),"Uncle Sams Cider (04/04/2023)")</f>
        <v>Uncle Sams Cider (04/04/2023)</v>
      </c>
      <c r="H717" s="19"/>
    </row>
    <row r="718">
      <c r="A718" s="9"/>
      <c r="B718" s="15"/>
      <c r="C718" s="9">
        <f>IFERROR(__xludf.DUMMYFUNCTION("""COMPUTED_VALUE"""),45137.1349809838)</f>
        <v>45137.13498</v>
      </c>
      <c r="D718" s="15">
        <f>IFERROR(__xludf.DUMMYFUNCTION("""COMPUTED_VALUE"""),0.998)</f>
        <v>0.998</v>
      </c>
      <c r="E718" s="16">
        <f>IFERROR(__xludf.DUMMYFUNCTION("""COMPUTED_VALUE"""),73.0)</f>
        <v>73</v>
      </c>
      <c r="F718" s="19" t="str">
        <f>IFERROR(__xludf.DUMMYFUNCTION("""COMPUTED_VALUE"""),"BLUE")</f>
        <v>BLUE</v>
      </c>
      <c r="G718" s="20" t="str">
        <f>IFERROR(__xludf.DUMMYFUNCTION("""COMPUTED_VALUE"""),"Uncle Sams Cider (04/04/2023)")</f>
        <v>Uncle Sams Cider (04/04/2023)</v>
      </c>
      <c r="H718" s="19"/>
    </row>
    <row r="719">
      <c r="A719" s="9"/>
      <c r="B719" s="15"/>
      <c r="C719" s="9">
        <f>IFERROR(__xludf.DUMMYFUNCTION("""COMPUTED_VALUE"""),45137.1245594444)</f>
        <v>45137.12456</v>
      </c>
      <c r="D719" s="15">
        <f>IFERROR(__xludf.DUMMYFUNCTION("""COMPUTED_VALUE"""),0.998)</f>
        <v>0.998</v>
      </c>
      <c r="E719" s="16">
        <f>IFERROR(__xludf.DUMMYFUNCTION("""COMPUTED_VALUE"""),73.0)</f>
        <v>73</v>
      </c>
      <c r="F719" s="19" t="str">
        <f>IFERROR(__xludf.DUMMYFUNCTION("""COMPUTED_VALUE"""),"BLUE")</f>
        <v>BLUE</v>
      </c>
      <c r="G719" s="20" t="str">
        <f>IFERROR(__xludf.DUMMYFUNCTION("""COMPUTED_VALUE"""),"Uncle Sams Cider (04/04/2023)")</f>
        <v>Uncle Sams Cider (04/04/2023)</v>
      </c>
      <c r="H719" s="19"/>
    </row>
    <row r="720">
      <c r="A720" s="9"/>
      <c r="B720" s="15"/>
      <c r="C720" s="9">
        <f>IFERROR(__xludf.DUMMYFUNCTION("""COMPUTED_VALUE"""),45137.1141375925)</f>
        <v>45137.11414</v>
      </c>
      <c r="D720" s="15">
        <f>IFERROR(__xludf.DUMMYFUNCTION("""COMPUTED_VALUE"""),0.998)</f>
        <v>0.998</v>
      </c>
      <c r="E720" s="16">
        <f>IFERROR(__xludf.DUMMYFUNCTION("""COMPUTED_VALUE"""),73.0)</f>
        <v>73</v>
      </c>
      <c r="F720" s="19" t="str">
        <f>IFERROR(__xludf.DUMMYFUNCTION("""COMPUTED_VALUE"""),"BLUE")</f>
        <v>BLUE</v>
      </c>
      <c r="G720" s="20" t="str">
        <f>IFERROR(__xludf.DUMMYFUNCTION("""COMPUTED_VALUE"""),"Uncle Sams Cider (04/04/2023)")</f>
        <v>Uncle Sams Cider (04/04/2023)</v>
      </c>
      <c r="H720" s="19"/>
    </row>
    <row r="721">
      <c r="A721" s="9"/>
      <c r="B721" s="15"/>
      <c r="C721" s="9">
        <f>IFERROR(__xludf.DUMMYFUNCTION("""COMPUTED_VALUE"""),45137.1037158449)</f>
        <v>45137.10372</v>
      </c>
      <c r="D721" s="15">
        <f>IFERROR(__xludf.DUMMYFUNCTION("""COMPUTED_VALUE"""),0.999)</f>
        <v>0.999</v>
      </c>
      <c r="E721" s="16">
        <f>IFERROR(__xludf.DUMMYFUNCTION("""COMPUTED_VALUE"""),73.0)</f>
        <v>73</v>
      </c>
      <c r="F721" s="19" t="str">
        <f>IFERROR(__xludf.DUMMYFUNCTION("""COMPUTED_VALUE"""),"BLUE")</f>
        <v>BLUE</v>
      </c>
      <c r="G721" s="20" t="str">
        <f>IFERROR(__xludf.DUMMYFUNCTION("""COMPUTED_VALUE"""),"Uncle Sams Cider (04/04/2023)")</f>
        <v>Uncle Sams Cider (04/04/2023)</v>
      </c>
      <c r="H721" s="19"/>
    </row>
    <row r="722">
      <c r="A722" s="9"/>
      <c r="B722" s="15"/>
      <c r="C722" s="9">
        <f>IFERROR(__xludf.DUMMYFUNCTION("""COMPUTED_VALUE"""),45137.0932953588)</f>
        <v>45137.0933</v>
      </c>
      <c r="D722" s="15">
        <f>IFERROR(__xludf.DUMMYFUNCTION("""COMPUTED_VALUE"""),0.998)</f>
        <v>0.998</v>
      </c>
      <c r="E722" s="16">
        <f>IFERROR(__xludf.DUMMYFUNCTION("""COMPUTED_VALUE"""),73.0)</f>
        <v>73</v>
      </c>
      <c r="F722" s="19" t="str">
        <f>IFERROR(__xludf.DUMMYFUNCTION("""COMPUTED_VALUE"""),"BLUE")</f>
        <v>BLUE</v>
      </c>
      <c r="G722" s="20" t="str">
        <f>IFERROR(__xludf.DUMMYFUNCTION("""COMPUTED_VALUE"""),"Uncle Sams Cider (04/04/2023)")</f>
        <v>Uncle Sams Cider (04/04/2023)</v>
      </c>
      <c r="H722" s="19"/>
    </row>
    <row r="723">
      <c r="A723" s="9"/>
      <c r="B723" s="15"/>
      <c r="C723" s="9">
        <f>IFERROR(__xludf.DUMMYFUNCTION("""COMPUTED_VALUE"""),45137.082872581)</f>
        <v>45137.08287</v>
      </c>
      <c r="D723" s="15">
        <f>IFERROR(__xludf.DUMMYFUNCTION("""COMPUTED_VALUE"""),0.998)</f>
        <v>0.998</v>
      </c>
      <c r="E723" s="16">
        <f>IFERROR(__xludf.DUMMYFUNCTION("""COMPUTED_VALUE"""),73.0)</f>
        <v>73</v>
      </c>
      <c r="F723" s="19" t="str">
        <f>IFERROR(__xludf.DUMMYFUNCTION("""COMPUTED_VALUE"""),"BLUE")</f>
        <v>BLUE</v>
      </c>
      <c r="G723" s="20" t="str">
        <f>IFERROR(__xludf.DUMMYFUNCTION("""COMPUTED_VALUE"""),"Uncle Sams Cider (04/04/2023)")</f>
        <v>Uncle Sams Cider (04/04/2023)</v>
      </c>
      <c r="H723" s="19"/>
    </row>
    <row r="724">
      <c r="A724" s="9"/>
      <c r="B724" s="15"/>
      <c r="C724" s="9">
        <f>IFERROR(__xludf.DUMMYFUNCTION("""COMPUTED_VALUE"""),45137.0724514351)</f>
        <v>45137.07245</v>
      </c>
      <c r="D724" s="15">
        <f>IFERROR(__xludf.DUMMYFUNCTION("""COMPUTED_VALUE"""),0.998)</f>
        <v>0.998</v>
      </c>
      <c r="E724" s="16">
        <f>IFERROR(__xludf.DUMMYFUNCTION("""COMPUTED_VALUE"""),73.0)</f>
        <v>73</v>
      </c>
      <c r="F724" s="19" t="str">
        <f>IFERROR(__xludf.DUMMYFUNCTION("""COMPUTED_VALUE"""),"BLUE")</f>
        <v>BLUE</v>
      </c>
      <c r="G724" s="20" t="str">
        <f>IFERROR(__xludf.DUMMYFUNCTION("""COMPUTED_VALUE"""),"Uncle Sams Cider (04/04/2023)")</f>
        <v>Uncle Sams Cider (04/04/2023)</v>
      </c>
      <c r="H724" s="19"/>
    </row>
    <row r="725">
      <c r="A725" s="9"/>
      <c r="B725" s="15"/>
      <c r="C725" s="9">
        <f>IFERROR(__xludf.DUMMYFUNCTION("""COMPUTED_VALUE"""),45137.0620311574)</f>
        <v>45137.06203</v>
      </c>
      <c r="D725" s="15">
        <f>IFERROR(__xludf.DUMMYFUNCTION("""COMPUTED_VALUE"""),0.998)</f>
        <v>0.998</v>
      </c>
      <c r="E725" s="16">
        <f>IFERROR(__xludf.DUMMYFUNCTION("""COMPUTED_VALUE"""),73.0)</f>
        <v>73</v>
      </c>
      <c r="F725" s="19" t="str">
        <f>IFERROR(__xludf.DUMMYFUNCTION("""COMPUTED_VALUE"""),"BLUE")</f>
        <v>BLUE</v>
      </c>
      <c r="G725" s="20" t="str">
        <f>IFERROR(__xludf.DUMMYFUNCTION("""COMPUTED_VALUE"""),"Uncle Sams Cider (04/04/2023)")</f>
        <v>Uncle Sams Cider (04/04/2023)</v>
      </c>
      <c r="H725" s="19"/>
    </row>
    <row r="726">
      <c r="A726" s="9"/>
      <c r="B726" s="15"/>
      <c r="C726" s="9">
        <f>IFERROR(__xludf.DUMMYFUNCTION("""COMPUTED_VALUE"""),45137.0516098611)</f>
        <v>45137.05161</v>
      </c>
      <c r="D726" s="15">
        <f>IFERROR(__xludf.DUMMYFUNCTION("""COMPUTED_VALUE"""),0.998)</f>
        <v>0.998</v>
      </c>
      <c r="E726" s="16">
        <f>IFERROR(__xludf.DUMMYFUNCTION("""COMPUTED_VALUE"""),73.0)</f>
        <v>73</v>
      </c>
      <c r="F726" s="19" t="str">
        <f>IFERROR(__xludf.DUMMYFUNCTION("""COMPUTED_VALUE"""),"BLUE")</f>
        <v>BLUE</v>
      </c>
      <c r="G726" s="20" t="str">
        <f>IFERROR(__xludf.DUMMYFUNCTION("""COMPUTED_VALUE"""),"Uncle Sams Cider (04/04/2023)")</f>
        <v>Uncle Sams Cider (04/04/2023)</v>
      </c>
      <c r="H726" s="19"/>
    </row>
    <row r="727">
      <c r="A727" s="9"/>
      <c r="B727" s="15"/>
      <c r="C727" s="9">
        <f>IFERROR(__xludf.DUMMYFUNCTION("""COMPUTED_VALUE"""),45137.0411894675)</f>
        <v>45137.04119</v>
      </c>
      <c r="D727" s="15">
        <f>IFERROR(__xludf.DUMMYFUNCTION("""COMPUTED_VALUE"""),0.999)</f>
        <v>0.999</v>
      </c>
      <c r="E727" s="16">
        <f>IFERROR(__xludf.DUMMYFUNCTION("""COMPUTED_VALUE"""),73.0)</f>
        <v>73</v>
      </c>
      <c r="F727" s="19" t="str">
        <f>IFERROR(__xludf.DUMMYFUNCTION("""COMPUTED_VALUE"""),"BLUE")</f>
        <v>BLUE</v>
      </c>
      <c r="G727" s="20" t="str">
        <f>IFERROR(__xludf.DUMMYFUNCTION("""COMPUTED_VALUE"""),"Uncle Sams Cider (04/04/2023)")</f>
        <v>Uncle Sams Cider (04/04/2023)</v>
      </c>
      <c r="H727" s="19"/>
    </row>
    <row r="728">
      <c r="A728" s="9"/>
      <c r="B728" s="15"/>
      <c r="C728" s="9">
        <f>IFERROR(__xludf.DUMMYFUNCTION("""COMPUTED_VALUE"""),45137.0307675463)</f>
        <v>45137.03077</v>
      </c>
      <c r="D728" s="15">
        <f>IFERROR(__xludf.DUMMYFUNCTION("""COMPUTED_VALUE"""),0.998)</f>
        <v>0.998</v>
      </c>
      <c r="E728" s="16">
        <f>IFERROR(__xludf.DUMMYFUNCTION("""COMPUTED_VALUE"""),73.0)</f>
        <v>73</v>
      </c>
      <c r="F728" s="19" t="str">
        <f>IFERROR(__xludf.DUMMYFUNCTION("""COMPUTED_VALUE"""),"BLUE")</f>
        <v>BLUE</v>
      </c>
      <c r="G728" s="20" t="str">
        <f>IFERROR(__xludf.DUMMYFUNCTION("""COMPUTED_VALUE"""),"Uncle Sams Cider (04/04/2023)")</f>
        <v>Uncle Sams Cider (04/04/2023)</v>
      </c>
      <c r="H728" s="19"/>
    </row>
    <row r="729">
      <c r="A729" s="9"/>
      <c r="B729" s="15"/>
      <c r="C729" s="9">
        <f>IFERROR(__xludf.DUMMYFUNCTION("""COMPUTED_VALUE"""),45137.0203461689)</f>
        <v>45137.02035</v>
      </c>
      <c r="D729" s="15">
        <f>IFERROR(__xludf.DUMMYFUNCTION("""COMPUTED_VALUE"""),0.999)</f>
        <v>0.999</v>
      </c>
      <c r="E729" s="16">
        <f>IFERROR(__xludf.DUMMYFUNCTION("""COMPUTED_VALUE"""),73.0)</f>
        <v>73</v>
      </c>
      <c r="F729" s="19" t="str">
        <f>IFERROR(__xludf.DUMMYFUNCTION("""COMPUTED_VALUE"""),"BLUE")</f>
        <v>BLUE</v>
      </c>
      <c r="G729" s="20" t="str">
        <f>IFERROR(__xludf.DUMMYFUNCTION("""COMPUTED_VALUE"""),"Uncle Sams Cider (04/04/2023)")</f>
        <v>Uncle Sams Cider (04/04/2023)</v>
      </c>
      <c r="H729" s="19"/>
    </row>
    <row r="730">
      <c r="A730" s="9"/>
      <c r="B730" s="15"/>
      <c r="C730" s="9">
        <f>IFERROR(__xludf.DUMMYFUNCTION("""COMPUTED_VALUE"""),45137.0099269213)</f>
        <v>45137.00993</v>
      </c>
      <c r="D730" s="15">
        <f>IFERROR(__xludf.DUMMYFUNCTION("""COMPUTED_VALUE"""),0.998)</f>
        <v>0.998</v>
      </c>
      <c r="E730" s="16">
        <f>IFERROR(__xludf.DUMMYFUNCTION("""COMPUTED_VALUE"""),73.0)</f>
        <v>73</v>
      </c>
      <c r="F730" s="19" t="str">
        <f>IFERROR(__xludf.DUMMYFUNCTION("""COMPUTED_VALUE"""),"BLUE")</f>
        <v>BLUE</v>
      </c>
      <c r="G730" s="20" t="str">
        <f>IFERROR(__xludf.DUMMYFUNCTION("""COMPUTED_VALUE"""),"Uncle Sams Cider (04/04/2023)")</f>
        <v>Uncle Sams Cider (04/04/2023)</v>
      </c>
      <c r="H730" s="19"/>
    </row>
    <row r="731">
      <c r="A731" s="9"/>
      <c r="B731" s="15"/>
      <c r="C731" s="9">
        <f>IFERROR(__xludf.DUMMYFUNCTION("""COMPUTED_VALUE"""),45136.9994944791)</f>
        <v>45136.99949</v>
      </c>
      <c r="D731" s="15">
        <f>IFERROR(__xludf.DUMMYFUNCTION("""COMPUTED_VALUE"""),0.998)</f>
        <v>0.998</v>
      </c>
      <c r="E731" s="16">
        <f>IFERROR(__xludf.DUMMYFUNCTION("""COMPUTED_VALUE"""),73.0)</f>
        <v>73</v>
      </c>
      <c r="F731" s="19" t="str">
        <f>IFERROR(__xludf.DUMMYFUNCTION("""COMPUTED_VALUE"""),"BLUE")</f>
        <v>BLUE</v>
      </c>
      <c r="G731" s="20" t="str">
        <f>IFERROR(__xludf.DUMMYFUNCTION("""COMPUTED_VALUE"""),"Uncle Sams Cider (04/04/2023)")</f>
        <v>Uncle Sams Cider (04/04/2023)</v>
      </c>
      <c r="H731" s="19"/>
    </row>
    <row r="732">
      <c r="A732" s="9"/>
      <c r="B732" s="15"/>
      <c r="C732" s="9">
        <f>IFERROR(__xludf.DUMMYFUNCTION("""COMPUTED_VALUE"""),45136.9890722453)</f>
        <v>45136.98907</v>
      </c>
      <c r="D732" s="15">
        <f>IFERROR(__xludf.DUMMYFUNCTION("""COMPUTED_VALUE"""),0.998)</f>
        <v>0.998</v>
      </c>
      <c r="E732" s="16">
        <f>IFERROR(__xludf.DUMMYFUNCTION("""COMPUTED_VALUE"""),73.0)</f>
        <v>73</v>
      </c>
      <c r="F732" s="19" t="str">
        <f>IFERROR(__xludf.DUMMYFUNCTION("""COMPUTED_VALUE"""),"BLUE")</f>
        <v>BLUE</v>
      </c>
      <c r="G732" s="20" t="str">
        <f>IFERROR(__xludf.DUMMYFUNCTION("""COMPUTED_VALUE"""),"Uncle Sams Cider (04/04/2023)")</f>
        <v>Uncle Sams Cider (04/04/2023)</v>
      </c>
      <c r="H732" s="19"/>
    </row>
    <row r="733">
      <c r="A733" s="9"/>
      <c r="B733" s="15"/>
      <c r="C733" s="9">
        <f>IFERROR(__xludf.DUMMYFUNCTION("""COMPUTED_VALUE"""),45136.9786492013)</f>
        <v>45136.97865</v>
      </c>
      <c r="D733" s="15">
        <f>IFERROR(__xludf.DUMMYFUNCTION("""COMPUTED_VALUE"""),0.998)</f>
        <v>0.998</v>
      </c>
      <c r="E733" s="16">
        <f>IFERROR(__xludf.DUMMYFUNCTION("""COMPUTED_VALUE"""),73.0)</f>
        <v>73</v>
      </c>
      <c r="F733" s="19" t="str">
        <f>IFERROR(__xludf.DUMMYFUNCTION("""COMPUTED_VALUE"""),"BLUE")</f>
        <v>BLUE</v>
      </c>
      <c r="G733" s="20" t="str">
        <f>IFERROR(__xludf.DUMMYFUNCTION("""COMPUTED_VALUE"""),"Uncle Sams Cider (04/04/2023)")</f>
        <v>Uncle Sams Cider (04/04/2023)</v>
      </c>
      <c r="H733" s="19"/>
    </row>
    <row r="734">
      <c r="A734" s="9"/>
      <c r="B734" s="15"/>
      <c r="C734" s="9">
        <f>IFERROR(__xludf.DUMMYFUNCTION("""COMPUTED_VALUE"""),45136.9682289351)</f>
        <v>45136.96823</v>
      </c>
      <c r="D734" s="15">
        <f>IFERROR(__xludf.DUMMYFUNCTION("""COMPUTED_VALUE"""),0.998)</f>
        <v>0.998</v>
      </c>
      <c r="E734" s="16">
        <f>IFERROR(__xludf.DUMMYFUNCTION("""COMPUTED_VALUE"""),73.0)</f>
        <v>73</v>
      </c>
      <c r="F734" s="19" t="str">
        <f>IFERROR(__xludf.DUMMYFUNCTION("""COMPUTED_VALUE"""),"BLUE")</f>
        <v>BLUE</v>
      </c>
      <c r="G734" s="20" t="str">
        <f>IFERROR(__xludf.DUMMYFUNCTION("""COMPUTED_VALUE"""),"Uncle Sams Cider (04/04/2023)")</f>
        <v>Uncle Sams Cider (04/04/2023)</v>
      </c>
      <c r="H734" s="19"/>
    </row>
    <row r="735">
      <c r="A735" s="9"/>
      <c r="B735" s="15"/>
      <c r="C735" s="9">
        <f>IFERROR(__xludf.DUMMYFUNCTION("""COMPUTED_VALUE"""),45136.9578094328)</f>
        <v>45136.95781</v>
      </c>
      <c r="D735" s="15">
        <f>IFERROR(__xludf.DUMMYFUNCTION("""COMPUTED_VALUE"""),0.998)</f>
        <v>0.998</v>
      </c>
      <c r="E735" s="16">
        <f>IFERROR(__xludf.DUMMYFUNCTION("""COMPUTED_VALUE"""),73.0)</f>
        <v>73</v>
      </c>
      <c r="F735" s="19" t="str">
        <f>IFERROR(__xludf.DUMMYFUNCTION("""COMPUTED_VALUE"""),"BLUE")</f>
        <v>BLUE</v>
      </c>
      <c r="G735" s="20" t="str">
        <f>IFERROR(__xludf.DUMMYFUNCTION("""COMPUTED_VALUE"""),"Uncle Sams Cider (04/04/2023)")</f>
        <v>Uncle Sams Cider (04/04/2023)</v>
      </c>
      <c r="H735" s="19"/>
    </row>
    <row r="736">
      <c r="A736" s="9"/>
      <c r="B736" s="15"/>
      <c r="C736" s="9">
        <f>IFERROR(__xludf.DUMMYFUNCTION("""COMPUTED_VALUE"""),45136.9473891898)</f>
        <v>45136.94739</v>
      </c>
      <c r="D736" s="15">
        <f>IFERROR(__xludf.DUMMYFUNCTION("""COMPUTED_VALUE"""),0.998)</f>
        <v>0.998</v>
      </c>
      <c r="E736" s="16">
        <f>IFERROR(__xludf.DUMMYFUNCTION("""COMPUTED_VALUE"""),73.0)</f>
        <v>73</v>
      </c>
      <c r="F736" s="19" t="str">
        <f>IFERROR(__xludf.DUMMYFUNCTION("""COMPUTED_VALUE"""),"BLUE")</f>
        <v>BLUE</v>
      </c>
      <c r="G736" s="20" t="str">
        <f>IFERROR(__xludf.DUMMYFUNCTION("""COMPUTED_VALUE"""),"Uncle Sams Cider (04/04/2023)")</f>
        <v>Uncle Sams Cider (04/04/2023)</v>
      </c>
      <c r="H736" s="19"/>
    </row>
    <row r="737">
      <c r="A737" s="9"/>
      <c r="B737" s="15"/>
      <c r="C737" s="9">
        <f>IFERROR(__xludf.DUMMYFUNCTION("""COMPUTED_VALUE"""),45136.936957743)</f>
        <v>45136.93696</v>
      </c>
      <c r="D737" s="15">
        <f>IFERROR(__xludf.DUMMYFUNCTION("""COMPUTED_VALUE"""),0.998)</f>
        <v>0.998</v>
      </c>
      <c r="E737" s="16">
        <f>IFERROR(__xludf.DUMMYFUNCTION("""COMPUTED_VALUE"""),73.0)</f>
        <v>73</v>
      </c>
      <c r="F737" s="19" t="str">
        <f>IFERROR(__xludf.DUMMYFUNCTION("""COMPUTED_VALUE"""),"BLUE")</f>
        <v>BLUE</v>
      </c>
      <c r="G737" s="20" t="str">
        <f>IFERROR(__xludf.DUMMYFUNCTION("""COMPUTED_VALUE"""),"Uncle Sams Cider (04/04/2023)")</f>
        <v>Uncle Sams Cider (04/04/2023)</v>
      </c>
      <c r="H737" s="19"/>
    </row>
    <row r="738">
      <c r="A738" s="9"/>
      <c r="B738" s="15"/>
      <c r="C738" s="9">
        <f>IFERROR(__xludf.DUMMYFUNCTION("""COMPUTED_VALUE"""),45136.9265351851)</f>
        <v>45136.92654</v>
      </c>
      <c r="D738" s="15">
        <f>IFERROR(__xludf.DUMMYFUNCTION("""COMPUTED_VALUE"""),0.998)</f>
        <v>0.998</v>
      </c>
      <c r="E738" s="16">
        <f>IFERROR(__xludf.DUMMYFUNCTION("""COMPUTED_VALUE"""),73.0)</f>
        <v>73</v>
      </c>
      <c r="F738" s="19" t="str">
        <f>IFERROR(__xludf.DUMMYFUNCTION("""COMPUTED_VALUE"""),"BLUE")</f>
        <v>BLUE</v>
      </c>
      <c r="G738" s="20" t="str">
        <f>IFERROR(__xludf.DUMMYFUNCTION("""COMPUTED_VALUE"""),"Uncle Sams Cider (04/04/2023)")</f>
        <v>Uncle Sams Cider (04/04/2023)</v>
      </c>
      <c r="H738" s="19"/>
    </row>
    <row r="739">
      <c r="A739" s="9"/>
      <c r="B739" s="15"/>
      <c r="C739" s="9">
        <f>IFERROR(__xludf.DUMMYFUNCTION("""COMPUTED_VALUE"""),45136.9161135301)</f>
        <v>45136.91611</v>
      </c>
      <c r="D739" s="15">
        <f>IFERROR(__xludf.DUMMYFUNCTION("""COMPUTED_VALUE"""),0.998)</f>
        <v>0.998</v>
      </c>
      <c r="E739" s="16">
        <f>IFERROR(__xludf.DUMMYFUNCTION("""COMPUTED_VALUE"""),73.0)</f>
        <v>73</v>
      </c>
      <c r="F739" s="19" t="str">
        <f>IFERROR(__xludf.DUMMYFUNCTION("""COMPUTED_VALUE"""),"BLUE")</f>
        <v>BLUE</v>
      </c>
      <c r="G739" s="20" t="str">
        <f>IFERROR(__xludf.DUMMYFUNCTION("""COMPUTED_VALUE"""),"Uncle Sams Cider (04/04/2023)")</f>
        <v>Uncle Sams Cider (04/04/2023)</v>
      </c>
      <c r="H739" s="19"/>
    </row>
    <row r="740">
      <c r="A740" s="9"/>
      <c r="B740" s="15"/>
      <c r="C740" s="9">
        <f>IFERROR(__xludf.DUMMYFUNCTION("""COMPUTED_VALUE"""),45136.9056935879)</f>
        <v>45136.90569</v>
      </c>
      <c r="D740" s="15">
        <f>IFERROR(__xludf.DUMMYFUNCTION("""COMPUTED_VALUE"""),0.998)</f>
        <v>0.998</v>
      </c>
      <c r="E740" s="16">
        <f>IFERROR(__xludf.DUMMYFUNCTION("""COMPUTED_VALUE"""),73.0)</f>
        <v>73</v>
      </c>
      <c r="F740" s="19" t="str">
        <f>IFERROR(__xludf.DUMMYFUNCTION("""COMPUTED_VALUE"""),"BLUE")</f>
        <v>BLUE</v>
      </c>
      <c r="G740" s="20" t="str">
        <f>IFERROR(__xludf.DUMMYFUNCTION("""COMPUTED_VALUE"""),"Uncle Sams Cider (04/04/2023)")</f>
        <v>Uncle Sams Cider (04/04/2023)</v>
      </c>
      <c r="H740" s="19"/>
    </row>
    <row r="741">
      <c r="A741" s="9"/>
      <c r="B741" s="15"/>
      <c r="C741" s="9">
        <f>IFERROR(__xludf.DUMMYFUNCTION("""COMPUTED_VALUE"""),45136.8952741088)</f>
        <v>45136.89527</v>
      </c>
      <c r="D741" s="15">
        <f>IFERROR(__xludf.DUMMYFUNCTION("""COMPUTED_VALUE"""),0.999)</f>
        <v>0.999</v>
      </c>
      <c r="E741" s="16">
        <f>IFERROR(__xludf.DUMMYFUNCTION("""COMPUTED_VALUE"""),73.0)</f>
        <v>73</v>
      </c>
      <c r="F741" s="19" t="str">
        <f>IFERROR(__xludf.DUMMYFUNCTION("""COMPUTED_VALUE"""),"BLUE")</f>
        <v>BLUE</v>
      </c>
      <c r="G741" s="20" t="str">
        <f>IFERROR(__xludf.DUMMYFUNCTION("""COMPUTED_VALUE"""),"Uncle Sams Cider (04/04/2023)")</f>
        <v>Uncle Sams Cider (04/04/2023)</v>
      </c>
      <c r="H741" s="19"/>
    </row>
    <row r="742">
      <c r="A742" s="9"/>
      <c r="B742" s="15"/>
      <c r="C742" s="9">
        <f>IFERROR(__xludf.DUMMYFUNCTION("""COMPUTED_VALUE"""),45136.8848523495)</f>
        <v>45136.88485</v>
      </c>
      <c r="D742" s="15">
        <f>IFERROR(__xludf.DUMMYFUNCTION("""COMPUTED_VALUE"""),0.998)</f>
        <v>0.998</v>
      </c>
      <c r="E742" s="16">
        <f>IFERROR(__xludf.DUMMYFUNCTION("""COMPUTED_VALUE"""),73.0)</f>
        <v>73</v>
      </c>
      <c r="F742" s="19" t="str">
        <f>IFERROR(__xludf.DUMMYFUNCTION("""COMPUTED_VALUE"""),"BLUE")</f>
        <v>BLUE</v>
      </c>
      <c r="G742" s="20" t="str">
        <f>IFERROR(__xludf.DUMMYFUNCTION("""COMPUTED_VALUE"""),"Uncle Sams Cider (04/04/2023)")</f>
        <v>Uncle Sams Cider (04/04/2023)</v>
      </c>
      <c r="H742" s="19"/>
    </row>
    <row r="743">
      <c r="A743" s="9"/>
      <c r="B743" s="15"/>
      <c r="C743" s="9">
        <f>IFERROR(__xludf.DUMMYFUNCTION("""COMPUTED_VALUE"""),45136.8640007175)</f>
        <v>45136.864</v>
      </c>
      <c r="D743" s="15">
        <f>IFERROR(__xludf.DUMMYFUNCTION("""COMPUTED_VALUE"""),0.998)</f>
        <v>0.998</v>
      </c>
      <c r="E743" s="16">
        <f>IFERROR(__xludf.DUMMYFUNCTION("""COMPUTED_VALUE"""),73.0)</f>
        <v>73</v>
      </c>
      <c r="F743" s="19" t="str">
        <f>IFERROR(__xludf.DUMMYFUNCTION("""COMPUTED_VALUE"""),"BLUE")</f>
        <v>BLUE</v>
      </c>
      <c r="G743" s="20" t="str">
        <f>IFERROR(__xludf.DUMMYFUNCTION("""COMPUTED_VALUE"""),"Uncle Sams Cider (04/04/2023)")</f>
        <v>Uncle Sams Cider (04/04/2023)</v>
      </c>
      <c r="H743" s="19"/>
    </row>
    <row r="744">
      <c r="A744" s="9"/>
      <c r="B744" s="15"/>
      <c r="C744" s="9">
        <f>IFERROR(__xludf.DUMMYFUNCTION("""COMPUTED_VALUE"""),45136.8535688426)</f>
        <v>45136.85357</v>
      </c>
      <c r="D744" s="15">
        <f>IFERROR(__xludf.DUMMYFUNCTION("""COMPUTED_VALUE"""),0.998)</f>
        <v>0.998</v>
      </c>
      <c r="E744" s="16">
        <f>IFERROR(__xludf.DUMMYFUNCTION("""COMPUTED_VALUE"""),73.0)</f>
        <v>73</v>
      </c>
      <c r="F744" s="19" t="str">
        <f>IFERROR(__xludf.DUMMYFUNCTION("""COMPUTED_VALUE"""),"BLUE")</f>
        <v>BLUE</v>
      </c>
      <c r="G744" s="20" t="str">
        <f>IFERROR(__xludf.DUMMYFUNCTION("""COMPUTED_VALUE"""),"Uncle Sams Cider (04/04/2023)")</f>
        <v>Uncle Sams Cider (04/04/2023)</v>
      </c>
      <c r="H744" s="19"/>
    </row>
    <row r="745">
      <c r="A745" s="9"/>
      <c r="B745" s="15"/>
      <c r="C745" s="9">
        <f>IFERROR(__xludf.DUMMYFUNCTION("""COMPUTED_VALUE"""),45136.8431470138)</f>
        <v>45136.84315</v>
      </c>
      <c r="D745" s="15">
        <f>IFERROR(__xludf.DUMMYFUNCTION("""COMPUTED_VALUE"""),0.998)</f>
        <v>0.998</v>
      </c>
      <c r="E745" s="16">
        <f>IFERROR(__xludf.DUMMYFUNCTION("""COMPUTED_VALUE"""),73.0)</f>
        <v>73</v>
      </c>
      <c r="F745" s="19" t="str">
        <f>IFERROR(__xludf.DUMMYFUNCTION("""COMPUTED_VALUE"""),"BLUE")</f>
        <v>BLUE</v>
      </c>
      <c r="G745" s="20" t="str">
        <f>IFERROR(__xludf.DUMMYFUNCTION("""COMPUTED_VALUE"""),"Uncle Sams Cider (04/04/2023)")</f>
        <v>Uncle Sams Cider (04/04/2023)</v>
      </c>
      <c r="H745" s="19"/>
    </row>
    <row r="746">
      <c r="A746" s="9"/>
      <c r="B746" s="15"/>
      <c r="C746" s="9">
        <f>IFERROR(__xludf.DUMMYFUNCTION("""COMPUTED_VALUE"""),45136.8327257175)</f>
        <v>45136.83273</v>
      </c>
      <c r="D746" s="15">
        <f>IFERROR(__xludf.DUMMYFUNCTION("""COMPUTED_VALUE"""),0.998)</f>
        <v>0.998</v>
      </c>
      <c r="E746" s="16">
        <f>IFERROR(__xludf.DUMMYFUNCTION("""COMPUTED_VALUE"""),73.0)</f>
        <v>73</v>
      </c>
      <c r="F746" s="19" t="str">
        <f>IFERROR(__xludf.DUMMYFUNCTION("""COMPUTED_VALUE"""),"BLUE")</f>
        <v>BLUE</v>
      </c>
      <c r="G746" s="20" t="str">
        <f>IFERROR(__xludf.DUMMYFUNCTION("""COMPUTED_VALUE"""),"Uncle Sams Cider (04/04/2023)")</f>
        <v>Uncle Sams Cider (04/04/2023)</v>
      </c>
      <c r="H746" s="19"/>
    </row>
    <row r="747">
      <c r="A747" s="9"/>
      <c r="B747" s="15"/>
      <c r="C747" s="9">
        <f>IFERROR(__xludf.DUMMYFUNCTION("""COMPUTED_VALUE"""),45136.8223027083)</f>
        <v>45136.8223</v>
      </c>
      <c r="D747" s="15">
        <f>IFERROR(__xludf.DUMMYFUNCTION("""COMPUTED_VALUE"""),0.998)</f>
        <v>0.998</v>
      </c>
      <c r="E747" s="16">
        <f>IFERROR(__xludf.DUMMYFUNCTION("""COMPUTED_VALUE"""),73.0)</f>
        <v>73</v>
      </c>
      <c r="F747" s="19" t="str">
        <f>IFERROR(__xludf.DUMMYFUNCTION("""COMPUTED_VALUE"""),"BLUE")</f>
        <v>BLUE</v>
      </c>
      <c r="G747" s="20" t="str">
        <f>IFERROR(__xludf.DUMMYFUNCTION("""COMPUTED_VALUE"""),"Uncle Sams Cider (04/04/2023)")</f>
        <v>Uncle Sams Cider (04/04/2023)</v>
      </c>
      <c r="H747" s="19"/>
    </row>
    <row r="748">
      <c r="A748" s="9"/>
      <c r="B748" s="15"/>
      <c r="C748" s="9">
        <f>IFERROR(__xludf.DUMMYFUNCTION("""COMPUTED_VALUE"""),45136.8118810879)</f>
        <v>45136.81188</v>
      </c>
      <c r="D748" s="15">
        <f>IFERROR(__xludf.DUMMYFUNCTION("""COMPUTED_VALUE"""),0.998)</f>
        <v>0.998</v>
      </c>
      <c r="E748" s="16">
        <f>IFERROR(__xludf.DUMMYFUNCTION("""COMPUTED_VALUE"""),73.0)</f>
        <v>73</v>
      </c>
      <c r="F748" s="19" t="str">
        <f>IFERROR(__xludf.DUMMYFUNCTION("""COMPUTED_VALUE"""),"BLUE")</f>
        <v>BLUE</v>
      </c>
      <c r="G748" s="20" t="str">
        <f>IFERROR(__xludf.DUMMYFUNCTION("""COMPUTED_VALUE"""),"Uncle Sams Cider (04/04/2023)")</f>
        <v>Uncle Sams Cider (04/04/2023)</v>
      </c>
      <c r="H748" s="19"/>
    </row>
    <row r="749">
      <c r="A749" s="9"/>
      <c r="B749" s="15"/>
      <c r="C749" s="9">
        <f>IFERROR(__xludf.DUMMYFUNCTION("""COMPUTED_VALUE"""),45136.8014603935)</f>
        <v>45136.80146</v>
      </c>
      <c r="D749" s="15">
        <f>IFERROR(__xludf.DUMMYFUNCTION("""COMPUTED_VALUE"""),0.998)</f>
        <v>0.998</v>
      </c>
      <c r="E749" s="16">
        <f>IFERROR(__xludf.DUMMYFUNCTION("""COMPUTED_VALUE"""),73.0)</f>
        <v>73</v>
      </c>
      <c r="F749" s="19" t="str">
        <f>IFERROR(__xludf.DUMMYFUNCTION("""COMPUTED_VALUE"""),"BLUE")</f>
        <v>BLUE</v>
      </c>
      <c r="G749" s="20" t="str">
        <f>IFERROR(__xludf.DUMMYFUNCTION("""COMPUTED_VALUE"""),"Uncle Sams Cider (04/04/2023)")</f>
        <v>Uncle Sams Cider (04/04/2023)</v>
      </c>
      <c r="H749" s="19"/>
    </row>
    <row r="750">
      <c r="A750" s="9"/>
      <c r="B750" s="15"/>
      <c r="C750" s="9">
        <f>IFERROR(__xludf.DUMMYFUNCTION("""COMPUTED_VALUE"""),45136.791040625)</f>
        <v>45136.79104</v>
      </c>
      <c r="D750" s="15">
        <f>IFERROR(__xludf.DUMMYFUNCTION("""COMPUTED_VALUE"""),0.998)</f>
        <v>0.998</v>
      </c>
      <c r="E750" s="16">
        <f>IFERROR(__xludf.DUMMYFUNCTION("""COMPUTED_VALUE"""),73.0)</f>
        <v>73</v>
      </c>
      <c r="F750" s="19" t="str">
        <f>IFERROR(__xludf.DUMMYFUNCTION("""COMPUTED_VALUE"""),"BLUE")</f>
        <v>BLUE</v>
      </c>
      <c r="G750" s="20" t="str">
        <f>IFERROR(__xludf.DUMMYFUNCTION("""COMPUTED_VALUE"""),"Uncle Sams Cider (04/04/2023)")</f>
        <v>Uncle Sams Cider (04/04/2023)</v>
      </c>
      <c r="H750" s="19"/>
    </row>
    <row r="751">
      <c r="A751" s="9"/>
      <c r="B751" s="15"/>
      <c r="C751" s="9">
        <f>IFERROR(__xludf.DUMMYFUNCTION("""COMPUTED_VALUE"""),45136.7805960301)</f>
        <v>45136.7806</v>
      </c>
      <c r="D751" s="15">
        <f>IFERROR(__xludf.DUMMYFUNCTION("""COMPUTED_VALUE"""),0.999)</f>
        <v>0.999</v>
      </c>
      <c r="E751" s="16">
        <f>IFERROR(__xludf.DUMMYFUNCTION("""COMPUTED_VALUE"""),73.0)</f>
        <v>73</v>
      </c>
      <c r="F751" s="19" t="str">
        <f>IFERROR(__xludf.DUMMYFUNCTION("""COMPUTED_VALUE"""),"BLUE")</f>
        <v>BLUE</v>
      </c>
      <c r="G751" s="20" t="str">
        <f>IFERROR(__xludf.DUMMYFUNCTION("""COMPUTED_VALUE"""),"Uncle Sams Cider (04/04/2023)")</f>
        <v>Uncle Sams Cider (04/04/2023)</v>
      </c>
      <c r="H751" s="19"/>
    </row>
    <row r="752">
      <c r="A752" s="9"/>
      <c r="B752" s="15"/>
      <c r="C752" s="9">
        <f>IFERROR(__xludf.DUMMYFUNCTION("""COMPUTED_VALUE"""),45136.7701749652)</f>
        <v>45136.77017</v>
      </c>
      <c r="D752" s="15">
        <f>IFERROR(__xludf.DUMMYFUNCTION("""COMPUTED_VALUE"""),0.998)</f>
        <v>0.998</v>
      </c>
      <c r="E752" s="16">
        <f>IFERROR(__xludf.DUMMYFUNCTION("""COMPUTED_VALUE"""),73.0)</f>
        <v>73</v>
      </c>
      <c r="F752" s="19" t="str">
        <f>IFERROR(__xludf.DUMMYFUNCTION("""COMPUTED_VALUE"""),"BLUE")</f>
        <v>BLUE</v>
      </c>
      <c r="G752" s="20" t="str">
        <f>IFERROR(__xludf.DUMMYFUNCTION("""COMPUTED_VALUE"""),"Uncle Sams Cider (04/04/2023)")</f>
        <v>Uncle Sams Cider (04/04/2023)</v>
      </c>
      <c r="H752" s="19"/>
    </row>
    <row r="753">
      <c r="A753" s="9"/>
      <c r="B753" s="15"/>
      <c r="C753" s="9">
        <f>IFERROR(__xludf.DUMMYFUNCTION("""COMPUTED_VALUE"""),45136.7597435185)</f>
        <v>45136.75974</v>
      </c>
      <c r="D753" s="15">
        <f>IFERROR(__xludf.DUMMYFUNCTION("""COMPUTED_VALUE"""),0.998)</f>
        <v>0.998</v>
      </c>
      <c r="E753" s="16">
        <f>IFERROR(__xludf.DUMMYFUNCTION("""COMPUTED_VALUE"""),73.0)</f>
        <v>73</v>
      </c>
      <c r="F753" s="19" t="str">
        <f>IFERROR(__xludf.DUMMYFUNCTION("""COMPUTED_VALUE"""),"BLUE")</f>
        <v>BLUE</v>
      </c>
      <c r="G753" s="20" t="str">
        <f>IFERROR(__xludf.DUMMYFUNCTION("""COMPUTED_VALUE"""),"Uncle Sams Cider (04/04/2023)")</f>
        <v>Uncle Sams Cider (04/04/2023)</v>
      </c>
      <c r="H753" s="19"/>
    </row>
    <row r="754">
      <c r="A754" s="9"/>
      <c r="B754" s="15"/>
      <c r="C754" s="9">
        <f>IFERROR(__xludf.DUMMYFUNCTION("""COMPUTED_VALUE"""),45136.7493106944)</f>
        <v>45136.74931</v>
      </c>
      <c r="D754" s="15">
        <f>IFERROR(__xludf.DUMMYFUNCTION("""COMPUTED_VALUE"""),0.998)</f>
        <v>0.998</v>
      </c>
      <c r="E754" s="16">
        <f>IFERROR(__xludf.DUMMYFUNCTION("""COMPUTED_VALUE"""),73.0)</f>
        <v>73</v>
      </c>
      <c r="F754" s="19" t="str">
        <f>IFERROR(__xludf.DUMMYFUNCTION("""COMPUTED_VALUE"""),"BLUE")</f>
        <v>BLUE</v>
      </c>
      <c r="G754" s="20" t="str">
        <f>IFERROR(__xludf.DUMMYFUNCTION("""COMPUTED_VALUE"""),"Uncle Sams Cider (04/04/2023)")</f>
        <v>Uncle Sams Cider (04/04/2023)</v>
      </c>
      <c r="H754" s="19"/>
    </row>
    <row r="755">
      <c r="A755" s="9"/>
      <c r="B755" s="15"/>
      <c r="C755" s="9">
        <f>IFERROR(__xludf.DUMMYFUNCTION("""COMPUTED_VALUE"""),45136.7388902893)</f>
        <v>45136.73889</v>
      </c>
      <c r="D755" s="15">
        <f>IFERROR(__xludf.DUMMYFUNCTION("""COMPUTED_VALUE"""),0.998)</f>
        <v>0.998</v>
      </c>
      <c r="E755" s="16">
        <f>IFERROR(__xludf.DUMMYFUNCTION("""COMPUTED_VALUE"""),73.0)</f>
        <v>73</v>
      </c>
      <c r="F755" s="19" t="str">
        <f>IFERROR(__xludf.DUMMYFUNCTION("""COMPUTED_VALUE"""),"BLUE")</f>
        <v>BLUE</v>
      </c>
      <c r="G755" s="20" t="str">
        <f>IFERROR(__xludf.DUMMYFUNCTION("""COMPUTED_VALUE"""),"Uncle Sams Cider (04/04/2023)")</f>
        <v>Uncle Sams Cider (04/04/2023)</v>
      </c>
      <c r="H755" s="19"/>
    </row>
    <row r="756">
      <c r="A756" s="9"/>
      <c r="B756" s="15"/>
      <c r="C756" s="9">
        <f>IFERROR(__xludf.DUMMYFUNCTION("""COMPUTED_VALUE"""),45136.7284686689)</f>
        <v>45136.72847</v>
      </c>
      <c r="D756" s="15">
        <f>IFERROR(__xludf.DUMMYFUNCTION("""COMPUTED_VALUE"""),0.998)</f>
        <v>0.998</v>
      </c>
      <c r="E756" s="16">
        <f>IFERROR(__xludf.DUMMYFUNCTION("""COMPUTED_VALUE"""),73.0)</f>
        <v>73</v>
      </c>
      <c r="F756" s="19" t="str">
        <f>IFERROR(__xludf.DUMMYFUNCTION("""COMPUTED_VALUE"""),"BLUE")</f>
        <v>BLUE</v>
      </c>
      <c r="G756" s="20" t="str">
        <f>IFERROR(__xludf.DUMMYFUNCTION("""COMPUTED_VALUE"""),"Uncle Sams Cider (04/04/2023)")</f>
        <v>Uncle Sams Cider (04/04/2023)</v>
      </c>
      <c r="H756" s="19"/>
    </row>
    <row r="757">
      <c r="A757" s="9"/>
      <c r="B757" s="15"/>
      <c r="C757" s="9">
        <f>IFERROR(__xludf.DUMMYFUNCTION("""COMPUTED_VALUE"""),45136.7076258333)</f>
        <v>45136.70763</v>
      </c>
      <c r="D757" s="15">
        <f>IFERROR(__xludf.DUMMYFUNCTION("""COMPUTED_VALUE"""),0.998)</f>
        <v>0.998</v>
      </c>
      <c r="E757" s="16">
        <f>IFERROR(__xludf.DUMMYFUNCTION("""COMPUTED_VALUE"""),73.0)</f>
        <v>73</v>
      </c>
      <c r="F757" s="19" t="str">
        <f>IFERROR(__xludf.DUMMYFUNCTION("""COMPUTED_VALUE"""),"BLUE")</f>
        <v>BLUE</v>
      </c>
      <c r="G757" s="20" t="str">
        <f>IFERROR(__xludf.DUMMYFUNCTION("""COMPUTED_VALUE"""),"Uncle Sams Cider (04/04/2023)")</f>
        <v>Uncle Sams Cider (04/04/2023)</v>
      </c>
      <c r="H757" s="19"/>
    </row>
    <row r="758">
      <c r="A758" s="9"/>
      <c r="B758" s="15"/>
      <c r="C758" s="9">
        <f>IFERROR(__xludf.DUMMYFUNCTION("""COMPUTED_VALUE"""),45136.6971820023)</f>
        <v>45136.69718</v>
      </c>
      <c r="D758" s="15">
        <f>IFERROR(__xludf.DUMMYFUNCTION("""COMPUTED_VALUE"""),0.998)</f>
        <v>0.998</v>
      </c>
      <c r="E758" s="16">
        <f>IFERROR(__xludf.DUMMYFUNCTION("""COMPUTED_VALUE"""),73.0)</f>
        <v>73</v>
      </c>
      <c r="F758" s="19" t="str">
        <f>IFERROR(__xludf.DUMMYFUNCTION("""COMPUTED_VALUE"""),"BLUE")</f>
        <v>BLUE</v>
      </c>
      <c r="G758" s="20" t="str">
        <f>IFERROR(__xludf.DUMMYFUNCTION("""COMPUTED_VALUE"""),"Uncle Sams Cider (04/04/2023)")</f>
        <v>Uncle Sams Cider (04/04/2023)</v>
      </c>
      <c r="H758" s="19"/>
    </row>
    <row r="759">
      <c r="A759" s="9"/>
      <c r="B759" s="15"/>
      <c r="C759" s="9">
        <f>IFERROR(__xludf.DUMMYFUNCTION("""COMPUTED_VALUE"""),45136.6867476736)</f>
        <v>45136.68675</v>
      </c>
      <c r="D759" s="15">
        <f>IFERROR(__xludf.DUMMYFUNCTION("""COMPUTED_VALUE"""),0.998)</f>
        <v>0.998</v>
      </c>
      <c r="E759" s="16">
        <f>IFERROR(__xludf.DUMMYFUNCTION("""COMPUTED_VALUE"""),73.0)</f>
        <v>73</v>
      </c>
      <c r="F759" s="19" t="str">
        <f>IFERROR(__xludf.DUMMYFUNCTION("""COMPUTED_VALUE"""),"BLUE")</f>
        <v>BLUE</v>
      </c>
      <c r="G759" s="20" t="str">
        <f>IFERROR(__xludf.DUMMYFUNCTION("""COMPUTED_VALUE"""),"Uncle Sams Cider (04/04/2023)")</f>
        <v>Uncle Sams Cider (04/04/2023)</v>
      </c>
      <c r="H759" s="19"/>
    </row>
    <row r="760">
      <c r="A760" s="9"/>
      <c r="B760" s="15"/>
      <c r="C760" s="9">
        <f>IFERROR(__xludf.DUMMYFUNCTION("""COMPUTED_VALUE"""),45136.6763269675)</f>
        <v>45136.67633</v>
      </c>
      <c r="D760" s="15">
        <f>IFERROR(__xludf.DUMMYFUNCTION("""COMPUTED_VALUE"""),0.998)</f>
        <v>0.998</v>
      </c>
      <c r="E760" s="16">
        <f>IFERROR(__xludf.DUMMYFUNCTION("""COMPUTED_VALUE"""),73.0)</f>
        <v>73</v>
      </c>
      <c r="F760" s="19" t="str">
        <f>IFERROR(__xludf.DUMMYFUNCTION("""COMPUTED_VALUE"""),"BLUE")</f>
        <v>BLUE</v>
      </c>
      <c r="G760" s="20" t="str">
        <f>IFERROR(__xludf.DUMMYFUNCTION("""COMPUTED_VALUE"""),"Uncle Sams Cider (04/04/2023)")</f>
        <v>Uncle Sams Cider (04/04/2023)</v>
      </c>
      <c r="H760" s="19"/>
    </row>
    <row r="761">
      <c r="A761" s="9"/>
      <c r="B761" s="15"/>
      <c r="C761" s="9">
        <f>IFERROR(__xludf.DUMMYFUNCTION("""COMPUTED_VALUE"""),45136.665908206)</f>
        <v>45136.66591</v>
      </c>
      <c r="D761" s="15">
        <f>IFERROR(__xludf.DUMMYFUNCTION("""COMPUTED_VALUE"""),0.998)</f>
        <v>0.998</v>
      </c>
      <c r="E761" s="16">
        <f>IFERROR(__xludf.DUMMYFUNCTION("""COMPUTED_VALUE"""),73.0)</f>
        <v>73</v>
      </c>
      <c r="F761" s="19" t="str">
        <f>IFERROR(__xludf.DUMMYFUNCTION("""COMPUTED_VALUE"""),"BLUE")</f>
        <v>BLUE</v>
      </c>
      <c r="G761" s="20" t="str">
        <f>IFERROR(__xludf.DUMMYFUNCTION("""COMPUTED_VALUE"""),"Uncle Sams Cider (04/04/2023)")</f>
        <v>Uncle Sams Cider (04/04/2023)</v>
      </c>
      <c r="H761" s="19"/>
    </row>
    <row r="762">
      <c r="A762" s="9"/>
      <c r="B762" s="15"/>
      <c r="C762" s="9">
        <f>IFERROR(__xludf.DUMMYFUNCTION("""COMPUTED_VALUE"""),45136.6554875926)</f>
        <v>45136.65549</v>
      </c>
      <c r="D762" s="15">
        <f>IFERROR(__xludf.DUMMYFUNCTION("""COMPUTED_VALUE"""),0.998)</f>
        <v>0.998</v>
      </c>
      <c r="E762" s="16">
        <f>IFERROR(__xludf.DUMMYFUNCTION("""COMPUTED_VALUE"""),73.0)</f>
        <v>73</v>
      </c>
      <c r="F762" s="19" t="str">
        <f>IFERROR(__xludf.DUMMYFUNCTION("""COMPUTED_VALUE"""),"BLUE")</f>
        <v>BLUE</v>
      </c>
      <c r="G762" s="20" t="str">
        <f>IFERROR(__xludf.DUMMYFUNCTION("""COMPUTED_VALUE"""),"Uncle Sams Cider (04/04/2023)")</f>
        <v>Uncle Sams Cider (04/04/2023)</v>
      </c>
      <c r="H762" s="19"/>
    </row>
    <row r="763">
      <c r="A763" s="9"/>
      <c r="B763" s="15"/>
      <c r="C763" s="9">
        <f>IFERROR(__xludf.DUMMYFUNCTION("""COMPUTED_VALUE"""),45136.6450543402)</f>
        <v>45136.64505</v>
      </c>
      <c r="D763" s="15">
        <f>IFERROR(__xludf.DUMMYFUNCTION("""COMPUTED_VALUE"""),0.998)</f>
        <v>0.998</v>
      </c>
      <c r="E763" s="16">
        <f>IFERROR(__xludf.DUMMYFUNCTION("""COMPUTED_VALUE"""),73.0)</f>
        <v>73</v>
      </c>
      <c r="F763" s="19" t="str">
        <f>IFERROR(__xludf.DUMMYFUNCTION("""COMPUTED_VALUE"""),"BLUE")</f>
        <v>BLUE</v>
      </c>
      <c r="G763" s="20" t="str">
        <f>IFERROR(__xludf.DUMMYFUNCTION("""COMPUTED_VALUE"""),"Uncle Sams Cider (04/04/2023)")</f>
        <v>Uncle Sams Cider (04/04/2023)</v>
      </c>
      <c r="H763" s="19"/>
    </row>
    <row r="764">
      <c r="A764" s="9"/>
      <c r="B764" s="15"/>
      <c r="C764" s="9">
        <f>IFERROR(__xludf.DUMMYFUNCTION("""COMPUTED_VALUE"""),45136.6346338773)</f>
        <v>45136.63463</v>
      </c>
      <c r="D764" s="15">
        <f>IFERROR(__xludf.DUMMYFUNCTION("""COMPUTED_VALUE"""),0.999)</f>
        <v>0.999</v>
      </c>
      <c r="E764" s="16">
        <f>IFERROR(__xludf.DUMMYFUNCTION("""COMPUTED_VALUE"""),73.0)</f>
        <v>73</v>
      </c>
      <c r="F764" s="19" t="str">
        <f>IFERROR(__xludf.DUMMYFUNCTION("""COMPUTED_VALUE"""),"BLUE")</f>
        <v>BLUE</v>
      </c>
      <c r="G764" s="20" t="str">
        <f>IFERROR(__xludf.DUMMYFUNCTION("""COMPUTED_VALUE"""),"Uncle Sams Cider (04/04/2023)")</f>
        <v>Uncle Sams Cider (04/04/2023)</v>
      </c>
      <c r="H764" s="19"/>
    </row>
    <row r="765">
      <c r="A765" s="9"/>
      <c r="B765" s="15"/>
      <c r="C765" s="9">
        <f>IFERROR(__xludf.DUMMYFUNCTION("""COMPUTED_VALUE"""),45136.6242105092)</f>
        <v>45136.62421</v>
      </c>
      <c r="D765" s="15">
        <f>IFERROR(__xludf.DUMMYFUNCTION("""COMPUTED_VALUE"""),0.999)</f>
        <v>0.999</v>
      </c>
      <c r="E765" s="16">
        <f>IFERROR(__xludf.DUMMYFUNCTION("""COMPUTED_VALUE"""),73.0)</f>
        <v>73</v>
      </c>
      <c r="F765" s="19" t="str">
        <f>IFERROR(__xludf.DUMMYFUNCTION("""COMPUTED_VALUE"""),"BLUE")</f>
        <v>BLUE</v>
      </c>
      <c r="G765" s="20" t="str">
        <f>IFERROR(__xludf.DUMMYFUNCTION("""COMPUTED_VALUE"""),"Uncle Sams Cider (04/04/2023)")</f>
        <v>Uncle Sams Cider (04/04/2023)</v>
      </c>
      <c r="H765" s="19"/>
    </row>
    <row r="766">
      <c r="A766" s="9"/>
      <c r="B766" s="15"/>
      <c r="C766" s="9">
        <f>IFERROR(__xludf.DUMMYFUNCTION("""COMPUTED_VALUE"""),45136.6137771759)</f>
        <v>45136.61378</v>
      </c>
      <c r="D766" s="15">
        <f>IFERROR(__xludf.DUMMYFUNCTION("""COMPUTED_VALUE"""),0.998)</f>
        <v>0.998</v>
      </c>
      <c r="E766" s="16">
        <f>IFERROR(__xludf.DUMMYFUNCTION("""COMPUTED_VALUE"""),73.0)</f>
        <v>73</v>
      </c>
      <c r="F766" s="19" t="str">
        <f>IFERROR(__xludf.DUMMYFUNCTION("""COMPUTED_VALUE"""),"BLUE")</f>
        <v>BLUE</v>
      </c>
      <c r="G766" s="20" t="str">
        <f>IFERROR(__xludf.DUMMYFUNCTION("""COMPUTED_VALUE"""),"Uncle Sams Cider (04/04/2023)")</f>
        <v>Uncle Sams Cider (04/04/2023)</v>
      </c>
      <c r="H766" s="19"/>
    </row>
    <row r="767">
      <c r="A767" s="9"/>
      <c r="B767" s="15"/>
      <c r="C767" s="9">
        <f>IFERROR(__xludf.DUMMYFUNCTION("""COMPUTED_VALUE"""),45136.603355162)</f>
        <v>45136.60336</v>
      </c>
      <c r="D767" s="15">
        <f>IFERROR(__xludf.DUMMYFUNCTION("""COMPUTED_VALUE"""),0.998)</f>
        <v>0.998</v>
      </c>
      <c r="E767" s="16">
        <f>IFERROR(__xludf.DUMMYFUNCTION("""COMPUTED_VALUE"""),73.0)</f>
        <v>73</v>
      </c>
      <c r="F767" s="19" t="str">
        <f>IFERROR(__xludf.DUMMYFUNCTION("""COMPUTED_VALUE"""),"BLUE")</f>
        <v>BLUE</v>
      </c>
      <c r="G767" s="20" t="str">
        <f>IFERROR(__xludf.DUMMYFUNCTION("""COMPUTED_VALUE"""),"Uncle Sams Cider (04/04/2023)")</f>
        <v>Uncle Sams Cider (04/04/2023)</v>
      </c>
      <c r="H767" s="19"/>
    </row>
    <row r="768">
      <c r="A768" s="9"/>
      <c r="B768" s="15"/>
      <c r="C768" s="9">
        <f>IFERROR(__xludf.DUMMYFUNCTION("""COMPUTED_VALUE"""),45136.5929332291)</f>
        <v>45136.59293</v>
      </c>
      <c r="D768" s="15">
        <f>IFERROR(__xludf.DUMMYFUNCTION("""COMPUTED_VALUE"""),0.998)</f>
        <v>0.998</v>
      </c>
      <c r="E768" s="16">
        <f>IFERROR(__xludf.DUMMYFUNCTION("""COMPUTED_VALUE"""),73.0)</f>
        <v>73</v>
      </c>
      <c r="F768" s="19" t="str">
        <f>IFERROR(__xludf.DUMMYFUNCTION("""COMPUTED_VALUE"""),"BLUE")</f>
        <v>BLUE</v>
      </c>
      <c r="G768" s="20" t="str">
        <f>IFERROR(__xludf.DUMMYFUNCTION("""COMPUTED_VALUE"""),"Uncle Sams Cider (04/04/2023)")</f>
        <v>Uncle Sams Cider (04/04/2023)</v>
      </c>
      <c r="H768" s="19"/>
    </row>
    <row r="769">
      <c r="A769" s="9"/>
      <c r="B769" s="15"/>
      <c r="C769" s="9">
        <f>IFERROR(__xludf.DUMMYFUNCTION("""COMPUTED_VALUE"""),45136.5825139467)</f>
        <v>45136.58251</v>
      </c>
      <c r="D769" s="15">
        <f>IFERROR(__xludf.DUMMYFUNCTION("""COMPUTED_VALUE"""),0.998)</f>
        <v>0.998</v>
      </c>
      <c r="E769" s="16">
        <f>IFERROR(__xludf.DUMMYFUNCTION("""COMPUTED_VALUE"""),73.0)</f>
        <v>73</v>
      </c>
      <c r="F769" s="19" t="str">
        <f>IFERROR(__xludf.DUMMYFUNCTION("""COMPUTED_VALUE"""),"BLUE")</f>
        <v>BLUE</v>
      </c>
      <c r="G769" s="20" t="str">
        <f>IFERROR(__xludf.DUMMYFUNCTION("""COMPUTED_VALUE"""),"Uncle Sams Cider (04/04/2023)")</f>
        <v>Uncle Sams Cider (04/04/2023)</v>
      </c>
      <c r="H769" s="19"/>
    </row>
    <row r="770">
      <c r="A770" s="9"/>
      <c r="B770" s="15"/>
      <c r="C770" s="9">
        <f>IFERROR(__xludf.DUMMYFUNCTION("""COMPUTED_VALUE"""),45136.5720916087)</f>
        <v>45136.57209</v>
      </c>
      <c r="D770" s="15">
        <f>IFERROR(__xludf.DUMMYFUNCTION("""COMPUTED_VALUE"""),0.998)</f>
        <v>0.998</v>
      </c>
      <c r="E770" s="16">
        <f>IFERROR(__xludf.DUMMYFUNCTION("""COMPUTED_VALUE"""),73.0)</f>
        <v>73</v>
      </c>
      <c r="F770" s="19" t="str">
        <f>IFERROR(__xludf.DUMMYFUNCTION("""COMPUTED_VALUE"""),"BLUE")</f>
        <v>BLUE</v>
      </c>
      <c r="G770" s="20" t="str">
        <f>IFERROR(__xludf.DUMMYFUNCTION("""COMPUTED_VALUE"""),"Uncle Sams Cider (04/04/2023)")</f>
        <v>Uncle Sams Cider (04/04/2023)</v>
      </c>
      <c r="H770" s="19"/>
    </row>
    <row r="771">
      <c r="A771" s="9"/>
      <c r="B771" s="15"/>
      <c r="C771" s="9">
        <f>IFERROR(__xludf.DUMMYFUNCTION("""COMPUTED_VALUE"""),45136.5616704629)</f>
        <v>45136.56167</v>
      </c>
      <c r="D771" s="15">
        <f>IFERROR(__xludf.DUMMYFUNCTION("""COMPUTED_VALUE"""),0.998)</f>
        <v>0.998</v>
      </c>
      <c r="E771" s="16">
        <f>IFERROR(__xludf.DUMMYFUNCTION("""COMPUTED_VALUE"""),73.0)</f>
        <v>73</v>
      </c>
      <c r="F771" s="19" t="str">
        <f>IFERROR(__xludf.DUMMYFUNCTION("""COMPUTED_VALUE"""),"BLUE")</f>
        <v>BLUE</v>
      </c>
      <c r="G771" s="20" t="str">
        <f>IFERROR(__xludf.DUMMYFUNCTION("""COMPUTED_VALUE"""),"Uncle Sams Cider (04/04/2023)")</f>
        <v>Uncle Sams Cider (04/04/2023)</v>
      </c>
      <c r="H771" s="19"/>
    </row>
    <row r="772">
      <c r="A772" s="9"/>
      <c r="B772" s="15"/>
      <c r="C772" s="9">
        <f>IFERROR(__xludf.DUMMYFUNCTION("""COMPUTED_VALUE"""),45136.5512371875)</f>
        <v>45136.55124</v>
      </c>
      <c r="D772" s="15">
        <f>IFERROR(__xludf.DUMMYFUNCTION("""COMPUTED_VALUE"""),0.998)</f>
        <v>0.998</v>
      </c>
      <c r="E772" s="16">
        <f>IFERROR(__xludf.DUMMYFUNCTION("""COMPUTED_VALUE"""),73.0)</f>
        <v>73</v>
      </c>
      <c r="F772" s="19" t="str">
        <f>IFERROR(__xludf.DUMMYFUNCTION("""COMPUTED_VALUE"""),"BLUE")</f>
        <v>BLUE</v>
      </c>
      <c r="G772" s="20" t="str">
        <f>IFERROR(__xludf.DUMMYFUNCTION("""COMPUTED_VALUE"""),"Uncle Sams Cider (04/04/2023)")</f>
        <v>Uncle Sams Cider (04/04/2023)</v>
      </c>
      <c r="H772" s="19"/>
    </row>
    <row r="773">
      <c r="A773" s="9"/>
      <c r="B773" s="15"/>
      <c r="C773" s="9">
        <f>IFERROR(__xludf.DUMMYFUNCTION("""COMPUTED_VALUE"""),45136.5408149884)</f>
        <v>45136.54081</v>
      </c>
      <c r="D773" s="15">
        <f>IFERROR(__xludf.DUMMYFUNCTION("""COMPUTED_VALUE"""),0.998)</f>
        <v>0.998</v>
      </c>
      <c r="E773" s="16">
        <f>IFERROR(__xludf.DUMMYFUNCTION("""COMPUTED_VALUE"""),73.0)</f>
        <v>73</v>
      </c>
      <c r="F773" s="19" t="str">
        <f>IFERROR(__xludf.DUMMYFUNCTION("""COMPUTED_VALUE"""),"BLUE")</f>
        <v>BLUE</v>
      </c>
      <c r="G773" s="20" t="str">
        <f>IFERROR(__xludf.DUMMYFUNCTION("""COMPUTED_VALUE"""),"Uncle Sams Cider (04/04/2023)")</f>
        <v>Uncle Sams Cider (04/04/2023)</v>
      </c>
      <c r="H773" s="19"/>
    </row>
    <row r="774">
      <c r="A774" s="9"/>
      <c r="B774" s="15"/>
      <c r="C774" s="9">
        <f>IFERROR(__xludf.DUMMYFUNCTION("""COMPUTED_VALUE"""),45136.5303929513)</f>
        <v>45136.53039</v>
      </c>
      <c r="D774" s="15">
        <f>IFERROR(__xludf.DUMMYFUNCTION("""COMPUTED_VALUE"""),0.998)</f>
        <v>0.998</v>
      </c>
      <c r="E774" s="16">
        <f>IFERROR(__xludf.DUMMYFUNCTION("""COMPUTED_VALUE"""),73.0)</f>
        <v>73</v>
      </c>
      <c r="F774" s="19" t="str">
        <f>IFERROR(__xludf.DUMMYFUNCTION("""COMPUTED_VALUE"""),"BLUE")</f>
        <v>BLUE</v>
      </c>
      <c r="G774" s="20" t="str">
        <f>IFERROR(__xludf.DUMMYFUNCTION("""COMPUTED_VALUE"""),"Uncle Sams Cider (04/04/2023)")</f>
        <v>Uncle Sams Cider (04/04/2023)</v>
      </c>
      <c r="H774" s="19"/>
    </row>
    <row r="775">
      <c r="A775" s="9"/>
      <c r="B775" s="15"/>
      <c r="C775" s="9">
        <f>IFERROR(__xludf.DUMMYFUNCTION("""COMPUTED_VALUE"""),45136.5199715972)</f>
        <v>45136.51997</v>
      </c>
      <c r="D775" s="15">
        <f>IFERROR(__xludf.DUMMYFUNCTION("""COMPUTED_VALUE"""),0.998)</f>
        <v>0.998</v>
      </c>
      <c r="E775" s="16">
        <f>IFERROR(__xludf.DUMMYFUNCTION("""COMPUTED_VALUE"""),73.0)</f>
        <v>73</v>
      </c>
      <c r="F775" s="19" t="str">
        <f>IFERROR(__xludf.DUMMYFUNCTION("""COMPUTED_VALUE"""),"BLUE")</f>
        <v>BLUE</v>
      </c>
      <c r="G775" s="20" t="str">
        <f>IFERROR(__xludf.DUMMYFUNCTION("""COMPUTED_VALUE"""),"Uncle Sams Cider (04/04/2023)")</f>
        <v>Uncle Sams Cider (04/04/2023)</v>
      </c>
      <c r="H775" s="19"/>
    </row>
    <row r="776">
      <c r="A776" s="9"/>
      <c r="B776" s="15"/>
      <c r="C776" s="9">
        <f>IFERROR(__xludf.DUMMYFUNCTION("""COMPUTED_VALUE"""),45136.5095382986)</f>
        <v>45136.50954</v>
      </c>
      <c r="D776" s="15">
        <f>IFERROR(__xludf.DUMMYFUNCTION("""COMPUTED_VALUE"""),0.998)</f>
        <v>0.998</v>
      </c>
      <c r="E776" s="16">
        <f>IFERROR(__xludf.DUMMYFUNCTION("""COMPUTED_VALUE"""),73.0)</f>
        <v>73</v>
      </c>
      <c r="F776" s="19" t="str">
        <f>IFERROR(__xludf.DUMMYFUNCTION("""COMPUTED_VALUE"""),"BLUE")</f>
        <v>BLUE</v>
      </c>
      <c r="G776" s="20" t="str">
        <f>IFERROR(__xludf.DUMMYFUNCTION("""COMPUTED_VALUE"""),"Uncle Sams Cider (04/04/2023)")</f>
        <v>Uncle Sams Cider (04/04/2023)</v>
      </c>
      <c r="H776" s="19"/>
    </row>
    <row r="777">
      <c r="A777" s="9"/>
      <c r="B777" s="15"/>
      <c r="C777" s="9">
        <f>IFERROR(__xludf.DUMMYFUNCTION("""COMPUTED_VALUE"""),45136.4990948611)</f>
        <v>45136.49909</v>
      </c>
      <c r="D777" s="15">
        <f>IFERROR(__xludf.DUMMYFUNCTION("""COMPUTED_VALUE"""),0.998)</f>
        <v>0.998</v>
      </c>
      <c r="E777" s="16">
        <f>IFERROR(__xludf.DUMMYFUNCTION("""COMPUTED_VALUE"""),73.0)</f>
        <v>73</v>
      </c>
      <c r="F777" s="19" t="str">
        <f>IFERROR(__xludf.DUMMYFUNCTION("""COMPUTED_VALUE"""),"BLUE")</f>
        <v>BLUE</v>
      </c>
      <c r="G777" s="20" t="str">
        <f>IFERROR(__xludf.DUMMYFUNCTION("""COMPUTED_VALUE"""),"Uncle Sams Cider (04/04/2023)")</f>
        <v>Uncle Sams Cider (04/04/2023)</v>
      </c>
      <c r="H777" s="19"/>
    </row>
    <row r="778">
      <c r="A778" s="9"/>
      <c r="B778" s="15"/>
      <c r="C778" s="9">
        <f>IFERROR(__xludf.DUMMYFUNCTION("""COMPUTED_VALUE"""),45136.4886726504)</f>
        <v>45136.48867</v>
      </c>
      <c r="D778" s="15">
        <f>IFERROR(__xludf.DUMMYFUNCTION("""COMPUTED_VALUE"""),0.998)</f>
        <v>0.998</v>
      </c>
      <c r="E778" s="16">
        <f>IFERROR(__xludf.DUMMYFUNCTION("""COMPUTED_VALUE"""),73.0)</f>
        <v>73</v>
      </c>
      <c r="F778" s="19" t="str">
        <f>IFERROR(__xludf.DUMMYFUNCTION("""COMPUTED_VALUE"""),"BLUE")</f>
        <v>BLUE</v>
      </c>
      <c r="G778" s="20" t="str">
        <f>IFERROR(__xludf.DUMMYFUNCTION("""COMPUTED_VALUE"""),"Uncle Sams Cider (04/04/2023)")</f>
        <v>Uncle Sams Cider (04/04/2023)</v>
      </c>
      <c r="H778" s="19"/>
    </row>
    <row r="779">
      <c r="A779" s="9"/>
      <c r="B779" s="15"/>
      <c r="C779" s="9">
        <f>IFERROR(__xludf.DUMMYFUNCTION("""COMPUTED_VALUE"""),45136.4782523958)</f>
        <v>45136.47825</v>
      </c>
      <c r="D779" s="15">
        <f>IFERROR(__xludf.DUMMYFUNCTION("""COMPUTED_VALUE"""),0.999)</f>
        <v>0.999</v>
      </c>
      <c r="E779" s="16">
        <f>IFERROR(__xludf.DUMMYFUNCTION("""COMPUTED_VALUE"""),73.0)</f>
        <v>73</v>
      </c>
      <c r="F779" s="19" t="str">
        <f>IFERROR(__xludf.DUMMYFUNCTION("""COMPUTED_VALUE"""),"BLUE")</f>
        <v>BLUE</v>
      </c>
      <c r="G779" s="20" t="str">
        <f>IFERROR(__xludf.DUMMYFUNCTION("""COMPUTED_VALUE"""),"Uncle Sams Cider (04/04/2023)")</f>
        <v>Uncle Sams Cider (04/04/2023)</v>
      </c>
      <c r="H779" s="19"/>
    </row>
    <row r="780">
      <c r="A780" s="9"/>
      <c r="B780" s="15"/>
      <c r="C780" s="9">
        <f>IFERROR(__xludf.DUMMYFUNCTION("""COMPUTED_VALUE"""),45136.4678314814)</f>
        <v>45136.46783</v>
      </c>
      <c r="D780" s="15">
        <f>IFERROR(__xludf.DUMMYFUNCTION("""COMPUTED_VALUE"""),0.998)</f>
        <v>0.998</v>
      </c>
      <c r="E780" s="16">
        <f>IFERROR(__xludf.DUMMYFUNCTION("""COMPUTED_VALUE"""),73.0)</f>
        <v>73</v>
      </c>
      <c r="F780" s="19" t="str">
        <f>IFERROR(__xludf.DUMMYFUNCTION("""COMPUTED_VALUE"""),"BLUE")</f>
        <v>BLUE</v>
      </c>
      <c r="G780" s="20" t="str">
        <f>IFERROR(__xludf.DUMMYFUNCTION("""COMPUTED_VALUE"""),"Uncle Sams Cider (04/04/2023)")</f>
        <v>Uncle Sams Cider (04/04/2023)</v>
      </c>
      <c r="H780" s="19"/>
    </row>
    <row r="781">
      <c r="A781" s="9"/>
      <c r="B781" s="15"/>
      <c r="C781" s="9">
        <f>IFERROR(__xludf.DUMMYFUNCTION("""COMPUTED_VALUE"""),45136.4573623842)</f>
        <v>45136.45736</v>
      </c>
      <c r="D781" s="15">
        <f>IFERROR(__xludf.DUMMYFUNCTION("""COMPUTED_VALUE"""),0.998)</f>
        <v>0.998</v>
      </c>
      <c r="E781" s="16">
        <f>IFERROR(__xludf.DUMMYFUNCTION("""COMPUTED_VALUE"""),73.0)</f>
        <v>73</v>
      </c>
      <c r="F781" s="19" t="str">
        <f>IFERROR(__xludf.DUMMYFUNCTION("""COMPUTED_VALUE"""),"BLUE")</f>
        <v>BLUE</v>
      </c>
      <c r="G781" s="20" t="str">
        <f>IFERROR(__xludf.DUMMYFUNCTION("""COMPUTED_VALUE"""),"Uncle Sams Cider (04/04/2023)")</f>
        <v>Uncle Sams Cider (04/04/2023)</v>
      </c>
      <c r="H781" s="19"/>
    </row>
    <row r="782">
      <c r="A782" s="9"/>
      <c r="B782" s="15"/>
      <c r="C782" s="9">
        <f>IFERROR(__xludf.DUMMYFUNCTION("""COMPUTED_VALUE"""),45136.4469172453)</f>
        <v>45136.44692</v>
      </c>
      <c r="D782" s="15">
        <f>IFERROR(__xludf.DUMMYFUNCTION("""COMPUTED_VALUE"""),0.998)</f>
        <v>0.998</v>
      </c>
      <c r="E782" s="16">
        <f>IFERROR(__xludf.DUMMYFUNCTION("""COMPUTED_VALUE"""),73.0)</f>
        <v>73</v>
      </c>
      <c r="F782" s="19" t="str">
        <f>IFERROR(__xludf.DUMMYFUNCTION("""COMPUTED_VALUE"""),"BLUE")</f>
        <v>BLUE</v>
      </c>
      <c r="G782" s="20" t="str">
        <f>IFERROR(__xludf.DUMMYFUNCTION("""COMPUTED_VALUE"""),"Uncle Sams Cider (04/04/2023)")</f>
        <v>Uncle Sams Cider (04/04/2023)</v>
      </c>
      <c r="H782" s="19"/>
    </row>
    <row r="783">
      <c r="A783" s="9"/>
      <c r="B783" s="15"/>
      <c r="C783" s="9">
        <f>IFERROR(__xludf.DUMMYFUNCTION("""COMPUTED_VALUE"""),45136.4364957407)</f>
        <v>45136.4365</v>
      </c>
      <c r="D783" s="15">
        <f>IFERROR(__xludf.DUMMYFUNCTION("""COMPUTED_VALUE"""),0.998)</f>
        <v>0.998</v>
      </c>
      <c r="E783" s="16">
        <f>IFERROR(__xludf.DUMMYFUNCTION("""COMPUTED_VALUE"""),73.0)</f>
        <v>73</v>
      </c>
      <c r="F783" s="19" t="str">
        <f>IFERROR(__xludf.DUMMYFUNCTION("""COMPUTED_VALUE"""),"BLUE")</f>
        <v>BLUE</v>
      </c>
      <c r="G783" s="20" t="str">
        <f>IFERROR(__xludf.DUMMYFUNCTION("""COMPUTED_VALUE"""),"Uncle Sams Cider (04/04/2023)")</f>
        <v>Uncle Sams Cider (04/04/2023)</v>
      </c>
      <c r="H783" s="19"/>
    </row>
    <row r="784">
      <c r="A784" s="9"/>
      <c r="B784" s="15"/>
      <c r="C784" s="9">
        <f>IFERROR(__xludf.DUMMYFUNCTION("""COMPUTED_VALUE"""),45136.4260761458)</f>
        <v>45136.42608</v>
      </c>
      <c r="D784" s="15">
        <f>IFERROR(__xludf.DUMMYFUNCTION("""COMPUTED_VALUE"""),0.998)</f>
        <v>0.998</v>
      </c>
      <c r="E784" s="16">
        <f>IFERROR(__xludf.DUMMYFUNCTION("""COMPUTED_VALUE"""),73.0)</f>
        <v>73</v>
      </c>
      <c r="F784" s="19" t="str">
        <f>IFERROR(__xludf.DUMMYFUNCTION("""COMPUTED_VALUE"""),"BLUE")</f>
        <v>BLUE</v>
      </c>
      <c r="G784" s="20" t="str">
        <f>IFERROR(__xludf.DUMMYFUNCTION("""COMPUTED_VALUE"""),"Uncle Sams Cider (04/04/2023)")</f>
        <v>Uncle Sams Cider (04/04/2023)</v>
      </c>
      <c r="H784" s="19"/>
    </row>
    <row r="785">
      <c r="A785" s="9"/>
      <c r="B785" s="15"/>
      <c r="C785" s="9">
        <f>IFERROR(__xludf.DUMMYFUNCTION("""COMPUTED_VALUE"""),45136.415654074)</f>
        <v>45136.41565</v>
      </c>
      <c r="D785" s="15">
        <f>IFERROR(__xludf.DUMMYFUNCTION("""COMPUTED_VALUE"""),0.998)</f>
        <v>0.998</v>
      </c>
      <c r="E785" s="16">
        <f>IFERROR(__xludf.DUMMYFUNCTION("""COMPUTED_VALUE"""),73.0)</f>
        <v>73</v>
      </c>
      <c r="F785" s="19" t="str">
        <f>IFERROR(__xludf.DUMMYFUNCTION("""COMPUTED_VALUE"""),"BLUE")</f>
        <v>BLUE</v>
      </c>
      <c r="G785" s="20" t="str">
        <f>IFERROR(__xludf.DUMMYFUNCTION("""COMPUTED_VALUE"""),"Uncle Sams Cider (04/04/2023)")</f>
        <v>Uncle Sams Cider (04/04/2023)</v>
      </c>
      <c r="H785" s="19"/>
    </row>
    <row r="786">
      <c r="A786" s="9"/>
      <c r="B786" s="15"/>
      <c r="C786" s="9">
        <f>IFERROR(__xludf.DUMMYFUNCTION("""COMPUTED_VALUE"""),45136.4052326041)</f>
        <v>45136.40523</v>
      </c>
      <c r="D786" s="15">
        <f>IFERROR(__xludf.DUMMYFUNCTION("""COMPUTED_VALUE"""),0.998)</f>
        <v>0.998</v>
      </c>
      <c r="E786" s="16">
        <f>IFERROR(__xludf.DUMMYFUNCTION("""COMPUTED_VALUE"""),73.0)</f>
        <v>73</v>
      </c>
      <c r="F786" s="19" t="str">
        <f>IFERROR(__xludf.DUMMYFUNCTION("""COMPUTED_VALUE"""),"BLUE")</f>
        <v>BLUE</v>
      </c>
      <c r="G786" s="20" t="str">
        <f>IFERROR(__xludf.DUMMYFUNCTION("""COMPUTED_VALUE"""),"Uncle Sams Cider (04/04/2023)")</f>
        <v>Uncle Sams Cider (04/04/2023)</v>
      </c>
      <c r="H786" s="19"/>
    </row>
    <row r="787">
      <c r="A787" s="9"/>
      <c r="B787" s="15"/>
      <c r="C787" s="9">
        <f>IFERROR(__xludf.DUMMYFUNCTION("""COMPUTED_VALUE"""),45136.3948123032)</f>
        <v>45136.39481</v>
      </c>
      <c r="D787" s="15">
        <f>IFERROR(__xludf.DUMMYFUNCTION("""COMPUTED_VALUE"""),0.999)</f>
        <v>0.999</v>
      </c>
      <c r="E787" s="16">
        <f>IFERROR(__xludf.DUMMYFUNCTION("""COMPUTED_VALUE"""),73.0)</f>
        <v>73</v>
      </c>
      <c r="F787" s="19" t="str">
        <f>IFERROR(__xludf.DUMMYFUNCTION("""COMPUTED_VALUE"""),"BLUE")</f>
        <v>BLUE</v>
      </c>
      <c r="G787" s="20" t="str">
        <f>IFERROR(__xludf.DUMMYFUNCTION("""COMPUTED_VALUE"""),"Uncle Sams Cider (04/04/2023)")</f>
        <v>Uncle Sams Cider (04/04/2023)</v>
      </c>
      <c r="H787" s="19"/>
    </row>
    <row r="788">
      <c r="A788" s="9"/>
      <c r="B788" s="15"/>
      <c r="C788" s="9">
        <f>IFERROR(__xludf.DUMMYFUNCTION("""COMPUTED_VALUE"""),45136.3843901967)</f>
        <v>45136.38439</v>
      </c>
      <c r="D788" s="15">
        <f>IFERROR(__xludf.DUMMYFUNCTION("""COMPUTED_VALUE"""),0.998)</f>
        <v>0.998</v>
      </c>
      <c r="E788" s="16">
        <f>IFERROR(__xludf.DUMMYFUNCTION("""COMPUTED_VALUE"""),73.0)</f>
        <v>73</v>
      </c>
      <c r="F788" s="19" t="str">
        <f>IFERROR(__xludf.DUMMYFUNCTION("""COMPUTED_VALUE"""),"BLUE")</f>
        <v>BLUE</v>
      </c>
      <c r="G788" s="20" t="str">
        <f>IFERROR(__xludf.DUMMYFUNCTION("""COMPUTED_VALUE"""),"Uncle Sams Cider (04/04/2023)")</f>
        <v>Uncle Sams Cider (04/04/2023)</v>
      </c>
      <c r="H788" s="19"/>
    </row>
    <row r="789">
      <c r="A789" s="9"/>
      <c r="B789" s="15"/>
      <c r="C789" s="9">
        <f>IFERROR(__xludf.DUMMYFUNCTION("""COMPUTED_VALUE"""),45136.3739681597)</f>
        <v>45136.37397</v>
      </c>
      <c r="D789" s="15">
        <f>IFERROR(__xludf.DUMMYFUNCTION("""COMPUTED_VALUE"""),0.998)</f>
        <v>0.998</v>
      </c>
      <c r="E789" s="16">
        <f>IFERROR(__xludf.DUMMYFUNCTION("""COMPUTED_VALUE"""),73.0)</f>
        <v>73</v>
      </c>
      <c r="F789" s="19" t="str">
        <f>IFERROR(__xludf.DUMMYFUNCTION("""COMPUTED_VALUE"""),"BLUE")</f>
        <v>BLUE</v>
      </c>
      <c r="G789" s="20" t="str">
        <f>IFERROR(__xludf.DUMMYFUNCTION("""COMPUTED_VALUE"""),"Uncle Sams Cider (04/04/2023)")</f>
        <v>Uncle Sams Cider (04/04/2023)</v>
      </c>
      <c r="H789" s="19"/>
    </row>
    <row r="790">
      <c r="A790" s="9"/>
      <c r="B790" s="15"/>
      <c r="C790" s="9">
        <f>IFERROR(__xludf.DUMMYFUNCTION("""COMPUTED_VALUE"""),45136.3635378472)</f>
        <v>45136.36354</v>
      </c>
      <c r="D790" s="15">
        <f>IFERROR(__xludf.DUMMYFUNCTION("""COMPUTED_VALUE"""),0.998)</f>
        <v>0.998</v>
      </c>
      <c r="E790" s="16">
        <f>IFERROR(__xludf.DUMMYFUNCTION("""COMPUTED_VALUE"""),73.0)</f>
        <v>73</v>
      </c>
      <c r="F790" s="19" t="str">
        <f>IFERROR(__xludf.DUMMYFUNCTION("""COMPUTED_VALUE"""),"BLUE")</f>
        <v>BLUE</v>
      </c>
      <c r="G790" s="20" t="str">
        <f>IFERROR(__xludf.DUMMYFUNCTION("""COMPUTED_VALUE"""),"Uncle Sams Cider (04/04/2023)")</f>
        <v>Uncle Sams Cider (04/04/2023)</v>
      </c>
      <c r="H790" s="19"/>
    </row>
    <row r="791">
      <c r="A791" s="9"/>
      <c r="B791" s="15"/>
      <c r="C791" s="9">
        <f>IFERROR(__xludf.DUMMYFUNCTION("""COMPUTED_VALUE"""),45136.3531162152)</f>
        <v>45136.35312</v>
      </c>
      <c r="D791" s="15">
        <f>IFERROR(__xludf.DUMMYFUNCTION("""COMPUTED_VALUE"""),0.998)</f>
        <v>0.998</v>
      </c>
      <c r="E791" s="16">
        <f>IFERROR(__xludf.DUMMYFUNCTION("""COMPUTED_VALUE"""),73.0)</f>
        <v>73</v>
      </c>
      <c r="F791" s="19" t="str">
        <f>IFERROR(__xludf.DUMMYFUNCTION("""COMPUTED_VALUE"""),"BLUE")</f>
        <v>BLUE</v>
      </c>
      <c r="G791" s="20" t="str">
        <f>IFERROR(__xludf.DUMMYFUNCTION("""COMPUTED_VALUE"""),"Uncle Sams Cider (04/04/2023)")</f>
        <v>Uncle Sams Cider (04/04/2023)</v>
      </c>
      <c r="H791" s="19"/>
    </row>
    <row r="792">
      <c r="A792" s="9"/>
      <c r="B792" s="15"/>
      <c r="C792" s="9">
        <f>IFERROR(__xludf.DUMMYFUNCTION("""COMPUTED_VALUE"""),45136.3426956828)</f>
        <v>45136.3427</v>
      </c>
      <c r="D792" s="15">
        <f>IFERROR(__xludf.DUMMYFUNCTION("""COMPUTED_VALUE"""),0.998)</f>
        <v>0.998</v>
      </c>
      <c r="E792" s="16">
        <f>IFERROR(__xludf.DUMMYFUNCTION("""COMPUTED_VALUE"""),73.0)</f>
        <v>73</v>
      </c>
      <c r="F792" s="19" t="str">
        <f>IFERROR(__xludf.DUMMYFUNCTION("""COMPUTED_VALUE"""),"BLUE")</f>
        <v>BLUE</v>
      </c>
      <c r="G792" s="20" t="str">
        <f>IFERROR(__xludf.DUMMYFUNCTION("""COMPUTED_VALUE"""),"Uncle Sams Cider (04/04/2023)")</f>
        <v>Uncle Sams Cider (04/04/2023)</v>
      </c>
      <c r="H792" s="19"/>
    </row>
    <row r="793">
      <c r="A793" s="9"/>
      <c r="B793" s="15"/>
      <c r="C793" s="9">
        <f>IFERROR(__xludf.DUMMYFUNCTION("""COMPUTED_VALUE"""),45136.3322745023)</f>
        <v>45136.33227</v>
      </c>
      <c r="D793" s="15">
        <f>IFERROR(__xludf.DUMMYFUNCTION("""COMPUTED_VALUE"""),0.999)</f>
        <v>0.999</v>
      </c>
      <c r="E793" s="16">
        <f>IFERROR(__xludf.DUMMYFUNCTION("""COMPUTED_VALUE"""),73.0)</f>
        <v>73</v>
      </c>
      <c r="F793" s="19" t="str">
        <f>IFERROR(__xludf.DUMMYFUNCTION("""COMPUTED_VALUE"""),"BLUE")</f>
        <v>BLUE</v>
      </c>
      <c r="G793" s="20" t="str">
        <f>IFERROR(__xludf.DUMMYFUNCTION("""COMPUTED_VALUE"""),"Uncle Sams Cider (04/04/2023)")</f>
        <v>Uncle Sams Cider (04/04/2023)</v>
      </c>
      <c r="H793" s="19"/>
    </row>
    <row r="794">
      <c r="A794" s="9"/>
      <c r="B794" s="15"/>
      <c r="C794" s="9">
        <f>IFERROR(__xludf.DUMMYFUNCTION("""COMPUTED_VALUE"""),45136.3218525578)</f>
        <v>45136.32185</v>
      </c>
      <c r="D794" s="15">
        <f>IFERROR(__xludf.DUMMYFUNCTION("""COMPUTED_VALUE"""),0.998)</f>
        <v>0.998</v>
      </c>
      <c r="E794" s="16">
        <f>IFERROR(__xludf.DUMMYFUNCTION("""COMPUTED_VALUE"""),73.0)</f>
        <v>73</v>
      </c>
      <c r="F794" s="19" t="str">
        <f>IFERROR(__xludf.DUMMYFUNCTION("""COMPUTED_VALUE"""),"BLUE")</f>
        <v>BLUE</v>
      </c>
      <c r="G794" s="20" t="str">
        <f>IFERROR(__xludf.DUMMYFUNCTION("""COMPUTED_VALUE"""),"Uncle Sams Cider (04/04/2023)")</f>
        <v>Uncle Sams Cider (04/04/2023)</v>
      </c>
      <c r="H794" s="19"/>
    </row>
    <row r="795">
      <c r="A795" s="9"/>
      <c r="B795" s="15"/>
      <c r="C795" s="9">
        <f>IFERROR(__xludf.DUMMYFUNCTION("""COMPUTED_VALUE"""),45136.3114310532)</f>
        <v>45136.31143</v>
      </c>
      <c r="D795" s="15">
        <f>IFERROR(__xludf.DUMMYFUNCTION("""COMPUTED_VALUE"""),0.998)</f>
        <v>0.998</v>
      </c>
      <c r="E795" s="16">
        <f>IFERROR(__xludf.DUMMYFUNCTION("""COMPUTED_VALUE"""),73.0)</f>
        <v>73</v>
      </c>
      <c r="F795" s="19" t="str">
        <f>IFERROR(__xludf.DUMMYFUNCTION("""COMPUTED_VALUE"""),"BLUE")</f>
        <v>BLUE</v>
      </c>
      <c r="G795" s="20" t="str">
        <f>IFERROR(__xludf.DUMMYFUNCTION("""COMPUTED_VALUE"""),"Uncle Sams Cider (04/04/2023)")</f>
        <v>Uncle Sams Cider (04/04/2023)</v>
      </c>
      <c r="H795" s="19"/>
    </row>
    <row r="796">
      <c r="A796" s="9"/>
      <c r="B796" s="15"/>
      <c r="C796" s="9">
        <f>IFERROR(__xludf.DUMMYFUNCTION("""COMPUTED_VALUE"""),45136.3010096064)</f>
        <v>45136.30101</v>
      </c>
      <c r="D796" s="15">
        <f>IFERROR(__xludf.DUMMYFUNCTION("""COMPUTED_VALUE"""),0.998)</f>
        <v>0.998</v>
      </c>
      <c r="E796" s="16">
        <f>IFERROR(__xludf.DUMMYFUNCTION("""COMPUTED_VALUE"""),73.0)</f>
        <v>73</v>
      </c>
      <c r="F796" s="19" t="str">
        <f>IFERROR(__xludf.DUMMYFUNCTION("""COMPUTED_VALUE"""),"BLUE")</f>
        <v>BLUE</v>
      </c>
      <c r="G796" s="20" t="str">
        <f>IFERROR(__xludf.DUMMYFUNCTION("""COMPUTED_VALUE"""),"Uncle Sams Cider (04/04/2023)")</f>
        <v>Uncle Sams Cider (04/04/2023)</v>
      </c>
      <c r="H796" s="19"/>
    </row>
    <row r="797">
      <c r="A797" s="9"/>
      <c r="B797" s="15"/>
      <c r="C797" s="9">
        <f>IFERROR(__xludf.DUMMYFUNCTION("""COMPUTED_VALUE"""),45136.290577743)</f>
        <v>45136.29058</v>
      </c>
      <c r="D797" s="15">
        <f>IFERROR(__xludf.DUMMYFUNCTION("""COMPUTED_VALUE"""),0.999)</f>
        <v>0.999</v>
      </c>
      <c r="E797" s="16">
        <f>IFERROR(__xludf.DUMMYFUNCTION("""COMPUTED_VALUE"""),73.0)</f>
        <v>73</v>
      </c>
      <c r="F797" s="19" t="str">
        <f>IFERROR(__xludf.DUMMYFUNCTION("""COMPUTED_VALUE"""),"BLUE")</f>
        <v>BLUE</v>
      </c>
      <c r="G797" s="20" t="str">
        <f>IFERROR(__xludf.DUMMYFUNCTION("""COMPUTED_VALUE"""),"Uncle Sams Cider (04/04/2023)")</f>
        <v>Uncle Sams Cider (04/04/2023)</v>
      </c>
      <c r="H797" s="19"/>
    </row>
    <row r="798">
      <c r="A798" s="9"/>
      <c r="B798" s="15"/>
      <c r="C798" s="9">
        <f>IFERROR(__xludf.DUMMYFUNCTION("""COMPUTED_VALUE"""),45136.2801307291)</f>
        <v>45136.28013</v>
      </c>
      <c r="D798" s="15">
        <f>IFERROR(__xludf.DUMMYFUNCTION("""COMPUTED_VALUE"""),0.998)</f>
        <v>0.998</v>
      </c>
      <c r="E798" s="16">
        <f>IFERROR(__xludf.DUMMYFUNCTION("""COMPUTED_VALUE"""),73.0)</f>
        <v>73</v>
      </c>
      <c r="F798" s="19" t="str">
        <f>IFERROR(__xludf.DUMMYFUNCTION("""COMPUTED_VALUE"""),"BLUE")</f>
        <v>BLUE</v>
      </c>
      <c r="G798" s="20" t="str">
        <f>IFERROR(__xludf.DUMMYFUNCTION("""COMPUTED_VALUE"""),"Uncle Sams Cider (04/04/2023)")</f>
        <v>Uncle Sams Cider (04/04/2023)</v>
      </c>
      <c r="H798" s="19"/>
    </row>
    <row r="799">
      <c r="A799" s="9"/>
      <c r="B799" s="15"/>
      <c r="C799" s="9">
        <f>IFERROR(__xludf.DUMMYFUNCTION("""COMPUTED_VALUE"""),45136.26971)</f>
        <v>45136.26971</v>
      </c>
      <c r="D799" s="15">
        <f>IFERROR(__xludf.DUMMYFUNCTION("""COMPUTED_VALUE"""),0.998)</f>
        <v>0.998</v>
      </c>
      <c r="E799" s="16">
        <f>IFERROR(__xludf.DUMMYFUNCTION("""COMPUTED_VALUE"""),73.0)</f>
        <v>73</v>
      </c>
      <c r="F799" s="19" t="str">
        <f>IFERROR(__xludf.DUMMYFUNCTION("""COMPUTED_VALUE"""),"BLUE")</f>
        <v>BLUE</v>
      </c>
      <c r="G799" s="20" t="str">
        <f>IFERROR(__xludf.DUMMYFUNCTION("""COMPUTED_VALUE"""),"Uncle Sams Cider (04/04/2023)")</f>
        <v>Uncle Sams Cider (04/04/2023)</v>
      </c>
      <c r="H799" s="19"/>
    </row>
    <row r="800">
      <c r="A800" s="9"/>
      <c r="B800" s="15"/>
      <c r="C800" s="9">
        <f>IFERROR(__xludf.DUMMYFUNCTION("""COMPUTED_VALUE"""),45136.259277581)</f>
        <v>45136.25928</v>
      </c>
      <c r="D800" s="15">
        <f>IFERROR(__xludf.DUMMYFUNCTION("""COMPUTED_VALUE"""),0.998)</f>
        <v>0.998</v>
      </c>
      <c r="E800" s="16">
        <f>IFERROR(__xludf.DUMMYFUNCTION("""COMPUTED_VALUE"""),73.0)</f>
        <v>73</v>
      </c>
      <c r="F800" s="19" t="str">
        <f>IFERROR(__xludf.DUMMYFUNCTION("""COMPUTED_VALUE"""),"BLUE")</f>
        <v>BLUE</v>
      </c>
      <c r="G800" s="20" t="str">
        <f>IFERROR(__xludf.DUMMYFUNCTION("""COMPUTED_VALUE"""),"Uncle Sams Cider (04/04/2023)")</f>
        <v>Uncle Sams Cider (04/04/2023)</v>
      </c>
      <c r="H800" s="19"/>
    </row>
    <row r="801">
      <c r="A801" s="9"/>
      <c r="B801" s="15"/>
      <c r="C801" s="9">
        <f>IFERROR(__xludf.DUMMYFUNCTION("""COMPUTED_VALUE"""),45136.2488458912)</f>
        <v>45136.24885</v>
      </c>
      <c r="D801" s="15">
        <f>IFERROR(__xludf.DUMMYFUNCTION("""COMPUTED_VALUE"""),0.998)</f>
        <v>0.998</v>
      </c>
      <c r="E801" s="16">
        <f>IFERROR(__xludf.DUMMYFUNCTION("""COMPUTED_VALUE"""),73.0)</f>
        <v>73</v>
      </c>
      <c r="F801" s="19" t="str">
        <f>IFERROR(__xludf.DUMMYFUNCTION("""COMPUTED_VALUE"""),"BLUE")</f>
        <v>BLUE</v>
      </c>
      <c r="G801" s="20" t="str">
        <f>IFERROR(__xludf.DUMMYFUNCTION("""COMPUTED_VALUE"""),"Uncle Sams Cider (04/04/2023)")</f>
        <v>Uncle Sams Cider (04/04/2023)</v>
      </c>
      <c r="H801" s="19"/>
    </row>
    <row r="802">
      <c r="A802" s="9"/>
      <c r="B802" s="15"/>
      <c r="C802" s="9">
        <f>IFERROR(__xludf.DUMMYFUNCTION("""COMPUTED_VALUE"""),45136.2384126851)</f>
        <v>45136.23841</v>
      </c>
      <c r="D802" s="15">
        <f>IFERROR(__xludf.DUMMYFUNCTION("""COMPUTED_VALUE"""),0.999)</f>
        <v>0.999</v>
      </c>
      <c r="E802" s="16">
        <f>IFERROR(__xludf.DUMMYFUNCTION("""COMPUTED_VALUE"""),73.0)</f>
        <v>73</v>
      </c>
      <c r="F802" s="19" t="str">
        <f>IFERROR(__xludf.DUMMYFUNCTION("""COMPUTED_VALUE"""),"BLUE")</f>
        <v>BLUE</v>
      </c>
      <c r="G802" s="20" t="str">
        <f>IFERROR(__xludf.DUMMYFUNCTION("""COMPUTED_VALUE"""),"Uncle Sams Cider (04/04/2023)")</f>
        <v>Uncle Sams Cider (04/04/2023)</v>
      </c>
      <c r="H802" s="19"/>
    </row>
    <row r="803">
      <c r="A803" s="9"/>
      <c r="B803" s="15"/>
      <c r="C803" s="9">
        <f>IFERROR(__xludf.DUMMYFUNCTION("""COMPUTED_VALUE"""),45136.2279920601)</f>
        <v>45136.22799</v>
      </c>
      <c r="D803" s="15">
        <f>IFERROR(__xludf.DUMMYFUNCTION("""COMPUTED_VALUE"""),0.998)</f>
        <v>0.998</v>
      </c>
      <c r="E803" s="16">
        <f>IFERROR(__xludf.DUMMYFUNCTION("""COMPUTED_VALUE"""),73.0)</f>
        <v>73</v>
      </c>
      <c r="F803" s="19" t="str">
        <f>IFERROR(__xludf.DUMMYFUNCTION("""COMPUTED_VALUE"""),"BLUE")</f>
        <v>BLUE</v>
      </c>
      <c r="G803" s="20" t="str">
        <f>IFERROR(__xludf.DUMMYFUNCTION("""COMPUTED_VALUE"""),"Uncle Sams Cider (04/04/2023)")</f>
        <v>Uncle Sams Cider (04/04/2023)</v>
      </c>
      <c r="H803" s="19"/>
    </row>
    <row r="804">
      <c r="A804" s="9"/>
      <c r="B804" s="15"/>
      <c r="C804" s="9">
        <f>IFERROR(__xludf.DUMMYFUNCTION("""COMPUTED_VALUE"""),45136.2175708912)</f>
        <v>45136.21757</v>
      </c>
      <c r="D804" s="15">
        <f>IFERROR(__xludf.DUMMYFUNCTION("""COMPUTED_VALUE"""),0.998)</f>
        <v>0.998</v>
      </c>
      <c r="E804" s="16">
        <f>IFERROR(__xludf.DUMMYFUNCTION("""COMPUTED_VALUE"""),73.0)</f>
        <v>73</v>
      </c>
      <c r="F804" s="19" t="str">
        <f>IFERROR(__xludf.DUMMYFUNCTION("""COMPUTED_VALUE"""),"BLUE")</f>
        <v>BLUE</v>
      </c>
      <c r="G804" s="20" t="str">
        <f>IFERROR(__xludf.DUMMYFUNCTION("""COMPUTED_VALUE"""),"Uncle Sams Cider (04/04/2023)")</f>
        <v>Uncle Sams Cider (04/04/2023)</v>
      </c>
      <c r="H804" s="19"/>
    </row>
    <row r="805">
      <c r="A805" s="9"/>
      <c r="B805" s="15"/>
      <c r="C805" s="9">
        <f>IFERROR(__xludf.DUMMYFUNCTION("""COMPUTED_VALUE"""),45136.2071374421)</f>
        <v>45136.20714</v>
      </c>
      <c r="D805" s="15">
        <f>IFERROR(__xludf.DUMMYFUNCTION("""COMPUTED_VALUE"""),0.998)</f>
        <v>0.998</v>
      </c>
      <c r="E805" s="16">
        <f>IFERROR(__xludf.DUMMYFUNCTION("""COMPUTED_VALUE"""),73.0)</f>
        <v>73</v>
      </c>
      <c r="F805" s="19" t="str">
        <f>IFERROR(__xludf.DUMMYFUNCTION("""COMPUTED_VALUE"""),"BLUE")</f>
        <v>BLUE</v>
      </c>
      <c r="G805" s="20" t="str">
        <f>IFERROR(__xludf.DUMMYFUNCTION("""COMPUTED_VALUE"""),"Uncle Sams Cider (04/04/2023)")</f>
        <v>Uncle Sams Cider (04/04/2023)</v>
      </c>
      <c r="H805" s="19"/>
    </row>
    <row r="806">
      <c r="A806" s="9"/>
      <c r="B806" s="15"/>
      <c r="C806" s="9">
        <f>IFERROR(__xludf.DUMMYFUNCTION("""COMPUTED_VALUE"""),45136.1967169791)</f>
        <v>45136.19672</v>
      </c>
      <c r="D806" s="15">
        <f>IFERROR(__xludf.DUMMYFUNCTION("""COMPUTED_VALUE"""),0.998)</f>
        <v>0.998</v>
      </c>
      <c r="E806" s="16">
        <f>IFERROR(__xludf.DUMMYFUNCTION("""COMPUTED_VALUE"""),73.0)</f>
        <v>73</v>
      </c>
      <c r="F806" s="19" t="str">
        <f>IFERROR(__xludf.DUMMYFUNCTION("""COMPUTED_VALUE"""),"BLUE")</f>
        <v>BLUE</v>
      </c>
      <c r="G806" s="20" t="str">
        <f>IFERROR(__xludf.DUMMYFUNCTION("""COMPUTED_VALUE"""),"Uncle Sams Cider (04/04/2023)")</f>
        <v>Uncle Sams Cider (04/04/2023)</v>
      </c>
      <c r="H806" s="19"/>
    </row>
    <row r="807">
      <c r="A807" s="9"/>
      <c r="B807" s="15"/>
      <c r="C807" s="9">
        <f>IFERROR(__xludf.DUMMYFUNCTION("""COMPUTED_VALUE"""),45136.1862966088)</f>
        <v>45136.1863</v>
      </c>
      <c r="D807" s="15">
        <f>IFERROR(__xludf.DUMMYFUNCTION("""COMPUTED_VALUE"""),0.998)</f>
        <v>0.998</v>
      </c>
      <c r="E807" s="16">
        <f>IFERROR(__xludf.DUMMYFUNCTION("""COMPUTED_VALUE"""),73.0)</f>
        <v>73</v>
      </c>
      <c r="F807" s="19" t="str">
        <f>IFERROR(__xludf.DUMMYFUNCTION("""COMPUTED_VALUE"""),"BLUE")</f>
        <v>BLUE</v>
      </c>
      <c r="G807" s="20" t="str">
        <f>IFERROR(__xludf.DUMMYFUNCTION("""COMPUTED_VALUE"""),"Uncle Sams Cider (04/04/2023)")</f>
        <v>Uncle Sams Cider (04/04/2023)</v>
      </c>
      <c r="H807" s="19"/>
    </row>
    <row r="808">
      <c r="A808" s="9"/>
      <c r="B808" s="15"/>
      <c r="C808" s="9">
        <f>IFERROR(__xludf.DUMMYFUNCTION("""COMPUTED_VALUE"""),45136.1758401736)</f>
        <v>45136.17584</v>
      </c>
      <c r="D808" s="15">
        <f>IFERROR(__xludf.DUMMYFUNCTION("""COMPUTED_VALUE"""),0.998)</f>
        <v>0.998</v>
      </c>
      <c r="E808" s="16">
        <f>IFERROR(__xludf.DUMMYFUNCTION("""COMPUTED_VALUE"""),73.0)</f>
        <v>73</v>
      </c>
      <c r="F808" s="19" t="str">
        <f>IFERROR(__xludf.DUMMYFUNCTION("""COMPUTED_VALUE"""),"BLUE")</f>
        <v>BLUE</v>
      </c>
      <c r="G808" s="20" t="str">
        <f>IFERROR(__xludf.DUMMYFUNCTION("""COMPUTED_VALUE"""),"Uncle Sams Cider (04/04/2023)")</f>
        <v>Uncle Sams Cider (04/04/2023)</v>
      </c>
      <c r="H808" s="19"/>
    </row>
    <row r="809">
      <c r="A809" s="9"/>
      <c r="B809" s="15"/>
      <c r="C809" s="9">
        <f>IFERROR(__xludf.DUMMYFUNCTION("""COMPUTED_VALUE"""),45136.1654179629)</f>
        <v>45136.16542</v>
      </c>
      <c r="D809" s="15">
        <f>IFERROR(__xludf.DUMMYFUNCTION("""COMPUTED_VALUE"""),0.998)</f>
        <v>0.998</v>
      </c>
      <c r="E809" s="16">
        <f>IFERROR(__xludf.DUMMYFUNCTION("""COMPUTED_VALUE"""),73.0)</f>
        <v>73</v>
      </c>
      <c r="F809" s="19" t="str">
        <f>IFERROR(__xludf.DUMMYFUNCTION("""COMPUTED_VALUE"""),"BLUE")</f>
        <v>BLUE</v>
      </c>
      <c r="G809" s="20" t="str">
        <f>IFERROR(__xludf.DUMMYFUNCTION("""COMPUTED_VALUE"""),"Uncle Sams Cider (04/04/2023)")</f>
        <v>Uncle Sams Cider (04/04/2023)</v>
      </c>
      <c r="H809" s="19"/>
    </row>
    <row r="810">
      <c r="A810" s="9"/>
      <c r="B810" s="15"/>
      <c r="C810" s="9">
        <f>IFERROR(__xludf.DUMMYFUNCTION("""COMPUTED_VALUE"""),45136.1445743402)</f>
        <v>45136.14457</v>
      </c>
      <c r="D810" s="15">
        <f>IFERROR(__xludf.DUMMYFUNCTION("""COMPUTED_VALUE"""),0.998)</f>
        <v>0.998</v>
      </c>
      <c r="E810" s="16">
        <f>IFERROR(__xludf.DUMMYFUNCTION("""COMPUTED_VALUE"""),73.0)</f>
        <v>73</v>
      </c>
      <c r="F810" s="19" t="str">
        <f>IFERROR(__xludf.DUMMYFUNCTION("""COMPUTED_VALUE"""),"BLUE")</f>
        <v>BLUE</v>
      </c>
      <c r="G810" s="20" t="str">
        <f>IFERROR(__xludf.DUMMYFUNCTION("""COMPUTED_VALUE"""),"Uncle Sams Cider (04/04/2023)")</f>
        <v>Uncle Sams Cider (04/04/2023)</v>
      </c>
      <c r="H810" s="19"/>
    </row>
    <row r="811">
      <c r="A811" s="9"/>
      <c r="B811" s="15"/>
      <c r="C811" s="9">
        <f>IFERROR(__xludf.DUMMYFUNCTION("""COMPUTED_VALUE"""),45136.1341523842)</f>
        <v>45136.13415</v>
      </c>
      <c r="D811" s="15">
        <f>IFERROR(__xludf.DUMMYFUNCTION("""COMPUTED_VALUE"""),0.998)</f>
        <v>0.998</v>
      </c>
      <c r="E811" s="16">
        <f>IFERROR(__xludf.DUMMYFUNCTION("""COMPUTED_VALUE"""),73.0)</f>
        <v>73</v>
      </c>
      <c r="F811" s="19" t="str">
        <f>IFERROR(__xludf.DUMMYFUNCTION("""COMPUTED_VALUE"""),"BLUE")</f>
        <v>BLUE</v>
      </c>
      <c r="G811" s="20" t="str">
        <f>IFERROR(__xludf.DUMMYFUNCTION("""COMPUTED_VALUE"""),"Uncle Sams Cider (04/04/2023)")</f>
        <v>Uncle Sams Cider (04/04/2023)</v>
      </c>
      <c r="H811" s="19"/>
    </row>
    <row r="812">
      <c r="A812" s="9"/>
      <c r="B812" s="15"/>
      <c r="C812" s="9">
        <f>IFERROR(__xludf.DUMMYFUNCTION("""COMPUTED_VALUE"""),45136.123730625)</f>
        <v>45136.12373</v>
      </c>
      <c r="D812" s="15">
        <f>IFERROR(__xludf.DUMMYFUNCTION("""COMPUTED_VALUE"""),0.998)</f>
        <v>0.998</v>
      </c>
      <c r="E812" s="16">
        <f>IFERROR(__xludf.DUMMYFUNCTION("""COMPUTED_VALUE"""),73.0)</f>
        <v>73</v>
      </c>
      <c r="F812" s="19" t="str">
        <f>IFERROR(__xludf.DUMMYFUNCTION("""COMPUTED_VALUE"""),"BLUE")</f>
        <v>BLUE</v>
      </c>
      <c r="G812" s="20" t="str">
        <f>IFERROR(__xludf.DUMMYFUNCTION("""COMPUTED_VALUE"""),"Uncle Sams Cider (04/04/2023)")</f>
        <v>Uncle Sams Cider (04/04/2023)</v>
      </c>
      <c r="H812" s="19"/>
    </row>
    <row r="813">
      <c r="A813" s="9"/>
      <c r="B813" s="15"/>
      <c r="C813" s="9">
        <f>IFERROR(__xludf.DUMMYFUNCTION("""COMPUTED_VALUE"""),45136.1133094444)</f>
        <v>45136.11331</v>
      </c>
      <c r="D813" s="15">
        <f>IFERROR(__xludf.DUMMYFUNCTION("""COMPUTED_VALUE"""),0.998)</f>
        <v>0.998</v>
      </c>
      <c r="E813" s="16">
        <f>IFERROR(__xludf.DUMMYFUNCTION("""COMPUTED_VALUE"""),73.0)</f>
        <v>73</v>
      </c>
      <c r="F813" s="19" t="str">
        <f>IFERROR(__xludf.DUMMYFUNCTION("""COMPUTED_VALUE"""),"BLUE")</f>
        <v>BLUE</v>
      </c>
      <c r="G813" s="20" t="str">
        <f>IFERROR(__xludf.DUMMYFUNCTION("""COMPUTED_VALUE"""),"Uncle Sams Cider (04/04/2023)")</f>
        <v>Uncle Sams Cider (04/04/2023)</v>
      </c>
      <c r="H813" s="19"/>
    </row>
    <row r="814">
      <c r="A814" s="9"/>
      <c r="B814" s="15"/>
      <c r="C814" s="9">
        <f>IFERROR(__xludf.DUMMYFUNCTION("""COMPUTED_VALUE"""),45136.1028887615)</f>
        <v>45136.10289</v>
      </c>
      <c r="D814" s="15">
        <f>IFERROR(__xludf.DUMMYFUNCTION("""COMPUTED_VALUE"""),0.998)</f>
        <v>0.998</v>
      </c>
      <c r="E814" s="16">
        <f>IFERROR(__xludf.DUMMYFUNCTION("""COMPUTED_VALUE"""),73.0)</f>
        <v>73</v>
      </c>
      <c r="F814" s="19" t="str">
        <f>IFERROR(__xludf.DUMMYFUNCTION("""COMPUTED_VALUE"""),"BLUE")</f>
        <v>BLUE</v>
      </c>
      <c r="G814" s="20" t="str">
        <f>IFERROR(__xludf.DUMMYFUNCTION("""COMPUTED_VALUE"""),"Uncle Sams Cider (04/04/2023)")</f>
        <v>Uncle Sams Cider (04/04/2023)</v>
      </c>
      <c r="H814" s="19"/>
    </row>
    <row r="815">
      <c r="A815" s="9"/>
      <c r="B815" s="15"/>
      <c r="C815" s="9">
        <f>IFERROR(__xludf.DUMMYFUNCTION("""COMPUTED_VALUE"""),45136.0924690856)</f>
        <v>45136.09247</v>
      </c>
      <c r="D815" s="15">
        <f>IFERROR(__xludf.DUMMYFUNCTION("""COMPUTED_VALUE"""),0.998)</f>
        <v>0.998</v>
      </c>
      <c r="E815" s="16">
        <f>IFERROR(__xludf.DUMMYFUNCTION("""COMPUTED_VALUE"""),73.0)</f>
        <v>73</v>
      </c>
      <c r="F815" s="19" t="str">
        <f>IFERROR(__xludf.DUMMYFUNCTION("""COMPUTED_VALUE"""),"BLUE")</f>
        <v>BLUE</v>
      </c>
      <c r="G815" s="20" t="str">
        <f>IFERROR(__xludf.DUMMYFUNCTION("""COMPUTED_VALUE"""),"Uncle Sams Cider (04/04/2023)")</f>
        <v>Uncle Sams Cider (04/04/2023)</v>
      </c>
      <c r="H815" s="19"/>
    </row>
    <row r="816">
      <c r="A816" s="9"/>
      <c r="B816" s="15"/>
      <c r="C816" s="9">
        <f>IFERROR(__xludf.DUMMYFUNCTION("""COMPUTED_VALUE"""),45136.0820500115)</f>
        <v>45136.08205</v>
      </c>
      <c r="D816" s="15">
        <f>IFERROR(__xludf.DUMMYFUNCTION("""COMPUTED_VALUE"""),0.998)</f>
        <v>0.998</v>
      </c>
      <c r="E816" s="16">
        <f>IFERROR(__xludf.DUMMYFUNCTION("""COMPUTED_VALUE"""),73.0)</f>
        <v>73</v>
      </c>
      <c r="F816" s="19" t="str">
        <f>IFERROR(__xludf.DUMMYFUNCTION("""COMPUTED_VALUE"""),"BLUE")</f>
        <v>BLUE</v>
      </c>
      <c r="G816" s="20" t="str">
        <f>IFERROR(__xludf.DUMMYFUNCTION("""COMPUTED_VALUE"""),"Uncle Sams Cider (04/04/2023)")</f>
        <v>Uncle Sams Cider (04/04/2023)</v>
      </c>
      <c r="H816" s="19"/>
    </row>
    <row r="817">
      <c r="A817" s="9"/>
      <c r="B817" s="15"/>
      <c r="C817" s="9">
        <f>IFERROR(__xludf.DUMMYFUNCTION("""COMPUTED_VALUE"""),45136.0716182407)</f>
        <v>45136.07162</v>
      </c>
      <c r="D817" s="15">
        <f>IFERROR(__xludf.DUMMYFUNCTION("""COMPUTED_VALUE"""),0.998)</f>
        <v>0.998</v>
      </c>
      <c r="E817" s="16">
        <f>IFERROR(__xludf.DUMMYFUNCTION("""COMPUTED_VALUE"""),73.0)</f>
        <v>73</v>
      </c>
      <c r="F817" s="19" t="str">
        <f>IFERROR(__xludf.DUMMYFUNCTION("""COMPUTED_VALUE"""),"BLUE")</f>
        <v>BLUE</v>
      </c>
      <c r="G817" s="20" t="str">
        <f>IFERROR(__xludf.DUMMYFUNCTION("""COMPUTED_VALUE"""),"Uncle Sams Cider (04/04/2023)")</f>
        <v>Uncle Sams Cider (04/04/2023)</v>
      </c>
      <c r="H817" s="19"/>
    </row>
    <row r="818">
      <c r="A818" s="9"/>
      <c r="B818" s="15"/>
      <c r="C818" s="9">
        <f>IFERROR(__xludf.DUMMYFUNCTION("""COMPUTED_VALUE"""),45136.0611835648)</f>
        <v>45136.06118</v>
      </c>
      <c r="D818" s="15">
        <f>IFERROR(__xludf.DUMMYFUNCTION("""COMPUTED_VALUE"""),0.998)</f>
        <v>0.998</v>
      </c>
      <c r="E818" s="16">
        <f>IFERROR(__xludf.DUMMYFUNCTION("""COMPUTED_VALUE"""),73.0)</f>
        <v>73</v>
      </c>
      <c r="F818" s="19" t="str">
        <f>IFERROR(__xludf.DUMMYFUNCTION("""COMPUTED_VALUE"""),"BLUE")</f>
        <v>BLUE</v>
      </c>
      <c r="G818" s="20" t="str">
        <f>IFERROR(__xludf.DUMMYFUNCTION("""COMPUTED_VALUE"""),"Uncle Sams Cider (04/04/2023)")</f>
        <v>Uncle Sams Cider (04/04/2023)</v>
      </c>
      <c r="H818" s="19"/>
    </row>
    <row r="819">
      <c r="A819" s="9"/>
      <c r="B819" s="15"/>
      <c r="C819" s="9">
        <f>IFERROR(__xludf.DUMMYFUNCTION("""COMPUTED_VALUE"""),45136.0507524305)</f>
        <v>45136.05075</v>
      </c>
      <c r="D819" s="15">
        <f>IFERROR(__xludf.DUMMYFUNCTION("""COMPUTED_VALUE"""),0.998)</f>
        <v>0.998</v>
      </c>
      <c r="E819" s="16">
        <f>IFERROR(__xludf.DUMMYFUNCTION("""COMPUTED_VALUE"""),73.0)</f>
        <v>73</v>
      </c>
      <c r="F819" s="19" t="str">
        <f>IFERROR(__xludf.DUMMYFUNCTION("""COMPUTED_VALUE"""),"BLUE")</f>
        <v>BLUE</v>
      </c>
      <c r="G819" s="20" t="str">
        <f>IFERROR(__xludf.DUMMYFUNCTION("""COMPUTED_VALUE"""),"Uncle Sams Cider (04/04/2023)")</f>
        <v>Uncle Sams Cider (04/04/2023)</v>
      </c>
      <c r="H819" s="19"/>
    </row>
    <row r="820">
      <c r="A820" s="9"/>
      <c r="B820" s="15"/>
      <c r="C820" s="9">
        <f>IFERROR(__xludf.DUMMYFUNCTION("""COMPUTED_VALUE"""),45136.0403315856)</f>
        <v>45136.04033</v>
      </c>
      <c r="D820" s="15">
        <f>IFERROR(__xludf.DUMMYFUNCTION("""COMPUTED_VALUE"""),0.998)</f>
        <v>0.998</v>
      </c>
      <c r="E820" s="16">
        <f>IFERROR(__xludf.DUMMYFUNCTION("""COMPUTED_VALUE"""),73.0)</f>
        <v>73</v>
      </c>
      <c r="F820" s="19" t="str">
        <f>IFERROR(__xludf.DUMMYFUNCTION("""COMPUTED_VALUE"""),"BLUE")</f>
        <v>BLUE</v>
      </c>
      <c r="G820" s="20" t="str">
        <f>IFERROR(__xludf.DUMMYFUNCTION("""COMPUTED_VALUE"""),"Uncle Sams Cider (04/04/2023)")</f>
        <v>Uncle Sams Cider (04/04/2023)</v>
      </c>
      <c r="H820" s="19"/>
    </row>
    <row r="821">
      <c r="A821" s="9"/>
      <c r="B821" s="15"/>
      <c r="C821" s="9">
        <f>IFERROR(__xludf.DUMMYFUNCTION("""COMPUTED_VALUE"""),45136.0299123842)</f>
        <v>45136.02991</v>
      </c>
      <c r="D821" s="15">
        <f>IFERROR(__xludf.DUMMYFUNCTION("""COMPUTED_VALUE"""),0.999)</f>
        <v>0.999</v>
      </c>
      <c r="E821" s="16">
        <f>IFERROR(__xludf.DUMMYFUNCTION("""COMPUTED_VALUE"""),73.0)</f>
        <v>73</v>
      </c>
      <c r="F821" s="19" t="str">
        <f>IFERROR(__xludf.DUMMYFUNCTION("""COMPUTED_VALUE"""),"BLUE")</f>
        <v>BLUE</v>
      </c>
      <c r="G821" s="20" t="str">
        <f>IFERROR(__xludf.DUMMYFUNCTION("""COMPUTED_VALUE"""),"Uncle Sams Cider (04/04/2023)")</f>
        <v>Uncle Sams Cider (04/04/2023)</v>
      </c>
      <c r="H821" s="19"/>
    </row>
    <row r="822">
      <c r="A822" s="9"/>
      <c r="B822" s="15"/>
      <c r="C822" s="9">
        <f>IFERROR(__xludf.DUMMYFUNCTION("""COMPUTED_VALUE"""),45136.0194905208)</f>
        <v>45136.01949</v>
      </c>
      <c r="D822" s="15">
        <f>IFERROR(__xludf.DUMMYFUNCTION("""COMPUTED_VALUE"""),0.998)</f>
        <v>0.998</v>
      </c>
      <c r="E822" s="16">
        <f>IFERROR(__xludf.DUMMYFUNCTION("""COMPUTED_VALUE"""),73.0)</f>
        <v>73</v>
      </c>
      <c r="F822" s="19" t="str">
        <f>IFERROR(__xludf.DUMMYFUNCTION("""COMPUTED_VALUE"""),"BLUE")</f>
        <v>BLUE</v>
      </c>
      <c r="G822" s="20" t="str">
        <f>IFERROR(__xludf.DUMMYFUNCTION("""COMPUTED_VALUE"""),"Uncle Sams Cider (04/04/2023)")</f>
        <v>Uncle Sams Cider (04/04/2023)</v>
      </c>
      <c r="H822" s="19"/>
    </row>
    <row r="823">
      <c r="A823" s="9"/>
      <c r="B823" s="15"/>
      <c r="C823" s="9">
        <f>IFERROR(__xludf.DUMMYFUNCTION("""COMPUTED_VALUE"""),45136.0090588541)</f>
        <v>45136.00906</v>
      </c>
      <c r="D823" s="15">
        <f>IFERROR(__xludf.DUMMYFUNCTION("""COMPUTED_VALUE"""),0.999)</f>
        <v>0.999</v>
      </c>
      <c r="E823" s="16">
        <f>IFERROR(__xludf.DUMMYFUNCTION("""COMPUTED_VALUE"""),73.0)</f>
        <v>73</v>
      </c>
      <c r="F823" s="19" t="str">
        <f>IFERROR(__xludf.DUMMYFUNCTION("""COMPUTED_VALUE"""),"BLUE")</f>
        <v>BLUE</v>
      </c>
      <c r="G823" s="20" t="str">
        <f>IFERROR(__xludf.DUMMYFUNCTION("""COMPUTED_VALUE"""),"Uncle Sams Cider (04/04/2023)")</f>
        <v>Uncle Sams Cider (04/04/2023)</v>
      </c>
      <c r="H823" s="19"/>
    </row>
    <row r="824">
      <c r="A824" s="9"/>
      <c r="B824" s="15"/>
      <c r="C824" s="9">
        <f>IFERROR(__xludf.DUMMYFUNCTION("""COMPUTED_VALUE"""),45135.998638287)</f>
        <v>45135.99864</v>
      </c>
      <c r="D824" s="15">
        <f>IFERROR(__xludf.DUMMYFUNCTION("""COMPUTED_VALUE"""),0.998)</f>
        <v>0.998</v>
      </c>
      <c r="E824" s="16">
        <f>IFERROR(__xludf.DUMMYFUNCTION("""COMPUTED_VALUE"""),72.0)</f>
        <v>72</v>
      </c>
      <c r="F824" s="19" t="str">
        <f>IFERROR(__xludf.DUMMYFUNCTION("""COMPUTED_VALUE"""),"BLUE")</f>
        <v>BLUE</v>
      </c>
      <c r="G824" s="20" t="str">
        <f>IFERROR(__xludf.DUMMYFUNCTION("""COMPUTED_VALUE"""),"Uncle Sams Cider (04/04/2023)")</f>
        <v>Uncle Sams Cider (04/04/2023)</v>
      </c>
      <c r="H824" s="19"/>
    </row>
    <row r="825">
      <c r="A825" s="9"/>
      <c r="B825" s="15"/>
      <c r="C825" s="9">
        <f>IFERROR(__xludf.DUMMYFUNCTION("""COMPUTED_VALUE"""),45135.9882187037)</f>
        <v>45135.98822</v>
      </c>
      <c r="D825" s="15">
        <f>IFERROR(__xludf.DUMMYFUNCTION("""COMPUTED_VALUE"""),0.999)</f>
        <v>0.999</v>
      </c>
      <c r="E825" s="16">
        <f>IFERROR(__xludf.DUMMYFUNCTION("""COMPUTED_VALUE"""),72.0)</f>
        <v>72</v>
      </c>
      <c r="F825" s="19" t="str">
        <f>IFERROR(__xludf.DUMMYFUNCTION("""COMPUTED_VALUE"""),"BLUE")</f>
        <v>BLUE</v>
      </c>
      <c r="G825" s="20" t="str">
        <f>IFERROR(__xludf.DUMMYFUNCTION("""COMPUTED_VALUE"""),"Uncle Sams Cider (04/04/2023)")</f>
        <v>Uncle Sams Cider (04/04/2023)</v>
      </c>
      <c r="H825" s="19"/>
    </row>
    <row r="826">
      <c r="A826" s="9"/>
      <c r="B826" s="15"/>
      <c r="C826" s="9">
        <f>IFERROR(__xludf.DUMMYFUNCTION("""COMPUTED_VALUE"""),45135.9777989351)</f>
        <v>45135.9778</v>
      </c>
      <c r="D826" s="15">
        <f>IFERROR(__xludf.DUMMYFUNCTION("""COMPUTED_VALUE"""),0.998)</f>
        <v>0.998</v>
      </c>
      <c r="E826" s="16">
        <f>IFERROR(__xludf.DUMMYFUNCTION("""COMPUTED_VALUE"""),73.0)</f>
        <v>73</v>
      </c>
      <c r="F826" s="19" t="str">
        <f>IFERROR(__xludf.DUMMYFUNCTION("""COMPUTED_VALUE"""),"BLUE")</f>
        <v>BLUE</v>
      </c>
      <c r="G826" s="20" t="str">
        <f>IFERROR(__xludf.DUMMYFUNCTION("""COMPUTED_VALUE"""),"Uncle Sams Cider (04/04/2023)")</f>
        <v>Uncle Sams Cider (04/04/2023)</v>
      </c>
      <c r="H826" s="19"/>
    </row>
    <row r="827">
      <c r="A827" s="9"/>
      <c r="B827" s="15"/>
      <c r="C827" s="9">
        <f>IFERROR(__xludf.DUMMYFUNCTION("""COMPUTED_VALUE"""),45135.9673786689)</f>
        <v>45135.96738</v>
      </c>
      <c r="D827" s="15">
        <f>IFERROR(__xludf.DUMMYFUNCTION("""COMPUTED_VALUE"""),0.998)</f>
        <v>0.998</v>
      </c>
      <c r="E827" s="16">
        <f>IFERROR(__xludf.DUMMYFUNCTION("""COMPUTED_VALUE"""),73.0)</f>
        <v>73</v>
      </c>
      <c r="F827" s="19" t="str">
        <f>IFERROR(__xludf.DUMMYFUNCTION("""COMPUTED_VALUE"""),"BLUE")</f>
        <v>BLUE</v>
      </c>
      <c r="G827" s="20" t="str">
        <f>IFERROR(__xludf.DUMMYFUNCTION("""COMPUTED_VALUE"""),"Uncle Sams Cider (04/04/2023)")</f>
        <v>Uncle Sams Cider (04/04/2023)</v>
      </c>
      <c r="H827" s="19"/>
    </row>
    <row r="828">
      <c r="A828" s="9"/>
      <c r="B828" s="15"/>
      <c r="C828" s="9">
        <f>IFERROR(__xludf.DUMMYFUNCTION("""COMPUTED_VALUE"""),45135.9569463078)</f>
        <v>45135.95695</v>
      </c>
      <c r="D828" s="15">
        <f>IFERROR(__xludf.DUMMYFUNCTION("""COMPUTED_VALUE"""),0.998)</f>
        <v>0.998</v>
      </c>
      <c r="E828" s="16">
        <f>IFERROR(__xludf.DUMMYFUNCTION("""COMPUTED_VALUE"""),73.0)</f>
        <v>73</v>
      </c>
      <c r="F828" s="19" t="str">
        <f>IFERROR(__xludf.DUMMYFUNCTION("""COMPUTED_VALUE"""),"BLUE")</f>
        <v>BLUE</v>
      </c>
      <c r="G828" s="20" t="str">
        <f>IFERROR(__xludf.DUMMYFUNCTION("""COMPUTED_VALUE"""),"Uncle Sams Cider (04/04/2023)")</f>
        <v>Uncle Sams Cider (04/04/2023)</v>
      </c>
      <c r="H828" s="19"/>
    </row>
    <row r="829">
      <c r="A829" s="9"/>
      <c r="B829" s="15"/>
      <c r="C829" s="9">
        <f>IFERROR(__xludf.DUMMYFUNCTION("""COMPUTED_VALUE"""),45135.946513449)</f>
        <v>45135.94651</v>
      </c>
      <c r="D829" s="15">
        <f>IFERROR(__xludf.DUMMYFUNCTION("""COMPUTED_VALUE"""),0.998)</f>
        <v>0.998</v>
      </c>
      <c r="E829" s="16">
        <f>IFERROR(__xludf.DUMMYFUNCTION("""COMPUTED_VALUE"""),73.0)</f>
        <v>73</v>
      </c>
      <c r="F829" s="19" t="str">
        <f>IFERROR(__xludf.DUMMYFUNCTION("""COMPUTED_VALUE"""),"BLUE")</f>
        <v>BLUE</v>
      </c>
      <c r="G829" s="20" t="str">
        <f>IFERROR(__xludf.DUMMYFUNCTION("""COMPUTED_VALUE"""),"Uncle Sams Cider (04/04/2023)")</f>
        <v>Uncle Sams Cider (04/04/2023)</v>
      </c>
      <c r="H829" s="19"/>
    </row>
    <row r="830">
      <c r="A830" s="9"/>
      <c r="B830" s="15"/>
      <c r="C830" s="9">
        <f>IFERROR(__xludf.DUMMYFUNCTION("""COMPUTED_VALUE"""),45135.9360915162)</f>
        <v>45135.93609</v>
      </c>
      <c r="D830" s="15">
        <f>IFERROR(__xludf.DUMMYFUNCTION("""COMPUTED_VALUE"""),0.999)</f>
        <v>0.999</v>
      </c>
      <c r="E830" s="16">
        <f>IFERROR(__xludf.DUMMYFUNCTION("""COMPUTED_VALUE"""),73.0)</f>
        <v>73</v>
      </c>
      <c r="F830" s="19" t="str">
        <f>IFERROR(__xludf.DUMMYFUNCTION("""COMPUTED_VALUE"""),"BLUE")</f>
        <v>BLUE</v>
      </c>
      <c r="G830" s="20" t="str">
        <f>IFERROR(__xludf.DUMMYFUNCTION("""COMPUTED_VALUE"""),"Uncle Sams Cider (04/04/2023)")</f>
        <v>Uncle Sams Cider (04/04/2023)</v>
      </c>
      <c r="H830" s="19"/>
    </row>
    <row r="831">
      <c r="A831" s="9"/>
      <c r="B831" s="15"/>
      <c r="C831" s="9">
        <f>IFERROR(__xludf.DUMMYFUNCTION("""COMPUTED_VALUE"""),45135.9256693865)</f>
        <v>45135.92567</v>
      </c>
      <c r="D831" s="15">
        <f>IFERROR(__xludf.DUMMYFUNCTION("""COMPUTED_VALUE"""),0.999)</f>
        <v>0.999</v>
      </c>
      <c r="E831" s="16">
        <f>IFERROR(__xludf.DUMMYFUNCTION("""COMPUTED_VALUE"""),73.0)</f>
        <v>73</v>
      </c>
      <c r="F831" s="19" t="str">
        <f>IFERROR(__xludf.DUMMYFUNCTION("""COMPUTED_VALUE"""),"BLUE")</f>
        <v>BLUE</v>
      </c>
      <c r="G831" s="20" t="str">
        <f>IFERROR(__xludf.DUMMYFUNCTION("""COMPUTED_VALUE"""),"Uncle Sams Cider (04/04/2023)")</f>
        <v>Uncle Sams Cider (04/04/2023)</v>
      </c>
      <c r="H831" s="19"/>
    </row>
    <row r="832">
      <c r="A832" s="9"/>
      <c r="B832" s="15"/>
      <c r="C832" s="9">
        <f>IFERROR(__xludf.DUMMYFUNCTION("""COMPUTED_VALUE"""),45135.915247905)</f>
        <v>45135.91525</v>
      </c>
      <c r="D832" s="15">
        <f>IFERROR(__xludf.DUMMYFUNCTION("""COMPUTED_VALUE"""),0.998)</f>
        <v>0.998</v>
      </c>
      <c r="E832" s="16">
        <f>IFERROR(__xludf.DUMMYFUNCTION("""COMPUTED_VALUE"""),73.0)</f>
        <v>73</v>
      </c>
      <c r="F832" s="19" t="str">
        <f>IFERROR(__xludf.DUMMYFUNCTION("""COMPUTED_VALUE"""),"BLUE")</f>
        <v>BLUE</v>
      </c>
      <c r="G832" s="20" t="str">
        <f>IFERROR(__xludf.DUMMYFUNCTION("""COMPUTED_VALUE"""),"Uncle Sams Cider (04/04/2023)")</f>
        <v>Uncle Sams Cider (04/04/2023)</v>
      </c>
      <c r="H832" s="19"/>
    </row>
    <row r="833">
      <c r="A833" s="9"/>
      <c r="B833" s="15"/>
      <c r="C833" s="9">
        <f>IFERROR(__xludf.DUMMYFUNCTION("""COMPUTED_VALUE"""),45135.9048265046)</f>
        <v>45135.90483</v>
      </c>
      <c r="D833" s="15">
        <f>IFERROR(__xludf.DUMMYFUNCTION("""COMPUTED_VALUE"""),0.998)</f>
        <v>0.998</v>
      </c>
      <c r="E833" s="16">
        <f>IFERROR(__xludf.DUMMYFUNCTION("""COMPUTED_VALUE"""),72.0)</f>
        <v>72</v>
      </c>
      <c r="F833" s="19" t="str">
        <f>IFERROR(__xludf.DUMMYFUNCTION("""COMPUTED_VALUE"""),"BLUE")</f>
        <v>BLUE</v>
      </c>
      <c r="G833" s="20" t="str">
        <f>IFERROR(__xludf.DUMMYFUNCTION("""COMPUTED_VALUE"""),"Uncle Sams Cider (04/04/2023)")</f>
        <v>Uncle Sams Cider (04/04/2023)</v>
      </c>
      <c r="H833" s="19"/>
    </row>
    <row r="834">
      <c r="A834" s="9"/>
      <c r="B834" s="15"/>
      <c r="C834" s="9">
        <f>IFERROR(__xludf.DUMMYFUNCTION("""COMPUTED_VALUE"""),45135.8944071527)</f>
        <v>45135.89441</v>
      </c>
      <c r="D834" s="15">
        <f>IFERROR(__xludf.DUMMYFUNCTION("""COMPUTED_VALUE"""),0.998)</f>
        <v>0.998</v>
      </c>
      <c r="E834" s="16">
        <f>IFERROR(__xludf.DUMMYFUNCTION("""COMPUTED_VALUE"""),73.0)</f>
        <v>73</v>
      </c>
      <c r="F834" s="19" t="str">
        <f>IFERROR(__xludf.DUMMYFUNCTION("""COMPUTED_VALUE"""),"BLUE")</f>
        <v>BLUE</v>
      </c>
      <c r="G834" s="20" t="str">
        <f>IFERROR(__xludf.DUMMYFUNCTION("""COMPUTED_VALUE"""),"Uncle Sams Cider (04/04/2023)")</f>
        <v>Uncle Sams Cider (04/04/2023)</v>
      </c>
      <c r="H834" s="19"/>
    </row>
    <row r="835">
      <c r="A835" s="9"/>
      <c r="B835" s="15"/>
      <c r="C835" s="9">
        <f>IFERROR(__xludf.DUMMYFUNCTION("""COMPUTED_VALUE"""),45135.8839855092)</f>
        <v>45135.88399</v>
      </c>
      <c r="D835" s="15">
        <f>IFERROR(__xludf.DUMMYFUNCTION("""COMPUTED_VALUE"""),0.998)</f>
        <v>0.998</v>
      </c>
      <c r="E835" s="16">
        <f>IFERROR(__xludf.DUMMYFUNCTION("""COMPUTED_VALUE"""),72.0)</f>
        <v>72</v>
      </c>
      <c r="F835" s="19" t="str">
        <f>IFERROR(__xludf.DUMMYFUNCTION("""COMPUTED_VALUE"""),"BLUE")</f>
        <v>BLUE</v>
      </c>
      <c r="G835" s="20" t="str">
        <f>IFERROR(__xludf.DUMMYFUNCTION("""COMPUTED_VALUE"""),"Uncle Sams Cider (04/04/2023)")</f>
        <v>Uncle Sams Cider (04/04/2023)</v>
      </c>
      <c r="H835" s="19"/>
    </row>
    <row r="836">
      <c r="A836" s="9"/>
      <c r="B836" s="15"/>
      <c r="C836" s="9">
        <f>IFERROR(__xludf.DUMMYFUNCTION("""COMPUTED_VALUE"""),45135.8735653819)</f>
        <v>45135.87357</v>
      </c>
      <c r="D836" s="15">
        <f>IFERROR(__xludf.DUMMYFUNCTION("""COMPUTED_VALUE"""),0.999)</f>
        <v>0.999</v>
      </c>
      <c r="E836" s="16">
        <f>IFERROR(__xludf.DUMMYFUNCTION("""COMPUTED_VALUE"""),72.0)</f>
        <v>72</v>
      </c>
      <c r="F836" s="19" t="str">
        <f>IFERROR(__xludf.DUMMYFUNCTION("""COMPUTED_VALUE"""),"BLUE")</f>
        <v>BLUE</v>
      </c>
      <c r="G836" s="20" t="str">
        <f>IFERROR(__xludf.DUMMYFUNCTION("""COMPUTED_VALUE"""),"Uncle Sams Cider (04/04/2023)")</f>
        <v>Uncle Sams Cider (04/04/2023)</v>
      </c>
      <c r="H836" s="19"/>
    </row>
    <row r="837">
      <c r="A837" s="9"/>
      <c r="B837" s="15"/>
      <c r="C837" s="9">
        <f>IFERROR(__xludf.DUMMYFUNCTION("""COMPUTED_VALUE"""),45135.8631442592)</f>
        <v>45135.86314</v>
      </c>
      <c r="D837" s="15">
        <f>IFERROR(__xludf.DUMMYFUNCTION("""COMPUTED_VALUE"""),0.998)</f>
        <v>0.998</v>
      </c>
      <c r="E837" s="16">
        <f>IFERROR(__xludf.DUMMYFUNCTION("""COMPUTED_VALUE"""),73.0)</f>
        <v>73</v>
      </c>
      <c r="F837" s="19" t="str">
        <f>IFERROR(__xludf.DUMMYFUNCTION("""COMPUTED_VALUE"""),"BLUE")</f>
        <v>BLUE</v>
      </c>
      <c r="G837" s="20" t="str">
        <f>IFERROR(__xludf.DUMMYFUNCTION("""COMPUTED_VALUE"""),"Uncle Sams Cider (04/04/2023)")</f>
        <v>Uncle Sams Cider (04/04/2023)</v>
      </c>
      <c r="H837" s="19"/>
    </row>
    <row r="838">
      <c r="A838" s="9"/>
      <c r="B838" s="15"/>
      <c r="C838" s="9">
        <f>IFERROR(__xludf.DUMMYFUNCTION("""COMPUTED_VALUE"""),45135.852722743)</f>
        <v>45135.85272</v>
      </c>
      <c r="D838" s="15">
        <f>IFERROR(__xludf.DUMMYFUNCTION("""COMPUTED_VALUE"""),0.998)</f>
        <v>0.998</v>
      </c>
      <c r="E838" s="16">
        <f>IFERROR(__xludf.DUMMYFUNCTION("""COMPUTED_VALUE"""),72.0)</f>
        <v>72</v>
      </c>
      <c r="F838" s="19" t="str">
        <f>IFERROR(__xludf.DUMMYFUNCTION("""COMPUTED_VALUE"""),"BLUE")</f>
        <v>BLUE</v>
      </c>
      <c r="G838" s="20" t="str">
        <f>IFERROR(__xludf.DUMMYFUNCTION("""COMPUTED_VALUE"""),"Uncle Sams Cider (04/04/2023)")</f>
        <v>Uncle Sams Cider (04/04/2023)</v>
      </c>
      <c r="H838" s="19"/>
    </row>
    <row r="839">
      <c r="A839" s="9"/>
      <c r="B839" s="15"/>
      <c r="C839" s="9">
        <f>IFERROR(__xludf.DUMMYFUNCTION("""COMPUTED_VALUE"""),45135.8423023726)</f>
        <v>45135.8423</v>
      </c>
      <c r="D839" s="15">
        <f>IFERROR(__xludf.DUMMYFUNCTION("""COMPUTED_VALUE"""),0.998)</f>
        <v>0.998</v>
      </c>
      <c r="E839" s="16">
        <f>IFERROR(__xludf.DUMMYFUNCTION("""COMPUTED_VALUE"""),72.0)</f>
        <v>72</v>
      </c>
      <c r="F839" s="19" t="str">
        <f>IFERROR(__xludf.DUMMYFUNCTION("""COMPUTED_VALUE"""),"BLUE")</f>
        <v>BLUE</v>
      </c>
      <c r="G839" s="20" t="str">
        <f>IFERROR(__xludf.DUMMYFUNCTION("""COMPUTED_VALUE"""),"Uncle Sams Cider (04/04/2023)")</f>
        <v>Uncle Sams Cider (04/04/2023)</v>
      </c>
      <c r="H839" s="19"/>
    </row>
    <row r="840">
      <c r="A840" s="9"/>
      <c r="B840" s="15"/>
      <c r="C840" s="9">
        <f>IFERROR(__xludf.DUMMYFUNCTION("""COMPUTED_VALUE"""),45135.8318560069)</f>
        <v>45135.83186</v>
      </c>
      <c r="D840" s="15">
        <f>IFERROR(__xludf.DUMMYFUNCTION("""COMPUTED_VALUE"""),0.998)</f>
        <v>0.998</v>
      </c>
      <c r="E840" s="16">
        <f>IFERROR(__xludf.DUMMYFUNCTION("""COMPUTED_VALUE"""),73.0)</f>
        <v>73</v>
      </c>
      <c r="F840" s="19" t="str">
        <f>IFERROR(__xludf.DUMMYFUNCTION("""COMPUTED_VALUE"""),"BLUE")</f>
        <v>BLUE</v>
      </c>
      <c r="G840" s="20" t="str">
        <f>IFERROR(__xludf.DUMMYFUNCTION("""COMPUTED_VALUE"""),"Uncle Sams Cider (04/04/2023)")</f>
        <v>Uncle Sams Cider (04/04/2023)</v>
      </c>
      <c r="H840" s="19"/>
    </row>
    <row r="841">
      <c r="A841" s="9"/>
      <c r="B841" s="15"/>
      <c r="C841" s="9">
        <f>IFERROR(__xludf.DUMMYFUNCTION("""COMPUTED_VALUE"""),45135.8214352662)</f>
        <v>45135.82144</v>
      </c>
      <c r="D841" s="15">
        <f>IFERROR(__xludf.DUMMYFUNCTION("""COMPUTED_VALUE"""),0.998)</f>
        <v>0.998</v>
      </c>
      <c r="E841" s="16">
        <f>IFERROR(__xludf.DUMMYFUNCTION("""COMPUTED_VALUE"""),72.0)</f>
        <v>72</v>
      </c>
      <c r="F841" s="19" t="str">
        <f>IFERROR(__xludf.DUMMYFUNCTION("""COMPUTED_VALUE"""),"BLUE")</f>
        <v>BLUE</v>
      </c>
      <c r="G841" s="20" t="str">
        <f>IFERROR(__xludf.DUMMYFUNCTION("""COMPUTED_VALUE"""),"Uncle Sams Cider (04/04/2023)")</f>
        <v>Uncle Sams Cider (04/04/2023)</v>
      </c>
      <c r="H841" s="19"/>
    </row>
    <row r="842">
      <c r="A842" s="9"/>
      <c r="B842" s="15"/>
      <c r="C842" s="9">
        <f>IFERROR(__xludf.DUMMYFUNCTION("""COMPUTED_VALUE"""),45135.81101375)</f>
        <v>45135.81101</v>
      </c>
      <c r="D842" s="15">
        <f>IFERROR(__xludf.DUMMYFUNCTION("""COMPUTED_VALUE"""),0.998)</f>
        <v>0.998</v>
      </c>
      <c r="E842" s="16">
        <f>IFERROR(__xludf.DUMMYFUNCTION("""COMPUTED_VALUE"""),72.0)</f>
        <v>72</v>
      </c>
      <c r="F842" s="19" t="str">
        <f>IFERROR(__xludf.DUMMYFUNCTION("""COMPUTED_VALUE"""),"BLUE")</f>
        <v>BLUE</v>
      </c>
      <c r="G842" s="20" t="str">
        <f>IFERROR(__xludf.DUMMYFUNCTION("""COMPUTED_VALUE"""),"Uncle Sams Cider (04/04/2023)")</f>
        <v>Uncle Sams Cider (04/04/2023)</v>
      </c>
      <c r="H842" s="19"/>
    </row>
    <row r="843">
      <c r="A843" s="9"/>
      <c r="B843" s="15"/>
      <c r="C843" s="9">
        <f>IFERROR(__xludf.DUMMYFUNCTION("""COMPUTED_VALUE"""),45135.8005929282)</f>
        <v>45135.80059</v>
      </c>
      <c r="D843" s="15">
        <f>IFERROR(__xludf.DUMMYFUNCTION("""COMPUTED_VALUE"""),0.998)</f>
        <v>0.998</v>
      </c>
      <c r="E843" s="16">
        <f>IFERROR(__xludf.DUMMYFUNCTION("""COMPUTED_VALUE"""),72.0)</f>
        <v>72</v>
      </c>
      <c r="F843" s="19" t="str">
        <f>IFERROR(__xludf.DUMMYFUNCTION("""COMPUTED_VALUE"""),"BLUE")</f>
        <v>BLUE</v>
      </c>
      <c r="G843" s="20" t="str">
        <f>IFERROR(__xludf.DUMMYFUNCTION("""COMPUTED_VALUE"""),"Uncle Sams Cider (04/04/2023)")</f>
        <v>Uncle Sams Cider (04/04/2023)</v>
      </c>
      <c r="H843" s="19"/>
    </row>
    <row r="844">
      <c r="A844" s="9"/>
      <c r="B844" s="15"/>
      <c r="C844" s="9">
        <f>IFERROR(__xludf.DUMMYFUNCTION("""COMPUTED_VALUE"""),45135.7901722453)</f>
        <v>45135.79017</v>
      </c>
      <c r="D844" s="15">
        <f>IFERROR(__xludf.DUMMYFUNCTION("""COMPUTED_VALUE"""),0.999)</f>
        <v>0.999</v>
      </c>
      <c r="E844" s="16">
        <f>IFERROR(__xludf.DUMMYFUNCTION("""COMPUTED_VALUE"""),72.0)</f>
        <v>72</v>
      </c>
      <c r="F844" s="19" t="str">
        <f>IFERROR(__xludf.DUMMYFUNCTION("""COMPUTED_VALUE"""),"BLUE")</f>
        <v>BLUE</v>
      </c>
      <c r="G844" s="20" t="str">
        <f>IFERROR(__xludf.DUMMYFUNCTION("""COMPUTED_VALUE"""),"Uncle Sams Cider (04/04/2023)")</f>
        <v>Uncle Sams Cider (04/04/2023)</v>
      </c>
      <c r="H844" s="19"/>
    </row>
    <row r="845">
      <c r="A845" s="9"/>
      <c r="B845" s="15"/>
      <c r="C845" s="9">
        <f>IFERROR(__xludf.DUMMYFUNCTION("""COMPUTED_VALUE"""),45135.7797519675)</f>
        <v>45135.77975</v>
      </c>
      <c r="D845" s="15">
        <f>IFERROR(__xludf.DUMMYFUNCTION("""COMPUTED_VALUE"""),0.998)</f>
        <v>0.998</v>
      </c>
      <c r="E845" s="16">
        <f>IFERROR(__xludf.DUMMYFUNCTION("""COMPUTED_VALUE"""),72.0)</f>
        <v>72</v>
      </c>
      <c r="F845" s="19" t="str">
        <f>IFERROR(__xludf.DUMMYFUNCTION("""COMPUTED_VALUE"""),"BLUE")</f>
        <v>BLUE</v>
      </c>
      <c r="G845" s="20" t="str">
        <f>IFERROR(__xludf.DUMMYFUNCTION("""COMPUTED_VALUE"""),"Uncle Sams Cider (04/04/2023)")</f>
        <v>Uncle Sams Cider (04/04/2023)</v>
      </c>
      <c r="H845" s="19"/>
    </row>
    <row r="846">
      <c r="A846" s="9"/>
      <c r="B846" s="15"/>
      <c r="C846" s="9">
        <f>IFERROR(__xludf.DUMMYFUNCTION("""COMPUTED_VALUE"""),45135.769330243)</f>
        <v>45135.76933</v>
      </c>
      <c r="D846" s="15">
        <f>IFERROR(__xludf.DUMMYFUNCTION("""COMPUTED_VALUE"""),0.998)</f>
        <v>0.998</v>
      </c>
      <c r="E846" s="16">
        <f>IFERROR(__xludf.DUMMYFUNCTION("""COMPUTED_VALUE"""),72.0)</f>
        <v>72</v>
      </c>
      <c r="F846" s="19" t="str">
        <f>IFERROR(__xludf.DUMMYFUNCTION("""COMPUTED_VALUE"""),"BLUE")</f>
        <v>BLUE</v>
      </c>
      <c r="G846" s="20" t="str">
        <f>IFERROR(__xludf.DUMMYFUNCTION("""COMPUTED_VALUE"""),"Uncle Sams Cider (04/04/2023)")</f>
        <v>Uncle Sams Cider (04/04/2023)</v>
      </c>
      <c r="H846" s="19"/>
    </row>
    <row r="847">
      <c r="A847" s="9"/>
      <c r="B847" s="15"/>
      <c r="C847" s="9">
        <f>IFERROR(__xludf.DUMMYFUNCTION("""COMPUTED_VALUE"""),45135.7589082291)</f>
        <v>45135.75891</v>
      </c>
      <c r="D847" s="15">
        <f>IFERROR(__xludf.DUMMYFUNCTION("""COMPUTED_VALUE"""),0.999)</f>
        <v>0.999</v>
      </c>
      <c r="E847" s="16">
        <f>IFERROR(__xludf.DUMMYFUNCTION("""COMPUTED_VALUE"""),72.0)</f>
        <v>72</v>
      </c>
      <c r="F847" s="19" t="str">
        <f>IFERROR(__xludf.DUMMYFUNCTION("""COMPUTED_VALUE"""),"BLUE")</f>
        <v>BLUE</v>
      </c>
      <c r="G847" s="20" t="str">
        <f>IFERROR(__xludf.DUMMYFUNCTION("""COMPUTED_VALUE"""),"Uncle Sams Cider (04/04/2023)")</f>
        <v>Uncle Sams Cider (04/04/2023)</v>
      </c>
      <c r="H847" s="19"/>
    </row>
    <row r="848">
      <c r="A848" s="9"/>
      <c r="B848" s="15"/>
      <c r="C848" s="9">
        <f>IFERROR(__xludf.DUMMYFUNCTION("""COMPUTED_VALUE"""),45135.7484873611)</f>
        <v>45135.74849</v>
      </c>
      <c r="D848" s="15">
        <f>IFERROR(__xludf.DUMMYFUNCTION("""COMPUTED_VALUE"""),0.998)</f>
        <v>0.998</v>
      </c>
      <c r="E848" s="16">
        <f>IFERROR(__xludf.DUMMYFUNCTION("""COMPUTED_VALUE"""),72.0)</f>
        <v>72</v>
      </c>
      <c r="F848" s="19" t="str">
        <f>IFERROR(__xludf.DUMMYFUNCTION("""COMPUTED_VALUE"""),"BLUE")</f>
        <v>BLUE</v>
      </c>
      <c r="G848" s="20" t="str">
        <f>IFERROR(__xludf.DUMMYFUNCTION("""COMPUTED_VALUE"""),"Uncle Sams Cider (04/04/2023)")</f>
        <v>Uncle Sams Cider (04/04/2023)</v>
      </c>
      <c r="H848" s="19"/>
    </row>
    <row r="849">
      <c r="A849" s="9"/>
      <c r="B849" s="15"/>
      <c r="C849" s="9">
        <f>IFERROR(__xludf.DUMMYFUNCTION("""COMPUTED_VALUE"""),45135.738053912)</f>
        <v>45135.73805</v>
      </c>
      <c r="D849" s="15">
        <f>IFERROR(__xludf.DUMMYFUNCTION("""COMPUTED_VALUE"""),0.998)</f>
        <v>0.998</v>
      </c>
      <c r="E849" s="16">
        <f>IFERROR(__xludf.DUMMYFUNCTION("""COMPUTED_VALUE"""),72.0)</f>
        <v>72</v>
      </c>
      <c r="F849" s="19" t="str">
        <f>IFERROR(__xludf.DUMMYFUNCTION("""COMPUTED_VALUE"""),"BLUE")</f>
        <v>BLUE</v>
      </c>
      <c r="G849" s="20" t="str">
        <f>IFERROR(__xludf.DUMMYFUNCTION("""COMPUTED_VALUE"""),"Uncle Sams Cider (04/04/2023)")</f>
        <v>Uncle Sams Cider (04/04/2023)</v>
      </c>
      <c r="H849" s="19"/>
    </row>
    <row r="850">
      <c r="A850" s="9"/>
      <c r="B850" s="15"/>
      <c r="C850" s="9">
        <f>IFERROR(__xludf.DUMMYFUNCTION("""COMPUTED_VALUE"""),45135.7276323611)</f>
        <v>45135.72763</v>
      </c>
      <c r="D850" s="15">
        <f>IFERROR(__xludf.DUMMYFUNCTION("""COMPUTED_VALUE"""),0.998)</f>
        <v>0.998</v>
      </c>
      <c r="E850" s="16">
        <f>IFERROR(__xludf.DUMMYFUNCTION("""COMPUTED_VALUE"""),73.0)</f>
        <v>73</v>
      </c>
      <c r="F850" s="19" t="str">
        <f>IFERROR(__xludf.DUMMYFUNCTION("""COMPUTED_VALUE"""),"BLUE")</f>
        <v>BLUE</v>
      </c>
      <c r="G850" s="20" t="str">
        <f>IFERROR(__xludf.DUMMYFUNCTION("""COMPUTED_VALUE"""),"Uncle Sams Cider (04/04/2023)")</f>
        <v>Uncle Sams Cider (04/04/2023)</v>
      </c>
      <c r="H850" s="19"/>
    </row>
    <row r="851">
      <c r="A851" s="9"/>
      <c r="B851" s="15"/>
      <c r="C851" s="9">
        <f>IFERROR(__xludf.DUMMYFUNCTION("""COMPUTED_VALUE"""),45135.7172112615)</f>
        <v>45135.71721</v>
      </c>
      <c r="D851" s="15">
        <f>IFERROR(__xludf.DUMMYFUNCTION("""COMPUTED_VALUE"""),0.999)</f>
        <v>0.999</v>
      </c>
      <c r="E851" s="16">
        <f>IFERROR(__xludf.DUMMYFUNCTION("""COMPUTED_VALUE"""),73.0)</f>
        <v>73</v>
      </c>
      <c r="F851" s="19" t="str">
        <f>IFERROR(__xludf.DUMMYFUNCTION("""COMPUTED_VALUE"""),"BLUE")</f>
        <v>BLUE</v>
      </c>
      <c r="G851" s="20" t="str">
        <f>IFERROR(__xludf.DUMMYFUNCTION("""COMPUTED_VALUE"""),"Uncle Sams Cider (04/04/2023)")</f>
        <v>Uncle Sams Cider (04/04/2023)</v>
      </c>
      <c r="H851" s="19"/>
    </row>
    <row r="852">
      <c r="A852" s="9"/>
      <c r="B852" s="15"/>
      <c r="C852" s="9">
        <f>IFERROR(__xludf.DUMMYFUNCTION("""COMPUTED_VALUE"""),45135.7067909838)</f>
        <v>45135.70679</v>
      </c>
      <c r="D852" s="15">
        <f>IFERROR(__xludf.DUMMYFUNCTION("""COMPUTED_VALUE"""),0.998)</f>
        <v>0.998</v>
      </c>
      <c r="E852" s="16">
        <f>IFERROR(__xludf.DUMMYFUNCTION("""COMPUTED_VALUE"""),72.0)</f>
        <v>72</v>
      </c>
      <c r="F852" s="19" t="str">
        <f>IFERROR(__xludf.DUMMYFUNCTION("""COMPUTED_VALUE"""),"BLUE")</f>
        <v>BLUE</v>
      </c>
      <c r="G852" s="20" t="str">
        <f>IFERROR(__xludf.DUMMYFUNCTION("""COMPUTED_VALUE"""),"Uncle Sams Cider (04/04/2023)")</f>
        <v>Uncle Sams Cider (04/04/2023)</v>
      </c>
      <c r="H852" s="19"/>
    </row>
    <row r="853">
      <c r="A853" s="9"/>
      <c r="B853" s="15"/>
      <c r="C853" s="9">
        <f>IFERROR(__xludf.DUMMYFUNCTION("""COMPUTED_VALUE"""),45135.6963703356)</f>
        <v>45135.69637</v>
      </c>
      <c r="D853" s="15">
        <f>IFERROR(__xludf.DUMMYFUNCTION("""COMPUTED_VALUE"""),0.998)</f>
        <v>0.998</v>
      </c>
      <c r="E853" s="16">
        <f>IFERROR(__xludf.DUMMYFUNCTION("""COMPUTED_VALUE"""),73.0)</f>
        <v>73</v>
      </c>
      <c r="F853" s="19" t="str">
        <f>IFERROR(__xludf.DUMMYFUNCTION("""COMPUTED_VALUE"""),"BLUE")</f>
        <v>BLUE</v>
      </c>
      <c r="G853" s="20" t="str">
        <f>IFERROR(__xludf.DUMMYFUNCTION("""COMPUTED_VALUE"""),"Uncle Sams Cider (04/04/2023)")</f>
        <v>Uncle Sams Cider (04/04/2023)</v>
      </c>
      <c r="H853" s="19"/>
    </row>
    <row r="854">
      <c r="A854" s="9"/>
      <c r="B854" s="15"/>
      <c r="C854" s="9">
        <f>IFERROR(__xludf.DUMMYFUNCTION("""COMPUTED_VALUE"""),45135.6859387268)</f>
        <v>45135.68594</v>
      </c>
      <c r="D854" s="15">
        <f>IFERROR(__xludf.DUMMYFUNCTION("""COMPUTED_VALUE"""),0.999)</f>
        <v>0.999</v>
      </c>
      <c r="E854" s="16">
        <f>IFERROR(__xludf.DUMMYFUNCTION("""COMPUTED_VALUE"""),73.0)</f>
        <v>73</v>
      </c>
      <c r="F854" s="19" t="str">
        <f>IFERROR(__xludf.DUMMYFUNCTION("""COMPUTED_VALUE"""),"BLUE")</f>
        <v>BLUE</v>
      </c>
      <c r="G854" s="20" t="str">
        <f>IFERROR(__xludf.DUMMYFUNCTION("""COMPUTED_VALUE"""),"Uncle Sams Cider (04/04/2023)")</f>
        <v>Uncle Sams Cider (04/04/2023)</v>
      </c>
      <c r="H854" s="19"/>
    </row>
    <row r="855">
      <c r="A855" s="9"/>
      <c r="B855" s="15"/>
      <c r="C855" s="9">
        <f>IFERROR(__xludf.DUMMYFUNCTION("""COMPUTED_VALUE"""),45135.6755074189)</f>
        <v>45135.67551</v>
      </c>
      <c r="D855" s="15">
        <f>IFERROR(__xludf.DUMMYFUNCTION("""COMPUTED_VALUE"""),0.998)</f>
        <v>0.998</v>
      </c>
      <c r="E855" s="16">
        <f>IFERROR(__xludf.DUMMYFUNCTION("""COMPUTED_VALUE"""),73.0)</f>
        <v>73</v>
      </c>
      <c r="F855" s="19" t="str">
        <f>IFERROR(__xludf.DUMMYFUNCTION("""COMPUTED_VALUE"""),"BLUE")</f>
        <v>BLUE</v>
      </c>
      <c r="G855" s="20" t="str">
        <f>IFERROR(__xludf.DUMMYFUNCTION("""COMPUTED_VALUE"""),"Uncle Sams Cider (04/04/2023)")</f>
        <v>Uncle Sams Cider (04/04/2023)</v>
      </c>
      <c r="H855" s="19"/>
    </row>
    <row r="856">
      <c r="A856" s="9"/>
      <c r="B856" s="15"/>
      <c r="C856" s="9">
        <f>IFERROR(__xludf.DUMMYFUNCTION("""COMPUTED_VALUE"""),45135.6650719444)</f>
        <v>45135.66507</v>
      </c>
      <c r="D856" s="15">
        <f>IFERROR(__xludf.DUMMYFUNCTION("""COMPUTED_VALUE"""),0.998)</f>
        <v>0.998</v>
      </c>
      <c r="E856" s="16">
        <f>IFERROR(__xludf.DUMMYFUNCTION("""COMPUTED_VALUE"""),73.0)</f>
        <v>73</v>
      </c>
      <c r="F856" s="19" t="str">
        <f>IFERROR(__xludf.DUMMYFUNCTION("""COMPUTED_VALUE"""),"BLUE")</f>
        <v>BLUE</v>
      </c>
      <c r="G856" s="20" t="str">
        <f>IFERROR(__xludf.DUMMYFUNCTION("""COMPUTED_VALUE"""),"Uncle Sams Cider (04/04/2023)")</f>
        <v>Uncle Sams Cider (04/04/2023)</v>
      </c>
      <c r="H856" s="19"/>
    </row>
    <row r="857">
      <c r="A857" s="9"/>
      <c r="B857" s="15"/>
      <c r="C857" s="9">
        <f>IFERROR(__xludf.DUMMYFUNCTION("""COMPUTED_VALUE"""),45135.6546394675)</f>
        <v>45135.65464</v>
      </c>
      <c r="D857" s="15">
        <f>IFERROR(__xludf.DUMMYFUNCTION("""COMPUTED_VALUE"""),0.998)</f>
        <v>0.998</v>
      </c>
      <c r="E857" s="16">
        <f>IFERROR(__xludf.DUMMYFUNCTION("""COMPUTED_VALUE"""),72.0)</f>
        <v>72</v>
      </c>
      <c r="F857" s="19" t="str">
        <f>IFERROR(__xludf.DUMMYFUNCTION("""COMPUTED_VALUE"""),"BLUE")</f>
        <v>BLUE</v>
      </c>
      <c r="G857" s="20" t="str">
        <f>IFERROR(__xludf.DUMMYFUNCTION("""COMPUTED_VALUE"""),"Uncle Sams Cider (04/04/2023)")</f>
        <v>Uncle Sams Cider (04/04/2023)</v>
      </c>
      <c r="H857" s="19"/>
    </row>
    <row r="858">
      <c r="A858" s="9"/>
      <c r="B858" s="15"/>
      <c r="C858" s="9">
        <f>IFERROR(__xludf.DUMMYFUNCTION("""COMPUTED_VALUE"""),45135.6442178472)</f>
        <v>45135.64422</v>
      </c>
      <c r="D858" s="15">
        <f>IFERROR(__xludf.DUMMYFUNCTION("""COMPUTED_VALUE"""),0.998)</f>
        <v>0.998</v>
      </c>
      <c r="E858" s="16">
        <f>IFERROR(__xludf.DUMMYFUNCTION("""COMPUTED_VALUE"""),73.0)</f>
        <v>73</v>
      </c>
      <c r="F858" s="19" t="str">
        <f>IFERROR(__xludf.DUMMYFUNCTION("""COMPUTED_VALUE"""),"BLUE")</f>
        <v>BLUE</v>
      </c>
      <c r="G858" s="20" t="str">
        <f>IFERROR(__xludf.DUMMYFUNCTION("""COMPUTED_VALUE"""),"Uncle Sams Cider (04/04/2023)")</f>
        <v>Uncle Sams Cider (04/04/2023)</v>
      </c>
      <c r="H858" s="19"/>
    </row>
    <row r="859">
      <c r="A859" s="9"/>
      <c r="B859" s="15"/>
      <c r="C859" s="9">
        <f>IFERROR(__xludf.DUMMYFUNCTION("""COMPUTED_VALUE"""),45135.6337959259)</f>
        <v>45135.6338</v>
      </c>
      <c r="D859" s="15">
        <f>IFERROR(__xludf.DUMMYFUNCTION("""COMPUTED_VALUE"""),0.998)</f>
        <v>0.998</v>
      </c>
      <c r="E859" s="16">
        <f>IFERROR(__xludf.DUMMYFUNCTION("""COMPUTED_VALUE"""),72.0)</f>
        <v>72</v>
      </c>
      <c r="F859" s="19" t="str">
        <f>IFERROR(__xludf.DUMMYFUNCTION("""COMPUTED_VALUE"""),"BLUE")</f>
        <v>BLUE</v>
      </c>
      <c r="G859" s="20" t="str">
        <f>IFERROR(__xludf.DUMMYFUNCTION("""COMPUTED_VALUE"""),"Uncle Sams Cider (04/04/2023)")</f>
        <v>Uncle Sams Cider (04/04/2023)</v>
      </c>
      <c r="H859" s="19"/>
    </row>
    <row r="860">
      <c r="A860" s="9"/>
      <c r="B860" s="15"/>
      <c r="C860" s="9">
        <f>IFERROR(__xludf.DUMMYFUNCTION("""COMPUTED_VALUE"""),45135.6233626041)</f>
        <v>45135.62336</v>
      </c>
      <c r="D860" s="15">
        <f>IFERROR(__xludf.DUMMYFUNCTION("""COMPUTED_VALUE"""),0.999)</f>
        <v>0.999</v>
      </c>
      <c r="E860" s="16">
        <f>IFERROR(__xludf.DUMMYFUNCTION("""COMPUTED_VALUE"""),72.0)</f>
        <v>72</v>
      </c>
      <c r="F860" s="19" t="str">
        <f>IFERROR(__xludf.DUMMYFUNCTION("""COMPUTED_VALUE"""),"BLUE")</f>
        <v>BLUE</v>
      </c>
      <c r="G860" s="20" t="str">
        <f>IFERROR(__xludf.DUMMYFUNCTION("""COMPUTED_VALUE"""),"Uncle Sams Cider (04/04/2023)")</f>
        <v>Uncle Sams Cider (04/04/2023)</v>
      </c>
      <c r="H860" s="19"/>
    </row>
    <row r="861">
      <c r="A861" s="9"/>
      <c r="B861" s="15"/>
      <c r="C861" s="9">
        <f>IFERROR(__xludf.DUMMYFUNCTION("""COMPUTED_VALUE"""),45135.6129420833)</f>
        <v>45135.61294</v>
      </c>
      <c r="D861" s="15">
        <f>IFERROR(__xludf.DUMMYFUNCTION("""COMPUTED_VALUE"""),0.998)</f>
        <v>0.998</v>
      </c>
      <c r="E861" s="16">
        <f>IFERROR(__xludf.DUMMYFUNCTION("""COMPUTED_VALUE"""),73.0)</f>
        <v>73</v>
      </c>
      <c r="F861" s="19" t="str">
        <f>IFERROR(__xludf.DUMMYFUNCTION("""COMPUTED_VALUE"""),"BLUE")</f>
        <v>BLUE</v>
      </c>
      <c r="G861" s="20" t="str">
        <f>IFERROR(__xludf.DUMMYFUNCTION("""COMPUTED_VALUE"""),"Uncle Sams Cider (04/04/2023)")</f>
        <v>Uncle Sams Cider (04/04/2023)</v>
      </c>
      <c r="H861" s="19"/>
    </row>
    <row r="862">
      <c r="A862" s="9"/>
      <c r="B862" s="15"/>
      <c r="C862" s="9">
        <f>IFERROR(__xludf.DUMMYFUNCTION("""COMPUTED_VALUE"""),45135.6025213657)</f>
        <v>45135.60252</v>
      </c>
      <c r="D862" s="15">
        <f>IFERROR(__xludf.DUMMYFUNCTION("""COMPUTED_VALUE"""),0.998)</f>
        <v>0.998</v>
      </c>
      <c r="E862" s="16">
        <f>IFERROR(__xludf.DUMMYFUNCTION("""COMPUTED_VALUE"""),72.0)</f>
        <v>72</v>
      </c>
      <c r="F862" s="19" t="str">
        <f>IFERROR(__xludf.DUMMYFUNCTION("""COMPUTED_VALUE"""),"BLUE")</f>
        <v>BLUE</v>
      </c>
      <c r="G862" s="20" t="str">
        <f>IFERROR(__xludf.DUMMYFUNCTION("""COMPUTED_VALUE"""),"Uncle Sams Cider (04/04/2023)")</f>
        <v>Uncle Sams Cider (04/04/2023)</v>
      </c>
      <c r="H862" s="19"/>
    </row>
    <row r="863">
      <c r="A863" s="9"/>
      <c r="B863" s="15"/>
      <c r="C863" s="9">
        <f>IFERROR(__xludf.DUMMYFUNCTION("""COMPUTED_VALUE"""),45135.5921004629)</f>
        <v>45135.5921</v>
      </c>
      <c r="D863" s="15">
        <f>IFERROR(__xludf.DUMMYFUNCTION("""COMPUTED_VALUE"""),0.998)</f>
        <v>0.998</v>
      </c>
      <c r="E863" s="16">
        <f>IFERROR(__xludf.DUMMYFUNCTION("""COMPUTED_VALUE"""),72.0)</f>
        <v>72</v>
      </c>
      <c r="F863" s="19" t="str">
        <f>IFERROR(__xludf.DUMMYFUNCTION("""COMPUTED_VALUE"""),"BLUE")</f>
        <v>BLUE</v>
      </c>
      <c r="G863" s="20" t="str">
        <f>IFERROR(__xludf.DUMMYFUNCTION("""COMPUTED_VALUE"""),"Uncle Sams Cider (04/04/2023)")</f>
        <v>Uncle Sams Cider (04/04/2023)</v>
      </c>
      <c r="H863" s="19"/>
    </row>
    <row r="864">
      <c r="A864" s="9"/>
      <c r="B864" s="15"/>
      <c r="C864" s="9">
        <f>IFERROR(__xludf.DUMMYFUNCTION("""COMPUTED_VALUE"""),45135.5816794676)</f>
        <v>45135.58168</v>
      </c>
      <c r="D864" s="15">
        <f>IFERROR(__xludf.DUMMYFUNCTION("""COMPUTED_VALUE"""),0.998)</f>
        <v>0.998</v>
      </c>
      <c r="E864" s="16">
        <f>IFERROR(__xludf.DUMMYFUNCTION("""COMPUTED_VALUE"""),72.0)</f>
        <v>72</v>
      </c>
      <c r="F864" s="19" t="str">
        <f>IFERROR(__xludf.DUMMYFUNCTION("""COMPUTED_VALUE"""),"BLUE")</f>
        <v>BLUE</v>
      </c>
      <c r="G864" s="20" t="str">
        <f>IFERROR(__xludf.DUMMYFUNCTION("""COMPUTED_VALUE"""),"Uncle Sams Cider (04/04/2023)")</f>
        <v>Uncle Sams Cider (04/04/2023)</v>
      </c>
      <c r="H864" s="19"/>
    </row>
    <row r="865">
      <c r="A865" s="9"/>
      <c r="B865" s="15"/>
      <c r="C865" s="9">
        <f>IFERROR(__xludf.DUMMYFUNCTION("""COMPUTED_VALUE"""),45135.5712581365)</f>
        <v>45135.57126</v>
      </c>
      <c r="D865" s="15">
        <f>IFERROR(__xludf.DUMMYFUNCTION("""COMPUTED_VALUE"""),0.998)</f>
        <v>0.998</v>
      </c>
      <c r="E865" s="16">
        <f>IFERROR(__xludf.DUMMYFUNCTION("""COMPUTED_VALUE"""),72.0)</f>
        <v>72</v>
      </c>
      <c r="F865" s="19" t="str">
        <f>IFERROR(__xludf.DUMMYFUNCTION("""COMPUTED_VALUE"""),"BLUE")</f>
        <v>BLUE</v>
      </c>
      <c r="G865" s="20" t="str">
        <f>IFERROR(__xludf.DUMMYFUNCTION("""COMPUTED_VALUE"""),"Uncle Sams Cider (04/04/2023)")</f>
        <v>Uncle Sams Cider (04/04/2023)</v>
      </c>
      <c r="H865" s="19"/>
    </row>
    <row r="866">
      <c r="A866" s="9"/>
      <c r="B866" s="15"/>
      <c r="C866" s="9">
        <f>IFERROR(__xludf.DUMMYFUNCTION("""COMPUTED_VALUE"""),45135.560838206)</f>
        <v>45135.56084</v>
      </c>
      <c r="D866" s="15">
        <f>IFERROR(__xludf.DUMMYFUNCTION("""COMPUTED_VALUE"""),0.998)</f>
        <v>0.998</v>
      </c>
      <c r="E866" s="16">
        <f>IFERROR(__xludf.DUMMYFUNCTION("""COMPUTED_VALUE"""),73.0)</f>
        <v>73</v>
      </c>
      <c r="F866" s="19" t="str">
        <f>IFERROR(__xludf.DUMMYFUNCTION("""COMPUTED_VALUE"""),"BLUE")</f>
        <v>BLUE</v>
      </c>
      <c r="G866" s="20" t="str">
        <f>IFERROR(__xludf.DUMMYFUNCTION("""COMPUTED_VALUE"""),"Uncle Sams Cider (04/04/2023)")</f>
        <v>Uncle Sams Cider (04/04/2023)</v>
      </c>
      <c r="H866" s="19"/>
    </row>
    <row r="867">
      <c r="A867" s="9"/>
      <c r="B867" s="15"/>
      <c r="C867" s="9">
        <f>IFERROR(__xludf.DUMMYFUNCTION("""COMPUTED_VALUE"""),45135.5504060069)</f>
        <v>45135.55041</v>
      </c>
      <c r="D867" s="15">
        <f>IFERROR(__xludf.DUMMYFUNCTION("""COMPUTED_VALUE"""),0.998)</f>
        <v>0.998</v>
      </c>
      <c r="E867" s="16">
        <f>IFERROR(__xludf.DUMMYFUNCTION("""COMPUTED_VALUE"""),72.0)</f>
        <v>72</v>
      </c>
      <c r="F867" s="19" t="str">
        <f>IFERROR(__xludf.DUMMYFUNCTION("""COMPUTED_VALUE"""),"BLUE")</f>
        <v>BLUE</v>
      </c>
      <c r="G867" s="20" t="str">
        <f>IFERROR(__xludf.DUMMYFUNCTION("""COMPUTED_VALUE"""),"Uncle Sams Cider (04/04/2023)")</f>
        <v>Uncle Sams Cider (04/04/2023)</v>
      </c>
      <c r="H867" s="19"/>
    </row>
    <row r="868">
      <c r="A868" s="9"/>
      <c r="B868" s="15"/>
      <c r="C868" s="9">
        <f>IFERROR(__xludf.DUMMYFUNCTION("""COMPUTED_VALUE"""),45135.53998478)</f>
        <v>45135.53998</v>
      </c>
      <c r="D868" s="15">
        <f>IFERROR(__xludf.DUMMYFUNCTION("""COMPUTED_VALUE"""),0.998)</f>
        <v>0.998</v>
      </c>
      <c r="E868" s="16">
        <f>IFERROR(__xludf.DUMMYFUNCTION("""COMPUTED_VALUE"""),73.0)</f>
        <v>73</v>
      </c>
      <c r="F868" s="19" t="str">
        <f>IFERROR(__xludf.DUMMYFUNCTION("""COMPUTED_VALUE"""),"BLUE")</f>
        <v>BLUE</v>
      </c>
      <c r="G868" s="20" t="str">
        <f>IFERROR(__xludf.DUMMYFUNCTION("""COMPUTED_VALUE"""),"Uncle Sams Cider (04/04/2023)")</f>
        <v>Uncle Sams Cider (04/04/2023)</v>
      </c>
      <c r="H868" s="19"/>
    </row>
    <row r="869">
      <c r="A869" s="9"/>
      <c r="B869" s="15"/>
      <c r="C869" s="9">
        <f>IFERROR(__xludf.DUMMYFUNCTION("""COMPUTED_VALUE"""),45135.5295640393)</f>
        <v>45135.52956</v>
      </c>
      <c r="D869" s="15">
        <f>IFERROR(__xludf.DUMMYFUNCTION("""COMPUTED_VALUE"""),0.999)</f>
        <v>0.999</v>
      </c>
      <c r="E869" s="16">
        <f>IFERROR(__xludf.DUMMYFUNCTION("""COMPUTED_VALUE"""),72.0)</f>
        <v>72</v>
      </c>
      <c r="F869" s="19" t="str">
        <f>IFERROR(__xludf.DUMMYFUNCTION("""COMPUTED_VALUE"""),"BLUE")</f>
        <v>BLUE</v>
      </c>
      <c r="G869" s="20" t="str">
        <f>IFERROR(__xludf.DUMMYFUNCTION("""COMPUTED_VALUE"""),"Uncle Sams Cider (04/04/2023)")</f>
        <v>Uncle Sams Cider (04/04/2023)</v>
      </c>
      <c r="H869" s="19"/>
    </row>
    <row r="870">
      <c r="A870" s="9"/>
      <c r="B870" s="15"/>
      <c r="C870" s="9">
        <f>IFERROR(__xludf.DUMMYFUNCTION("""COMPUTED_VALUE"""),45135.5191437615)</f>
        <v>45135.51914</v>
      </c>
      <c r="D870" s="15">
        <f>IFERROR(__xludf.DUMMYFUNCTION("""COMPUTED_VALUE"""),0.998)</f>
        <v>0.998</v>
      </c>
      <c r="E870" s="16">
        <f>IFERROR(__xludf.DUMMYFUNCTION("""COMPUTED_VALUE"""),72.0)</f>
        <v>72</v>
      </c>
      <c r="F870" s="19" t="str">
        <f>IFERROR(__xludf.DUMMYFUNCTION("""COMPUTED_VALUE"""),"BLUE")</f>
        <v>BLUE</v>
      </c>
      <c r="G870" s="20" t="str">
        <f>IFERROR(__xludf.DUMMYFUNCTION("""COMPUTED_VALUE"""),"Uncle Sams Cider (04/04/2023)")</f>
        <v>Uncle Sams Cider (04/04/2023)</v>
      </c>
      <c r="H870" s="19"/>
    </row>
    <row r="871">
      <c r="A871" s="9"/>
      <c r="B871" s="15"/>
      <c r="C871" s="9">
        <f>IFERROR(__xludf.DUMMYFUNCTION("""COMPUTED_VALUE"""),45135.508721875)</f>
        <v>45135.50872</v>
      </c>
      <c r="D871" s="15">
        <f>IFERROR(__xludf.DUMMYFUNCTION("""COMPUTED_VALUE"""),0.998)</f>
        <v>0.998</v>
      </c>
      <c r="E871" s="16">
        <f>IFERROR(__xludf.DUMMYFUNCTION("""COMPUTED_VALUE"""),72.0)</f>
        <v>72</v>
      </c>
      <c r="F871" s="19" t="str">
        <f>IFERROR(__xludf.DUMMYFUNCTION("""COMPUTED_VALUE"""),"BLUE")</f>
        <v>BLUE</v>
      </c>
      <c r="G871" s="20" t="str">
        <f>IFERROR(__xludf.DUMMYFUNCTION("""COMPUTED_VALUE"""),"Uncle Sams Cider (04/04/2023)")</f>
        <v>Uncle Sams Cider (04/04/2023)</v>
      </c>
      <c r="H871" s="19"/>
    </row>
    <row r="872">
      <c r="A872" s="9"/>
      <c r="B872" s="15"/>
      <c r="C872" s="9">
        <f>IFERROR(__xludf.DUMMYFUNCTION("""COMPUTED_VALUE"""),45135.4982994328)</f>
        <v>45135.4983</v>
      </c>
      <c r="D872" s="15">
        <f>IFERROR(__xludf.DUMMYFUNCTION("""COMPUTED_VALUE"""),0.998)</f>
        <v>0.998</v>
      </c>
      <c r="E872" s="16">
        <f>IFERROR(__xludf.DUMMYFUNCTION("""COMPUTED_VALUE"""),72.0)</f>
        <v>72</v>
      </c>
      <c r="F872" s="19" t="str">
        <f>IFERROR(__xludf.DUMMYFUNCTION("""COMPUTED_VALUE"""),"BLUE")</f>
        <v>BLUE</v>
      </c>
      <c r="G872" s="20" t="str">
        <f>IFERROR(__xludf.DUMMYFUNCTION("""COMPUTED_VALUE"""),"Uncle Sams Cider (04/04/2023)")</f>
        <v>Uncle Sams Cider (04/04/2023)</v>
      </c>
      <c r="H872" s="19"/>
    </row>
    <row r="873">
      <c r="A873" s="9"/>
      <c r="B873" s="15"/>
      <c r="C873" s="9">
        <f>IFERROR(__xludf.DUMMYFUNCTION("""COMPUTED_VALUE"""),45135.4878768055)</f>
        <v>45135.48788</v>
      </c>
      <c r="D873" s="15">
        <f>IFERROR(__xludf.DUMMYFUNCTION("""COMPUTED_VALUE"""),0.998)</f>
        <v>0.998</v>
      </c>
      <c r="E873" s="16">
        <f>IFERROR(__xludf.DUMMYFUNCTION("""COMPUTED_VALUE"""),73.0)</f>
        <v>73</v>
      </c>
      <c r="F873" s="19" t="str">
        <f>IFERROR(__xludf.DUMMYFUNCTION("""COMPUTED_VALUE"""),"BLUE")</f>
        <v>BLUE</v>
      </c>
      <c r="G873" s="20" t="str">
        <f>IFERROR(__xludf.DUMMYFUNCTION("""COMPUTED_VALUE"""),"Uncle Sams Cider (04/04/2023)")</f>
        <v>Uncle Sams Cider (04/04/2023)</v>
      </c>
      <c r="H873" s="19"/>
    </row>
    <row r="874">
      <c r="A874" s="9"/>
      <c r="B874" s="15"/>
      <c r="C874" s="9">
        <f>IFERROR(__xludf.DUMMYFUNCTION("""COMPUTED_VALUE"""),45135.4774541435)</f>
        <v>45135.47745</v>
      </c>
      <c r="D874" s="15">
        <f>IFERROR(__xludf.DUMMYFUNCTION("""COMPUTED_VALUE"""),0.998)</f>
        <v>0.998</v>
      </c>
      <c r="E874" s="16">
        <f>IFERROR(__xludf.DUMMYFUNCTION("""COMPUTED_VALUE"""),72.0)</f>
        <v>72</v>
      </c>
      <c r="F874" s="19" t="str">
        <f>IFERROR(__xludf.DUMMYFUNCTION("""COMPUTED_VALUE"""),"BLUE")</f>
        <v>BLUE</v>
      </c>
      <c r="G874" s="20" t="str">
        <f>IFERROR(__xludf.DUMMYFUNCTION("""COMPUTED_VALUE"""),"Uncle Sams Cider (04/04/2023)")</f>
        <v>Uncle Sams Cider (04/04/2023)</v>
      </c>
      <c r="H874" s="19"/>
    </row>
    <row r="875">
      <c r="A875" s="9"/>
      <c r="B875" s="15"/>
      <c r="C875" s="9">
        <f>IFERROR(__xludf.DUMMYFUNCTION("""COMPUTED_VALUE"""),45135.4670337847)</f>
        <v>45135.46703</v>
      </c>
      <c r="D875" s="15">
        <f>IFERROR(__xludf.DUMMYFUNCTION("""COMPUTED_VALUE"""),0.998)</f>
        <v>0.998</v>
      </c>
      <c r="E875" s="16">
        <f>IFERROR(__xludf.DUMMYFUNCTION("""COMPUTED_VALUE"""),72.0)</f>
        <v>72</v>
      </c>
      <c r="F875" s="19" t="str">
        <f>IFERROR(__xludf.DUMMYFUNCTION("""COMPUTED_VALUE"""),"BLUE")</f>
        <v>BLUE</v>
      </c>
      <c r="G875" s="20" t="str">
        <f>IFERROR(__xludf.DUMMYFUNCTION("""COMPUTED_VALUE"""),"Uncle Sams Cider (04/04/2023)")</f>
        <v>Uncle Sams Cider (04/04/2023)</v>
      </c>
      <c r="H875" s="19"/>
    </row>
    <row r="876">
      <c r="A876" s="9"/>
      <c r="B876" s="15"/>
      <c r="C876" s="9">
        <f>IFERROR(__xludf.DUMMYFUNCTION("""COMPUTED_VALUE"""),45135.4566111921)</f>
        <v>45135.45661</v>
      </c>
      <c r="D876" s="15">
        <f>IFERROR(__xludf.DUMMYFUNCTION("""COMPUTED_VALUE"""),0.998)</f>
        <v>0.998</v>
      </c>
      <c r="E876" s="16">
        <f>IFERROR(__xludf.DUMMYFUNCTION("""COMPUTED_VALUE"""),73.0)</f>
        <v>73</v>
      </c>
      <c r="F876" s="19" t="str">
        <f>IFERROR(__xludf.DUMMYFUNCTION("""COMPUTED_VALUE"""),"BLUE")</f>
        <v>BLUE</v>
      </c>
      <c r="G876" s="20" t="str">
        <f>IFERROR(__xludf.DUMMYFUNCTION("""COMPUTED_VALUE"""),"Uncle Sams Cider (04/04/2023)")</f>
        <v>Uncle Sams Cider (04/04/2023)</v>
      </c>
      <c r="H876" s="19"/>
    </row>
    <row r="877">
      <c r="A877" s="9"/>
      <c r="B877" s="15"/>
      <c r="C877" s="9">
        <f>IFERROR(__xludf.DUMMYFUNCTION("""COMPUTED_VALUE"""),45135.4461765277)</f>
        <v>45135.44618</v>
      </c>
      <c r="D877" s="15">
        <f>IFERROR(__xludf.DUMMYFUNCTION("""COMPUTED_VALUE"""),0.999)</f>
        <v>0.999</v>
      </c>
      <c r="E877" s="16">
        <f>IFERROR(__xludf.DUMMYFUNCTION("""COMPUTED_VALUE"""),72.0)</f>
        <v>72</v>
      </c>
      <c r="F877" s="19" t="str">
        <f>IFERROR(__xludf.DUMMYFUNCTION("""COMPUTED_VALUE"""),"BLUE")</f>
        <v>BLUE</v>
      </c>
      <c r="G877" s="20" t="str">
        <f>IFERROR(__xludf.DUMMYFUNCTION("""COMPUTED_VALUE"""),"Uncle Sams Cider (04/04/2023)")</f>
        <v>Uncle Sams Cider (04/04/2023)</v>
      </c>
      <c r="H877" s="19"/>
    </row>
    <row r="878">
      <c r="A878" s="9"/>
      <c r="B878" s="15"/>
      <c r="C878" s="9">
        <f>IFERROR(__xludf.DUMMYFUNCTION("""COMPUTED_VALUE"""),45135.4357554745)</f>
        <v>45135.43576</v>
      </c>
      <c r="D878" s="15">
        <f>IFERROR(__xludf.DUMMYFUNCTION("""COMPUTED_VALUE"""),0.998)</f>
        <v>0.998</v>
      </c>
      <c r="E878" s="16">
        <f>IFERROR(__xludf.DUMMYFUNCTION("""COMPUTED_VALUE"""),72.0)</f>
        <v>72</v>
      </c>
      <c r="F878" s="19" t="str">
        <f>IFERROR(__xludf.DUMMYFUNCTION("""COMPUTED_VALUE"""),"BLUE")</f>
        <v>BLUE</v>
      </c>
      <c r="G878" s="20" t="str">
        <f>IFERROR(__xludf.DUMMYFUNCTION("""COMPUTED_VALUE"""),"Uncle Sams Cider (04/04/2023)")</f>
        <v>Uncle Sams Cider (04/04/2023)</v>
      </c>
      <c r="H878" s="19"/>
    </row>
    <row r="879">
      <c r="A879" s="9"/>
      <c r="B879" s="15"/>
      <c r="C879" s="9">
        <f>IFERROR(__xludf.DUMMYFUNCTION("""COMPUTED_VALUE"""),45135.4253346875)</f>
        <v>45135.42533</v>
      </c>
      <c r="D879" s="15">
        <f>IFERROR(__xludf.DUMMYFUNCTION("""COMPUTED_VALUE"""),0.998)</f>
        <v>0.998</v>
      </c>
      <c r="E879" s="16">
        <f>IFERROR(__xludf.DUMMYFUNCTION("""COMPUTED_VALUE"""),72.0)</f>
        <v>72</v>
      </c>
      <c r="F879" s="19" t="str">
        <f>IFERROR(__xludf.DUMMYFUNCTION("""COMPUTED_VALUE"""),"BLUE")</f>
        <v>BLUE</v>
      </c>
      <c r="G879" s="20" t="str">
        <f>IFERROR(__xludf.DUMMYFUNCTION("""COMPUTED_VALUE"""),"Uncle Sams Cider (04/04/2023)")</f>
        <v>Uncle Sams Cider (04/04/2023)</v>
      </c>
      <c r="H879" s="19"/>
    </row>
    <row r="880">
      <c r="A880" s="9"/>
      <c r="B880" s="15"/>
      <c r="C880" s="9">
        <f>IFERROR(__xludf.DUMMYFUNCTION("""COMPUTED_VALUE"""),45135.4149141898)</f>
        <v>45135.41491</v>
      </c>
      <c r="D880" s="15">
        <f>IFERROR(__xludf.DUMMYFUNCTION("""COMPUTED_VALUE"""),0.998)</f>
        <v>0.998</v>
      </c>
      <c r="E880" s="16">
        <f>IFERROR(__xludf.DUMMYFUNCTION("""COMPUTED_VALUE"""),72.0)</f>
        <v>72</v>
      </c>
      <c r="F880" s="19" t="str">
        <f>IFERROR(__xludf.DUMMYFUNCTION("""COMPUTED_VALUE"""),"BLUE")</f>
        <v>BLUE</v>
      </c>
      <c r="G880" s="20" t="str">
        <f>IFERROR(__xludf.DUMMYFUNCTION("""COMPUTED_VALUE"""),"Uncle Sams Cider (04/04/2023)")</f>
        <v>Uncle Sams Cider (04/04/2023)</v>
      </c>
      <c r="H880" s="19"/>
    </row>
    <row r="881">
      <c r="A881" s="9"/>
      <c r="B881" s="15"/>
      <c r="C881" s="9">
        <f>IFERROR(__xludf.DUMMYFUNCTION("""COMPUTED_VALUE"""),45135.4044699189)</f>
        <v>45135.40447</v>
      </c>
      <c r="D881" s="15">
        <f>IFERROR(__xludf.DUMMYFUNCTION("""COMPUTED_VALUE"""),0.998)</f>
        <v>0.998</v>
      </c>
      <c r="E881" s="16">
        <f>IFERROR(__xludf.DUMMYFUNCTION("""COMPUTED_VALUE"""),72.0)</f>
        <v>72</v>
      </c>
      <c r="F881" s="19" t="str">
        <f>IFERROR(__xludf.DUMMYFUNCTION("""COMPUTED_VALUE"""),"BLUE")</f>
        <v>BLUE</v>
      </c>
      <c r="G881" s="20" t="str">
        <f>IFERROR(__xludf.DUMMYFUNCTION("""COMPUTED_VALUE"""),"Uncle Sams Cider (04/04/2023)")</f>
        <v>Uncle Sams Cider (04/04/2023)</v>
      </c>
      <c r="H881" s="19"/>
    </row>
    <row r="882">
      <c r="A882" s="9"/>
      <c r="B882" s="15"/>
      <c r="C882" s="9">
        <f>IFERROR(__xludf.DUMMYFUNCTION("""COMPUTED_VALUE"""),45135.3940484838)</f>
        <v>45135.39405</v>
      </c>
      <c r="D882" s="15">
        <f>IFERROR(__xludf.DUMMYFUNCTION("""COMPUTED_VALUE"""),0.998)</f>
        <v>0.998</v>
      </c>
      <c r="E882" s="16">
        <f>IFERROR(__xludf.DUMMYFUNCTION("""COMPUTED_VALUE"""),72.0)</f>
        <v>72</v>
      </c>
      <c r="F882" s="19" t="str">
        <f>IFERROR(__xludf.DUMMYFUNCTION("""COMPUTED_VALUE"""),"BLUE")</f>
        <v>BLUE</v>
      </c>
      <c r="G882" s="20" t="str">
        <f>IFERROR(__xludf.DUMMYFUNCTION("""COMPUTED_VALUE"""),"Uncle Sams Cider (04/04/2023)")</f>
        <v>Uncle Sams Cider (04/04/2023)</v>
      </c>
      <c r="H882" s="19"/>
    </row>
    <row r="883">
      <c r="A883" s="9"/>
      <c r="B883" s="15"/>
      <c r="C883" s="9">
        <f>IFERROR(__xludf.DUMMYFUNCTION("""COMPUTED_VALUE"""),45135.3836267939)</f>
        <v>45135.38363</v>
      </c>
      <c r="D883" s="15">
        <f>IFERROR(__xludf.DUMMYFUNCTION("""COMPUTED_VALUE"""),0.998)</f>
        <v>0.998</v>
      </c>
      <c r="E883" s="16">
        <f>IFERROR(__xludf.DUMMYFUNCTION("""COMPUTED_VALUE"""),72.0)</f>
        <v>72</v>
      </c>
      <c r="F883" s="19" t="str">
        <f>IFERROR(__xludf.DUMMYFUNCTION("""COMPUTED_VALUE"""),"BLUE")</f>
        <v>BLUE</v>
      </c>
      <c r="G883" s="20" t="str">
        <f>IFERROR(__xludf.DUMMYFUNCTION("""COMPUTED_VALUE"""),"Uncle Sams Cider (04/04/2023)")</f>
        <v>Uncle Sams Cider (04/04/2023)</v>
      </c>
      <c r="H883" s="19"/>
    </row>
    <row r="884">
      <c r="A884" s="9"/>
      <c r="B884" s="15"/>
      <c r="C884" s="9">
        <f>IFERROR(__xludf.DUMMYFUNCTION("""COMPUTED_VALUE"""),45135.3732055902)</f>
        <v>45135.37321</v>
      </c>
      <c r="D884" s="15">
        <f>IFERROR(__xludf.DUMMYFUNCTION("""COMPUTED_VALUE"""),0.998)</f>
        <v>0.998</v>
      </c>
      <c r="E884" s="16">
        <f>IFERROR(__xludf.DUMMYFUNCTION("""COMPUTED_VALUE"""),72.0)</f>
        <v>72</v>
      </c>
      <c r="F884" s="19" t="str">
        <f>IFERROR(__xludf.DUMMYFUNCTION("""COMPUTED_VALUE"""),"BLUE")</f>
        <v>BLUE</v>
      </c>
      <c r="G884" s="20" t="str">
        <f>IFERROR(__xludf.DUMMYFUNCTION("""COMPUTED_VALUE"""),"Uncle Sams Cider (04/04/2023)")</f>
        <v>Uncle Sams Cider (04/04/2023)</v>
      </c>
      <c r="H884" s="19"/>
    </row>
    <row r="885">
      <c r="A885" s="9"/>
      <c r="B885" s="15"/>
      <c r="C885" s="9">
        <f>IFERROR(__xludf.DUMMYFUNCTION("""COMPUTED_VALUE"""),45135.362785868)</f>
        <v>45135.36279</v>
      </c>
      <c r="D885" s="15">
        <f>IFERROR(__xludf.DUMMYFUNCTION("""COMPUTED_VALUE"""),0.998)</f>
        <v>0.998</v>
      </c>
      <c r="E885" s="16">
        <f>IFERROR(__xludf.DUMMYFUNCTION("""COMPUTED_VALUE"""),72.0)</f>
        <v>72</v>
      </c>
      <c r="F885" s="19" t="str">
        <f>IFERROR(__xludf.DUMMYFUNCTION("""COMPUTED_VALUE"""),"BLUE")</f>
        <v>BLUE</v>
      </c>
      <c r="G885" s="20" t="str">
        <f>IFERROR(__xludf.DUMMYFUNCTION("""COMPUTED_VALUE"""),"Uncle Sams Cider (04/04/2023)")</f>
        <v>Uncle Sams Cider (04/04/2023)</v>
      </c>
      <c r="H885" s="19"/>
    </row>
    <row r="886">
      <c r="A886" s="9"/>
      <c r="B886" s="15"/>
      <c r="C886" s="9">
        <f>IFERROR(__xludf.DUMMYFUNCTION("""COMPUTED_VALUE"""),45135.3523636342)</f>
        <v>45135.35236</v>
      </c>
      <c r="D886" s="15">
        <f>IFERROR(__xludf.DUMMYFUNCTION("""COMPUTED_VALUE"""),0.998)</f>
        <v>0.998</v>
      </c>
      <c r="E886" s="16">
        <f>IFERROR(__xludf.DUMMYFUNCTION("""COMPUTED_VALUE"""),72.0)</f>
        <v>72</v>
      </c>
      <c r="F886" s="19" t="str">
        <f>IFERROR(__xludf.DUMMYFUNCTION("""COMPUTED_VALUE"""),"BLUE")</f>
        <v>BLUE</v>
      </c>
      <c r="G886" s="20" t="str">
        <f>IFERROR(__xludf.DUMMYFUNCTION("""COMPUTED_VALUE"""),"Uncle Sams Cider (04/04/2023)")</f>
        <v>Uncle Sams Cider (04/04/2023)</v>
      </c>
      <c r="H886" s="19"/>
    </row>
    <row r="887">
      <c r="A887" s="9"/>
      <c r="B887" s="15"/>
      <c r="C887" s="9">
        <f>IFERROR(__xludf.DUMMYFUNCTION("""COMPUTED_VALUE"""),45135.3419432175)</f>
        <v>45135.34194</v>
      </c>
      <c r="D887" s="15">
        <f>IFERROR(__xludf.DUMMYFUNCTION("""COMPUTED_VALUE"""),0.999)</f>
        <v>0.999</v>
      </c>
      <c r="E887" s="16">
        <f>IFERROR(__xludf.DUMMYFUNCTION("""COMPUTED_VALUE"""),72.0)</f>
        <v>72</v>
      </c>
      <c r="F887" s="19" t="str">
        <f>IFERROR(__xludf.DUMMYFUNCTION("""COMPUTED_VALUE"""),"BLUE")</f>
        <v>BLUE</v>
      </c>
      <c r="G887" s="20" t="str">
        <f>IFERROR(__xludf.DUMMYFUNCTION("""COMPUTED_VALUE"""),"Uncle Sams Cider (04/04/2023)")</f>
        <v>Uncle Sams Cider (04/04/2023)</v>
      </c>
      <c r="H887" s="19"/>
    </row>
    <row r="888">
      <c r="A888" s="9"/>
      <c r="B888" s="15"/>
      <c r="C888" s="9">
        <f>IFERROR(__xludf.DUMMYFUNCTION("""COMPUTED_VALUE"""),45135.331524375)</f>
        <v>45135.33152</v>
      </c>
      <c r="D888" s="15">
        <f>IFERROR(__xludf.DUMMYFUNCTION("""COMPUTED_VALUE"""),0.998)</f>
        <v>0.998</v>
      </c>
      <c r="E888" s="16">
        <f>IFERROR(__xludf.DUMMYFUNCTION("""COMPUTED_VALUE"""),72.0)</f>
        <v>72</v>
      </c>
      <c r="F888" s="19" t="str">
        <f>IFERROR(__xludf.DUMMYFUNCTION("""COMPUTED_VALUE"""),"BLUE")</f>
        <v>BLUE</v>
      </c>
      <c r="G888" s="20" t="str">
        <f>IFERROR(__xludf.DUMMYFUNCTION("""COMPUTED_VALUE"""),"Uncle Sams Cider (04/04/2023)")</f>
        <v>Uncle Sams Cider (04/04/2023)</v>
      </c>
      <c r="H888" s="19"/>
    </row>
    <row r="889">
      <c r="A889" s="9"/>
      <c r="B889" s="15"/>
      <c r="C889" s="9">
        <f>IFERROR(__xludf.DUMMYFUNCTION("""COMPUTED_VALUE"""),45135.3211037847)</f>
        <v>45135.3211</v>
      </c>
      <c r="D889" s="15">
        <f>IFERROR(__xludf.DUMMYFUNCTION("""COMPUTED_VALUE"""),0.998)</f>
        <v>0.998</v>
      </c>
      <c r="E889" s="16">
        <f>IFERROR(__xludf.DUMMYFUNCTION("""COMPUTED_VALUE"""),72.0)</f>
        <v>72</v>
      </c>
      <c r="F889" s="19" t="str">
        <f>IFERROR(__xludf.DUMMYFUNCTION("""COMPUTED_VALUE"""),"BLUE")</f>
        <v>BLUE</v>
      </c>
      <c r="G889" s="20" t="str">
        <f>IFERROR(__xludf.DUMMYFUNCTION("""COMPUTED_VALUE"""),"Uncle Sams Cider (04/04/2023)")</f>
        <v>Uncle Sams Cider (04/04/2023)</v>
      </c>
      <c r="H889" s="19"/>
    </row>
    <row r="890">
      <c r="A890" s="9"/>
      <c r="B890" s="15"/>
      <c r="C890" s="9">
        <f>IFERROR(__xludf.DUMMYFUNCTION("""COMPUTED_VALUE"""),45135.3106822801)</f>
        <v>45135.31068</v>
      </c>
      <c r="D890" s="15">
        <f>IFERROR(__xludf.DUMMYFUNCTION("""COMPUTED_VALUE"""),0.998)</f>
        <v>0.998</v>
      </c>
      <c r="E890" s="16">
        <f>IFERROR(__xludf.DUMMYFUNCTION("""COMPUTED_VALUE"""),72.0)</f>
        <v>72</v>
      </c>
      <c r="F890" s="19" t="str">
        <f>IFERROR(__xludf.DUMMYFUNCTION("""COMPUTED_VALUE"""),"BLUE")</f>
        <v>BLUE</v>
      </c>
      <c r="G890" s="20" t="str">
        <f>IFERROR(__xludf.DUMMYFUNCTION("""COMPUTED_VALUE"""),"Uncle Sams Cider (04/04/2023)")</f>
        <v>Uncle Sams Cider (04/04/2023)</v>
      </c>
      <c r="H890" s="19"/>
    </row>
    <row r="891">
      <c r="A891" s="9"/>
      <c r="B891" s="15"/>
      <c r="C891" s="9">
        <f>IFERROR(__xludf.DUMMYFUNCTION("""COMPUTED_VALUE"""),45135.3002633217)</f>
        <v>45135.30026</v>
      </c>
      <c r="D891" s="15">
        <f>IFERROR(__xludf.DUMMYFUNCTION("""COMPUTED_VALUE"""),0.998)</f>
        <v>0.998</v>
      </c>
      <c r="E891" s="16">
        <f>IFERROR(__xludf.DUMMYFUNCTION("""COMPUTED_VALUE"""),72.0)</f>
        <v>72</v>
      </c>
      <c r="F891" s="19" t="str">
        <f>IFERROR(__xludf.DUMMYFUNCTION("""COMPUTED_VALUE"""),"BLUE")</f>
        <v>BLUE</v>
      </c>
      <c r="G891" s="20" t="str">
        <f>IFERROR(__xludf.DUMMYFUNCTION("""COMPUTED_VALUE"""),"Uncle Sams Cider (04/04/2023)")</f>
        <v>Uncle Sams Cider (04/04/2023)</v>
      </c>
      <c r="H891" s="19"/>
    </row>
    <row r="892">
      <c r="A892" s="9"/>
      <c r="B892" s="15"/>
      <c r="C892" s="9">
        <f>IFERROR(__xludf.DUMMYFUNCTION("""COMPUTED_VALUE"""),45135.2898423958)</f>
        <v>45135.28984</v>
      </c>
      <c r="D892" s="15">
        <f>IFERROR(__xludf.DUMMYFUNCTION("""COMPUTED_VALUE"""),0.998)</f>
        <v>0.998</v>
      </c>
      <c r="E892" s="16">
        <f>IFERROR(__xludf.DUMMYFUNCTION("""COMPUTED_VALUE"""),72.0)</f>
        <v>72</v>
      </c>
      <c r="F892" s="19" t="str">
        <f>IFERROR(__xludf.DUMMYFUNCTION("""COMPUTED_VALUE"""),"BLUE")</f>
        <v>BLUE</v>
      </c>
      <c r="G892" s="20" t="str">
        <f>IFERROR(__xludf.DUMMYFUNCTION("""COMPUTED_VALUE"""),"Uncle Sams Cider (04/04/2023)")</f>
        <v>Uncle Sams Cider (04/04/2023)</v>
      </c>
      <c r="H892" s="19"/>
    </row>
    <row r="893">
      <c r="A893" s="9"/>
      <c r="B893" s="15"/>
      <c r="C893" s="9">
        <f>IFERROR(__xludf.DUMMYFUNCTION("""COMPUTED_VALUE"""),45135.2794203472)</f>
        <v>45135.27942</v>
      </c>
      <c r="D893" s="15">
        <f>IFERROR(__xludf.DUMMYFUNCTION("""COMPUTED_VALUE"""),0.999)</f>
        <v>0.999</v>
      </c>
      <c r="E893" s="16">
        <f>IFERROR(__xludf.DUMMYFUNCTION("""COMPUTED_VALUE"""),72.0)</f>
        <v>72</v>
      </c>
      <c r="F893" s="19" t="str">
        <f>IFERROR(__xludf.DUMMYFUNCTION("""COMPUTED_VALUE"""),"BLUE")</f>
        <v>BLUE</v>
      </c>
      <c r="G893" s="20" t="str">
        <f>IFERROR(__xludf.DUMMYFUNCTION("""COMPUTED_VALUE"""),"Uncle Sams Cider (04/04/2023)")</f>
        <v>Uncle Sams Cider (04/04/2023)</v>
      </c>
      <c r="H893" s="19"/>
    </row>
    <row r="894">
      <c r="A894" s="9"/>
      <c r="B894" s="15"/>
      <c r="C894" s="9">
        <f>IFERROR(__xludf.DUMMYFUNCTION("""COMPUTED_VALUE"""),45135.2689994328)</f>
        <v>45135.269</v>
      </c>
      <c r="D894" s="15">
        <f>IFERROR(__xludf.DUMMYFUNCTION("""COMPUTED_VALUE"""),0.998)</f>
        <v>0.998</v>
      </c>
      <c r="E894" s="16">
        <f>IFERROR(__xludf.DUMMYFUNCTION("""COMPUTED_VALUE"""),72.0)</f>
        <v>72</v>
      </c>
      <c r="F894" s="19" t="str">
        <f>IFERROR(__xludf.DUMMYFUNCTION("""COMPUTED_VALUE"""),"BLUE")</f>
        <v>BLUE</v>
      </c>
      <c r="G894" s="20" t="str">
        <f>IFERROR(__xludf.DUMMYFUNCTION("""COMPUTED_VALUE"""),"Uncle Sams Cider (04/04/2023)")</f>
        <v>Uncle Sams Cider (04/04/2023)</v>
      </c>
      <c r="H894" s="19"/>
    </row>
    <row r="895">
      <c r="A895" s="9"/>
      <c r="B895" s="15"/>
      <c r="C895" s="9">
        <f>IFERROR(__xludf.DUMMYFUNCTION("""COMPUTED_VALUE"""),45135.2585652662)</f>
        <v>45135.25857</v>
      </c>
      <c r="D895" s="15">
        <f>IFERROR(__xludf.DUMMYFUNCTION("""COMPUTED_VALUE"""),0.999)</f>
        <v>0.999</v>
      </c>
      <c r="E895" s="16">
        <f>IFERROR(__xludf.DUMMYFUNCTION("""COMPUTED_VALUE"""),72.0)</f>
        <v>72</v>
      </c>
      <c r="F895" s="19" t="str">
        <f>IFERROR(__xludf.DUMMYFUNCTION("""COMPUTED_VALUE"""),"BLUE")</f>
        <v>BLUE</v>
      </c>
      <c r="G895" s="20" t="str">
        <f>IFERROR(__xludf.DUMMYFUNCTION("""COMPUTED_VALUE"""),"Uncle Sams Cider (04/04/2023)")</f>
        <v>Uncle Sams Cider (04/04/2023)</v>
      </c>
      <c r="H895" s="19"/>
    </row>
    <row r="896">
      <c r="A896" s="9"/>
      <c r="B896" s="15"/>
      <c r="C896" s="9">
        <f>IFERROR(__xludf.DUMMYFUNCTION("""COMPUTED_VALUE"""),45135.2481425463)</f>
        <v>45135.24814</v>
      </c>
      <c r="D896" s="15">
        <f>IFERROR(__xludf.DUMMYFUNCTION("""COMPUTED_VALUE"""),0.998)</f>
        <v>0.998</v>
      </c>
      <c r="E896" s="16">
        <f>IFERROR(__xludf.DUMMYFUNCTION("""COMPUTED_VALUE"""),72.0)</f>
        <v>72</v>
      </c>
      <c r="F896" s="19" t="str">
        <f>IFERROR(__xludf.DUMMYFUNCTION("""COMPUTED_VALUE"""),"BLUE")</f>
        <v>BLUE</v>
      </c>
      <c r="G896" s="20" t="str">
        <f>IFERROR(__xludf.DUMMYFUNCTION("""COMPUTED_VALUE"""),"Uncle Sams Cider (04/04/2023)")</f>
        <v>Uncle Sams Cider (04/04/2023)</v>
      </c>
      <c r="H896" s="19"/>
    </row>
    <row r="897">
      <c r="A897" s="9"/>
      <c r="B897" s="15"/>
      <c r="C897" s="9">
        <f>IFERROR(__xludf.DUMMYFUNCTION("""COMPUTED_VALUE"""),45135.2377225)</f>
        <v>45135.23772</v>
      </c>
      <c r="D897" s="15">
        <f>IFERROR(__xludf.DUMMYFUNCTION("""COMPUTED_VALUE"""),0.998)</f>
        <v>0.998</v>
      </c>
      <c r="E897" s="16">
        <f>IFERROR(__xludf.DUMMYFUNCTION("""COMPUTED_VALUE"""),72.0)</f>
        <v>72</v>
      </c>
      <c r="F897" s="19" t="str">
        <f>IFERROR(__xludf.DUMMYFUNCTION("""COMPUTED_VALUE"""),"BLUE")</f>
        <v>BLUE</v>
      </c>
      <c r="G897" s="20" t="str">
        <f>IFERROR(__xludf.DUMMYFUNCTION("""COMPUTED_VALUE"""),"Uncle Sams Cider (04/04/2023)")</f>
        <v>Uncle Sams Cider (04/04/2023)</v>
      </c>
      <c r="H897" s="19"/>
    </row>
    <row r="898">
      <c r="A898" s="9"/>
      <c r="B898" s="15"/>
      <c r="C898" s="9">
        <f>IFERROR(__xludf.DUMMYFUNCTION("""COMPUTED_VALUE"""),45135.2272784722)</f>
        <v>45135.22728</v>
      </c>
      <c r="D898" s="15">
        <f>IFERROR(__xludf.DUMMYFUNCTION("""COMPUTED_VALUE"""),0.998)</f>
        <v>0.998</v>
      </c>
      <c r="E898" s="16">
        <f>IFERROR(__xludf.DUMMYFUNCTION("""COMPUTED_VALUE"""),72.0)</f>
        <v>72</v>
      </c>
      <c r="F898" s="19" t="str">
        <f>IFERROR(__xludf.DUMMYFUNCTION("""COMPUTED_VALUE"""),"BLUE")</f>
        <v>BLUE</v>
      </c>
      <c r="G898" s="20" t="str">
        <f>IFERROR(__xludf.DUMMYFUNCTION("""COMPUTED_VALUE"""),"Uncle Sams Cider (04/04/2023)")</f>
        <v>Uncle Sams Cider (04/04/2023)</v>
      </c>
      <c r="H898" s="19"/>
    </row>
    <row r="899">
      <c r="A899" s="9"/>
      <c r="B899" s="15"/>
      <c r="C899" s="9">
        <f>IFERROR(__xludf.DUMMYFUNCTION("""COMPUTED_VALUE"""),45135.2168568865)</f>
        <v>45135.21686</v>
      </c>
      <c r="D899" s="15">
        <f>IFERROR(__xludf.DUMMYFUNCTION("""COMPUTED_VALUE"""),0.998)</f>
        <v>0.998</v>
      </c>
      <c r="E899" s="16">
        <f>IFERROR(__xludf.DUMMYFUNCTION("""COMPUTED_VALUE"""),72.0)</f>
        <v>72</v>
      </c>
      <c r="F899" s="19" t="str">
        <f>IFERROR(__xludf.DUMMYFUNCTION("""COMPUTED_VALUE"""),"BLUE")</f>
        <v>BLUE</v>
      </c>
      <c r="G899" s="20" t="str">
        <f>IFERROR(__xludf.DUMMYFUNCTION("""COMPUTED_VALUE"""),"Uncle Sams Cider (04/04/2023)")</f>
        <v>Uncle Sams Cider (04/04/2023)</v>
      </c>
      <c r="H899" s="19"/>
    </row>
    <row r="900">
      <c r="A900" s="9"/>
      <c r="B900" s="15"/>
      <c r="C900" s="9">
        <f>IFERROR(__xludf.DUMMYFUNCTION("""COMPUTED_VALUE"""),45135.2064226504)</f>
        <v>45135.20642</v>
      </c>
      <c r="D900" s="15">
        <f>IFERROR(__xludf.DUMMYFUNCTION("""COMPUTED_VALUE"""),0.998)</f>
        <v>0.998</v>
      </c>
      <c r="E900" s="16">
        <f>IFERROR(__xludf.DUMMYFUNCTION("""COMPUTED_VALUE"""),72.0)</f>
        <v>72</v>
      </c>
      <c r="F900" s="19" t="str">
        <f>IFERROR(__xludf.DUMMYFUNCTION("""COMPUTED_VALUE"""),"BLUE")</f>
        <v>BLUE</v>
      </c>
      <c r="G900" s="20" t="str">
        <f>IFERROR(__xludf.DUMMYFUNCTION("""COMPUTED_VALUE"""),"Uncle Sams Cider (04/04/2023)")</f>
        <v>Uncle Sams Cider (04/04/2023)</v>
      </c>
      <c r="H900" s="19"/>
    </row>
    <row r="901">
      <c r="A901" s="9"/>
      <c r="B901" s="15"/>
      <c r="C901" s="9">
        <f>IFERROR(__xludf.DUMMYFUNCTION("""COMPUTED_VALUE"""),45135.1959892592)</f>
        <v>45135.19599</v>
      </c>
      <c r="D901" s="15">
        <f>IFERROR(__xludf.DUMMYFUNCTION("""COMPUTED_VALUE"""),0.999)</f>
        <v>0.999</v>
      </c>
      <c r="E901" s="16">
        <f>IFERROR(__xludf.DUMMYFUNCTION("""COMPUTED_VALUE"""),72.0)</f>
        <v>72</v>
      </c>
      <c r="F901" s="19" t="str">
        <f>IFERROR(__xludf.DUMMYFUNCTION("""COMPUTED_VALUE"""),"BLUE")</f>
        <v>BLUE</v>
      </c>
      <c r="G901" s="20" t="str">
        <f>IFERROR(__xludf.DUMMYFUNCTION("""COMPUTED_VALUE"""),"Uncle Sams Cider (04/04/2023)")</f>
        <v>Uncle Sams Cider (04/04/2023)</v>
      </c>
      <c r="H901" s="19"/>
    </row>
    <row r="902">
      <c r="A902" s="9"/>
      <c r="B902" s="15"/>
      <c r="C902" s="9">
        <f>IFERROR(__xludf.DUMMYFUNCTION("""COMPUTED_VALUE"""),45135.1855571643)</f>
        <v>45135.18556</v>
      </c>
      <c r="D902" s="15">
        <f>IFERROR(__xludf.DUMMYFUNCTION("""COMPUTED_VALUE"""),0.998)</f>
        <v>0.998</v>
      </c>
      <c r="E902" s="16">
        <f>IFERROR(__xludf.DUMMYFUNCTION("""COMPUTED_VALUE"""),72.0)</f>
        <v>72</v>
      </c>
      <c r="F902" s="19" t="str">
        <f>IFERROR(__xludf.DUMMYFUNCTION("""COMPUTED_VALUE"""),"BLUE")</f>
        <v>BLUE</v>
      </c>
      <c r="G902" s="20" t="str">
        <f>IFERROR(__xludf.DUMMYFUNCTION("""COMPUTED_VALUE"""),"Uncle Sams Cider (04/04/2023)")</f>
        <v>Uncle Sams Cider (04/04/2023)</v>
      </c>
      <c r="H902" s="19"/>
    </row>
    <row r="903">
      <c r="A903" s="9"/>
      <c r="B903" s="15"/>
      <c r="C903" s="9">
        <f>IFERROR(__xludf.DUMMYFUNCTION("""COMPUTED_VALUE"""),45135.175124699)</f>
        <v>45135.17512</v>
      </c>
      <c r="D903" s="15">
        <f>IFERROR(__xludf.DUMMYFUNCTION("""COMPUTED_VALUE"""),0.998)</f>
        <v>0.998</v>
      </c>
      <c r="E903" s="16">
        <f>IFERROR(__xludf.DUMMYFUNCTION("""COMPUTED_VALUE"""),72.0)</f>
        <v>72</v>
      </c>
      <c r="F903" s="19" t="str">
        <f>IFERROR(__xludf.DUMMYFUNCTION("""COMPUTED_VALUE"""),"BLUE")</f>
        <v>BLUE</v>
      </c>
      <c r="G903" s="20" t="str">
        <f>IFERROR(__xludf.DUMMYFUNCTION("""COMPUTED_VALUE"""),"Uncle Sams Cider (04/04/2023)")</f>
        <v>Uncle Sams Cider (04/04/2023)</v>
      </c>
      <c r="H903" s="19"/>
    </row>
    <row r="904">
      <c r="A904" s="9"/>
      <c r="B904" s="15"/>
      <c r="C904" s="9">
        <f>IFERROR(__xludf.DUMMYFUNCTION("""COMPUTED_VALUE"""),45135.1647049189)</f>
        <v>45135.1647</v>
      </c>
      <c r="D904" s="15">
        <f>IFERROR(__xludf.DUMMYFUNCTION("""COMPUTED_VALUE"""),0.998)</f>
        <v>0.998</v>
      </c>
      <c r="E904" s="16">
        <f>IFERROR(__xludf.DUMMYFUNCTION("""COMPUTED_VALUE"""),72.0)</f>
        <v>72</v>
      </c>
      <c r="F904" s="19" t="str">
        <f>IFERROR(__xludf.DUMMYFUNCTION("""COMPUTED_VALUE"""),"BLUE")</f>
        <v>BLUE</v>
      </c>
      <c r="G904" s="20" t="str">
        <f>IFERROR(__xludf.DUMMYFUNCTION("""COMPUTED_VALUE"""),"Uncle Sams Cider (04/04/2023)")</f>
        <v>Uncle Sams Cider (04/04/2023)</v>
      </c>
      <c r="H904" s="19"/>
    </row>
    <row r="905">
      <c r="A905" s="9"/>
      <c r="B905" s="15"/>
      <c r="C905" s="9">
        <f>IFERROR(__xludf.DUMMYFUNCTION("""COMPUTED_VALUE"""),45135.1542838425)</f>
        <v>45135.15428</v>
      </c>
      <c r="D905" s="15">
        <f>IFERROR(__xludf.DUMMYFUNCTION("""COMPUTED_VALUE"""),0.998)</f>
        <v>0.998</v>
      </c>
      <c r="E905" s="16">
        <f>IFERROR(__xludf.DUMMYFUNCTION("""COMPUTED_VALUE"""),72.0)</f>
        <v>72</v>
      </c>
      <c r="F905" s="19" t="str">
        <f>IFERROR(__xludf.DUMMYFUNCTION("""COMPUTED_VALUE"""),"BLUE")</f>
        <v>BLUE</v>
      </c>
      <c r="G905" s="20" t="str">
        <f>IFERROR(__xludf.DUMMYFUNCTION("""COMPUTED_VALUE"""),"Uncle Sams Cider (04/04/2023)")</f>
        <v>Uncle Sams Cider (04/04/2023)</v>
      </c>
      <c r="H905" s="19"/>
    </row>
    <row r="906">
      <c r="A906" s="9"/>
      <c r="B906" s="15"/>
      <c r="C906" s="9">
        <f>IFERROR(__xludf.DUMMYFUNCTION("""COMPUTED_VALUE"""),45135.1438624652)</f>
        <v>45135.14386</v>
      </c>
      <c r="D906" s="15">
        <f>IFERROR(__xludf.DUMMYFUNCTION("""COMPUTED_VALUE"""),0.998)</f>
        <v>0.998</v>
      </c>
      <c r="E906" s="16">
        <f>IFERROR(__xludf.DUMMYFUNCTION("""COMPUTED_VALUE"""),72.0)</f>
        <v>72</v>
      </c>
      <c r="F906" s="19" t="str">
        <f>IFERROR(__xludf.DUMMYFUNCTION("""COMPUTED_VALUE"""),"BLUE")</f>
        <v>BLUE</v>
      </c>
      <c r="G906" s="20" t="str">
        <f>IFERROR(__xludf.DUMMYFUNCTION("""COMPUTED_VALUE"""),"Uncle Sams Cider (04/04/2023)")</f>
        <v>Uncle Sams Cider (04/04/2023)</v>
      </c>
      <c r="H906" s="19"/>
    </row>
    <row r="907">
      <c r="A907" s="9"/>
      <c r="B907" s="15"/>
      <c r="C907" s="9">
        <f>IFERROR(__xludf.DUMMYFUNCTION("""COMPUTED_VALUE"""),45135.1334422685)</f>
        <v>45135.13344</v>
      </c>
      <c r="D907" s="15">
        <f>IFERROR(__xludf.DUMMYFUNCTION("""COMPUTED_VALUE"""),0.998)</f>
        <v>0.998</v>
      </c>
      <c r="E907" s="16">
        <f>IFERROR(__xludf.DUMMYFUNCTION("""COMPUTED_VALUE"""),72.0)</f>
        <v>72</v>
      </c>
      <c r="F907" s="19" t="str">
        <f>IFERROR(__xludf.DUMMYFUNCTION("""COMPUTED_VALUE"""),"BLUE")</f>
        <v>BLUE</v>
      </c>
      <c r="G907" s="20" t="str">
        <f>IFERROR(__xludf.DUMMYFUNCTION("""COMPUTED_VALUE"""),"Uncle Sams Cider (04/04/2023)")</f>
        <v>Uncle Sams Cider (04/04/2023)</v>
      </c>
      <c r="H907" s="19"/>
    </row>
    <row r="908">
      <c r="A908" s="9"/>
      <c r="B908" s="15"/>
      <c r="C908" s="9">
        <f>IFERROR(__xludf.DUMMYFUNCTION("""COMPUTED_VALUE"""),45135.1230208564)</f>
        <v>45135.12302</v>
      </c>
      <c r="D908" s="15">
        <f>IFERROR(__xludf.DUMMYFUNCTION("""COMPUTED_VALUE"""),0.998)</f>
        <v>0.998</v>
      </c>
      <c r="E908" s="16">
        <f>IFERROR(__xludf.DUMMYFUNCTION("""COMPUTED_VALUE"""),72.0)</f>
        <v>72</v>
      </c>
      <c r="F908" s="19" t="str">
        <f>IFERROR(__xludf.DUMMYFUNCTION("""COMPUTED_VALUE"""),"BLUE")</f>
        <v>BLUE</v>
      </c>
      <c r="G908" s="20" t="str">
        <f>IFERROR(__xludf.DUMMYFUNCTION("""COMPUTED_VALUE"""),"Uncle Sams Cider (04/04/2023)")</f>
        <v>Uncle Sams Cider (04/04/2023)</v>
      </c>
      <c r="H908" s="19"/>
    </row>
    <row r="909">
      <c r="A909" s="9"/>
      <c r="B909" s="15"/>
      <c r="C909" s="9">
        <f>IFERROR(__xludf.DUMMYFUNCTION("""COMPUTED_VALUE"""),45135.112587824)</f>
        <v>45135.11259</v>
      </c>
      <c r="D909" s="15">
        <f>IFERROR(__xludf.DUMMYFUNCTION("""COMPUTED_VALUE"""),0.998)</f>
        <v>0.998</v>
      </c>
      <c r="E909" s="16">
        <f>IFERROR(__xludf.DUMMYFUNCTION("""COMPUTED_VALUE"""),72.0)</f>
        <v>72</v>
      </c>
      <c r="F909" s="19" t="str">
        <f>IFERROR(__xludf.DUMMYFUNCTION("""COMPUTED_VALUE"""),"BLUE")</f>
        <v>BLUE</v>
      </c>
      <c r="G909" s="20" t="str">
        <f>IFERROR(__xludf.DUMMYFUNCTION("""COMPUTED_VALUE"""),"Uncle Sams Cider (04/04/2023)")</f>
        <v>Uncle Sams Cider (04/04/2023)</v>
      </c>
      <c r="H909" s="19"/>
    </row>
    <row r="910">
      <c r="A910" s="9"/>
      <c r="B910" s="15"/>
      <c r="C910" s="9">
        <f>IFERROR(__xludf.DUMMYFUNCTION("""COMPUTED_VALUE"""),45135.102167824)</f>
        <v>45135.10217</v>
      </c>
      <c r="D910" s="15">
        <f>IFERROR(__xludf.DUMMYFUNCTION("""COMPUTED_VALUE"""),0.998)</f>
        <v>0.998</v>
      </c>
      <c r="E910" s="16">
        <f>IFERROR(__xludf.DUMMYFUNCTION("""COMPUTED_VALUE"""),72.0)</f>
        <v>72</v>
      </c>
      <c r="F910" s="19" t="str">
        <f>IFERROR(__xludf.DUMMYFUNCTION("""COMPUTED_VALUE"""),"BLUE")</f>
        <v>BLUE</v>
      </c>
      <c r="G910" s="20" t="str">
        <f>IFERROR(__xludf.DUMMYFUNCTION("""COMPUTED_VALUE"""),"Uncle Sams Cider (04/04/2023)")</f>
        <v>Uncle Sams Cider (04/04/2023)</v>
      </c>
      <c r="H910" s="19"/>
    </row>
    <row r="911">
      <c r="A911" s="9"/>
      <c r="B911" s="15"/>
      <c r="C911" s="9">
        <f>IFERROR(__xludf.DUMMYFUNCTION("""COMPUTED_VALUE"""),45135.0917337847)</f>
        <v>45135.09173</v>
      </c>
      <c r="D911" s="15">
        <f>IFERROR(__xludf.DUMMYFUNCTION("""COMPUTED_VALUE"""),0.998)</f>
        <v>0.998</v>
      </c>
      <c r="E911" s="16">
        <f>IFERROR(__xludf.DUMMYFUNCTION("""COMPUTED_VALUE"""),72.0)</f>
        <v>72</v>
      </c>
      <c r="F911" s="19" t="str">
        <f>IFERROR(__xludf.DUMMYFUNCTION("""COMPUTED_VALUE"""),"BLUE")</f>
        <v>BLUE</v>
      </c>
      <c r="G911" s="20" t="str">
        <f>IFERROR(__xludf.DUMMYFUNCTION("""COMPUTED_VALUE"""),"Uncle Sams Cider (04/04/2023)")</f>
        <v>Uncle Sams Cider (04/04/2023)</v>
      </c>
      <c r="H911" s="19"/>
    </row>
    <row r="912">
      <c r="A912" s="9"/>
      <c r="B912" s="15"/>
      <c r="C912" s="9">
        <f>IFERROR(__xludf.DUMMYFUNCTION("""COMPUTED_VALUE"""),45135.0813037731)</f>
        <v>45135.0813</v>
      </c>
      <c r="D912" s="15">
        <f>IFERROR(__xludf.DUMMYFUNCTION("""COMPUTED_VALUE"""),0.998)</f>
        <v>0.998</v>
      </c>
      <c r="E912" s="16">
        <f>IFERROR(__xludf.DUMMYFUNCTION("""COMPUTED_VALUE"""),72.0)</f>
        <v>72</v>
      </c>
      <c r="F912" s="19" t="str">
        <f>IFERROR(__xludf.DUMMYFUNCTION("""COMPUTED_VALUE"""),"BLUE")</f>
        <v>BLUE</v>
      </c>
      <c r="G912" s="20" t="str">
        <f>IFERROR(__xludf.DUMMYFUNCTION("""COMPUTED_VALUE"""),"Uncle Sams Cider (04/04/2023)")</f>
        <v>Uncle Sams Cider (04/04/2023)</v>
      </c>
      <c r="H912" s="19"/>
    </row>
    <row r="913">
      <c r="A913" s="9"/>
      <c r="B913" s="15"/>
      <c r="C913" s="9">
        <f>IFERROR(__xludf.DUMMYFUNCTION("""COMPUTED_VALUE"""),45135.0708826388)</f>
        <v>45135.07088</v>
      </c>
      <c r="D913" s="15">
        <f>IFERROR(__xludf.DUMMYFUNCTION("""COMPUTED_VALUE"""),0.998)</f>
        <v>0.998</v>
      </c>
      <c r="E913" s="16">
        <f>IFERROR(__xludf.DUMMYFUNCTION("""COMPUTED_VALUE"""),72.0)</f>
        <v>72</v>
      </c>
      <c r="F913" s="19" t="str">
        <f>IFERROR(__xludf.DUMMYFUNCTION("""COMPUTED_VALUE"""),"BLUE")</f>
        <v>BLUE</v>
      </c>
      <c r="G913" s="20" t="str">
        <f>IFERROR(__xludf.DUMMYFUNCTION("""COMPUTED_VALUE"""),"Uncle Sams Cider (04/04/2023)")</f>
        <v>Uncle Sams Cider (04/04/2023)</v>
      </c>
      <c r="H913" s="19"/>
    </row>
    <row r="914">
      <c r="A914" s="9"/>
      <c r="B914" s="15"/>
      <c r="C914" s="9">
        <f>IFERROR(__xludf.DUMMYFUNCTION("""COMPUTED_VALUE"""),45135.0604610648)</f>
        <v>45135.06046</v>
      </c>
      <c r="D914" s="15">
        <f>IFERROR(__xludf.DUMMYFUNCTION("""COMPUTED_VALUE"""),0.998)</f>
        <v>0.998</v>
      </c>
      <c r="E914" s="16">
        <f>IFERROR(__xludf.DUMMYFUNCTION("""COMPUTED_VALUE"""),72.0)</f>
        <v>72</v>
      </c>
      <c r="F914" s="19" t="str">
        <f>IFERROR(__xludf.DUMMYFUNCTION("""COMPUTED_VALUE"""),"BLUE")</f>
        <v>BLUE</v>
      </c>
      <c r="G914" s="20" t="str">
        <f>IFERROR(__xludf.DUMMYFUNCTION("""COMPUTED_VALUE"""),"Uncle Sams Cider (04/04/2023)")</f>
        <v>Uncle Sams Cider (04/04/2023)</v>
      </c>
      <c r="H914" s="19"/>
    </row>
    <row r="915">
      <c r="A915" s="9"/>
      <c r="B915" s="15"/>
      <c r="C915" s="9">
        <f>IFERROR(__xludf.DUMMYFUNCTION("""COMPUTED_VALUE"""),45135.0500385648)</f>
        <v>45135.05004</v>
      </c>
      <c r="D915" s="15">
        <f>IFERROR(__xludf.DUMMYFUNCTION("""COMPUTED_VALUE"""),0.998)</f>
        <v>0.998</v>
      </c>
      <c r="E915" s="16">
        <f>IFERROR(__xludf.DUMMYFUNCTION("""COMPUTED_VALUE"""),72.0)</f>
        <v>72</v>
      </c>
      <c r="F915" s="19" t="str">
        <f>IFERROR(__xludf.DUMMYFUNCTION("""COMPUTED_VALUE"""),"BLUE")</f>
        <v>BLUE</v>
      </c>
      <c r="G915" s="20" t="str">
        <f>IFERROR(__xludf.DUMMYFUNCTION("""COMPUTED_VALUE"""),"Uncle Sams Cider (04/04/2023)")</f>
        <v>Uncle Sams Cider (04/04/2023)</v>
      </c>
      <c r="H915" s="19"/>
    </row>
    <row r="916">
      <c r="A916" s="9"/>
      <c r="B916" s="15"/>
      <c r="C916" s="9">
        <f>IFERROR(__xludf.DUMMYFUNCTION("""COMPUTED_VALUE"""),45135.0396175463)</f>
        <v>45135.03962</v>
      </c>
      <c r="D916" s="15">
        <f>IFERROR(__xludf.DUMMYFUNCTION("""COMPUTED_VALUE"""),0.999)</f>
        <v>0.999</v>
      </c>
      <c r="E916" s="16">
        <f>IFERROR(__xludf.DUMMYFUNCTION("""COMPUTED_VALUE"""),72.0)</f>
        <v>72</v>
      </c>
      <c r="F916" s="19" t="str">
        <f>IFERROR(__xludf.DUMMYFUNCTION("""COMPUTED_VALUE"""),"BLUE")</f>
        <v>BLUE</v>
      </c>
      <c r="G916" s="20" t="str">
        <f>IFERROR(__xludf.DUMMYFUNCTION("""COMPUTED_VALUE"""),"Uncle Sams Cider (04/04/2023)")</f>
        <v>Uncle Sams Cider (04/04/2023)</v>
      </c>
      <c r="H916" s="19"/>
    </row>
    <row r="917">
      <c r="A917" s="9"/>
      <c r="B917" s="15"/>
      <c r="C917" s="9">
        <f>IFERROR(__xludf.DUMMYFUNCTION("""COMPUTED_VALUE"""),45135.0291949537)</f>
        <v>45135.02919</v>
      </c>
      <c r="D917" s="15">
        <f>IFERROR(__xludf.DUMMYFUNCTION("""COMPUTED_VALUE"""),0.998)</f>
        <v>0.998</v>
      </c>
      <c r="E917" s="16">
        <f>IFERROR(__xludf.DUMMYFUNCTION("""COMPUTED_VALUE"""),72.0)</f>
        <v>72</v>
      </c>
      <c r="F917" s="19" t="str">
        <f>IFERROR(__xludf.DUMMYFUNCTION("""COMPUTED_VALUE"""),"BLUE")</f>
        <v>BLUE</v>
      </c>
      <c r="G917" s="20" t="str">
        <f>IFERROR(__xludf.DUMMYFUNCTION("""COMPUTED_VALUE"""),"Uncle Sams Cider (04/04/2023)")</f>
        <v>Uncle Sams Cider (04/04/2023)</v>
      </c>
      <c r="H917" s="19"/>
    </row>
    <row r="918">
      <c r="A918" s="9"/>
      <c r="B918" s="15"/>
      <c r="C918" s="9">
        <f>IFERROR(__xludf.DUMMYFUNCTION("""COMPUTED_VALUE"""),45135.0187712152)</f>
        <v>45135.01877</v>
      </c>
      <c r="D918" s="15">
        <f>IFERROR(__xludf.DUMMYFUNCTION("""COMPUTED_VALUE"""),0.999)</f>
        <v>0.999</v>
      </c>
      <c r="E918" s="16">
        <f>IFERROR(__xludf.DUMMYFUNCTION("""COMPUTED_VALUE"""),72.0)</f>
        <v>72</v>
      </c>
      <c r="F918" s="19" t="str">
        <f>IFERROR(__xludf.DUMMYFUNCTION("""COMPUTED_VALUE"""),"BLUE")</f>
        <v>BLUE</v>
      </c>
      <c r="G918" s="20" t="str">
        <f>IFERROR(__xludf.DUMMYFUNCTION("""COMPUTED_VALUE"""),"Uncle Sams Cider (04/04/2023)")</f>
        <v>Uncle Sams Cider (04/04/2023)</v>
      </c>
      <c r="H918" s="19"/>
    </row>
    <row r="919">
      <c r="A919" s="9"/>
      <c r="B919" s="15"/>
      <c r="C919" s="9">
        <f>IFERROR(__xludf.DUMMYFUNCTION("""COMPUTED_VALUE"""),45135.0083382986)</f>
        <v>45135.00834</v>
      </c>
      <c r="D919" s="15">
        <f>IFERROR(__xludf.DUMMYFUNCTION("""COMPUTED_VALUE"""),0.998)</f>
        <v>0.998</v>
      </c>
      <c r="E919" s="16">
        <f>IFERROR(__xludf.DUMMYFUNCTION("""COMPUTED_VALUE"""),72.0)</f>
        <v>72</v>
      </c>
      <c r="F919" s="19" t="str">
        <f>IFERROR(__xludf.DUMMYFUNCTION("""COMPUTED_VALUE"""),"BLUE")</f>
        <v>BLUE</v>
      </c>
      <c r="G919" s="20" t="str">
        <f>IFERROR(__xludf.DUMMYFUNCTION("""COMPUTED_VALUE"""),"Uncle Sams Cider (04/04/2023)")</f>
        <v>Uncle Sams Cider (04/04/2023)</v>
      </c>
      <c r="H919" s="19"/>
    </row>
    <row r="920">
      <c r="A920" s="9"/>
      <c r="B920" s="15"/>
      <c r="C920" s="9">
        <f>IFERROR(__xludf.DUMMYFUNCTION("""COMPUTED_VALUE"""),45134.9979049652)</f>
        <v>45134.9979</v>
      </c>
      <c r="D920" s="15">
        <f>IFERROR(__xludf.DUMMYFUNCTION("""COMPUTED_VALUE"""),0.998)</f>
        <v>0.998</v>
      </c>
      <c r="E920" s="16">
        <f>IFERROR(__xludf.DUMMYFUNCTION("""COMPUTED_VALUE"""),72.0)</f>
        <v>72</v>
      </c>
      <c r="F920" s="19" t="str">
        <f>IFERROR(__xludf.DUMMYFUNCTION("""COMPUTED_VALUE"""),"BLUE")</f>
        <v>BLUE</v>
      </c>
      <c r="G920" s="20" t="str">
        <f>IFERROR(__xludf.DUMMYFUNCTION("""COMPUTED_VALUE"""),"Uncle Sams Cider (04/04/2023)")</f>
        <v>Uncle Sams Cider (04/04/2023)</v>
      </c>
      <c r="H920" s="19"/>
    </row>
    <row r="921">
      <c r="A921" s="9"/>
      <c r="B921" s="15"/>
      <c r="C921" s="9">
        <f>IFERROR(__xludf.DUMMYFUNCTION("""COMPUTED_VALUE"""),45134.9874842361)</f>
        <v>45134.98748</v>
      </c>
      <c r="D921" s="15">
        <f>IFERROR(__xludf.DUMMYFUNCTION("""COMPUTED_VALUE"""),0.998)</f>
        <v>0.998</v>
      </c>
      <c r="E921" s="16">
        <f>IFERROR(__xludf.DUMMYFUNCTION("""COMPUTED_VALUE"""),72.0)</f>
        <v>72</v>
      </c>
      <c r="F921" s="19" t="str">
        <f>IFERROR(__xludf.DUMMYFUNCTION("""COMPUTED_VALUE"""),"BLUE")</f>
        <v>BLUE</v>
      </c>
      <c r="G921" s="20" t="str">
        <f>IFERROR(__xludf.DUMMYFUNCTION("""COMPUTED_VALUE"""),"Uncle Sams Cider (04/04/2023)")</f>
        <v>Uncle Sams Cider (04/04/2023)</v>
      </c>
      <c r="H921" s="19"/>
    </row>
    <row r="922">
      <c r="A922" s="9"/>
      <c r="B922" s="15"/>
      <c r="C922" s="9">
        <f>IFERROR(__xludf.DUMMYFUNCTION("""COMPUTED_VALUE"""),45134.9770521759)</f>
        <v>45134.97705</v>
      </c>
      <c r="D922" s="15">
        <f>IFERROR(__xludf.DUMMYFUNCTION("""COMPUTED_VALUE"""),0.998)</f>
        <v>0.998</v>
      </c>
      <c r="E922" s="16">
        <f>IFERROR(__xludf.DUMMYFUNCTION("""COMPUTED_VALUE"""),72.0)</f>
        <v>72</v>
      </c>
      <c r="F922" s="19" t="str">
        <f>IFERROR(__xludf.DUMMYFUNCTION("""COMPUTED_VALUE"""),"BLUE")</f>
        <v>BLUE</v>
      </c>
      <c r="G922" s="20" t="str">
        <f>IFERROR(__xludf.DUMMYFUNCTION("""COMPUTED_VALUE"""),"Uncle Sams Cider (04/04/2023)")</f>
        <v>Uncle Sams Cider (04/04/2023)</v>
      </c>
      <c r="H922" s="19"/>
    </row>
    <row r="923">
      <c r="A923" s="9"/>
      <c r="B923" s="15"/>
      <c r="C923" s="9">
        <f>IFERROR(__xludf.DUMMYFUNCTION("""COMPUTED_VALUE"""),45134.9666317592)</f>
        <v>45134.96663</v>
      </c>
      <c r="D923" s="15">
        <f>IFERROR(__xludf.DUMMYFUNCTION("""COMPUTED_VALUE"""),0.998)</f>
        <v>0.998</v>
      </c>
      <c r="E923" s="16">
        <f>IFERROR(__xludf.DUMMYFUNCTION("""COMPUTED_VALUE"""),72.0)</f>
        <v>72</v>
      </c>
      <c r="F923" s="19" t="str">
        <f>IFERROR(__xludf.DUMMYFUNCTION("""COMPUTED_VALUE"""),"BLUE")</f>
        <v>BLUE</v>
      </c>
      <c r="G923" s="20" t="str">
        <f>IFERROR(__xludf.DUMMYFUNCTION("""COMPUTED_VALUE"""),"Uncle Sams Cider (04/04/2023)")</f>
        <v>Uncle Sams Cider (04/04/2023)</v>
      </c>
      <c r="H923" s="19"/>
    </row>
    <row r="924">
      <c r="A924" s="9"/>
      <c r="B924" s="15"/>
      <c r="C924" s="9">
        <f>IFERROR(__xludf.DUMMYFUNCTION("""COMPUTED_VALUE"""),45134.9561871296)</f>
        <v>45134.95619</v>
      </c>
      <c r="D924" s="15">
        <f>IFERROR(__xludf.DUMMYFUNCTION("""COMPUTED_VALUE"""),0.998)</f>
        <v>0.998</v>
      </c>
      <c r="E924" s="16">
        <f>IFERROR(__xludf.DUMMYFUNCTION("""COMPUTED_VALUE"""),72.0)</f>
        <v>72</v>
      </c>
      <c r="F924" s="19" t="str">
        <f>IFERROR(__xludf.DUMMYFUNCTION("""COMPUTED_VALUE"""),"BLUE")</f>
        <v>BLUE</v>
      </c>
      <c r="G924" s="20" t="str">
        <f>IFERROR(__xludf.DUMMYFUNCTION("""COMPUTED_VALUE"""),"Uncle Sams Cider (04/04/2023)")</f>
        <v>Uncle Sams Cider (04/04/2023)</v>
      </c>
      <c r="H924" s="19"/>
    </row>
    <row r="925">
      <c r="A925" s="9"/>
      <c r="B925" s="15"/>
      <c r="C925" s="9">
        <f>IFERROR(__xludf.DUMMYFUNCTION("""COMPUTED_VALUE"""),45134.9457670717)</f>
        <v>45134.94577</v>
      </c>
      <c r="D925" s="15">
        <f>IFERROR(__xludf.DUMMYFUNCTION("""COMPUTED_VALUE"""),0.998)</f>
        <v>0.998</v>
      </c>
      <c r="E925" s="16">
        <f>IFERROR(__xludf.DUMMYFUNCTION("""COMPUTED_VALUE"""),72.0)</f>
        <v>72</v>
      </c>
      <c r="F925" s="19" t="str">
        <f>IFERROR(__xludf.DUMMYFUNCTION("""COMPUTED_VALUE"""),"BLUE")</f>
        <v>BLUE</v>
      </c>
      <c r="G925" s="20" t="str">
        <f>IFERROR(__xludf.DUMMYFUNCTION("""COMPUTED_VALUE"""),"Uncle Sams Cider (04/04/2023)")</f>
        <v>Uncle Sams Cider (04/04/2023)</v>
      </c>
      <c r="H925" s="19"/>
    </row>
    <row r="926">
      <c r="A926" s="9"/>
      <c r="B926" s="15"/>
      <c r="C926" s="9">
        <f>IFERROR(__xludf.DUMMYFUNCTION("""COMPUTED_VALUE"""),45134.9353460763)</f>
        <v>45134.93535</v>
      </c>
      <c r="D926" s="15">
        <f>IFERROR(__xludf.DUMMYFUNCTION("""COMPUTED_VALUE"""),0.998)</f>
        <v>0.998</v>
      </c>
      <c r="E926" s="16">
        <f>IFERROR(__xludf.DUMMYFUNCTION("""COMPUTED_VALUE"""),72.0)</f>
        <v>72</v>
      </c>
      <c r="F926" s="19" t="str">
        <f>IFERROR(__xludf.DUMMYFUNCTION("""COMPUTED_VALUE"""),"BLUE")</f>
        <v>BLUE</v>
      </c>
      <c r="G926" s="20" t="str">
        <f>IFERROR(__xludf.DUMMYFUNCTION("""COMPUTED_VALUE"""),"Uncle Sams Cider (04/04/2023)")</f>
        <v>Uncle Sams Cider (04/04/2023)</v>
      </c>
      <c r="H926" s="19"/>
    </row>
    <row r="927">
      <c r="A927" s="9"/>
      <c r="B927" s="15"/>
      <c r="C927" s="9">
        <f>IFERROR(__xludf.DUMMYFUNCTION("""COMPUTED_VALUE"""),45134.9249247337)</f>
        <v>45134.92492</v>
      </c>
      <c r="D927" s="15">
        <f>IFERROR(__xludf.DUMMYFUNCTION("""COMPUTED_VALUE"""),0.998)</f>
        <v>0.998</v>
      </c>
      <c r="E927" s="16">
        <f>IFERROR(__xludf.DUMMYFUNCTION("""COMPUTED_VALUE"""),72.0)</f>
        <v>72</v>
      </c>
      <c r="F927" s="19" t="str">
        <f>IFERROR(__xludf.DUMMYFUNCTION("""COMPUTED_VALUE"""),"BLUE")</f>
        <v>BLUE</v>
      </c>
      <c r="G927" s="20" t="str">
        <f>IFERROR(__xludf.DUMMYFUNCTION("""COMPUTED_VALUE"""),"Uncle Sams Cider (04/04/2023)")</f>
        <v>Uncle Sams Cider (04/04/2023)</v>
      </c>
      <c r="H927" s="19"/>
    </row>
    <row r="928">
      <c r="A928" s="9"/>
      <c r="B928" s="15"/>
      <c r="C928" s="9">
        <f>IFERROR(__xludf.DUMMYFUNCTION("""COMPUTED_VALUE"""),45134.9144920023)</f>
        <v>45134.91449</v>
      </c>
      <c r="D928" s="15">
        <f>IFERROR(__xludf.DUMMYFUNCTION("""COMPUTED_VALUE"""),0.998)</f>
        <v>0.998</v>
      </c>
      <c r="E928" s="16">
        <f>IFERROR(__xludf.DUMMYFUNCTION("""COMPUTED_VALUE"""),72.0)</f>
        <v>72</v>
      </c>
      <c r="F928" s="19" t="str">
        <f>IFERROR(__xludf.DUMMYFUNCTION("""COMPUTED_VALUE"""),"BLUE")</f>
        <v>BLUE</v>
      </c>
      <c r="G928" s="20" t="str">
        <f>IFERROR(__xludf.DUMMYFUNCTION("""COMPUTED_VALUE"""),"Uncle Sams Cider (04/04/2023)")</f>
        <v>Uncle Sams Cider (04/04/2023)</v>
      </c>
      <c r="H928" s="19"/>
    </row>
    <row r="929">
      <c r="A929" s="9"/>
      <c r="B929" s="15"/>
      <c r="C929" s="9">
        <f>IFERROR(__xludf.DUMMYFUNCTION("""COMPUTED_VALUE"""),45134.9040723379)</f>
        <v>45134.90407</v>
      </c>
      <c r="D929" s="15">
        <f>IFERROR(__xludf.DUMMYFUNCTION("""COMPUTED_VALUE"""),0.998)</f>
        <v>0.998</v>
      </c>
      <c r="E929" s="16">
        <f>IFERROR(__xludf.DUMMYFUNCTION("""COMPUTED_VALUE"""),72.0)</f>
        <v>72</v>
      </c>
      <c r="F929" s="19" t="str">
        <f>IFERROR(__xludf.DUMMYFUNCTION("""COMPUTED_VALUE"""),"BLUE")</f>
        <v>BLUE</v>
      </c>
      <c r="G929" s="20" t="str">
        <f>IFERROR(__xludf.DUMMYFUNCTION("""COMPUTED_VALUE"""),"Uncle Sams Cider (04/04/2023)")</f>
        <v>Uncle Sams Cider (04/04/2023)</v>
      </c>
      <c r="H929" s="19"/>
    </row>
    <row r="930">
      <c r="A930" s="9"/>
      <c r="B930" s="15"/>
      <c r="C930" s="9">
        <f>IFERROR(__xludf.DUMMYFUNCTION("""COMPUTED_VALUE"""),45134.8936501967)</f>
        <v>45134.89365</v>
      </c>
      <c r="D930" s="15">
        <f>IFERROR(__xludf.DUMMYFUNCTION("""COMPUTED_VALUE"""),0.998)</f>
        <v>0.998</v>
      </c>
      <c r="E930" s="16">
        <f>IFERROR(__xludf.DUMMYFUNCTION("""COMPUTED_VALUE"""),72.0)</f>
        <v>72</v>
      </c>
      <c r="F930" s="19" t="str">
        <f>IFERROR(__xludf.DUMMYFUNCTION("""COMPUTED_VALUE"""),"BLUE")</f>
        <v>BLUE</v>
      </c>
      <c r="G930" s="20" t="str">
        <f>IFERROR(__xludf.DUMMYFUNCTION("""COMPUTED_VALUE"""),"Uncle Sams Cider (04/04/2023)")</f>
        <v>Uncle Sams Cider (04/04/2023)</v>
      </c>
      <c r="H930" s="19"/>
    </row>
    <row r="931">
      <c r="A931" s="9"/>
      <c r="B931" s="15"/>
      <c r="C931" s="9">
        <f>IFERROR(__xludf.DUMMYFUNCTION("""COMPUTED_VALUE"""),45134.8922191898)</f>
        <v>45134.89222</v>
      </c>
      <c r="D931" s="15">
        <f>IFERROR(__xludf.DUMMYFUNCTION("""COMPUTED_VALUE"""),0.998)</f>
        <v>0.998</v>
      </c>
      <c r="E931" s="16">
        <f>IFERROR(__xludf.DUMMYFUNCTION("""COMPUTED_VALUE"""),72.0)</f>
        <v>72</v>
      </c>
      <c r="F931" s="19" t="str">
        <f>IFERROR(__xludf.DUMMYFUNCTION("""COMPUTED_VALUE"""),"BLUE")</f>
        <v>BLUE</v>
      </c>
      <c r="G931" s="20" t="str">
        <f>IFERROR(__xludf.DUMMYFUNCTION("""COMPUTED_VALUE"""),"Uncle Sams Cider (04/04/2023)")</f>
        <v>Uncle Sams Cider (04/04/2023)</v>
      </c>
      <c r="H931" s="19"/>
    </row>
    <row r="932">
      <c r="A932" s="9"/>
      <c r="B932" s="15"/>
      <c r="C932" s="9">
        <f>IFERROR(__xludf.DUMMYFUNCTION("""COMPUTED_VALUE"""),45134.881798831)</f>
        <v>45134.8818</v>
      </c>
      <c r="D932" s="15">
        <f>IFERROR(__xludf.DUMMYFUNCTION("""COMPUTED_VALUE"""),0.998)</f>
        <v>0.998</v>
      </c>
      <c r="E932" s="16">
        <f>IFERROR(__xludf.DUMMYFUNCTION("""COMPUTED_VALUE"""),72.0)</f>
        <v>72</v>
      </c>
      <c r="F932" s="19" t="str">
        <f>IFERROR(__xludf.DUMMYFUNCTION("""COMPUTED_VALUE"""),"BLUE")</f>
        <v>BLUE</v>
      </c>
      <c r="G932" s="20" t="str">
        <f>IFERROR(__xludf.DUMMYFUNCTION("""COMPUTED_VALUE"""),"Uncle Sams Cider (04/04/2023)")</f>
        <v>Uncle Sams Cider (04/04/2023)</v>
      </c>
      <c r="H932" s="19"/>
    </row>
    <row r="933">
      <c r="A933" s="9"/>
      <c r="B933" s="15"/>
      <c r="C933" s="9">
        <f>IFERROR(__xludf.DUMMYFUNCTION("""COMPUTED_VALUE"""),45134.871379074)</f>
        <v>45134.87138</v>
      </c>
      <c r="D933" s="15">
        <f>IFERROR(__xludf.DUMMYFUNCTION("""COMPUTED_VALUE"""),0.999)</f>
        <v>0.999</v>
      </c>
      <c r="E933" s="16">
        <f>IFERROR(__xludf.DUMMYFUNCTION("""COMPUTED_VALUE"""),72.0)</f>
        <v>72</v>
      </c>
      <c r="F933" s="19" t="str">
        <f>IFERROR(__xludf.DUMMYFUNCTION("""COMPUTED_VALUE"""),"BLUE")</f>
        <v>BLUE</v>
      </c>
      <c r="G933" s="20" t="str">
        <f>IFERROR(__xludf.DUMMYFUNCTION("""COMPUTED_VALUE"""),"Uncle Sams Cider (04/04/2023)")</f>
        <v>Uncle Sams Cider (04/04/2023)</v>
      </c>
      <c r="H933" s="19"/>
    </row>
    <row r="934">
      <c r="A934" s="9"/>
      <c r="B934" s="15"/>
      <c r="C934" s="9">
        <f>IFERROR(__xludf.DUMMYFUNCTION("""COMPUTED_VALUE"""),45134.8609573495)</f>
        <v>45134.86096</v>
      </c>
      <c r="D934" s="15">
        <f>IFERROR(__xludf.DUMMYFUNCTION("""COMPUTED_VALUE"""),0.998)</f>
        <v>0.998</v>
      </c>
      <c r="E934" s="16">
        <f>IFERROR(__xludf.DUMMYFUNCTION("""COMPUTED_VALUE"""),72.0)</f>
        <v>72</v>
      </c>
      <c r="F934" s="19" t="str">
        <f>IFERROR(__xludf.DUMMYFUNCTION("""COMPUTED_VALUE"""),"BLUE")</f>
        <v>BLUE</v>
      </c>
      <c r="G934" s="20" t="str">
        <f>IFERROR(__xludf.DUMMYFUNCTION("""COMPUTED_VALUE"""),"Uncle Sams Cider (04/04/2023)")</f>
        <v>Uncle Sams Cider (04/04/2023)</v>
      </c>
      <c r="H934" s="19"/>
    </row>
    <row r="935">
      <c r="A935" s="9"/>
      <c r="B935" s="15"/>
      <c r="C935" s="9">
        <f>IFERROR(__xludf.DUMMYFUNCTION("""COMPUTED_VALUE"""),45134.8505351504)</f>
        <v>45134.85054</v>
      </c>
      <c r="D935" s="15">
        <f>IFERROR(__xludf.DUMMYFUNCTION("""COMPUTED_VALUE"""),0.998)</f>
        <v>0.998</v>
      </c>
      <c r="E935" s="16">
        <f>IFERROR(__xludf.DUMMYFUNCTION("""COMPUTED_VALUE"""),72.0)</f>
        <v>72</v>
      </c>
      <c r="F935" s="19" t="str">
        <f>IFERROR(__xludf.DUMMYFUNCTION("""COMPUTED_VALUE"""),"BLUE")</f>
        <v>BLUE</v>
      </c>
      <c r="G935" s="20" t="str">
        <f>IFERROR(__xludf.DUMMYFUNCTION("""COMPUTED_VALUE"""),"Uncle Sams Cider (04/04/2023)")</f>
        <v>Uncle Sams Cider (04/04/2023)</v>
      </c>
      <c r="H935" s="19"/>
    </row>
    <row r="936">
      <c r="A936" s="9"/>
      <c r="B936" s="15"/>
      <c r="C936" s="9">
        <f>IFERROR(__xludf.DUMMYFUNCTION("""COMPUTED_VALUE"""),45134.8400905555)</f>
        <v>45134.84009</v>
      </c>
      <c r="D936" s="15">
        <f>IFERROR(__xludf.DUMMYFUNCTION("""COMPUTED_VALUE"""),0.998)</f>
        <v>0.998</v>
      </c>
      <c r="E936" s="16">
        <f>IFERROR(__xludf.DUMMYFUNCTION("""COMPUTED_VALUE"""),72.0)</f>
        <v>72</v>
      </c>
      <c r="F936" s="19" t="str">
        <f>IFERROR(__xludf.DUMMYFUNCTION("""COMPUTED_VALUE"""),"BLUE")</f>
        <v>BLUE</v>
      </c>
      <c r="G936" s="20" t="str">
        <f>IFERROR(__xludf.DUMMYFUNCTION("""COMPUTED_VALUE"""),"Uncle Sams Cider (04/04/2023)")</f>
        <v>Uncle Sams Cider (04/04/2023)</v>
      </c>
      <c r="H936" s="19"/>
    </row>
    <row r="937">
      <c r="A937" s="9"/>
      <c r="B937" s="15"/>
      <c r="C937" s="9">
        <f>IFERROR(__xludf.DUMMYFUNCTION("""COMPUTED_VALUE"""),45134.8296578703)</f>
        <v>45134.82966</v>
      </c>
      <c r="D937" s="15">
        <f>IFERROR(__xludf.DUMMYFUNCTION("""COMPUTED_VALUE"""),0.998)</f>
        <v>0.998</v>
      </c>
      <c r="E937" s="16">
        <f>IFERROR(__xludf.DUMMYFUNCTION("""COMPUTED_VALUE"""),72.0)</f>
        <v>72</v>
      </c>
      <c r="F937" s="19" t="str">
        <f>IFERROR(__xludf.DUMMYFUNCTION("""COMPUTED_VALUE"""),"BLUE")</f>
        <v>BLUE</v>
      </c>
      <c r="G937" s="20" t="str">
        <f>IFERROR(__xludf.DUMMYFUNCTION("""COMPUTED_VALUE"""),"Uncle Sams Cider (04/04/2023)")</f>
        <v>Uncle Sams Cider (04/04/2023)</v>
      </c>
      <c r="H937" s="19"/>
    </row>
    <row r="938">
      <c r="A938" s="9"/>
      <c r="B938" s="15"/>
      <c r="C938" s="9">
        <f>IFERROR(__xludf.DUMMYFUNCTION("""COMPUTED_VALUE"""),45134.8192250115)</f>
        <v>45134.81923</v>
      </c>
      <c r="D938" s="15">
        <f>IFERROR(__xludf.DUMMYFUNCTION("""COMPUTED_VALUE"""),0.999)</f>
        <v>0.999</v>
      </c>
      <c r="E938" s="16">
        <f>IFERROR(__xludf.DUMMYFUNCTION("""COMPUTED_VALUE"""),72.0)</f>
        <v>72</v>
      </c>
      <c r="F938" s="19" t="str">
        <f>IFERROR(__xludf.DUMMYFUNCTION("""COMPUTED_VALUE"""),"BLUE")</f>
        <v>BLUE</v>
      </c>
      <c r="G938" s="20" t="str">
        <f>IFERROR(__xludf.DUMMYFUNCTION("""COMPUTED_VALUE"""),"Uncle Sams Cider (04/04/2023)")</f>
        <v>Uncle Sams Cider (04/04/2023)</v>
      </c>
      <c r="H938" s="19"/>
    </row>
    <row r="939">
      <c r="A939" s="9"/>
      <c r="B939" s="15"/>
      <c r="C939" s="9">
        <f>IFERROR(__xludf.DUMMYFUNCTION("""COMPUTED_VALUE"""),45134.8088023958)</f>
        <v>45134.8088</v>
      </c>
      <c r="D939" s="15">
        <f>IFERROR(__xludf.DUMMYFUNCTION("""COMPUTED_VALUE"""),0.998)</f>
        <v>0.998</v>
      </c>
      <c r="E939" s="16">
        <f>IFERROR(__xludf.DUMMYFUNCTION("""COMPUTED_VALUE"""),72.0)</f>
        <v>72</v>
      </c>
      <c r="F939" s="19" t="str">
        <f>IFERROR(__xludf.DUMMYFUNCTION("""COMPUTED_VALUE"""),"BLUE")</f>
        <v>BLUE</v>
      </c>
      <c r="G939" s="20" t="str">
        <f>IFERROR(__xludf.DUMMYFUNCTION("""COMPUTED_VALUE"""),"Uncle Sams Cider (04/04/2023)")</f>
        <v>Uncle Sams Cider (04/04/2023)</v>
      </c>
      <c r="H939" s="19"/>
    </row>
    <row r="940">
      <c r="A940" s="9"/>
      <c r="B940" s="15"/>
      <c r="C940" s="9">
        <f>IFERROR(__xludf.DUMMYFUNCTION("""COMPUTED_VALUE"""),45134.7983689236)</f>
        <v>45134.79837</v>
      </c>
      <c r="D940" s="15">
        <f>IFERROR(__xludf.DUMMYFUNCTION("""COMPUTED_VALUE"""),0.998)</f>
        <v>0.998</v>
      </c>
      <c r="E940" s="16">
        <f>IFERROR(__xludf.DUMMYFUNCTION("""COMPUTED_VALUE"""),72.0)</f>
        <v>72</v>
      </c>
      <c r="F940" s="19" t="str">
        <f>IFERROR(__xludf.DUMMYFUNCTION("""COMPUTED_VALUE"""),"BLUE")</f>
        <v>BLUE</v>
      </c>
      <c r="G940" s="20" t="str">
        <f>IFERROR(__xludf.DUMMYFUNCTION("""COMPUTED_VALUE"""),"Uncle Sams Cider (04/04/2023)")</f>
        <v>Uncle Sams Cider (04/04/2023)</v>
      </c>
      <c r="H940" s="19"/>
    </row>
    <row r="941">
      <c r="A941" s="9"/>
      <c r="B941" s="15"/>
      <c r="C941" s="9">
        <f>IFERROR(__xludf.DUMMYFUNCTION("""COMPUTED_VALUE"""),45134.7879480671)</f>
        <v>45134.78795</v>
      </c>
      <c r="D941" s="15">
        <f>IFERROR(__xludf.DUMMYFUNCTION("""COMPUTED_VALUE"""),0.998)</f>
        <v>0.998</v>
      </c>
      <c r="E941" s="16">
        <f>IFERROR(__xludf.DUMMYFUNCTION("""COMPUTED_VALUE"""),72.0)</f>
        <v>72</v>
      </c>
      <c r="F941" s="19" t="str">
        <f>IFERROR(__xludf.DUMMYFUNCTION("""COMPUTED_VALUE"""),"BLUE")</f>
        <v>BLUE</v>
      </c>
      <c r="G941" s="20" t="str">
        <f>IFERROR(__xludf.DUMMYFUNCTION("""COMPUTED_VALUE"""),"Uncle Sams Cider (04/04/2023)")</f>
        <v>Uncle Sams Cider (04/04/2023)</v>
      </c>
      <c r="H941" s="19"/>
    </row>
    <row r="942">
      <c r="A942" s="9"/>
      <c r="B942" s="15"/>
      <c r="C942" s="9">
        <f>IFERROR(__xludf.DUMMYFUNCTION("""COMPUTED_VALUE"""),45134.7775281713)</f>
        <v>45134.77753</v>
      </c>
      <c r="D942" s="15">
        <f>IFERROR(__xludf.DUMMYFUNCTION("""COMPUTED_VALUE"""),0.998)</f>
        <v>0.998</v>
      </c>
      <c r="E942" s="16">
        <f>IFERROR(__xludf.DUMMYFUNCTION("""COMPUTED_VALUE"""),72.0)</f>
        <v>72</v>
      </c>
      <c r="F942" s="19" t="str">
        <f>IFERROR(__xludf.DUMMYFUNCTION("""COMPUTED_VALUE"""),"BLUE")</f>
        <v>BLUE</v>
      </c>
      <c r="G942" s="20" t="str">
        <f>IFERROR(__xludf.DUMMYFUNCTION("""COMPUTED_VALUE"""),"Uncle Sams Cider (04/04/2023)")</f>
        <v>Uncle Sams Cider (04/04/2023)</v>
      </c>
      <c r="H942" s="19"/>
    </row>
    <row r="943">
      <c r="A943" s="9"/>
      <c r="B943" s="15"/>
      <c r="C943" s="9">
        <f>IFERROR(__xludf.DUMMYFUNCTION("""COMPUTED_VALUE"""),45134.7670953356)</f>
        <v>45134.7671</v>
      </c>
      <c r="D943" s="15">
        <f>IFERROR(__xludf.DUMMYFUNCTION("""COMPUTED_VALUE"""),0.998)</f>
        <v>0.998</v>
      </c>
      <c r="E943" s="16">
        <f>IFERROR(__xludf.DUMMYFUNCTION("""COMPUTED_VALUE"""),72.0)</f>
        <v>72</v>
      </c>
      <c r="F943" s="19" t="str">
        <f>IFERROR(__xludf.DUMMYFUNCTION("""COMPUTED_VALUE"""),"BLUE")</f>
        <v>BLUE</v>
      </c>
      <c r="G943" s="20" t="str">
        <f>IFERROR(__xludf.DUMMYFUNCTION("""COMPUTED_VALUE"""),"Uncle Sams Cider (04/04/2023)")</f>
        <v>Uncle Sams Cider (04/04/2023)</v>
      </c>
      <c r="H943" s="19"/>
    </row>
    <row r="944">
      <c r="A944" s="9"/>
      <c r="B944" s="15"/>
      <c r="C944" s="9">
        <f>IFERROR(__xludf.DUMMYFUNCTION("""COMPUTED_VALUE"""),45134.7566735069)</f>
        <v>45134.75667</v>
      </c>
      <c r="D944" s="15">
        <f>IFERROR(__xludf.DUMMYFUNCTION("""COMPUTED_VALUE"""),0.998)</f>
        <v>0.998</v>
      </c>
      <c r="E944" s="16">
        <f>IFERROR(__xludf.DUMMYFUNCTION("""COMPUTED_VALUE"""),72.0)</f>
        <v>72</v>
      </c>
      <c r="F944" s="19" t="str">
        <f>IFERROR(__xludf.DUMMYFUNCTION("""COMPUTED_VALUE"""),"BLUE")</f>
        <v>BLUE</v>
      </c>
      <c r="G944" s="20" t="str">
        <f>IFERROR(__xludf.DUMMYFUNCTION("""COMPUTED_VALUE"""),"Uncle Sams Cider (04/04/2023)")</f>
        <v>Uncle Sams Cider (04/04/2023)</v>
      </c>
      <c r="H944" s="19"/>
    </row>
    <row r="945">
      <c r="A945" s="9"/>
      <c r="B945" s="15"/>
      <c r="C945" s="9">
        <f>IFERROR(__xludf.DUMMYFUNCTION("""COMPUTED_VALUE"""),45134.7462534027)</f>
        <v>45134.74625</v>
      </c>
      <c r="D945" s="15">
        <f>IFERROR(__xludf.DUMMYFUNCTION("""COMPUTED_VALUE"""),0.998)</f>
        <v>0.998</v>
      </c>
      <c r="E945" s="16">
        <f>IFERROR(__xludf.DUMMYFUNCTION("""COMPUTED_VALUE"""),72.0)</f>
        <v>72</v>
      </c>
      <c r="F945" s="19" t="str">
        <f>IFERROR(__xludf.DUMMYFUNCTION("""COMPUTED_VALUE"""),"BLUE")</f>
        <v>BLUE</v>
      </c>
      <c r="G945" s="20" t="str">
        <f>IFERROR(__xludf.DUMMYFUNCTION("""COMPUTED_VALUE"""),"Uncle Sams Cider (04/04/2023)")</f>
        <v>Uncle Sams Cider (04/04/2023)</v>
      </c>
      <c r="H945" s="19"/>
    </row>
    <row r="946">
      <c r="A946" s="9"/>
      <c r="B946" s="15"/>
      <c r="C946" s="9">
        <f>IFERROR(__xludf.DUMMYFUNCTION("""COMPUTED_VALUE"""),45134.7358334606)</f>
        <v>45134.73583</v>
      </c>
      <c r="D946" s="15">
        <f>IFERROR(__xludf.DUMMYFUNCTION("""COMPUTED_VALUE"""),0.999)</f>
        <v>0.999</v>
      </c>
      <c r="E946" s="16">
        <f>IFERROR(__xludf.DUMMYFUNCTION("""COMPUTED_VALUE"""),72.0)</f>
        <v>72</v>
      </c>
      <c r="F946" s="19" t="str">
        <f>IFERROR(__xludf.DUMMYFUNCTION("""COMPUTED_VALUE"""),"BLUE")</f>
        <v>BLUE</v>
      </c>
      <c r="G946" s="20" t="str">
        <f>IFERROR(__xludf.DUMMYFUNCTION("""COMPUTED_VALUE"""),"Uncle Sams Cider (04/04/2023)")</f>
        <v>Uncle Sams Cider (04/04/2023)</v>
      </c>
      <c r="H946" s="19"/>
    </row>
    <row r="947">
      <c r="A947" s="9"/>
      <c r="B947" s="15"/>
      <c r="C947" s="9">
        <f>IFERROR(__xludf.DUMMYFUNCTION("""COMPUTED_VALUE"""),45134.7254120486)</f>
        <v>45134.72541</v>
      </c>
      <c r="D947" s="15">
        <f>IFERROR(__xludf.DUMMYFUNCTION("""COMPUTED_VALUE"""),0.998)</f>
        <v>0.998</v>
      </c>
      <c r="E947" s="16">
        <f>IFERROR(__xludf.DUMMYFUNCTION("""COMPUTED_VALUE"""),72.0)</f>
        <v>72</v>
      </c>
      <c r="F947" s="19" t="str">
        <f>IFERROR(__xludf.DUMMYFUNCTION("""COMPUTED_VALUE"""),"BLUE")</f>
        <v>BLUE</v>
      </c>
      <c r="G947" s="20" t="str">
        <f>IFERROR(__xludf.DUMMYFUNCTION("""COMPUTED_VALUE"""),"Uncle Sams Cider (04/04/2023)")</f>
        <v>Uncle Sams Cider (04/04/2023)</v>
      </c>
      <c r="H947" s="19"/>
    </row>
    <row r="948">
      <c r="A948" s="9"/>
      <c r="B948" s="15"/>
      <c r="C948" s="9">
        <f>IFERROR(__xludf.DUMMYFUNCTION("""COMPUTED_VALUE"""),45134.7149898958)</f>
        <v>45134.71499</v>
      </c>
      <c r="D948" s="15">
        <f>IFERROR(__xludf.DUMMYFUNCTION("""COMPUTED_VALUE"""),0.999)</f>
        <v>0.999</v>
      </c>
      <c r="E948" s="16">
        <f>IFERROR(__xludf.DUMMYFUNCTION("""COMPUTED_VALUE"""),72.0)</f>
        <v>72</v>
      </c>
      <c r="F948" s="19" t="str">
        <f>IFERROR(__xludf.DUMMYFUNCTION("""COMPUTED_VALUE"""),"BLUE")</f>
        <v>BLUE</v>
      </c>
      <c r="G948" s="20" t="str">
        <f>IFERROR(__xludf.DUMMYFUNCTION("""COMPUTED_VALUE"""),"Uncle Sams Cider (04/04/2023)")</f>
        <v>Uncle Sams Cider (04/04/2023)</v>
      </c>
      <c r="H948" s="19"/>
    </row>
    <row r="949">
      <c r="A949" s="9"/>
      <c r="B949" s="15"/>
      <c r="C949" s="9">
        <f>IFERROR(__xludf.DUMMYFUNCTION("""COMPUTED_VALUE"""),45134.7045694907)</f>
        <v>45134.70457</v>
      </c>
      <c r="D949" s="15">
        <f>IFERROR(__xludf.DUMMYFUNCTION("""COMPUTED_VALUE"""),0.998)</f>
        <v>0.998</v>
      </c>
      <c r="E949" s="16">
        <f>IFERROR(__xludf.DUMMYFUNCTION("""COMPUTED_VALUE"""),72.0)</f>
        <v>72</v>
      </c>
      <c r="F949" s="19" t="str">
        <f>IFERROR(__xludf.DUMMYFUNCTION("""COMPUTED_VALUE"""),"BLUE")</f>
        <v>BLUE</v>
      </c>
      <c r="G949" s="20" t="str">
        <f>IFERROR(__xludf.DUMMYFUNCTION("""COMPUTED_VALUE"""),"Uncle Sams Cider (04/04/2023)")</f>
        <v>Uncle Sams Cider (04/04/2023)</v>
      </c>
      <c r="H949" s="19"/>
    </row>
    <row r="950">
      <c r="A950" s="9"/>
      <c r="B950" s="15"/>
      <c r="C950" s="9">
        <f>IFERROR(__xludf.DUMMYFUNCTION("""COMPUTED_VALUE"""),45134.6941472685)</f>
        <v>45134.69415</v>
      </c>
      <c r="D950" s="15">
        <f>IFERROR(__xludf.DUMMYFUNCTION("""COMPUTED_VALUE"""),0.998)</f>
        <v>0.998</v>
      </c>
      <c r="E950" s="16">
        <f>IFERROR(__xludf.DUMMYFUNCTION("""COMPUTED_VALUE"""),72.0)</f>
        <v>72</v>
      </c>
      <c r="F950" s="19" t="str">
        <f>IFERROR(__xludf.DUMMYFUNCTION("""COMPUTED_VALUE"""),"BLUE")</f>
        <v>BLUE</v>
      </c>
      <c r="G950" s="20" t="str">
        <f>IFERROR(__xludf.DUMMYFUNCTION("""COMPUTED_VALUE"""),"Uncle Sams Cider (04/04/2023)")</f>
        <v>Uncle Sams Cider (04/04/2023)</v>
      </c>
      <c r="H950" s="19"/>
    </row>
    <row r="951">
      <c r="A951" s="9"/>
      <c r="B951" s="15"/>
      <c r="C951" s="9">
        <f>IFERROR(__xludf.DUMMYFUNCTION("""COMPUTED_VALUE"""),45134.6837143055)</f>
        <v>45134.68371</v>
      </c>
      <c r="D951" s="15">
        <f>IFERROR(__xludf.DUMMYFUNCTION("""COMPUTED_VALUE"""),0.998)</f>
        <v>0.998</v>
      </c>
      <c r="E951" s="16">
        <f>IFERROR(__xludf.DUMMYFUNCTION("""COMPUTED_VALUE"""),72.0)</f>
        <v>72</v>
      </c>
      <c r="F951" s="19" t="str">
        <f>IFERROR(__xludf.DUMMYFUNCTION("""COMPUTED_VALUE"""),"BLUE")</f>
        <v>BLUE</v>
      </c>
      <c r="G951" s="20" t="str">
        <f>IFERROR(__xludf.DUMMYFUNCTION("""COMPUTED_VALUE"""),"Uncle Sams Cider (04/04/2023)")</f>
        <v>Uncle Sams Cider (04/04/2023)</v>
      </c>
      <c r="H951" s="19"/>
    </row>
    <row r="952">
      <c r="A952" s="9"/>
      <c r="B952" s="15"/>
      <c r="C952" s="9">
        <f>IFERROR(__xludf.DUMMYFUNCTION("""COMPUTED_VALUE"""),45134.6732931597)</f>
        <v>45134.67329</v>
      </c>
      <c r="D952" s="15">
        <f>IFERROR(__xludf.DUMMYFUNCTION("""COMPUTED_VALUE"""),0.998)</f>
        <v>0.998</v>
      </c>
      <c r="E952" s="16">
        <f>IFERROR(__xludf.DUMMYFUNCTION("""COMPUTED_VALUE"""),72.0)</f>
        <v>72</v>
      </c>
      <c r="F952" s="19" t="str">
        <f>IFERROR(__xludf.DUMMYFUNCTION("""COMPUTED_VALUE"""),"BLUE")</f>
        <v>BLUE</v>
      </c>
      <c r="G952" s="20" t="str">
        <f>IFERROR(__xludf.DUMMYFUNCTION("""COMPUTED_VALUE"""),"Uncle Sams Cider (04/04/2023)")</f>
        <v>Uncle Sams Cider (04/04/2023)</v>
      </c>
      <c r="H952" s="19"/>
    </row>
    <row r="953">
      <c r="A953" s="9"/>
      <c r="B953" s="15"/>
      <c r="C953" s="9">
        <f>IFERROR(__xludf.DUMMYFUNCTION("""COMPUTED_VALUE"""),45134.6628717708)</f>
        <v>45134.66287</v>
      </c>
      <c r="D953" s="15">
        <f>IFERROR(__xludf.DUMMYFUNCTION("""COMPUTED_VALUE"""),0.998)</f>
        <v>0.998</v>
      </c>
      <c r="E953" s="16">
        <f>IFERROR(__xludf.DUMMYFUNCTION("""COMPUTED_VALUE"""),72.0)</f>
        <v>72</v>
      </c>
      <c r="F953" s="19" t="str">
        <f>IFERROR(__xludf.DUMMYFUNCTION("""COMPUTED_VALUE"""),"BLUE")</f>
        <v>BLUE</v>
      </c>
      <c r="G953" s="20" t="str">
        <f>IFERROR(__xludf.DUMMYFUNCTION("""COMPUTED_VALUE"""),"Uncle Sams Cider (04/04/2023)")</f>
        <v>Uncle Sams Cider (04/04/2023)</v>
      </c>
      <c r="H953" s="19"/>
    </row>
    <row r="954">
      <c r="A954" s="9"/>
      <c r="B954" s="15"/>
      <c r="C954" s="9">
        <f>IFERROR(__xludf.DUMMYFUNCTION("""COMPUTED_VALUE"""),45134.6524519791)</f>
        <v>45134.65245</v>
      </c>
      <c r="D954" s="15">
        <f>IFERROR(__xludf.DUMMYFUNCTION("""COMPUTED_VALUE"""),0.998)</f>
        <v>0.998</v>
      </c>
      <c r="E954" s="16">
        <f>IFERROR(__xludf.DUMMYFUNCTION("""COMPUTED_VALUE"""),72.0)</f>
        <v>72</v>
      </c>
      <c r="F954" s="19" t="str">
        <f>IFERROR(__xludf.DUMMYFUNCTION("""COMPUTED_VALUE"""),"BLUE")</f>
        <v>BLUE</v>
      </c>
      <c r="G954" s="20" t="str">
        <f>IFERROR(__xludf.DUMMYFUNCTION("""COMPUTED_VALUE"""),"Uncle Sams Cider (04/04/2023)")</f>
        <v>Uncle Sams Cider (04/04/2023)</v>
      </c>
      <c r="H954" s="19"/>
    </row>
    <row r="955">
      <c r="A955" s="9"/>
      <c r="B955" s="15"/>
      <c r="C955" s="9">
        <f>IFERROR(__xludf.DUMMYFUNCTION("""COMPUTED_VALUE"""),45134.6420317129)</f>
        <v>45134.64203</v>
      </c>
      <c r="D955" s="15">
        <f>IFERROR(__xludf.DUMMYFUNCTION("""COMPUTED_VALUE"""),0.999)</f>
        <v>0.999</v>
      </c>
      <c r="E955" s="16">
        <f>IFERROR(__xludf.DUMMYFUNCTION("""COMPUTED_VALUE"""),72.0)</f>
        <v>72</v>
      </c>
      <c r="F955" s="19" t="str">
        <f>IFERROR(__xludf.DUMMYFUNCTION("""COMPUTED_VALUE"""),"BLUE")</f>
        <v>BLUE</v>
      </c>
      <c r="G955" s="20" t="str">
        <f>IFERROR(__xludf.DUMMYFUNCTION("""COMPUTED_VALUE"""),"Uncle Sams Cider (04/04/2023)")</f>
        <v>Uncle Sams Cider (04/04/2023)</v>
      </c>
      <c r="H955" s="19"/>
    </row>
    <row r="956">
      <c r="A956" s="9"/>
      <c r="B956" s="15"/>
      <c r="C956" s="9">
        <f>IFERROR(__xludf.DUMMYFUNCTION("""COMPUTED_VALUE"""),45134.6315996296)</f>
        <v>45134.6316</v>
      </c>
      <c r="D956" s="15">
        <f>IFERROR(__xludf.DUMMYFUNCTION("""COMPUTED_VALUE"""),0.998)</f>
        <v>0.998</v>
      </c>
      <c r="E956" s="16">
        <f>IFERROR(__xludf.DUMMYFUNCTION("""COMPUTED_VALUE"""),72.0)</f>
        <v>72</v>
      </c>
      <c r="F956" s="19" t="str">
        <f>IFERROR(__xludf.DUMMYFUNCTION("""COMPUTED_VALUE"""),"BLUE")</f>
        <v>BLUE</v>
      </c>
      <c r="G956" s="20" t="str">
        <f>IFERROR(__xludf.DUMMYFUNCTION("""COMPUTED_VALUE"""),"Uncle Sams Cider (04/04/2023)")</f>
        <v>Uncle Sams Cider (04/04/2023)</v>
      </c>
      <c r="H956" s="19"/>
    </row>
    <row r="957">
      <c r="A957" s="9"/>
      <c r="B957" s="15"/>
      <c r="C957" s="9">
        <f>IFERROR(__xludf.DUMMYFUNCTION("""COMPUTED_VALUE"""),45134.6211686226)</f>
        <v>45134.62117</v>
      </c>
      <c r="D957" s="15">
        <f>IFERROR(__xludf.DUMMYFUNCTION("""COMPUTED_VALUE"""),0.998)</f>
        <v>0.998</v>
      </c>
      <c r="E957" s="16">
        <f>IFERROR(__xludf.DUMMYFUNCTION("""COMPUTED_VALUE"""),72.0)</f>
        <v>72</v>
      </c>
      <c r="F957" s="19" t="str">
        <f>IFERROR(__xludf.DUMMYFUNCTION("""COMPUTED_VALUE"""),"BLUE")</f>
        <v>BLUE</v>
      </c>
      <c r="G957" s="20" t="str">
        <f>IFERROR(__xludf.DUMMYFUNCTION("""COMPUTED_VALUE"""),"Uncle Sams Cider (04/04/2023)")</f>
        <v>Uncle Sams Cider (04/04/2023)</v>
      </c>
      <c r="H957" s="19"/>
    </row>
    <row r="958">
      <c r="A958" s="9"/>
      <c r="B958" s="15"/>
      <c r="C958" s="9">
        <f>IFERROR(__xludf.DUMMYFUNCTION("""COMPUTED_VALUE"""),45134.6107350462)</f>
        <v>45134.61074</v>
      </c>
      <c r="D958" s="15">
        <f>IFERROR(__xludf.DUMMYFUNCTION("""COMPUTED_VALUE"""),0.999)</f>
        <v>0.999</v>
      </c>
      <c r="E958" s="16">
        <f>IFERROR(__xludf.DUMMYFUNCTION("""COMPUTED_VALUE"""),72.0)</f>
        <v>72</v>
      </c>
      <c r="F958" s="19" t="str">
        <f>IFERROR(__xludf.DUMMYFUNCTION("""COMPUTED_VALUE"""),"BLUE")</f>
        <v>BLUE</v>
      </c>
      <c r="G958" s="20" t="str">
        <f>IFERROR(__xludf.DUMMYFUNCTION("""COMPUTED_VALUE"""),"Uncle Sams Cider (04/04/2023)")</f>
        <v>Uncle Sams Cider (04/04/2023)</v>
      </c>
      <c r="H958" s="19"/>
    </row>
    <row r="959">
      <c r="A959" s="9"/>
      <c r="B959" s="15"/>
      <c r="C959" s="9">
        <f>IFERROR(__xludf.DUMMYFUNCTION("""COMPUTED_VALUE"""),45134.6003131828)</f>
        <v>45134.60031</v>
      </c>
      <c r="D959" s="15">
        <f>IFERROR(__xludf.DUMMYFUNCTION("""COMPUTED_VALUE"""),0.998)</f>
        <v>0.998</v>
      </c>
      <c r="E959" s="16">
        <f>IFERROR(__xludf.DUMMYFUNCTION("""COMPUTED_VALUE"""),72.0)</f>
        <v>72</v>
      </c>
      <c r="F959" s="19" t="str">
        <f>IFERROR(__xludf.DUMMYFUNCTION("""COMPUTED_VALUE"""),"BLUE")</f>
        <v>BLUE</v>
      </c>
      <c r="G959" s="20" t="str">
        <f>IFERROR(__xludf.DUMMYFUNCTION("""COMPUTED_VALUE"""),"Uncle Sams Cider (04/04/2023)")</f>
        <v>Uncle Sams Cider (04/04/2023)</v>
      </c>
      <c r="H959" s="19"/>
    </row>
    <row r="960">
      <c r="A960" s="9"/>
      <c r="B960" s="15"/>
      <c r="C960" s="9">
        <f>IFERROR(__xludf.DUMMYFUNCTION("""COMPUTED_VALUE"""),45134.5898787963)</f>
        <v>45134.58988</v>
      </c>
      <c r="D960" s="15">
        <f>IFERROR(__xludf.DUMMYFUNCTION("""COMPUTED_VALUE"""),0.998)</f>
        <v>0.998</v>
      </c>
      <c r="E960" s="16">
        <f>IFERROR(__xludf.DUMMYFUNCTION("""COMPUTED_VALUE"""),72.0)</f>
        <v>72</v>
      </c>
      <c r="F960" s="19" t="str">
        <f>IFERROR(__xludf.DUMMYFUNCTION("""COMPUTED_VALUE"""),"BLUE")</f>
        <v>BLUE</v>
      </c>
      <c r="G960" s="20" t="str">
        <f>IFERROR(__xludf.DUMMYFUNCTION("""COMPUTED_VALUE"""),"Uncle Sams Cider (04/04/2023)")</f>
        <v>Uncle Sams Cider (04/04/2023)</v>
      </c>
      <c r="H960" s="19"/>
    </row>
    <row r="961">
      <c r="A961" s="9"/>
      <c r="B961" s="15"/>
      <c r="C961" s="9">
        <f>IFERROR(__xludf.DUMMYFUNCTION("""COMPUTED_VALUE"""),45134.5794597338)</f>
        <v>45134.57946</v>
      </c>
      <c r="D961" s="15">
        <f>IFERROR(__xludf.DUMMYFUNCTION("""COMPUTED_VALUE"""),0.998)</f>
        <v>0.998</v>
      </c>
      <c r="E961" s="16">
        <f>IFERROR(__xludf.DUMMYFUNCTION("""COMPUTED_VALUE"""),72.0)</f>
        <v>72</v>
      </c>
      <c r="F961" s="19" t="str">
        <f>IFERROR(__xludf.DUMMYFUNCTION("""COMPUTED_VALUE"""),"BLUE")</f>
        <v>BLUE</v>
      </c>
      <c r="G961" s="20" t="str">
        <f>IFERROR(__xludf.DUMMYFUNCTION("""COMPUTED_VALUE"""),"Uncle Sams Cider (04/04/2023)")</f>
        <v>Uncle Sams Cider (04/04/2023)</v>
      </c>
      <c r="H961" s="19"/>
    </row>
    <row r="962">
      <c r="A962" s="9"/>
      <c r="B962" s="15"/>
      <c r="C962" s="9">
        <f>IFERROR(__xludf.DUMMYFUNCTION("""COMPUTED_VALUE"""),45134.5690381134)</f>
        <v>45134.56904</v>
      </c>
      <c r="D962" s="15">
        <f>IFERROR(__xludf.DUMMYFUNCTION("""COMPUTED_VALUE"""),0.998)</f>
        <v>0.998</v>
      </c>
      <c r="E962" s="16">
        <f>IFERROR(__xludf.DUMMYFUNCTION("""COMPUTED_VALUE"""),72.0)</f>
        <v>72</v>
      </c>
      <c r="F962" s="19" t="str">
        <f>IFERROR(__xludf.DUMMYFUNCTION("""COMPUTED_VALUE"""),"BLUE")</f>
        <v>BLUE</v>
      </c>
      <c r="G962" s="20" t="str">
        <f>IFERROR(__xludf.DUMMYFUNCTION("""COMPUTED_VALUE"""),"Uncle Sams Cider (04/04/2023)")</f>
        <v>Uncle Sams Cider (04/04/2023)</v>
      </c>
      <c r="H962" s="19"/>
    </row>
    <row r="963">
      <c r="A963" s="9"/>
      <c r="B963" s="15"/>
      <c r="C963" s="9">
        <f>IFERROR(__xludf.DUMMYFUNCTION("""COMPUTED_VALUE"""),45134.5586052314)</f>
        <v>45134.55861</v>
      </c>
      <c r="D963" s="15">
        <f>IFERROR(__xludf.DUMMYFUNCTION("""COMPUTED_VALUE"""),0.999)</f>
        <v>0.999</v>
      </c>
      <c r="E963" s="16">
        <f>IFERROR(__xludf.DUMMYFUNCTION("""COMPUTED_VALUE"""),72.0)</f>
        <v>72</v>
      </c>
      <c r="F963" s="19" t="str">
        <f>IFERROR(__xludf.DUMMYFUNCTION("""COMPUTED_VALUE"""),"BLUE")</f>
        <v>BLUE</v>
      </c>
      <c r="G963" s="20" t="str">
        <f>IFERROR(__xludf.DUMMYFUNCTION("""COMPUTED_VALUE"""),"Uncle Sams Cider (04/04/2023)")</f>
        <v>Uncle Sams Cider (04/04/2023)</v>
      </c>
      <c r="H963" s="19"/>
    </row>
    <row r="964">
      <c r="A964" s="9"/>
      <c r="B964" s="15"/>
      <c r="C964" s="9">
        <f>IFERROR(__xludf.DUMMYFUNCTION("""COMPUTED_VALUE"""),45134.5481827199)</f>
        <v>45134.54818</v>
      </c>
      <c r="D964" s="15">
        <f>IFERROR(__xludf.DUMMYFUNCTION("""COMPUTED_VALUE"""),0.998)</f>
        <v>0.998</v>
      </c>
      <c r="E964" s="16">
        <f>IFERROR(__xludf.DUMMYFUNCTION("""COMPUTED_VALUE"""),72.0)</f>
        <v>72</v>
      </c>
      <c r="F964" s="19" t="str">
        <f>IFERROR(__xludf.DUMMYFUNCTION("""COMPUTED_VALUE"""),"BLUE")</f>
        <v>BLUE</v>
      </c>
      <c r="G964" s="20" t="str">
        <f>IFERROR(__xludf.DUMMYFUNCTION("""COMPUTED_VALUE"""),"Uncle Sams Cider (04/04/2023)")</f>
        <v>Uncle Sams Cider (04/04/2023)</v>
      </c>
      <c r="H964" s="19"/>
    </row>
    <row r="965">
      <c r="A965" s="9"/>
      <c r="B965" s="15"/>
      <c r="C965" s="9">
        <f>IFERROR(__xludf.DUMMYFUNCTION("""COMPUTED_VALUE"""),45134.5377620139)</f>
        <v>45134.53776</v>
      </c>
      <c r="D965" s="15">
        <f>IFERROR(__xludf.DUMMYFUNCTION("""COMPUTED_VALUE"""),0.998)</f>
        <v>0.998</v>
      </c>
      <c r="E965" s="16">
        <f>IFERROR(__xludf.DUMMYFUNCTION("""COMPUTED_VALUE"""),72.0)</f>
        <v>72</v>
      </c>
      <c r="F965" s="19" t="str">
        <f>IFERROR(__xludf.DUMMYFUNCTION("""COMPUTED_VALUE"""),"BLUE")</f>
        <v>BLUE</v>
      </c>
      <c r="G965" s="20" t="str">
        <f>IFERROR(__xludf.DUMMYFUNCTION("""COMPUTED_VALUE"""),"Uncle Sams Cider (04/04/2023)")</f>
        <v>Uncle Sams Cider (04/04/2023)</v>
      </c>
      <c r="H965" s="19"/>
    </row>
    <row r="966">
      <c r="A966" s="9"/>
      <c r="B966" s="15"/>
      <c r="C966" s="9">
        <f>IFERROR(__xludf.DUMMYFUNCTION("""COMPUTED_VALUE"""),45134.5273417939)</f>
        <v>45134.52734</v>
      </c>
      <c r="D966" s="15">
        <f>IFERROR(__xludf.DUMMYFUNCTION("""COMPUTED_VALUE"""),0.998)</f>
        <v>0.998</v>
      </c>
      <c r="E966" s="16">
        <f>IFERROR(__xludf.DUMMYFUNCTION("""COMPUTED_VALUE"""),72.0)</f>
        <v>72</v>
      </c>
      <c r="F966" s="19" t="str">
        <f>IFERROR(__xludf.DUMMYFUNCTION("""COMPUTED_VALUE"""),"BLUE")</f>
        <v>BLUE</v>
      </c>
      <c r="G966" s="20" t="str">
        <f>IFERROR(__xludf.DUMMYFUNCTION("""COMPUTED_VALUE"""),"Uncle Sams Cider (04/04/2023)")</f>
        <v>Uncle Sams Cider (04/04/2023)</v>
      </c>
      <c r="H966" s="19"/>
    </row>
    <row r="967">
      <c r="A967" s="9"/>
      <c r="B967" s="15"/>
      <c r="C967" s="9">
        <f>IFERROR(__xludf.DUMMYFUNCTION("""COMPUTED_VALUE"""),45134.5169000578)</f>
        <v>45134.5169</v>
      </c>
      <c r="D967" s="15">
        <f>IFERROR(__xludf.DUMMYFUNCTION("""COMPUTED_VALUE"""),0.998)</f>
        <v>0.998</v>
      </c>
      <c r="E967" s="16">
        <f>IFERROR(__xludf.DUMMYFUNCTION("""COMPUTED_VALUE"""),72.0)</f>
        <v>72</v>
      </c>
      <c r="F967" s="19" t="str">
        <f>IFERROR(__xludf.DUMMYFUNCTION("""COMPUTED_VALUE"""),"BLUE")</f>
        <v>BLUE</v>
      </c>
      <c r="G967" s="20" t="str">
        <f>IFERROR(__xludf.DUMMYFUNCTION("""COMPUTED_VALUE"""),"Uncle Sams Cider (04/04/2023)")</f>
        <v>Uncle Sams Cider (04/04/2023)</v>
      </c>
      <c r="H967" s="19"/>
    </row>
    <row r="968">
      <c r="A968" s="9"/>
      <c r="B968" s="15"/>
      <c r="C968" s="9">
        <f>IFERROR(__xludf.DUMMYFUNCTION("""COMPUTED_VALUE"""),45134.5064789004)</f>
        <v>45134.50648</v>
      </c>
      <c r="D968" s="15">
        <f>IFERROR(__xludf.DUMMYFUNCTION("""COMPUTED_VALUE"""),0.998)</f>
        <v>0.998</v>
      </c>
      <c r="E968" s="16">
        <f>IFERROR(__xludf.DUMMYFUNCTION("""COMPUTED_VALUE"""),72.0)</f>
        <v>72</v>
      </c>
      <c r="F968" s="19" t="str">
        <f>IFERROR(__xludf.DUMMYFUNCTION("""COMPUTED_VALUE"""),"BLUE")</f>
        <v>BLUE</v>
      </c>
      <c r="G968" s="20" t="str">
        <f>IFERROR(__xludf.DUMMYFUNCTION("""COMPUTED_VALUE"""),"Uncle Sams Cider (04/04/2023)")</f>
        <v>Uncle Sams Cider (04/04/2023)</v>
      </c>
      <c r="H968" s="19"/>
    </row>
    <row r="969">
      <c r="A969" s="9"/>
      <c r="B969" s="15"/>
      <c r="C969" s="9">
        <f>IFERROR(__xludf.DUMMYFUNCTION("""COMPUTED_VALUE"""),45134.4960451041)</f>
        <v>45134.49605</v>
      </c>
      <c r="D969" s="15">
        <f>IFERROR(__xludf.DUMMYFUNCTION("""COMPUTED_VALUE"""),0.998)</f>
        <v>0.998</v>
      </c>
      <c r="E969" s="16">
        <f>IFERROR(__xludf.DUMMYFUNCTION("""COMPUTED_VALUE"""),72.0)</f>
        <v>72</v>
      </c>
      <c r="F969" s="19" t="str">
        <f>IFERROR(__xludf.DUMMYFUNCTION("""COMPUTED_VALUE"""),"BLUE")</f>
        <v>BLUE</v>
      </c>
      <c r="G969" s="20" t="str">
        <f>IFERROR(__xludf.DUMMYFUNCTION("""COMPUTED_VALUE"""),"Uncle Sams Cider (04/04/2023)")</f>
        <v>Uncle Sams Cider (04/04/2023)</v>
      </c>
      <c r="H969" s="19"/>
    </row>
    <row r="970">
      <c r="A970" s="9"/>
      <c r="B970" s="15"/>
      <c r="C970" s="9">
        <f>IFERROR(__xludf.DUMMYFUNCTION("""COMPUTED_VALUE"""),45134.4856117129)</f>
        <v>45134.48561</v>
      </c>
      <c r="D970" s="15">
        <f>IFERROR(__xludf.DUMMYFUNCTION("""COMPUTED_VALUE"""),0.998)</f>
        <v>0.998</v>
      </c>
      <c r="E970" s="16">
        <f>IFERROR(__xludf.DUMMYFUNCTION("""COMPUTED_VALUE"""),72.0)</f>
        <v>72</v>
      </c>
      <c r="F970" s="19" t="str">
        <f>IFERROR(__xludf.DUMMYFUNCTION("""COMPUTED_VALUE"""),"BLUE")</f>
        <v>BLUE</v>
      </c>
      <c r="G970" s="20" t="str">
        <f>IFERROR(__xludf.DUMMYFUNCTION("""COMPUTED_VALUE"""),"Uncle Sams Cider (04/04/2023)")</f>
        <v>Uncle Sams Cider (04/04/2023)</v>
      </c>
      <c r="H970" s="19"/>
    </row>
    <row r="971">
      <c r="A971" s="9"/>
      <c r="B971" s="15"/>
      <c r="C971" s="9">
        <f>IFERROR(__xludf.DUMMYFUNCTION("""COMPUTED_VALUE"""),45134.4751903125)</f>
        <v>45134.47519</v>
      </c>
      <c r="D971" s="15">
        <f>IFERROR(__xludf.DUMMYFUNCTION("""COMPUTED_VALUE"""),0.998)</f>
        <v>0.998</v>
      </c>
      <c r="E971" s="16">
        <f>IFERROR(__xludf.DUMMYFUNCTION("""COMPUTED_VALUE"""),72.0)</f>
        <v>72</v>
      </c>
      <c r="F971" s="19" t="str">
        <f>IFERROR(__xludf.DUMMYFUNCTION("""COMPUTED_VALUE"""),"BLUE")</f>
        <v>BLUE</v>
      </c>
      <c r="G971" s="20" t="str">
        <f>IFERROR(__xludf.DUMMYFUNCTION("""COMPUTED_VALUE"""),"Uncle Sams Cider (04/04/2023)")</f>
        <v>Uncle Sams Cider (04/04/2023)</v>
      </c>
      <c r="H971" s="19"/>
    </row>
    <row r="972">
      <c r="A972" s="9"/>
      <c r="B972" s="15"/>
      <c r="C972" s="9">
        <f>IFERROR(__xludf.DUMMYFUNCTION("""COMPUTED_VALUE"""),45134.4647675347)</f>
        <v>45134.46477</v>
      </c>
      <c r="D972" s="15">
        <f>IFERROR(__xludf.DUMMYFUNCTION("""COMPUTED_VALUE"""),0.998)</f>
        <v>0.998</v>
      </c>
      <c r="E972" s="16">
        <f>IFERROR(__xludf.DUMMYFUNCTION("""COMPUTED_VALUE"""),72.0)</f>
        <v>72</v>
      </c>
      <c r="F972" s="19" t="str">
        <f>IFERROR(__xludf.DUMMYFUNCTION("""COMPUTED_VALUE"""),"BLUE")</f>
        <v>BLUE</v>
      </c>
      <c r="G972" s="20" t="str">
        <f>IFERROR(__xludf.DUMMYFUNCTION("""COMPUTED_VALUE"""),"Uncle Sams Cider (04/04/2023)")</f>
        <v>Uncle Sams Cider (04/04/2023)</v>
      </c>
      <c r="H972" s="19"/>
    </row>
    <row r="973">
      <c r="A973" s="9"/>
      <c r="B973" s="15"/>
      <c r="C973" s="9">
        <f>IFERROR(__xludf.DUMMYFUNCTION("""COMPUTED_VALUE"""),45134.454334155)</f>
        <v>45134.45433</v>
      </c>
      <c r="D973" s="15">
        <f>IFERROR(__xludf.DUMMYFUNCTION("""COMPUTED_VALUE"""),0.998)</f>
        <v>0.998</v>
      </c>
      <c r="E973" s="16">
        <f>IFERROR(__xludf.DUMMYFUNCTION("""COMPUTED_VALUE"""),72.0)</f>
        <v>72</v>
      </c>
      <c r="F973" s="19" t="str">
        <f>IFERROR(__xludf.DUMMYFUNCTION("""COMPUTED_VALUE"""),"BLUE")</f>
        <v>BLUE</v>
      </c>
      <c r="G973" s="20" t="str">
        <f>IFERROR(__xludf.DUMMYFUNCTION("""COMPUTED_VALUE"""),"Uncle Sams Cider (04/04/2023)")</f>
        <v>Uncle Sams Cider (04/04/2023)</v>
      </c>
      <c r="H973" s="19"/>
    </row>
    <row r="974">
      <c r="A974" s="9"/>
      <c r="B974" s="15"/>
      <c r="C974" s="9">
        <f>IFERROR(__xludf.DUMMYFUNCTION("""COMPUTED_VALUE"""),45134.443900787)</f>
        <v>45134.4439</v>
      </c>
      <c r="D974" s="15">
        <f>IFERROR(__xludf.DUMMYFUNCTION("""COMPUTED_VALUE"""),0.998)</f>
        <v>0.998</v>
      </c>
      <c r="E974" s="16">
        <f>IFERROR(__xludf.DUMMYFUNCTION("""COMPUTED_VALUE"""),72.0)</f>
        <v>72</v>
      </c>
      <c r="F974" s="19" t="str">
        <f>IFERROR(__xludf.DUMMYFUNCTION("""COMPUTED_VALUE"""),"BLUE")</f>
        <v>BLUE</v>
      </c>
      <c r="G974" s="20" t="str">
        <f>IFERROR(__xludf.DUMMYFUNCTION("""COMPUTED_VALUE"""),"Uncle Sams Cider (04/04/2023)")</f>
        <v>Uncle Sams Cider (04/04/2023)</v>
      </c>
      <c r="H974" s="19"/>
    </row>
    <row r="975">
      <c r="A975" s="9"/>
      <c r="B975" s="15"/>
      <c r="C975" s="9">
        <f>IFERROR(__xludf.DUMMYFUNCTION("""COMPUTED_VALUE"""),45134.4334683101)</f>
        <v>45134.43347</v>
      </c>
      <c r="D975" s="15">
        <f>IFERROR(__xludf.DUMMYFUNCTION("""COMPUTED_VALUE"""),0.999)</f>
        <v>0.999</v>
      </c>
      <c r="E975" s="16">
        <f>IFERROR(__xludf.DUMMYFUNCTION("""COMPUTED_VALUE"""),72.0)</f>
        <v>72</v>
      </c>
      <c r="F975" s="19" t="str">
        <f>IFERROR(__xludf.DUMMYFUNCTION("""COMPUTED_VALUE"""),"BLUE")</f>
        <v>BLUE</v>
      </c>
      <c r="G975" s="20" t="str">
        <f>IFERROR(__xludf.DUMMYFUNCTION("""COMPUTED_VALUE"""),"Uncle Sams Cider (04/04/2023)")</f>
        <v>Uncle Sams Cider (04/04/2023)</v>
      </c>
      <c r="H975" s="19"/>
    </row>
    <row r="976">
      <c r="A976" s="9"/>
      <c r="B976" s="15"/>
      <c r="C976" s="9">
        <f>IFERROR(__xludf.DUMMYFUNCTION("""COMPUTED_VALUE"""),45134.4230477893)</f>
        <v>45134.42305</v>
      </c>
      <c r="D976" s="15">
        <f>IFERROR(__xludf.DUMMYFUNCTION("""COMPUTED_VALUE"""),0.998)</f>
        <v>0.998</v>
      </c>
      <c r="E976" s="16">
        <f>IFERROR(__xludf.DUMMYFUNCTION("""COMPUTED_VALUE"""),72.0)</f>
        <v>72</v>
      </c>
      <c r="F976" s="19" t="str">
        <f>IFERROR(__xludf.DUMMYFUNCTION("""COMPUTED_VALUE"""),"BLUE")</f>
        <v>BLUE</v>
      </c>
      <c r="G976" s="20" t="str">
        <f>IFERROR(__xludf.DUMMYFUNCTION("""COMPUTED_VALUE"""),"Uncle Sams Cider (04/04/2023)")</f>
        <v>Uncle Sams Cider (04/04/2023)</v>
      </c>
      <c r="H976" s="19"/>
    </row>
    <row r="977">
      <c r="A977" s="9"/>
      <c r="B977" s="15"/>
      <c r="C977" s="9">
        <f>IFERROR(__xludf.DUMMYFUNCTION("""COMPUTED_VALUE"""),45134.4126145717)</f>
        <v>45134.41261</v>
      </c>
      <c r="D977" s="15">
        <f>IFERROR(__xludf.DUMMYFUNCTION("""COMPUTED_VALUE"""),0.998)</f>
        <v>0.998</v>
      </c>
      <c r="E977" s="16">
        <f>IFERROR(__xludf.DUMMYFUNCTION("""COMPUTED_VALUE"""),72.0)</f>
        <v>72</v>
      </c>
      <c r="F977" s="19" t="str">
        <f>IFERROR(__xludf.DUMMYFUNCTION("""COMPUTED_VALUE"""),"BLUE")</f>
        <v>BLUE</v>
      </c>
      <c r="G977" s="20" t="str">
        <f>IFERROR(__xludf.DUMMYFUNCTION("""COMPUTED_VALUE"""),"Uncle Sams Cider (04/04/2023)")</f>
        <v>Uncle Sams Cider (04/04/2023)</v>
      </c>
      <c r="H977" s="19"/>
    </row>
    <row r="978">
      <c r="A978" s="9"/>
      <c r="B978" s="15"/>
      <c r="C978" s="9">
        <f>IFERROR(__xludf.DUMMYFUNCTION("""COMPUTED_VALUE"""),45134.4021819444)</f>
        <v>45134.40218</v>
      </c>
      <c r="D978" s="15">
        <f>IFERROR(__xludf.DUMMYFUNCTION("""COMPUTED_VALUE"""),0.998)</f>
        <v>0.998</v>
      </c>
      <c r="E978" s="16">
        <f>IFERROR(__xludf.DUMMYFUNCTION("""COMPUTED_VALUE"""),72.0)</f>
        <v>72</v>
      </c>
      <c r="F978" s="19" t="str">
        <f>IFERROR(__xludf.DUMMYFUNCTION("""COMPUTED_VALUE"""),"BLUE")</f>
        <v>BLUE</v>
      </c>
      <c r="G978" s="20" t="str">
        <f>IFERROR(__xludf.DUMMYFUNCTION("""COMPUTED_VALUE"""),"Uncle Sams Cider (04/04/2023)")</f>
        <v>Uncle Sams Cider (04/04/2023)</v>
      </c>
      <c r="H978" s="19"/>
    </row>
    <row r="979">
      <c r="A979" s="9"/>
      <c r="B979" s="15"/>
      <c r="C979" s="9">
        <f>IFERROR(__xludf.DUMMYFUNCTION("""COMPUTED_VALUE"""),45134.3917503587)</f>
        <v>45134.39175</v>
      </c>
      <c r="D979" s="15">
        <f>IFERROR(__xludf.DUMMYFUNCTION("""COMPUTED_VALUE"""),0.998)</f>
        <v>0.998</v>
      </c>
      <c r="E979" s="16">
        <f>IFERROR(__xludf.DUMMYFUNCTION("""COMPUTED_VALUE"""),72.0)</f>
        <v>72</v>
      </c>
      <c r="F979" s="19" t="str">
        <f>IFERROR(__xludf.DUMMYFUNCTION("""COMPUTED_VALUE"""),"BLUE")</f>
        <v>BLUE</v>
      </c>
      <c r="G979" s="20" t="str">
        <f>IFERROR(__xludf.DUMMYFUNCTION("""COMPUTED_VALUE"""),"Uncle Sams Cider (04/04/2023)")</f>
        <v>Uncle Sams Cider (04/04/2023)</v>
      </c>
      <c r="H979" s="19"/>
    </row>
    <row r="980">
      <c r="A980" s="9"/>
      <c r="B980" s="15"/>
      <c r="C980" s="9">
        <f>IFERROR(__xludf.DUMMYFUNCTION("""COMPUTED_VALUE"""),45134.3813174421)</f>
        <v>45134.38132</v>
      </c>
      <c r="D980" s="15">
        <f>IFERROR(__xludf.DUMMYFUNCTION("""COMPUTED_VALUE"""),0.998)</f>
        <v>0.998</v>
      </c>
      <c r="E980" s="16">
        <f>IFERROR(__xludf.DUMMYFUNCTION("""COMPUTED_VALUE"""),72.0)</f>
        <v>72</v>
      </c>
      <c r="F980" s="19" t="str">
        <f>IFERROR(__xludf.DUMMYFUNCTION("""COMPUTED_VALUE"""),"BLUE")</f>
        <v>BLUE</v>
      </c>
      <c r="G980" s="20" t="str">
        <f>IFERROR(__xludf.DUMMYFUNCTION("""COMPUTED_VALUE"""),"Uncle Sams Cider (04/04/2023)")</f>
        <v>Uncle Sams Cider (04/04/2023)</v>
      </c>
      <c r="H980" s="19"/>
    </row>
    <row r="981">
      <c r="A981" s="9"/>
      <c r="B981" s="15"/>
      <c r="C981" s="9">
        <f>IFERROR(__xludf.DUMMYFUNCTION("""COMPUTED_VALUE"""),45134.3708609953)</f>
        <v>45134.37086</v>
      </c>
      <c r="D981" s="15">
        <f>IFERROR(__xludf.DUMMYFUNCTION("""COMPUTED_VALUE"""),0.999)</f>
        <v>0.999</v>
      </c>
      <c r="E981" s="16">
        <f>IFERROR(__xludf.DUMMYFUNCTION("""COMPUTED_VALUE"""),72.0)</f>
        <v>72</v>
      </c>
      <c r="F981" s="19" t="str">
        <f>IFERROR(__xludf.DUMMYFUNCTION("""COMPUTED_VALUE"""),"BLUE")</f>
        <v>BLUE</v>
      </c>
      <c r="G981" s="20" t="str">
        <f>IFERROR(__xludf.DUMMYFUNCTION("""COMPUTED_VALUE"""),"Uncle Sams Cider (04/04/2023)")</f>
        <v>Uncle Sams Cider (04/04/2023)</v>
      </c>
      <c r="H981" s="19"/>
    </row>
    <row r="982">
      <c r="A982" s="9"/>
      <c r="B982" s="15"/>
      <c r="C982" s="9">
        <f>IFERROR(__xludf.DUMMYFUNCTION("""COMPUTED_VALUE"""),45134.36043978)</f>
        <v>45134.36044</v>
      </c>
      <c r="D982" s="15">
        <f>IFERROR(__xludf.DUMMYFUNCTION("""COMPUTED_VALUE"""),0.998)</f>
        <v>0.998</v>
      </c>
      <c r="E982" s="16">
        <f>IFERROR(__xludf.DUMMYFUNCTION("""COMPUTED_VALUE"""),72.0)</f>
        <v>72</v>
      </c>
      <c r="F982" s="19" t="str">
        <f>IFERROR(__xludf.DUMMYFUNCTION("""COMPUTED_VALUE"""),"BLUE")</f>
        <v>BLUE</v>
      </c>
      <c r="G982" s="20" t="str">
        <f>IFERROR(__xludf.DUMMYFUNCTION("""COMPUTED_VALUE"""),"Uncle Sams Cider (04/04/2023)")</f>
        <v>Uncle Sams Cider (04/04/2023)</v>
      </c>
      <c r="H982" s="19"/>
    </row>
    <row r="983">
      <c r="A983" s="9"/>
      <c r="B983" s="15"/>
      <c r="C983" s="9">
        <f>IFERROR(__xludf.DUMMYFUNCTION("""COMPUTED_VALUE"""),45134.3500180208)</f>
        <v>45134.35002</v>
      </c>
      <c r="D983" s="15">
        <f>IFERROR(__xludf.DUMMYFUNCTION("""COMPUTED_VALUE"""),0.998)</f>
        <v>0.998</v>
      </c>
      <c r="E983" s="16">
        <f>IFERROR(__xludf.DUMMYFUNCTION("""COMPUTED_VALUE"""),72.0)</f>
        <v>72</v>
      </c>
      <c r="F983" s="19" t="str">
        <f>IFERROR(__xludf.DUMMYFUNCTION("""COMPUTED_VALUE"""),"BLUE")</f>
        <v>BLUE</v>
      </c>
      <c r="G983" s="20" t="str">
        <f>IFERROR(__xludf.DUMMYFUNCTION("""COMPUTED_VALUE"""),"Uncle Sams Cider (04/04/2023)")</f>
        <v>Uncle Sams Cider (04/04/2023)</v>
      </c>
      <c r="H983" s="19"/>
    </row>
    <row r="984">
      <c r="A984" s="9"/>
      <c r="B984" s="15"/>
      <c r="C984" s="9">
        <f>IFERROR(__xludf.DUMMYFUNCTION("""COMPUTED_VALUE"""),45134.3395965625)</f>
        <v>45134.3396</v>
      </c>
      <c r="D984" s="15">
        <f>IFERROR(__xludf.DUMMYFUNCTION("""COMPUTED_VALUE"""),0.998)</f>
        <v>0.998</v>
      </c>
      <c r="E984" s="16">
        <f>IFERROR(__xludf.DUMMYFUNCTION("""COMPUTED_VALUE"""),72.0)</f>
        <v>72</v>
      </c>
      <c r="F984" s="19" t="str">
        <f>IFERROR(__xludf.DUMMYFUNCTION("""COMPUTED_VALUE"""),"BLUE")</f>
        <v>BLUE</v>
      </c>
      <c r="G984" s="20" t="str">
        <f>IFERROR(__xludf.DUMMYFUNCTION("""COMPUTED_VALUE"""),"Uncle Sams Cider (04/04/2023)")</f>
        <v>Uncle Sams Cider (04/04/2023)</v>
      </c>
      <c r="H984" s="19"/>
    </row>
    <row r="985">
      <c r="A985" s="9"/>
      <c r="B985" s="15"/>
      <c r="C985" s="9">
        <f>IFERROR(__xludf.DUMMYFUNCTION("""COMPUTED_VALUE"""),45134.3291648842)</f>
        <v>45134.32916</v>
      </c>
      <c r="D985" s="15">
        <f>IFERROR(__xludf.DUMMYFUNCTION("""COMPUTED_VALUE"""),0.998)</f>
        <v>0.998</v>
      </c>
      <c r="E985" s="16">
        <f>IFERROR(__xludf.DUMMYFUNCTION("""COMPUTED_VALUE"""),72.0)</f>
        <v>72</v>
      </c>
      <c r="F985" s="19" t="str">
        <f>IFERROR(__xludf.DUMMYFUNCTION("""COMPUTED_VALUE"""),"BLUE")</f>
        <v>BLUE</v>
      </c>
      <c r="G985" s="20" t="str">
        <f>IFERROR(__xludf.DUMMYFUNCTION("""COMPUTED_VALUE"""),"Uncle Sams Cider (04/04/2023)")</f>
        <v>Uncle Sams Cider (04/04/2023)</v>
      </c>
      <c r="H985" s="19"/>
    </row>
    <row r="986">
      <c r="A986" s="9"/>
      <c r="B986" s="15"/>
      <c r="C986" s="9">
        <f>IFERROR(__xludf.DUMMYFUNCTION("""COMPUTED_VALUE"""),45134.3187428356)</f>
        <v>45134.31874</v>
      </c>
      <c r="D986" s="15">
        <f>IFERROR(__xludf.DUMMYFUNCTION("""COMPUTED_VALUE"""),0.999)</f>
        <v>0.999</v>
      </c>
      <c r="E986" s="16">
        <f>IFERROR(__xludf.DUMMYFUNCTION("""COMPUTED_VALUE"""),72.0)</f>
        <v>72</v>
      </c>
      <c r="F986" s="19" t="str">
        <f>IFERROR(__xludf.DUMMYFUNCTION("""COMPUTED_VALUE"""),"BLUE")</f>
        <v>BLUE</v>
      </c>
      <c r="G986" s="20" t="str">
        <f>IFERROR(__xludf.DUMMYFUNCTION("""COMPUTED_VALUE"""),"Uncle Sams Cider (04/04/2023)")</f>
        <v>Uncle Sams Cider (04/04/2023)</v>
      </c>
      <c r="H986" s="19"/>
    </row>
    <row r="987">
      <c r="A987" s="9"/>
      <c r="B987" s="15"/>
      <c r="C987" s="9">
        <f>IFERROR(__xludf.DUMMYFUNCTION("""COMPUTED_VALUE"""),45134.3083236111)</f>
        <v>45134.30832</v>
      </c>
      <c r="D987" s="15">
        <f>IFERROR(__xludf.DUMMYFUNCTION("""COMPUTED_VALUE"""),0.998)</f>
        <v>0.998</v>
      </c>
      <c r="E987" s="16">
        <f>IFERROR(__xludf.DUMMYFUNCTION("""COMPUTED_VALUE"""),72.0)</f>
        <v>72</v>
      </c>
      <c r="F987" s="19" t="str">
        <f>IFERROR(__xludf.DUMMYFUNCTION("""COMPUTED_VALUE"""),"BLUE")</f>
        <v>BLUE</v>
      </c>
      <c r="G987" s="20" t="str">
        <f>IFERROR(__xludf.DUMMYFUNCTION("""COMPUTED_VALUE"""),"Uncle Sams Cider (04/04/2023)")</f>
        <v>Uncle Sams Cider (04/04/2023)</v>
      </c>
      <c r="H987" s="19"/>
    </row>
    <row r="988">
      <c r="A988" s="9"/>
      <c r="B988" s="15"/>
      <c r="C988" s="9">
        <f>IFERROR(__xludf.DUMMYFUNCTION("""COMPUTED_VALUE"""),45134.2979028009)</f>
        <v>45134.2979</v>
      </c>
      <c r="D988" s="15">
        <f>IFERROR(__xludf.DUMMYFUNCTION("""COMPUTED_VALUE"""),0.998)</f>
        <v>0.998</v>
      </c>
      <c r="E988" s="16">
        <f>IFERROR(__xludf.DUMMYFUNCTION("""COMPUTED_VALUE"""),72.0)</f>
        <v>72</v>
      </c>
      <c r="F988" s="19" t="str">
        <f>IFERROR(__xludf.DUMMYFUNCTION("""COMPUTED_VALUE"""),"BLUE")</f>
        <v>BLUE</v>
      </c>
      <c r="G988" s="20" t="str">
        <f>IFERROR(__xludf.DUMMYFUNCTION("""COMPUTED_VALUE"""),"Uncle Sams Cider (04/04/2023)")</f>
        <v>Uncle Sams Cider (04/04/2023)</v>
      </c>
      <c r="H988" s="19"/>
    </row>
    <row r="989">
      <c r="A989" s="9"/>
      <c r="B989" s="15"/>
      <c r="C989" s="9">
        <f>IFERROR(__xludf.DUMMYFUNCTION("""COMPUTED_VALUE"""),45134.2874818171)</f>
        <v>45134.28748</v>
      </c>
      <c r="D989" s="15">
        <f>IFERROR(__xludf.DUMMYFUNCTION("""COMPUTED_VALUE"""),0.998)</f>
        <v>0.998</v>
      </c>
      <c r="E989" s="16">
        <f>IFERROR(__xludf.DUMMYFUNCTION("""COMPUTED_VALUE"""),72.0)</f>
        <v>72</v>
      </c>
      <c r="F989" s="19" t="str">
        <f>IFERROR(__xludf.DUMMYFUNCTION("""COMPUTED_VALUE"""),"BLUE")</f>
        <v>BLUE</v>
      </c>
      <c r="G989" s="20" t="str">
        <f>IFERROR(__xludf.DUMMYFUNCTION("""COMPUTED_VALUE"""),"Uncle Sams Cider (04/04/2023)")</f>
        <v>Uncle Sams Cider (04/04/2023)</v>
      </c>
      <c r="H989" s="19"/>
    </row>
    <row r="990">
      <c r="A990" s="9"/>
      <c r="B990" s="15"/>
      <c r="C990" s="9">
        <f>IFERROR(__xludf.DUMMYFUNCTION("""COMPUTED_VALUE"""),45134.2770623958)</f>
        <v>45134.27706</v>
      </c>
      <c r="D990" s="15">
        <f>IFERROR(__xludf.DUMMYFUNCTION("""COMPUTED_VALUE"""),0.998)</f>
        <v>0.998</v>
      </c>
      <c r="E990" s="16">
        <f>IFERROR(__xludf.DUMMYFUNCTION("""COMPUTED_VALUE"""),72.0)</f>
        <v>72</v>
      </c>
      <c r="F990" s="19" t="str">
        <f>IFERROR(__xludf.DUMMYFUNCTION("""COMPUTED_VALUE"""),"BLUE")</f>
        <v>BLUE</v>
      </c>
      <c r="G990" s="20" t="str">
        <f>IFERROR(__xludf.DUMMYFUNCTION("""COMPUTED_VALUE"""),"Uncle Sams Cider (04/04/2023)")</f>
        <v>Uncle Sams Cider (04/04/2023)</v>
      </c>
      <c r="H990" s="19"/>
    </row>
    <row r="991">
      <c r="A991" s="9"/>
      <c r="B991" s="15"/>
      <c r="C991" s="9">
        <f>IFERROR(__xludf.DUMMYFUNCTION("""COMPUTED_VALUE"""),45134.2666308101)</f>
        <v>45134.26663</v>
      </c>
      <c r="D991" s="15">
        <f>IFERROR(__xludf.DUMMYFUNCTION("""COMPUTED_VALUE"""),0.998)</f>
        <v>0.998</v>
      </c>
      <c r="E991" s="16">
        <f>IFERROR(__xludf.DUMMYFUNCTION("""COMPUTED_VALUE"""),72.0)</f>
        <v>72</v>
      </c>
      <c r="F991" s="19" t="str">
        <f>IFERROR(__xludf.DUMMYFUNCTION("""COMPUTED_VALUE"""),"BLUE")</f>
        <v>BLUE</v>
      </c>
      <c r="G991" s="20" t="str">
        <f>IFERROR(__xludf.DUMMYFUNCTION("""COMPUTED_VALUE"""),"Uncle Sams Cider (04/04/2023)")</f>
        <v>Uncle Sams Cider (04/04/2023)</v>
      </c>
      <c r="H991" s="19"/>
    </row>
    <row r="992">
      <c r="A992" s="9"/>
      <c r="B992" s="15"/>
      <c r="C992" s="9">
        <f>IFERROR(__xludf.DUMMYFUNCTION("""COMPUTED_VALUE"""),45134.2562095833)</f>
        <v>45134.25621</v>
      </c>
      <c r="D992" s="15">
        <f>IFERROR(__xludf.DUMMYFUNCTION("""COMPUTED_VALUE"""),0.998)</f>
        <v>0.998</v>
      </c>
      <c r="E992" s="16">
        <f>IFERROR(__xludf.DUMMYFUNCTION("""COMPUTED_VALUE"""),72.0)</f>
        <v>72</v>
      </c>
      <c r="F992" s="19" t="str">
        <f>IFERROR(__xludf.DUMMYFUNCTION("""COMPUTED_VALUE"""),"BLUE")</f>
        <v>BLUE</v>
      </c>
      <c r="G992" s="20" t="str">
        <f>IFERROR(__xludf.DUMMYFUNCTION("""COMPUTED_VALUE"""),"Uncle Sams Cider (04/04/2023)")</f>
        <v>Uncle Sams Cider (04/04/2023)</v>
      </c>
      <c r="H992" s="19"/>
    </row>
    <row r="993">
      <c r="A993" s="9"/>
      <c r="B993" s="15"/>
      <c r="C993" s="9">
        <f>IFERROR(__xludf.DUMMYFUNCTION("""COMPUTED_VALUE"""),45134.2457753472)</f>
        <v>45134.24578</v>
      </c>
      <c r="D993" s="15">
        <f>IFERROR(__xludf.DUMMYFUNCTION("""COMPUTED_VALUE"""),0.999)</f>
        <v>0.999</v>
      </c>
      <c r="E993" s="16">
        <f>IFERROR(__xludf.DUMMYFUNCTION("""COMPUTED_VALUE"""),72.0)</f>
        <v>72</v>
      </c>
      <c r="F993" s="19" t="str">
        <f>IFERROR(__xludf.DUMMYFUNCTION("""COMPUTED_VALUE"""),"BLUE")</f>
        <v>BLUE</v>
      </c>
      <c r="G993" s="20" t="str">
        <f>IFERROR(__xludf.DUMMYFUNCTION("""COMPUTED_VALUE"""),"Uncle Sams Cider (04/04/2023)")</f>
        <v>Uncle Sams Cider (04/04/2023)</v>
      </c>
      <c r="H993" s="19"/>
    </row>
    <row r="994">
      <c r="A994" s="9"/>
      <c r="B994" s="15"/>
      <c r="C994" s="9">
        <f>IFERROR(__xludf.DUMMYFUNCTION("""COMPUTED_VALUE"""),45134.2353430671)</f>
        <v>45134.23534</v>
      </c>
      <c r="D994" s="15">
        <f>IFERROR(__xludf.DUMMYFUNCTION("""COMPUTED_VALUE"""),0.999)</f>
        <v>0.999</v>
      </c>
      <c r="E994" s="16">
        <f>IFERROR(__xludf.DUMMYFUNCTION("""COMPUTED_VALUE"""),72.0)</f>
        <v>72</v>
      </c>
      <c r="F994" s="19" t="str">
        <f>IFERROR(__xludf.DUMMYFUNCTION("""COMPUTED_VALUE"""),"BLUE")</f>
        <v>BLUE</v>
      </c>
      <c r="G994" s="20" t="str">
        <f>IFERROR(__xludf.DUMMYFUNCTION("""COMPUTED_VALUE"""),"Uncle Sams Cider (04/04/2023)")</f>
        <v>Uncle Sams Cider (04/04/2023)</v>
      </c>
      <c r="H994" s="19"/>
    </row>
    <row r="995">
      <c r="A995" s="9"/>
      <c r="B995" s="15"/>
      <c r="C995" s="9">
        <f>IFERROR(__xludf.DUMMYFUNCTION("""COMPUTED_VALUE"""),45134.2249228703)</f>
        <v>45134.22492</v>
      </c>
      <c r="D995" s="15">
        <f>IFERROR(__xludf.DUMMYFUNCTION("""COMPUTED_VALUE"""),0.998)</f>
        <v>0.998</v>
      </c>
      <c r="E995" s="16">
        <f>IFERROR(__xludf.DUMMYFUNCTION("""COMPUTED_VALUE"""),72.0)</f>
        <v>72</v>
      </c>
      <c r="F995" s="19" t="str">
        <f>IFERROR(__xludf.DUMMYFUNCTION("""COMPUTED_VALUE"""),"BLUE")</f>
        <v>BLUE</v>
      </c>
      <c r="G995" s="20" t="str">
        <f>IFERROR(__xludf.DUMMYFUNCTION("""COMPUTED_VALUE"""),"Uncle Sams Cider (04/04/2023)")</f>
        <v>Uncle Sams Cider (04/04/2023)</v>
      </c>
      <c r="H995" s="19"/>
    </row>
    <row r="996">
      <c r="A996" s="9"/>
      <c r="B996" s="15"/>
      <c r="C996" s="9">
        <f>IFERROR(__xludf.DUMMYFUNCTION("""COMPUTED_VALUE"""),45134.2145012152)</f>
        <v>45134.2145</v>
      </c>
      <c r="D996" s="15">
        <f>IFERROR(__xludf.DUMMYFUNCTION("""COMPUTED_VALUE"""),0.998)</f>
        <v>0.998</v>
      </c>
      <c r="E996" s="16">
        <f>IFERROR(__xludf.DUMMYFUNCTION("""COMPUTED_VALUE"""),72.0)</f>
        <v>72</v>
      </c>
      <c r="F996" s="19" t="str">
        <f>IFERROR(__xludf.DUMMYFUNCTION("""COMPUTED_VALUE"""),"BLUE")</f>
        <v>BLUE</v>
      </c>
      <c r="G996" s="20" t="str">
        <f>IFERROR(__xludf.DUMMYFUNCTION("""COMPUTED_VALUE"""),"Uncle Sams Cider (04/04/2023)")</f>
        <v>Uncle Sams Cider (04/04/2023)</v>
      </c>
      <c r="H996" s="19"/>
    </row>
    <row r="997">
      <c r="A997" s="9"/>
      <c r="B997" s="15"/>
      <c r="C997" s="9">
        <f>IFERROR(__xludf.DUMMYFUNCTION("""COMPUTED_VALUE"""),45134.2040805324)</f>
        <v>45134.20408</v>
      </c>
      <c r="D997" s="15">
        <f>IFERROR(__xludf.DUMMYFUNCTION("""COMPUTED_VALUE"""),0.998)</f>
        <v>0.998</v>
      </c>
      <c r="E997" s="16">
        <f>IFERROR(__xludf.DUMMYFUNCTION("""COMPUTED_VALUE"""),72.0)</f>
        <v>72</v>
      </c>
      <c r="F997" s="19" t="str">
        <f>IFERROR(__xludf.DUMMYFUNCTION("""COMPUTED_VALUE"""),"BLUE")</f>
        <v>BLUE</v>
      </c>
      <c r="G997" s="20" t="str">
        <f>IFERROR(__xludf.DUMMYFUNCTION("""COMPUTED_VALUE"""),"Uncle Sams Cider (04/04/2023)")</f>
        <v>Uncle Sams Cider (04/04/2023)</v>
      </c>
      <c r="H997" s="19"/>
    </row>
    <row r="998">
      <c r="A998" s="9"/>
      <c r="B998" s="15"/>
      <c r="C998" s="9">
        <f>IFERROR(__xludf.DUMMYFUNCTION("""COMPUTED_VALUE"""),45134.1936598958)</f>
        <v>45134.19366</v>
      </c>
      <c r="D998" s="15">
        <f>IFERROR(__xludf.DUMMYFUNCTION("""COMPUTED_VALUE"""),0.998)</f>
        <v>0.998</v>
      </c>
      <c r="E998" s="16">
        <f>IFERROR(__xludf.DUMMYFUNCTION("""COMPUTED_VALUE"""),72.0)</f>
        <v>72</v>
      </c>
      <c r="F998" s="19" t="str">
        <f>IFERROR(__xludf.DUMMYFUNCTION("""COMPUTED_VALUE"""),"BLUE")</f>
        <v>BLUE</v>
      </c>
      <c r="G998" s="20" t="str">
        <f>IFERROR(__xludf.DUMMYFUNCTION("""COMPUTED_VALUE"""),"Uncle Sams Cider (04/04/2023)")</f>
        <v>Uncle Sams Cider (04/04/2023)</v>
      </c>
      <c r="H998" s="19"/>
    </row>
    <row r="999">
      <c r="A999" s="9"/>
      <c r="B999" s="15"/>
      <c r="C999" s="9">
        <f>IFERROR(__xludf.DUMMYFUNCTION("""COMPUTED_VALUE"""),45134.183216412)</f>
        <v>45134.18322</v>
      </c>
      <c r="D999" s="15">
        <f>IFERROR(__xludf.DUMMYFUNCTION("""COMPUTED_VALUE"""),0.998)</f>
        <v>0.998</v>
      </c>
      <c r="E999" s="16">
        <f>IFERROR(__xludf.DUMMYFUNCTION("""COMPUTED_VALUE"""),72.0)</f>
        <v>72</v>
      </c>
      <c r="F999" s="19" t="str">
        <f>IFERROR(__xludf.DUMMYFUNCTION("""COMPUTED_VALUE"""),"BLUE")</f>
        <v>BLUE</v>
      </c>
      <c r="G999" s="20" t="str">
        <f>IFERROR(__xludf.DUMMYFUNCTION("""COMPUTED_VALUE"""),"Uncle Sams Cider (04/04/2023)")</f>
        <v>Uncle Sams Cider (04/04/2023)</v>
      </c>
      <c r="H999" s="19"/>
    </row>
    <row r="1000">
      <c r="A1000" s="9"/>
      <c r="B1000" s="15"/>
      <c r="C1000" s="9">
        <f>IFERROR(__xludf.DUMMYFUNCTION("""COMPUTED_VALUE"""),45134.1727960995)</f>
        <v>45134.1728</v>
      </c>
      <c r="D1000" s="15">
        <f>IFERROR(__xludf.DUMMYFUNCTION("""COMPUTED_VALUE"""),0.998)</f>
        <v>0.998</v>
      </c>
      <c r="E1000" s="16">
        <f>IFERROR(__xludf.DUMMYFUNCTION("""COMPUTED_VALUE"""),72.0)</f>
        <v>72</v>
      </c>
      <c r="F1000" s="19" t="str">
        <f>IFERROR(__xludf.DUMMYFUNCTION("""COMPUTED_VALUE"""),"BLUE")</f>
        <v>BLUE</v>
      </c>
      <c r="G1000" s="20" t="str">
        <f>IFERROR(__xludf.DUMMYFUNCTION("""COMPUTED_VALUE"""),"Uncle Sams Cider (04/04/2023)")</f>
        <v>Uncle Sams Cider (04/04/2023)</v>
      </c>
      <c r="H1000" s="19"/>
    </row>
    <row r="1001">
      <c r="A1001" s="9"/>
      <c r="B1001" s="15"/>
      <c r="C1001" s="9">
        <f>IFERROR(__xludf.DUMMYFUNCTION("""COMPUTED_VALUE"""),45134.1623648032)</f>
        <v>45134.16236</v>
      </c>
      <c r="D1001" s="15">
        <f>IFERROR(__xludf.DUMMYFUNCTION("""COMPUTED_VALUE"""),0.999)</f>
        <v>0.999</v>
      </c>
      <c r="E1001" s="16">
        <f>IFERROR(__xludf.DUMMYFUNCTION("""COMPUTED_VALUE"""),72.0)</f>
        <v>72</v>
      </c>
      <c r="F1001" s="19" t="str">
        <f>IFERROR(__xludf.DUMMYFUNCTION("""COMPUTED_VALUE"""),"BLUE")</f>
        <v>BLUE</v>
      </c>
      <c r="G1001" s="20" t="str">
        <f>IFERROR(__xludf.DUMMYFUNCTION("""COMPUTED_VALUE"""),"Uncle Sams Cider (04/04/2023)")</f>
        <v>Uncle Sams Cider (04/04/2023)</v>
      </c>
      <c r="H1001" s="19"/>
    </row>
    <row r="1002">
      <c r="A1002" s="9"/>
      <c r="B1002" s="15"/>
      <c r="C1002" s="9">
        <f>IFERROR(__xludf.DUMMYFUNCTION("""COMPUTED_VALUE"""),45134.1519438773)</f>
        <v>45134.15194</v>
      </c>
      <c r="D1002" s="15">
        <f>IFERROR(__xludf.DUMMYFUNCTION("""COMPUTED_VALUE"""),0.999)</f>
        <v>0.999</v>
      </c>
      <c r="E1002" s="16">
        <f>IFERROR(__xludf.DUMMYFUNCTION("""COMPUTED_VALUE"""),72.0)</f>
        <v>72</v>
      </c>
      <c r="F1002" s="19" t="str">
        <f>IFERROR(__xludf.DUMMYFUNCTION("""COMPUTED_VALUE"""),"BLUE")</f>
        <v>BLUE</v>
      </c>
      <c r="G1002" s="20" t="str">
        <f>IFERROR(__xludf.DUMMYFUNCTION("""COMPUTED_VALUE"""),"Uncle Sams Cider (04/04/2023)")</f>
        <v>Uncle Sams Cider (04/04/2023)</v>
      </c>
      <c r="H1002" s="19"/>
    </row>
    <row r="1003">
      <c r="A1003" s="9"/>
      <c r="B1003" s="15"/>
      <c r="C1003" s="9">
        <f>IFERROR(__xludf.DUMMYFUNCTION("""COMPUTED_VALUE"""),45134.1415244097)</f>
        <v>45134.14152</v>
      </c>
      <c r="D1003" s="15">
        <f>IFERROR(__xludf.DUMMYFUNCTION("""COMPUTED_VALUE"""),0.999)</f>
        <v>0.999</v>
      </c>
      <c r="E1003" s="16">
        <f>IFERROR(__xludf.DUMMYFUNCTION("""COMPUTED_VALUE"""),72.0)</f>
        <v>72</v>
      </c>
      <c r="F1003" s="19" t="str">
        <f>IFERROR(__xludf.DUMMYFUNCTION("""COMPUTED_VALUE"""),"BLUE")</f>
        <v>BLUE</v>
      </c>
      <c r="G1003" s="20" t="str">
        <f>IFERROR(__xludf.DUMMYFUNCTION("""COMPUTED_VALUE"""),"Uncle Sams Cider (04/04/2023)")</f>
        <v>Uncle Sams Cider (04/04/2023)</v>
      </c>
      <c r="H1003" s="19"/>
    </row>
    <row r="1004">
      <c r="A1004" s="9"/>
      <c r="B1004" s="15"/>
      <c r="C1004" s="9">
        <f>IFERROR(__xludf.DUMMYFUNCTION("""COMPUTED_VALUE"""),45134.1311027546)</f>
        <v>45134.1311</v>
      </c>
      <c r="D1004" s="15">
        <f>IFERROR(__xludf.DUMMYFUNCTION("""COMPUTED_VALUE"""),0.998)</f>
        <v>0.998</v>
      </c>
      <c r="E1004" s="16">
        <f>IFERROR(__xludf.DUMMYFUNCTION("""COMPUTED_VALUE"""),72.0)</f>
        <v>72</v>
      </c>
      <c r="F1004" s="19" t="str">
        <f>IFERROR(__xludf.DUMMYFUNCTION("""COMPUTED_VALUE"""),"BLUE")</f>
        <v>BLUE</v>
      </c>
      <c r="G1004" s="20" t="str">
        <f>IFERROR(__xludf.DUMMYFUNCTION("""COMPUTED_VALUE"""),"Uncle Sams Cider (04/04/2023)")</f>
        <v>Uncle Sams Cider (04/04/2023)</v>
      </c>
      <c r="H1004" s="19"/>
    </row>
    <row r="1005">
      <c r="A1005" s="9"/>
      <c r="B1005" s="15"/>
      <c r="C1005" s="9">
        <f>IFERROR(__xludf.DUMMYFUNCTION("""COMPUTED_VALUE"""),45134.1206806365)</f>
        <v>45134.12068</v>
      </c>
      <c r="D1005" s="15">
        <f>IFERROR(__xludf.DUMMYFUNCTION("""COMPUTED_VALUE"""),0.998)</f>
        <v>0.998</v>
      </c>
      <c r="E1005" s="16">
        <f>IFERROR(__xludf.DUMMYFUNCTION("""COMPUTED_VALUE"""),72.0)</f>
        <v>72</v>
      </c>
      <c r="F1005" s="19" t="str">
        <f>IFERROR(__xludf.DUMMYFUNCTION("""COMPUTED_VALUE"""),"BLUE")</f>
        <v>BLUE</v>
      </c>
      <c r="G1005" s="20" t="str">
        <f>IFERROR(__xludf.DUMMYFUNCTION("""COMPUTED_VALUE"""),"Uncle Sams Cider (04/04/2023)")</f>
        <v>Uncle Sams Cider (04/04/2023)</v>
      </c>
      <c r="H1005" s="19"/>
    </row>
    <row r="1006">
      <c r="A1006" s="9"/>
      <c r="B1006" s="15"/>
      <c r="C1006" s="9">
        <f>IFERROR(__xludf.DUMMYFUNCTION("""COMPUTED_VALUE"""),45134.1102595023)</f>
        <v>45134.11026</v>
      </c>
      <c r="D1006" s="15">
        <f>IFERROR(__xludf.DUMMYFUNCTION("""COMPUTED_VALUE"""),0.998)</f>
        <v>0.998</v>
      </c>
      <c r="E1006" s="16">
        <f>IFERROR(__xludf.DUMMYFUNCTION("""COMPUTED_VALUE"""),72.0)</f>
        <v>72</v>
      </c>
      <c r="F1006" s="19" t="str">
        <f>IFERROR(__xludf.DUMMYFUNCTION("""COMPUTED_VALUE"""),"BLUE")</f>
        <v>BLUE</v>
      </c>
      <c r="G1006" s="20" t="str">
        <f>IFERROR(__xludf.DUMMYFUNCTION("""COMPUTED_VALUE"""),"Uncle Sams Cider (04/04/2023)")</f>
        <v>Uncle Sams Cider (04/04/2023)</v>
      </c>
      <c r="H1006" s="19"/>
    </row>
    <row r="1007">
      <c r="A1007" s="9"/>
      <c r="B1007" s="15"/>
      <c r="C1007" s="9">
        <f>IFERROR(__xludf.DUMMYFUNCTION("""COMPUTED_VALUE"""),45134.0998268865)</f>
        <v>45134.09983</v>
      </c>
      <c r="D1007" s="15">
        <f>IFERROR(__xludf.DUMMYFUNCTION("""COMPUTED_VALUE"""),0.998)</f>
        <v>0.998</v>
      </c>
      <c r="E1007" s="16">
        <f>IFERROR(__xludf.DUMMYFUNCTION("""COMPUTED_VALUE"""),72.0)</f>
        <v>72</v>
      </c>
      <c r="F1007" s="19" t="str">
        <f>IFERROR(__xludf.DUMMYFUNCTION("""COMPUTED_VALUE"""),"BLUE")</f>
        <v>BLUE</v>
      </c>
      <c r="G1007" s="20" t="str">
        <f>IFERROR(__xludf.DUMMYFUNCTION("""COMPUTED_VALUE"""),"Uncle Sams Cider (04/04/2023)")</f>
        <v>Uncle Sams Cider (04/04/2023)</v>
      </c>
      <c r="H1007" s="19"/>
    </row>
    <row r="1008">
      <c r="A1008" s="9"/>
      <c r="B1008" s="15"/>
      <c r="C1008" s="9">
        <f>IFERROR(__xludf.DUMMYFUNCTION("""COMPUTED_VALUE"""),45134.0894071527)</f>
        <v>45134.08941</v>
      </c>
      <c r="D1008" s="15">
        <f>IFERROR(__xludf.DUMMYFUNCTION("""COMPUTED_VALUE"""),0.998)</f>
        <v>0.998</v>
      </c>
      <c r="E1008" s="16">
        <f>IFERROR(__xludf.DUMMYFUNCTION("""COMPUTED_VALUE"""),72.0)</f>
        <v>72</v>
      </c>
      <c r="F1008" s="19" t="str">
        <f>IFERROR(__xludf.DUMMYFUNCTION("""COMPUTED_VALUE"""),"BLUE")</f>
        <v>BLUE</v>
      </c>
      <c r="G1008" s="20" t="str">
        <f>IFERROR(__xludf.DUMMYFUNCTION("""COMPUTED_VALUE"""),"Uncle Sams Cider (04/04/2023)")</f>
        <v>Uncle Sams Cider (04/04/2023)</v>
      </c>
      <c r="H1008" s="19"/>
    </row>
    <row r="1009">
      <c r="A1009" s="9"/>
      <c r="B1009" s="15"/>
      <c r="C1009" s="9">
        <f>IFERROR(__xludf.DUMMYFUNCTION("""COMPUTED_VALUE"""),45134.0789855787)</f>
        <v>45134.07899</v>
      </c>
      <c r="D1009" s="15">
        <f>IFERROR(__xludf.DUMMYFUNCTION("""COMPUTED_VALUE"""),0.998)</f>
        <v>0.998</v>
      </c>
      <c r="E1009" s="16">
        <f>IFERROR(__xludf.DUMMYFUNCTION("""COMPUTED_VALUE"""),72.0)</f>
        <v>72</v>
      </c>
      <c r="F1009" s="19" t="str">
        <f>IFERROR(__xludf.DUMMYFUNCTION("""COMPUTED_VALUE"""),"BLUE")</f>
        <v>BLUE</v>
      </c>
      <c r="G1009" s="20" t="str">
        <f>IFERROR(__xludf.DUMMYFUNCTION("""COMPUTED_VALUE"""),"Uncle Sams Cider (04/04/2023)")</f>
        <v>Uncle Sams Cider (04/04/2023)</v>
      </c>
      <c r="H1009" s="19"/>
    </row>
    <row r="1010">
      <c r="A1010" s="9"/>
      <c r="B1010" s="15"/>
      <c r="C1010" s="9">
        <f>IFERROR(__xludf.DUMMYFUNCTION("""COMPUTED_VALUE"""),45134.0685520949)</f>
        <v>45134.06855</v>
      </c>
      <c r="D1010" s="15">
        <f>IFERROR(__xludf.DUMMYFUNCTION("""COMPUTED_VALUE"""),0.998)</f>
        <v>0.998</v>
      </c>
      <c r="E1010" s="16">
        <f>IFERROR(__xludf.DUMMYFUNCTION("""COMPUTED_VALUE"""),72.0)</f>
        <v>72</v>
      </c>
      <c r="F1010" s="19" t="str">
        <f>IFERROR(__xludf.DUMMYFUNCTION("""COMPUTED_VALUE"""),"BLUE")</f>
        <v>BLUE</v>
      </c>
      <c r="G1010" s="20" t="str">
        <f>IFERROR(__xludf.DUMMYFUNCTION("""COMPUTED_VALUE"""),"Uncle Sams Cider (04/04/2023)")</f>
        <v>Uncle Sams Cider (04/04/2023)</v>
      </c>
      <c r="H1010" s="19"/>
    </row>
    <row r="1011">
      <c r="A1011" s="9"/>
      <c r="B1011" s="15"/>
      <c r="C1011" s="9">
        <f>IFERROR(__xludf.DUMMYFUNCTION("""COMPUTED_VALUE"""),45134.0581314699)</f>
        <v>45134.05813</v>
      </c>
      <c r="D1011" s="15">
        <f>IFERROR(__xludf.DUMMYFUNCTION("""COMPUTED_VALUE"""),0.998)</f>
        <v>0.998</v>
      </c>
      <c r="E1011" s="16">
        <f>IFERROR(__xludf.DUMMYFUNCTION("""COMPUTED_VALUE"""),72.0)</f>
        <v>72</v>
      </c>
      <c r="F1011" s="19" t="str">
        <f>IFERROR(__xludf.DUMMYFUNCTION("""COMPUTED_VALUE"""),"BLUE")</f>
        <v>BLUE</v>
      </c>
      <c r="G1011" s="20" t="str">
        <f>IFERROR(__xludf.DUMMYFUNCTION("""COMPUTED_VALUE"""),"Uncle Sams Cider (04/04/2023)")</f>
        <v>Uncle Sams Cider (04/04/2023)</v>
      </c>
      <c r="H1011" s="19"/>
    </row>
    <row r="1012">
      <c r="A1012" s="9"/>
      <c r="B1012" s="15"/>
      <c r="C1012" s="9">
        <f>IFERROR(__xludf.DUMMYFUNCTION("""COMPUTED_VALUE"""),45134.0477098495)</f>
        <v>45134.04771</v>
      </c>
      <c r="D1012" s="15">
        <f>IFERROR(__xludf.DUMMYFUNCTION("""COMPUTED_VALUE"""),0.998)</f>
        <v>0.998</v>
      </c>
      <c r="E1012" s="16">
        <f>IFERROR(__xludf.DUMMYFUNCTION("""COMPUTED_VALUE"""),72.0)</f>
        <v>72</v>
      </c>
      <c r="F1012" s="19" t="str">
        <f>IFERROR(__xludf.DUMMYFUNCTION("""COMPUTED_VALUE"""),"BLUE")</f>
        <v>BLUE</v>
      </c>
      <c r="G1012" s="20" t="str">
        <f>IFERROR(__xludf.DUMMYFUNCTION("""COMPUTED_VALUE"""),"Uncle Sams Cider (04/04/2023)")</f>
        <v>Uncle Sams Cider (04/04/2023)</v>
      </c>
      <c r="H1012" s="19"/>
    </row>
    <row r="1013">
      <c r="A1013" s="9"/>
      <c r="B1013" s="15"/>
      <c r="C1013" s="9">
        <f>IFERROR(__xludf.DUMMYFUNCTION("""COMPUTED_VALUE"""),45134.0372894097)</f>
        <v>45134.03729</v>
      </c>
      <c r="D1013" s="15">
        <f>IFERROR(__xludf.DUMMYFUNCTION("""COMPUTED_VALUE"""),0.998)</f>
        <v>0.998</v>
      </c>
      <c r="E1013" s="16">
        <f>IFERROR(__xludf.DUMMYFUNCTION("""COMPUTED_VALUE"""),72.0)</f>
        <v>72</v>
      </c>
      <c r="F1013" s="19" t="str">
        <f>IFERROR(__xludf.DUMMYFUNCTION("""COMPUTED_VALUE"""),"BLUE")</f>
        <v>BLUE</v>
      </c>
      <c r="G1013" s="20" t="str">
        <f>IFERROR(__xludf.DUMMYFUNCTION("""COMPUTED_VALUE"""),"Uncle Sams Cider (04/04/2023)")</f>
        <v>Uncle Sams Cider (04/04/2023)</v>
      </c>
      <c r="H1013" s="19"/>
    </row>
    <row r="1014">
      <c r="A1014" s="9"/>
      <c r="B1014" s="15"/>
      <c r="C1014" s="9">
        <f>IFERROR(__xludf.DUMMYFUNCTION("""COMPUTED_VALUE"""),45134.026868287)</f>
        <v>45134.02687</v>
      </c>
      <c r="D1014" s="15">
        <f>IFERROR(__xludf.DUMMYFUNCTION("""COMPUTED_VALUE"""),0.999)</f>
        <v>0.999</v>
      </c>
      <c r="E1014" s="16">
        <f>IFERROR(__xludf.DUMMYFUNCTION("""COMPUTED_VALUE"""),72.0)</f>
        <v>72</v>
      </c>
      <c r="F1014" s="19" t="str">
        <f>IFERROR(__xludf.DUMMYFUNCTION("""COMPUTED_VALUE"""),"BLUE")</f>
        <v>BLUE</v>
      </c>
      <c r="G1014" s="20" t="str">
        <f>IFERROR(__xludf.DUMMYFUNCTION("""COMPUTED_VALUE"""),"Uncle Sams Cider (04/04/2023)")</f>
        <v>Uncle Sams Cider (04/04/2023)</v>
      </c>
      <c r="H1014" s="19"/>
    </row>
    <row r="1015">
      <c r="A1015" s="9"/>
      <c r="B1015" s="15"/>
      <c r="C1015" s="9">
        <f>IFERROR(__xludf.DUMMYFUNCTION("""COMPUTED_VALUE"""),45134.0164470023)</f>
        <v>45134.01645</v>
      </c>
      <c r="D1015" s="15">
        <f>IFERROR(__xludf.DUMMYFUNCTION("""COMPUTED_VALUE"""),0.999)</f>
        <v>0.999</v>
      </c>
      <c r="E1015" s="16">
        <f>IFERROR(__xludf.DUMMYFUNCTION("""COMPUTED_VALUE"""),72.0)</f>
        <v>72</v>
      </c>
      <c r="F1015" s="19" t="str">
        <f>IFERROR(__xludf.DUMMYFUNCTION("""COMPUTED_VALUE"""),"BLUE")</f>
        <v>BLUE</v>
      </c>
      <c r="G1015" s="20" t="str">
        <f>IFERROR(__xludf.DUMMYFUNCTION("""COMPUTED_VALUE"""),"Uncle Sams Cider (04/04/2023)")</f>
        <v>Uncle Sams Cider (04/04/2023)</v>
      </c>
      <c r="H1015" s="19"/>
    </row>
    <row r="1016">
      <c r="A1016" s="9"/>
      <c r="B1016" s="15"/>
      <c r="C1016" s="9">
        <f>IFERROR(__xludf.DUMMYFUNCTION("""COMPUTED_VALUE"""),45134.0060278472)</f>
        <v>45134.00603</v>
      </c>
      <c r="D1016" s="15">
        <f>IFERROR(__xludf.DUMMYFUNCTION("""COMPUTED_VALUE"""),0.999)</f>
        <v>0.999</v>
      </c>
      <c r="E1016" s="16">
        <f>IFERROR(__xludf.DUMMYFUNCTION("""COMPUTED_VALUE"""),72.0)</f>
        <v>72</v>
      </c>
      <c r="F1016" s="19" t="str">
        <f>IFERROR(__xludf.DUMMYFUNCTION("""COMPUTED_VALUE"""),"BLUE")</f>
        <v>BLUE</v>
      </c>
      <c r="G1016" s="20" t="str">
        <f>IFERROR(__xludf.DUMMYFUNCTION("""COMPUTED_VALUE"""),"Uncle Sams Cider (04/04/2023)")</f>
        <v>Uncle Sams Cider (04/04/2023)</v>
      </c>
      <c r="H1016" s="19"/>
    </row>
    <row r="1017">
      <c r="A1017" s="9"/>
      <c r="B1017" s="15"/>
      <c r="C1017" s="9">
        <f>IFERROR(__xludf.DUMMYFUNCTION("""COMPUTED_VALUE"""),45133.9956086689)</f>
        <v>45133.99561</v>
      </c>
      <c r="D1017" s="15">
        <f>IFERROR(__xludf.DUMMYFUNCTION("""COMPUTED_VALUE"""),0.998)</f>
        <v>0.998</v>
      </c>
      <c r="E1017" s="16">
        <f>IFERROR(__xludf.DUMMYFUNCTION("""COMPUTED_VALUE"""),72.0)</f>
        <v>72</v>
      </c>
      <c r="F1017" s="19" t="str">
        <f>IFERROR(__xludf.DUMMYFUNCTION("""COMPUTED_VALUE"""),"BLUE")</f>
        <v>BLUE</v>
      </c>
      <c r="G1017" s="20" t="str">
        <f>IFERROR(__xludf.DUMMYFUNCTION("""COMPUTED_VALUE"""),"Uncle Sams Cider (04/04/2023)")</f>
        <v>Uncle Sams Cider (04/04/2023)</v>
      </c>
      <c r="H1017" s="19"/>
    </row>
    <row r="1018">
      <c r="A1018" s="9"/>
      <c r="B1018" s="15"/>
      <c r="C1018" s="9">
        <f>IFERROR(__xludf.DUMMYFUNCTION("""COMPUTED_VALUE"""),45133.9851863657)</f>
        <v>45133.98519</v>
      </c>
      <c r="D1018" s="15">
        <f>IFERROR(__xludf.DUMMYFUNCTION("""COMPUTED_VALUE"""),0.998)</f>
        <v>0.998</v>
      </c>
      <c r="E1018" s="16">
        <f>IFERROR(__xludf.DUMMYFUNCTION("""COMPUTED_VALUE"""),72.0)</f>
        <v>72</v>
      </c>
      <c r="F1018" s="19" t="str">
        <f>IFERROR(__xludf.DUMMYFUNCTION("""COMPUTED_VALUE"""),"BLUE")</f>
        <v>BLUE</v>
      </c>
      <c r="G1018" s="20" t="str">
        <f>IFERROR(__xludf.DUMMYFUNCTION("""COMPUTED_VALUE"""),"Uncle Sams Cider (04/04/2023)")</f>
        <v>Uncle Sams Cider (04/04/2023)</v>
      </c>
      <c r="H1018" s="19"/>
    </row>
    <row r="1019">
      <c r="A1019" s="9"/>
      <c r="B1019" s="15"/>
      <c r="C1019" s="9">
        <f>IFERROR(__xludf.DUMMYFUNCTION("""COMPUTED_VALUE"""),45133.9747536574)</f>
        <v>45133.97475</v>
      </c>
      <c r="D1019" s="15">
        <f>IFERROR(__xludf.DUMMYFUNCTION("""COMPUTED_VALUE"""),0.999)</f>
        <v>0.999</v>
      </c>
      <c r="E1019" s="16">
        <f>IFERROR(__xludf.DUMMYFUNCTION("""COMPUTED_VALUE"""),72.0)</f>
        <v>72</v>
      </c>
      <c r="F1019" s="19" t="str">
        <f>IFERROR(__xludf.DUMMYFUNCTION("""COMPUTED_VALUE"""),"BLUE")</f>
        <v>BLUE</v>
      </c>
      <c r="G1019" s="20" t="str">
        <f>IFERROR(__xludf.DUMMYFUNCTION("""COMPUTED_VALUE"""),"Uncle Sams Cider (04/04/2023)")</f>
        <v>Uncle Sams Cider (04/04/2023)</v>
      </c>
      <c r="H1019" s="19"/>
    </row>
    <row r="1020">
      <c r="A1020" s="9"/>
      <c r="B1020" s="15"/>
      <c r="C1020" s="9">
        <f>IFERROR(__xludf.DUMMYFUNCTION("""COMPUTED_VALUE"""),45133.9643335185)</f>
        <v>45133.96433</v>
      </c>
      <c r="D1020" s="15">
        <f>IFERROR(__xludf.DUMMYFUNCTION("""COMPUTED_VALUE"""),0.999)</f>
        <v>0.999</v>
      </c>
      <c r="E1020" s="16">
        <f>IFERROR(__xludf.DUMMYFUNCTION("""COMPUTED_VALUE"""),72.0)</f>
        <v>72</v>
      </c>
      <c r="F1020" s="19" t="str">
        <f>IFERROR(__xludf.DUMMYFUNCTION("""COMPUTED_VALUE"""),"BLUE")</f>
        <v>BLUE</v>
      </c>
      <c r="G1020" s="20" t="str">
        <f>IFERROR(__xludf.DUMMYFUNCTION("""COMPUTED_VALUE"""),"Uncle Sams Cider (04/04/2023)")</f>
        <v>Uncle Sams Cider (04/04/2023)</v>
      </c>
      <c r="H1020" s="19"/>
    </row>
    <row r="1021">
      <c r="A1021" s="9"/>
      <c r="B1021" s="15"/>
      <c r="C1021" s="9">
        <f>IFERROR(__xludf.DUMMYFUNCTION("""COMPUTED_VALUE"""),45133.9539126967)</f>
        <v>45133.95391</v>
      </c>
      <c r="D1021" s="15">
        <f>IFERROR(__xludf.DUMMYFUNCTION("""COMPUTED_VALUE"""),0.999)</f>
        <v>0.999</v>
      </c>
      <c r="E1021" s="16">
        <f>IFERROR(__xludf.DUMMYFUNCTION("""COMPUTED_VALUE"""),72.0)</f>
        <v>72</v>
      </c>
      <c r="F1021" s="19" t="str">
        <f>IFERROR(__xludf.DUMMYFUNCTION("""COMPUTED_VALUE"""),"BLUE")</f>
        <v>BLUE</v>
      </c>
      <c r="G1021" s="20" t="str">
        <f>IFERROR(__xludf.DUMMYFUNCTION("""COMPUTED_VALUE"""),"Uncle Sams Cider (04/04/2023)")</f>
        <v>Uncle Sams Cider (04/04/2023)</v>
      </c>
      <c r="H1021" s="19"/>
    </row>
    <row r="1022">
      <c r="A1022" s="9"/>
      <c r="B1022" s="15"/>
      <c r="C1022" s="9">
        <f>IFERROR(__xludf.DUMMYFUNCTION("""COMPUTED_VALUE"""),45133.9434917708)</f>
        <v>45133.94349</v>
      </c>
      <c r="D1022" s="15">
        <f>IFERROR(__xludf.DUMMYFUNCTION("""COMPUTED_VALUE"""),0.998)</f>
        <v>0.998</v>
      </c>
      <c r="E1022" s="16">
        <f>IFERROR(__xludf.DUMMYFUNCTION("""COMPUTED_VALUE"""),72.0)</f>
        <v>72</v>
      </c>
      <c r="F1022" s="19" t="str">
        <f>IFERROR(__xludf.DUMMYFUNCTION("""COMPUTED_VALUE"""),"BLUE")</f>
        <v>BLUE</v>
      </c>
      <c r="G1022" s="20" t="str">
        <f>IFERROR(__xludf.DUMMYFUNCTION("""COMPUTED_VALUE"""),"Uncle Sams Cider (04/04/2023)")</f>
        <v>Uncle Sams Cider (04/04/2023)</v>
      </c>
      <c r="H1022" s="19"/>
    </row>
    <row r="1023">
      <c r="A1023" s="9"/>
      <c r="B1023" s="15"/>
      <c r="C1023" s="9">
        <f>IFERROR(__xludf.DUMMYFUNCTION("""COMPUTED_VALUE"""),45133.9330573148)</f>
        <v>45133.93306</v>
      </c>
      <c r="D1023" s="15">
        <f>IFERROR(__xludf.DUMMYFUNCTION("""COMPUTED_VALUE"""),0.998)</f>
        <v>0.998</v>
      </c>
      <c r="E1023" s="16">
        <f>IFERROR(__xludf.DUMMYFUNCTION("""COMPUTED_VALUE"""),72.0)</f>
        <v>72</v>
      </c>
      <c r="F1023" s="19" t="str">
        <f>IFERROR(__xludf.DUMMYFUNCTION("""COMPUTED_VALUE"""),"BLUE")</f>
        <v>BLUE</v>
      </c>
      <c r="G1023" s="20" t="str">
        <f>IFERROR(__xludf.DUMMYFUNCTION("""COMPUTED_VALUE"""),"Uncle Sams Cider (04/04/2023)")</f>
        <v>Uncle Sams Cider (04/04/2023)</v>
      </c>
      <c r="H1023" s="19"/>
    </row>
    <row r="1024">
      <c r="A1024" s="9"/>
      <c r="B1024" s="15"/>
      <c r="C1024" s="9">
        <f>IFERROR(__xludf.DUMMYFUNCTION("""COMPUTED_VALUE"""),45133.9226340509)</f>
        <v>45133.92263</v>
      </c>
      <c r="D1024" s="15">
        <f>IFERROR(__xludf.DUMMYFUNCTION("""COMPUTED_VALUE"""),0.998)</f>
        <v>0.998</v>
      </c>
      <c r="E1024" s="16">
        <f>IFERROR(__xludf.DUMMYFUNCTION("""COMPUTED_VALUE"""),72.0)</f>
        <v>72</v>
      </c>
      <c r="F1024" s="19" t="str">
        <f>IFERROR(__xludf.DUMMYFUNCTION("""COMPUTED_VALUE"""),"BLUE")</f>
        <v>BLUE</v>
      </c>
      <c r="G1024" s="20" t="str">
        <f>IFERROR(__xludf.DUMMYFUNCTION("""COMPUTED_VALUE"""),"Uncle Sams Cider (04/04/2023)")</f>
        <v>Uncle Sams Cider (04/04/2023)</v>
      </c>
      <c r="H1024" s="19"/>
    </row>
    <row r="1025">
      <c r="A1025" s="9"/>
      <c r="B1025" s="15"/>
      <c r="C1025" s="9">
        <f>IFERROR(__xludf.DUMMYFUNCTION("""COMPUTED_VALUE"""),45133.9121906481)</f>
        <v>45133.91219</v>
      </c>
      <c r="D1025" s="15">
        <f>IFERROR(__xludf.DUMMYFUNCTION("""COMPUTED_VALUE"""),0.998)</f>
        <v>0.998</v>
      </c>
      <c r="E1025" s="16">
        <f>IFERROR(__xludf.DUMMYFUNCTION("""COMPUTED_VALUE"""),72.0)</f>
        <v>72</v>
      </c>
      <c r="F1025" s="19" t="str">
        <f>IFERROR(__xludf.DUMMYFUNCTION("""COMPUTED_VALUE"""),"BLUE")</f>
        <v>BLUE</v>
      </c>
      <c r="G1025" s="20" t="str">
        <f>IFERROR(__xludf.DUMMYFUNCTION("""COMPUTED_VALUE"""),"Uncle Sams Cider (04/04/2023)")</f>
        <v>Uncle Sams Cider (04/04/2023)</v>
      </c>
      <c r="H1025" s="19"/>
    </row>
    <row r="1026">
      <c r="A1026" s="9"/>
      <c r="B1026" s="15"/>
      <c r="C1026" s="9">
        <f>IFERROR(__xludf.DUMMYFUNCTION("""COMPUTED_VALUE"""),45133.9017698958)</f>
        <v>45133.90177</v>
      </c>
      <c r="D1026" s="15">
        <f>IFERROR(__xludf.DUMMYFUNCTION("""COMPUTED_VALUE"""),0.999)</f>
        <v>0.999</v>
      </c>
      <c r="E1026" s="16">
        <f>IFERROR(__xludf.DUMMYFUNCTION("""COMPUTED_VALUE"""),72.0)</f>
        <v>72</v>
      </c>
      <c r="F1026" s="19" t="str">
        <f>IFERROR(__xludf.DUMMYFUNCTION("""COMPUTED_VALUE"""),"BLUE")</f>
        <v>BLUE</v>
      </c>
      <c r="G1026" s="20" t="str">
        <f>IFERROR(__xludf.DUMMYFUNCTION("""COMPUTED_VALUE"""),"Uncle Sams Cider (04/04/2023)")</f>
        <v>Uncle Sams Cider (04/04/2023)</v>
      </c>
      <c r="H1026" s="19"/>
    </row>
    <row r="1027">
      <c r="A1027" s="9"/>
      <c r="B1027" s="15"/>
      <c r="C1027" s="9">
        <f>IFERROR(__xludf.DUMMYFUNCTION("""COMPUTED_VALUE"""),45133.8913496064)</f>
        <v>45133.89135</v>
      </c>
      <c r="D1027" s="15">
        <f>IFERROR(__xludf.DUMMYFUNCTION("""COMPUTED_VALUE"""),0.999)</f>
        <v>0.999</v>
      </c>
      <c r="E1027" s="16">
        <f>IFERROR(__xludf.DUMMYFUNCTION("""COMPUTED_VALUE"""),72.0)</f>
        <v>72</v>
      </c>
      <c r="F1027" s="19" t="str">
        <f>IFERROR(__xludf.DUMMYFUNCTION("""COMPUTED_VALUE"""),"BLUE")</f>
        <v>BLUE</v>
      </c>
      <c r="G1027" s="20" t="str">
        <f>IFERROR(__xludf.DUMMYFUNCTION("""COMPUTED_VALUE"""),"Uncle Sams Cider (04/04/2023)")</f>
        <v>Uncle Sams Cider (04/04/2023)</v>
      </c>
      <c r="H1027" s="19"/>
    </row>
    <row r="1028">
      <c r="A1028" s="9"/>
      <c r="B1028" s="15"/>
      <c r="C1028" s="9">
        <f>IFERROR(__xludf.DUMMYFUNCTION("""COMPUTED_VALUE"""),45133.8809301157)</f>
        <v>45133.88093</v>
      </c>
      <c r="D1028" s="15">
        <f>IFERROR(__xludf.DUMMYFUNCTION("""COMPUTED_VALUE"""),0.999)</f>
        <v>0.999</v>
      </c>
      <c r="E1028" s="16">
        <f>IFERROR(__xludf.DUMMYFUNCTION("""COMPUTED_VALUE"""),72.0)</f>
        <v>72</v>
      </c>
      <c r="F1028" s="19" t="str">
        <f>IFERROR(__xludf.DUMMYFUNCTION("""COMPUTED_VALUE"""),"BLUE")</f>
        <v>BLUE</v>
      </c>
      <c r="G1028" s="20" t="str">
        <f>IFERROR(__xludf.DUMMYFUNCTION("""COMPUTED_VALUE"""),"Uncle Sams Cider (04/04/2023)")</f>
        <v>Uncle Sams Cider (04/04/2023)</v>
      </c>
      <c r="H1028" s="19"/>
    </row>
    <row r="1029">
      <c r="A1029" s="9"/>
      <c r="B1029" s="15"/>
      <c r="C1029" s="9">
        <f>IFERROR(__xludf.DUMMYFUNCTION("""COMPUTED_VALUE"""),45133.8704967013)</f>
        <v>45133.8705</v>
      </c>
      <c r="D1029" s="15">
        <f>IFERROR(__xludf.DUMMYFUNCTION("""COMPUTED_VALUE"""),0.999)</f>
        <v>0.999</v>
      </c>
      <c r="E1029" s="16">
        <f>IFERROR(__xludf.DUMMYFUNCTION("""COMPUTED_VALUE"""),72.0)</f>
        <v>72</v>
      </c>
      <c r="F1029" s="19" t="str">
        <f>IFERROR(__xludf.DUMMYFUNCTION("""COMPUTED_VALUE"""),"BLUE")</f>
        <v>BLUE</v>
      </c>
      <c r="G1029" s="20" t="str">
        <f>IFERROR(__xludf.DUMMYFUNCTION("""COMPUTED_VALUE"""),"Uncle Sams Cider (04/04/2023)")</f>
        <v>Uncle Sams Cider (04/04/2023)</v>
      </c>
      <c r="H1029" s="19"/>
    </row>
    <row r="1030">
      <c r="A1030" s="9"/>
      <c r="B1030" s="15"/>
      <c r="C1030" s="9">
        <f>IFERROR(__xludf.DUMMYFUNCTION("""COMPUTED_VALUE"""),45133.8600518171)</f>
        <v>45133.86005</v>
      </c>
      <c r="D1030" s="15">
        <f>IFERROR(__xludf.DUMMYFUNCTION("""COMPUTED_VALUE"""),0.999)</f>
        <v>0.999</v>
      </c>
      <c r="E1030" s="16">
        <f>IFERROR(__xludf.DUMMYFUNCTION("""COMPUTED_VALUE"""),72.0)</f>
        <v>72</v>
      </c>
      <c r="F1030" s="19" t="str">
        <f>IFERROR(__xludf.DUMMYFUNCTION("""COMPUTED_VALUE"""),"BLUE")</f>
        <v>BLUE</v>
      </c>
      <c r="G1030" s="20" t="str">
        <f>IFERROR(__xludf.DUMMYFUNCTION("""COMPUTED_VALUE"""),"Uncle Sams Cider (04/04/2023)")</f>
        <v>Uncle Sams Cider (04/04/2023)</v>
      </c>
      <c r="H1030" s="19"/>
    </row>
    <row r="1031">
      <c r="A1031" s="9"/>
      <c r="B1031" s="15"/>
      <c r="C1031" s="9">
        <f>IFERROR(__xludf.DUMMYFUNCTION("""COMPUTED_VALUE"""),45133.8392113078)</f>
        <v>45133.83921</v>
      </c>
      <c r="D1031" s="15">
        <f>IFERROR(__xludf.DUMMYFUNCTION("""COMPUTED_VALUE"""),0.999)</f>
        <v>0.999</v>
      </c>
      <c r="E1031" s="16">
        <f>IFERROR(__xludf.DUMMYFUNCTION("""COMPUTED_VALUE"""),72.0)</f>
        <v>72</v>
      </c>
      <c r="F1031" s="19" t="str">
        <f>IFERROR(__xludf.DUMMYFUNCTION("""COMPUTED_VALUE"""),"BLUE")</f>
        <v>BLUE</v>
      </c>
      <c r="G1031" s="20" t="str">
        <f>IFERROR(__xludf.DUMMYFUNCTION("""COMPUTED_VALUE"""),"Uncle Sams Cider (04/04/2023)")</f>
        <v>Uncle Sams Cider (04/04/2023)</v>
      </c>
      <c r="H1031" s="19"/>
    </row>
    <row r="1032">
      <c r="A1032" s="9"/>
      <c r="B1032" s="15"/>
      <c r="C1032" s="9">
        <f>IFERROR(__xludf.DUMMYFUNCTION("""COMPUTED_VALUE"""),45133.8287793055)</f>
        <v>45133.82878</v>
      </c>
      <c r="D1032" s="15">
        <f>IFERROR(__xludf.DUMMYFUNCTION("""COMPUTED_VALUE"""),0.999)</f>
        <v>0.999</v>
      </c>
      <c r="E1032" s="16">
        <f>IFERROR(__xludf.DUMMYFUNCTION("""COMPUTED_VALUE"""),72.0)</f>
        <v>72</v>
      </c>
      <c r="F1032" s="19" t="str">
        <f>IFERROR(__xludf.DUMMYFUNCTION("""COMPUTED_VALUE"""),"BLUE")</f>
        <v>BLUE</v>
      </c>
      <c r="G1032" s="20" t="str">
        <f>IFERROR(__xludf.DUMMYFUNCTION("""COMPUTED_VALUE"""),"Uncle Sams Cider (04/04/2023)")</f>
        <v>Uncle Sams Cider (04/04/2023)</v>
      </c>
      <c r="H1032" s="19"/>
    </row>
    <row r="1033">
      <c r="A1033" s="9"/>
      <c r="B1033" s="15"/>
      <c r="C1033" s="9">
        <f>IFERROR(__xludf.DUMMYFUNCTION("""COMPUTED_VALUE"""),45133.8183583217)</f>
        <v>45133.81836</v>
      </c>
      <c r="D1033" s="15">
        <f>IFERROR(__xludf.DUMMYFUNCTION("""COMPUTED_VALUE"""),0.999)</f>
        <v>0.999</v>
      </c>
      <c r="E1033" s="16">
        <f>IFERROR(__xludf.DUMMYFUNCTION("""COMPUTED_VALUE"""),72.0)</f>
        <v>72</v>
      </c>
      <c r="F1033" s="19" t="str">
        <f>IFERROR(__xludf.DUMMYFUNCTION("""COMPUTED_VALUE"""),"BLUE")</f>
        <v>BLUE</v>
      </c>
      <c r="G1033" s="20" t="str">
        <f>IFERROR(__xludf.DUMMYFUNCTION("""COMPUTED_VALUE"""),"Uncle Sams Cider (04/04/2023)")</f>
        <v>Uncle Sams Cider (04/04/2023)</v>
      </c>
      <c r="H1033" s="19"/>
    </row>
    <row r="1034">
      <c r="A1034" s="9"/>
      <c r="B1034" s="15"/>
      <c r="C1034" s="9">
        <f>IFERROR(__xludf.DUMMYFUNCTION("""COMPUTED_VALUE"""),45133.8079399884)</f>
        <v>45133.80794</v>
      </c>
      <c r="D1034" s="15">
        <f>IFERROR(__xludf.DUMMYFUNCTION("""COMPUTED_VALUE"""),0.999)</f>
        <v>0.999</v>
      </c>
      <c r="E1034" s="16">
        <f>IFERROR(__xludf.DUMMYFUNCTION("""COMPUTED_VALUE"""),72.0)</f>
        <v>72</v>
      </c>
      <c r="F1034" s="19" t="str">
        <f>IFERROR(__xludf.DUMMYFUNCTION("""COMPUTED_VALUE"""),"BLUE")</f>
        <v>BLUE</v>
      </c>
      <c r="G1034" s="20" t="str">
        <f>IFERROR(__xludf.DUMMYFUNCTION("""COMPUTED_VALUE"""),"Uncle Sams Cider (04/04/2023)")</f>
        <v>Uncle Sams Cider (04/04/2023)</v>
      </c>
      <c r="H1034" s="19"/>
    </row>
    <row r="1035">
      <c r="A1035" s="9"/>
      <c r="B1035" s="15"/>
      <c r="C1035" s="9">
        <f>IFERROR(__xludf.DUMMYFUNCTION("""COMPUTED_VALUE"""),45133.7975202546)</f>
        <v>45133.79752</v>
      </c>
      <c r="D1035" s="15">
        <f>IFERROR(__xludf.DUMMYFUNCTION("""COMPUTED_VALUE"""),0.998)</f>
        <v>0.998</v>
      </c>
      <c r="E1035" s="16">
        <f>IFERROR(__xludf.DUMMYFUNCTION("""COMPUTED_VALUE"""),72.0)</f>
        <v>72</v>
      </c>
      <c r="F1035" s="19" t="str">
        <f>IFERROR(__xludf.DUMMYFUNCTION("""COMPUTED_VALUE"""),"BLUE")</f>
        <v>BLUE</v>
      </c>
      <c r="G1035" s="20" t="str">
        <f>IFERROR(__xludf.DUMMYFUNCTION("""COMPUTED_VALUE"""),"Uncle Sams Cider (04/04/2023)")</f>
        <v>Uncle Sams Cider (04/04/2023)</v>
      </c>
      <c r="H1035" s="19"/>
    </row>
    <row r="1036">
      <c r="A1036" s="9"/>
      <c r="B1036" s="15"/>
      <c r="C1036" s="9">
        <f>IFERROR(__xludf.DUMMYFUNCTION("""COMPUTED_VALUE"""),45133.787098125)</f>
        <v>45133.7871</v>
      </c>
      <c r="D1036" s="15">
        <f>IFERROR(__xludf.DUMMYFUNCTION("""COMPUTED_VALUE"""),0.999)</f>
        <v>0.999</v>
      </c>
      <c r="E1036" s="16">
        <f>IFERROR(__xludf.DUMMYFUNCTION("""COMPUTED_VALUE"""),72.0)</f>
        <v>72</v>
      </c>
      <c r="F1036" s="19" t="str">
        <f>IFERROR(__xludf.DUMMYFUNCTION("""COMPUTED_VALUE"""),"BLUE")</f>
        <v>BLUE</v>
      </c>
      <c r="G1036" s="20" t="str">
        <f>IFERROR(__xludf.DUMMYFUNCTION("""COMPUTED_VALUE"""),"Uncle Sams Cider (04/04/2023)")</f>
        <v>Uncle Sams Cider (04/04/2023)</v>
      </c>
      <c r="H1036" s="19"/>
    </row>
    <row r="1037">
      <c r="A1037" s="9"/>
      <c r="B1037" s="15"/>
      <c r="C1037" s="9">
        <f>IFERROR(__xludf.DUMMYFUNCTION("""COMPUTED_VALUE"""),45133.7766751388)</f>
        <v>45133.77668</v>
      </c>
      <c r="D1037" s="15">
        <f>IFERROR(__xludf.DUMMYFUNCTION("""COMPUTED_VALUE"""),0.999)</f>
        <v>0.999</v>
      </c>
      <c r="E1037" s="16">
        <f>IFERROR(__xludf.DUMMYFUNCTION("""COMPUTED_VALUE"""),72.0)</f>
        <v>72</v>
      </c>
      <c r="F1037" s="19" t="str">
        <f>IFERROR(__xludf.DUMMYFUNCTION("""COMPUTED_VALUE"""),"BLUE")</f>
        <v>BLUE</v>
      </c>
      <c r="G1037" s="20" t="str">
        <f>IFERROR(__xludf.DUMMYFUNCTION("""COMPUTED_VALUE"""),"Uncle Sams Cider (04/04/2023)")</f>
        <v>Uncle Sams Cider (04/04/2023)</v>
      </c>
      <c r="H1037" s="19"/>
    </row>
    <row r="1038">
      <c r="A1038" s="9"/>
      <c r="B1038" s="15"/>
      <c r="C1038" s="9">
        <f>IFERROR(__xludf.DUMMYFUNCTION("""COMPUTED_VALUE"""),45133.7662430324)</f>
        <v>45133.76624</v>
      </c>
      <c r="D1038" s="15">
        <f>IFERROR(__xludf.DUMMYFUNCTION("""COMPUTED_VALUE"""),0.998)</f>
        <v>0.998</v>
      </c>
      <c r="E1038" s="16">
        <f>IFERROR(__xludf.DUMMYFUNCTION("""COMPUTED_VALUE"""),72.0)</f>
        <v>72</v>
      </c>
      <c r="F1038" s="19" t="str">
        <f>IFERROR(__xludf.DUMMYFUNCTION("""COMPUTED_VALUE"""),"BLUE")</f>
        <v>BLUE</v>
      </c>
      <c r="G1038" s="20" t="str">
        <f>IFERROR(__xludf.DUMMYFUNCTION("""COMPUTED_VALUE"""),"Uncle Sams Cider (04/04/2023)")</f>
        <v>Uncle Sams Cider (04/04/2023)</v>
      </c>
      <c r="H1038" s="19"/>
    </row>
    <row r="1039">
      <c r="A1039" s="9"/>
      <c r="B1039" s="15"/>
      <c r="C1039" s="9">
        <f>IFERROR(__xludf.DUMMYFUNCTION("""COMPUTED_VALUE"""),45133.7558104282)</f>
        <v>45133.75581</v>
      </c>
      <c r="D1039" s="15">
        <f>IFERROR(__xludf.DUMMYFUNCTION("""COMPUTED_VALUE"""),0.999)</f>
        <v>0.999</v>
      </c>
      <c r="E1039" s="16">
        <f>IFERROR(__xludf.DUMMYFUNCTION("""COMPUTED_VALUE"""),72.0)</f>
        <v>72</v>
      </c>
      <c r="F1039" s="19" t="str">
        <f>IFERROR(__xludf.DUMMYFUNCTION("""COMPUTED_VALUE"""),"BLUE")</f>
        <v>BLUE</v>
      </c>
      <c r="G1039" s="20" t="str">
        <f>IFERROR(__xludf.DUMMYFUNCTION("""COMPUTED_VALUE"""),"Uncle Sams Cider (04/04/2023)")</f>
        <v>Uncle Sams Cider (04/04/2023)</v>
      </c>
      <c r="H1039" s="19"/>
    </row>
    <row r="1040">
      <c r="A1040" s="9"/>
      <c r="B1040" s="15"/>
      <c r="C1040" s="9">
        <f>IFERROR(__xludf.DUMMYFUNCTION("""COMPUTED_VALUE"""),45133.7453895486)</f>
        <v>45133.74539</v>
      </c>
      <c r="D1040" s="15">
        <f>IFERROR(__xludf.DUMMYFUNCTION("""COMPUTED_VALUE"""),0.999)</f>
        <v>0.999</v>
      </c>
      <c r="E1040" s="16">
        <f>IFERROR(__xludf.DUMMYFUNCTION("""COMPUTED_VALUE"""),72.0)</f>
        <v>72</v>
      </c>
      <c r="F1040" s="19" t="str">
        <f>IFERROR(__xludf.DUMMYFUNCTION("""COMPUTED_VALUE"""),"BLUE")</f>
        <v>BLUE</v>
      </c>
      <c r="G1040" s="20" t="str">
        <f>IFERROR(__xludf.DUMMYFUNCTION("""COMPUTED_VALUE"""),"Uncle Sams Cider (04/04/2023)")</f>
        <v>Uncle Sams Cider (04/04/2023)</v>
      </c>
      <c r="H1040" s="19"/>
    </row>
    <row r="1041">
      <c r="A1041" s="9"/>
      <c r="B1041" s="15"/>
      <c r="C1041" s="9">
        <f>IFERROR(__xludf.DUMMYFUNCTION("""COMPUTED_VALUE"""),45133.7349690856)</f>
        <v>45133.73497</v>
      </c>
      <c r="D1041" s="15">
        <f>IFERROR(__xludf.DUMMYFUNCTION("""COMPUTED_VALUE"""),0.998)</f>
        <v>0.998</v>
      </c>
      <c r="E1041" s="16">
        <f>IFERROR(__xludf.DUMMYFUNCTION("""COMPUTED_VALUE"""),72.0)</f>
        <v>72</v>
      </c>
      <c r="F1041" s="19" t="str">
        <f>IFERROR(__xludf.DUMMYFUNCTION("""COMPUTED_VALUE"""),"BLUE")</f>
        <v>BLUE</v>
      </c>
      <c r="G1041" s="20" t="str">
        <f>IFERROR(__xludf.DUMMYFUNCTION("""COMPUTED_VALUE"""),"Uncle Sams Cider (04/04/2023)")</f>
        <v>Uncle Sams Cider (04/04/2023)</v>
      </c>
      <c r="H1041" s="19"/>
    </row>
    <row r="1042">
      <c r="A1042" s="9"/>
      <c r="B1042" s="15"/>
      <c r="C1042" s="9">
        <f>IFERROR(__xludf.DUMMYFUNCTION("""COMPUTED_VALUE"""),45133.7245476504)</f>
        <v>45133.72455</v>
      </c>
      <c r="D1042" s="15">
        <f>IFERROR(__xludf.DUMMYFUNCTION("""COMPUTED_VALUE"""),0.998)</f>
        <v>0.998</v>
      </c>
      <c r="E1042" s="16">
        <f>IFERROR(__xludf.DUMMYFUNCTION("""COMPUTED_VALUE"""),72.0)</f>
        <v>72</v>
      </c>
      <c r="F1042" s="19" t="str">
        <f>IFERROR(__xludf.DUMMYFUNCTION("""COMPUTED_VALUE"""),"BLUE")</f>
        <v>BLUE</v>
      </c>
      <c r="G1042" s="20" t="str">
        <f>IFERROR(__xludf.DUMMYFUNCTION("""COMPUTED_VALUE"""),"Uncle Sams Cider (04/04/2023)")</f>
        <v>Uncle Sams Cider (04/04/2023)</v>
      </c>
      <c r="H1042" s="19"/>
    </row>
    <row r="1043">
      <c r="A1043" s="9"/>
      <c r="B1043" s="15"/>
      <c r="C1043" s="9">
        <f>IFERROR(__xludf.DUMMYFUNCTION("""COMPUTED_VALUE"""),45133.7141279629)</f>
        <v>45133.71413</v>
      </c>
      <c r="D1043" s="15">
        <f>IFERROR(__xludf.DUMMYFUNCTION("""COMPUTED_VALUE"""),0.998)</f>
        <v>0.998</v>
      </c>
      <c r="E1043" s="16">
        <f>IFERROR(__xludf.DUMMYFUNCTION("""COMPUTED_VALUE"""),72.0)</f>
        <v>72</v>
      </c>
      <c r="F1043" s="19" t="str">
        <f>IFERROR(__xludf.DUMMYFUNCTION("""COMPUTED_VALUE"""),"BLUE")</f>
        <v>BLUE</v>
      </c>
      <c r="G1043" s="20" t="str">
        <f>IFERROR(__xludf.DUMMYFUNCTION("""COMPUTED_VALUE"""),"Uncle Sams Cider (04/04/2023)")</f>
        <v>Uncle Sams Cider (04/04/2023)</v>
      </c>
      <c r="H1043" s="19"/>
    </row>
    <row r="1044">
      <c r="A1044" s="9"/>
      <c r="B1044" s="15"/>
      <c r="C1044" s="9">
        <f>IFERROR(__xludf.DUMMYFUNCTION("""COMPUTED_VALUE"""),45133.7036957754)</f>
        <v>45133.7037</v>
      </c>
      <c r="D1044" s="15">
        <f>IFERROR(__xludf.DUMMYFUNCTION("""COMPUTED_VALUE"""),0.999)</f>
        <v>0.999</v>
      </c>
      <c r="E1044" s="16">
        <f>IFERROR(__xludf.DUMMYFUNCTION("""COMPUTED_VALUE"""),72.0)</f>
        <v>72</v>
      </c>
      <c r="F1044" s="19" t="str">
        <f>IFERROR(__xludf.DUMMYFUNCTION("""COMPUTED_VALUE"""),"BLUE")</f>
        <v>BLUE</v>
      </c>
      <c r="G1044" s="20" t="str">
        <f>IFERROR(__xludf.DUMMYFUNCTION("""COMPUTED_VALUE"""),"Uncle Sams Cider (04/04/2023)")</f>
        <v>Uncle Sams Cider (04/04/2023)</v>
      </c>
      <c r="H1044" s="19"/>
    </row>
    <row r="1045">
      <c r="A1045" s="9"/>
      <c r="B1045" s="15"/>
      <c r="C1045" s="9">
        <f>IFERROR(__xludf.DUMMYFUNCTION("""COMPUTED_VALUE"""),45133.6932735185)</f>
        <v>45133.69327</v>
      </c>
      <c r="D1045" s="15">
        <f>IFERROR(__xludf.DUMMYFUNCTION("""COMPUTED_VALUE"""),0.998)</f>
        <v>0.998</v>
      </c>
      <c r="E1045" s="16">
        <f>IFERROR(__xludf.DUMMYFUNCTION("""COMPUTED_VALUE"""),72.0)</f>
        <v>72</v>
      </c>
      <c r="F1045" s="19" t="str">
        <f>IFERROR(__xludf.DUMMYFUNCTION("""COMPUTED_VALUE"""),"BLUE")</f>
        <v>BLUE</v>
      </c>
      <c r="G1045" s="20" t="str">
        <f>IFERROR(__xludf.DUMMYFUNCTION("""COMPUTED_VALUE"""),"Uncle Sams Cider (04/04/2023)")</f>
        <v>Uncle Sams Cider (04/04/2023)</v>
      </c>
      <c r="H1045" s="19"/>
    </row>
    <row r="1046">
      <c r="A1046" s="9"/>
      <c r="B1046" s="15"/>
      <c r="C1046" s="9">
        <f>IFERROR(__xludf.DUMMYFUNCTION("""COMPUTED_VALUE"""),45133.6828500462)</f>
        <v>45133.68285</v>
      </c>
      <c r="D1046" s="15">
        <f>IFERROR(__xludf.DUMMYFUNCTION("""COMPUTED_VALUE"""),0.998)</f>
        <v>0.998</v>
      </c>
      <c r="E1046" s="16">
        <f>IFERROR(__xludf.DUMMYFUNCTION("""COMPUTED_VALUE"""),72.0)</f>
        <v>72</v>
      </c>
      <c r="F1046" s="19" t="str">
        <f>IFERROR(__xludf.DUMMYFUNCTION("""COMPUTED_VALUE"""),"BLUE")</f>
        <v>BLUE</v>
      </c>
      <c r="G1046" s="20" t="str">
        <f>IFERROR(__xludf.DUMMYFUNCTION("""COMPUTED_VALUE"""),"Uncle Sams Cider (04/04/2023)")</f>
        <v>Uncle Sams Cider (04/04/2023)</v>
      </c>
      <c r="H1046" s="19"/>
    </row>
    <row r="1047">
      <c r="A1047" s="9"/>
      <c r="B1047" s="15"/>
      <c r="C1047" s="9">
        <f>IFERROR(__xludf.DUMMYFUNCTION("""COMPUTED_VALUE"""),45133.6724280324)</f>
        <v>45133.67243</v>
      </c>
      <c r="D1047" s="15">
        <f>IFERROR(__xludf.DUMMYFUNCTION("""COMPUTED_VALUE"""),0.998)</f>
        <v>0.998</v>
      </c>
      <c r="E1047" s="16">
        <f>IFERROR(__xludf.DUMMYFUNCTION("""COMPUTED_VALUE"""),72.0)</f>
        <v>72</v>
      </c>
      <c r="F1047" s="19" t="str">
        <f>IFERROR(__xludf.DUMMYFUNCTION("""COMPUTED_VALUE"""),"BLUE")</f>
        <v>BLUE</v>
      </c>
      <c r="G1047" s="20" t="str">
        <f>IFERROR(__xludf.DUMMYFUNCTION("""COMPUTED_VALUE"""),"Uncle Sams Cider (04/04/2023)")</f>
        <v>Uncle Sams Cider (04/04/2023)</v>
      </c>
      <c r="H1047" s="19"/>
    </row>
    <row r="1048">
      <c r="A1048" s="9"/>
      <c r="B1048" s="15"/>
      <c r="C1048" s="9">
        <f>IFERROR(__xludf.DUMMYFUNCTION("""COMPUTED_VALUE"""),45133.6620064351)</f>
        <v>45133.66201</v>
      </c>
      <c r="D1048" s="15">
        <f>IFERROR(__xludf.DUMMYFUNCTION("""COMPUTED_VALUE"""),0.998)</f>
        <v>0.998</v>
      </c>
      <c r="E1048" s="16">
        <f>IFERROR(__xludf.DUMMYFUNCTION("""COMPUTED_VALUE"""),72.0)</f>
        <v>72</v>
      </c>
      <c r="F1048" s="19" t="str">
        <f>IFERROR(__xludf.DUMMYFUNCTION("""COMPUTED_VALUE"""),"BLUE")</f>
        <v>BLUE</v>
      </c>
      <c r="G1048" s="20" t="str">
        <f>IFERROR(__xludf.DUMMYFUNCTION("""COMPUTED_VALUE"""),"Uncle Sams Cider (04/04/2023)")</f>
        <v>Uncle Sams Cider (04/04/2023)</v>
      </c>
      <c r="H1048" s="19"/>
    </row>
    <row r="1049">
      <c r="A1049" s="9"/>
      <c r="B1049" s="15"/>
      <c r="C1049" s="9">
        <f>IFERROR(__xludf.DUMMYFUNCTION("""COMPUTED_VALUE"""),45133.6515738541)</f>
        <v>45133.65157</v>
      </c>
      <c r="D1049" s="15">
        <f>IFERROR(__xludf.DUMMYFUNCTION("""COMPUTED_VALUE"""),0.998)</f>
        <v>0.998</v>
      </c>
      <c r="E1049" s="16">
        <f>IFERROR(__xludf.DUMMYFUNCTION("""COMPUTED_VALUE"""),72.0)</f>
        <v>72</v>
      </c>
      <c r="F1049" s="19" t="str">
        <f>IFERROR(__xludf.DUMMYFUNCTION("""COMPUTED_VALUE"""),"BLUE")</f>
        <v>BLUE</v>
      </c>
      <c r="G1049" s="20" t="str">
        <f>IFERROR(__xludf.DUMMYFUNCTION("""COMPUTED_VALUE"""),"Uncle Sams Cider (04/04/2023)")</f>
        <v>Uncle Sams Cider (04/04/2023)</v>
      </c>
      <c r="H1049" s="19"/>
    </row>
    <row r="1050">
      <c r="A1050" s="9"/>
      <c r="B1050" s="15"/>
      <c r="C1050" s="9">
        <f>IFERROR(__xludf.DUMMYFUNCTION("""COMPUTED_VALUE"""),45133.6411536921)</f>
        <v>45133.64115</v>
      </c>
      <c r="D1050" s="15">
        <f>IFERROR(__xludf.DUMMYFUNCTION("""COMPUTED_VALUE"""),0.998)</f>
        <v>0.998</v>
      </c>
      <c r="E1050" s="16">
        <f>IFERROR(__xludf.DUMMYFUNCTION("""COMPUTED_VALUE"""),72.0)</f>
        <v>72</v>
      </c>
      <c r="F1050" s="19" t="str">
        <f>IFERROR(__xludf.DUMMYFUNCTION("""COMPUTED_VALUE"""),"BLUE")</f>
        <v>BLUE</v>
      </c>
      <c r="G1050" s="20" t="str">
        <f>IFERROR(__xludf.DUMMYFUNCTION("""COMPUTED_VALUE"""),"Uncle Sams Cider (04/04/2023)")</f>
        <v>Uncle Sams Cider (04/04/2023)</v>
      </c>
      <c r="H1050" s="19"/>
    </row>
    <row r="1051">
      <c r="A1051" s="9"/>
      <c r="B1051" s="15"/>
      <c r="C1051" s="9">
        <f>IFERROR(__xludf.DUMMYFUNCTION("""COMPUTED_VALUE"""),45133.6307218518)</f>
        <v>45133.63072</v>
      </c>
      <c r="D1051" s="15">
        <f>IFERROR(__xludf.DUMMYFUNCTION("""COMPUTED_VALUE"""),0.999)</f>
        <v>0.999</v>
      </c>
      <c r="E1051" s="16">
        <f>IFERROR(__xludf.DUMMYFUNCTION("""COMPUTED_VALUE"""),72.0)</f>
        <v>72</v>
      </c>
      <c r="F1051" s="19" t="str">
        <f>IFERROR(__xludf.DUMMYFUNCTION("""COMPUTED_VALUE"""),"BLUE")</f>
        <v>BLUE</v>
      </c>
      <c r="G1051" s="20" t="str">
        <f>IFERROR(__xludf.DUMMYFUNCTION("""COMPUTED_VALUE"""),"Uncle Sams Cider (04/04/2023)")</f>
        <v>Uncle Sams Cider (04/04/2023)</v>
      </c>
      <c r="H1051" s="19"/>
    </row>
    <row r="1052">
      <c r="A1052" s="9"/>
      <c r="B1052" s="15"/>
      <c r="C1052" s="9">
        <f>IFERROR(__xludf.DUMMYFUNCTION("""COMPUTED_VALUE"""),45133.6202997453)</f>
        <v>45133.6203</v>
      </c>
      <c r="D1052" s="15">
        <f>IFERROR(__xludf.DUMMYFUNCTION("""COMPUTED_VALUE"""),0.999)</f>
        <v>0.999</v>
      </c>
      <c r="E1052" s="16">
        <f>IFERROR(__xludf.DUMMYFUNCTION("""COMPUTED_VALUE"""),72.0)</f>
        <v>72</v>
      </c>
      <c r="F1052" s="19" t="str">
        <f>IFERROR(__xludf.DUMMYFUNCTION("""COMPUTED_VALUE"""),"BLUE")</f>
        <v>BLUE</v>
      </c>
      <c r="G1052" s="20" t="str">
        <f>IFERROR(__xludf.DUMMYFUNCTION("""COMPUTED_VALUE"""),"Uncle Sams Cider (04/04/2023)")</f>
        <v>Uncle Sams Cider (04/04/2023)</v>
      </c>
      <c r="H1052" s="19"/>
    </row>
    <row r="1053">
      <c r="A1053" s="9"/>
      <c r="B1053" s="15"/>
      <c r="C1053" s="9">
        <f>IFERROR(__xludf.DUMMYFUNCTION("""COMPUTED_VALUE"""),45133.6098780439)</f>
        <v>45133.60988</v>
      </c>
      <c r="D1053" s="15">
        <f>IFERROR(__xludf.DUMMYFUNCTION("""COMPUTED_VALUE"""),0.998)</f>
        <v>0.998</v>
      </c>
      <c r="E1053" s="16">
        <f>IFERROR(__xludf.DUMMYFUNCTION("""COMPUTED_VALUE"""),72.0)</f>
        <v>72</v>
      </c>
      <c r="F1053" s="19" t="str">
        <f>IFERROR(__xludf.DUMMYFUNCTION("""COMPUTED_VALUE"""),"BLUE")</f>
        <v>BLUE</v>
      </c>
      <c r="G1053" s="20" t="str">
        <f>IFERROR(__xludf.DUMMYFUNCTION("""COMPUTED_VALUE"""),"Uncle Sams Cider (04/04/2023)")</f>
        <v>Uncle Sams Cider (04/04/2023)</v>
      </c>
      <c r="H1053" s="19"/>
    </row>
    <row r="1054">
      <c r="A1054" s="9"/>
      <c r="B1054" s="15"/>
      <c r="C1054" s="9">
        <f>IFERROR(__xludf.DUMMYFUNCTION("""COMPUTED_VALUE"""),45133.5994570138)</f>
        <v>45133.59946</v>
      </c>
      <c r="D1054" s="15">
        <f>IFERROR(__xludf.DUMMYFUNCTION("""COMPUTED_VALUE"""),0.999)</f>
        <v>0.999</v>
      </c>
      <c r="E1054" s="16">
        <f>IFERROR(__xludf.DUMMYFUNCTION("""COMPUTED_VALUE"""),72.0)</f>
        <v>72</v>
      </c>
      <c r="F1054" s="19" t="str">
        <f>IFERROR(__xludf.DUMMYFUNCTION("""COMPUTED_VALUE"""),"BLUE")</f>
        <v>BLUE</v>
      </c>
      <c r="G1054" s="20" t="str">
        <f>IFERROR(__xludf.DUMMYFUNCTION("""COMPUTED_VALUE"""),"Uncle Sams Cider (04/04/2023)")</f>
        <v>Uncle Sams Cider (04/04/2023)</v>
      </c>
      <c r="H1054" s="19"/>
    </row>
    <row r="1055">
      <c r="A1055" s="9"/>
      <c r="B1055" s="15"/>
      <c r="C1055" s="9">
        <f>IFERROR(__xludf.DUMMYFUNCTION("""COMPUTED_VALUE"""),45133.5890352546)</f>
        <v>45133.58904</v>
      </c>
      <c r="D1055" s="15">
        <f>IFERROR(__xludf.DUMMYFUNCTION("""COMPUTED_VALUE"""),0.999)</f>
        <v>0.999</v>
      </c>
      <c r="E1055" s="16">
        <f>IFERROR(__xludf.DUMMYFUNCTION("""COMPUTED_VALUE"""),72.0)</f>
        <v>72</v>
      </c>
      <c r="F1055" s="19" t="str">
        <f>IFERROR(__xludf.DUMMYFUNCTION("""COMPUTED_VALUE"""),"BLUE")</f>
        <v>BLUE</v>
      </c>
      <c r="G1055" s="20" t="str">
        <f>IFERROR(__xludf.DUMMYFUNCTION("""COMPUTED_VALUE"""),"Uncle Sams Cider (04/04/2023)")</f>
        <v>Uncle Sams Cider (04/04/2023)</v>
      </c>
      <c r="H1055" s="19"/>
    </row>
    <row r="1056">
      <c r="A1056" s="9"/>
      <c r="B1056" s="15"/>
      <c r="C1056" s="9">
        <f>IFERROR(__xludf.DUMMYFUNCTION("""COMPUTED_VALUE"""),45133.5786139583)</f>
        <v>45133.57861</v>
      </c>
      <c r="D1056" s="15">
        <f>IFERROR(__xludf.DUMMYFUNCTION("""COMPUTED_VALUE"""),0.998)</f>
        <v>0.998</v>
      </c>
      <c r="E1056" s="16">
        <f>IFERROR(__xludf.DUMMYFUNCTION("""COMPUTED_VALUE"""),72.0)</f>
        <v>72</v>
      </c>
      <c r="F1056" s="19" t="str">
        <f>IFERROR(__xludf.DUMMYFUNCTION("""COMPUTED_VALUE"""),"BLUE")</f>
        <v>BLUE</v>
      </c>
      <c r="G1056" s="20" t="str">
        <f>IFERROR(__xludf.DUMMYFUNCTION("""COMPUTED_VALUE"""),"Uncle Sams Cider (04/04/2023)")</f>
        <v>Uncle Sams Cider (04/04/2023)</v>
      </c>
      <c r="H1056" s="19"/>
    </row>
    <row r="1057">
      <c r="A1057" s="9"/>
      <c r="B1057" s="15"/>
      <c r="C1057" s="9">
        <f>IFERROR(__xludf.DUMMYFUNCTION("""COMPUTED_VALUE"""),45133.5681935879)</f>
        <v>45133.56819</v>
      </c>
      <c r="D1057" s="15">
        <f>IFERROR(__xludf.DUMMYFUNCTION("""COMPUTED_VALUE"""),0.999)</f>
        <v>0.999</v>
      </c>
      <c r="E1057" s="16">
        <f>IFERROR(__xludf.DUMMYFUNCTION("""COMPUTED_VALUE"""),72.0)</f>
        <v>72</v>
      </c>
      <c r="F1057" s="19" t="str">
        <f>IFERROR(__xludf.DUMMYFUNCTION("""COMPUTED_VALUE"""),"BLUE")</f>
        <v>BLUE</v>
      </c>
      <c r="G1057" s="20" t="str">
        <f>IFERROR(__xludf.DUMMYFUNCTION("""COMPUTED_VALUE"""),"Uncle Sams Cider (04/04/2023)")</f>
        <v>Uncle Sams Cider (04/04/2023)</v>
      </c>
      <c r="H1057" s="19"/>
    </row>
    <row r="1058">
      <c r="A1058" s="9"/>
      <c r="B1058" s="15"/>
      <c r="C1058" s="9">
        <f>IFERROR(__xludf.DUMMYFUNCTION("""COMPUTED_VALUE"""),45133.5577712037)</f>
        <v>45133.55777</v>
      </c>
      <c r="D1058" s="15">
        <f>IFERROR(__xludf.DUMMYFUNCTION("""COMPUTED_VALUE"""),0.998)</f>
        <v>0.998</v>
      </c>
      <c r="E1058" s="16">
        <f>IFERROR(__xludf.DUMMYFUNCTION("""COMPUTED_VALUE"""),72.0)</f>
        <v>72</v>
      </c>
      <c r="F1058" s="19" t="str">
        <f>IFERROR(__xludf.DUMMYFUNCTION("""COMPUTED_VALUE"""),"BLUE")</f>
        <v>BLUE</v>
      </c>
      <c r="G1058" s="20" t="str">
        <f>IFERROR(__xludf.DUMMYFUNCTION("""COMPUTED_VALUE"""),"Uncle Sams Cider (04/04/2023)")</f>
        <v>Uncle Sams Cider (04/04/2023)</v>
      </c>
      <c r="H1058" s="19"/>
    </row>
    <row r="1059">
      <c r="A1059" s="9"/>
      <c r="B1059" s="15"/>
      <c r="C1059" s="9">
        <f>IFERROR(__xludf.DUMMYFUNCTION("""COMPUTED_VALUE"""),45133.5473488078)</f>
        <v>45133.54735</v>
      </c>
      <c r="D1059" s="15">
        <f>IFERROR(__xludf.DUMMYFUNCTION("""COMPUTED_VALUE"""),0.998)</f>
        <v>0.998</v>
      </c>
      <c r="E1059" s="16">
        <f>IFERROR(__xludf.DUMMYFUNCTION("""COMPUTED_VALUE"""),72.0)</f>
        <v>72</v>
      </c>
      <c r="F1059" s="19" t="str">
        <f>IFERROR(__xludf.DUMMYFUNCTION("""COMPUTED_VALUE"""),"BLUE")</f>
        <v>BLUE</v>
      </c>
      <c r="G1059" s="20" t="str">
        <f>IFERROR(__xludf.DUMMYFUNCTION("""COMPUTED_VALUE"""),"Uncle Sams Cider (04/04/2023)")</f>
        <v>Uncle Sams Cider (04/04/2023)</v>
      </c>
      <c r="H1059" s="19"/>
    </row>
    <row r="1060">
      <c r="A1060" s="9"/>
      <c r="B1060" s="15"/>
      <c r="C1060" s="9">
        <f>IFERROR(__xludf.DUMMYFUNCTION("""COMPUTED_VALUE"""),45133.5369263426)</f>
        <v>45133.53693</v>
      </c>
      <c r="D1060" s="15">
        <f>IFERROR(__xludf.DUMMYFUNCTION("""COMPUTED_VALUE"""),0.999)</f>
        <v>0.999</v>
      </c>
      <c r="E1060" s="16">
        <f>IFERROR(__xludf.DUMMYFUNCTION("""COMPUTED_VALUE"""),72.0)</f>
        <v>72</v>
      </c>
      <c r="F1060" s="19" t="str">
        <f>IFERROR(__xludf.DUMMYFUNCTION("""COMPUTED_VALUE"""),"BLUE")</f>
        <v>BLUE</v>
      </c>
      <c r="G1060" s="20" t="str">
        <f>IFERROR(__xludf.DUMMYFUNCTION("""COMPUTED_VALUE"""),"Uncle Sams Cider (04/04/2023)")</f>
        <v>Uncle Sams Cider (04/04/2023)</v>
      </c>
      <c r="H1060" s="19"/>
    </row>
    <row r="1061">
      <c r="A1061" s="9"/>
      <c r="B1061" s="15"/>
      <c r="C1061" s="9">
        <f>IFERROR(__xludf.DUMMYFUNCTION("""COMPUTED_VALUE"""),45133.5265067708)</f>
        <v>45133.52651</v>
      </c>
      <c r="D1061" s="15">
        <f>IFERROR(__xludf.DUMMYFUNCTION("""COMPUTED_VALUE"""),0.999)</f>
        <v>0.999</v>
      </c>
      <c r="E1061" s="16">
        <f>IFERROR(__xludf.DUMMYFUNCTION("""COMPUTED_VALUE"""),72.0)</f>
        <v>72</v>
      </c>
      <c r="F1061" s="19" t="str">
        <f>IFERROR(__xludf.DUMMYFUNCTION("""COMPUTED_VALUE"""),"BLUE")</f>
        <v>BLUE</v>
      </c>
      <c r="G1061" s="20" t="str">
        <f>IFERROR(__xludf.DUMMYFUNCTION("""COMPUTED_VALUE"""),"Uncle Sams Cider (04/04/2023)")</f>
        <v>Uncle Sams Cider (04/04/2023)</v>
      </c>
      <c r="H1061" s="19"/>
    </row>
    <row r="1062">
      <c r="A1062" s="9"/>
      <c r="B1062" s="15"/>
      <c r="C1062" s="9">
        <f>IFERROR(__xludf.DUMMYFUNCTION("""COMPUTED_VALUE"""),45133.5160854745)</f>
        <v>45133.51609</v>
      </c>
      <c r="D1062" s="15">
        <f>IFERROR(__xludf.DUMMYFUNCTION("""COMPUTED_VALUE"""),0.998)</f>
        <v>0.998</v>
      </c>
      <c r="E1062" s="16">
        <f>IFERROR(__xludf.DUMMYFUNCTION("""COMPUTED_VALUE"""),72.0)</f>
        <v>72</v>
      </c>
      <c r="F1062" s="19" t="str">
        <f>IFERROR(__xludf.DUMMYFUNCTION("""COMPUTED_VALUE"""),"BLUE")</f>
        <v>BLUE</v>
      </c>
      <c r="G1062" s="20" t="str">
        <f>IFERROR(__xludf.DUMMYFUNCTION("""COMPUTED_VALUE"""),"Uncle Sams Cider (04/04/2023)")</f>
        <v>Uncle Sams Cider (04/04/2023)</v>
      </c>
      <c r="H1062" s="19"/>
    </row>
    <row r="1063">
      <c r="A1063" s="9"/>
      <c r="B1063" s="15"/>
      <c r="C1063" s="9">
        <f>IFERROR(__xludf.DUMMYFUNCTION("""COMPUTED_VALUE"""),45133.5056643402)</f>
        <v>45133.50566</v>
      </c>
      <c r="D1063" s="15">
        <f>IFERROR(__xludf.DUMMYFUNCTION("""COMPUTED_VALUE"""),0.998)</f>
        <v>0.998</v>
      </c>
      <c r="E1063" s="16">
        <f>IFERROR(__xludf.DUMMYFUNCTION("""COMPUTED_VALUE"""),72.0)</f>
        <v>72</v>
      </c>
      <c r="F1063" s="19" t="str">
        <f>IFERROR(__xludf.DUMMYFUNCTION("""COMPUTED_VALUE"""),"BLUE")</f>
        <v>BLUE</v>
      </c>
      <c r="G1063" s="20" t="str">
        <f>IFERROR(__xludf.DUMMYFUNCTION("""COMPUTED_VALUE"""),"Uncle Sams Cider (04/04/2023)")</f>
        <v>Uncle Sams Cider (04/04/2023)</v>
      </c>
      <c r="H1063" s="19"/>
    </row>
    <row r="1064">
      <c r="A1064" s="9"/>
      <c r="B1064" s="15"/>
      <c r="C1064" s="9">
        <f>IFERROR(__xludf.DUMMYFUNCTION("""COMPUTED_VALUE"""),45133.4952436111)</f>
        <v>45133.49524</v>
      </c>
      <c r="D1064" s="15">
        <f>IFERROR(__xludf.DUMMYFUNCTION("""COMPUTED_VALUE"""),0.998)</f>
        <v>0.998</v>
      </c>
      <c r="E1064" s="16">
        <f>IFERROR(__xludf.DUMMYFUNCTION("""COMPUTED_VALUE"""),72.0)</f>
        <v>72</v>
      </c>
      <c r="F1064" s="19" t="str">
        <f>IFERROR(__xludf.DUMMYFUNCTION("""COMPUTED_VALUE"""),"BLUE")</f>
        <v>BLUE</v>
      </c>
      <c r="G1064" s="20" t="str">
        <f>IFERROR(__xludf.DUMMYFUNCTION("""COMPUTED_VALUE"""),"Uncle Sams Cider (04/04/2023)")</f>
        <v>Uncle Sams Cider (04/04/2023)</v>
      </c>
      <c r="H1064" s="19"/>
    </row>
    <row r="1065">
      <c r="A1065" s="9"/>
      <c r="B1065" s="15"/>
      <c r="C1065" s="9">
        <f>IFERROR(__xludf.DUMMYFUNCTION("""COMPUTED_VALUE"""),45133.4848219444)</f>
        <v>45133.48482</v>
      </c>
      <c r="D1065" s="15">
        <f>IFERROR(__xludf.DUMMYFUNCTION("""COMPUTED_VALUE"""),0.998)</f>
        <v>0.998</v>
      </c>
      <c r="E1065" s="16">
        <f>IFERROR(__xludf.DUMMYFUNCTION("""COMPUTED_VALUE"""),72.0)</f>
        <v>72</v>
      </c>
      <c r="F1065" s="19" t="str">
        <f>IFERROR(__xludf.DUMMYFUNCTION("""COMPUTED_VALUE"""),"BLUE")</f>
        <v>BLUE</v>
      </c>
      <c r="G1065" s="20" t="str">
        <f>IFERROR(__xludf.DUMMYFUNCTION("""COMPUTED_VALUE"""),"Uncle Sams Cider (04/04/2023)")</f>
        <v>Uncle Sams Cider (04/04/2023)</v>
      </c>
      <c r="H1065" s="19"/>
    </row>
    <row r="1066">
      <c r="A1066" s="9"/>
      <c r="B1066" s="15"/>
      <c r="C1066" s="9">
        <f>IFERROR(__xludf.DUMMYFUNCTION("""COMPUTED_VALUE"""),45133.4744009606)</f>
        <v>45133.4744</v>
      </c>
      <c r="D1066" s="15">
        <f>IFERROR(__xludf.DUMMYFUNCTION("""COMPUTED_VALUE"""),0.999)</f>
        <v>0.999</v>
      </c>
      <c r="E1066" s="16">
        <f>IFERROR(__xludf.DUMMYFUNCTION("""COMPUTED_VALUE"""),72.0)</f>
        <v>72</v>
      </c>
      <c r="F1066" s="19" t="str">
        <f>IFERROR(__xludf.DUMMYFUNCTION("""COMPUTED_VALUE"""),"BLUE")</f>
        <v>BLUE</v>
      </c>
      <c r="G1066" s="20" t="str">
        <f>IFERROR(__xludf.DUMMYFUNCTION("""COMPUTED_VALUE"""),"Uncle Sams Cider (04/04/2023)")</f>
        <v>Uncle Sams Cider (04/04/2023)</v>
      </c>
      <c r="H1066" s="19"/>
    </row>
    <row r="1067">
      <c r="A1067" s="9"/>
      <c r="B1067" s="15"/>
      <c r="C1067" s="9">
        <f>IFERROR(__xludf.DUMMYFUNCTION("""COMPUTED_VALUE"""),45133.463980081)</f>
        <v>45133.46398</v>
      </c>
      <c r="D1067" s="15">
        <f>IFERROR(__xludf.DUMMYFUNCTION("""COMPUTED_VALUE"""),0.998)</f>
        <v>0.998</v>
      </c>
      <c r="E1067" s="16">
        <f>IFERROR(__xludf.DUMMYFUNCTION("""COMPUTED_VALUE"""),72.0)</f>
        <v>72</v>
      </c>
      <c r="F1067" s="19" t="str">
        <f>IFERROR(__xludf.DUMMYFUNCTION("""COMPUTED_VALUE"""),"BLUE")</f>
        <v>BLUE</v>
      </c>
      <c r="G1067" s="20" t="str">
        <f>IFERROR(__xludf.DUMMYFUNCTION("""COMPUTED_VALUE"""),"Uncle Sams Cider (04/04/2023)")</f>
        <v>Uncle Sams Cider (04/04/2023)</v>
      </c>
      <c r="H1067" s="19"/>
    </row>
    <row r="1068">
      <c r="A1068" s="9"/>
      <c r="B1068" s="15"/>
      <c r="C1068" s="9">
        <f>IFERROR(__xludf.DUMMYFUNCTION("""COMPUTED_VALUE"""),45133.4535597338)</f>
        <v>45133.45356</v>
      </c>
      <c r="D1068" s="15">
        <f>IFERROR(__xludf.DUMMYFUNCTION("""COMPUTED_VALUE"""),0.998)</f>
        <v>0.998</v>
      </c>
      <c r="E1068" s="16">
        <f>IFERROR(__xludf.DUMMYFUNCTION("""COMPUTED_VALUE"""),72.0)</f>
        <v>72</v>
      </c>
      <c r="F1068" s="19" t="str">
        <f>IFERROR(__xludf.DUMMYFUNCTION("""COMPUTED_VALUE"""),"BLUE")</f>
        <v>BLUE</v>
      </c>
      <c r="G1068" s="20" t="str">
        <f>IFERROR(__xludf.DUMMYFUNCTION("""COMPUTED_VALUE"""),"Uncle Sams Cider (04/04/2023)")</f>
        <v>Uncle Sams Cider (04/04/2023)</v>
      </c>
      <c r="H1068" s="19"/>
    </row>
    <row r="1069">
      <c r="A1069" s="9"/>
      <c r="B1069" s="15"/>
      <c r="C1069" s="9">
        <f>IFERROR(__xludf.DUMMYFUNCTION("""COMPUTED_VALUE"""),45133.4431384606)</f>
        <v>45133.44314</v>
      </c>
      <c r="D1069" s="15">
        <f>IFERROR(__xludf.DUMMYFUNCTION("""COMPUTED_VALUE"""),0.998)</f>
        <v>0.998</v>
      </c>
      <c r="E1069" s="16">
        <f>IFERROR(__xludf.DUMMYFUNCTION("""COMPUTED_VALUE"""),72.0)</f>
        <v>72</v>
      </c>
      <c r="F1069" s="19" t="str">
        <f>IFERROR(__xludf.DUMMYFUNCTION("""COMPUTED_VALUE"""),"BLUE")</f>
        <v>BLUE</v>
      </c>
      <c r="G1069" s="20" t="str">
        <f>IFERROR(__xludf.DUMMYFUNCTION("""COMPUTED_VALUE"""),"Uncle Sams Cider (04/04/2023)")</f>
        <v>Uncle Sams Cider (04/04/2023)</v>
      </c>
      <c r="H1069" s="19"/>
    </row>
    <row r="1070">
      <c r="A1070" s="9"/>
      <c r="B1070" s="15"/>
      <c r="C1070" s="9">
        <f>IFERROR(__xludf.DUMMYFUNCTION("""COMPUTED_VALUE"""),45133.4327182407)</f>
        <v>45133.43272</v>
      </c>
      <c r="D1070" s="15">
        <f>IFERROR(__xludf.DUMMYFUNCTION("""COMPUTED_VALUE"""),0.998)</f>
        <v>0.998</v>
      </c>
      <c r="E1070" s="16">
        <f>IFERROR(__xludf.DUMMYFUNCTION("""COMPUTED_VALUE"""),72.0)</f>
        <v>72</v>
      </c>
      <c r="F1070" s="19" t="str">
        <f>IFERROR(__xludf.DUMMYFUNCTION("""COMPUTED_VALUE"""),"BLUE")</f>
        <v>BLUE</v>
      </c>
      <c r="G1070" s="20" t="str">
        <f>IFERROR(__xludf.DUMMYFUNCTION("""COMPUTED_VALUE"""),"Uncle Sams Cider (04/04/2023)")</f>
        <v>Uncle Sams Cider (04/04/2023)</v>
      </c>
      <c r="H1070" s="19"/>
    </row>
    <row r="1071">
      <c r="A1071" s="9"/>
      <c r="B1071" s="15"/>
      <c r="C1071" s="9">
        <f>IFERROR(__xludf.DUMMYFUNCTION("""COMPUTED_VALUE"""),45133.4222956597)</f>
        <v>45133.4223</v>
      </c>
      <c r="D1071" s="15">
        <f>IFERROR(__xludf.DUMMYFUNCTION("""COMPUTED_VALUE"""),0.998)</f>
        <v>0.998</v>
      </c>
      <c r="E1071" s="16">
        <f>IFERROR(__xludf.DUMMYFUNCTION("""COMPUTED_VALUE"""),72.0)</f>
        <v>72</v>
      </c>
      <c r="F1071" s="19" t="str">
        <f>IFERROR(__xludf.DUMMYFUNCTION("""COMPUTED_VALUE"""),"BLUE")</f>
        <v>BLUE</v>
      </c>
      <c r="G1071" s="20" t="str">
        <f>IFERROR(__xludf.DUMMYFUNCTION("""COMPUTED_VALUE"""),"Uncle Sams Cider (04/04/2023)")</f>
        <v>Uncle Sams Cider (04/04/2023)</v>
      </c>
      <c r="H1071" s="19"/>
    </row>
    <row r="1072">
      <c r="A1072" s="9"/>
      <c r="B1072" s="15"/>
      <c r="C1072" s="9">
        <f>IFERROR(__xludf.DUMMYFUNCTION("""COMPUTED_VALUE"""),45133.4118742939)</f>
        <v>45133.41187</v>
      </c>
      <c r="D1072" s="15">
        <f>IFERROR(__xludf.DUMMYFUNCTION("""COMPUTED_VALUE"""),0.998)</f>
        <v>0.998</v>
      </c>
      <c r="E1072" s="16">
        <f>IFERROR(__xludf.DUMMYFUNCTION("""COMPUTED_VALUE"""),72.0)</f>
        <v>72</v>
      </c>
      <c r="F1072" s="19" t="str">
        <f>IFERROR(__xludf.DUMMYFUNCTION("""COMPUTED_VALUE"""),"BLUE")</f>
        <v>BLUE</v>
      </c>
      <c r="G1072" s="20" t="str">
        <f>IFERROR(__xludf.DUMMYFUNCTION("""COMPUTED_VALUE"""),"Uncle Sams Cider (04/04/2023)")</f>
        <v>Uncle Sams Cider (04/04/2023)</v>
      </c>
      <c r="H1072" s="19"/>
    </row>
    <row r="1073">
      <c r="A1073" s="9"/>
      <c r="B1073" s="15"/>
      <c r="C1073" s="9">
        <f>IFERROR(__xludf.DUMMYFUNCTION("""COMPUTED_VALUE"""),45133.4014519097)</f>
        <v>45133.40145</v>
      </c>
      <c r="D1073" s="15">
        <f>IFERROR(__xludf.DUMMYFUNCTION("""COMPUTED_VALUE"""),0.998)</f>
        <v>0.998</v>
      </c>
      <c r="E1073" s="16">
        <f>IFERROR(__xludf.DUMMYFUNCTION("""COMPUTED_VALUE"""),72.0)</f>
        <v>72</v>
      </c>
      <c r="F1073" s="19" t="str">
        <f>IFERROR(__xludf.DUMMYFUNCTION("""COMPUTED_VALUE"""),"BLUE")</f>
        <v>BLUE</v>
      </c>
      <c r="G1073" s="20" t="str">
        <f>IFERROR(__xludf.DUMMYFUNCTION("""COMPUTED_VALUE"""),"Uncle Sams Cider (04/04/2023)")</f>
        <v>Uncle Sams Cider (04/04/2023)</v>
      </c>
      <c r="H1073" s="19"/>
    </row>
    <row r="1074">
      <c r="A1074" s="9"/>
      <c r="B1074" s="15"/>
      <c r="C1074" s="9">
        <f>IFERROR(__xludf.DUMMYFUNCTION("""COMPUTED_VALUE"""),45133.3910326157)</f>
        <v>45133.39103</v>
      </c>
      <c r="D1074" s="15">
        <f>IFERROR(__xludf.DUMMYFUNCTION("""COMPUTED_VALUE"""),0.998)</f>
        <v>0.998</v>
      </c>
      <c r="E1074" s="16">
        <f>IFERROR(__xludf.DUMMYFUNCTION("""COMPUTED_VALUE"""),72.0)</f>
        <v>72</v>
      </c>
      <c r="F1074" s="19" t="str">
        <f>IFERROR(__xludf.DUMMYFUNCTION("""COMPUTED_VALUE"""),"BLUE")</f>
        <v>BLUE</v>
      </c>
      <c r="G1074" s="20" t="str">
        <f>IFERROR(__xludf.DUMMYFUNCTION("""COMPUTED_VALUE"""),"Uncle Sams Cider (04/04/2023)")</f>
        <v>Uncle Sams Cider (04/04/2023)</v>
      </c>
      <c r="H1074" s="19"/>
    </row>
    <row r="1075">
      <c r="A1075" s="9"/>
      <c r="B1075" s="15"/>
      <c r="C1075" s="9">
        <f>IFERROR(__xludf.DUMMYFUNCTION("""COMPUTED_VALUE"""),45133.3806104513)</f>
        <v>45133.38061</v>
      </c>
      <c r="D1075" s="15">
        <f>IFERROR(__xludf.DUMMYFUNCTION("""COMPUTED_VALUE"""),0.999)</f>
        <v>0.999</v>
      </c>
      <c r="E1075" s="16">
        <f>IFERROR(__xludf.DUMMYFUNCTION("""COMPUTED_VALUE"""),72.0)</f>
        <v>72</v>
      </c>
      <c r="F1075" s="19" t="str">
        <f>IFERROR(__xludf.DUMMYFUNCTION("""COMPUTED_VALUE"""),"BLUE")</f>
        <v>BLUE</v>
      </c>
      <c r="G1075" s="20" t="str">
        <f>IFERROR(__xludf.DUMMYFUNCTION("""COMPUTED_VALUE"""),"Uncle Sams Cider (04/04/2023)")</f>
        <v>Uncle Sams Cider (04/04/2023)</v>
      </c>
      <c r="H1075" s="19"/>
    </row>
    <row r="1076">
      <c r="A1076" s="9"/>
      <c r="B1076" s="15"/>
      <c r="C1076" s="9">
        <f>IFERROR(__xludf.DUMMYFUNCTION("""COMPUTED_VALUE"""),45133.3701783101)</f>
        <v>45133.37018</v>
      </c>
      <c r="D1076" s="15">
        <f>IFERROR(__xludf.DUMMYFUNCTION("""COMPUTED_VALUE"""),0.998)</f>
        <v>0.998</v>
      </c>
      <c r="E1076" s="16">
        <f>IFERROR(__xludf.DUMMYFUNCTION("""COMPUTED_VALUE"""),72.0)</f>
        <v>72</v>
      </c>
      <c r="F1076" s="19" t="str">
        <f>IFERROR(__xludf.DUMMYFUNCTION("""COMPUTED_VALUE"""),"BLUE")</f>
        <v>BLUE</v>
      </c>
      <c r="G1076" s="20" t="str">
        <f>IFERROR(__xludf.DUMMYFUNCTION("""COMPUTED_VALUE"""),"Uncle Sams Cider (04/04/2023)")</f>
        <v>Uncle Sams Cider (04/04/2023)</v>
      </c>
      <c r="H1076" s="19"/>
    </row>
    <row r="1077">
      <c r="A1077" s="9"/>
      <c r="B1077" s="15"/>
      <c r="C1077" s="9">
        <f>IFERROR(__xludf.DUMMYFUNCTION("""COMPUTED_VALUE"""),45133.3597556365)</f>
        <v>45133.35976</v>
      </c>
      <c r="D1077" s="15">
        <f>IFERROR(__xludf.DUMMYFUNCTION("""COMPUTED_VALUE"""),0.998)</f>
        <v>0.998</v>
      </c>
      <c r="E1077" s="16">
        <f>IFERROR(__xludf.DUMMYFUNCTION("""COMPUTED_VALUE"""),72.0)</f>
        <v>72</v>
      </c>
      <c r="F1077" s="19" t="str">
        <f>IFERROR(__xludf.DUMMYFUNCTION("""COMPUTED_VALUE"""),"BLUE")</f>
        <v>BLUE</v>
      </c>
      <c r="G1077" s="20" t="str">
        <f>IFERROR(__xludf.DUMMYFUNCTION("""COMPUTED_VALUE"""),"Uncle Sams Cider (04/04/2023)")</f>
        <v>Uncle Sams Cider (04/04/2023)</v>
      </c>
      <c r="H1077" s="19"/>
    </row>
    <row r="1078">
      <c r="A1078" s="9"/>
      <c r="B1078" s="15"/>
      <c r="C1078" s="9">
        <f>IFERROR(__xludf.DUMMYFUNCTION("""COMPUTED_VALUE"""),45133.3493348263)</f>
        <v>45133.34933</v>
      </c>
      <c r="D1078" s="15">
        <f>IFERROR(__xludf.DUMMYFUNCTION("""COMPUTED_VALUE"""),0.998)</f>
        <v>0.998</v>
      </c>
      <c r="E1078" s="16">
        <f>IFERROR(__xludf.DUMMYFUNCTION("""COMPUTED_VALUE"""),72.0)</f>
        <v>72</v>
      </c>
      <c r="F1078" s="19" t="str">
        <f>IFERROR(__xludf.DUMMYFUNCTION("""COMPUTED_VALUE"""),"BLUE")</f>
        <v>BLUE</v>
      </c>
      <c r="G1078" s="20" t="str">
        <f>IFERROR(__xludf.DUMMYFUNCTION("""COMPUTED_VALUE"""),"Uncle Sams Cider (04/04/2023)")</f>
        <v>Uncle Sams Cider (04/04/2023)</v>
      </c>
      <c r="H1078" s="19"/>
    </row>
    <row r="1079">
      <c r="A1079" s="9"/>
      <c r="B1079" s="15"/>
      <c r="C1079" s="9">
        <f>IFERROR(__xludf.DUMMYFUNCTION("""COMPUTED_VALUE"""),45133.3389150463)</f>
        <v>45133.33892</v>
      </c>
      <c r="D1079" s="15">
        <f>IFERROR(__xludf.DUMMYFUNCTION("""COMPUTED_VALUE"""),0.998)</f>
        <v>0.998</v>
      </c>
      <c r="E1079" s="16">
        <f>IFERROR(__xludf.DUMMYFUNCTION("""COMPUTED_VALUE"""),72.0)</f>
        <v>72</v>
      </c>
      <c r="F1079" s="19" t="str">
        <f>IFERROR(__xludf.DUMMYFUNCTION("""COMPUTED_VALUE"""),"BLUE")</f>
        <v>BLUE</v>
      </c>
      <c r="G1079" s="20" t="str">
        <f>IFERROR(__xludf.DUMMYFUNCTION("""COMPUTED_VALUE"""),"Uncle Sams Cider (04/04/2023)")</f>
        <v>Uncle Sams Cider (04/04/2023)</v>
      </c>
      <c r="H1079" s="19"/>
    </row>
    <row r="1080">
      <c r="A1080" s="9"/>
      <c r="B1080" s="15"/>
      <c r="C1080" s="9">
        <f>IFERROR(__xludf.DUMMYFUNCTION("""COMPUTED_VALUE"""),45133.3284718402)</f>
        <v>45133.32847</v>
      </c>
      <c r="D1080" s="15">
        <f>IFERROR(__xludf.DUMMYFUNCTION("""COMPUTED_VALUE"""),0.999)</f>
        <v>0.999</v>
      </c>
      <c r="E1080" s="16">
        <f>IFERROR(__xludf.DUMMYFUNCTION("""COMPUTED_VALUE"""),72.0)</f>
        <v>72</v>
      </c>
      <c r="F1080" s="19" t="str">
        <f>IFERROR(__xludf.DUMMYFUNCTION("""COMPUTED_VALUE"""),"BLUE")</f>
        <v>BLUE</v>
      </c>
      <c r="G1080" s="20" t="str">
        <f>IFERROR(__xludf.DUMMYFUNCTION("""COMPUTED_VALUE"""),"Uncle Sams Cider (04/04/2023)")</f>
        <v>Uncle Sams Cider (04/04/2023)</v>
      </c>
      <c r="H1080" s="19"/>
    </row>
    <row r="1081">
      <c r="A1081" s="9"/>
      <c r="B1081" s="15"/>
      <c r="C1081" s="9">
        <f>IFERROR(__xludf.DUMMYFUNCTION("""COMPUTED_VALUE"""),45133.3180532986)</f>
        <v>45133.31805</v>
      </c>
      <c r="D1081" s="15">
        <f>IFERROR(__xludf.DUMMYFUNCTION("""COMPUTED_VALUE"""),0.998)</f>
        <v>0.998</v>
      </c>
      <c r="E1081" s="16">
        <f>IFERROR(__xludf.DUMMYFUNCTION("""COMPUTED_VALUE"""),72.0)</f>
        <v>72</v>
      </c>
      <c r="F1081" s="19" t="str">
        <f>IFERROR(__xludf.DUMMYFUNCTION("""COMPUTED_VALUE"""),"BLUE")</f>
        <v>BLUE</v>
      </c>
      <c r="G1081" s="20" t="str">
        <f>IFERROR(__xludf.DUMMYFUNCTION("""COMPUTED_VALUE"""),"Uncle Sams Cider (04/04/2023)")</f>
        <v>Uncle Sams Cider (04/04/2023)</v>
      </c>
      <c r="H1081" s="19"/>
    </row>
    <row r="1082">
      <c r="A1082" s="9"/>
      <c r="B1082" s="15"/>
      <c r="C1082" s="9">
        <f>IFERROR(__xludf.DUMMYFUNCTION("""COMPUTED_VALUE"""),45133.3076211111)</f>
        <v>45133.30762</v>
      </c>
      <c r="D1082" s="15">
        <f>IFERROR(__xludf.DUMMYFUNCTION("""COMPUTED_VALUE"""),0.998)</f>
        <v>0.998</v>
      </c>
      <c r="E1082" s="16">
        <f>IFERROR(__xludf.DUMMYFUNCTION("""COMPUTED_VALUE"""),72.0)</f>
        <v>72</v>
      </c>
      <c r="F1082" s="19" t="str">
        <f>IFERROR(__xludf.DUMMYFUNCTION("""COMPUTED_VALUE"""),"BLUE")</f>
        <v>BLUE</v>
      </c>
      <c r="G1082" s="20" t="str">
        <f>IFERROR(__xludf.DUMMYFUNCTION("""COMPUTED_VALUE"""),"Uncle Sams Cider (04/04/2023)")</f>
        <v>Uncle Sams Cider (04/04/2023)</v>
      </c>
      <c r="H1082" s="19"/>
    </row>
    <row r="1083">
      <c r="A1083" s="9"/>
      <c r="B1083" s="15"/>
      <c r="C1083" s="9">
        <f>IFERROR(__xludf.DUMMYFUNCTION("""COMPUTED_VALUE"""),45133.2972005208)</f>
        <v>45133.2972</v>
      </c>
      <c r="D1083" s="15">
        <f>IFERROR(__xludf.DUMMYFUNCTION("""COMPUTED_VALUE"""),0.999)</f>
        <v>0.999</v>
      </c>
      <c r="E1083" s="16">
        <f>IFERROR(__xludf.DUMMYFUNCTION("""COMPUTED_VALUE"""),72.0)</f>
        <v>72</v>
      </c>
      <c r="F1083" s="19" t="str">
        <f>IFERROR(__xludf.DUMMYFUNCTION("""COMPUTED_VALUE"""),"BLUE")</f>
        <v>BLUE</v>
      </c>
      <c r="G1083" s="20" t="str">
        <f>IFERROR(__xludf.DUMMYFUNCTION("""COMPUTED_VALUE"""),"Uncle Sams Cider (04/04/2023)")</f>
        <v>Uncle Sams Cider (04/04/2023)</v>
      </c>
      <c r="H1083" s="19"/>
    </row>
    <row r="1084">
      <c r="A1084" s="9"/>
      <c r="B1084" s="15"/>
      <c r="C1084" s="9">
        <f>IFERROR(__xludf.DUMMYFUNCTION("""COMPUTED_VALUE"""),45133.2867777893)</f>
        <v>45133.28678</v>
      </c>
      <c r="D1084" s="15">
        <f>IFERROR(__xludf.DUMMYFUNCTION("""COMPUTED_VALUE"""),0.999)</f>
        <v>0.999</v>
      </c>
      <c r="E1084" s="16">
        <f>IFERROR(__xludf.DUMMYFUNCTION("""COMPUTED_VALUE"""),72.0)</f>
        <v>72</v>
      </c>
      <c r="F1084" s="19" t="str">
        <f>IFERROR(__xludf.DUMMYFUNCTION("""COMPUTED_VALUE"""),"BLUE")</f>
        <v>BLUE</v>
      </c>
      <c r="G1084" s="20" t="str">
        <f>IFERROR(__xludf.DUMMYFUNCTION("""COMPUTED_VALUE"""),"Uncle Sams Cider (04/04/2023)")</f>
        <v>Uncle Sams Cider (04/04/2023)</v>
      </c>
      <c r="H1084" s="19"/>
    </row>
    <row r="1085">
      <c r="A1085" s="9"/>
      <c r="B1085" s="15"/>
      <c r="C1085" s="9">
        <f>IFERROR(__xludf.DUMMYFUNCTION("""COMPUTED_VALUE"""),45133.2763572106)</f>
        <v>45133.27636</v>
      </c>
      <c r="D1085" s="15">
        <f>IFERROR(__xludf.DUMMYFUNCTION("""COMPUTED_VALUE"""),0.999)</f>
        <v>0.999</v>
      </c>
      <c r="E1085" s="16">
        <f>IFERROR(__xludf.DUMMYFUNCTION("""COMPUTED_VALUE"""),72.0)</f>
        <v>72</v>
      </c>
      <c r="F1085" s="19" t="str">
        <f>IFERROR(__xludf.DUMMYFUNCTION("""COMPUTED_VALUE"""),"BLUE")</f>
        <v>BLUE</v>
      </c>
      <c r="G1085" s="20" t="str">
        <f>IFERROR(__xludf.DUMMYFUNCTION("""COMPUTED_VALUE"""),"Uncle Sams Cider (04/04/2023)")</f>
        <v>Uncle Sams Cider (04/04/2023)</v>
      </c>
      <c r="H1085" s="19"/>
    </row>
    <row r="1086">
      <c r="A1086" s="9"/>
      <c r="B1086" s="15"/>
      <c r="C1086" s="9">
        <f>IFERROR(__xludf.DUMMYFUNCTION("""COMPUTED_VALUE"""),45133.2659374768)</f>
        <v>45133.26594</v>
      </c>
      <c r="D1086" s="15">
        <f>IFERROR(__xludf.DUMMYFUNCTION("""COMPUTED_VALUE"""),0.998)</f>
        <v>0.998</v>
      </c>
      <c r="E1086" s="16">
        <f>IFERROR(__xludf.DUMMYFUNCTION("""COMPUTED_VALUE"""),72.0)</f>
        <v>72</v>
      </c>
      <c r="F1086" s="19" t="str">
        <f>IFERROR(__xludf.DUMMYFUNCTION("""COMPUTED_VALUE"""),"BLUE")</f>
        <v>BLUE</v>
      </c>
      <c r="G1086" s="20" t="str">
        <f>IFERROR(__xludf.DUMMYFUNCTION("""COMPUTED_VALUE"""),"Uncle Sams Cider (04/04/2023)")</f>
        <v>Uncle Sams Cider (04/04/2023)</v>
      </c>
      <c r="H1086" s="19"/>
    </row>
    <row r="1087">
      <c r="A1087" s="9"/>
      <c r="B1087" s="15"/>
      <c r="C1087" s="9">
        <f>IFERROR(__xludf.DUMMYFUNCTION("""COMPUTED_VALUE"""),45133.2555151388)</f>
        <v>45133.25552</v>
      </c>
      <c r="D1087" s="15">
        <f>IFERROR(__xludf.DUMMYFUNCTION("""COMPUTED_VALUE"""),0.999)</f>
        <v>0.999</v>
      </c>
      <c r="E1087" s="16">
        <f>IFERROR(__xludf.DUMMYFUNCTION("""COMPUTED_VALUE"""),72.0)</f>
        <v>72</v>
      </c>
      <c r="F1087" s="19" t="str">
        <f>IFERROR(__xludf.DUMMYFUNCTION("""COMPUTED_VALUE"""),"BLUE")</f>
        <v>BLUE</v>
      </c>
      <c r="G1087" s="20" t="str">
        <f>IFERROR(__xludf.DUMMYFUNCTION("""COMPUTED_VALUE"""),"Uncle Sams Cider (04/04/2023)")</f>
        <v>Uncle Sams Cider (04/04/2023)</v>
      </c>
      <c r="H1087" s="19"/>
    </row>
    <row r="1088">
      <c r="A1088" s="9"/>
      <c r="B1088" s="15"/>
      <c r="C1088" s="9">
        <f>IFERROR(__xludf.DUMMYFUNCTION("""COMPUTED_VALUE"""),45133.2450827777)</f>
        <v>45133.24508</v>
      </c>
      <c r="D1088" s="15">
        <f>IFERROR(__xludf.DUMMYFUNCTION("""COMPUTED_VALUE"""),0.998)</f>
        <v>0.998</v>
      </c>
      <c r="E1088" s="16">
        <f>IFERROR(__xludf.DUMMYFUNCTION("""COMPUTED_VALUE"""),72.0)</f>
        <v>72</v>
      </c>
      <c r="F1088" s="19" t="str">
        <f>IFERROR(__xludf.DUMMYFUNCTION("""COMPUTED_VALUE"""),"BLUE")</f>
        <v>BLUE</v>
      </c>
      <c r="G1088" s="20" t="str">
        <f>IFERROR(__xludf.DUMMYFUNCTION("""COMPUTED_VALUE"""),"Uncle Sams Cider (04/04/2023)")</f>
        <v>Uncle Sams Cider (04/04/2023)</v>
      </c>
      <c r="H1088" s="19"/>
    </row>
    <row r="1089">
      <c r="A1089" s="9"/>
      <c r="B1089" s="15"/>
      <c r="C1089" s="9">
        <f>IFERROR(__xludf.DUMMYFUNCTION("""COMPUTED_VALUE"""),45133.2346617824)</f>
        <v>45133.23466</v>
      </c>
      <c r="D1089" s="15">
        <f>IFERROR(__xludf.DUMMYFUNCTION("""COMPUTED_VALUE"""),0.999)</f>
        <v>0.999</v>
      </c>
      <c r="E1089" s="16">
        <f>IFERROR(__xludf.DUMMYFUNCTION("""COMPUTED_VALUE"""),72.0)</f>
        <v>72</v>
      </c>
      <c r="F1089" s="19" t="str">
        <f>IFERROR(__xludf.DUMMYFUNCTION("""COMPUTED_VALUE"""),"BLUE")</f>
        <v>BLUE</v>
      </c>
      <c r="G1089" s="20" t="str">
        <f>IFERROR(__xludf.DUMMYFUNCTION("""COMPUTED_VALUE"""),"Uncle Sams Cider (04/04/2023)")</f>
        <v>Uncle Sams Cider (04/04/2023)</v>
      </c>
      <c r="H1089" s="19"/>
    </row>
    <row r="1090">
      <c r="A1090" s="9"/>
      <c r="B1090" s="15"/>
      <c r="C1090" s="9">
        <f>IFERROR(__xludf.DUMMYFUNCTION("""COMPUTED_VALUE"""),45133.2242292939)</f>
        <v>45133.22423</v>
      </c>
      <c r="D1090" s="15">
        <f>IFERROR(__xludf.DUMMYFUNCTION("""COMPUTED_VALUE"""),0.998)</f>
        <v>0.998</v>
      </c>
      <c r="E1090" s="16">
        <f>IFERROR(__xludf.DUMMYFUNCTION("""COMPUTED_VALUE"""),72.0)</f>
        <v>72</v>
      </c>
      <c r="F1090" s="19" t="str">
        <f>IFERROR(__xludf.DUMMYFUNCTION("""COMPUTED_VALUE"""),"BLUE")</f>
        <v>BLUE</v>
      </c>
      <c r="G1090" s="20" t="str">
        <f>IFERROR(__xludf.DUMMYFUNCTION("""COMPUTED_VALUE"""),"Uncle Sams Cider (04/04/2023)")</f>
        <v>Uncle Sams Cider (04/04/2023)</v>
      </c>
      <c r="H1090" s="19"/>
    </row>
    <row r="1091">
      <c r="A1091" s="9"/>
      <c r="B1091" s="15"/>
      <c r="C1091" s="9">
        <f>IFERROR(__xludf.DUMMYFUNCTION("""COMPUTED_VALUE"""),45133.2137954629)</f>
        <v>45133.2138</v>
      </c>
      <c r="D1091" s="15">
        <f>IFERROR(__xludf.DUMMYFUNCTION("""COMPUTED_VALUE"""),0.998)</f>
        <v>0.998</v>
      </c>
      <c r="E1091" s="16">
        <f>IFERROR(__xludf.DUMMYFUNCTION("""COMPUTED_VALUE"""),72.0)</f>
        <v>72</v>
      </c>
      <c r="F1091" s="19" t="str">
        <f>IFERROR(__xludf.DUMMYFUNCTION("""COMPUTED_VALUE"""),"BLUE")</f>
        <v>BLUE</v>
      </c>
      <c r="G1091" s="20" t="str">
        <f>IFERROR(__xludf.DUMMYFUNCTION("""COMPUTED_VALUE"""),"Uncle Sams Cider (04/04/2023)")</f>
        <v>Uncle Sams Cider (04/04/2023)</v>
      </c>
      <c r="H1091" s="19"/>
    </row>
    <row r="1092">
      <c r="A1092" s="9"/>
      <c r="B1092" s="15"/>
      <c r="C1092" s="9">
        <f>IFERROR(__xludf.DUMMYFUNCTION("""COMPUTED_VALUE"""),45133.2033730439)</f>
        <v>45133.20337</v>
      </c>
      <c r="D1092" s="15">
        <f>IFERROR(__xludf.DUMMYFUNCTION("""COMPUTED_VALUE"""),0.998)</f>
        <v>0.998</v>
      </c>
      <c r="E1092" s="16">
        <f>IFERROR(__xludf.DUMMYFUNCTION("""COMPUTED_VALUE"""),72.0)</f>
        <v>72</v>
      </c>
      <c r="F1092" s="19" t="str">
        <f>IFERROR(__xludf.DUMMYFUNCTION("""COMPUTED_VALUE"""),"BLUE")</f>
        <v>BLUE</v>
      </c>
      <c r="G1092" s="20" t="str">
        <f>IFERROR(__xludf.DUMMYFUNCTION("""COMPUTED_VALUE"""),"Uncle Sams Cider (04/04/2023)")</f>
        <v>Uncle Sams Cider (04/04/2023)</v>
      </c>
      <c r="H1092" s="19"/>
    </row>
    <row r="1093">
      <c r="A1093" s="9"/>
      <c r="B1093" s="15"/>
      <c r="C1093" s="9">
        <f>IFERROR(__xludf.DUMMYFUNCTION("""COMPUTED_VALUE"""),45133.1929534027)</f>
        <v>45133.19295</v>
      </c>
      <c r="D1093" s="15">
        <f>IFERROR(__xludf.DUMMYFUNCTION("""COMPUTED_VALUE"""),0.998)</f>
        <v>0.998</v>
      </c>
      <c r="E1093" s="16">
        <f>IFERROR(__xludf.DUMMYFUNCTION("""COMPUTED_VALUE"""),72.0)</f>
        <v>72</v>
      </c>
      <c r="F1093" s="19" t="str">
        <f>IFERROR(__xludf.DUMMYFUNCTION("""COMPUTED_VALUE"""),"BLUE")</f>
        <v>BLUE</v>
      </c>
      <c r="G1093" s="20" t="str">
        <f>IFERROR(__xludf.DUMMYFUNCTION("""COMPUTED_VALUE"""),"Uncle Sams Cider (04/04/2023)")</f>
        <v>Uncle Sams Cider (04/04/2023)</v>
      </c>
      <c r="H1093" s="19"/>
    </row>
    <row r="1094">
      <c r="A1094" s="9"/>
      <c r="B1094" s="15"/>
      <c r="C1094" s="9">
        <f>IFERROR(__xludf.DUMMYFUNCTION("""COMPUTED_VALUE"""),45133.18253125)</f>
        <v>45133.18253</v>
      </c>
      <c r="D1094" s="15">
        <f>IFERROR(__xludf.DUMMYFUNCTION("""COMPUTED_VALUE"""),0.999)</f>
        <v>0.999</v>
      </c>
      <c r="E1094" s="16">
        <f>IFERROR(__xludf.DUMMYFUNCTION("""COMPUTED_VALUE"""),72.0)</f>
        <v>72</v>
      </c>
      <c r="F1094" s="19" t="str">
        <f>IFERROR(__xludf.DUMMYFUNCTION("""COMPUTED_VALUE"""),"BLUE")</f>
        <v>BLUE</v>
      </c>
      <c r="G1094" s="20" t="str">
        <f>IFERROR(__xludf.DUMMYFUNCTION("""COMPUTED_VALUE"""),"Uncle Sams Cider (04/04/2023)")</f>
        <v>Uncle Sams Cider (04/04/2023)</v>
      </c>
      <c r="H1094" s="19"/>
    </row>
    <row r="1095">
      <c r="A1095" s="9"/>
      <c r="B1095" s="15"/>
      <c r="C1095" s="9">
        <f>IFERROR(__xludf.DUMMYFUNCTION("""COMPUTED_VALUE"""),45133.172109699)</f>
        <v>45133.17211</v>
      </c>
      <c r="D1095" s="15">
        <f>IFERROR(__xludf.DUMMYFUNCTION("""COMPUTED_VALUE"""),0.998)</f>
        <v>0.998</v>
      </c>
      <c r="E1095" s="16">
        <f>IFERROR(__xludf.DUMMYFUNCTION("""COMPUTED_VALUE"""),72.0)</f>
        <v>72</v>
      </c>
      <c r="F1095" s="19" t="str">
        <f>IFERROR(__xludf.DUMMYFUNCTION("""COMPUTED_VALUE"""),"BLUE")</f>
        <v>BLUE</v>
      </c>
      <c r="G1095" s="20" t="str">
        <f>IFERROR(__xludf.DUMMYFUNCTION("""COMPUTED_VALUE"""),"Uncle Sams Cider (04/04/2023)")</f>
        <v>Uncle Sams Cider (04/04/2023)</v>
      </c>
      <c r="H1095" s="19"/>
    </row>
    <row r="1096">
      <c r="A1096" s="9"/>
      <c r="B1096" s="15"/>
      <c r="C1096" s="9">
        <f>IFERROR(__xludf.DUMMYFUNCTION("""COMPUTED_VALUE"""),45133.1616881018)</f>
        <v>45133.16169</v>
      </c>
      <c r="D1096" s="15">
        <f>IFERROR(__xludf.DUMMYFUNCTION("""COMPUTED_VALUE"""),0.998)</f>
        <v>0.998</v>
      </c>
      <c r="E1096" s="16">
        <f>IFERROR(__xludf.DUMMYFUNCTION("""COMPUTED_VALUE"""),72.0)</f>
        <v>72</v>
      </c>
      <c r="F1096" s="19" t="str">
        <f>IFERROR(__xludf.DUMMYFUNCTION("""COMPUTED_VALUE"""),"BLUE")</f>
        <v>BLUE</v>
      </c>
      <c r="G1096" s="20" t="str">
        <f>IFERROR(__xludf.DUMMYFUNCTION("""COMPUTED_VALUE"""),"Uncle Sams Cider (04/04/2023)")</f>
        <v>Uncle Sams Cider (04/04/2023)</v>
      </c>
      <c r="H1096" s="19"/>
    </row>
    <row r="1097">
      <c r="A1097" s="9"/>
      <c r="B1097" s="15"/>
      <c r="C1097" s="9">
        <f>IFERROR(__xludf.DUMMYFUNCTION("""COMPUTED_VALUE"""),45133.1512551157)</f>
        <v>45133.15126</v>
      </c>
      <c r="D1097" s="15">
        <f>IFERROR(__xludf.DUMMYFUNCTION("""COMPUTED_VALUE"""),0.999)</f>
        <v>0.999</v>
      </c>
      <c r="E1097" s="16">
        <f>IFERROR(__xludf.DUMMYFUNCTION("""COMPUTED_VALUE"""),72.0)</f>
        <v>72</v>
      </c>
      <c r="F1097" s="19" t="str">
        <f>IFERROR(__xludf.DUMMYFUNCTION("""COMPUTED_VALUE"""),"BLUE")</f>
        <v>BLUE</v>
      </c>
      <c r="G1097" s="20" t="str">
        <f>IFERROR(__xludf.DUMMYFUNCTION("""COMPUTED_VALUE"""),"Uncle Sams Cider (04/04/2023)")</f>
        <v>Uncle Sams Cider (04/04/2023)</v>
      </c>
      <c r="H1097" s="19"/>
    </row>
    <row r="1098">
      <c r="A1098" s="9"/>
      <c r="B1098" s="15"/>
      <c r="C1098" s="9">
        <f>IFERROR(__xludf.DUMMYFUNCTION("""COMPUTED_VALUE"""),45133.1408333333)</f>
        <v>45133.14083</v>
      </c>
      <c r="D1098" s="15">
        <f>IFERROR(__xludf.DUMMYFUNCTION("""COMPUTED_VALUE"""),0.998)</f>
        <v>0.998</v>
      </c>
      <c r="E1098" s="16">
        <f>IFERROR(__xludf.DUMMYFUNCTION("""COMPUTED_VALUE"""),72.0)</f>
        <v>72</v>
      </c>
      <c r="F1098" s="19" t="str">
        <f>IFERROR(__xludf.DUMMYFUNCTION("""COMPUTED_VALUE"""),"BLUE")</f>
        <v>BLUE</v>
      </c>
      <c r="G1098" s="20" t="str">
        <f>IFERROR(__xludf.DUMMYFUNCTION("""COMPUTED_VALUE"""),"Uncle Sams Cider (04/04/2023)")</f>
        <v>Uncle Sams Cider (04/04/2023)</v>
      </c>
      <c r="H1098" s="19"/>
    </row>
    <row r="1099">
      <c r="A1099" s="9"/>
      <c r="B1099" s="15"/>
      <c r="C1099" s="9">
        <f>IFERROR(__xludf.DUMMYFUNCTION("""COMPUTED_VALUE"""),45133.1304127777)</f>
        <v>45133.13041</v>
      </c>
      <c r="D1099" s="15">
        <f>IFERROR(__xludf.DUMMYFUNCTION("""COMPUTED_VALUE"""),0.999)</f>
        <v>0.999</v>
      </c>
      <c r="E1099" s="16">
        <f>IFERROR(__xludf.DUMMYFUNCTION("""COMPUTED_VALUE"""),72.0)</f>
        <v>72</v>
      </c>
      <c r="F1099" s="19" t="str">
        <f>IFERROR(__xludf.DUMMYFUNCTION("""COMPUTED_VALUE"""),"BLUE")</f>
        <v>BLUE</v>
      </c>
      <c r="G1099" s="20" t="str">
        <f>IFERROR(__xludf.DUMMYFUNCTION("""COMPUTED_VALUE"""),"Uncle Sams Cider (04/04/2023)")</f>
        <v>Uncle Sams Cider (04/04/2023)</v>
      </c>
      <c r="H1099" s="19"/>
    </row>
    <row r="1100">
      <c r="A1100" s="9"/>
      <c r="B1100" s="15"/>
      <c r="C1100" s="9">
        <f>IFERROR(__xludf.DUMMYFUNCTION("""COMPUTED_VALUE"""),45133.119991412)</f>
        <v>45133.11999</v>
      </c>
      <c r="D1100" s="15">
        <f>IFERROR(__xludf.DUMMYFUNCTION("""COMPUTED_VALUE"""),0.998)</f>
        <v>0.998</v>
      </c>
      <c r="E1100" s="16">
        <f>IFERROR(__xludf.DUMMYFUNCTION("""COMPUTED_VALUE"""),72.0)</f>
        <v>72</v>
      </c>
      <c r="F1100" s="19" t="str">
        <f>IFERROR(__xludf.DUMMYFUNCTION("""COMPUTED_VALUE"""),"BLUE")</f>
        <v>BLUE</v>
      </c>
      <c r="G1100" s="20" t="str">
        <f>IFERROR(__xludf.DUMMYFUNCTION("""COMPUTED_VALUE"""),"Uncle Sams Cider (04/04/2023)")</f>
        <v>Uncle Sams Cider (04/04/2023)</v>
      </c>
      <c r="H1100" s="19"/>
    </row>
    <row r="1101">
      <c r="A1101" s="9"/>
      <c r="B1101" s="15"/>
      <c r="C1101" s="9">
        <f>IFERROR(__xludf.DUMMYFUNCTION("""COMPUTED_VALUE"""),45133.1095703125)</f>
        <v>45133.10957</v>
      </c>
      <c r="D1101" s="15">
        <f>IFERROR(__xludf.DUMMYFUNCTION("""COMPUTED_VALUE"""),0.999)</f>
        <v>0.999</v>
      </c>
      <c r="E1101" s="16">
        <f>IFERROR(__xludf.DUMMYFUNCTION("""COMPUTED_VALUE"""),72.0)</f>
        <v>72</v>
      </c>
      <c r="F1101" s="19" t="str">
        <f>IFERROR(__xludf.DUMMYFUNCTION("""COMPUTED_VALUE"""),"BLUE")</f>
        <v>BLUE</v>
      </c>
      <c r="G1101" s="20" t="str">
        <f>IFERROR(__xludf.DUMMYFUNCTION("""COMPUTED_VALUE"""),"Uncle Sams Cider (04/04/2023)")</f>
        <v>Uncle Sams Cider (04/04/2023)</v>
      </c>
      <c r="H1101" s="19"/>
    </row>
    <row r="1102">
      <c r="A1102" s="9"/>
      <c r="B1102" s="15"/>
      <c r="C1102" s="9">
        <f>IFERROR(__xludf.DUMMYFUNCTION("""COMPUTED_VALUE"""),45133.0991470138)</f>
        <v>45133.09915</v>
      </c>
      <c r="D1102" s="15">
        <f>IFERROR(__xludf.DUMMYFUNCTION("""COMPUTED_VALUE"""),0.999)</f>
        <v>0.999</v>
      </c>
      <c r="E1102" s="16">
        <f>IFERROR(__xludf.DUMMYFUNCTION("""COMPUTED_VALUE"""),72.0)</f>
        <v>72</v>
      </c>
      <c r="F1102" s="19" t="str">
        <f>IFERROR(__xludf.DUMMYFUNCTION("""COMPUTED_VALUE"""),"BLUE")</f>
        <v>BLUE</v>
      </c>
      <c r="G1102" s="20" t="str">
        <f>IFERROR(__xludf.DUMMYFUNCTION("""COMPUTED_VALUE"""),"Uncle Sams Cider (04/04/2023)")</f>
        <v>Uncle Sams Cider (04/04/2023)</v>
      </c>
      <c r="H1102" s="19"/>
    </row>
    <row r="1103">
      <c r="A1103" s="9"/>
      <c r="B1103" s="15"/>
      <c r="C1103" s="9">
        <f>IFERROR(__xludf.DUMMYFUNCTION("""COMPUTED_VALUE"""),45133.0887014583)</f>
        <v>45133.0887</v>
      </c>
      <c r="D1103" s="15">
        <f>IFERROR(__xludf.DUMMYFUNCTION("""COMPUTED_VALUE"""),0.999)</f>
        <v>0.999</v>
      </c>
      <c r="E1103" s="16">
        <f>IFERROR(__xludf.DUMMYFUNCTION("""COMPUTED_VALUE"""),72.0)</f>
        <v>72</v>
      </c>
      <c r="F1103" s="19" t="str">
        <f>IFERROR(__xludf.DUMMYFUNCTION("""COMPUTED_VALUE"""),"BLUE")</f>
        <v>BLUE</v>
      </c>
      <c r="G1103" s="20" t="str">
        <f>IFERROR(__xludf.DUMMYFUNCTION("""COMPUTED_VALUE"""),"Uncle Sams Cider (04/04/2023)")</f>
        <v>Uncle Sams Cider (04/04/2023)</v>
      </c>
      <c r="H1103" s="19"/>
    </row>
    <row r="1104">
      <c r="A1104" s="9"/>
      <c r="B1104" s="15"/>
      <c r="C1104" s="9">
        <f>IFERROR(__xludf.DUMMYFUNCTION("""COMPUTED_VALUE"""),45133.0782692708)</f>
        <v>45133.07827</v>
      </c>
      <c r="D1104" s="15">
        <f>IFERROR(__xludf.DUMMYFUNCTION("""COMPUTED_VALUE"""),0.998)</f>
        <v>0.998</v>
      </c>
      <c r="E1104" s="16">
        <f>IFERROR(__xludf.DUMMYFUNCTION("""COMPUTED_VALUE"""),72.0)</f>
        <v>72</v>
      </c>
      <c r="F1104" s="19" t="str">
        <f>IFERROR(__xludf.DUMMYFUNCTION("""COMPUTED_VALUE"""),"BLUE")</f>
        <v>BLUE</v>
      </c>
      <c r="G1104" s="20" t="str">
        <f>IFERROR(__xludf.DUMMYFUNCTION("""COMPUTED_VALUE"""),"Uncle Sams Cider (04/04/2023)")</f>
        <v>Uncle Sams Cider (04/04/2023)</v>
      </c>
      <c r="H1104" s="19"/>
    </row>
    <row r="1105">
      <c r="A1105" s="9"/>
      <c r="B1105" s="15"/>
      <c r="C1105" s="9">
        <f>IFERROR(__xludf.DUMMYFUNCTION("""COMPUTED_VALUE"""),45133.0678481597)</f>
        <v>45133.06785</v>
      </c>
      <c r="D1105" s="15">
        <f>IFERROR(__xludf.DUMMYFUNCTION("""COMPUTED_VALUE"""),0.998)</f>
        <v>0.998</v>
      </c>
      <c r="E1105" s="16">
        <f>IFERROR(__xludf.DUMMYFUNCTION("""COMPUTED_VALUE"""),72.0)</f>
        <v>72</v>
      </c>
      <c r="F1105" s="19" t="str">
        <f>IFERROR(__xludf.DUMMYFUNCTION("""COMPUTED_VALUE"""),"BLUE")</f>
        <v>BLUE</v>
      </c>
      <c r="G1105" s="20" t="str">
        <f>IFERROR(__xludf.DUMMYFUNCTION("""COMPUTED_VALUE"""),"Uncle Sams Cider (04/04/2023)")</f>
        <v>Uncle Sams Cider (04/04/2023)</v>
      </c>
      <c r="H1105" s="19"/>
    </row>
    <row r="1106">
      <c r="A1106" s="9"/>
      <c r="B1106" s="15"/>
      <c r="C1106" s="9">
        <f>IFERROR(__xludf.DUMMYFUNCTION("""COMPUTED_VALUE"""),45133.0574269213)</f>
        <v>45133.05743</v>
      </c>
      <c r="D1106" s="15">
        <f>IFERROR(__xludf.DUMMYFUNCTION("""COMPUTED_VALUE"""),0.999)</f>
        <v>0.999</v>
      </c>
      <c r="E1106" s="16">
        <f>IFERROR(__xludf.DUMMYFUNCTION("""COMPUTED_VALUE"""),72.0)</f>
        <v>72</v>
      </c>
      <c r="F1106" s="19" t="str">
        <f>IFERROR(__xludf.DUMMYFUNCTION("""COMPUTED_VALUE"""),"BLUE")</f>
        <v>BLUE</v>
      </c>
      <c r="G1106" s="20" t="str">
        <f>IFERROR(__xludf.DUMMYFUNCTION("""COMPUTED_VALUE"""),"Uncle Sams Cider (04/04/2023)")</f>
        <v>Uncle Sams Cider (04/04/2023)</v>
      </c>
      <c r="H1106" s="19"/>
    </row>
    <row r="1107">
      <c r="A1107" s="9"/>
      <c r="B1107" s="15"/>
      <c r="C1107" s="9">
        <f>IFERROR(__xludf.DUMMYFUNCTION("""COMPUTED_VALUE"""),45133.046994456)</f>
        <v>45133.04699</v>
      </c>
      <c r="D1107" s="15">
        <f>IFERROR(__xludf.DUMMYFUNCTION("""COMPUTED_VALUE"""),0.998)</f>
        <v>0.998</v>
      </c>
      <c r="E1107" s="16">
        <f>IFERROR(__xludf.DUMMYFUNCTION("""COMPUTED_VALUE"""),72.0)</f>
        <v>72</v>
      </c>
      <c r="F1107" s="19" t="str">
        <f>IFERROR(__xludf.DUMMYFUNCTION("""COMPUTED_VALUE"""),"BLUE")</f>
        <v>BLUE</v>
      </c>
      <c r="G1107" s="20" t="str">
        <f>IFERROR(__xludf.DUMMYFUNCTION("""COMPUTED_VALUE"""),"Uncle Sams Cider (04/04/2023)")</f>
        <v>Uncle Sams Cider (04/04/2023)</v>
      </c>
      <c r="H1107" s="19"/>
    </row>
    <row r="1108">
      <c r="A1108" s="9"/>
      <c r="B1108" s="15"/>
      <c r="C1108" s="9">
        <f>IFERROR(__xludf.DUMMYFUNCTION("""COMPUTED_VALUE"""),45133.0365737615)</f>
        <v>45133.03657</v>
      </c>
      <c r="D1108" s="15">
        <f>IFERROR(__xludf.DUMMYFUNCTION("""COMPUTED_VALUE"""),0.998)</f>
        <v>0.998</v>
      </c>
      <c r="E1108" s="16">
        <f>IFERROR(__xludf.DUMMYFUNCTION("""COMPUTED_VALUE"""),72.0)</f>
        <v>72</v>
      </c>
      <c r="F1108" s="19" t="str">
        <f>IFERROR(__xludf.DUMMYFUNCTION("""COMPUTED_VALUE"""),"BLUE")</f>
        <v>BLUE</v>
      </c>
      <c r="G1108" s="20" t="str">
        <f>IFERROR(__xludf.DUMMYFUNCTION("""COMPUTED_VALUE"""),"Uncle Sams Cider (04/04/2023)")</f>
        <v>Uncle Sams Cider (04/04/2023)</v>
      </c>
      <c r="H1108" s="19"/>
    </row>
    <row r="1109">
      <c r="A1109" s="9"/>
      <c r="B1109" s="15"/>
      <c r="C1109" s="9">
        <f>IFERROR(__xludf.DUMMYFUNCTION("""COMPUTED_VALUE"""),45133.0261530671)</f>
        <v>45133.02615</v>
      </c>
      <c r="D1109" s="15">
        <f>IFERROR(__xludf.DUMMYFUNCTION("""COMPUTED_VALUE"""),0.999)</f>
        <v>0.999</v>
      </c>
      <c r="E1109" s="16">
        <f>IFERROR(__xludf.DUMMYFUNCTION("""COMPUTED_VALUE"""),72.0)</f>
        <v>72</v>
      </c>
      <c r="F1109" s="19" t="str">
        <f>IFERROR(__xludf.DUMMYFUNCTION("""COMPUTED_VALUE"""),"BLUE")</f>
        <v>BLUE</v>
      </c>
      <c r="G1109" s="20" t="str">
        <f>IFERROR(__xludf.DUMMYFUNCTION("""COMPUTED_VALUE"""),"Uncle Sams Cider (04/04/2023)")</f>
        <v>Uncle Sams Cider (04/04/2023)</v>
      </c>
      <c r="H1109" s="19"/>
    </row>
    <row r="1110">
      <c r="A1110" s="9"/>
      <c r="B1110" s="15"/>
      <c r="C1110" s="9">
        <f>IFERROR(__xludf.DUMMYFUNCTION("""COMPUTED_VALUE"""),45133.0157201851)</f>
        <v>45133.01572</v>
      </c>
      <c r="D1110" s="15">
        <f>IFERROR(__xludf.DUMMYFUNCTION("""COMPUTED_VALUE"""),0.999)</f>
        <v>0.999</v>
      </c>
      <c r="E1110" s="16">
        <f>IFERROR(__xludf.DUMMYFUNCTION("""COMPUTED_VALUE"""),72.0)</f>
        <v>72</v>
      </c>
      <c r="F1110" s="19" t="str">
        <f>IFERROR(__xludf.DUMMYFUNCTION("""COMPUTED_VALUE"""),"BLUE")</f>
        <v>BLUE</v>
      </c>
      <c r="G1110" s="20" t="str">
        <f>IFERROR(__xludf.DUMMYFUNCTION("""COMPUTED_VALUE"""),"Uncle Sams Cider (04/04/2023)")</f>
        <v>Uncle Sams Cider (04/04/2023)</v>
      </c>
      <c r="H1110" s="19"/>
    </row>
    <row r="1111">
      <c r="A1111" s="9"/>
      <c r="B1111" s="15"/>
      <c r="C1111" s="9">
        <f>IFERROR(__xludf.DUMMYFUNCTION("""COMPUTED_VALUE"""),45133.0052989467)</f>
        <v>45133.0053</v>
      </c>
      <c r="D1111" s="15">
        <f>IFERROR(__xludf.DUMMYFUNCTION("""COMPUTED_VALUE"""),0.998)</f>
        <v>0.998</v>
      </c>
      <c r="E1111" s="16">
        <f>IFERROR(__xludf.DUMMYFUNCTION("""COMPUTED_VALUE"""),72.0)</f>
        <v>72</v>
      </c>
      <c r="F1111" s="19" t="str">
        <f>IFERROR(__xludf.DUMMYFUNCTION("""COMPUTED_VALUE"""),"BLUE")</f>
        <v>BLUE</v>
      </c>
      <c r="G1111" s="20" t="str">
        <f>IFERROR(__xludf.DUMMYFUNCTION("""COMPUTED_VALUE"""),"Uncle Sams Cider (04/04/2023)")</f>
        <v>Uncle Sams Cider (04/04/2023)</v>
      </c>
      <c r="H1111" s="19"/>
    </row>
    <row r="1112">
      <c r="A1112" s="9"/>
      <c r="B1112" s="15"/>
      <c r="C1112" s="9">
        <f>IFERROR(__xludf.DUMMYFUNCTION("""COMPUTED_VALUE"""),45132.9948545949)</f>
        <v>45132.99485</v>
      </c>
      <c r="D1112" s="15">
        <f>IFERROR(__xludf.DUMMYFUNCTION("""COMPUTED_VALUE"""),0.998)</f>
        <v>0.998</v>
      </c>
      <c r="E1112" s="16">
        <f>IFERROR(__xludf.DUMMYFUNCTION("""COMPUTED_VALUE"""),72.0)</f>
        <v>72</v>
      </c>
      <c r="F1112" s="19" t="str">
        <f>IFERROR(__xludf.DUMMYFUNCTION("""COMPUTED_VALUE"""),"BLUE")</f>
        <v>BLUE</v>
      </c>
      <c r="G1112" s="20" t="str">
        <f>IFERROR(__xludf.DUMMYFUNCTION("""COMPUTED_VALUE"""),"Uncle Sams Cider (04/04/2023)")</f>
        <v>Uncle Sams Cider (04/04/2023)</v>
      </c>
      <c r="H1112" s="19"/>
    </row>
    <row r="1113">
      <c r="A1113" s="9"/>
      <c r="B1113" s="15"/>
      <c r="C1113" s="9">
        <f>IFERROR(__xludf.DUMMYFUNCTION("""COMPUTED_VALUE"""),45132.9844335532)</f>
        <v>45132.98443</v>
      </c>
      <c r="D1113" s="15">
        <f>IFERROR(__xludf.DUMMYFUNCTION("""COMPUTED_VALUE"""),0.998)</f>
        <v>0.998</v>
      </c>
      <c r="E1113" s="16">
        <f>IFERROR(__xludf.DUMMYFUNCTION("""COMPUTED_VALUE"""),72.0)</f>
        <v>72</v>
      </c>
      <c r="F1113" s="19" t="str">
        <f>IFERROR(__xludf.DUMMYFUNCTION("""COMPUTED_VALUE"""),"BLUE")</f>
        <v>BLUE</v>
      </c>
      <c r="G1113" s="20" t="str">
        <f>IFERROR(__xludf.DUMMYFUNCTION("""COMPUTED_VALUE"""),"Uncle Sams Cider (04/04/2023)")</f>
        <v>Uncle Sams Cider (04/04/2023)</v>
      </c>
      <c r="H1113" s="19"/>
    </row>
    <row r="1114">
      <c r="A1114" s="9"/>
      <c r="B1114" s="15"/>
      <c r="C1114" s="9">
        <f>IFERROR(__xludf.DUMMYFUNCTION("""COMPUTED_VALUE"""),45132.9740126273)</f>
        <v>45132.97401</v>
      </c>
      <c r="D1114" s="15">
        <f>IFERROR(__xludf.DUMMYFUNCTION("""COMPUTED_VALUE"""),0.998)</f>
        <v>0.998</v>
      </c>
      <c r="E1114" s="16">
        <f>IFERROR(__xludf.DUMMYFUNCTION("""COMPUTED_VALUE"""),72.0)</f>
        <v>72</v>
      </c>
      <c r="F1114" s="19" t="str">
        <f>IFERROR(__xludf.DUMMYFUNCTION("""COMPUTED_VALUE"""),"BLUE")</f>
        <v>BLUE</v>
      </c>
      <c r="G1114" s="20" t="str">
        <f>IFERROR(__xludf.DUMMYFUNCTION("""COMPUTED_VALUE"""),"Uncle Sams Cider (04/04/2023)")</f>
        <v>Uncle Sams Cider (04/04/2023)</v>
      </c>
      <c r="H1114" s="19"/>
    </row>
    <row r="1115">
      <c r="A1115" s="9"/>
      <c r="B1115" s="15"/>
      <c r="C1115" s="9">
        <f>IFERROR(__xludf.DUMMYFUNCTION("""COMPUTED_VALUE"""),45132.9635912731)</f>
        <v>45132.96359</v>
      </c>
      <c r="D1115" s="15">
        <f>IFERROR(__xludf.DUMMYFUNCTION("""COMPUTED_VALUE"""),0.998)</f>
        <v>0.998</v>
      </c>
      <c r="E1115" s="16">
        <f>IFERROR(__xludf.DUMMYFUNCTION("""COMPUTED_VALUE"""),72.0)</f>
        <v>72</v>
      </c>
      <c r="F1115" s="19" t="str">
        <f>IFERROR(__xludf.DUMMYFUNCTION("""COMPUTED_VALUE"""),"BLUE")</f>
        <v>BLUE</v>
      </c>
      <c r="G1115" s="20" t="str">
        <f>IFERROR(__xludf.DUMMYFUNCTION("""COMPUTED_VALUE"""),"Uncle Sams Cider (04/04/2023)")</f>
        <v>Uncle Sams Cider (04/04/2023)</v>
      </c>
      <c r="H1115" s="19"/>
    </row>
    <row r="1116">
      <c r="A1116" s="9"/>
      <c r="B1116" s="15"/>
      <c r="C1116" s="9">
        <f>IFERROR(__xludf.DUMMYFUNCTION("""COMPUTED_VALUE"""),45132.9531712152)</f>
        <v>45132.95317</v>
      </c>
      <c r="D1116" s="15">
        <f>IFERROR(__xludf.DUMMYFUNCTION("""COMPUTED_VALUE"""),0.999)</f>
        <v>0.999</v>
      </c>
      <c r="E1116" s="16">
        <f>IFERROR(__xludf.DUMMYFUNCTION("""COMPUTED_VALUE"""),72.0)</f>
        <v>72</v>
      </c>
      <c r="F1116" s="19" t="str">
        <f>IFERROR(__xludf.DUMMYFUNCTION("""COMPUTED_VALUE"""),"BLUE")</f>
        <v>BLUE</v>
      </c>
      <c r="G1116" s="20" t="str">
        <f>IFERROR(__xludf.DUMMYFUNCTION("""COMPUTED_VALUE"""),"Uncle Sams Cider (04/04/2023)")</f>
        <v>Uncle Sams Cider (04/04/2023)</v>
      </c>
      <c r="H1116" s="19"/>
    </row>
    <row r="1117">
      <c r="A1117" s="9"/>
      <c r="B1117" s="15"/>
      <c r="C1117" s="9">
        <f>IFERROR(__xludf.DUMMYFUNCTION("""COMPUTED_VALUE"""),45132.9427505208)</f>
        <v>45132.94275</v>
      </c>
      <c r="D1117" s="15">
        <f>IFERROR(__xludf.DUMMYFUNCTION("""COMPUTED_VALUE"""),0.998)</f>
        <v>0.998</v>
      </c>
      <c r="E1117" s="16">
        <f>IFERROR(__xludf.DUMMYFUNCTION("""COMPUTED_VALUE"""),72.0)</f>
        <v>72</v>
      </c>
      <c r="F1117" s="19" t="str">
        <f>IFERROR(__xludf.DUMMYFUNCTION("""COMPUTED_VALUE"""),"BLUE")</f>
        <v>BLUE</v>
      </c>
      <c r="G1117" s="20" t="str">
        <f>IFERROR(__xludf.DUMMYFUNCTION("""COMPUTED_VALUE"""),"Uncle Sams Cider (04/04/2023)")</f>
        <v>Uncle Sams Cider (04/04/2023)</v>
      </c>
      <c r="H1117" s="19"/>
    </row>
    <row r="1118">
      <c r="A1118" s="9"/>
      <c r="B1118" s="15"/>
      <c r="C1118" s="9">
        <f>IFERROR(__xludf.DUMMYFUNCTION("""COMPUTED_VALUE"""),45132.9323281712)</f>
        <v>45132.93233</v>
      </c>
      <c r="D1118" s="15">
        <f>IFERROR(__xludf.DUMMYFUNCTION("""COMPUTED_VALUE"""),0.999)</f>
        <v>0.999</v>
      </c>
      <c r="E1118" s="16">
        <f>IFERROR(__xludf.DUMMYFUNCTION("""COMPUTED_VALUE"""),72.0)</f>
        <v>72</v>
      </c>
      <c r="F1118" s="19" t="str">
        <f>IFERROR(__xludf.DUMMYFUNCTION("""COMPUTED_VALUE"""),"BLUE")</f>
        <v>BLUE</v>
      </c>
      <c r="G1118" s="20" t="str">
        <f>IFERROR(__xludf.DUMMYFUNCTION("""COMPUTED_VALUE"""),"Uncle Sams Cider (04/04/2023)")</f>
        <v>Uncle Sams Cider (04/04/2023)</v>
      </c>
      <c r="H1118" s="19"/>
    </row>
    <row r="1119">
      <c r="A1119" s="9"/>
      <c r="B1119" s="15"/>
      <c r="C1119" s="9">
        <f>IFERROR(__xludf.DUMMYFUNCTION("""COMPUTED_VALUE"""),45132.9219076504)</f>
        <v>45132.92191</v>
      </c>
      <c r="D1119" s="15">
        <f>IFERROR(__xludf.DUMMYFUNCTION("""COMPUTED_VALUE"""),0.998)</f>
        <v>0.998</v>
      </c>
      <c r="E1119" s="16">
        <f>IFERROR(__xludf.DUMMYFUNCTION("""COMPUTED_VALUE"""),72.0)</f>
        <v>72</v>
      </c>
      <c r="F1119" s="19" t="str">
        <f>IFERROR(__xludf.DUMMYFUNCTION("""COMPUTED_VALUE"""),"BLUE")</f>
        <v>BLUE</v>
      </c>
      <c r="G1119" s="20" t="str">
        <f>IFERROR(__xludf.DUMMYFUNCTION("""COMPUTED_VALUE"""),"Uncle Sams Cider (04/04/2023)")</f>
        <v>Uncle Sams Cider (04/04/2023)</v>
      </c>
      <c r="H1119" s="19"/>
    </row>
    <row r="1120">
      <c r="A1120" s="9"/>
      <c r="B1120" s="15"/>
      <c r="C1120" s="9">
        <f>IFERROR(__xludf.DUMMYFUNCTION("""COMPUTED_VALUE"""),45132.9114880671)</f>
        <v>45132.91149</v>
      </c>
      <c r="D1120" s="15">
        <f>IFERROR(__xludf.DUMMYFUNCTION("""COMPUTED_VALUE"""),0.999)</f>
        <v>0.999</v>
      </c>
      <c r="E1120" s="16">
        <f>IFERROR(__xludf.DUMMYFUNCTION("""COMPUTED_VALUE"""),72.0)</f>
        <v>72</v>
      </c>
      <c r="F1120" s="19" t="str">
        <f>IFERROR(__xludf.DUMMYFUNCTION("""COMPUTED_VALUE"""),"BLUE")</f>
        <v>BLUE</v>
      </c>
      <c r="G1120" s="20" t="str">
        <f>IFERROR(__xludf.DUMMYFUNCTION("""COMPUTED_VALUE"""),"Uncle Sams Cider (04/04/2023)")</f>
        <v>Uncle Sams Cider (04/04/2023)</v>
      </c>
      <c r="H1120" s="19"/>
    </row>
    <row r="1121">
      <c r="A1121" s="9"/>
      <c r="B1121" s="15"/>
      <c r="C1121" s="9">
        <f>IFERROR(__xludf.DUMMYFUNCTION("""COMPUTED_VALUE"""),45132.9010554745)</f>
        <v>45132.90106</v>
      </c>
      <c r="D1121" s="15">
        <f>IFERROR(__xludf.DUMMYFUNCTION("""COMPUTED_VALUE"""),0.998)</f>
        <v>0.998</v>
      </c>
      <c r="E1121" s="16">
        <f>IFERROR(__xludf.DUMMYFUNCTION("""COMPUTED_VALUE"""),72.0)</f>
        <v>72</v>
      </c>
      <c r="F1121" s="19" t="str">
        <f>IFERROR(__xludf.DUMMYFUNCTION("""COMPUTED_VALUE"""),"BLUE")</f>
        <v>BLUE</v>
      </c>
      <c r="G1121" s="20" t="str">
        <f>IFERROR(__xludf.DUMMYFUNCTION("""COMPUTED_VALUE"""),"Uncle Sams Cider (04/04/2023)")</f>
        <v>Uncle Sams Cider (04/04/2023)</v>
      </c>
      <c r="H1121" s="19"/>
    </row>
    <row r="1122">
      <c r="A1122" s="9"/>
      <c r="B1122" s="15"/>
      <c r="C1122" s="9">
        <f>IFERROR(__xludf.DUMMYFUNCTION("""COMPUTED_VALUE"""),45132.8906245601)</f>
        <v>45132.89062</v>
      </c>
      <c r="D1122" s="15">
        <f>IFERROR(__xludf.DUMMYFUNCTION("""COMPUTED_VALUE"""),0.999)</f>
        <v>0.999</v>
      </c>
      <c r="E1122" s="16">
        <f>IFERROR(__xludf.DUMMYFUNCTION("""COMPUTED_VALUE"""),72.0)</f>
        <v>72</v>
      </c>
      <c r="F1122" s="19" t="str">
        <f>IFERROR(__xludf.DUMMYFUNCTION("""COMPUTED_VALUE"""),"BLUE")</f>
        <v>BLUE</v>
      </c>
      <c r="G1122" s="20" t="str">
        <f>IFERROR(__xludf.DUMMYFUNCTION("""COMPUTED_VALUE"""),"Uncle Sams Cider (04/04/2023)")</f>
        <v>Uncle Sams Cider (04/04/2023)</v>
      </c>
      <c r="H1122" s="19"/>
    </row>
    <row r="1123">
      <c r="A1123" s="9"/>
      <c r="B1123" s="15"/>
      <c r="C1123" s="9">
        <f>IFERROR(__xludf.DUMMYFUNCTION("""COMPUTED_VALUE"""),45132.8802027083)</f>
        <v>45132.8802</v>
      </c>
      <c r="D1123" s="15">
        <f>IFERROR(__xludf.DUMMYFUNCTION("""COMPUTED_VALUE"""),0.998)</f>
        <v>0.998</v>
      </c>
      <c r="E1123" s="16">
        <f>IFERROR(__xludf.DUMMYFUNCTION("""COMPUTED_VALUE"""),72.0)</f>
        <v>72</v>
      </c>
      <c r="F1123" s="19" t="str">
        <f>IFERROR(__xludf.DUMMYFUNCTION("""COMPUTED_VALUE"""),"BLUE")</f>
        <v>BLUE</v>
      </c>
      <c r="G1123" s="20" t="str">
        <f>IFERROR(__xludf.DUMMYFUNCTION("""COMPUTED_VALUE"""),"Uncle Sams Cider (04/04/2023)")</f>
        <v>Uncle Sams Cider (04/04/2023)</v>
      </c>
      <c r="H1123" s="19"/>
    </row>
    <row r="1124">
      <c r="A1124" s="9"/>
      <c r="B1124" s="15"/>
      <c r="C1124" s="9">
        <f>IFERROR(__xludf.DUMMYFUNCTION("""COMPUTED_VALUE"""),45132.8697804629)</f>
        <v>45132.86978</v>
      </c>
      <c r="D1124" s="15">
        <f>IFERROR(__xludf.DUMMYFUNCTION("""COMPUTED_VALUE"""),0.998)</f>
        <v>0.998</v>
      </c>
      <c r="E1124" s="16">
        <f>IFERROR(__xludf.DUMMYFUNCTION("""COMPUTED_VALUE"""),72.0)</f>
        <v>72</v>
      </c>
      <c r="F1124" s="19" t="str">
        <f>IFERROR(__xludf.DUMMYFUNCTION("""COMPUTED_VALUE"""),"BLUE")</f>
        <v>BLUE</v>
      </c>
      <c r="G1124" s="20" t="str">
        <f>IFERROR(__xludf.DUMMYFUNCTION("""COMPUTED_VALUE"""),"Uncle Sams Cider (04/04/2023)")</f>
        <v>Uncle Sams Cider (04/04/2023)</v>
      </c>
      <c r="H1124" s="19"/>
    </row>
    <row r="1125">
      <c r="A1125" s="9"/>
      <c r="B1125" s="15"/>
      <c r="C1125" s="9">
        <f>IFERROR(__xludf.DUMMYFUNCTION("""COMPUTED_VALUE"""),45132.8593595254)</f>
        <v>45132.85936</v>
      </c>
      <c r="D1125" s="15">
        <f>IFERROR(__xludf.DUMMYFUNCTION("""COMPUTED_VALUE"""),0.998)</f>
        <v>0.998</v>
      </c>
      <c r="E1125" s="16">
        <f>IFERROR(__xludf.DUMMYFUNCTION("""COMPUTED_VALUE"""),72.0)</f>
        <v>72</v>
      </c>
      <c r="F1125" s="19" t="str">
        <f>IFERROR(__xludf.DUMMYFUNCTION("""COMPUTED_VALUE"""),"BLUE")</f>
        <v>BLUE</v>
      </c>
      <c r="G1125" s="20" t="str">
        <f>IFERROR(__xludf.DUMMYFUNCTION("""COMPUTED_VALUE"""),"Uncle Sams Cider (04/04/2023)")</f>
        <v>Uncle Sams Cider (04/04/2023)</v>
      </c>
      <c r="H1125" s="19"/>
    </row>
    <row r="1126">
      <c r="A1126" s="9"/>
      <c r="B1126" s="15"/>
      <c r="C1126" s="9">
        <f>IFERROR(__xludf.DUMMYFUNCTION("""COMPUTED_VALUE"""),45132.8489380671)</f>
        <v>45132.84894</v>
      </c>
      <c r="D1126" s="15">
        <f>IFERROR(__xludf.DUMMYFUNCTION("""COMPUTED_VALUE"""),0.998)</f>
        <v>0.998</v>
      </c>
      <c r="E1126" s="16">
        <f>IFERROR(__xludf.DUMMYFUNCTION("""COMPUTED_VALUE"""),71.0)</f>
        <v>71</v>
      </c>
      <c r="F1126" s="19" t="str">
        <f>IFERROR(__xludf.DUMMYFUNCTION("""COMPUTED_VALUE"""),"BLUE")</f>
        <v>BLUE</v>
      </c>
      <c r="G1126" s="20" t="str">
        <f>IFERROR(__xludf.DUMMYFUNCTION("""COMPUTED_VALUE"""),"Uncle Sams Cider (04/04/2023)")</f>
        <v>Uncle Sams Cider (04/04/2023)</v>
      </c>
      <c r="H1126" s="19"/>
    </row>
    <row r="1127">
      <c r="A1127" s="9"/>
      <c r="B1127" s="15"/>
      <c r="C1127" s="9">
        <f>IFERROR(__xludf.DUMMYFUNCTION("""COMPUTED_VALUE"""),45132.8385048148)</f>
        <v>45132.8385</v>
      </c>
      <c r="D1127" s="15">
        <f>IFERROR(__xludf.DUMMYFUNCTION("""COMPUTED_VALUE"""),0.999)</f>
        <v>0.999</v>
      </c>
      <c r="E1127" s="16">
        <f>IFERROR(__xludf.DUMMYFUNCTION("""COMPUTED_VALUE"""),72.0)</f>
        <v>72</v>
      </c>
      <c r="F1127" s="19" t="str">
        <f>IFERROR(__xludf.DUMMYFUNCTION("""COMPUTED_VALUE"""),"BLUE")</f>
        <v>BLUE</v>
      </c>
      <c r="G1127" s="20" t="str">
        <f>IFERROR(__xludf.DUMMYFUNCTION("""COMPUTED_VALUE"""),"Uncle Sams Cider (04/04/2023)")</f>
        <v>Uncle Sams Cider (04/04/2023)</v>
      </c>
      <c r="H1127" s="19"/>
    </row>
    <row r="1128">
      <c r="A1128" s="9"/>
      <c r="B1128" s="15"/>
      <c r="C1128" s="9">
        <f>IFERROR(__xludf.DUMMYFUNCTION("""COMPUTED_VALUE"""),45132.828082905)</f>
        <v>45132.82808</v>
      </c>
      <c r="D1128" s="15">
        <f>IFERROR(__xludf.DUMMYFUNCTION("""COMPUTED_VALUE"""),0.999)</f>
        <v>0.999</v>
      </c>
      <c r="E1128" s="16">
        <f>IFERROR(__xludf.DUMMYFUNCTION("""COMPUTED_VALUE"""),72.0)</f>
        <v>72</v>
      </c>
      <c r="F1128" s="19" t="str">
        <f>IFERROR(__xludf.DUMMYFUNCTION("""COMPUTED_VALUE"""),"BLUE")</f>
        <v>BLUE</v>
      </c>
      <c r="G1128" s="20" t="str">
        <f>IFERROR(__xludf.DUMMYFUNCTION("""COMPUTED_VALUE"""),"Uncle Sams Cider (04/04/2023)")</f>
        <v>Uncle Sams Cider (04/04/2023)</v>
      </c>
      <c r="H1128" s="19"/>
    </row>
    <row r="1129">
      <c r="A1129" s="9"/>
      <c r="B1129" s="15"/>
      <c r="C1129" s="9">
        <f>IFERROR(__xludf.DUMMYFUNCTION("""COMPUTED_VALUE"""),45132.8176502199)</f>
        <v>45132.81765</v>
      </c>
      <c r="D1129" s="15">
        <f>IFERROR(__xludf.DUMMYFUNCTION("""COMPUTED_VALUE"""),0.999)</f>
        <v>0.999</v>
      </c>
      <c r="E1129" s="16">
        <f>IFERROR(__xludf.DUMMYFUNCTION("""COMPUTED_VALUE"""),72.0)</f>
        <v>72</v>
      </c>
      <c r="F1129" s="19" t="str">
        <f>IFERROR(__xludf.DUMMYFUNCTION("""COMPUTED_VALUE"""),"BLUE")</f>
        <v>BLUE</v>
      </c>
      <c r="G1129" s="20" t="str">
        <f>IFERROR(__xludf.DUMMYFUNCTION("""COMPUTED_VALUE"""),"Uncle Sams Cider (04/04/2023)")</f>
        <v>Uncle Sams Cider (04/04/2023)</v>
      </c>
      <c r="H1129" s="19"/>
    </row>
    <row r="1130">
      <c r="A1130" s="9"/>
      <c r="B1130" s="15"/>
      <c r="C1130" s="9">
        <f>IFERROR(__xludf.DUMMYFUNCTION("""COMPUTED_VALUE"""),45132.8072282175)</f>
        <v>45132.80723</v>
      </c>
      <c r="D1130" s="15">
        <f>IFERROR(__xludf.DUMMYFUNCTION("""COMPUTED_VALUE"""),0.999)</f>
        <v>0.999</v>
      </c>
      <c r="E1130" s="16">
        <f>IFERROR(__xludf.DUMMYFUNCTION("""COMPUTED_VALUE"""),72.0)</f>
        <v>72</v>
      </c>
      <c r="F1130" s="19" t="str">
        <f>IFERROR(__xludf.DUMMYFUNCTION("""COMPUTED_VALUE"""),"BLUE")</f>
        <v>BLUE</v>
      </c>
      <c r="G1130" s="20" t="str">
        <f>IFERROR(__xludf.DUMMYFUNCTION("""COMPUTED_VALUE"""),"Uncle Sams Cider (04/04/2023)")</f>
        <v>Uncle Sams Cider (04/04/2023)</v>
      </c>
      <c r="H1130" s="19"/>
    </row>
    <row r="1131">
      <c r="A1131" s="9"/>
      <c r="B1131" s="15"/>
      <c r="C1131" s="9">
        <f>IFERROR(__xludf.DUMMYFUNCTION("""COMPUTED_VALUE"""),45132.7967952314)</f>
        <v>45132.7968</v>
      </c>
      <c r="D1131" s="15">
        <f>IFERROR(__xludf.DUMMYFUNCTION("""COMPUTED_VALUE"""),0.999)</f>
        <v>0.999</v>
      </c>
      <c r="E1131" s="16">
        <f>IFERROR(__xludf.DUMMYFUNCTION("""COMPUTED_VALUE"""),72.0)</f>
        <v>72</v>
      </c>
      <c r="F1131" s="19" t="str">
        <f>IFERROR(__xludf.DUMMYFUNCTION("""COMPUTED_VALUE"""),"BLUE")</f>
        <v>BLUE</v>
      </c>
      <c r="G1131" s="20" t="str">
        <f>IFERROR(__xludf.DUMMYFUNCTION("""COMPUTED_VALUE"""),"Uncle Sams Cider (04/04/2023)")</f>
        <v>Uncle Sams Cider (04/04/2023)</v>
      </c>
      <c r="H1131" s="19"/>
    </row>
    <row r="1132">
      <c r="A1132" s="9"/>
      <c r="B1132" s="15"/>
      <c r="C1132" s="9">
        <f>IFERROR(__xludf.DUMMYFUNCTION("""COMPUTED_VALUE"""),45132.7863725231)</f>
        <v>45132.78637</v>
      </c>
      <c r="D1132" s="15">
        <f>IFERROR(__xludf.DUMMYFUNCTION("""COMPUTED_VALUE"""),0.998)</f>
        <v>0.998</v>
      </c>
      <c r="E1132" s="16">
        <f>IFERROR(__xludf.DUMMYFUNCTION("""COMPUTED_VALUE"""),72.0)</f>
        <v>72</v>
      </c>
      <c r="F1132" s="19" t="str">
        <f>IFERROR(__xludf.DUMMYFUNCTION("""COMPUTED_VALUE"""),"BLUE")</f>
        <v>BLUE</v>
      </c>
      <c r="G1132" s="20" t="str">
        <f>IFERROR(__xludf.DUMMYFUNCTION("""COMPUTED_VALUE"""),"Uncle Sams Cider (04/04/2023)")</f>
        <v>Uncle Sams Cider (04/04/2023)</v>
      </c>
      <c r="H1132" s="19"/>
    </row>
    <row r="1133">
      <c r="A1133" s="9"/>
      <c r="B1133" s="15"/>
      <c r="C1133" s="9">
        <f>IFERROR(__xludf.DUMMYFUNCTION("""COMPUTED_VALUE"""),45132.7759405324)</f>
        <v>45132.77594</v>
      </c>
      <c r="D1133" s="15">
        <f>IFERROR(__xludf.DUMMYFUNCTION("""COMPUTED_VALUE"""),0.999)</f>
        <v>0.999</v>
      </c>
      <c r="E1133" s="16">
        <f>IFERROR(__xludf.DUMMYFUNCTION("""COMPUTED_VALUE"""),72.0)</f>
        <v>72</v>
      </c>
      <c r="F1133" s="19" t="str">
        <f>IFERROR(__xludf.DUMMYFUNCTION("""COMPUTED_VALUE"""),"BLUE")</f>
        <v>BLUE</v>
      </c>
      <c r="G1133" s="20" t="str">
        <f>IFERROR(__xludf.DUMMYFUNCTION("""COMPUTED_VALUE"""),"Uncle Sams Cider (04/04/2023)")</f>
        <v>Uncle Sams Cider (04/04/2023)</v>
      </c>
      <c r="H1133" s="19"/>
    </row>
    <row r="1134">
      <c r="A1134" s="9"/>
      <c r="B1134" s="15"/>
      <c r="C1134" s="9">
        <f>IFERROR(__xludf.DUMMYFUNCTION("""COMPUTED_VALUE"""),45132.7655187152)</f>
        <v>45132.76552</v>
      </c>
      <c r="D1134" s="15">
        <f>IFERROR(__xludf.DUMMYFUNCTION("""COMPUTED_VALUE"""),0.999)</f>
        <v>0.999</v>
      </c>
      <c r="E1134" s="16">
        <f>IFERROR(__xludf.DUMMYFUNCTION("""COMPUTED_VALUE"""),72.0)</f>
        <v>72</v>
      </c>
      <c r="F1134" s="19" t="str">
        <f>IFERROR(__xludf.DUMMYFUNCTION("""COMPUTED_VALUE"""),"BLUE")</f>
        <v>BLUE</v>
      </c>
      <c r="G1134" s="20" t="str">
        <f>IFERROR(__xludf.DUMMYFUNCTION("""COMPUTED_VALUE"""),"Uncle Sams Cider (04/04/2023)")</f>
        <v>Uncle Sams Cider (04/04/2023)</v>
      </c>
      <c r="H1134" s="19"/>
    </row>
    <row r="1135">
      <c r="A1135" s="9"/>
      <c r="B1135" s="15"/>
      <c r="C1135" s="9">
        <f>IFERROR(__xludf.DUMMYFUNCTION("""COMPUTED_VALUE"""),45132.7550982986)</f>
        <v>45132.7551</v>
      </c>
      <c r="D1135" s="15">
        <f>IFERROR(__xludf.DUMMYFUNCTION("""COMPUTED_VALUE"""),0.998)</f>
        <v>0.998</v>
      </c>
      <c r="E1135" s="16">
        <f>IFERROR(__xludf.DUMMYFUNCTION("""COMPUTED_VALUE"""),71.0)</f>
        <v>71</v>
      </c>
      <c r="F1135" s="19" t="str">
        <f>IFERROR(__xludf.DUMMYFUNCTION("""COMPUTED_VALUE"""),"BLUE")</f>
        <v>BLUE</v>
      </c>
      <c r="G1135" s="20" t="str">
        <f>IFERROR(__xludf.DUMMYFUNCTION("""COMPUTED_VALUE"""),"Uncle Sams Cider (04/04/2023)")</f>
        <v>Uncle Sams Cider (04/04/2023)</v>
      </c>
      <c r="H1135" s="19"/>
    </row>
    <row r="1136">
      <c r="A1136" s="9"/>
      <c r="B1136" s="15"/>
      <c r="C1136" s="9">
        <f>IFERROR(__xludf.DUMMYFUNCTION("""COMPUTED_VALUE"""),45132.744677199)</f>
        <v>45132.74468</v>
      </c>
      <c r="D1136" s="15">
        <f>IFERROR(__xludf.DUMMYFUNCTION("""COMPUTED_VALUE"""),0.999)</f>
        <v>0.999</v>
      </c>
      <c r="E1136" s="16">
        <f>IFERROR(__xludf.DUMMYFUNCTION("""COMPUTED_VALUE"""),72.0)</f>
        <v>72</v>
      </c>
      <c r="F1136" s="19" t="str">
        <f>IFERROR(__xludf.DUMMYFUNCTION("""COMPUTED_VALUE"""),"BLUE")</f>
        <v>BLUE</v>
      </c>
      <c r="G1136" s="20" t="str">
        <f>IFERROR(__xludf.DUMMYFUNCTION("""COMPUTED_VALUE"""),"Uncle Sams Cider (04/04/2023)")</f>
        <v>Uncle Sams Cider (04/04/2023)</v>
      </c>
      <c r="H1136" s="19"/>
    </row>
    <row r="1137">
      <c r="A1137" s="9"/>
      <c r="B1137" s="15"/>
      <c r="C1137" s="9">
        <f>IFERROR(__xludf.DUMMYFUNCTION("""COMPUTED_VALUE"""),45132.7342553472)</f>
        <v>45132.73426</v>
      </c>
      <c r="D1137" s="15">
        <f>IFERROR(__xludf.DUMMYFUNCTION("""COMPUTED_VALUE"""),0.998)</f>
        <v>0.998</v>
      </c>
      <c r="E1137" s="16">
        <f>IFERROR(__xludf.DUMMYFUNCTION("""COMPUTED_VALUE"""),72.0)</f>
        <v>72</v>
      </c>
      <c r="F1137" s="19" t="str">
        <f>IFERROR(__xludf.DUMMYFUNCTION("""COMPUTED_VALUE"""),"BLUE")</f>
        <v>BLUE</v>
      </c>
      <c r="G1137" s="20" t="str">
        <f>IFERROR(__xludf.DUMMYFUNCTION("""COMPUTED_VALUE"""),"Uncle Sams Cider (04/04/2023)")</f>
        <v>Uncle Sams Cider (04/04/2023)</v>
      </c>
      <c r="H1137" s="19"/>
    </row>
    <row r="1138">
      <c r="A1138" s="9"/>
      <c r="B1138" s="15"/>
      <c r="C1138" s="9">
        <f>IFERROR(__xludf.DUMMYFUNCTION("""COMPUTED_VALUE"""),45132.7238353935)</f>
        <v>45132.72384</v>
      </c>
      <c r="D1138" s="15">
        <f>IFERROR(__xludf.DUMMYFUNCTION("""COMPUTED_VALUE"""),0.999)</f>
        <v>0.999</v>
      </c>
      <c r="E1138" s="16">
        <f>IFERROR(__xludf.DUMMYFUNCTION("""COMPUTED_VALUE"""),72.0)</f>
        <v>72</v>
      </c>
      <c r="F1138" s="19" t="str">
        <f>IFERROR(__xludf.DUMMYFUNCTION("""COMPUTED_VALUE"""),"BLUE")</f>
        <v>BLUE</v>
      </c>
      <c r="G1138" s="20" t="str">
        <f>IFERROR(__xludf.DUMMYFUNCTION("""COMPUTED_VALUE"""),"Uncle Sams Cider (04/04/2023)")</f>
        <v>Uncle Sams Cider (04/04/2023)</v>
      </c>
      <c r="H1138" s="19"/>
    </row>
    <row r="1139">
      <c r="A1139" s="9"/>
      <c r="B1139" s="15"/>
      <c r="C1139" s="9">
        <f>IFERROR(__xludf.DUMMYFUNCTION("""COMPUTED_VALUE"""),45132.7134129629)</f>
        <v>45132.71341</v>
      </c>
      <c r="D1139" s="15">
        <f>IFERROR(__xludf.DUMMYFUNCTION("""COMPUTED_VALUE"""),0.998)</f>
        <v>0.998</v>
      </c>
      <c r="E1139" s="16">
        <f>IFERROR(__xludf.DUMMYFUNCTION("""COMPUTED_VALUE"""),72.0)</f>
        <v>72</v>
      </c>
      <c r="F1139" s="19" t="str">
        <f>IFERROR(__xludf.DUMMYFUNCTION("""COMPUTED_VALUE"""),"BLUE")</f>
        <v>BLUE</v>
      </c>
      <c r="G1139" s="20" t="str">
        <f>IFERROR(__xludf.DUMMYFUNCTION("""COMPUTED_VALUE"""),"Uncle Sams Cider (04/04/2023)")</f>
        <v>Uncle Sams Cider (04/04/2023)</v>
      </c>
      <c r="H1139" s="19"/>
    </row>
    <row r="1140">
      <c r="A1140" s="9"/>
      <c r="B1140" s="15"/>
      <c r="C1140" s="9">
        <f>IFERROR(__xludf.DUMMYFUNCTION("""COMPUTED_VALUE"""),45132.7029923263)</f>
        <v>45132.70299</v>
      </c>
      <c r="D1140" s="15">
        <f>IFERROR(__xludf.DUMMYFUNCTION("""COMPUTED_VALUE"""),0.998)</f>
        <v>0.998</v>
      </c>
      <c r="E1140" s="16">
        <f>IFERROR(__xludf.DUMMYFUNCTION("""COMPUTED_VALUE"""),72.0)</f>
        <v>72</v>
      </c>
      <c r="F1140" s="19" t="str">
        <f>IFERROR(__xludf.DUMMYFUNCTION("""COMPUTED_VALUE"""),"BLUE")</f>
        <v>BLUE</v>
      </c>
      <c r="G1140" s="20" t="str">
        <f>IFERROR(__xludf.DUMMYFUNCTION("""COMPUTED_VALUE"""),"Uncle Sams Cider (04/04/2023)")</f>
        <v>Uncle Sams Cider (04/04/2023)</v>
      </c>
      <c r="H1140" s="19"/>
    </row>
    <row r="1141">
      <c r="A1141" s="9"/>
      <c r="B1141" s="15"/>
      <c r="C1141" s="9">
        <f>IFERROR(__xludf.DUMMYFUNCTION("""COMPUTED_VALUE"""),45132.692560243)</f>
        <v>45132.69256</v>
      </c>
      <c r="D1141" s="15">
        <f>IFERROR(__xludf.DUMMYFUNCTION("""COMPUTED_VALUE"""),0.999)</f>
        <v>0.999</v>
      </c>
      <c r="E1141" s="16">
        <f>IFERROR(__xludf.DUMMYFUNCTION("""COMPUTED_VALUE"""),72.0)</f>
        <v>72</v>
      </c>
      <c r="F1141" s="19" t="str">
        <f>IFERROR(__xludf.DUMMYFUNCTION("""COMPUTED_VALUE"""),"BLUE")</f>
        <v>BLUE</v>
      </c>
      <c r="G1141" s="20" t="str">
        <f>IFERROR(__xludf.DUMMYFUNCTION("""COMPUTED_VALUE"""),"Uncle Sams Cider (04/04/2023)")</f>
        <v>Uncle Sams Cider (04/04/2023)</v>
      </c>
      <c r="H1141" s="19"/>
    </row>
    <row r="1142">
      <c r="A1142" s="9"/>
      <c r="B1142" s="15"/>
      <c r="C1142" s="9">
        <f>IFERROR(__xludf.DUMMYFUNCTION("""COMPUTED_VALUE"""),45132.6821279282)</f>
        <v>45132.68213</v>
      </c>
      <c r="D1142" s="15">
        <f>IFERROR(__xludf.DUMMYFUNCTION("""COMPUTED_VALUE"""),0.998)</f>
        <v>0.998</v>
      </c>
      <c r="E1142" s="16">
        <f>IFERROR(__xludf.DUMMYFUNCTION("""COMPUTED_VALUE"""),72.0)</f>
        <v>72</v>
      </c>
      <c r="F1142" s="19" t="str">
        <f>IFERROR(__xludf.DUMMYFUNCTION("""COMPUTED_VALUE"""),"BLUE")</f>
        <v>BLUE</v>
      </c>
      <c r="G1142" s="20" t="str">
        <f>IFERROR(__xludf.DUMMYFUNCTION("""COMPUTED_VALUE"""),"Uncle Sams Cider (04/04/2023)")</f>
        <v>Uncle Sams Cider (04/04/2023)</v>
      </c>
      <c r="H1142" s="19"/>
    </row>
    <row r="1143">
      <c r="A1143" s="9"/>
      <c r="B1143" s="15"/>
      <c r="C1143" s="9">
        <f>IFERROR(__xludf.DUMMYFUNCTION("""COMPUTED_VALUE"""),45132.6717065162)</f>
        <v>45132.67171</v>
      </c>
      <c r="D1143" s="15">
        <f>IFERROR(__xludf.DUMMYFUNCTION("""COMPUTED_VALUE"""),0.998)</f>
        <v>0.998</v>
      </c>
      <c r="E1143" s="16">
        <f>IFERROR(__xludf.DUMMYFUNCTION("""COMPUTED_VALUE"""),72.0)</f>
        <v>72</v>
      </c>
      <c r="F1143" s="19" t="str">
        <f>IFERROR(__xludf.DUMMYFUNCTION("""COMPUTED_VALUE"""),"BLUE")</f>
        <v>BLUE</v>
      </c>
      <c r="G1143" s="20" t="str">
        <f>IFERROR(__xludf.DUMMYFUNCTION("""COMPUTED_VALUE"""),"Uncle Sams Cider (04/04/2023)")</f>
        <v>Uncle Sams Cider (04/04/2023)</v>
      </c>
      <c r="H1143" s="19"/>
    </row>
    <row r="1144">
      <c r="A1144" s="9"/>
      <c r="B1144" s="15"/>
      <c r="C1144" s="9">
        <f>IFERROR(__xludf.DUMMYFUNCTION("""COMPUTED_VALUE"""),45132.6612852893)</f>
        <v>45132.66129</v>
      </c>
      <c r="D1144" s="15">
        <f>IFERROR(__xludf.DUMMYFUNCTION("""COMPUTED_VALUE"""),0.998)</f>
        <v>0.998</v>
      </c>
      <c r="E1144" s="16">
        <f>IFERROR(__xludf.DUMMYFUNCTION("""COMPUTED_VALUE"""),72.0)</f>
        <v>72</v>
      </c>
      <c r="F1144" s="19" t="str">
        <f>IFERROR(__xludf.DUMMYFUNCTION("""COMPUTED_VALUE"""),"BLUE")</f>
        <v>BLUE</v>
      </c>
      <c r="G1144" s="20" t="str">
        <f>IFERROR(__xludf.DUMMYFUNCTION("""COMPUTED_VALUE"""),"Uncle Sams Cider (04/04/2023)")</f>
        <v>Uncle Sams Cider (04/04/2023)</v>
      </c>
      <c r="H1144" s="19"/>
    </row>
    <row r="1145">
      <c r="A1145" s="9"/>
      <c r="B1145" s="15"/>
      <c r="C1145" s="9">
        <f>IFERROR(__xludf.DUMMYFUNCTION("""COMPUTED_VALUE"""),45132.6508662037)</f>
        <v>45132.65087</v>
      </c>
      <c r="D1145" s="15">
        <f>IFERROR(__xludf.DUMMYFUNCTION("""COMPUTED_VALUE"""),0.999)</f>
        <v>0.999</v>
      </c>
      <c r="E1145" s="16">
        <f>IFERROR(__xludf.DUMMYFUNCTION("""COMPUTED_VALUE"""),72.0)</f>
        <v>72</v>
      </c>
      <c r="F1145" s="19" t="str">
        <f>IFERROR(__xludf.DUMMYFUNCTION("""COMPUTED_VALUE"""),"BLUE")</f>
        <v>BLUE</v>
      </c>
      <c r="G1145" s="20" t="str">
        <f>IFERROR(__xludf.DUMMYFUNCTION("""COMPUTED_VALUE"""),"Uncle Sams Cider (04/04/2023)")</f>
        <v>Uncle Sams Cider (04/04/2023)</v>
      </c>
      <c r="H1145" s="19"/>
    </row>
    <row r="1146">
      <c r="A1146" s="9"/>
      <c r="B1146" s="15"/>
      <c r="C1146" s="9">
        <f>IFERROR(__xludf.DUMMYFUNCTION("""COMPUTED_VALUE"""),45132.6404443171)</f>
        <v>45132.64044</v>
      </c>
      <c r="D1146" s="15">
        <f>IFERROR(__xludf.DUMMYFUNCTION("""COMPUTED_VALUE"""),0.998)</f>
        <v>0.998</v>
      </c>
      <c r="E1146" s="16">
        <f>IFERROR(__xludf.DUMMYFUNCTION("""COMPUTED_VALUE"""),72.0)</f>
        <v>72</v>
      </c>
      <c r="F1146" s="19" t="str">
        <f>IFERROR(__xludf.DUMMYFUNCTION("""COMPUTED_VALUE"""),"BLUE")</f>
        <v>BLUE</v>
      </c>
      <c r="G1146" s="20" t="str">
        <f>IFERROR(__xludf.DUMMYFUNCTION("""COMPUTED_VALUE"""),"Uncle Sams Cider (04/04/2023)")</f>
        <v>Uncle Sams Cider (04/04/2023)</v>
      </c>
      <c r="H1146" s="19"/>
    </row>
    <row r="1147">
      <c r="A1147" s="9"/>
      <c r="B1147" s="15"/>
      <c r="C1147" s="9">
        <f>IFERROR(__xludf.DUMMYFUNCTION("""COMPUTED_VALUE"""),45132.6300212615)</f>
        <v>45132.63002</v>
      </c>
      <c r="D1147" s="15">
        <f>IFERROR(__xludf.DUMMYFUNCTION("""COMPUTED_VALUE"""),0.998)</f>
        <v>0.998</v>
      </c>
      <c r="E1147" s="16">
        <f>IFERROR(__xludf.DUMMYFUNCTION("""COMPUTED_VALUE"""),72.0)</f>
        <v>72</v>
      </c>
      <c r="F1147" s="19" t="str">
        <f>IFERROR(__xludf.DUMMYFUNCTION("""COMPUTED_VALUE"""),"BLUE")</f>
        <v>BLUE</v>
      </c>
      <c r="G1147" s="20" t="str">
        <f>IFERROR(__xludf.DUMMYFUNCTION("""COMPUTED_VALUE"""),"Uncle Sams Cider (04/04/2023)")</f>
        <v>Uncle Sams Cider (04/04/2023)</v>
      </c>
      <c r="H1147" s="19"/>
    </row>
    <row r="1148">
      <c r="A1148" s="9"/>
      <c r="B1148" s="15"/>
      <c r="C1148" s="9">
        <f>IFERROR(__xludf.DUMMYFUNCTION("""COMPUTED_VALUE"""),45132.619598449)</f>
        <v>45132.6196</v>
      </c>
      <c r="D1148" s="15">
        <f>IFERROR(__xludf.DUMMYFUNCTION("""COMPUTED_VALUE"""),0.998)</f>
        <v>0.998</v>
      </c>
      <c r="E1148" s="16">
        <f>IFERROR(__xludf.DUMMYFUNCTION("""COMPUTED_VALUE"""),72.0)</f>
        <v>72</v>
      </c>
      <c r="F1148" s="19" t="str">
        <f>IFERROR(__xludf.DUMMYFUNCTION("""COMPUTED_VALUE"""),"BLUE")</f>
        <v>BLUE</v>
      </c>
      <c r="G1148" s="20" t="str">
        <f>IFERROR(__xludf.DUMMYFUNCTION("""COMPUTED_VALUE"""),"Uncle Sams Cider (04/04/2023)")</f>
        <v>Uncle Sams Cider (04/04/2023)</v>
      </c>
      <c r="H1148" s="19"/>
    </row>
    <row r="1149">
      <c r="A1149" s="9"/>
      <c r="B1149" s="15"/>
      <c r="C1149" s="9">
        <f>IFERROR(__xludf.DUMMYFUNCTION("""COMPUTED_VALUE"""),45132.6091771064)</f>
        <v>45132.60918</v>
      </c>
      <c r="D1149" s="15">
        <f>IFERROR(__xludf.DUMMYFUNCTION("""COMPUTED_VALUE"""),0.999)</f>
        <v>0.999</v>
      </c>
      <c r="E1149" s="16">
        <f>IFERROR(__xludf.DUMMYFUNCTION("""COMPUTED_VALUE"""),72.0)</f>
        <v>72</v>
      </c>
      <c r="F1149" s="19" t="str">
        <f>IFERROR(__xludf.DUMMYFUNCTION("""COMPUTED_VALUE"""),"BLUE")</f>
        <v>BLUE</v>
      </c>
      <c r="G1149" s="20" t="str">
        <f>IFERROR(__xludf.DUMMYFUNCTION("""COMPUTED_VALUE"""),"Uncle Sams Cider (04/04/2023)")</f>
        <v>Uncle Sams Cider (04/04/2023)</v>
      </c>
      <c r="H1149" s="19"/>
    </row>
    <row r="1150">
      <c r="A1150" s="9"/>
      <c r="B1150" s="15"/>
      <c r="C1150" s="9">
        <f>IFERROR(__xludf.DUMMYFUNCTION("""COMPUTED_VALUE"""),45132.5987555324)</f>
        <v>45132.59876</v>
      </c>
      <c r="D1150" s="15">
        <f>IFERROR(__xludf.DUMMYFUNCTION("""COMPUTED_VALUE"""),0.998)</f>
        <v>0.998</v>
      </c>
      <c r="E1150" s="16">
        <f>IFERROR(__xludf.DUMMYFUNCTION("""COMPUTED_VALUE"""),72.0)</f>
        <v>72</v>
      </c>
      <c r="F1150" s="19" t="str">
        <f>IFERROR(__xludf.DUMMYFUNCTION("""COMPUTED_VALUE"""),"BLUE")</f>
        <v>BLUE</v>
      </c>
      <c r="G1150" s="20" t="str">
        <f>IFERROR(__xludf.DUMMYFUNCTION("""COMPUTED_VALUE"""),"Uncle Sams Cider (04/04/2023)")</f>
        <v>Uncle Sams Cider (04/04/2023)</v>
      </c>
      <c r="H1150" s="19"/>
    </row>
    <row r="1151">
      <c r="A1151" s="9"/>
      <c r="B1151" s="15"/>
      <c r="C1151" s="9">
        <f>IFERROR(__xludf.DUMMYFUNCTION("""COMPUTED_VALUE"""),45132.588331956)</f>
        <v>45132.58833</v>
      </c>
      <c r="D1151" s="15">
        <f>IFERROR(__xludf.DUMMYFUNCTION("""COMPUTED_VALUE"""),0.998)</f>
        <v>0.998</v>
      </c>
      <c r="E1151" s="16">
        <f>IFERROR(__xludf.DUMMYFUNCTION("""COMPUTED_VALUE"""),72.0)</f>
        <v>72</v>
      </c>
      <c r="F1151" s="19" t="str">
        <f>IFERROR(__xludf.DUMMYFUNCTION("""COMPUTED_VALUE"""),"BLUE")</f>
        <v>BLUE</v>
      </c>
      <c r="G1151" s="20" t="str">
        <f>IFERROR(__xludf.DUMMYFUNCTION("""COMPUTED_VALUE"""),"Uncle Sams Cider (04/04/2023)")</f>
        <v>Uncle Sams Cider (04/04/2023)</v>
      </c>
      <c r="H1151" s="19"/>
    </row>
    <row r="1152">
      <c r="A1152" s="9"/>
      <c r="B1152" s="15"/>
      <c r="C1152" s="9">
        <f>IFERROR(__xludf.DUMMYFUNCTION("""COMPUTED_VALUE"""),45132.5779109953)</f>
        <v>45132.57791</v>
      </c>
      <c r="D1152" s="15">
        <f>IFERROR(__xludf.DUMMYFUNCTION("""COMPUTED_VALUE"""),0.998)</f>
        <v>0.998</v>
      </c>
      <c r="E1152" s="16">
        <f>IFERROR(__xludf.DUMMYFUNCTION("""COMPUTED_VALUE"""),71.0)</f>
        <v>71</v>
      </c>
      <c r="F1152" s="19" t="str">
        <f>IFERROR(__xludf.DUMMYFUNCTION("""COMPUTED_VALUE"""),"BLUE")</f>
        <v>BLUE</v>
      </c>
      <c r="G1152" s="20" t="str">
        <f>IFERROR(__xludf.DUMMYFUNCTION("""COMPUTED_VALUE"""),"Uncle Sams Cider (04/04/2023)")</f>
        <v>Uncle Sams Cider (04/04/2023)</v>
      </c>
      <c r="H1152" s="19"/>
    </row>
    <row r="1153">
      <c r="A1153" s="9"/>
      <c r="B1153" s="15"/>
      <c r="C1153" s="9">
        <f>IFERROR(__xludf.DUMMYFUNCTION("""COMPUTED_VALUE"""),45132.5674895717)</f>
        <v>45132.56749</v>
      </c>
      <c r="D1153" s="15">
        <f>IFERROR(__xludf.DUMMYFUNCTION("""COMPUTED_VALUE"""),0.998)</f>
        <v>0.998</v>
      </c>
      <c r="E1153" s="16">
        <f>IFERROR(__xludf.DUMMYFUNCTION("""COMPUTED_VALUE"""),72.0)</f>
        <v>72</v>
      </c>
      <c r="F1153" s="19" t="str">
        <f>IFERROR(__xludf.DUMMYFUNCTION("""COMPUTED_VALUE"""),"BLUE")</f>
        <v>BLUE</v>
      </c>
      <c r="G1153" s="20" t="str">
        <f>IFERROR(__xludf.DUMMYFUNCTION("""COMPUTED_VALUE"""),"Uncle Sams Cider (04/04/2023)")</f>
        <v>Uncle Sams Cider (04/04/2023)</v>
      </c>
      <c r="H1153" s="19"/>
    </row>
    <row r="1154">
      <c r="A1154" s="9"/>
      <c r="B1154" s="15"/>
      <c r="C1154" s="9">
        <f>IFERROR(__xludf.DUMMYFUNCTION("""COMPUTED_VALUE"""),45132.5570587847)</f>
        <v>45132.55706</v>
      </c>
      <c r="D1154" s="15">
        <f>IFERROR(__xludf.DUMMYFUNCTION("""COMPUTED_VALUE"""),0.998)</f>
        <v>0.998</v>
      </c>
      <c r="E1154" s="16">
        <f>IFERROR(__xludf.DUMMYFUNCTION("""COMPUTED_VALUE"""),72.0)</f>
        <v>72</v>
      </c>
      <c r="F1154" s="19" t="str">
        <f>IFERROR(__xludf.DUMMYFUNCTION("""COMPUTED_VALUE"""),"BLUE")</f>
        <v>BLUE</v>
      </c>
      <c r="G1154" s="20" t="str">
        <f>IFERROR(__xludf.DUMMYFUNCTION("""COMPUTED_VALUE"""),"Uncle Sams Cider (04/04/2023)")</f>
        <v>Uncle Sams Cider (04/04/2023)</v>
      </c>
      <c r="H1154" s="19"/>
    </row>
    <row r="1155">
      <c r="A1155" s="9"/>
      <c r="B1155" s="15"/>
      <c r="C1155" s="9">
        <f>IFERROR(__xludf.DUMMYFUNCTION("""COMPUTED_VALUE"""),45132.546637581)</f>
        <v>45132.54664</v>
      </c>
      <c r="D1155" s="15">
        <f>IFERROR(__xludf.DUMMYFUNCTION("""COMPUTED_VALUE"""),0.998)</f>
        <v>0.998</v>
      </c>
      <c r="E1155" s="16">
        <f>IFERROR(__xludf.DUMMYFUNCTION("""COMPUTED_VALUE"""),71.0)</f>
        <v>71</v>
      </c>
      <c r="F1155" s="19" t="str">
        <f>IFERROR(__xludf.DUMMYFUNCTION("""COMPUTED_VALUE"""),"BLUE")</f>
        <v>BLUE</v>
      </c>
      <c r="G1155" s="20" t="str">
        <f>IFERROR(__xludf.DUMMYFUNCTION("""COMPUTED_VALUE"""),"Uncle Sams Cider (04/04/2023)")</f>
        <v>Uncle Sams Cider (04/04/2023)</v>
      </c>
      <c r="H1155" s="19"/>
    </row>
    <row r="1156">
      <c r="A1156" s="9"/>
      <c r="B1156" s="15"/>
      <c r="C1156" s="9">
        <f>IFERROR(__xludf.DUMMYFUNCTION("""COMPUTED_VALUE"""),45132.5361927199)</f>
        <v>45132.53619</v>
      </c>
      <c r="D1156" s="15">
        <f>IFERROR(__xludf.DUMMYFUNCTION("""COMPUTED_VALUE"""),0.998)</f>
        <v>0.998</v>
      </c>
      <c r="E1156" s="16">
        <f>IFERROR(__xludf.DUMMYFUNCTION("""COMPUTED_VALUE"""),72.0)</f>
        <v>72</v>
      </c>
      <c r="F1156" s="19" t="str">
        <f>IFERROR(__xludf.DUMMYFUNCTION("""COMPUTED_VALUE"""),"BLUE")</f>
        <v>BLUE</v>
      </c>
      <c r="G1156" s="20" t="str">
        <f>IFERROR(__xludf.DUMMYFUNCTION("""COMPUTED_VALUE"""),"Uncle Sams Cider (04/04/2023)")</f>
        <v>Uncle Sams Cider (04/04/2023)</v>
      </c>
      <c r="H1156" s="19"/>
    </row>
    <row r="1157">
      <c r="A1157" s="9"/>
      <c r="B1157" s="15"/>
      <c r="C1157" s="9">
        <f>IFERROR(__xludf.DUMMYFUNCTION("""COMPUTED_VALUE"""),45132.5257602546)</f>
        <v>45132.52576</v>
      </c>
      <c r="D1157" s="15">
        <f>IFERROR(__xludf.DUMMYFUNCTION("""COMPUTED_VALUE"""),0.998)</f>
        <v>0.998</v>
      </c>
      <c r="E1157" s="16">
        <f>IFERROR(__xludf.DUMMYFUNCTION("""COMPUTED_VALUE"""),72.0)</f>
        <v>72</v>
      </c>
      <c r="F1157" s="19" t="str">
        <f>IFERROR(__xludf.DUMMYFUNCTION("""COMPUTED_VALUE"""),"BLUE")</f>
        <v>BLUE</v>
      </c>
      <c r="G1157" s="20" t="str">
        <f>IFERROR(__xludf.DUMMYFUNCTION("""COMPUTED_VALUE"""),"Uncle Sams Cider (04/04/2023)")</f>
        <v>Uncle Sams Cider (04/04/2023)</v>
      </c>
      <c r="H1157" s="19"/>
    </row>
    <row r="1158">
      <c r="A1158" s="9"/>
      <c r="B1158" s="15"/>
      <c r="C1158" s="9">
        <f>IFERROR(__xludf.DUMMYFUNCTION("""COMPUTED_VALUE"""),45132.5153394328)</f>
        <v>45132.51534</v>
      </c>
      <c r="D1158" s="15">
        <f>IFERROR(__xludf.DUMMYFUNCTION("""COMPUTED_VALUE"""),0.999)</f>
        <v>0.999</v>
      </c>
      <c r="E1158" s="16">
        <f>IFERROR(__xludf.DUMMYFUNCTION("""COMPUTED_VALUE"""),72.0)</f>
        <v>72</v>
      </c>
      <c r="F1158" s="19" t="str">
        <f>IFERROR(__xludf.DUMMYFUNCTION("""COMPUTED_VALUE"""),"BLUE")</f>
        <v>BLUE</v>
      </c>
      <c r="G1158" s="20" t="str">
        <f>IFERROR(__xludf.DUMMYFUNCTION("""COMPUTED_VALUE"""),"Uncle Sams Cider (04/04/2023)")</f>
        <v>Uncle Sams Cider (04/04/2023)</v>
      </c>
      <c r="H1158" s="19"/>
    </row>
    <row r="1159">
      <c r="A1159" s="9"/>
      <c r="B1159" s="15"/>
      <c r="C1159" s="9">
        <f>IFERROR(__xludf.DUMMYFUNCTION("""COMPUTED_VALUE"""),45132.5048952777)</f>
        <v>45132.5049</v>
      </c>
      <c r="D1159" s="15">
        <f>IFERROR(__xludf.DUMMYFUNCTION("""COMPUTED_VALUE"""),0.998)</f>
        <v>0.998</v>
      </c>
      <c r="E1159" s="16">
        <f>IFERROR(__xludf.DUMMYFUNCTION("""COMPUTED_VALUE"""),72.0)</f>
        <v>72</v>
      </c>
      <c r="F1159" s="19" t="str">
        <f>IFERROR(__xludf.DUMMYFUNCTION("""COMPUTED_VALUE"""),"BLUE")</f>
        <v>BLUE</v>
      </c>
      <c r="G1159" s="20" t="str">
        <f>IFERROR(__xludf.DUMMYFUNCTION("""COMPUTED_VALUE"""),"Uncle Sams Cider (04/04/2023)")</f>
        <v>Uncle Sams Cider (04/04/2023)</v>
      </c>
      <c r="H1159" s="19"/>
    </row>
    <row r="1160">
      <c r="A1160" s="9"/>
      <c r="B1160" s="15"/>
      <c r="C1160" s="9">
        <f>IFERROR(__xludf.DUMMYFUNCTION("""COMPUTED_VALUE"""),45132.494472662)</f>
        <v>45132.49447</v>
      </c>
      <c r="D1160" s="15">
        <f>IFERROR(__xludf.DUMMYFUNCTION("""COMPUTED_VALUE"""),0.998)</f>
        <v>0.998</v>
      </c>
      <c r="E1160" s="16">
        <f>IFERROR(__xludf.DUMMYFUNCTION("""COMPUTED_VALUE"""),72.0)</f>
        <v>72</v>
      </c>
      <c r="F1160" s="19" t="str">
        <f>IFERROR(__xludf.DUMMYFUNCTION("""COMPUTED_VALUE"""),"BLUE")</f>
        <v>BLUE</v>
      </c>
      <c r="G1160" s="20" t="str">
        <f>IFERROR(__xludf.DUMMYFUNCTION("""COMPUTED_VALUE"""),"Uncle Sams Cider (04/04/2023)")</f>
        <v>Uncle Sams Cider (04/04/2023)</v>
      </c>
      <c r="H1160" s="19"/>
    </row>
    <row r="1161">
      <c r="A1161" s="9"/>
      <c r="B1161" s="15"/>
      <c r="C1161" s="9">
        <f>IFERROR(__xludf.DUMMYFUNCTION("""COMPUTED_VALUE"""),45132.4840519675)</f>
        <v>45132.48405</v>
      </c>
      <c r="D1161" s="15">
        <f>IFERROR(__xludf.DUMMYFUNCTION("""COMPUTED_VALUE"""),0.998)</f>
        <v>0.998</v>
      </c>
      <c r="E1161" s="16">
        <f>IFERROR(__xludf.DUMMYFUNCTION("""COMPUTED_VALUE"""),72.0)</f>
        <v>72</v>
      </c>
      <c r="F1161" s="19" t="str">
        <f>IFERROR(__xludf.DUMMYFUNCTION("""COMPUTED_VALUE"""),"BLUE")</f>
        <v>BLUE</v>
      </c>
      <c r="G1161" s="20" t="str">
        <f>IFERROR(__xludf.DUMMYFUNCTION("""COMPUTED_VALUE"""),"Uncle Sams Cider (04/04/2023)")</f>
        <v>Uncle Sams Cider (04/04/2023)</v>
      </c>
      <c r="H1161" s="19"/>
    </row>
    <row r="1162">
      <c r="A1162" s="9"/>
      <c r="B1162" s="15"/>
      <c r="C1162" s="9">
        <f>IFERROR(__xludf.DUMMYFUNCTION("""COMPUTED_VALUE"""),45132.4736210763)</f>
        <v>45132.47362</v>
      </c>
      <c r="D1162" s="15">
        <f>IFERROR(__xludf.DUMMYFUNCTION("""COMPUTED_VALUE"""),0.998)</f>
        <v>0.998</v>
      </c>
      <c r="E1162" s="16">
        <f>IFERROR(__xludf.DUMMYFUNCTION("""COMPUTED_VALUE"""),71.0)</f>
        <v>71</v>
      </c>
      <c r="F1162" s="19" t="str">
        <f>IFERROR(__xludf.DUMMYFUNCTION("""COMPUTED_VALUE"""),"BLUE")</f>
        <v>BLUE</v>
      </c>
      <c r="G1162" s="20" t="str">
        <f>IFERROR(__xludf.DUMMYFUNCTION("""COMPUTED_VALUE"""),"Uncle Sams Cider (04/04/2023)")</f>
        <v>Uncle Sams Cider (04/04/2023)</v>
      </c>
      <c r="H1162" s="19"/>
    </row>
    <row r="1163">
      <c r="A1163" s="9"/>
      <c r="B1163" s="15"/>
      <c r="C1163" s="9">
        <f>IFERROR(__xludf.DUMMYFUNCTION("""COMPUTED_VALUE"""),45132.4632014814)</f>
        <v>45132.4632</v>
      </c>
      <c r="D1163" s="15">
        <f>IFERROR(__xludf.DUMMYFUNCTION("""COMPUTED_VALUE"""),0.998)</f>
        <v>0.998</v>
      </c>
      <c r="E1163" s="16">
        <f>IFERROR(__xludf.DUMMYFUNCTION("""COMPUTED_VALUE"""),72.0)</f>
        <v>72</v>
      </c>
      <c r="F1163" s="19" t="str">
        <f>IFERROR(__xludf.DUMMYFUNCTION("""COMPUTED_VALUE"""),"BLUE")</f>
        <v>BLUE</v>
      </c>
      <c r="G1163" s="20" t="str">
        <f>IFERROR(__xludf.DUMMYFUNCTION("""COMPUTED_VALUE"""),"Uncle Sams Cider (04/04/2023)")</f>
        <v>Uncle Sams Cider (04/04/2023)</v>
      </c>
      <c r="H1163" s="19"/>
    </row>
    <row r="1164">
      <c r="A1164" s="9"/>
      <c r="B1164" s="15"/>
      <c r="C1164" s="9">
        <f>IFERROR(__xludf.DUMMYFUNCTION("""COMPUTED_VALUE"""),45132.4527686805)</f>
        <v>45132.45277</v>
      </c>
      <c r="D1164" s="15">
        <f>IFERROR(__xludf.DUMMYFUNCTION("""COMPUTED_VALUE"""),0.998)</f>
        <v>0.998</v>
      </c>
      <c r="E1164" s="16">
        <f>IFERROR(__xludf.DUMMYFUNCTION("""COMPUTED_VALUE"""),72.0)</f>
        <v>72</v>
      </c>
      <c r="F1164" s="19" t="str">
        <f>IFERROR(__xludf.DUMMYFUNCTION("""COMPUTED_VALUE"""),"BLUE")</f>
        <v>BLUE</v>
      </c>
      <c r="G1164" s="20" t="str">
        <f>IFERROR(__xludf.DUMMYFUNCTION("""COMPUTED_VALUE"""),"Uncle Sams Cider (04/04/2023)")</f>
        <v>Uncle Sams Cider (04/04/2023)</v>
      </c>
      <c r="H1164" s="19"/>
    </row>
    <row r="1165">
      <c r="A1165" s="9"/>
      <c r="B1165" s="15"/>
      <c r="C1165" s="9">
        <f>IFERROR(__xludf.DUMMYFUNCTION("""COMPUTED_VALUE"""),45132.4423483217)</f>
        <v>45132.44235</v>
      </c>
      <c r="D1165" s="15">
        <f>IFERROR(__xludf.DUMMYFUNCTION("""COMPUTED_VALUE"""),0.998)</f>
        <v>0.998</v>
      </c>
      <c r="E1165" s="16">
        <f>IFERROR(__xludf.DUMMYFUNCTION("""COMPUTED_VALUE"""),72.0)</f>
        <v>72</v>
      </c>
      <c r="F1165" s="19" t="str">
        <f>IFERROR(__xludf.DUMMYFUNCTION("""COMPUTED_VALUE"""),"BLUE")</f>
        <v>BLUE</v>
      </c>
      <c r="G1165" s="20" t="str">
        <f>IFERROR(__xludf.DUMMYFUNCTION("""COMPUTED_VALUE"""),"Uncle Sams Cider (04/04/2023)")</f>
        <v>Uncle Sams Cider (04/04/2023)</v>
      </c>
      <c r="H1165" s="19"/>
    </row>
    <row r="1166">
      <c r="A1166" s="9"/>
      <c r="B1166" s="15"/>
      <c r="C1166" s="9">
        <f>IFERROR(__xludf.DUMMYFUNCTION("""COMPUTED_VALUE"""),45132.4319041782)</f>
        <v>45132.4319</v>
      </c>
      <c r="D1166" s="15">
        <f>IFERROR(__xludf.DUMMYFUNCTION("""COMPUTED_VALUE"""),0.998)</f>
        <v>0.998</v>
      </c>
      <c r="E1166" s="16">
        <f>IFERROR(__xludf.DUMMYFUNCTION("""COMPUTED_VALUE"""),72.0)</f>
        <v>72</v>
      </c>
      <c r="F1166" s="19" t="str">
        <f>IFERROR(__xludf.DUMMYFUNCTION("""COMPUTED_VALUE"""),"BLUE")</f>
        <v>BLUE</v>
      </c>
      <c r="G1166" s="20" t="str">
        <f>IFERROR(__xludf.DUMMYFUNCTION("""COMPUTED_VALUE"""),"Uncle Sams Cider (04/04/2023)")</f>
        <v>Uncle Sams Cider (04/04/2023)</v>
      </c>
      <c r="H1166" s="19"/>
    </row>
    <row r="1167">
      <c r="A1167" s="9"/>
      <c r="B1167" s="15"/>
      <c r="C1167" s="9">
        <f>IFERROR(__xludf.DUMMYFUNCTION("""COMPUTED_VALUE"""),45132.4214828125)</f>
        <v>45132.42148</v>
      </c>
      <c r="D1167" s="15">
        <f>IFERROR(__xludf.DUMMYFUNCTION("""COMPUTED_VALUE"""),0.999)</f>
        <v>0.999</v>
      </c>
      <c r="E1167" s="16">
        <f>IFERROR(__xludf.DUMMYFUNCTION("""COMPUTED_VALUE"""),72.0)</f>
        <v>72</v>
      </c>
      <c r="F1167" s="19" t="str">
        <f>IFERROR(__xludf.DUMMYFUNCTION("""COMPUTED_VALUE"""),"BLUE")</f>
        <v>BLUE</v>
      </c>
      <c r="G1167" s="20" t="str">
        <f>IFERROR(__xludf.DUMMYFUNCTION("""COMPUTED_VALUE"""),"Uncle Sams Cider (04/04/2023)")</f>
        <v>Uncle Sams Cider (04/04/2023)</v>
      </c>
      <c r="H1167" s="19"/>
    </row>
    <row r="1168">
      <c r="A1168" s="9"/>
      <c r="B1168" s="15"/>
      <c r="C1168" s="9">
        <f>IFERROR(__xludf.DUMMYFUNCTION("""COMPUTED_VALUE"""),45132.4110622685)</f>
        <v>45132.41106</v>
      </c>
      <c r="D1168" s="15">
        <f>IFERROR(__xludf.DUMMYFUNCTION("""COMPUTED_VALUE"""),0.998)</f>
        <v>0.998</v>
      </c>
      <c r="E1168" s="16">
        <f>IFERROR(__xludf.DUMMYFUNCTION("""COMPUTED_VALUE"""),72.0)</f>
        <v>72</v>
      </c>
      <c r="F1168" s="19" t="str">
        <f>IFERROR(__xludf.DUMMYFUNCTION("""COMPUTED_VALUE"""),"BLUE")</f>
        <v>BLUE</v>
      </c>
      <c r="G1168" s="20" t="str">
        <f>IFERROR(__xludf.DUMMYFUNCTION("""COMPUTED_VALUE"""),"Uncle Sams Cider (04/04/2023)")</f>
        <v>Uncle Sams Cider (04/04/2023)</v>
      </c>
      <c r="H1168" s="19"/>
    </row>
    <row r="1169">
      <c r="A1169" s="9"/>
      <c r="B1169" s="15"/>
      <c r="C1169" s="9">
        <f>IFERROR(__xludf.DUMMYFUNCTION("""COMPUTED_VALUE"""),45132.4006405787)</f>
        <v>45132.40064</v>
      </c>
      <c r="D1169" s="15">
        <f>IFERROR(__xludf.DUMMYFUNCTION("""COMPUTED_VALUE"""),0.999)</f>
        <v>0.999</v>
      </c>
      <c r="E1169" s="16">
        <f>IFERROR(__xludf.DUMMYFUNCTION("""COMPUTED_VALUE"""),72.0)</f>
        <v>72</v>
      </c>
      <c r="F1169" s="19" t="str">
        <f>IFERROR(__xludf.DUMMYFUNCTION("""COMPUTED_VALUE"""),"BLUE")</f>
        <v>BLUE</v>
      </c>
      <c r="G1169" s="20" t="str">
        <f>IFERROR(__xludf.DUMMYFUNCTION("""COMPUTED_VALUE"""),"Uncle Sams Cider (04/04/2023)")</f>
        <v>Uncle Sams Cider (04/04/2023)</v>
      </c>
      <c r="H1169" s="19"/>
    </row>
    <row r="1170">
      <c r="A1170" s="9"/>
      <c r="B1170" s="15"/>
      <c r="C1170" s="9">
        <f>IFERROR(__xludf.DUMMYFUNCTION("""COMPUTED_VALUE"""),45132.3902198842)</f>
        <v>45132.39022</v>
      </c>
      <c r="D1170" s="15">
        <f>IFERROR(__xludf.DUMMYFUNCTION("""COMPUTED_VALUE"""),0.999)</f>
        <v>0.999</v>
      </c>
      <c r="E1170" s="16">
        <f>IFERROR(__xludf.DUMMYFUNCTION("""COMPUTED_VALUE"""),71.0)</f>
        <v>71</v>
      </c>
      <c r="F1170" s="19" t="str">
        <f>IFERROR(__xludf.DUMMYFUNCTION("""COMPUTED_VALUE"""),"BLUE")</f>
        <v>BLUE</v>
      </c>
      <c r="G1170" s="20" t="str">
        <f>IFERROR(__xludf.DUMMYFUNCTION("""COMPUTED_VALUE"""),"Uncle Sams Cider (04/04/2023)")</f>
        <v>Uncle Sams Cider (04/04/2023)</v>
      </c>
      <c r="H1170" s="19"/>
    </row>
    <row r="1171">
      <c r="A1171" s="9"/>
      <c r="B1171" s="15"/>
      <c r="C1171" s="9">
        <f>IFERROR(__xludf.DUMMYFUNCTION("""COMPUTED_VALUE"""),45132.3797635185)</f>
        <v>45132.37976</v>
      </c>
      <c r="D1171" s="15">
        <f>IFERROR(__xludf.DUMMYFUNCTION("""COMPUTED_VALUE"""),0.998)</f>
        <v>0.998</v>
      </c>
      <c r="E1171" s="16">
        <f>IFERROR(__xludf.DUMMYFUNCTION("""COMPUTED_VALUE"""),72.0)</f>
        <v>72</v>
      </c>
      <c r="F1171" s="19" t="str">
        <f>IFERROR(__xludf.DUMMYFUNCTION("""COMPUTED_VALUE"""),"BLUE")</f>
        <v>BLUE</v>
      </c>
      <c r="G1171" s="20" t="str">
        <f>IFERROR(__xludf.DUMMYFUNCTION("""COMPUTED_VALUE"""),"Uncle Sams Cider (04/04/2023)")</f>
        <v>Uncle Sams Cider (04/04/2023)</v>
      </c>
      <c r="H1171" s="19"/>
    </row>
    <row r="1172">
      <c r="A1172" s="9"/>
      <c r="B1172" s="15"/>
      <c r="C1172" s="9">
        <f>IFERROR(__xludf.DUMMYFUNCTION("""COMPUTED_VALUE"""),45132.3693425115)</f>
        <v>45132.36934</v>
      </c>
      <c r="D1172" s="15">
        <f>IFERROR(__xludf.DUMMYFUNCTION("""COMPUTED_VALUE"""),0.998)</f>
        <v>0.998</v>
      </c>
      <c r="E1172" s="16">
        <f>IFERROR(__xludf.DUMMYFUNCTION("""COMPUTED_VALUE"""),72.0)</f>
        <v>72</v>
      </c>
      <c r="F1172" s="19" t="str">
        <f>IFERROR(__xludf.DUMMYFUNCTION("""COMPUTED_VALUE"""),"BLUE")</f>
        <v>BLUE</v>
      </c>
      <c r="G1172" s="20" t="str">
        <f>IFERROR(__xludf.DUMMYFUNCTION("""COMPUTED_VALUE"""),"Uncle Sams Cider (04/04/2023)")</f>
        <v>Uncle Sams Cider (04/04/2023)</v>
      </c>
      <c r="H1172" s="19"/>
    </row>
    <row r="1173">
      <c r="A1173" s="9"/>
      <c r="B1173" s="15"/>
      <c r="C1173" s="9">
        <f>IFERROR(__xludf.DUMMYFUNCTION("""COMPUTED_VALUE"""),45132.3589209143)</f>
        <v>45132.35892</v>
      </c>
      <c r="D1173" s="15">
        <f>IFERROR(__xludf.DUMMYFUNCTION("""COMPUTED_VALUE"""),0.998)</f>
        <v>0.998</v>
      </c>
      <c r="E1173" s="16">
        <f>IFERROR(__xludf.DUMMYFUNCTION("""COMPUTED_VALUE"""),72.0)</f>
        <v>72</v>
      </c>
      <c r="F1173" s="19" t="str">
        <f>IFERROR(__xludf.DUMMYFUNCTION("""COMPUTED_VALUE"""),"BLUE")</f>
        <v>BLUE</v>
      </c>
      <c r="G1173" s="20" t="str">
        <f>IFERROR(__xludf.DUMMYFUNCTION("""COMPUTED_VALUE"""),"Uncle Sams Cider (04/04/2023)")</f>
        <v>Uncle Sams Cider (04/04/2023)</v>
      </c>
      <c r="H1173" s="19"/>
    </row>
    <row r="1174">
      <c r="A1174" s="9"/>
      <c r="B1174" s="15"/>
      <c r="C1174" s="9">
        <f>IFERROR(__xludf.DUMMYFUNCTION("""COMPUTED_VALUE"""),45132.3484985185)</f>
        <v>45132.3485</v>
      </c>
      <c r="D1174" s="15">
        <f>IFERROR(__xludf.DUMMYFUNCTION("""COMPUTED_VALUE"""),0.998)</f>
        <v>0.998</v>
      </c>
      <c r="E1174" s="16">
        <f>IFERROR(__xludf.DUMMYFUNCTION("""COMPUTED_VALUE"""),72.0)</f>
        <v>72</v>
      </c>
      <c r="F1174" s="19" t="str">
        <f>IFERROR(__xludf.DUMMYFUNCTION("""COMPUTED_VALUE"""),"BLUE")</f>
        <v>BLUE</v>
      </c>
      <c r="G1174" s="20" t="str">
        <f>IFERROR(__xludf.DUMMYFUNCTION("""COMPUTED_VALUE"""),"Uncle Sams Cider (04/04/2023)")</f>
        <v>Uncle Sams Cider (04/04/2023)</v>
      </c>
      <c r="H1174" s="19"/>
    </row>
    <row r="1175">
      <c r="A1175" s="9"/>
      <c r="B1175" s="15"/>
      <c r="C1175" s="9">
        <f>IFERROR(__xludf.DUMMYFUNCTION("""COMPUTED_VALUE"""),45132.3380650463)</f>
        <v>45132.33807</v>
      </c>
      <c r="D1175" s="15">
        <f>IFERROR(__xludf.DUMMYFUNCTION("""COMPUTED_VALUE"""),0.998)</f>
        <v>0.998</v>
      </c>
      <c r="E1175" s="16">
        <f>IFERROR(__xludf.DUMMYFUNCTION("""COMPUTED_VALUE"""),72.0)</f>
        <v>72</v>
      </c>
      <c r="F1175" s="19" t="str">
        <f>IFERROR(__xludf.DUMMYFUNCTION("""COMPUTED_VALUE"""),"BLUE")</f>
        <v>BLUE</v>
      </c>
      <c r="G1175" s="20" t="str">
        <f>IFERROR(__xludf.DUMMYFUNCTION("""COMPUTED_VALUE"""),"Uncle Sams Cider (04/04/2023)")</f>
        <v>Uncle Sams Cider (04/04/2023)</v>
      </c>
      <c r="H1175" s="19"/>
    </row>
    <row r="1176">
      <c r="A1176" s="9"/>
      <c r="B1176" s="15"/>
      <c r="C1176" s="9">
        <f>IFERROR(__xludf.DUMMYFUNCTION("""COMPUTED_VALUE"""),45132.3276459838)</f>
        <v>45132.32765</v>
      </c>
      <c r="D1176" s="15">
        <f>IFERROR(__xludf.DUMMYFUNCTION("""COMPUTED_VALUE"""),0.998)</f>
        <v>0.998</v>
      </c>
      <c r="E1176" s="16">
        <f>IFERROR(__xludf.DUMMYFUNCTION("""COMPUTED_VALUE"""),72.0)</f>
        <v>72</v>
      </c>
      <c r="F1176" s="19" t="str">
        <f>IFERROR(__xludf.DUMMYFUNCTION("""COMPUTED_VALUE"""),"BLUE")</f>
        <v>BLUE</v>
      </c>
      <c r="G1176" s="20" t="str">
        <f>IFERROR(__xludf.DUMMYFUNCTION("""COMPUTED_VALUE"""),"Uncle Sams Cider (04/04/2023)")</f>
        <v>Uncle Sams Cider (04/04/2023)</v>
      </c>
      <c r="H1176" s="19"/>
    </row>
    <row r="1177">
      <c r="A1177" s="9"/>
      <c r="B1177" s="15"/>
      <c r="C1177" s="9">
        <f>IFERROR(__xludf.DUMMYFUNCTION("""COMPUTED_VALUE"""),45132.3172242245)</f>
        <v>45132.31722</v>
      </c>
      <c r="D1177" s="15">
        <f>IFERROR(__xludf.DUMMYFUNCTION("""COMPUTED_VALUE"""),0.999)</f>
        <v>0.999</v>
      </c>
      <c r="E1177" s="16">
        <f>IFERROR(__xludf.DUMMYFUNCTION("""COMPUTED_VALUE"""),72.0)</f>
        <v>72</v>
      </c>
      <c r="F1177" s="19" t="str">
        <f>IFERROR(__xludf.DUMMYFUNCTION("""COMPUTED_VALUE"""),"BLUE")</f>
        <v>BLUE</v>
      </c>
      <c r="G1177" s="20" t="str">
        <f>IFERROR(__xludf.DUMMYFUNCTION("""COMPUTED_VALUE"""),"Uncle Sams Cider (04/04/2023)")</f>
        <v>Uncle Sams Cider (04/04/2023)</v>
      </c>
      <c r="H1177" s="19"/>
    </row>
    <row r="1178">
      <c r="A1178" s="9"/>
      <c r="B1178" s="15"/>
      <c r="C1178" s="9">
        <f>IFERROR(__xludf.DUMMYFUNCTION("""COMPUTED_VALUE"""),45132.3067926504)</f>
        <v>45132.30679</v>
      </c>
      <c r="D1178" s="15">
        <f>IFERROR(__xludf.DUMMYFUNCTION("""COMPUTED_VALUE"""),0.999)</f>
        <v>0.999</v>
      </c>
      <c r="E1178" s="16">
        <f>IFERROR(__xludf.DUMMYFUNCTION("""COMPUTED_VALUE"""),72.0)</f>
        <v>72</v>
      </c>
      <c r="F1178" s="19" t="str">
        <f>IFERROR(__xludf.DUMMYFUNCTION("""COMPUTED_VALUE"""),"BLUE")</f>
        <v>BLUE</v>
      </c>
      <c r="G1178" s="20" t="str">
        <f>IFERROR(__xludf.DUMMYFUNCTION("""COMPUTED_VALUE"""),"Uncle Sams Cider (04/04/2023)")</f>
        <v>Uncle Sams Cider (04/04/2023)</v>
      </c>
      <c r="H1178" s="19"/>
    </row>
    <row r="1179">
      <c r="A1179" s="9"/>
      <c r="B1179" s="15"/>
      <c r="C1179" s="9">
        <f>IFERROR(__xludf.DUMMYFUNCTION("""COMPUTED_VALUE"""),45132.296370162)</f>
        <v>45132.29637</v>
      </c>
      <c r="D1179" s="15">
        <f>IFERROR(__xludf.DUMMYFUNCTION("""COMPUTED_VALUE"""),0.999)</f>
        <v>0.999</v>
      </c>
      <c r="E1179" s="16">
        <f>IFERROR(__xludf.DUMMYFUNCTION("""COMPUTED_VALUE"""),72.0)</f>
        <v>72</v>
      </c>
      <c r="F1179" s="19" t="str">
        <f>IFERROR(__xludf.DUMMYFUNCTION("""COMPUTED_VALUE"""),"BLUE")</f>
        <v>BLUE</v>
      </c>
      <c r="G1179" s="20" t="str">
        <f>IFERROR(__xludf.DUMMYFUNCTION("""COMPUTED_VALUE"""),"Uncle Sams Cider (04/04/2023)")</f>
        <v>Uncle Sams Cider (04/04/2023)</v>
      </c>
      <c r="H1179" s="19"/>
    </row>
    <row r="1180">
      <c r="A1180" s="9"/>
      <c r="B1180" s="15"/>
      <c r="C1180" s="9">
        <f>IFERROR(__xludf.DUMMYFUNCTION("""COMPUTED_VALUE"""),45132.2859485185)</f>
        <v>45132.28595</v>
      </c>
      <c r="D1180" s="15">
        <f>IFERROR(__xludf.DUMMYFUNCTION("""COMPUTED_VALUE"""),0.998)</f>
        <v>0.998</v>
      </c>
      <c r="E1180" s="16">
        <f>IFERROR(__xludf.DUMMYFUNCTION("""COMPUTED_VALUE"""),72.0)</f>
        <v>72</v>
      </c>
      <c r="F1180" s="19" t="str">
        <f>IFERROR(__xludf.DUMMYFUNCTION("""COMPUTED_VALUE"""),"BLUE")</f>
        <v>BLUE</v>
      </c>
      <c r="G1180" s="20" t="str">
        <f>IFERROR(__xludf.DUMMYFUNCTION("""COMPUTED_VALUE"""),"Uncle Sams Cider (04/04/2023)")</f>
        <v>Uncle Sams Cider (04/04/2023)</v>
      </c>
      <c r="H1180" s="19"/>
    </row>
    <row r="1181">
      <c r="A1181" s="9"/>
      <c r="B1181" s="15"/>
      <c r="C1181" s="9">
        <f>IFERROR(__xludf.DUMMYFUNCTION("""COMPUTED_VALUE"""),45132.2755278125)</f>
        <v>45132.27553</v>
      </c>
      <c r="D1181" s="15">
        <f>IFERROR(__xludf.DUMMYFUNCTION("""COMPUTED_VALUE"""),0.999)</f>
        <v>0.999</v>
      </c>
      <c r="E1181" s="16">
        <f>IFERROR(__xludf.DUMMYFUNCTION("""COMPUTED_VALUE"""),72.0)</f>
        <v>72</v>
      </c>
      <c r="F1181" s="19" t="str">
        <f>IFERROR(__xludf.DUMMYFUNCTION("""COMPUTED_VALUE"""),"BLUE")</f>
        <v>BLUE</v>
      </c>
      <c r="G1181" s="20" t="str">
        <f>IFERROR(__xludf.DUMMYFUNCTION("""COMPUTED_VALUE"""),"Uncle Sams Cider (04/04/2023)")</f>
        <v>Uncle Sams Cider (04/04/2023)</v>
      </c>
      <c r="H1181" s="19"/>
    </row>
    <row r="1182">
      <c r="A1182" s="9"/>
      <c r="B1182" s="15"/>
      <c r="C1182" s="9">
        <f>IFERROR(__xludf.DUMMYFUNCTION("""COMPUTED_VALUE"""),45132.2651064467)</f>
        <v>45132.26511</v>
      </c>
      <c r="D1182" s="15">
        <f>IFERROR(__xludf.DUMMYFUNCTION("""COMPUTED_VALUE"""),0.999)</f>
        <v>0.999</v>
      </c>
      <c r="E1182" s="16">
        <f>IFERROR(__xludf.DUMMYFUNCTION("""COMPUTED_VALUE"""),72.0)</f>
        <v>72</v>
      </c>
      <c r="F1182" s="19" t="str">
        <f>IFERROR(__xludf.DUMMYFUNCTION("""COMPUTED_VALUE"""),"BLUE")</f>
        <v>BLUE</v>
      </c>
      <c r="G1182" s="20" t="str">
        <f>IFERROR(__xludf.DUMMYFUNCTION("""COMPUTED_VALUE"""),"Uncle Sams Cider (04/04/2023)")</f>
        <v>Uncle Sams Cider (04/04/2023)</v>
      </c>
      <c r="H1182" s="19"/>
    </row>
    <row r="1183">
      <c r="A1183" s="9"/>
      <c r="B1183" s="15"/>
      <c r="C1183" s="9">
        <f>IFERROR(__xludf.DUMMYFUNCTION("""COMPUTED_VALUE"""),45132.25468625)</f>
        <v>45132.25469</v>
      </c>
      <c r="D1183" s="15">
        <f>IFERROR(__xludf.DUMMYFUNCTION("""COMPUTED_VALUE"""),0.999)</f>
        <v>0.999</v>
      </c>
      <c r="E1183" s="16">
        <f>IFERROR(__xludf.DUMMYFUNCTION("""COMPUTED_VALUE"""),72.0)</f>
        <v>72</v>
      </c>
      <c r="F1183" s="19" t="str">
        <f>IFERROR(__xludf.DUMMYFUNCTION("""COMPUTED_VALUE"""),"BLUE")</f>
        <v>BLUE</v>
      </c>
      <c r="G1183" s="20" t="str">
        <f>IFERROR(__xludf.DUMMYFUNCTION("""COMPUTED_VALUE"""),"Uncle Sams Cider (04/04/2023)")</f>
        <v>Uncle Sams Cider (04/04/2023)</v>
      </c>
      <c r="H1183" s="19"/>
    </row>
    <row r="1184">
      <c r="A1184" s="9"/>
      <c r="B1184" s="15"/>
      <c r="C1184" s="9">
        <f>IFERROR(__xludf.DUMMYFUNCTION("""COMPUTED_VALUE"""),45132.2442667129)</f>
        <v>45132.24427</v>
      </c>
      <c r="D1184" s="15">
        <f>IFERROR(__xludf.DUMMYFUNCTION("""COMPUTED_VALUE"""),0.999)</f>
        <v>0.999</v>
      </c>
      <c r="E1184" s="16">
        <f>IFERROR(__xludf.DUMMYFUNCTION("""COMPUTED_VALUE"""),72.0)</f>
        <v>72</v>
      </c>
      <c r="F1184" s="19" t="str">
        <f>IFERROR(__xludf.DUMMYFUNCTION("""COMPUTED_VALUE"""),"BLUE")</f>
        <v>BLUE</v>
      </c>
      <c r="G1184" s="20" t="str">
        <f>IFERROR(__xludf.DUMMYFUNCTION("""COMPUTED_VALUE"""),"Uncle Sams Cider (04/04/2023)")</f>
        <v>Uncle Sams Cider (04/04/2023)</v>
      </c>
      <c r="H1184" s="19"/>
    </row>
    <row r="1185">
      <c r="A1185" s="9"/>
      <c r="B1185" s="15"/>
      <c r="C1185" s="9">
        <f>IFERROR(__xludf.DUMMYFUNCTION("""COMPUTED_VALUE"""),45132.2338441666)</f>
        <v>45132.23384</v>
      </c>
      <c r="D1185" s="15">
        <f>IFERROR(__xludf.DUMMYFUNCTION("""COMPUTED_VALUE"""),0.998)</f>
        <v>0.998</v>
      </c>
      <c r="E1185" s="16">
        <f>IFERROR(__xludf.DUMMYFUNCTION("""COMPUTED_VALUE"""),71.0)</f>
        <v>71</v>
      </c>
      <c r="F1185" s="19" t="str">
        <f>IFERROR(__xludf.DUMMYFUNCTION("""COMPUTED_VALUE"""),"BLUE")</f>
        <v>BLUE</v>
      </c>
      <c r="G1185" s="20" t="str">
        <f>IFERROR(__xludf.DUMMYFUNCTION("""COMPUTED_VALUE"""),"Uncle Sams Cider (04/04/2023)")</f>
        <v>Uncle Sams Cider (04/04/2023)</v>
      </c>
      <c r="H1185" s="19"/>
    </row>
    <row r="1186">
      <c r="A1186" s="9"/>
      <c r="B1186" s="15"/>
      <c r="C1186" s="9">
        <f>IFERROR(__xludf.DUMMYFUNCTION("""COMPUTED_VALUE"""),45132.2234223611)</f>
        <v>45132.22342</v>
      </c>
      <c r="D1186" s="15">
        <f>IFERROR(__xludf.DUMMYFUNCTION("""COMPUTED_VALUE"""),0.999)</f>
        <v>0.999</v>
      </c>
      <c r="E1186" s="16">
        <f>IFERROR(__xludf.DUMMYFUNCTION("""COMPUTED_VALUE"""),72.0)</f>
        <v>72</v>
      </c>
      <c r="F1186" s="19" t="str">
        <f>IFERROR(__xludf.DUMMYFUNCTION("""COMPUTED_VALUE"""),"BLUE")</f>
        <v>BLUE</v>
      </c>
      <c r="G1186" s="20" t="str">
        <f>IFERROR(__xludf.DUMMYFUNCTION("""COMPUTED_VALUE"""),"Uncle Sams Cider (04/04/2023)")</f>
        <v>Uncle Sams Cider (04/04/2023)</v>
      </c>
      <c r="H1186" s="19"/>
    </row>
    <row r="1187">
      <c r="A1187" s="9"/>
      <c r="B1187" s="15"/>
      <c r="C1187" s="9">
        <f>IFERROR(__xludf.DUMMYFUNCTION("""COMPUTED_VALUE"""),45132.2130031828)</f>
        <v>45132.213</v>
      </c>
      <c r="D1187" s="15">
        <f>IFERROR(__xludf.DUMMYFUNCTION("""COMPUTED_VALUE"""),0.999)</f>
        <v>0.999</v>
      </c>
      <c r="E1187" s="16">
        <f>IFERROR(__xludf.DUMMYFUNCTION("""COMPUTED_VALUE"""),72.0)</f>
        <v>72</v>
      </c>
      <c r="F1187" s="19" t="str">
        <f>IFERROR(__xludf.DUMMYFUNCTION("""COMPUTED_VALUE"""),"BLUE")</f>
        <v>BLUE</v>
      </c>
      <c r="G1187" s="20" t="str">
        <f>IFERROR(__xludf.DUMMYFUNCTION("""COMPUTED_VALUE"""),"Uncle Sams Cider (04/04/2023)")</f>
        <v>Uncle Sams Cider (04/04/2023)</v>
      </c>
      <c r="H1187" s="19"/>
    </row>
    <row r="1188">
      <c r="A1188" s="9"/>
      <c r="B1188" s="15"/>
      <c r="C1188" s="9">
        <f>IFERROR(__xludf.DUMMYFUNCTION("""COMPUTED_VALUE"""),45132.2025709838)</f>
        <v>45132.20257</v>
      </c>
      <c r="D1188" s="15">
        <f>IFERROR(__xludf.DUMMYFUNCTION("""COMPUTED_VALUE"""),0.998)</f>
        <v>0.998</v>
      </c>
      <c r="E1188" s="16">
        <f>IFERROR(__xludf.DUMMYFUNCTION("""COMPUTED_VALUE"""),72.0)</f>
        <v>72</v>
      </c>
      <c r="F1188" s="19" t="str">
        <f>IFERROR(__xludf.DUMMYFUNCTION("""COMPUTED_VALUE"""),"BLUE")</f>
        <v>BLUE</v>
      </c>
      <c r="G1188" s="20" t="str">
        <f>IFERROR(__xludf.DUMMYFUNCTION("""COMPUTED_VALUE"""),"Uncle Sams Cider (04/04/2023)")</f>
        <v>Uncle Sams Cider (04/04/2023)</v>
      </c>
      <c r="H1188" s="19"/>
    </row>
    <row r="1189">
      <c r="A1189" s="9"/>
      <c r="B1189" s="15"/>
      <c r="C1189" s="9">
        <f>IFERROR(__xludf.DUMMYFUNCTION("""COMPUTED_VALUE"""),45132.1921490972)</f>
        <v>45132.19215</v>
      </c>
      <c r="D1189" s="15">
        <f>IFERROR(__xludf.DUMMYFUNCTION("""COMPUTED_VALUE"""),0.999)</f>
        <v>0.999</v>
      </c>
      <c r="E1189" s="16">
        <f>IFERROR(__xludf.DUMMYFUNCTION("""COMPUTED_VALUE"""),72.0)</f>
        <v>72</v>
      </c>
      <c r="F1189" s="19" t="str">
        <f>IFERROR(__xludf.DUMMYFUNCTION("""COMPUTED_VALUE"""),"BLUE")</f>
        <v>BLUE</v>
      </c>
      <c r="G1189" s="20" t="str">
        <f>IFERROR(__xludf.DUMMYFUNCTION("""COMPUTED_VALUE"""),"Uncle Sams Cider (04/04/2023)")</f>
        <v>Uncle Sams Cider (04/04/2023)</v>
      </c>
      <c r="H1189" s="19"/>
    </row>
    <row r="1190">
      <c r="A1190" s="9"/>
      <c r="B1190" s="15"/>
      <c r="C1190" s="9">
        <f>IFERROR(__xludf.DUMMYFUNCTION("""COMPUTED_VALUE"""),45132.1817148611)</f>
        <v>45132.18171</v>
      </c>
      <c r="D1190" s="15">
        <f>IFERROR(__xludf.DUMMYFUNCTION("""COMPUTED_VALUE"""),0.998)</f>
        <v>0.998</v>
      </c>
      <c r="E1190" s="16">
        <f>IFERROR(__xludf.DUMMYFUNCTION("""COMPUTED_VALUE"""),71.0)</f>
        <v>71</v>
      </c>
      <c r="F1190" s="19" t="str">
        <f>IFERROR(__xludf.DUMMYFUNCTION("""COMPUTED_VALUE"""),"BLUE")</f>
        <v>BLUE</v>
      </c>
      <c r="G1190" s="20" t="str">
        <f>IFERROR(__xludf.DUMMYFUNCTION("""COMPUTED_VALUE"""),"Uncle Sams Cider (04/04/2023)")</f>
        <v>Uncle Sams Cider (04/04/2023)</v>
      </c>
      <c r="H1190" s="19"/>
    </row>
    <row r="1191">
      <c r="A1191" s="9"/>
      <c r="B1191" s="15"/>
      <c r="C1191" s="9">
        <f>IFERROR(__xludf.DUMMYFUNCTION("""COMPUTED_VALUE"""),45132.1712917361)</f>
        <v>45132.17129</v>
      </c>
      <c r="D1191" s="15">
        <f>IFERROR(__xludf.DUMMYFUNCTION("""COMPUTED_VALUE"""),0.999)</f>
        <v>0.999</v>
      </c>
      <c r="E1191" s="16">
        <f>IFERROR(__xludf.DUMMYFUNCTION("""COMPUTED_VALUE"""),72.0)</f>
        <v>72</v>
      </c>
      <c r="F1191" s="19" t="str">
        <f>IFERROR(__xludf.DUMMYFUNCTION("""COMPUTED_VALUE"""),"BLUE")</f>
        <v>BLUE</v>
      </c>
      <c r="G1191" s="20" t="str">
        <f>IFERROR(__xludf.DUMMYFUNCTION("""COMPUTED_VALUE"""),"Uncle Sams Cider (04/04/2023)")</f>
        <v>Uncle Sams Cider (04/04/2023)</v>
      </c>
      <c r="H1191" s="19"/>
    </row>
    <row r="1192">
      <c r="A1192" s="9"/>
      <c r="B1192" s="15"/>
      <c r="C1192" s="9">
        <f>IFERROR(__xludf.DUMMYFUNCTION("""COMPUTED_VALUE"""),45132.1608241435)</f>
        <v>45132.16082</v>
      </c>
      <c r="D1192" s="15">
        <f>IFERROR(__xludf.DUMMYFUNCTION("""COMPUTED_VALUE"""),0.999)</f>
        <v>0.999</v>
      </c>
      <c r="E1192" s="16">
        <f>IFERROR(__xludf.DUMMYFUNCTION("""COMPUTED_VALUE"""),72.0)</f>
        <v>72</v>
      </c>
      <c r="F1192" s="19" t="str">
        <f>IFERROR(__xludf.DUMMYFUNCTION("""COMPUTED_VALUE"""),"BLUE")</f>
        <v>BLUE</v>
      </c>
      <c r="G1192" s="20" t="str">
        <f>IFERROR(__xludf.DUMMYFUNCTION("""COMPUTED_VALUE"""),"Uncle Sams Cider (04/04/2023)")</f>
        <v>Uncle Sams Cider (04/04/2023)</v>
      </c>
      <c r="H1192" s="19"/>
    </row>
    <row r="1193">
      <c r="A1193" s="9"/>
      <c r="B1193" s="15"/>
      <c r="C1193" s="9">
        <f>IFERROR(__xludf.DUMMYFUNCTION("""COMPUTED_VALUE"""),45132.1504025694)</f>
        <v>45132.1504</v>
      </c>
      <c r="D1193" s="15">
        <f>IFERROR(__xludf.DUMMYFUNCTION("""COMPUTED_VALUE"""),0.998)</f>
        <v>0.998</v>
      </c>
      <c r="E1193" s="16">
        <f>IFERROR(__xludf.DUMMYFUNCTION("""COMPUTED_VALUE"""),71.0)</f>
        <v>71</v>
      </c>
      <c r="F1193" s="19" t="str">
        <f>IFERROR(__xludf.DUMMYFUNCTION("""COMPUTED_VALUE"""),"BLUE")</f>
        <v>BLUE</v>
      </c>
      <c r="G1193" s="20" t="str">
        <f>IFERROR(__xludf.DUMMYFUNCTION("""COMPUTED_VALUE"""),"Uncle Sams Cider (04/04/2023)")</f>
        <v>Uncle Sams Cider (04/04/2023)</v>
      </c>
      <c r="H1193" s="19"/>
    </row>
    <row r="1194">
      <c r="A1194" s="9"/>
      <c r="B1194" s="15"/>
      <c r="C1194" s="9">
        <f>IFERROR(__xludf.DUMMYFUNCTION("""COMPUTED_VALUE"""),45132.1399810995)</f>
        <v>45132.13998</v>
      </c>
      <c r="D1194" s="15">
        <f>IFERROR(__xludf.DUMMYFUNCTION("""COMPUTED_VALUE"""),0.999)</f>
        <v>0.999</v>
      </c>
      <c r="E1194" s="16">
        <f>IFERROR(__xludf.DUMMYFUNCTION("""COMPUTED_VALUE"""),72.0)</f>
        <v>72</v>
      </c>
      <c r="F1194" s="19" t="str">
        <f>IFERROR(__xludf.DUMMYFUNCTION("""COMPUTED_VALUE"""),"BLUE")</f>
        <v>BLUE</v>
      </c>
      <c r="G1194" s="20" t="str">
        <f>IFERROR(__xludf.DUMMYFUNCTION("""COMPUTED_VALUE"""),"Uncle Sams Cider (04/04/2023)")</f>
        <v>Uncle Sams Cider (04/04/2023)</v>
      </c>
      <c r="H1194" s="19"/>
    </row>
    <row r="1195">
      <c r="A1195" s="9"/>
      <c r="B1195" s="15"/>
      <c r="C1195" s="9">
        <f>IFERROR(__xludf.DUMMYFUNCTION("""COMPUTED_VALUE"""),45132.1295496064)</f>
        <v>45132.12955</v>
      </c>
      <c r="D1195" s="15">
        <f>IFERROR(__xludf.DUMMYFUNCTION("""COMPUTED_VALUE"""),0.999)</f>
        <v>0.999</v>
      </c>
      <c r="E1195" s="16">
        <f>IFERROR(__xludf.DUMMYFUNCTION("""COMPUTED_VALUE"""),71.0)</f>
        <v>71</v>
      </c>
      <c r="F1195" s="19" t="str">
        <f>IFERROR(__xludf.DUMMYFUNCTION("""COMPUTED_VALUE"""),"BLUE")</f>
        <v>BLUE</v>
      </c>
      <c r="G1195" s="20" t="str">
        <f>IFERROR(__xludf.DUMMYFUNCTION("""COMPUTED_VALUE"""),"Uncle Sams Cider (04/04/2023)")</f>
        <v>Uncle Sams Cider (04/04/2023)</v>
      </c>
      <c r="H1195" s="19"/>
    </row>
    <row r="1196">
      <c r="A1196" s="9"/>
      <c r="B1196" s="15"/>
      <c r="C1196" s="9">
        <f>IFERROR(__xludf.DUMMYFUNCTION("""COMPUTED_VALUE"""),45132.11912603)</f>
        <v>45132.11913</v>
      </c>
      <c r="D1196" s="15">
        <f>IFERROR(__xludf.DUMMYFUNCTION("""COMPUTED_VALUE"""),0.999)</f>
        <v>0.999</v>
      </c>
      <c r="E1196" s="16">
        <f>IFERROR(__xludf.DUMMYFUNCTION("""COMPUTED_VALUE"""),71.0)</f>
        <v>71</v>
      </c>
      <c r="F1196" s="19" t="str">
        <f>IFERROR(__xludf.DUMMYFUNCTION("""COMPUTED_VALUE"""),"BLUE")</f>
        <v>BLUE</v>
      </c>
      <c r="G1196" s="20" t="str">
        <f>IFERROR(__xludf.DUMMYFUNCTION("""COMPUTED_VALUE"""),"Uncle Sams Cider (04/04/2023)")</f>
        <v>Uncle Sams Cider (04/04/2023)</v>
      </c>
      <c r="H1196" s="19"/>
    </row>
    <row r="1197">
      <c r="A1197" s="9"/>
      <c r="B1197" s="15"/>
      <c r="C1197" s="9">
        <f>IFERROR(__xludf.DUMMYFUNCTION("""COMPUTED_VALUE"""),45132.1087043865)</f>
        <v>45132.1087</v>
      </c>
      <c r="D1197" s="15">
        <f>IFERROR(__xludf.DUMMYFUNCTION("""COMPUTED_VALUE"""),0.999)</f>
        <v>0.999</v>
      </c>
      <c r="E1197" s="16">
        <f>IFERROR(__xludf.DUMMYFUNCTION("""COMPUTED_VALUE"""),71.0)</f>
        <v>71</v>
      </c>
      <c r="F1197" s="19" t="str">
        <f>IFERROR(__xludf.DUMMYFUNCTION("""COMPUTED_VALUE"""),"BLUE")</f>
        <v>BLUE</v>
      </c>
      <c r="G1197" s="20" t="str">
        <f>IFERROR(__xludf.DUMMYFUNCTION("""COMPUTED_VALUE"""),"Uncle Sams Cider (04/04/2023)")</f>
        <v>Uncle Sams Cider (04/04/2023)</v>
      </c>
      <c r="H1197" s="19"/>
    </row>
    <row r="1198">
      <c r="A1198" s="9"/>
      <c r="B1198" s="15"/>
      <c r="C1198" s="9">
        <f>IFERROR(__xludf.DUMMYFUNCTION("""COMPUTED_VALUE"""),45132.0982810069)</f>
        <v>45132.09828</v>
      </c>
      <c r="D1198" s="15">
        <f>IFERROR(__xludf.DUMMYFUNCTION("""COMPUTED_VALUE"""),0.998)</f>
        <v>0.998</v>
      </c>
      <c r="E1198" s="16">
        <f>IFERROR(__xludf.DUMMYFUNCTION("""COMPUTED_VALUE"""),71.0)</f>
        <v>71</v>
      </c>
      <c r="F1198" s="19" t="str">
        <f>IFERROR(__xludf.DUMMYFUNCTION("""COMPUTED_VALUE"""),"BLUE")</f>
        <v>BLUE</v>
      </c>
      <c r="G1198" s="20" t="str">
        <f>IFERROR(__xludf.DUMMYFUNCTION("""COMPUTED_VALUE"""),"Uncle Sams Cider (04/04/2023)")</f>
        <v>Uncle Sams Cider (04/04/2023)</v>
      </c>
      <c r="H1198" s="19"/>
    </row>
    <row r="1199">
      <c r="A1199" s="9"/>
      <c r="B1199" s="15"/>
      <c r="C1199" s="9">
        <f>IFERROR(__xludf.DUMMYFUNCTION("""COMPUTED_VALUE"""),45132.0878481481)</f>
        <v>45132.08785</v>
      </c>
      <c r="D1199" s="15">
        <f>IFERROR(__xludf.DUMMYFUNCTION("""COMPUTED_VALUE"""),0.999)</f>
        <v>0.999</v>
      </c>
      <c r="E1199" s="16">
        <f>IFERROR(__xludf.DUMMYFUNCTION("""COMPUTED_VALUE"""),72.0)</f>
        <v>72</v>
      </c>
      <c r="F1199" s="19" t="str">
        <f>IFERROR(__xludf.DUMMYFUNCTION("""COMPUTED_VALUE"""),"BLUE")</f>
        <v>BLUE</v>
      </c>
      <c r="G1199" s="20" t="str">
        <f>IFERROR(__xludf.DUMMYFUNCTION("""COMPUTED_VALUE"""),"Uncle Sams Cider (04/04/2023)")</f>
        <v>Uncle Sams Cider (04/04/2023)</v>
      </c>
      <c r="H1199" s="19"/>
    </row>
    <row r="1200">
      <c r="A1200" s="9"/>
      <c r="B1200" s="15"/>
      <c r="C1200" s="9">
        <f>IFERROR(__xludf.DUMMYFUNCTION("""COMPUTED_VALUE"""),45132.0774156712)</f>
        <v>45132.07742</v>
      </c>
      <c r="D1200" s="15">
        <f>IFERROR(__xludf.DUMMYFUNCTION("""COMPUTED_VALUE"""),0.998)</f>
        <v>0.998</v>
      </c>
      <c r="E1200" s="16">
        <f>IFERROR(__xludf.DUMMYFUNCTION("""COMPUTED_VALUE"""),71.0)</f>
        <v>71</v>
      </c>
      <c r="F1200" s="19" t="str">
        <f>IFERROR(__xludf.DUMMYFUNCTION("""COMPUTED_VALUE"""),"BLUE")</f>
        <v>BLUE</v>
      </c>
      <c r="G1200" s="20" t="str">
        <f>IFERROR(__xludf.DUMMYFUNCTION("""COMPUTED_VALUE"""),"Uncle Sams Cider (04/04/2023)")</f>
        <v>Uncle Sams Cider (04/04/2023)</v>
      </c>
      <c r="H1200" s="19"/>
    </row>
    <row r="1201">
      <c r="A1201" s="9"/>
      <c r="B1201" s="15"/>
      <c r="C1201" s="9">
        <f>IFERROR(__xludf.DUMMYFUNCTION("""COMPUTED_VALUE"""),45132.0669942939)</f>
        <v>45132.06699</v>
      </c>
      <c r="D1201" s="15">
        <f>IFERROR(__xludf.DUMMYFUNCTION("""COMPUTED_VALUE"""),0.999)</f>
        <v>0.999</v>
      </c>
      <c r="E1201" s="16">
        <f>IFERROR(__xludf.DUMMYFUNCTION("""COMPUTED_VALUE"""),71.0)</f>
        <v>71</v>
      </c>
      <c r="F1201" s="19" t="str">
        <f>IFERROR(__xludf.DUMMYFUNCTION("""COMPUTED_VALUE"""),"BLUE")</f>
        <v>BLUE</v>
      </c>
      <c r="G1201" s="20" t="str">
        <f>IFERROR(__xludf.DUMMYFUNCTION("""COMPUTED_VALUE"""),"Uncle Sams Cider (04/04/2023)")</f>
        <v>Uncle Sams Cider (04/04/2023)</v>
      </c>
      <c r="H1201" s="19"/>
    </row>
    <row r="1202">
      <c r="A1202" s="9"/>
      <c r="B1202" s="15"/>
      <c r="C1202" s="9">
        <f>IFERROR(__xludf.DUMMYFUNCTION("""COMPUTED_VALUE"""),45132.0565617824)</f>
        <v>45132.05656</v>
      </c>
      <c r="D1202" s="15">
        <f>IFERROR(__xludf.DUMMYFUNCTION("""COMPUTED_VALUE"""),0.999)</f>
        <v>0.999</v>
      </c>
      <c r="E1202" s="16">
        <f>IFERROR(__xludf.DUMMYFUNCTION("""COMPUTED_VALUE"""),71.0)</f>
        <v>71</v>
      </c>
      <c r="F1202" s="19" t="str">
        <f>IFERROR(__xludf.DUMMYFUNCTION("""COMPUTED_VALUE"""),"BLUE")</f>
        <v>BLUE</v>
      </c>
      <c r="G1202" s="20" t="str">
        <f>IFERROR(__xludf.DUMMYFUNCTION("""COMPUTED_VALUE"""),"Uncle Sams Cider (04/04/2023)")</f>
        <v>Uncle Sams Cider (04/04/2023)</v>
      </c>
      <c r="H1202" s="19"/>
    </row>
    <row r="1203">
      <c r="A1203" s="9"/>
      <c r="B1203" s="15"/>
      <c r="C1203" s="9">
        <f>IFERROR(__xludf.DUMMYFUNCTION("""COMPUTED_VALUE"""),45132.0461420254)</f>
        <v>45132.04614</v>
      </c>
      <c r="D1203" s="15">
        <f>IFERROR(__xludf.DUMMYFUNCTION("""COMPUTED_VALUE"""),0.998)</f>
        <v>0.998</v>
      </c>
      <c r="E1203" s="16">
        <f>IFERROR(__xludf.DUMMYFUNCTION("""COMPUTED_VALUE"""),72.0)</f>
        <v>72</v>
      </c>
      <c r="F1203" s="19" t="str">
        <f>IFERROR(__xludf.DUMMYFUNCTION("""COMPUTED_VALUE"""),"BLUE")</f>
        <v>BLUE</v>
      </c>
      <c r="G1203" s="20" t="str">
        <f>IFERROR(__xludf.DUMMYFUNCTION("""COMPUTED_VALUE"""),"Uncle Sams Cider (04/04/2023)")</f>
        <v>Uncle Sams Cider (04/04/2023)</v>
      </c>
      <c r="H1203" s="19"/>
    </row>
    <row r="1204">
      <c r="A1204" s="9"/>
      <c r="B1204" s="15"/>
      <c r="C1204" s="9">
        <f>IFERROR(__xludf.DUMMYFUNCTION("""COMPUTED_VALUE"""),45132.0357217592)</f>
        <v>45132.03572</v>
      </c>
      <c r="D1204" s="15">
        <f>IFERROR(__xludf.DUMMYFUNCTION("""COMPUTED_VALUE"""),0.999)</f>
        <v>0.999</v>
      </c>
      <c r="E1204" s="16">
        <f>IFERROR(__xludf.DUMMYFUNCTION("""COMPUTED_VALUE"""),71.0)</f>
        <v>71</v>
      </c>
      <c r="F1204" s="19" t="str">
        <f>IFERROR(__xludf.DUMMYFUNCTION("""COMPUTED_VALUE"""),"BLUE")</f>
        <v>BLUE</v>
      </c>
      <c r="G1204" s="20" t="str">
        <f>IFERROR(__xludf.DUMMYFUNCTION("""COMPUTED_VALUE"""),"Uncle Sams Cider (04/04/2023)")</f>
        <v>Uncle Sams Cider (04/04/2023)</v>
      </c>
      <c r="H1204" s="19"/>
    </row>
    <row r="1205">
      <c r="A1205" s="9"/>
      <c r="B1205" s="15"/>
      <c r="C1205" s="9">
        <f>IFERROR(__xludf.DUMMYFUNCTION("""COMPUTED_VALUE"""),45132.0253010995)</f>
        <v>45132.0253</v>
      </c>
      <c r="D1205" s="15">
        <f>IFERROR(__xludf.DUMMYFUNCTION("""COMPUTED_VALUE"""),0.999)</f>
        <v>0.999</v>
      </c>
      <c r="E1205" s="16">
        <f>IFERROR(__xludf.DUMMYFUNCTION("""COMPUTED_VALUE"""),71.0)</f>
        <v>71</v>
      </c>
      <c r="F1205" s="19" t="str">
        <f>IFERROR(__xludf.DUMMYFUNCTION("""COMPUTED_VALUE"""),"BLUE")</f>
        <v>BLUE</v>
      </c>
      <c r="G1205" s="20" t="str">
        <f>IFERROR(__xludf.DUMMYFUNCTION("""COMPUTED_VALUE"""),"Uncle Sams Cider (04/04/2023)")</f>
        <v>Uncle Sams Cider (04/04/2023)</v>
      </c>
      <c r="H1205" s="19"/>
    </row>
    <row r="1206">
      <c r="A1206" s="9"/>
      <c r="B1206" s="15"/>
      <c r="C1206" s="9">
        <f>IFERROR(__xludf.DUMMYFUNCTION("""COMPUTED_VALUE"""),45132.0148787152)</f>
        <v>45132.01488</v>
      </c>
      <c r="D1206" s="15">
        <f>IFERROR(__xludf.DUMMYFUNCTION("""COMPUTED_VALUE"""),0.999)</f>
        <v>0.999</v>
      </c>
      <c r="E1206" s="16">
        <f>IFERROR(__xludf.DUMMYFUNCTION("""COMPUTED_VALUE"""),71.0)</f>
        <v>71</v>
      </c>
      <c r="F1206" s="19" t="str">
        <f>IFERROR(__xludf.DUMMYFUNCTION("""COMPUTED_VALUE"""),"BLUE")</f>
        <v>BLUE</v>
      </c>
      <c r="G1206" s="20" t="str">
        <f>IFERROR(__xludf.DUMMYFUNCTION("""COMPUTED_VALUE"""),"Uncle Sams Cider (04/04/2023)")</f>
        <v>Uncle Sams Cider (04/04/2023)</v>
      </c>
      <c r="H1206" s="19"/>
    </row>
    <row r="1207">
      <c r="A1207" s="9"/>
      <c r="B1207" s="15"/>
      <c r="C1207" s="9">
        <f>IFERROR(__xludf.DUMMYFUNCTION("""COMPUTED_VALUE"""),45132.0044589236)</f>
        <v>45132.00446</v>
      </c>
      <c r="D1207" s="15">
        <f>IFERROR(__xludf.DUMMYFUNCTION("""COMPUTED_VALUE"""),0.999)</f>
        <v>0.999</v>
      </c>
      <c r="E1207" s="16">
        <f>IFERROR(__xludf.DUMMYFUNCTION("""COMPUTED_VALUE"""),71.0)</f>
        <v>71</v>
      </c>
      <c r="F1207" s="19" t="str">
        <f>IFERROR(__xludf.DUMMYFUNCTION("""COMPUTED_VALUE"""),"BLUE")</f>
        <v>BLUE</v>
      </c>
      <c r="G1207" s="20" t="str">
        <f>IFERROR(__xludf.DUMMYFUNCTION("""COMPUTED_VALUE"""),"Uncle Sams Cider (04/04/2023)")</f>
        <v>Uncle Sams Cider (04/04/2023)</v>
      </c>
      <c r="H1207" s="19"/>
    </row>
    <row r="1208">
      <c r="A1208" s="9"/>
      <c r="B1208" s="15"/>
      <c r="C1208" s="9">
        <f>IFERROR(__xludf.DUMMYFUNCTION("""COMPUTED_VALUE"""),45131.994036956)</f>
        <v>45131.99404</v>
      </c>
      <c r="D1208" s="15">
        <f>IFERROR(__xludf.DUMMYFUNCTION("""COMPUTED_VALUE"""),0.999)</f>
        <v>0.999</v>
      </c>
      <c r="E1208" s="16">
        <f>IFERROR(__xludf.DUMMYFUNCTION("""COMPUTED_VALUE"""),71.0)</f>
        <v>71</v>
      </c>
      <c r="F1208" s="19" t="str">
        <f>IFERROR(__xludf.DUMMYFUNCTION("""COMPUTED_VALUE"""),"BLUE")</f>
        <v>BLUE</v>
      </c>
      <c r="G1208" s="20" t="str">
        <f>IFERROR(__xludf.DUMMYFUNCTION("""COMPUTED_VALUE"""),"Uncle Sams Cider (04/04/2023)")</f>
        <v>Uncle Sams Cider (04/04/2023)</v>
      </c>
      <c r="H1208" s="19"/>
    </row>
    <row r="1209">
      <c r="A1209" s="9"/>
      <c r="B1209" s="15"/>
      <c r="C1209" s="9">
        <f>IFERROR(__xludf.DUMMYFUNCTION("""COMPUTED_VALUE"""),45131.9836164699)</f>
        <v>45131.98362</v>
      </c>
      <c r="D1209" s="15">
        <f>IFERROR(__xludf.DUMMYFUNCTION("""COMPUTED_VALUE"""),0.999)</f>
        <v>0.999</v>
      </c>
      <c r="E1209" s="16">
        <f>IFERROR(__xludf.DUMMYFUNCTION("""COMPUTED_VALUE"""),71.0)</f>
        <v>71</v>
      </c>
      <c r="F1209" s="19" t="str">
        <f>IFERROR(__xludf.DUMMYFUNCTION("""COMPUTED_VALUE"""),"BLUE")</f>
        <v>BLUE</v>
      </c>
      <c r="G1209" s="20" t="str">
        <f>IFERROR(__xludf.DUMMYFUNCTION("""COMPUTED_VALUE"""),"Uncle Sams Cider (04/04/2023)")</f>
        <v>Uncle Sams Cider (04/04/2023)</v>
      </c>
      <c r="H1209" s="19"/>
    </row>
    <row r="1210">
      <c r="A1210" s="9"/>
      <c r="B1210" s="15"/>
      <c r="C1210" s="9">
        <f>IFERROR(__xludf.DUMMYFUNCTION("""COMPUTED_VALUE"""),45131.973195081)</f>
        <v>45131.9732</v>
      </c>
      <c r="D1210" s="15">
        <f>IFERROR(__xludf.DUMMYFUNCTION("""COMPUTED_VALUE"""),0.998)</f>
        <v>0.998</v>
      </c>
      <c r="E1210" s="16">
        <f>IFERROR(__xludf.DUMMYFUNCTION("""COMPUTED_VALUE"""),71.0)</f>
        <v>71</v>
      </c>
      <c r="F1210" s="19" t="str">
        <f>IFERROR(__xludf.DUMMYFUNCTION("""COMPUTED_VALUE"""),"BLUE")</f>
        <v>BLUE</v>
      </c>
      <c r="G1210" s="20" t="str">
        <f>IFERROR(__xludf.DUMMYFUNCTION("""COMPUTED_VALUE"""),"Uncle Sams Cider (04/04/2023)")</f>
        <v>Uncle Sams Cider (04/04/2023)</v>
      </c>
      <c r="H1210" s="19"/>
    </row>
    <row r="1211">
      <c r="A1211" s="9"/>
      <c r="B1211" s="15"/>
      <c r="C1211" s="9">
        <f>IFERROR(__xludf.DUMMYFUNCTION("""COMPUTED_VALUE"""),45131.9627718518)</f>
        <v>45131.96277</v>
      </c>
      <c r="D1211" s="15">
        <f>IFERROR(__xludf.DUMMYFUNCTION("""COMPUTED_VALUE"""),0.998)</f>
        <v>0.998</v>
      </c>
      <c r="E1211" s="16">
        <f>IFERROR(__xludf.DUMMYFUNCTION("""COMPUTED_VALUE"""),71.0)</f>
        <v>71</v>
      </c>
      <c r="F1211" s="19" t="str">
        <f>IFERROR(__xludf.DUMMYFUNCTION("""COMPUTED_VALUE"""),"BLUE")</f>
        <v>BLUE</v>
      </c>
      <c r="G1211" s="20" t="str">
        <f>IFERROR(__xludf.DUMMYFUNCTION("""COMPUTED_VALUE"""),"Uncle Sams Cider (04/04/2023)")</f>
        <v>Uncle Sams Cider (04/04/2023)</v>
      </c>
      <c r="H1211" s="19"/>
    </row>
    <row r="1212">
      <c r="A1212" s="9"/>
      <c r="B1212" s="15"/>
      <c r="C1212" s="9">
        <f>IFERROR(__xludf.DUMMYFUNCTION("""COMPUTED_VALUE"""),45131.9523416666)</f>
        <v>45131.95234</v>
      </c>
      <c r="D1212" s="15">
        <f>IFERROR(__xludf.DUMMYFUNCTION("""COMPUTED_VALUE"""),0.999)</f>
        <v>0.999</v>
      </c>
      <c r="E1212" s="16">
        <f>IFERROR(__xludf.DUMMYFUNCTION("""COMPUTED_VALUE"""),71.0)</f>
        <v>71</v>
      </c>
      <c r="F1212" s="19" t="str">
        <f>IFERROR(__xludf.DUMMYFUNCTION("""COMPUTED_VALUE"""),"BLUE")</f>
        <v>BLUE</v>
      </c>
      <c r="G1212" s="20" t="str">
        <f>IFERROR(__xludf.DUMMYFUNCTION("""COMPUTED_VALUE"""),"Uncle Sams Cider (04/04/2023)")</f>
        <v>Uncle Sams Cider (04/04/2023)</v>
      </c>
      <c r="H1212" s="19"/>
    </row>
    <row r="1213">
      <c r="A1213" s="9"/>
      <c r="B1213" s="15"/>
      <c r="C1213" s="9">
        <f>IFERROR(__xludf.DUMMYFUNCTION("""COMPUTED_VALUE"""),45131.9419087384)</f>
        <v>45131.94191</v>
      </c>
      <c r="D1213" s="15">
        <f>IFERROR(__xludf.DUMMYFUNCTION("""COMPUTED_VALUE"""),0.999)</f>
        <v>0.999</v>
      </c>
      <c r="E1213" s="16">
        <f>IFERROR(__xludf.DUMMYFUNCTION("""COMPUTED_VALUE"""),71.0)</f>
        <v>71</v>
      </c>
      <c r="F1213" s="19" t="str">
        <f>IFERROR(__xludf.DUMMYFUNCTION("""COMPUTED_VALUE"""),"BLUE")</f>
        <v>BLUE</v>
      </c>
      <c r="G1213" s="20" t="str">
        <f>IFERROR(__xludf.DUMMYFUNCTION("""COMPUTED_VALUE"""),"Uncle Sams Cider (04/04/2023)")</f>
        <v>Uncle Sams Cider (04/04/2023)</v>
      </c>
      <c r="H1213" s="19"/>
    </row>
    <row r="1214">
      <c r="A1214" s="9"/>
      <c r="B1214" s="15"/>
      <c r="C1214" s="9">
        <f>IFERROR(__xludf.DUMMYFUNCTION("""COMPUTED_VALUE"""),45131.9314880787)</f>
        <v>45131.93149</v>
      </c>
      <c r="D1214" s="15">
        <f>IFERROR(__xludf.DUMMYFUNCTION("""COMPUTED_VALUE"""),0.999)</f>
        <v>0.999</v>
      </c>
      <c r="E1214" s="16">
        <f>IFERROR(__xludf.DUMMYFUNCTION("""COMPUTED_VALUE"""),71.0)</f>
        <v>71</v>
      </c>
      <c r="F1214" s="19" t="str">
        <f>IFERROR(__xludf.DUMMYFUNCTION("""COMPUTED_VALUE"""),"BLUE")</f>
        <v>BLUE</v>
      </c>
      <c r="G1214" s="20" t="str">
        <f>IFERROR(__xludf.DUMMYFUNCTION("""COMPUTED_VALUE"""),"Uncle Sams Cider (04/04/2023)")</f>
        <v>Uncle Sams Cider (04/04/2023)</v>
      </c>
      <c r="H1214" s="19"/>
    </row>
    <row r="1215">
      <c r="A1215" s="9"/>
      <c r="B1215" s="15"/>
      <c r="C1215" s="9">
        <f>IFERROR(__xludf.DUMMYFUNCTION("""COMPUTED_VALUE"""),45131.9210659606)</f>
        <v>45131.92107</v>
      </c>
      <c r="D1215" s="15">
        <f>IFERROR(__xludf.DUMMYFUNCTION("""COMPUTED_VALUE"""),0.998)</f>
        <v>0.998</v>
      </c>
      <c r="E1215" s="16">
        <f>IFERROR(__xludf.DUMMYFUNCTION("""COMPUTED_VALUE"""),71.0)</f>
        <v>71</v>
      </c>
      <c r="F1215" s="19" t="str">
        <f>IFERROR(__xludf.DUMMYFUNCTION("""COMPUTED_VALUE"""),"BLUE")</f>
        <v>BLUE</v>
      </c>
      <c r="G1215" s="20" t="str">
        <f>IFERROR(__xludf.DUMMYFUNCTION("""COMPUTED_VALUE"""),"Uncle Sams Cider (04/04/2023)")</f>
        <v>Uncle Sams Cider (04/04/2023)</v>
      </c>
      <c r="H1215" s="19"/>
    </row>
    <row r="1216">
      <c r="A1216" s="9"/>
      <c r="B1216" s="15"/>
      <c r="C1216" s="9">
        <f>IFERROR(__xludf.DUMMYFUNCTION("""COMPUTED_VALUE"""),45131.9106435763)</f>
        <v>45131.91064</v>
      </c>
      <c r="D1216" s="15">
        <f>IFERROR(__xludf.DUMMYFUNCTION("""COMPUTED_VALUE"""),0.998)</f>
        <v>0.998</v>
      </c>
      <c r="E1216" s="16">
        <f>IFERROR(__xludf.DUMMYFUNCTION("""COMPUTED_VALUE"""),71.0)</f>
        <v>71</v>
      </c>
      <c r="F1216" s="19" t="str">
        <f>IFERROR(__xludf.DUMMYFUNCTION("""COMPUTED_VALUE"""),"BLUE")</f>
        <v>BLUE</v>
      </c>
      <c r="G1216" s="20" t="str">
        <f>IFERROR(__xludf.DUMMYFUNCTION("""COMPUTED_VALUE"""),"Uncle Sams Cider (04/04/2023)")</f>
        <v>Uncle Sams Cider (04/04/2023)</v>
      </c>
      <c r="H1216" s="19"/>
    </row>
    <row r="1217">
      <c r="A1217" s="9"/>
      <c r="B1217" s="15"/>
      <c r="C1217" s="9">
        <f>IFERROR(__xludf.DUMMYFUNCTION("""COMPUTED_VALUE"""),45131.900210405)</f>
        <v>45131.90021</v>
      </c>
      <c r="D1217" s="15">
        <f>IFERROR(__xludf.DUMMYFUNCTION("""COMPUTED_VALUE"""),0.998)</f>
        <v>0.998</v>
      </c>
      <c r="E1217" s="16">
        <f>IFERROR(__xludf.DUMMYFUNCTION("""COMPUTED_VALUE"""),71.0)</f>
        <v>71</v>
      </c>
      <c r="F1217" s="19" t="str">
        <f>IFERROR(__xludf.DUMMYFUNCTION("""COMPUTED_VALUE"""),"BLUE")</f>
        <v>BLUE</v>
      </c>
      <c r="G1217" s="20" t="str">
        <f>IFERROR(__xludf.DUMMYFUNCTION("""COMPUTED_VALUE"""),"Uncle Sams Cider (04/04/2023)")</f>
        <v>Uncle Sams Cider (04/04/2023)</v>
      </c>
      <c r="H1217" s="19"/>
    </row>
    <row r="1218">
      <c r="A1218" s="9"/>
      <c r="B1218" s="15"/>
      <c r="C1218" s="9">
        <f>IFERROR(__xludf.DUMMYFUNCTION("""COMPUTED_VALUE"""),45131.8897902199)</f>
        <v>45131.88979</v>
      </c>
      <c r="D1218" s="15">
        <f>IFERROR(__xludf.DUMMYFUNCTION("""COMPUTED_VALUE"""),0.999)</f>
        <v>0.999</v>
      </c>
      <c r="E1218" s="16">
        <f>IFERROR(__xludf.DUMMYFUNCTION("""COMPUTED_VALUE"""),71.0)</f>
        <v>71</v>
      </c>
      <c r="F1218" s="19" t="str">
        <f>IFERROR(__xludf.DUMMYFUNCTION("""COMPUTED_VALUE"""),"BLUE")</f>
        <v>BLUE</v>
      </c>
      <c r="G1218" s="20" t="str">
        <f>IFERROR(__xludf.DUMMYFUNCTION("""COMPUTED_VALUE"""),"Uncle Sams Cider (04/04/2023)")</f>
        <v>Uncle Sams Cider (04/04/2023)</v>
      </c>
      <c r="H1218" s="19"/>
    </row>
    <row r="1219">
      <c r="A1219" s="9"/>
      <c r="B1219" s="15"/>
      <c r="C1219" s="9">
        <f>IFERROR(__xludf.DUMMYFUNCTION("""COMPUTED_VALUE"""),45131.8793695833)</f>
        <v>45131.87937</v>
      </c>
      <c r="D1219" s="15">
        <f>IFERROR(__xludf.DUMMYFUNCTION("""COMPUTED_VALUE"""),0.999)</f>
        <v>0.999</v>
      </c>
      <c r="E1219" s="16">
        <f>IFERROR(__xludf.DUMMYFUNCTION("""COMPUTED_VALUE"""),71.0)</f>
        <v>71</v>
      </c>
      <c r="F1219" s="19" t="str">
        <f>IFERROR(__xludf.DUMMYFUNCTION("""COMPUTED_VALUE"""),"BLUE")</f>
        <v>BLUE</v>
      </c>
      <c r="G1219" s="20" t="str">
        <f>IFERROR(__xludf.DUMMYFUNCTION("""COMPUTED_VALUE"""),"Uncle Sams Cider (04/04/2023)")</f>
        <v>Uncle Sams Cider (04/04/2023)</v>
      </c>
      <c r="H1219" s="19"/>
    </row>
    <row r="1220">
      <c r="A1220" s="9"/>
      <c r="B1220" s="15"/>
      <c r="C1220" s="9">
        <f>IFERROR(__xludf.DUMMYFUNCTION("""COMPUTED_VALUE"""),45131.8689353356)</f>
        <v>45131.86894</v>
      </c>
      <c r="D1220" s="15">
        <f>IFERROR(__xludf.DUMMYFUNCTION("""COMPUTED_VALUE"""),0.999)</f>
        <v>0.999</v>
      </c>
      <c r="E1220" s="16">
        <f>IFERROR(__xludf.DUMMYFUNCTION("""COMPUTED_VALUE"""),71.0)</f>
        <v>71</v>
      </c>
      <c r="F1220" s="19" t="str">
        <f>IFERROR(__xludf.DUMMYFUNCTION("""COMPUTED_VALUE"""),"BLUE")</f>
        <v>BLUE</v>
      </c>
      <c r="G1220" s="20" t="str">
        <f>IFERROR(__xludf.DUMMYFUNCTION("""COMPUTED_VALUE"""),"Uncle Sams Cider (04/04/2023)")</f>
        <v>Uncle Sams Cider (04/04/2023)</v>
      </c>
      <c r="H1220" s="19"/>
    </row>
    <row r="1221">
      <c r="A1221" s="9"/>
      <c r="B1221" s="15"/>
      <c r="C1221" s="9">
        <f>IFERROR(__xludf.DUMMYFUNCTION("""COMPUTED_VALUE"""),45131.8585032176)</f>
        <v>45131.8585</v>
      </c>
      <c r="D1221" s="15">
        <f>IFERROR(__xludf.DUMMYFUNCTION("""COMPUTED_VALUE"""),0.998)</f>
        <v>0.998</v>
      </c>
      <c r="E1221" s="16">
        <f>IFERROR(__xludf.DUMMYFUNCTION("""COMPUTED_VALUE"""),71.0)</f>
        <v>71</v>
      </c>
      <c r="F1221" s="19" t="str">
        <f>IFERROR(__xludf.DUMMYFUNCTION("""COMPUTED_VALUE"""),"BLUE")</f>
        <v>BLUE</v>
      </c>
      <c r="G1221" s="20" t="str">
        <f>IFERROR(__xludf.DUMMYFUNCTION("""COMPUTED_VALUE"""),"Uncle Sams Cider (04/04/2023)")</f>
        <v>Uncle Sams Cider (04/04/2023)</v>
      </c>
      <c r="H1221" s="19"/>
    </row>
    <row r="1222">
      <c r="A1222" s="9"/>
      <c r="B1222" s="15"/>
      <c r="C1222" s="9">
        <f>IFERROR(__xludf.DUMMYFUNCTION("""COMPUTED_VALUE"""),45131.8480589583)</f>
        <v>45131.84806</v>
      </c>
      <c r="D1222" s="15">
        <f>IFERROR(__xludf.DUMMYFUNCTION("""COMPUTED_VALUE"""),0.998)</f>
        <v>0.998</v>
      </c>
      <c r="E1222" s="16">
        <f>IFERROR(__xludf.DUMMYFUNCTION("""COMPUTED_VALUE"""),71.0)</f>
        <v>71</v>
      </c>
      <c r="F1222" s="19" t="str">
        <f>IFERROR(__xludf.DUMMYFUNCTION("""COMPUTED_VALUE"""),"BLUE")</f>
        <v>BLUE</v>
      </c>
      <c r="G1222" s="20" t="str">
        <f>IFERROR(__xludf.DUMMYFUNCTION("""COMPUTED_VALUE"""),"Uncle Sams Cider (04/04/2023)")</f>
        <v>Uncle Sams Cider (04/04/2023)</v>
      </c>
      <c r="H1222" s="19"/>
    </row>
    <row r="1223">
      <c r="A1223" s="9"/>
      <c r="B1223" s="15"/>
      <c r="C1223" s="9">
        <f>IFERROR(__xludf.DUMMYFUNCTION("""COMPUTED_VALUE"""),45131.837639074)</f>
        <v>45131.83764</v>
      </c>
      <c r="D1223" s="15">
        <f>IFERROR(__xludf.DUMMYFUNCTION("""COMPUTED_VALUE"""),0.998)</f>
        <v>0.998</v>
      </c>
      <c r="E1223" s="16">
        <f>IFERROR(__xludf.DUMMYFUNCTION("""COMPUTED_VALUE"""),71.0)</f>
        <v>71</v>
      </c>
      <c r="F1223" s="19" t="str">
        <f>IFERROR(__xludf.DUMMYFUNCTION("""COMPUTED_VALUE"""),"BLUE")</f>
        <v>BLUE</v>
      </c>
      <c r="G1223" s="20" t="str">
        <f>IFERROR(__xludf.DUMMYFUNCTION("""COMPUTED_VALUE"""),"Uncle Sams Cider (04/04/2023)")</f>
        <v>Uncle Sams Cider (04/04/2023)</v>
      </c>
      <c r="H1223" s="19"/>
    </row>
    <row r="1224">
      <c r="A1224" s="9"/>
      <c r="B1224" s="15"/>
      <c r="C1224" s="9">
        <f>IFERROR(__xludf.DUMMYFUNCTION("""COMPUTED_VALUE"""),45131.8272175115)</f>
        <v>45131.82722</v>
      </c>
      <c r="D1224" s="15">
        <f>IFERROR(__xludf.DUMMYFUNCTION("""COMPUTED_VALUE"""),0.998)</f>
        <v>0.998</v>
      </c>
      <c r="E1224" s="16">
        <f>IFERROR(__xludf.DUMMYFUNCTION("""COMPUTED_VALUE"""),71.0)</f>
        <v>71</v>
      </c>
      <c r="F1224" s="19" t="str">
        <f>IFERROR(__xludf.DUMMYFUNCTION("""COMPUTED_VALUE"""),"BLUE")</f>
        <v>BLUE</v>
      </c>
      <c r="G1224" s="20" t="str">
        <f>IFERROR(__xludf.DUMMYFUNCTION("""COMPUTED_VALUE"""),"Uncle Sams Cider (04/04/2023)")</f>
        <v>Uncle Sams Cider (04/04/2023)</v>
      </c>
      <c r="H1224" s="19"/>
    </row>
    <row r="1225">
      <c r="A1225" s="9"/>
      <c r="B1225" s="15"/>
      <c r="C1225" s="9">
        <f>IFERROR(__xludf.DUMMYFUNCTION("""COMPUTED_VALUE"""),45131.8167969675)</f>
        <v>45131.8168</v>
      </c>
      <c r="D1225" s="15">
        <f>IFERROR(__xludf.DUMMYFUNCTION("""COMPUTED_VALUE"""),0.999)</f>
        <v>0.999</v>
      </c>
      <c r="E1225" s="16">
        <f>IFERROR(__xludf.DUMMYFUNCTION("""COMPUTED_VALUE"""),71.0)</f>
        <v>71</v>
      </c>
      <c r="F1225" s="19" t="str">
        <f>IFERROR(__xludf.DUMMYFUNCTION("""COMPUTED_VALUE"""),"BLUE")</f>
        <v>BLUE</v>
      </c>
      <c r="G1225" s="20" t="str">
        <f>IFERROR(__xludf.DUMMYFUNCTION("""COMPUTED_VALUE"""),"Uncle Sams Cider (04/04/2023)")</f>
        <v>Uncle Sams Cider (04/04/2023)</v>
      </c>
      <c r="H1225" s="19"/>
    </row>
    <row r="1226">
      <c r="A1226" s="9"/>
      <c r="B1226" s="15"/>
      <c r="C1226" s="9">
        <f>IFERROR(__xludf.DUMMYFUNCTION("""COMPUTED_VALUE"""),45131.8063758333)</f>
        <v>45131.80638</v>
      </c>
      <c r="D1226" s="15">
        <f>IFERROR(__xludf.DUMMYFUNCTION("""COMPUTED_VALUE"""),0.998)</f>
        <v>0.998</v>
      </c>
      <c r="E1226" s="16">
        <f>IFERROR(__xludf.DUMMYFUNCTION("""COMPUTED_VALUE"""),71.0)</f>
        <v>71</v>
      </c>
      <c r="F1226" s="19" t="str">
        <f>IFERROR(__xludf.DUMMYFUNCTION("""COMPUTED_VALUE"""),"BLUE")</f>
        <v>BLUE</v>
      </c>
      <c r="G1226" s="20" t="str">
        <f>IFERROR(__xludf.DUMMYFUNCTION("""COMPUTED_VALUE"""),"Uncle Sams Cider (04/04/2023)")</f>
        <v>Uncle Sams Cider (04/04/2023)</v>
      </c>
      <c r="H1226" s="19"/>
    </row>
    <row r="1227">
      <c r="A1227" s="9"/>
      <c r="B1227" s="15"/>
      <c r="C1227" s="9">
        <f>IFERROR(__xludf.DUMMYFUNCTION("""COMPUTED_VALUE"""),45131.7959572685)</f>
        <v>45131.79596</v>
      </c>
      <c r="D1227" s="15">
        <f>IFERROR(__xludf.DUMMYFUNCTION("""COMPUTED_VALUE"""),0.998)</f>
        <v>0.998</v>
      </c>
      <c r="E1227" s="16">
        <f>IFERROR(__xludf.DUMMYFUNCTION("""COMPUTED_VALUE"""),71.0)</f>
        <v>71</v>
      </c>
      <c r="F1227" s="19" t="str">
        <f>IFERROR(__xludf.DUMMYFUNCTION("""COMPUTED_VALUE"""),"BLUE")</f>
        <v>BLUE</v>
      </c>
      <c r="G1227" s="20" t="str">
        <f>IFERROR(__xludf.DUMMYFUNCTION("""COMPUTED_VALUE"""),"Uncle Sams Cider (04/04/2023)")</f>
        <v>Uncle Sams Cider (04/04/2023)</v>
      </c>
      <c r="H1227" s="19"/>
    </row>
    <row r="1228">
      <c r="A1228" s="9"/>
      <c r="B1228" s="15"/>
      <c r="C1228" s="9">
        <f>IFERROR(__xludf.DUMMYFUNCTION("""COMPUTED_VALUE"""),45131.7855365972)</f>
        <v>45131.78554</v>
      </c>
      <c r="D1228" s="15">
        <f>IFERROR(__xludf.DUMMYFUNCTION("""COMPUTED_VALUE"""),0.999)</f>
        <v>0.999</v>
      </c>
      <c r="E1228" s="16">
        <f>IFERROR(__xludf.DUMMYFUNCTION("""COMPUTED_VALUE"""),71.0)</f>
        <v>71</v>
      </c>
      <c r="F1228" s="19" t="str">
        <f>IFERROR(__xludf.DUMMYFUNCTION("""COMPUTED_VALUE"""),"BLUE")</f>
        <v>BLUE</v>
      </c>
      <c r="G1228" s="20" t="str">
        <f>IFERROR(__xludf.DUMMYFUNCTION("""COMPUTED_VALUE"""),"Uncle Sams Cider (04/04/2023)")</f>
        <v>Uncle Sams Cider (04/04/2023)</v>
      </c>
      <c r="H1228" s="19"/>
    </row>
    <row r="1229">
      <c r="A1229" s="9"/>
      <c r="B1229" s="15"/>
      <c r="C1229" s="9">
        <f>IFERROR(__xludf.DUMMYFUNCTION("""COMPUTED_VALUE"""),45131.775115949)</f>
        <v>45131.77512</v>
      </c>
      <c r="D1229" s="15">
        <f>IFERROR(__xludf.DUMMYFUNCTION("""COMPUTED_VALUE"""),0.999)</f>
        <v>0.999</v>
      </c>
      <c r="E1229" s="16">
        <f>IFERROR(__xludf.DUMMYFUNCTION("""COMPUTED_VALUE"""),71.0)</f>
        <v>71</v>
      </c>
      <c r="F1229" s="19" t="str">
        <f>IFERROR(__xludf.DUMMYFUNCTION("""COMPUTED_VALUE"""),"BLUE")</f>
        <v>BLUE</v>
      </c>
      <c r="G1229" s="20" t="str">
        <f>IFERROR(__xludf.DUMMYFUNCTION("""COMPUTED_VALUE"""),"Uncle Sams Cider (04/04/2023)")</f>
        <v>Uncle Sams Cider (04/04/2023)</v>
      </c>
      <c r="H1229" s="19"/>
    </row>
    <row r="1230">
      <c r="A1230" s="9"/>
      <c r="B1230" s="15"/>
      <c r="C1230" s="9">
        <f>IFERROR(__xludf.DUMMYFUNCTION("""COMPUTED_VALUE"""),45131.7646935185)</f>
        <v>45131.76469</v>
      </c>
      <c r="D1230" s="15">
        <f>IFERROR(__xludf.DUMMYFUNCTION("""COMPUTED_VALUE"""),0.999)</f>
        <v>0.999</v>
      </c>
      <c r="E1230" s="16">
        <f>IFERROR(__xludf.DUMMYFUNCTION("""COMPUTED_VALUE"""),71.0)</f>
        <v>71</v>
      </c>
      <c r="F1230" s="19" t="str">
        <f>IFERROR(__xludf.DUMMYFUNCTION("""COMPUTED_VALUE"""),"BLUE")</f>
        <v>BLUE</v>
      </c>
      <c r="G1230" s="20" t="str">
        <f>IFERROR(__xludf.DUMMYFUNCTION("""COMPUTED_VALUE"""),"Uncle Sams Cider (04/04/2023)")</f>
        <v>Uncle Sams Cider (04/04/2023)</v>
      </c>
      <c r="H1230" s="19"/>
    </row>
    <row r="1231">
      <c r="A1231" s="9"/>
      <c r="B1231" s="15"/>
      <c r="C1231" s="9">
        <f>IFERROR(__xludf.DUMMYFUNCTION("""COMPUTED_VALUE"""),45131.75427228)</f>
        <v>45131.75427</v>
      </c>
      <c r="D1231" s="15">
        <f>IFERROR(__xludf.DUMMYFUNCTION("""COMPUTED_VALUE"""),0.999)</f>
        <v>0.999</v>
      </c>
      <c r="E1231" s="16">
        <f>IFERROR(__xludf.DUMMYFUNCTION("""COMPUTED_VALUE"""),71.0)</f>
        <v>71</v>
      </c>
      <c r="F1231" s="19" t="str">
        <f>IFERROR(__xludf.DUMMYFUNCTION("""COMPUTED_VALUE"""),"BLUE")</f>
        <v>BLUE</v>
      </c>
      <c r="G1231" s="20" t="str">
        <f>IFERROR(__xludf.DUMMYFUNCTION("""COMPUTED_VALUE"""),"Uncle Sams Cider (04/04/2023)")</f>
        <v>Uncle Sams Cider (04/04/2023)</v>
      </c>
      <c r="H1231" s="19"/>
    </row>
    <row r="1232">
      <c r="A1232" s="9"/>
      <c r="B1232" s="15"/>
      <c r="C1232" s="9">
        <f>IFERROR(__xludf.DUMMYFUNCTION("""COMPUTED_VALUE"""),45131.7438399189)</f>
        <v>45131.74384</v>
      </c>
      <c r="D1232" s="15">
        <f>IFERROR(__xludf.DUMMYFUNCTION("""COMPUTED_VALUE"""),0.999)</f>
        <v>0.999</v>
      </c>
      <c r="E1232" s="16">
        <f>IFERROR(__xludf.DUMMYFUNCTION("""COMPUTED_VALUE"""),71.0)</f>
        <v>71</v>
      </c>
      <c r="F1232" s="19" t="str">
        <f>IFERROR(__xludf.DUMMYFUNCTION("""COMPUTED_VALUE"""),"BLUE")</f>
        <v>BLUE</v>
      </c>
      <c r="G1232" s="20" t="str">
        <f>IFERROR(__xludf.DUMMYFUNCTION("""COMPUTED_VALUE"""),"Uncle Sams Cider (04/04/2023)")</f>
        <v>Uncle Sams Cider (04/04/2023)</v>
      </c>
      <c r="H1232" s="19"/>
    </row>
    <row r="1233">
      <c r="A1233" s="9"/>
      <c r="B1233" s="15"/>
      <c r="C1233" s="9">
        <f>IFERROR(__xludf.DUMMYFUNCTION("""COMPUTED_VALUE"""),45131.733418368)</f>
        <v>45131.73342</v>
      </c>
      <c r="D1233" s="15">
        <f>IFERROR(__xludf.DUMMYFUNCTION("""COMPUTED_VALUE"""),0.999)</f>
        <v>0.999</v>
      </c>
      <c r="E1233" s="16">
        <f>IFERROR(__xludf.DUMMYFUNCTION("""COMPUTED_VALUE"""),71.0)</f>
        <v>71</v>
      </c>
      <c r="F1233" s="19" t="str">
        <f>IFERROR(__xludf.DUMMYFUNCTION("""COMPUTED_VALUE"""),"BLUE")</f>
        <v>BLUE</v>
      </c>
      <c r="G1233" s="20" t="str">
        <f>IFERROR(__xludf.DUMMYFUNCTION("""COMPUTED_VALUE"""),"Uncle Sams Cider (04/04/2023)")</f>
        <v>Uncle Sams Cider (04/04/2023)</v>
      </c>
      <c r="H1233" s="19"/>
    </row>
    <row r="1234">
      <c r="A1234" s="9"/>
      <c r="B1234" s="15"/>
      <c r="C1234" s="9">
        <f>IFERROR(__xludf.DUMMYFUNCTION("""COMPUTED_VALUE"""),45131.7229978472)</f>
        <v>45131.723</v>
      </c>
      <c r="D1234" s="15">
        <f>IFERROR(__xludf.DUMMYFUNCTION("""COMPUTED_VALUE"""),0.999)</f>
        <v>0.999</v>
      </c>
      <c r="E1234" s="16">
        <f>IFERROR(__xludf.DUMMYFUNCTION("""COMPUTED_VALUE"""),71.0)</f>
        <v>71</v>
      </c>
      <c r="F1234" s="19" t="str">
        <f>IFERROR(__xludf.DUMMYFUNCTION("""COMPUTED_VALUE"""),"BLUE")</f>
        <v>BLUE</v>
      </c>
      <c r="G1234" s="20" t="str">
        <f>IFERROR(__xludf.DUMMYFUNCTION("""COMPUTED_VALUE"""),"Uncle Sams Cider (04/04/2023)")</f>
        <v>Uncle Sams Cider (04/04/2023)</v>
      </c>
      <c r="H1234" s="19"/>
    </row>
    <row r="1235">
      <c r="A1235" s="9"/>
      <c r="B1235" s="15"/>
      <c r="C1235" s="9">
        <f>IFERROR(__xludf.DUMMYFUNCTION("""COMPUTED_VALUE"""),45131.7125775694)</f>
        <v>45131.71258</v>
      </c>
      <c r="D1235" s="15">
        <f>IFERROR(__xludf.DUMMYFUNCTION("""COMPUTED_VALUE"""),0.998)</f>
        <v>0.998</v>
      </c>
      <c r="E1235" s="16">
        <f>IFERROR(__xludf.DUMMYFUNCTION("""COMPUTED_VALUE"""),71.0)</f>
        <v>71</v>
      </c>
      <c r="F1235" s="19" t="str">
        <f>IFERROR(__xludf.DUMMYFUNCTION("""COMPUTED_VALUE"""),"BLUE")</f>
        <v>BLUE</v>
      </c>
      <c r="G1235" s="20" t="str">
        <f>IFERROR(__xludf.DUMMYFUNCTION("""COMPUTED_VALUE"""),"Uncle Sams Cider (04/04/2023)")</f>
        <v>Uncle Sams Cider (04/04/2023)</v>
      </c>
      <c r="H1235" s="19"/>
    </row>
    <row r="1236">
      <c r="A1236" s="9"/>
      <c r="B1236" s="15"/>
      <c r="C1236" s="9">
        <f>IFERROR(__xludf.DUMMYFUNCTION("""COMPUTED_VALUE"""),45131.7021556713)</f>
        <v>45131.70216</v>
      </c>
      <c r="D1236" s="15">
        <f>IFERROR(__xludf.DUMMYFUNCTION("""COMPUTED_VALUE"""),0.998)</f>
        <v>0.998</v>
      </c>
      <c r="E1236" s="16">
        <f>IFERROR(__xludf.DUMMYFUNCTION("""COMPUTED_VALUE"""),71.0)</f>
        <v>71</v>
      </c>
      <c r="F1236" s="19" t="str">
        <f>IFERROR(__xludf.DUMMYFUNCTION("""COMPUTED_VALUE"""),"BLUE")</f>
        <v>BLUE</v>
      </c>
      <c r="G1236" s="20" t="str">
        <f>IFERROR(__xludf.DUMMYFUNCTION("""COMPUTED_VALUE"""),"Uncle Sams Cider (04/04/2023)")</f>
        <v>Uncle Sams Cider (04/04/2023)</v>
      </c>
      <c r="H1236" s="19"/>
    </row>
    <row r="1237">
      <c r="A1237" s="9"/>
      <c r="B1237" s="15"/>
      <c r="C1237" s="9">
        <f>IFERROR(__xludf.DUMMYFUNCTION("""COMPUTED_VALUE"""),45131.6917368402)</f>
        <v>45131.69174</v>
      </c>
      <c r="D1237" s="15">
        <f>IFERROR(__xludf.DUMMYFUNCTION("""COMPUTED_VALUE"""),0.998)</f>
        <v>0.998</v>
      </c>
      <c r="E1237" s="16">
        <f>IFERROR(__xludf.DUMMYFUNCTION("""COMPUTED_VALUE"""),71.0)</f>
        <v>71</v>
      </c>
      <c r="F1237" s="19" t="str">
        <f>IFERROR(__xludf.DUMMYFUNCTION("""COMPUTED_VALUE"""),"BLUE")</f>
        <v>BLUE</v>
      </c>
      <c r="G1237" s="20" t="str">
        <f>IFERROR(__xludf.DUMMYFUNCTION("""COMPUTED_VALUE"""),"Uncle Sams Cider (04/04/2023)")</f>
        <v>Uncle Sams Cider (04/04/2023)</v>
      </c>
      <c r="H1237" s="19"/>
    </row>
    <row r="1238">
      <c r="A1238" s="9"/>
      <c r="B1238" s="15"/>
      <c r="C1238" s="9">
        <f>IFERROR(__xludf.DUMMYFUNCTION("""COMPUTED_VALUE"""),45131.6813029166)</f>
        <v>45131.6813</v>
      </c>
      <c r="D1238" s="15">
        <f>IFERROR(__xludf.DUMMYFUNCTION("""COMPUTED_VALUE"""),0.999)</f>
        <v>0.999</v>
      </c>
      <c r="E1238" s="16">
        <f>IFERROR(__xludf.DUMMYFUNCTION("""COMPUTED_VALUE"""),71.0)</f>
        <v>71</v>
      </c>
      <c r="F1238" s="19" t="str">
        <f>IFERROR(__xludf.DUMMYFUNCTION("""COMPUTED_VALUE"""),"BLUE")</f>
        <v>BLUE</v>
      </c>
      <c r="G1238" s="20" t="str">
        <f>IFERROR(__xludf.DUMMYFUNCTION("""COMPUTED_VALUE"""),"Uncle Sams Cider (04/04/2023)")</f>
        <v>Uncle Sams Cider (04/04/2023)</v>
      </c>
      <c r="H1238" s="19"/>
    </row>
    <row r="1239">
      <c r="A1239" s="9"/>
      <c r="B1239" s="15"/>
      <c r="C1239" s="9">
        <f>IFERROR(__xludf.DUMMYFUNCTION("""COMPUTED_VALUE"""),45131.6604475231)</f>
        <v>45131.66045</v>
      </c>
      <c r="D1239" s="15">
        <f>IFERROR(__xludf.DUMMYFUNCTION("""COMPUTED_VALUE"""),0.998)</f>
        <v>0.998</v>
      </c>
      <c r="E1239" s="16">
        <f>IFERROR(__xludf.DUMMYFUNCTION("""COMPUTED_VALUE"""),71.0)</f>
        <v>71</v>
      </c>
      <c r="F1239" s="19" t="str">
        <f>IFERROR(__xludf.DUMMYFUNCTION("""COMPUTED_VALUE"""),"BLUE")</f>
        <v>BLUE</v>
      </c>
      <c r="G1239" s="20" t="str">
        <f>IFERROR(__xludf.DUMMYFUNCTION("""COMPUTED_VALUE"""),"Uncle Sams Cider (04/04/2023)")</f>
        <v>Uncle Sams Cider (04/04/2023)</v>
      </c>
      <c r="H1239" s="19"/>
    </row>
    <row r="1240">
      <c r="A1240" s="9"/>
      <c r="B1240" s="15"/>
      <c r="C1240" s="9">
        <f>IFERROR(__xludf.DUMMYFUNCTION("""COMPUTED_VALUE"""),45131.6500260763)</f>
        <v>45131.65003</v>
      </c>
      <c r="D1240" s="15">
        <f>IFERROR(__xludf.DUMMYFUNCTION("""COMPUTED_VALUE"""),0.998)</f>
        <v>0.998</v>
      </c>
      <c r="E1240" s="16">
        <f>IFERROR(__xludf.DUMMYFUNCTION("""COMPUTED_VALUE"""),71.0)</f>
        <v>71</v>
      </c>
      <c r="F1240" s="19" t="str">
        <f>IFERROR(__xludf.DUMMYFUNCTION("""COMPUTED_VALUE"""),"BLUE")</f>
        <v>BLUE</v>
      </c>
      <c r="G1240" s="20" t="str">
        <f>IFERROR(__xludf.DUMMYFUNCTION("""COMPUTED_VALUE"""),"Uncle Sams Cider (04/04/2023)")</f>
        <v>Uncle Sams Cider (04/04/2023)</v>
      </c>
      <c r="H1240" s="19"/>
    </row>
    <row r="1241">
      <c r="A1241" s="9"/>
      <c r="B1241" s="15"/>
      <c r="C1241" s="9">
        <f>IFERROR(__xludf.DUMMYFUNCTION("""COMPUTED_VALUE"""),45131.6396048495)</f>
        <v>45131.6396</v>
      </c>
      <c r="D1241" s="15">
        <f>IFERROR(__xludf.DUMMYFUNCTION("""COMPUTED_VALUE"""),0.999)</f>
        <v>0.999</v>
      </c>
      <c r="E1241" s="16">
        <f>IFERROR(__xludf.DUMMYFUNCTION("""COMPUTED_VALUE"""),71.0)</f>
        <v>71</v>
      </c>
      <c r="F1241" s="19" t="str">
        <f>IFERROR(__xludf.DUMMYFUNCTION("""COMPUTED_VALUE"""),"BLUE")</f>
        <v>BLUE</v>
      </c>
      <c r="G1241" s="20" t="str">
        <f>IFERROR(__xludf.DUMMYFUNCTION("""COMPUTED_VALUE"""),"Uncle Sams Cider (04/04/2023)")</f>
        <v>Uncle Sams Cider (04/04/2023)</v>
      </c>
      <c r="H1241" s="19"/>
    </row>
    <row r="1242">
      <c r="A1242" s="9"/>
      <c r="B1242" s="15"/>
      <c r="C1242" s="9">
        <f>IFERROR(__xludf.DUMMYFUNCTION("""COMPUTED_VALUE"""),45131.6291852083)</f>
        <v>45131.62919</v>
      </c>
      <c r="D1242" s="15">
        <f>IFERROR(__xludf.DUMMYFUNCTION("""COMPUTED_VALUE"""),0.998)</f>
        <v>0.998</v>
      </c>
      <c r="E1242" s="16">
        <f>IFERROR(__xludf.DUMMYFUNCTION("""COMPUTED_VALUE"""),71.0)</f>
        <v>71</v>
      </c>
      <c r="F1242" s="19" t="str">
        <f>IFERROR(__xludf.DUMMYFUNCTION("""COMPUTED_VALUE"""),"BLUE")</f>
        <v>BLUE</v>
      </c>
      <c r="G1242" s="20" t="str">
        <f>IFERROR(__xludf.DUMMYFUNCTION("""COMPUTED_VALUE"""),"Uncle Sams Cider (04/04/2023)")</f>
        <v>Uncle Sams Cider (04/04/2023)</v>
      </c>
      <c r="H1242" s="19"/>
    </row>
    <row r="1243">
      <c r="A1243" s="9"/>
      <c r="B1243" s="15"/>
      <c r="C1243" s="9">
        <f>IFERROR(__xludf.DUMMYFUNCTION("""COMPUTED_VALUE"""),45131.6187642129)</f>
        <v>45131.61876</v>
      </c>
      <c r="D1243" s="15">
        <f>IFERROR(__xludf.DUMMYFUNCTION("""COMPUTED_VALUE"""),0.998)</f>
        <v>0.998</v>
      </c>
      <c r="E1243" s="16">
        <f>IFERROR(__xludf.DUMMYFUNCTION("""COMPUTED_VALUE"""),71.0)</f>
        <v>71</v>
      </c>
      <c r="F1243" s="19" t="str">
        <f>IFERROR(__xludf.DUMMYFUNCTION("""COMPUTED_VALUE"""),"BLUE")</f>
        <v>BLUE</v>
      </c>
      <c r="G1243" s="20" t="str">
        <f>IFERROR(__xludf.DUMMYFUNCTION("""COMPUTED_VALUE"""),"Uncle Sams Cider (04/04/2023)")</f>
        <v>Uncle Sams Cider (04/04/2023)</v>
      </c>
      <c r="H1243" s="19"/>
    </row>
    <row r="1244">
      <c r="A1244" s="9"/>
      <c r="B1244" s="15"/>
      <c r="C1244" s="9">
        <f>IFERROR(__xludf.DUMMYFUNCTION("""COMPUTED_VALUE"""),45131.6083455208)</f>
        <v>45131.60835</v>
      </c>
      <c r="D1244" s="15">
        <f>IFERROR(__xludf.DUMMYFUNCTION("""COMPUTED_VALUE"""),0.998)</f>
        <v>0.998</v>
      </c>
      <c r="E1244" s="16">
        <f>IFERROR(__xludf.DUMMYFUNCTION("""COMPUTED_VALUE"""),71.0)</f>
        <v>71</v>
      </c>
      <c r="F1244" s="19" t="str">
        <f>IFERROR(__xludf.DUMMYFUNCTION("""COMPUTED_VALUE"""),"BLUE")</f>
        <v>BLUE</v>
      </c>
      <c r="G1244" s="20" t="str">
        <f>IFERROR(__xludf.DUMMYFUNCTION("""COMPUTED_VALUE"""),"Uncle Sams Cider (04/04/2023)")</f>
        <v>Uncle Sams Cider (04/04/2023)</v>
      </c>
      <c r="H1244" s="19"/>
    </row>
    <row r="1245">
      <c r="A1245" s="9"/>
      <c r="B1245" s="15"/>
      <c r="C1245" s="9">
        <f>IFERROR(__xludf.DUMMYFUNCTION("""COMPUTED_VALUE"""),45131.5979117824)</f>
        <v>45131.59791</v>
      </c>
      <c r="D1245" s="15">
        <f>IFERROR(__xludf.DUMMYFUNCTION("""COMPUTED_VALUE"""),0.998)</f>
        <v>0.998</v>
      </c>
      <c r="E1245" s="16">
        <f>IFERROR(__xludf.DUMMYFUNCTION("""COMPUTED_VALUE"""),71.0)</f>
        <v>71</v>
      </c>
      <c r="F1245" s="19" t="str">
        <f>IFERROR(__xludf.DUMMYFUNCTION("""COMPUTED_VALUE"""),"BLUE")</f>
        <v>BLUE</v>
      </c>
      <c r="G1245" s="20" t="str">
        <f>IFERROR(__xludf.DUMMYFUNCTION("""COMPUTED_VALUE"""),"Uncle Sams Cider (04/04/2023)")</f>
        <v>Uncle Sams Cider (04/04/2023)</v>
      </c>
      <c r="H1245" s="19"/>
    </row>
    <row r="1246">
      <c r="A1246" s="9"/>
      <c r="B1246" s="15"/>
      <c r="C1246" s="9">
        <f>IFERROR(__xludf.DUMMYFUNCTION("""COMPUTED_VALUE"""),45131.5874912152)</f>
        <v>45131.58749</v>
      </c>
      <c r="D1246" s="15">
        <f>IFERROR(__xludf.DUMMYFUNCTION("""COMPUTED_VALUE"""),0.999)</f>
        <v>0.999</v>
      </c>
      <c r="E1246" s="16">
        <f>IFERROR(__xludf.DUMMYFUNCTION("""COMPUTED_VALUE"""),71.0)</f>
        <v>71</v>
      </c>
      <c r="F1246" s="19" t="str">
        <f>IFERROR(__xludf.DUMMYFUNCTION("""COMPUTED_VALUE"""),"BLUE")</f>
        <v>BLUE</v>
      </c>
      <c r="G1246" s="20" t="str">
        <f>IFERROR(__xludf.DUMMYFUNCTION("""COMPUTED_VALUE"""),"Uncle Sams Cider (04/04/2023)")</f>
        <v>Uncle Sams Cider (04/04/2023)</v>
      </c>
      <c r="H1246" s="19"/>
    </row>
    <row r="1247">
      <c r="A1247" s="9"/>
      <c r="B1247" s="15"/>
      <c r="C1247" s="9">
        <f>IFERROR(__xludf.DUMMYFUNCTION("""COMPUTED_VALUE"""),45131.577068287)</f>
        <v>45131.57707</v>
      </c>
      <c r="D1247" s="15">
        <f>IFERROR(__xludf.DUMMYFUNCTION("""COMPUTED_VALUE"""),0.998)</f>
        <v>0.998</v>
      </c>
      <c r="E1247" s="16">
        <f>IFERROR(__xludf.DUMMYFUNCTION("""COMPUTED_VALUE"""),71.0)</f>
        <v>71</v>
      </c>
      <c r="F1247" s="19" t="str">
        <f>IFERROR(__xludf.DUMMYFUNCTION("""COMPUTED_VALUE"""),"BLUE")</f>
        <v>BLUE</v>
      </c>
      <c r="G1247" s="20" t="str">
        <f>IFERROR(__xludf.DUMMYFUNCTION("""COMPUTED_VALUE"""),"Uncle Sams Cider (04/04/2023)")</f>
        <v>Uncle Sams Cider (04/04/2023)</v>
      </c>
      <c r="H1247" s="19"/>
    </row>
    <row r="1248">
      <c r="A1248" s="9"/>
      <c r="B1248" s="15"/>
      <c r="C1248" s="9">
        <f>IFERROR(__xludf.DUMMYFUNCTION("""COMPUTED_VALUE"""),45131.5666465856)</f>
        <v>45131.56665</v>
      </c>
      <c r="D1248" s="15">
        <f>IFERROR(__xludf.DUMMYFUNCTION("""COMPUTED_VALUE"""),0.999)</f>
        <v>0.999</v>
      </c>
      <c r="E1248" s="16">
        <f>IFERROR(__xludf.DUMMYFUNCTION("""COMPUTED_VALUE"""),71.0)</f>
        <v>71</v>
      </c>
      <c r="F1248" s="19" t="str">
        <f>IFERROR(__xludf.DUMMYFUNCTION("""COMPUTED_VALUE"""),"BLUE")</f>
        <v>BLUE</v>
      </c>
      <c r="G1248" s="20" t="str">
        <f>IFERROR(__xludf.DUMMYFUNCTION("""COMPUTED_VALUE"""),"Uncle Sams Cider (04/04/2023)")</f>
        <v>Uncle Sams Cider (04/04/2023)</v>
      </c>
      <c r="H1248" s="19"/>
    </row>
    <row r="1249">
      <c r="A1249" s="9"/>
      <c r="B1249" s="15"/>
      <c r="C1249" s="9">
        <f>IFERROR(__xludf.DUMMYFUNCTION("""COMPUTED_VALUE"""),45131.5562246412)</f>
        <v>45131.55622</v>
      </c>
      <c r="D1249" s="15">
        <f>IFERROR(__xludf.DUMMYFUNCTION("""COMPUTED_VALUE"""),0.998)</f>
        <v>0.998</v>
      </c>
      <c r="E1249" s="16">
        <f>IFERROR(__xludf.DUMMYFUNCTION("""COMPUTED_VALUE"""),71.0)</f>
        <v>71</v>
      </c>
      <c r="F1249" s="19" t="str">
        <f>IFERROR(__xludf.DUMMYFUNCTION("""COMPUTED_VALUE"""),"BLUE")</f>
        <v>BLUE</v>
      </c>
      <c r="G1249" s="20" t="str">
        <f>IFERROR(__xludf.DUMMYFUNCTION("""COMPUTED_VALUE"""),"Uncle Sams Cider (04/04/2023)")</f>
        <v>Uncle Sams Cider (04/04/2023)</v>
      </c>
      <c r="H1249" s="19"/>
    </row>
    <row r="1250">
      <c r="A1250" s="9"/>
      <c r="B1250" s="15"/>
      <c r="C1250" s="9">
        <f>IFERROR(__xludf.DUMMYFUNCTION("""COMPUTED_VALUE"""),45131.5458040856)</f>
        <v>45131.5458</v>
      </c>
      <c r="D1250" s="15">
        <f>IFERROR(__xludf.DUMMYFUNCTION("""COMPUTED_VALUE"""),0.998)</f>
        <v>0.998</v>
      </c>
      <c r="E1250" s="16">
        <f>IFERROR(__xludf.DUMMYFUNCTION("""COMPUTED_VALUE"""),71.0)</f>
        <v>71</v>
      </c>
      <c r="F1250" s="19" t="str">
        <f>IFERROR(__xludf.DUMMYFUNCTION("""COMPUTED_VALUE"""),"BLUE")</f>
        <v>BLUE</v>
      </c>
      <c r="G1250" s="20" t="str">
        <f>IFERROR(__xludf.DUMMYFUNCTION("""COMPUTED_VALUE"""),"Uncle Sams Cider (04/04/2023)")</f>
        <v>Uncle Sams Cider (04/04/2023)</v>
      </c>
      <c r="H1250" s="19"/>
    </row>
    <row r="1251">
      <c r="A1251" s="9"/>
      <c r="B1251" s="15"/>
      <c r="C1251" s="9">
        <f>IFERROR(__xludf.DUMMYFUNCTION("""COMPUTED_VALUE"""),45131.5353828356)</f>
        <v>45131.53538</v>
      </c>
      <c r="D1251" s="15">
        <f>IFERROR(__xludf.DUMMYFUNCTION("""COMPUTED_VALUE"""),0.998)</f>
        <v>0.998</v>
      </c>
      <c r="E1251" s="16">
        <f>IFERROR(__xludf.DUMMYFUNCTION("""COMPUTED_VALUE"""),71.0)</f>
        <v>71</v>
      </c>
      <c r="F1251" s="19" t="str">
        <f>IFERROR(__xludf.DUMMYFUNCTION("""COMPUTED_VALUE"""),"BLUE")</f>
        <v>BLUE</v>
      </c>
      <c r="G1251" s="20" t="str">
        <f>IFERROR(__xludf.DUMMYFUNCTION("""COMPUTED_VALUE"""),"Uncle Sams Cider (04/04/2023)")</f>
        <v>Uncle Sams Cider (04/04/2023)</v>
      </c>
      <c r="H1251" s="19"/>
    </row>
    <row r="1252">
      <c r="A1252" s="9"/>
      <c r="B1252" s="15"/>
      <c r="C1252" s="9">
        <f>IFERROR(__xludf.DUMMYFUNCTION("""COMPUTED_VALUE"""),45131.524963287)</f>
        <v>45131.52496</v>
      </c>
      <c r="D1252" s="15">
        <f>IFERROR(__xludf.DUMMYFUNCTION("""COMPUTED_VALUE"""),0.999)</f>
        <v>0.999</v>
      </c>
      <c r="E1252" s="16">
        <f>IFERROR(__xludf.DUMMYFUNCTION("""COMPUTED_VALUE"""),71.0)</f>
        <v>71</v>
      </c>
      <c r="F1252" s="19" t="str">
        <f>IFERROR(__xludf.DUMMYFUNCTION("""COMPUTED_VALUE"""),"BLUE")</f>
        <v>BLUE</v>
      </c>
      <c r="G1252" s="20" t="str">
        <f>IFERROR(__xludf.DUMMYFUNCTION("""COMPUTED_VALUE"""),"Uncle Sams Cider (04/04/2023)")</f>
        <v>Uncle Sams Cider (04/04/2023)</v>
      </c>
      <c r="H1252" s="19"/>
    </row>
    <row r="1253">
      <c r="A1253" s="9"/>
      <c r="B1253" s="15"/>
      <c r="C1253" s="9">
        <f>IFERROR(__xludf.DUMMYFUNCTION("""COMPUTED_VALUE"""),45131.514541956)</f>
        <v>45131.51454</v>
      </c>
      <c r="D1253" s="15">
        <f>IFERROR(__xludf.DUMMYFUNCTION("""COMPUTED_VALUE"""),0.998)</f>
        <v>0.998</v>
      </c>
      <c r="E1253" s="16">
        <f>IFERROR(__xludf.DUMMYFUNCTION("""COMPUTED_VALUE"""),71.0)</f>
        <v>71</v>
      </c>
      <c r="F1253" s="19" t="str">
        <f>IFERROR(__xludf.DUMMYFUNCTION("""COMPUTED_VALUE"""),"BLUE")</f>
        <v>BLUE</v>
      </c>
      <c r="G1253" s="20" t="str">
        <f>IFERROR(__xludf.DUMMYFUNCTION("""COMPUTED_VALUE"""),"Uncle Sams Cider (04/04/2023)")</f>
        <v>Uncle Sams Cider (04/04/2023)</v>
      </c>
      <c r="H1253" s="19"/>
    </row>
    <row r="1254">
      <c r="A1254" s="9"/>
      <c r="B1254" s="15"/>
      <c r="C1254" s="9">
        <f>IFERROR(__xludf.DUMMYFUNCTION("""COMPUTED_VALUE"""),45131.5041081597)</f>
        <v>45131.50411</v>
      </c>
      <c r="D1254" s="15">
        <f>IFERROR(__xludf.DUMMYFUNCTION("""COMPUTED_VALUE"""),0.999)</f>
        <v>0.999</v>
      </c>
      <c r="E1254" s="16">
        <f>IFERROR(__xludf.DUMMYFUNCTION("""COMPUTED_VALUE"""),71.0)</f>
        <v>71</v>
      </c>
      <c r="F1254" s="19" t="str">
        <f>IFERROR(__xludf.DUMMYFUNCTION("""COMPUTED_VALUE"""),"BLUE")</f>
        <v>BLUE</v>
      </c>
      <c r="G1254" s="20" t="str">
        <f>IFERROR(__xludf.DUMMYFUNCTION("""COMPUTED_VALUE"""),"Uncle Sams Cider (04/04/2023)")</f>
        <v>Uncle Sams Cider (04/04/2023)</v>
      </c>
      <c r="H1254" s="19"/>
    </row>
    <row r="1255">
      <c r="A1255" s="9"/>
      <c r="B1255" s="15"/>
      <c r="C1255" s="9">
        <f>IFERROR(__xludf.DUMMYFUNCTION("""COMPUTED_VALUE"""),45131.493687199)</f>
        <v>45131.49369</v>
      </c>
      <c r="D1255" s="15">
        <f>IFERROR(__xludf.DUMMYFUNCTION("""COMPUTED_VALUE"""),0.998)</f>
        <v>0.998</v>
      </c>
      <c r="E1255" s="16">
        <f>IFERROR(__xludf.DUMMYFUNCTION("""COMPUTED_VALUE"""),71.0)</f>
        <v>71</v>
      </c>
      <c r="F1255" s="19" t="str">
        <f>IFERROR(__xludf.DUMMYFUNCTION("""COMPUTED_VALUE"""),"BLUE")</f>
        <v>BLUE</v>
      </c>
      <c r="G1255" s="20" t="str">
        <f>IFERROR(__xludf.DUMMYFUNCTION("""COMPUTED_VALUE"""),"Uncle Sams Cider (04/04/2023)")</f>
        <v>Uncle Sams Cider (04/04/2023)</v>
      </c>
      <c r="H1255" s="19"/>
    </row>
    <row r="1256">
      <c r="A1256" s="9"/>
      <c r="B1256" s="15"/>
      <c r="C1256" s="9">
        <f>IFERROR(__xludf.DUMMYFUNCTION("""COMPUTED_VALUE"""),45131.4832651967)</f>
        <v>45131.48327</v>
      </c>
      <c r="D1256" s="15">
        <f>IFERROR(__xludf.DUMMYFUNCTION("""COMPUTED_VALUE"""),0.998)</f>
        <v>0.998</v>
      </c>
      <c r="E1256" s="16">
        <f>IFERROR(__xludf.DUMMYFUNCTION("""COMPUTED_VALUE"""),71.0)</f>
        <v>71</v>
      </c>
      <c r="F1256" s="19" t="str">
        <f>IFERROR(__xludf.DUMMYFUNCTION("""COMPUTED_VALUE"""),"BLUE")</f>
        <v>BLUE</v>
      </c>
      <c r="G1256" s="20" t="str">
        <f>IFERROR(__xludf.DUMMYFUNCTION("""COMPUTED_VALUE"""),"Uncle Sams Cider (04/04/2023)")</f>
        <v>Uncle Sams Cider (04/04/2023)</v>
      </c>
      <c r="H1256" s="19"/>
    </row>
    <row r="1257">
      <c r="A1257" s="9"/>
      <c r="B1257" s="15"/>
      <c r="C1257" s="9">
        <f>IFERROR(__xludf.DUMMYFUNCTION("""COMPUTED_VALUE"""),45131.4728451157)</f>
        <v>45131.47285</v>
      </c>
      <c r="D1257" s="15">
        <f>IFERROR(__xludf.DUMMYFUNCTION("""COMPUTED_VALUE"""),0.998)</f>
        <v>0.998</v>
      </c>
      <c r="E1257" s="16">
        <f>IFERROR(__xludf.DUMMYFUNCTION("""COMPUTED_VALUE"""),71.0)</f>
        <v>71</v>
      </c>
      <c r="F1257" s="19" t="str">
        <f>IFERROR(__xludf.DUMMYFUNCTION("""COMPUTED_VALUE"""),"BLUE")</f>
        <v>BLUE</v>
      </c>
      <c r="G1257" s="20" t="str">
        <f>IFERROR(__xludf.DUMMYFUNCTION("""COMPUTED_VALUE"""),"Uncle Sams Cider (04/04/2023)")</f>
        <v>Uncle Sams Cider (04/04/2023)</v>
      </c>
      <c r="H1257" s="19"/>
    </row>
    <row r="1258">
      <c r="A1258" s="9"/>
      <c r="B1258" s="15"/>
      <c r="C1258" s="9">
        <f>IFERROR(__xludf.DUMMYFUNCTION("""COMPUTED_VALUE"""),45131.4624251157)</f>
        <v>45131.46243</v>
      </c>
      <c r="D1258" s="15">
        <f>IFERROR(__xludf.DUMMYFUNCTION("""COMPUTED_VALUE"""),0.998)</f>
        <v>0.998</v>
      </c>
      <c r="E1258" s="16">
        <f>IFERROR(__xludf.DUMMYFUNCTION("""COMPUTED_VALUE"""),71.0)</f>
        <v>71</v>
      </c>
      <c r="F1258" s="19" t="str">
        <f>IFERROR(__xludf.DUMMYFUNCTION("""COMPUTED_VALUE"""),"BLUE")</f>
        <v>BLUE</v>
      </c>
      <c r="G1258" s="20" t="str">
        <f>IFERROR(__xludf.DUMMYFUNCTION("""COMPUTED_VALUE"""),"Uncle Sams Cider (04/04/2023)")</f>
        <v>Uncle Sams Cider (04/04/2023)</v>
      </c>
      <c r="H1258" s="19"/>
    </row>
    <row r="1259">
      <c r="A1259" s="9"/>
      <c r="B1259" s="15"/>
      <c r="C1259" s="9">
        <f>IFERROR(__xludf.DUMMYFUNCTION("""COMPUTED_VALUE"""),45131.4519925925)</f>
        <v>45131.45199</v>
      </c>
      <c r="D1259" s="15">
        <f>IFERROR(__xludf.DUMMYFUNCTION("""COMPUTED_VALUE"""),0.999)</f>
        <v>0.999</v>
      </c>
      <c r="E1259" s="16">
        <f>IFERROR(__xludf.DUMMYFUNCTION("""COMPUTED_VALUE"""),71.0)</f>
        <v>71</v>
      </c>
      <c r="F1259" s="19" t="str">
        <f>IFERROR(__xludf.DUMMYFUNCTION("""COMPUTED_VALUE"""),"BLUE")</f>
        <v>BLUE</v>
      </c>
      <c r="G1259" s="20" t="str">
        <f>IFERROR(__xludf.DUMMYFUNCTION("""COMPUTED_VALUE"""),"Uncle Sams Cider (04/04/2023)")</f>
        <v>Uncle Sams Cider (04/04/2023)</v>
      </c>
      <c r="H1259" s="19"/>
    </row>
    <row r="1260">
      <c r="A1260" s="9"/>
      <c r="B1260" s="15"/>
      <c r="C1260" s="9">
        <f>IFERROR(__xludf.DUMMYFUNCTION("""COMPUTED_VALUE"""),45131.4415724305)</f>
        <v>45131.44157</v>
      </c>
      <c r="D1260" s="15">
        <f>IFERROR(__xludf.DUMMYFUNCTION("""COMPUTED_VALUE"""),0.999)</f>
        <v>0.999</v>
      </c>
      <c r="E1260" s="16">
        <f>IFERROR(__xludf.DUMMYFUNCTION("""COMPUTED_VALUE"""),71.0)</f>
        <v>71</v>
      </c>
      <c r="F1260" s="19" t="str">
        <f>IFERROR(__xludf.DUMMYFUNCTION("""COMPUTED_VALUE"""),"BLUE")</f>
        <v>BLUE</v>
      </c>
      <c r="G1260" s="20" t="str">
        <f>IFERROR(__xludf.DUMMYFUNCTION("""COMPUTED_VALUE"""),"Uncle Sams Cider (04/04/2023)")</f>
        <v>Uncle Sams Cider (04/04/2023)</v>
      </c>
      <c r="H1260" s="19"/>
    </row>
    <row r="1261">
      <c r="A1261" s="9"/>
      <c r="B1261" s="15"/>
      <c r="C1261" s="9">
        <f>IFERROR(__xludf.DUMMYFUNCTION("""COMPUTED_VALUE"""),45131.4311523726)</f>
        <v>45131.43115</v>
      </c>
      <c r="D1261" s="15">
        <f>IFERROR(__xludf.DUMMYFUNCTION("""COMPUTED_VALUE"""),0.998)</f>
        <v>0.998</v>
      </c>
      <c r="E1261" s="16">
        <f>IFERROR(__xludf.DUMMYFUNCTION("""COMPUTED_VALUE"""),71.0)</f>
        <v>71</v>
      </c>
      <c r="F1261" s="19" t="str">
        <f>IFERROR(__xludf.DUMMYFUNCTION("""COMPUTED_VALUE"""),"BLUE")</f>
        <v>BLUE</v>
      </c>
      <c r="G1261" s="20" t="str">
        <f>IFERROR(__xludf.DUMMYFUNCTION("""COMPUTED_VALUE"""),"Uncle Sams Cider (04/04/2023)")</f>
        <v>Uncle Sams Cider (04/04/2023)</v>
      </c>
      <c r="H1261" s="19"/>
    </row>
    <row r="1262">
      <c r="A1262" s="9"/>
      <c r="B1262" s="15"/>
      <c r="C1262" s="9">
        <f>IFERROR(__xludf.DUMMYFUNCTION("""COMPUTED_VALUE"""),45131.4207291782)</f>
        <v>45131.42073</v>
      </c>
      <c r="D1262" s="15">
        <f>IFERROR(__xludf.DUMMYFUNCTION("""COMPUTED_VALUE"""),0.998)</f>
        <v>0.998</v>
      </c>
      <c r="E1262" s="16">
        <f>IFERROR(__xludf.DUMMYFUNCTION("""COMPUTED_VALUE"""),71.0)</f>
        <v>71</v>
      </c>
      <c r="F1262" s="19" t="str">
        <f>IFERROR(__xludf.DUMMYFUNCTION("""COMPUTED_VALUE"""),"BLUE")</f>
        <v>BLUE</v>
      </c>
      <c r="G1262" s="20" t="str">
        <f>IFERROR(__xludf.DUMMYFUNCTION("""COMPUTED_VALUE"""),"Uncle Sams Cider (04/04/2023)")</f>
        <v>Uncle Sams Cider (04/04/2023)</v>
      </c>
      <c r="H1262" s="19"/>
    </row>
    <row r="1263">
      <c r="A1263" s="9"/>
      <c r="B1263" s="15"/>
      <c r="C1263" s="9">
        <f>IFERROR(__xludf.DUMMYFUNCTION("""COMPUTED_VALUE"""),45131.4103073842)</f>
        <v>45131.41031</v>
      </c>
      <c r="D1263" s="15">
        <f>IFERROR(__xludf.DUMMYFUNCTION("""COMPUTED_VALUE"""),0.999)</f>
        <v>0.999</v>
      </c>
      <c r="E1263" s="16">
        <f>IFERROR(__xludf.DUMMYFUNCTION("""COMPUTED_VALUE"""),71.0)</f>
        <v>71</v>
      </c>
      <c r="F1263" s="19" t="str">
        <f>IFERROR(__xludf.DUMMYFUNCTION("""COMPUTED_VALUE"""),"BLUE")</f>
        <v>BLUE</v>
      </c>
      <c r="G1263" s="20" t="str">
        <f>IFERROR(__xludf.DUMMYFUNCTION("""COMPUTED_VALUE"""),"Uncle Sams Cider (04/04/2023)")</f>
        <v>Uncle Sams Cider (04/04/2023)</v>
      </c>
      <c r="H1263" s="19"/>
    </row>
    <row r="1264">
      <c r="A1264" s="9"/>
      <c r="B1264" s="15"/>
      <c r="C1264" s="9">
        <f>IFERROR(__xludf.DUMMYFUNCTION("""COMPUTED_VALUE"""),45131.399886412)</f>
        <v>45131.39989</v>
      </c>
      <c r="D1264" s="15">
        <f>IFERROR(__xludf.DUMMYFUNCTION("""COMPUTED_VALUE"""),0.998)</f>
        <v>0.998</v>
      </c>
      <c r="E1264" s="16">
        <f>IFERROR(__xludf.DUMMYFUNCTION("""COMPUTED_VALUE"""),71.0)</f>
        <v>71</v>
      </c>
      <c r="F1264" s="19" t="str">
        <f>IFERROR(__xludf.DUMMYFUNCTION("""COMPUTED_VALUE"""),"BLUE")</f>
        <v>BLUE</v>
      </c>
      <c r="G1264" s="20" t="str">
        <f>IFERROR(__xludf.DUMMYFUNCTION("""COMPUTED_VALUE"""),"Uncle Sams Cider (04/04/2023)")</f>
        <v>Uncle Sams Cider (04/04/2023)</v>
      </c>
      <c r="H1264" s="19"/>
    </row>
    <row r="1265">
      <c r="A1265" s="9"/>
      <c r="B1265" s="15"/>
      <c r="C1265" s="9">
        <f>IFERROR(__xludf.DUMMYFUNCTION("""COMPUTED_VALUE"""),45131.3894661689)</f>
        <v>45131.38947</v>
      </c>
      <c r="D1265" s="15">
        <f>IFERROR(__xludf.DUMMYFUNCTION("""COMPUTED_VALUE"""),0.999)</f>
        <v>0.999</v>
      </c>
      <c r="E1265" s="16">
        <f>IFERROR(__xludf.DUMMYFUNCTION("""COMPUTED_VALUE"""),71.0)</f>
        <v>71</v>
      </c>
      <c r="F1265" s="19" t="str">
        <f>IFERROR(__xludf.DUMMYFUNCTION("""COMPUTED_VALUE"""),"BLUE")</f>
        <v>BLUE</v>
      </c>
      <c r="G1265" s="20" t="str">
        <f>IFERROR(__xludf.DUMMYFUNCTION("""COMPUTED_VALUE"""),"Uncle Sams Cider (04/04/2023)")</f>
        <v>Uncle Sams Cider (04/04/2023)</v>
      </c>
      <c r="H1265" s="19"/>
    </row>
    <row r="1266">
      <c r="A1266" s="9"/>
      <c r="B1266" s="15"/>
      <c r="C1266" s="9">
        <f>IFERROR(__xludf.DUMMYFUNCTION("""COMPUTED_VALUE"""),45131.3790464583)</f>
        <v>45131.37905</v>
      </c>
      <c r="D1266" s="15">
        <f>IFERROR(__xludf.DUMMYFUNCTION("""COMPUTED_VALUE"""),0.998)</f>
        <v>0.998</v>
      </c>
      <c r="E1266" s="16">
        <f>IFERROR(__xludf.DUMMYFUNCTION("""COMPUTED_VALUE"""),71.0)</f>
        <v>71</v>
      </c>
      <c r="F1266" s="19" t="str">
        <f>IFERROR(__xludf.DUMMYFUNCTION("""COMPUTED_VALUE"""),"BLUE")</f>
        <v>BLUE</v>
      </c>
      <c r="G1266" s="20" t="str">
        <f>IFERROR(__xludf.DUMMYFUNCTION("""COMPUTED_VALUE"""),"Uncle Sams Cider (04/04/2023)")</f>
        <v>Uncle Sams Cider (04/04/2023)</v>
      </c>
      <c r="H1266" s="19"/>
    </row>
    <row r="1267">
      <c r="A1267" s="9"/>
      <c r="B1267" s="15"/>
      <c r="C1267" s="9">
        <f>IFERROR(__xludf.DUMMYFUNCTION("""COMPUTED_VALUE"""),45131.3686256365)</f>
        <v>45131.36863</v>
      </c>
      <c r="D1267" s="15">
        <f>IFERROR(__xludf.DUMMYFUNCTION("""COMPUTED_VALUE"""),0.998)</f>
        <v>0.998</v>
      </c>
      <c r="E1267" s="16">
        <f>IFERROR(__xludf.DUMMYFUNCTION("""COMPUTED_VALUE"""),71.0)</f>
        <v>71</v>
      </c>
      <c r="F1267" s="19" t="str">
        <f>IFERROR(__xludf.DUMMYFUNCTION("""COMPUTED_VALUE"""),"BLUE")</f>
        <v>BLUE</v>
      </c>
      <c r="G1267" s="20" t="str">
        <f>IFERROR(__xludf.DUMMYFUNCTION("""COMPUTED_VALUE"""),"Uncle Sams Cider (04/04/2023)")</f>
        <v>Uncle Sams Cider (04/04/2023)</v>
      </c>
      <c r="H1267" s="19"/>
    </row>
    <row r="1268">
      <c r="A1268" s="9"/>
      <c r="B1268" s="15"/>
      <c r="C1268" s="9">
        <f>IFERROR(__xludf.DUMMYFUNCTION("""COMPUTED_VALUE"""),45131.3582041088)</f>
        <v>45131.3582</v>
      </c>
      <c r="D1268" s="15">
        <f>IFERROR(__xludf.DUMMYFUNCTION("""COMPUTED_VALUE"""),0.999)</f>
        <v>0.999</v>
      </c>
      <c r="E1268" s="16">
        <f>IFERROR(__xludf.DUMMYFUNCTION("""COMPUTED_VALUE"""),71.0)</f>
        <v>71</v>
      </c>
      <c r="F1268" s="19" t="str">
        <f>IFERROR(__xludf.DUMMYFUNCTION("""COMPUTED_VALUE"""),"BLUE")</f>
        <v>BLUE</v>
      </c>
      <c r="G1268" s="20" t="str">
        <f>IFERROR(__xludf.DUMMYFUNCTION("""COMPUTED_VALUE"""),"Uncle Sams Cider (04/04/2023)")</f>
        <v>Uncle Sams Cider (04/04/2023)</v>
      </c>
      <c r="H1268" s="19"/>
    </row>
    <row r="1269">
      <c r="A1269" s="9"/>
      <c r="B1269" s="15"/>
      <c r="C1269" s="9">
        <f>IFERROR(__xludf.DUMMYFUNCTION("""COMPUTED_VALUE"""),45131.3477833101)</f>
        <v>45131.34778</v>
      </c>
      <c r="D1269" s="15">
        <f>IFERROR(__xludf.DUMMYFUNCTION("""COMPUTED_VALUE"""),0.998)</f>
        <v>0.998</v>
      </c>
      <c r="E1269" s="16">
        <f>IFERROR(__xludf.DUMMYFUNCTION("""COMPUTED_VALUE"""),71.0)</f>
        <v>71</v>
      </c>
      <c r="F1269" s="19" t="str">
        <f>IFERROR(__xludf.DUMMYFUNCTION("""COMPUTED_VALUE"""),"BLUE")</f>
        <v>BLUE</v>
      </c>
      <c r="G1269" s="20" t="str">
        <f>IFERROR(__xludf.DUMMYFUNCTION("""COMPUTED_VALUE"""),"Uncle Sams Cider (04/04/2023)")</f>
        <v>Uncle Sams Cider (04/04/2023)</v>
      </c>
      <c r="H1269" s="19"/>
    </row>
    <row r="1270">
      <c r="A1270" s="9"/>
      <c r="B1270" s="15"/>
      <c r="C1270" s="9">
        <f>IFERROR(__xludf.DUMMYFUNCTION("""COMPUTED_VALUE"""),45131.3373628356)</f>
        <v>45131.33736</v>
      </c>
      <c r="D1270" s="15">
        <f>IFERROR(__xludf.DUMMYFUNCTION("""COMPUTED_VALUE"""),0.998)</f>
        <v>0.998</v>
      </c>
      <c r="E1270" s="16">
        <f>IFERROR(__xludf.DUMMYFUNCTION("""COMPUTED_VALUE"""),71.0)</f>
        <v>71</v>
      </c>
      <c r="F1270" s="19" t="str">
        <f>IFERROR(__xludf.DUMMYFUNCTION("""COMPUTED_VALUE"""),"BLUE")</f>
        <v>BLUE</v>
      </c>
      <c r="G1270" s="20" t="str">
        <f>IFERROR(__xludf.DUMMYFUNCTION("""COMPUTED_VALUE"""),"Uncle Sams Cider (04/04/2023)")</f>
        <v>Uncle Sams Cider (04/04/2023)</v>
      </c>
      <c r="H1270" s="19"/>
    </row>
    <row r="1271">
      <c r="A1271" s="9"/>
      <c r="B1271" s="15"/>
      <c r="C1271" s="9">
        <f>IFERROR(__xludf.DUMMYFUNCTION("""COMPUTED_VALUE"""),45131.326942824)</f>
        <v>45131.32694</v>
      </c>
      <c r="D1271" s="15">
        <f>IFERROR(__xludf.DUMMYFUNCTION("""COMPUTED_VALUE"""),0.999)</f>
        <v>0.999</v>
      </c>
      <c r="E1271" s="16">
        <f>IFERROR(__xludf.DUMMYFUNCTION("""COMPUTED_VALUE"""),71.0)</f>
        <v>71</v>
      </c>
      <c r="F1271" s="19" t="str">
        <f>IFERROR(__xludf.DUMMYFUNCTION("""COMPUTED_VALUE"""),"BLUE")</f>
        <v>BLUE</v>
      </c>
      <c r="G1271" s="20" t="str">
        <f>IFERROR(__xludf.DUMMYFUNCTION("""COMPUTED_VALUE"""),"Uncle Sams Cider (04/04/2023)")</f>
        <v>Uncle Sams Cider (04/04/2023)</v>
      </c>
      <c r="H1271" s="19"/>
    </row>
    <row r="1272">
      <c r="A1272" s="9"/>
      <c r="B1272" s="15"/>
      <c r="C1272" s="9">
        <f>IFERROR(__xludf.DUMMYFUNCTION("""COMPUTED_VALUE"""),45131.3165218865)</f>
        <v>45131.31652</v>
      </c>
      <c r="D1272" s="15">
        <f>IFERROR(__xludf.DUMMYFUNCTION("""COMPUTED_VALUE"""),0.998)</f>
        <v>0.998</v>
      </c>
      <c r="E1272" s="16">
        <f>IFERROR(__xludf.DUMMYFUNCTION("""COMPUTED_VALUE"""),71.0)</f>
        <v>71</v>
      </c>
      <c r="F1272" s="19" t="str">
        <f>IFERROR(__xludf.DUMMYFUNCTION("""COMPUTED_VALUE"""),"BLUE")</f>
        <v>BLUE</v>
      </c>
      <c r="G1272" s="20" t="str">
        <f>IFERROR(__xludf.DUMMYFUNCTION("""COMPUTED_VALUE"""),"Uncle Sams Cider (04/04/2023)")</f>
        <v>Uncle Sams Cider (04/04/2023)</v>
      </c>
      <c r="H1272" s="19"/>
    </row>
    <row r="1273">
      <c r="A1273" s="9"/>
      <c r="B1273" s="15"/>
      <c r="C1273" s="9">
        <f>IFERROR(__xludf.DUMMYFUNCTION("""COMPUTED_VALUE"""),45131.3060900578)</f>
        <v>45131.30609</v>
      </c>
      <c r="D1273" s="15">
        <f>IFERROR(__xludf.DUMMYFUNCTION("""COMPUTED_VALUE"""),0.999)</f>
        <v>0.999</v>
      </c>
      <c r="E1273" s="16">
        <f>IFERROR(__xludf.DUMMYFUNCTION("""COMPUTED_VALUE"""),71.0)</f>
        <v>71</v>
      </c>
      <c r="F1273" s="19" t="str">
        <f>IFERROR(__xludf.DUMMYFUNCTION("""COMPUTED_VALUE"""),"BLUE")</f>
        <v>BLUE</v>
      </c>
      <c r="G1273" s="20" t="str">
        <f>IFERROR(__xludf.DUMMYFUNCTION("""COMPUTED_VALUE"""),"Uncle Sams Cider (04/04/2023)")</f>
        <v>Uncle Sams Cider (04/04/2023)</v>
      </c>
      <c r="H1273" s="19"/>
    </row>
    <row r="1274">
      <c r="A1274" s="9"/>
      <c r="B1274" s="15"/>
      <c r="C1274" s="9">
        <f>IFERROR(__xludf.DUMMYFUNCTION("""COMPUTED_VALUE"""),45131.2956692592)</f>
        <v>45131.29567</v>
      </c>
      <c r="D1274" s="15">
        <f>IFERROR(__xludf.DUMMYFUNCTION("""COMPUTED_VALUE"""),0.998)</f>
        <v>0.998</v>
      </c>
      <c r="E1274" s="16">
        <f>IFERROR(__xludf.DUMMYFUNCTION("""COMPUTED_VALUE"""),71.0)</f>
        <v>71</v>
      </c>
      <c r="F1274" s="19" t="str">
        <f>IFERROR(__xludf.DUMMYFUNCTION("""COMPUTED_VALUE"""),"BLUE")</f>
        <v>BLUE</v>
      </c>
      <c r="G1274" s="20" t="str">
        <f>IFERROR(__xludf.DUMMYFUNCTION("""COMPUTED_VALUE"""),"Uncle Sams Cider (04/04/2023)")</f>
        <v>Uncle Sams Cider (04/04/2023)</v>
      </c>
      <c r="H1274" s="19"/>
    </row>
    <row r="1275">
      <c r="A1275" s="9"/>
      <c r="B1275" s="15"/>
      <c r="C1275" s="9">
        <f>IFERROR(__xludf.DUMMYFUNCTION("""COMPUTED_VALUE"""),45131.285235625)</f>
        <v>45131.28524</v>
      </c>
      <c r="D1275" s="15">
        <f>IFERROR(__xludf.DUMMYFUNCTION("""COMPUTED_VALUE"""),0.999)</f>
        <v>0.999</v>
      </c>
      <c r="E1275" s="16">
        <f>IFERROR(__xludf.DUMMYFUNCTION("""COMPUTED_VALUE"""),71.0)</f>
        <v>71</v>
      </c>
      <c r="F1275" s="19" t="str">
        <f>IFERROR(__xludf.DUMMYFUNCTION("""COMPUTED_VALUE"""),"BLUE")</f>
        <v>BLUE</v>
      </c>
      <c r="G1275" s="20" t="str">
        <f>IFERROR(__xludf.DUMMYFUNCTION("""COMPUTED_VALUE"""),"Uncle Sams Cider (04/04/2023)")</f>
        <v>Uncle Sams Cider (04/04/2023)</v>
      </c>
      <c r="H1275" s="19"/>
    </row>
    <row r="1276">
      <c r="A1276" s="9"/>
      <c r="B1276" s="15"/>
      <c r="C1276" s="9">
        <f>IFERROR(__xludf.DUMMYFUNCTION("""COMPUTED_VALUE"""),45131.2748150231)</f>
        <v>45131.27482</v>
      </c>
      <c r="D1276" s="15">
        <f>IFERROR(__xludf.DUMMYFUNCTION("""COMPUTED_VALUE"""),0.998)</f>
        <v>0.998</v>
      </c>
      <c r="E1276" s="16">
        <f>IFERROR(__xludf.DUMMYFUNCTION("""COMPUTED_VALUE"""),71.0)</f>
        <v>71</v>
      </c>
      <c r="F1276" s="19" t="str">
        <f>IFERROR(__xludf.DUMMYFUNCTION("""COMPUTED_VALUE"""),"BLUE")</f>
        <v>BLUE</v>
      </c>
      <c r="G1276" s="20" t="str">
        <f>IFERROR(__xludf.DUMMYFUNCTION("""COMPUTED_VALUE"""),"Uncle Sams Cider (04/04/2023)")</f>
        <v>Uncle Sams Cider (04/04/2023)</v>
      </c>
      <c r="H1276" s="19"/>
    </row>
    <row r="1277">
      <c r="A1277" s="9"/>
      <c r="B1277" s="15"/>
      <c r="C1277" s="9">
        <f>IFERROR(__xludf.DUMMYFUNCTION("""COMPUTED_VALUE"""),45131.2643952893)</f>
        <v>45131.2644</v>
      </c>
      <c r="D1277" s="15">
        <f>IFERROR(__xludf.DUMMYFUNCTION("""COMPUTED_VALUE"""),0.999)</f>
        <v>0.999</v>
      </c>
      <c r="E1277" s="16">
        <f>IFERROR(__xludf.DUMMYFUNCTION("""COMPUTED_VALUE"""),71.0)</f>
        <v>71</v>
      </c>
      <c r="F1277" s="19" t="str">
        <f>IFERROR(__xludf.DUMMYFUNCTION("""COMPUTED_VALUE"""),"BLUE")</f>
        <v>BLUE</v>
      </c>
      <c r="G1277" s="20" t="str">
        <f>IFERROR(__xludf.DUMMYFUNCTION("""COMPUTED_VALUE"""),"Uncle Sams Cider (04/04/2023)")</f>
        <v>Uncle Sams Cider (04/04/2023)</v>
      </c>
      <c r="H1277" s="19"/>
    </row>
    <row r="1278">
      <c r="A1278" s="9"/>
      <c r="B1278" s="15"/>
      <c r="C1278" s="9">
        <f>IFERROR(__xludf.DUMMYFUNCTION("""COMPUTED_VALUE"""),45131.2539731713)</f>
        <v>45131.25397</v>
      </c>
      <c r="D1278" s="15">
        <f>IFERROR(__xludf.DUMMYFUNCTION("""COMPUTED_VALUE"""),0.998)</f>
        <v>0.998</v>
      </c>
      <c r="E1278" s="16">
        <f>IFERROR(__xludf.DUMMYFUNCTION("""COMPUTED_VALUE"""),71.0)</f>
        <v>71</v>
      </c>
      <c r="F1278" s="19" t="str">
        <f>IFERROR(__xludf.DUMMYFUNCTION("""COMPUTED_VALUE"""),"BLUE")</f>
        <v>BLUE</v>
      </c>
      <c r="G1278" s="20" t="str">
        <f>IFERROR(__xludf.DUMMYFUNCTION("""COMPUTED_VALUE"""),"Uncle Sams Cider (04/04/2023)")</f>
        <v>Uncle Sams Cider (04/04/2023)</v>
      </c>
      <c r="H1278" s="19"/>
    </row>
    <row r="1279">
      <c r="A1279" s="9"/>
      <c r="B1279" s="15"/>
      <c r="C1279" s="9">
        <f>IFERROR(__xludf.DUMMYFUNCTION("""COMPUTED_VALUE"""),45131.2435396643)</f>
        <v>45131.24354</v>
      </c>
      <c r="D1279" s="15">
        <f>IFERROR(__xludf.DUMMYFUNCTION("""COMPUTED_VALUE"""),0.999)</f>
        <v>0.999</v>
      </c>
      <c r="E1279" s="16">
        <f>IFERROR(__xludf.DUMMYFUNCTION("""COMPUTED_VALUE"""),71.0)</f>
        <v>71</v>
      </c>
      <c r="F1279" s="19" t="str">
        <f>IFERROR(__xludf.DUMMYFUNCTION("""COMPUTED_VALUE"""),"BLUE")</f>
        <v>BLUE</v>
      </c>
      <c r="G1279" s="20" t="str">
        <f>IFERROR(__xludf.DUMMYFUNCTION("""COMPUTED_VALUE"""),"Uncle Sams Cider (04/04/2023)")</f>
        <v>Uncle Sams Cider (04/04/2023)</v>
      </c>
      <c r="H1279" s="19"/>
    </row>
    <row r="1280">
      <c r="A1280" s="9"/>
      <c r="B1280" s="15"/>
      <c r="C1280" s="9">
        <f>IFERROR(__xludf.DUMMYFUNCTION("""COMPUTED_VALUE"""),45131.2331186805)</f>
        <v>45131.23312</v>
      </c>
      <c r="D1280" s="15">
        <f>IFERROR(__xludf.DUMMYFUNCTION("""COMPUTED_VALUE"""),0.999)</f>
        <v>0.999</v>
      </c>
      <c r="E1280" s="16">
        <f>IFERROR(__xludf.DUMMYFUNCTION("""COMPUTED_VALUE"""),71.0)</f>
        <v>71</v>
      </c>
      <c r="F1280" s="19" t="str">
        <f>IFERROR(__xludf.DUMMYFUNCTION("""COMPUTED_VALUE"""),"BLUE")</f>
        <v>BLUE</v>
      </c>
      <c r="G1280" s="20" t="str">
        <f>IFERROR(__xludf.DUMMYFUNCTION("""COMPUTED_VALUE"""),"Uncle Sams Cider (04/04/2023)")</f>
        <v>Uncle Sams Cider (04/04/2023)</v>
      </c>
      <c r="H1280" s="19"/>
    </row>
    <row r="1281">
      <c r="A1281" s="9"/>
      <c r="B1281" s="15"/>
      <c r="C1281" s="9">
        <f>IFERROR(__xludf.DUMMYFUNCTION("""COMPUTED_VALUE"""),45131.2226967708)</f>
        <v>45131.2227</v>
      </c>
      <c r="D1281" s="15">
        <f>IFERROR(__xludf.DUMMYFUNCTION("""COMPUTED_VALUE"""),0.998)</f>
        <v>0.998</v>
      </c>
      <c r="E1281" s="16">
        <f>IFERROR(__xludf.DUMMYFUNCTION("""COMPUTED_VALUE"""),71.0)</f>
        <v>71</v>
      </c>
      <c r="F1281" s="19" t="str">
        <f>IFERROR(__xludf.DUMMYFUNCTION("""COMPUTED_VALUE"""),"BLUE")</f>
        <v>BLUE</v>
      </c>
      <c r="G1281" s="20" t="str">
        <f>IFERROR(__xludf.DUMMYFUNCTION("""COMPUTED_VALUE"""),"Uncle Sams Cider (04/04/2023)")</f>
        <v>Uncle Sams Cider (04/04/2023)</v>
      </c>
      <c r="H1281" s="19"/>
    </row>
    <row r="1282">
      <c r="A1282" s="9"/>
      <c r="B1282" s="15"/>
      <c r="C1282" s="9">
        <f>IFERROR(__xludf.DUMMYFUNCTION("""COMPUTED_VALUE"""),45131.212275706)</f>
        <v>45131.21228</v>
      </c>
      <c r="D1282" s="15">
        <f>IFERROR(__xludf.DUMMYFUNCTION("""COMPUTED_VALUE"""),0.998)</f>
        <v>0.998</v>
      </c>
      <c r="E1282" s="16">
        <f>IFERROR(__xludf.DUMMYFUNCTION("""COMPUTED_VALUE"""),71.0)</f>
        <v>71</v>
      </c>
      <c r="F1282" s="19" t="str">
        <f>IFERROR(__xludf.DUMMYFUNCTION("""COMPUTED_VALUE"""),"BLUE")</f>
        <v>BLUE</v>
      </c>
      <c r="G1282" s="20" t="str">
        <f>IFERROR(__xludf.DUMMYFUNCTION("""COMPUTED_VALUE"""),"Uncle Sams Cider (04/04/2023)")</f>
        <v>Uncle Sams Cider (04/04/2023)</v>
      </c>
      <c r="H1282" s="19"/>
    </row>
    <row r="1283">
      <c r="A1283" s="9"/>
      <c r="B1283" s="15"/>
      <c r="C1283" s="9">
        <f>IFERROR(__xludf.DUMMYFUNCTION("""COMPUTED_VALUE"""),45131.2018541666)</f>
        <v>45131.20185</v>
      </c>
      <c r="D1283" s="15">
        <f>IFERROR(__xludf.DUMMYFUNCTION("""COMPUTED_VALUE"""),0.998)</f>
        <v>0.998</v>
      </c>
      <c r="E1283" s="16">
        <f>IFERROR(__xludf.DUMMYFUNCTION("""COMPUTED_VALUE"""),71.0)</f>
        <v>71</v>
      </c>
      <c r="F1283" s="19" t="str">
        <f>IFERROR(__xludf.DUMMYFUNCTION("""COMPUTED_VALUE"""),"BLUE")</f>
        <v>BLUE</v>
      </c>
      <c r="G1283" s="20" t="str">
        <f>IFERROR(__xludf.DUMMYFUNCTION("""COMPUTED_VALUE"""),"Uncle Sams Cider (04/04/2023)")</f>
        <v>Uncle Sams Cider (04/04/2023)</v>
      </c>
      <c r="H1283" s="19"/>
    </row>
    <row r="1284">
      <c r="A1284" s="9"/>
      <c r="B1284" s="15"/>
      <c r="C1284" s="9">
        <f>IFERROR(__xludf.DUMMYFUNCTION("""COMPUTED_VALUE"""),45131.1914324537)</f>
        <v>45131.19143</v>
      </c>
      <c r="D1284" s="15">
        <f>IFERROR(__xludf.DUMMYFUNCTION("""COMPUTED_VALUE"""),0.999)</f>
        <v>0.999</v>
      </c>
      <c r="E1284" s="16">
        <f>IFERROR(__xludf.DUMMYFUNCTION("""COMPUTED_VALUE"""),71.0)</f>
        <v>71</v>
      </c>
      <c r="F1284" s="19" t="str">
        <f>IFERROR(__xludf.DUMMYFUNCTION("""COMPUTED_VALUE"""),"BLUE")</f>
        <v>BLUE</v>
      </c>
      <c r="G1284" s="20" t="str">
        <f>IFERROR(__xludf.DUMMYFUNCTION("""COMPUTED_VALUE"""),"Uncle Sams Cider (04/04/2023)")</f>
        <v>Uncle Sams Cider (04/04/2023)</v>
      </c>
      <c r="H1284" s="19"/>
    </row>
    <row r="1285">
      <c r="A1285" s="9"/>
      <c r="B1285" s="15"/>
      <c r="C1285" s="9">
        <f>IFERROR(__xludf.DUMMYFUNCTION("""COMPUTED_VALUE"""),45131.1810118287)</f>
        <v>45131.18101</v>
      </c>
      <c r="D1285" s="15">
        <f>IFERROR(__xludf.DUMMYFUNCTION("""COMPUTED_VALUE"""),0.998)</f>
        <v>0.998</v>
      </c>
      <c r="E1285" s="16">
        <f>IFERROR(__xludf.DUMMYFUNCTION("""COMPUTED_VALUE"""),71.0)</f>
        <v>71</v>
      </c>
      <c r="F1285" s="19" t="str">
        <f>IFERROR(__xludf.DUMMYFUNCTION("""COMPUTED_VALUE"""),"BLUE")</f>
        <v>BLUE</v>
      </c>
      <c r="G1285" s="20" t="str">
        <f>IFERROR(__xludf.DUMMYFUNCTION("""COMPUTED_VALUE"""),"Uncle Sams Cider (04/04/2023)")</f>
        <v>Uncle Sams Cider (04/04/2023)</v>
      </c>
      <c r="H1285" s="19"/>
    </row>
    <row r="1286">
      <c r="A1286" s="9"/>
      <c r="B1286" s="15"/>
      <c r="C1286" s="9">
        <f>IFERROR(__xludf.DUMMYFUNCTION("""COMPUTED_VALUE"""),45131.1705917129)</f>
        <v>45131.17059</v>
      </c>
      <c r="D1286" s="15">
        <f>IFERROR(__xludf.DUMMYFUNCTION("""COMPUTED_VALUE"""),0.999)</f>
        <v>0.999</v>
      </c>
      <c r="E1286" s="16">
        <f>IFERROR(__xludf.DUMMYFUNCTION("""COMPUTED_VALUE"""),71.0)</f>
        <v>71</v>
      </c>
      <c r="F1286" s="19" t="str">
        <f>IFERROR(__xludf.DUMMYFUNCTION("""COMPUTED_VALUE"""),"BLUE")</f>
        <v>BLUE</v>
      </c>
      <c r="G1286" s="20" t="str">
        <f>IFERROR(__xludf.DUMMYFUNCTION("""COMPUTED_VALUE"""),"Uncle Sams Cider (04/04/2023)")</f>
        <v>Uncle Sams Cider (04/04/2023)</v>
      </c>
      <c r="H1286" s="19"/>
    </row>
    <row r="1287">
      <c r="A1287" s="9"/>
      <c r="B1287" s="15"/>
      <c r="C1287" s="9">
        <f>IFERROR(__xludf.DUMMYFUNCTION("""COMPUTED_VALUE"""),45131.1601714583)</f>
        <v>45131.16017</v>
      </c>
      <c r="D1287" s="15">
        <f>IFERROR(__xludf.DUMMYFUNCTION("""COMPUTED_VALUE"""),0.998)</f>
        <v>0.998</v>
      </c>
      <c r="E1287" s="16">
        <f>IFERROR(__xludf.DUMMYFUNCTION("""COMPUTED_VALUE"""),71.0)</f>
        <v>71</v>
      </c>
      <c r="F1287" s="19" t="str">
        <f>IFERROR(__xludf.DUMMYFUNCTION("""COMPUTED_VALUE"""),"BLUE")</f>
        <v>BLUE</v>
      </c>
      <c r="G1287" s="20" t="str">
        <f>IFERROR(__xludf.DUMMYFUNCTION("""COMPUTED_VALUE"""),"Uncle Sams Cider (04/04/2023)")</f>
        <v>Uncle Sams Cider (04/04/2023)</v>
      </c>
      <c r="H1287" s="19"/>
    </row>
    <row r="1288">
      <c r="A1288" s="9"/>
      <c r="B1288" s="15"/>
      <c r="C1288" s="9">
        <f>IFERROR(__xludf.DUMMYFUNCTION("""COMPUTED_VALUE"""),45131.1497497916)</f>
        <v>45131.14975</v>
      </c>
      <c r="D1288" s="15">
        <f>IFERROR(__xludf.DUMMYFUNCTION("""COMPUTED_VALUE"""),0.999)</f>
        <v>0.999</v>
      </c>
      <c r="E1288" s="16">
        <f>IFERROR(__xludf.DUMMYFUNCTION("""COMPUTED_VALUE"""),71.0)</f>
        <v>71</v>
      </c>
      <c r="F1288" s="19" t="str">
        <f>IFERROR(__xludf.DUMMYFUNCTION("""COMPUTED_VALUE"""),"BLUE")</f>
        <v>BLUE</v>
      </c>
      <c r="G1288" s="20" t="str">
        <f>IFERROR(__xludf.DUMMYFUNCTION("""COMPUTED_VALUE"""),"Uncle Sams Cider (04/04/2023)")</f>
        <v>Uncle Sams Cider (04/04/2023)</v>
      </c>
      <c r="H1288" s="19"/>
    </row>
    <row r="1289">
      <c r="A1289" s="9"/>
      <c r="B1289" s="15"/>
      <c r="C1289" s="9">
        <f>IFERROR(__xludf.DUMMYFUNCTION("""COMPUTED_VALUE"""),45131.13932853)</f>
        <v>45131.13933</v>
      </c>
      <c r="D1289" s="15">
        <f>IFERROR(__xludf.DUMMYFUNCTION("""COMPUTED_VALUE"""),0.999)</f>
        <v>0.999</v>
      </c>
      <c r="E1289" s="16">
        <f>IFERROR(__xludf.DUMMYFUNCTION("""COMPUTED_VALUE"""),71.0)</f>
        <v>71</v>
      </c>
      <c r="F1289" s="19" t="str">
        <f>IFERROR(__xludf.DUMMYFUNCTION("""COMPUTED_VALUE"""),"BLUE")</f>
        <v>BLUE</v>
      </c>
      <c r="G1289" s="20" t="str">
        <f>IFERROR(__xludf.DUMMYFUNCTION("""COMPUTED_VALUE"""),"Uncle Sams Cider (04/04/2023)")</f>
        <v>Uncle Sams Cider (04/04/2023)</v>
      </c>
      <c r="H1289" s="19"/>
    </row>
    <row r="1290">
      <c r="A1290" s="9"/>
      <c r="B1290" s="15"/>
      <c r="C1290" s="9">
        <f>IFERROR(__xludf.DUMMYFUNCTION("""COMPUTED_VALUE"""),45131.1289068981)</f>
        <v>45131.12891</v>
      </c>
      <c r="D1290" s="15">
        <f>IFERROR(__xludf.DUMMYFUNCTION("""COMPUTED_VALUE"""),0.999)</f>
        <v>0.999</v>
      </c>
      <c r="E1290" s="16">
        <f>IFERROR(__xludf.DUMMYFUNCTION("""COMPUTED_VALUE"""),71.0)</f>
        <v>71</v>
      </c>
      <c r="F1290" s="19" t="str">
        <f>IFERROR(__xludf.DUMMYFUNCTION("""COMPUTED_VALUE"""),"BLUE")</f>
        <v>BLUE</v>
      </c>
      <c r="G1290" s="20" t="str">
        <f>IFERROR(__xludf.DUMMYFUNCTION("""COMPUTED_VALUE"""),"Uncle Sams Cider (04/04/2023)")</f>
        <v>Uncle Sams Cider (04/04/2023)</v>
      </c>
      <c r="H1290" s="19"/>
    </row>
    <row r="1291">
      <c r="A1291" s="9"/>
      <c r="B1291" s="15"/>
      <c r="C1291" s="9">
        <f>IFERROR(__xludf.DUMMYFUNCTION("""COMPUTED_VALUE"""),45131.1184849421)</f>
        <v>45131.11848</v>
      </c>
      <c r="D1291" s="15">
        <f>IFERROR(__xludf.DUMMYFUNCTION("""COMPUTED_VALUE"""),0.998)</f>
        <v>0.998</v>
      </c>
      <c r="E1291" s="16">
        <f>IFERROR(__xludf.DUMMYFUNCTION("""COMPUTED_VALUE"""),71.0)</f>
        <v>71</v>
      </c>
      <c r="F1291" s="19" t="str">
        <f>IFERROR(__xludf.DUMMYFUNCTION("""COMPUTED_VALUE"""),"BLUE")</f>
        <v>BLUE</v>
      </c>
      <c r="G1291" s="20" t="str">
        <f>IFERROR(__xludf.DUMMYFUNCTION("""COMPUTED_VALUE"""),"Uncle Sams Cider (04/04/2023)")</f>
        <v>Uncle Sams Cider (04/04/2023)</v>
      </c>
      <c r="H1291" s="19"/>
    </row>
    <row r="1292">
      <c r="A1292" s="9"/>
      <c r="B1292" s="15"/>
      <c r="C1292" s="9">
        <f>IFERROR(__xludf.DUMMYFUNCTION("""COMPUTED_VALUE"""),45131.108052662)</f>
        <v>45131.10805</v>
      </c>
      <c r="D1292" s="15">
        <f>IFERROR(__xludf.DUMMYFUNCTION("""COMPUTED_VALUE"""),0.999)</f>
        <v>0.999</v>
      </c>
      <c r="E1292" s="16">
        <f>IFERROR(__xludf.DUMMYFUNCTION("""COMPUTED_VALUE"""),71.0)</f>
        <v>71</v>
      </c>
      <c r="F1292" s="19" t="str">
        <f>IFERROR(__xludf.DUMMYFUNCTION("""COMPUTED_VALUE"""),"BLUE")</f>
        <v>BLUE</v>
      </c>
      <c r="G1292" s="20" t="str">
        <f>IFERROR(__xludf.DUMMYFUNCTION("""COMPUTED_VALUE"""),"Uncle Sams Cider (04/04/2023)")</f>
        <v>Uncle Sams Cider (04/04/2023)</v>
      </c>
      <c r="H1292" s="19"/>
    </row>
    <row r="1293">
      <c r="A1293" s="9"/>
      <c r="B1293" s="15"/>
      <c r="C1293" s="9">
        <f>IFERROR(__xludf.DUMMYFUNCTION("""COMPUTED_VALUE"""),45131.0976177546)</f>
        <v>45131.09762</v>
      </c>
      <c r="D1293" s="15">
        <f>IFERROR(__xludf.DUMMYFUNCTION("""COMPUTED_VALUE"""),0.999)</f>
        <v>0.999</v>
      </c>
      <c r="E1293" s="16">
        <f>IFERROR(__xludf.DUMMYFUNCTION("""COMPUTED_VALUE"""),71.0)</f>
        <v>71</v>
      </c>
      <c r="F1293" s="19" t="str">
        <f>IFERROR(__xludf.DUMMYFUNCTION("""COMPUTED_VALUE"""),"BLUE")</f>
        <v>BLUE</v>
      </c>
      <c r="G1293" s="20" t="str">
        <f>IFERROR(__xludf.DUMMYFUNCTION("""COMPUTED_VALUE"""),"Uncle Sams Cider (04/04/2023)")</f>
        <v>Uncle Sams Cider (04/04/2023)</v>
      </c>
      <c r="H1293" s="19"/>
    </row>
    <row r="1294">
      <c r="A1294" s="9"/>
      <c r="B1294" s="15"/>
      <c r="C1294" s="9">
        <f>IFERROR(__xludf.DUMMYFUNCTION("""COMPUTED_VALUE"""),45131.0871981597)</f>
        <v>45131.0872</v>
      </c>
      <c r="D1294" s="15">
        <f>IFERROR(__xludf.DUMMYFUNCTION("""COMPUTED_VALUE"""),0.999)</f>
        <v>0.999</v>
      </c>
      <c r="E1294" s="16">
        <f>IFERROR(__xludf.DUMMYFUNCTION("""COMPUTED_VALUE"""),71.0)</f>
        <v>71</v>
      </c>
      <c r="F1294" s="19" t="str">
        <f>IFERROR(__xludf.DUMMYFUNCTION("""COMPUTED_VALUE"""),"BLUE")</f>
        <v>BLUE</v>
      </c>
      <c r="G1294" s="20" t="str">
        <f>IFERROR(__xludf.DUMMYFUNCTION("""COMPUTED_VALUE"""),"Uncle Sams Cider (04/04/2023)")</f>
        <v>Uncle Sams Cider (04/04/2023)</v>
      </c>
      <c r="H1294" s="19"/>
    </row>
    <row r="1295">
      <c r="A1295" s="9"/>
      <c r="B1295" s="15"/>
      <c r="C1295" s="9">
        <f>IFERROR(__xludf.DUMMYFUNCTION("""COMPUTED_VALUE"""),45131.0767768981)</f>
        <v>45131.07678</v>
      </c>
      <c r="D1295" s="15">
        <f>IFERROR(__xludf.DUMMYFUNCTION("""COMPUTED_VALUE"""),0.998)</f>
        <v>0.998</v>
      </c>
      <c r="E1295" s="16">
        <f>IFERROR(__xludf.DUMMYFUNCTION("""COMPUTED_VALUE"""),71.0)</f>
        <v>71</v>
      </c>
      <c r="F1295" s="19" t="str">
        <f>IFERROR(__xludf.DUMMYFUNCTION("""COMPUTED_VALUE"""),"BLUE")</f>
        <v>BLUE</v>
      </c>
      <c r="G1295" s="20" t="str">
        <f>IFERROR(__xludf.DUMMYFUNCTION("""COMPUTED_VALUE"""),"Uncle Sams Cider (04/04/2023)")</f>
        <v>Uncle Sams Cider (04/04/2023)</v>
      </c>
      <c r="H1295" s="19"/>
    </row>
    <row r="1296">
      <c r="A1296" s="9"/>
      <c r="B1296" s="15"/>
      <c r="C1296" s="9">
        <f>IFERROR(__xludf.DUMMYFUNCTION("""COMPUTED_VALUE"""),45131.0663563426)</f>
        <v>45131.06636</v>
      </c>
      <c r="D1296" s="15">
        <f>IFERROR(__xludf.DUMMYFUNCTION("""COMPUTED_VALUE"""),0.998)</f>
        <v>0.998</v>
      </c>
      <c r="E1296" s="16">
        <f>IFERROR(__xludf.DUMMYFUNCTION("""COMPUTED_VALUE"""),71.0)</f>
        <v>71</v>
      </c>
      <c r="F1296" s="19" t="str">
        <f>IFERROR(__xludf.DUMMYFUNCTION("""COMPUTED_VALUE"""),"BLUE")</f>
        <v>BLUE</v>
      </c>
      <c r="G1296" s="20" t="str">
        <f>IFERROR(__xludf.DUMMYFUNCTION("""COMPUTED_VALUE"""),"Uncle Sams Cider (04/04/2023)")</f>
        <v>Uncle Sams Cider (04/04/2023)</v>
      </c>
      <c r="H1296" s="19"/>
    </row>
    <row r="1297">
      <c r="A1297" s="9"/>
      <c r="B1297" s="15"/>
      <c r="C1297" s="9">
        <f>IFERROR(__xludf.DUMMYFUNCTION("""COMPUTED_VALUE"""),45131.0559227893)</f>
        <v>45131.05592</v>
      </c>
      <c r="D1297" s="15">
        <f>IFERROR(__xludf.DUMMYFUNCTION("""COMPUTED_VALUE"""),0.998)</f>
        <v>0.998</v>
      </c>
      <c r="E1297" s="16">
        <f>IFERROR(__xludf.DUMMYFUNCTION("""COMPUTED_VALUE"""),71.0)</f>
        <v>71</v>
      </c>
      <c r="F1297" s="19" t="str">
        <f>IFERROR(__xludf.DUMMYFUNCTION("""COMPUTED_VALUE"""),"BLUE")</f>
        <v>BLUE</v>
      </c>
      <c r="G1297" s="20" t="str">
        <f>IFERROR(__xludf.DUMMYFUNCTION("""COMPUTED_VALUE"""),"Uncle Sams Cider (04/04/2023)")</f>
        <v>Uncle Sams Cider (04/04/2023)</v>
      </c>
      <c r="H1297" s="19"/>
    </row>
    <row r="1298">
      <c r="A1298" s="9"/>
      <c r="B1298" s="15"/>
      <c r="C1298" s="9">
        <f>IFERROR(__xludf.DUMMYFUNCTION("""COMPUTED_VALUE"""),45131.0454913888)</f>
        <v>45131.04549</v>
      </c>
      <c r="D1298" s="15">
        <f>IFERROR(__xludf.DUMMYFUNCTION("""COMPUTED_VALUE"""),0.999)</f>
        <v>0.999</v>
      </c>
      <c r="E1298" s="16">
        <f>IFERROR(__xludf.DUMMYFUNCTION("""COMPUTED_VALUE"""),71.0)</f>
        <v>71</v>
      </c>
      <c r="F1298" s="19" t="str">
        <f>IFERROR(__xludf.DUMMYFUNCTION("""COMPUTED_VALUE"""),"BLUE")</f>
        <v>BLUE</v>
      </c>
      <c r="G1298" s="20" t="str">
        <f>IFERROR(__xludf.DUMMYFUNCTION("""COMPUTED_VALUE"""),"Uncle Sams Cider (04/04/2023)")</f>
        <v>Uncle Sams Cider (04/04/2023)</v>
      </c>
      <c r="H1298" s="19"/>
    </row>
    <row r="1299">
      <c r="A1299" s="9"/>
      <c r="B1299" s="15"/>
      <c r="C1299" s="9">
        <f>IFERROR(__xludf.DUMMYFUNCTION("""COMPUTED_VALUE"""),45131.0350348032)</f>
        <v>45131.03503</v>
      </c>
      <c r="D1299" s="15">
        <f>IFERROR(__xludf.DUMMYFUNCTION("""COMPUTED_VALUE"""),0.999)</f>
        <v>0.999</v>
      </c>
      <c r="E1299" s="16">
        <f>IFERROR(__xludf.DUMMYFUNCTION("""COMPUTED_VALUE"""),71.0)</f>
        <v>71</v>
      </c>
      <c r="F1299" s="19" t="str">
        <f>IFERROR(__xludf.DUMMYFUNCTION("""COMPUTED_VALUE"""),"BLUE")</f>
        <v>BLUE</v>
      </c>
      <c r="G1299" s="20" t="str">
        <f>IFERROR(__xludf.DUMMYFUNCTION("""COMPUTED_VALUE"""),"Uncle Sams Cider (04/04/2023)")</f>
        <v>Uncle Sams Cider (04/04/2023)</v>
      </c>
      <c r="H1299" s="19"/>
    </row>
    <row r="1300">
      <c r="A1300" s="9"/>
      <c r="B1300" s="15"/>
      <c r="C1300" s="9">
        <f>IFERROR(__xludf.DUMMYFUNCTION("""COMPUTED_VALUE"""),45131.0246140625)</f>
        <v>45131.02461</v>
      </c>
      <c r="D1300" s="15">
        <f>IFERROR(__xludf.DUMMYFUNCTION("""COMPUTED_VALUE"""),0.999)</f>
        <v>0.999</v>
      </c>
      <c r="E1300" s="16">
        <f>IFERROR(__xludf.DUMMYFUNCTION("""COMPUTED_VALUE"""),71.0)</f>
        <v>71</v>
      </c>
      <c r="F1300" s="19" t="str">
        <f>IFERROR(__xludf.DUMMYFUNCTION("""COMPUTED_VALUE"""),"BLUE")</f>
        <v>BLUE</v>
      </c>
      <c r="G1300" s="20" t="str">
        <f>IFERROR(__xludf.DUMMYFUNCTION("""COMPUTED_VALUE"""),"Uncle Sams Cider (04/04/2023)")</f>
        <v>Uncle Sams Cider (04/04/2023)</v>
      </c>
      <c r="H1300" s="19"/>
    </row>
    <row r="1301">
      <c r="A1301" s="9"/>
      <c r="B1301" s="15"/>
      <c r="C1301" s="9">
        <f>IFERROR(__xludf.DUMMYFUNCTION("""COMPUTED_VALUE"""),45131.0141673958)</f>
        <v>45131.01417</v>
      </c>
      <c r="D1301" s="15">
        <f>IFERROR(__xludf.DUMMYFUNCTION("""COMPUTED_VALUE"""),0.999)</f>
        <v>0.999</v>
      </c>
      <c r="E1301" s="16">
        <f>IFERROR(__xludf.DUMMYFUNCTION("""COMPUTED_VALUE"""),71.0)</f>
        <v>71</v>
      </c>
      <c r="F1301" s="19" t="str">
        <f>IFERROR(__xludf.DUMMYFUNCTION("""COMPUTED_VALUE"""),"BLUE")</f>
        <v>BLUE</v>
      </c>
      <c r="G1301" s="20" t="str">
        <f>IFERROR(__xludf.DUMMYFUNCTION("""COMPUTED_VALUE"""),"Uncle Sams Cider (04/04/2023)")</f>
        <v>Uncle Sams Cider (04/04/2023)</v>
      </c>
      <c r="H1301" s="19"/>
    </row>
    <row r="1302">
      <c r="A1302" s="9"/>
      <c r="B1302" s="15"/>
      <c r="C1302" s="9">
        <f>IFERROR(__xludf.DUMMYFUNCTION("""COMPUTED_VALUE"""),45131.0037351736)</f>
        <v>45131.00374</v>
      </c>
      <c r="D1302" s="15">
        <f>IFERROR(__xludf.DUMMYFUNCTION("""COMPUTED_VALUE"""),0.999)</f>
        <v>0.999</v>
      </c>
      <c r="E1302" s="16">
        <f>IFERROR(__xludf.DUMMYFUNCTION("""COMPUTED_VALUE"""),71.0)</f>
        <v>71</v>
      </c>
      <c r="F1302" s="19" t="str">
        <f>IFERROR(__xludf.DUMMYFUNCTION("""COMPUTED_VALUE"""),"BLUE")</f>
        <v>BLUE</v>
      </c>
      <c r="G1302" s="20" t="str">
        <f>IFERROR(__xludf.DUMMYFUNCTION("""COMPUTED_VALUE"""),"Uncle Sams Cider (04/04/2023)")</f>
        <v>Uncle Sams Cider (04/04/2023)</v>
      </c>
      <c r="H1302" s="19"/>
    </row>
    <row r="1303">
      <c r="A1303" s="9"/>
      <c r="B1303" s="15"/>
      <c r="C1303" s="9">
        <f>IFERROR(__xludf.DUMMYFUNCTION("""COMPUTED_VALUE"""),45130.9933158912)</f>
        <v>45130.99332</v>
      </c>
      <c r="D1303" s="15">
        <f>IFERROR(__xludf.DUMMYFUNCTION("""COMPUTED_VALUE"""),0.999)</f>
        <v>0.999</v>
      </c>
      <c r="E1303" s="16">
        <f>IFERROR(__xludf.DUMMYFUNCTION("""COMPUTED_VALUE"""),71.0)</f>
        <v>71</v>
      </c>
      <c r="F1303" s="19" t="str">
        <f>IFERROR(__xludf.DUMMYFUNCTION("""COMPUTED_VALUE"""),"BLUE")</f>
        <v>BLUE</v>
      </c>
      <c r="G1303" s="20" t="str">
        <f>IFERROR(__xludf.DUMMYFUNCTION("""COMPUTED_VALUE"""),"Uncle Sams Cider (04/04/2023)")</f>
        <v>Uncle Sams Cider (04/04/2023)</v>
      </c>
      <c r="H1303" s="19"/>
    </row>
    <row r="1304">
      <c r="A1304" s="9"/>
      <c r="B1304" s="15"/>
      <c r="C1304" s="9">
        <f>IFERROR(__xludf.DUMMYFUNCTION("""COMPUTED_VALUE"""),45130.9828942245)</f>
        <v>45130.98289</v>
      </c>
      <c r="D1304" s="15">
        <f>IFERROR(__xludf.DUMMYFUNCTION("""COMPUTED_VALUE"""),0.999)</f>
        <v>0.999</v>
      </c>
      <c r="E1304" s="16">
        <f>IFERROR(__xludf.DUMMYFUNCTION("""COMPUTED_VALUE"""),71.0)</f>
        <v>71</v>
      </c>
      <c r="F1304" s="19" t="str">
        <f>IFERROR(__xludf.DUMMYFUNCTION("""COMPUTED_VALUE"""),"BLUE")</f>
        <v>BLUE</v>
      </c>
      <c r="G1304" s="20" t="str">
        <f>IFERROR(__xludf.DUMMYFUNCTION("""COMPUTED_VALUE"""),"Uncle Sams Cider (04/04/2023)")</f>
        <v>Uncle Sams Cider (04/04/2023)</v>
      </c>
      <c r="H1304" s="19"/>
    </row>
    <row r="1305">
      <c r="A1305" s="9"/>
      <c r="B1305" s="15"/>
      <c r="C1305" s="9">
        <f>IFERROR(__xludf.DUMMYFUNCTION("""COMPUTED_VALUE"""),45130.9724745138)</f>
        <v>45130.97247</v>
      </c>
      <c r="D1305" s="15">
        <f>IFERROR(__xludf.DUMMYFUNCTION("""COMPUTED_VALUE"""),0.999)</f>
        <v>0.999</v>
      </c>
      <c r="E1305" s="16">
        <f>IFERROR(__xludf.DUMMYFUNCTION("""COMPUTED_VALUE"""),71.0)</f>
        <v>71</v>
      </c>
      <c r="F1305" s="19" t="str">
        <f>IFERROR(__xludf.DUMMYFUNCTION("""COMPUTED_VALUE"""),"BLUE")</f>
        <v>BLUE</v>
      </c>
      <c r="G1305" s="20" t="str">
        <f>IFERROR(__xludf.DUMMYFUNCTION("""COMPUTED_VALUE"""),"Uncle Sams Cider (04/04/2023)")</f>
        <v>Uncle Sams Cider (04/04/2023)</v>
      </c>
      <c r="H1305" s="19"/>
    </row>
    <row r="1306">
      <c r="A1306" s="9"/>
      <c r="B1306" s="15"/>
      <c r="C1306" s="9">
        <f>IFERROR(__xludf.DUMMYFUNCTION("""COMPUTED_VALUE"""),45130.9620534953)</f>
        <v>45130.96205</v>
      </c>
      <c r="D1306" s="15">
        <f>IFERROR(__xludf.DUMMYFUNCTION("""COMPUTED_VALUE"""),0.999)</f>
        <v>0.999</v>
      </c>
      <c r="E1306" s="16">
        <f>IFERROR(__xludf.DUMMYFUNCTION("""COMPUTED_VALUE"""),71.0)</f>
        <v>71</v>
      </c>
      <c r="F1306" s="19" t="str">
        <f>IFERROR(__xludf.DUMMYFUNCTION("""COMPUTED_VALUE"""),"BLUE")</f>
        <v>BLUE</v>
      </c>
      <c r="G1306" s="20" t="str">
        <f>IFERROR(__xludf.DUMMYFUNCTION("""COMPUTED_VALUE"""),"Uncle Sams Cider (04/04/2023)")</f>
        <v>Uncle Sams Cider (04/04/2023)</v>
      </c>
      <c r="H1306" s="19"/>
    </row>
    <row r="1307">
      <c r="A1307" s="9"/>
      <c r="B1307" s="15"/>
      <c r="C1307" s="9">
        <f>IFERROR(__xludf.DUMMYFUNCTION("""COMPUTED_VALUE"""),45130.9516322453)</f>
        <v>45130.95163</v>
      </c>
      <c r="D1307" s="15">
        <f>IFERROR(__xludf.DUMMYFUNCTION("""COMPUTED_VALUE"""),0.999)</f>
        <v>0.999</v>
      </c>
      <c r="E1307" s="16">
        <f>IFERROR(__xludf.DUMMYFUNCTION("""COMPUTED_VALUE"""),71.0)</f>
        <v>71</v>
      </c>
      <c r="F1307" s="19" t="str">
        <f>IFERROR(__xludf.DUMMYFUNCTION("""COMPUTED_VALUE"""),"BLUE")</f>
        <v>BLUE</v>
      </c>
      <c r="G1307" s="20" t="str">
        <f>IFERROR(__xludf.DUMMYFUNCTION("""COMPUTED_VALUE"""),"Uncle Sams Cider (04/04/2023)")</f>
        <v>Uncle Sams Cider (04/04/2023)</v>
      </c>
      <c r="H1307" s="19"/>
    </row>
    <row r="1308">
      <c r="A1308" s="9"/>
      <c r="B1308" s="15"/>
      <c r="C1308" s="9">
        <f>IFERROR(__xludf.DUMMYFUNCTION("""COMPUTED_VALUE"""),45130.9412123842)</f>
        <v>45130.94121</v>
      </c>
      <c r="D1308" s="15">
        <f>IFERROR(__xludf.DUMMYFUNCTION("""COMPUTED_VALUE"""),0.999)</f>
        <v>0.999</v>
      </c>
      <c r="E1308" s="16">
        <f>IFERROR(__xludf.DUMMYFUNCTION("""COMPUTED_VALUE"""),71.0)</f>
        <v>71</v>
      </c>
      <c r="F1308" s="19" t="str">
        <f>IFERROR(__xludf.DUMMYFUNCTION("""COMPUTED_VALUE"""),"BLUE")</f>
        <v>BLUE</v>
      </c>
      <c r="G1308" s="20" t="str">
        <f>IFERROR(__xludf.DUMMYFUNCTION("""COMPUTED_VALUE"""),"Uncle Sams Cider (04/04/2023)")</f>
        <v>Uncle Sams Cider (04/04/2023)</v>
      </c>
      <c r="H1308" s="19"/>
    </row>
    <row r="1309">
      <c r="A1309" s="9"/>
      <c r="B1309" s="15"/>
      <c r="C1309" s="9">
        <f>IFERROR(__xludf.DUMMYFUNCTION("""COMPUTED_VALUE"""),45130.9307698726)</f>
        <v>45130.93077</v>
      </c>
      <c r="D1309" s="15">
        <f>IFERROR(__xludf.DUMMYFUNCTION("""COMPUTED_VALUE"""),0.998)</f>
        <v>0.998</v>
      </c>
      <c r="E1309" s="16">
        <f>IFERROR(__xludf.DUMMYFUNCTION("""COMPUTED_VALUE"""),71.0)</f>
        <v>71</v>
      </c>
      <c r="F1309" s="19" t="str">
        <f>IFERROR(__xludf.DUMMYFUNCTION("""COMPUTED_VALUE"""),"BLUE")</f>
        <v>BLUE</v>
      </c>
      <c r="G1309" s="20" t="str">
        <f>IFERROR(__xludf.DUMMYFUNCTION("""COMPUTED_VALUE"""),"Uncle Sams Cider (04/04/2023)")</f>
        <v>Uncle Sams Cider (04/04/2023)</v>
      </c>
      <c r="H1309" s="19"/>
    </row>
    <row r="1310">
      <c r="A1310" s="9"/>
      <c r="B1310" s="15"/>
      <c r="C1310" s="9">
        <f>IFERROR(__xludf.DUMMYFUNCTION("""COMPUTED_VALUE"""),45130.9203479051)</f>
        <v>45130.92035</v>
      </c>
      <c r="D1310" s="15">
        <f>IFERROR(__xludf.DUMMYFUNCTION("""COMPUTED_VALUE"""),0.998)</f>
        <v>0.998</v>
      </c>
      <c r="E1310" s="16">
        <f>IFERROR(__xludf.DUMMYFUNCTION("""COMPUTED_VALUE"""),71.0)</f>
        <v>71</v>
      </c>
      <c r="F1310" s="19" t="str">
        <f>IFERROR(__xludf.DUMMYFUNCTION("""COMPUTED_VALUE"""),"BLUE")</f>
        <v>BLUE</v>
      </c>
      <c r="G1310" s="20" t="str">
        <f>IFERROR(__xludf.DUMMYFUNCTION("""COMPUTED_VALUE"""),"Uncle Sams Cider (04/04/2023)")</f>
        <v>Uncle Sams Cider (04/04/2023)</v>
      </c>
      <c r="H1310" s="19"/>
    </row>
    <row r="1311">
      <c r="A1311" s="9"/>
      <c r="B1311" s="15"/>
      <c r="C1311" s="9">
        <f>IFERROR(__xludf.DUMMYFUNCTION("""COMPUTED_VALUE"""),45130.9099247222)</f>
        <v>45130.90992</v>
      </c>
      <c r="D1311" s="15">
        <f>IFERROR(__xludf.DUMMYFUNCTION("""COMPUTED_VALUE"""),0.999)</f>
        <v>0.999</v>
      </c>
      <c r="E1311" s="16">
        <f>IFERROR(__xludf.DUMMYFUNCTION("""COMPUTED_VALUE"""),71.0)</f>
        <v>71</v>
      </c>
      <c r="F1311" s="19" t="str">
        <f>IFERROR(__xludf.DUMMYFUNCTION("""COMPUTED_VALUE"""),"BLUE")</f>
        <v>BLUE</v>
      </c>
      <c r="G1311" s="20" t="str">
        <f>IFERROR(__xludf.DUMMYFUNCTION("""COMPUTED_VALUE"""),"Uncle Sams Cider (04/04/2023)")</f>
        <v>Uncle Sams Cider (04/04/2023)</v>
      </c>
      <c r="H1311" s="19"/>
    </row>
    <row r="1312">
      <c r="A1312" s="9"/>
      <c r="B1312" s="15"/>
      <c r="C1312" s="9">
        <f>IFERROR(__xludf.DUMMYFUNCTION("""COMPUTED_VALUE"""),45130.8995012615)</f>
        <v>45130.8995</v>
      </c>
      <c r="D1312" s="15">
        <f>IFERROR(__xludf.DUMMYFUNCTION("""COMPUTED_VALUE"""),0.999)</f>
        <v>0.999</v>
      </c>
      <c r="E1312" s="16">
        <f>IFERROR(__xludf.DUMMYFUNCTION("""COMPUTED_VALUE"""),71.0)</f>
        <v>71</v>
      </c>
      <c r="F1312" s="19" t="str">
        <f>IFERROR(__xludf.DUMMYFUNCTION("""COMPUTED_VALUE"""),"BLUE")</f>
        <v>BLUE</v>
      </c>
      <c r="G1312" s="20" t="str">
        <f>IFERROR(__xludf.DUMMYFUNCTION("""COMPUTED_VALUE"""),"Uncle Sams Cider (04/04/2023)")</f>
        <v>Uncle Sams Cider (04/04/2023)</v>
      </c>
      <c r="H1312" s="19"/>
    </row>
    <row r="1313">
      <c r="A1313" s="9"/>
      <c r="B1313" s="15"/>
      <c r="C1313" s="9">
        <f>IFERROR(__xludf.DUMMYFUNCTION("""COMPUTED_VALUE"""),45130.8890799421)</f>
        <v>45130.88908</v>
      </c>
      <c r="D1313" s="15">
        <f>IFERROR(__xludf.DUMMYFUNCTION("""COMPUTED_VALUE"""),0.999)</f>
        <v>0.999</v>
      </c>
      <c r="E1313" s="16">
        <f>IFERROR(__xludf.DUMMYFUNCTION("""COMPUTED_VALUE"""),71.0)</f>
        <v>71</v>
      </c>
      <c r="F1313" s="19" t="str">
        <f>IFERROR(__xludf.DUMMYFUNCTION("""COMPUTED_VALUE"""),"BLUE")</f>
        <v>BLUE</v>
      </c>
      <c r="G1313" s="20" t="str">
        <f>IFERROR(__xludf.DUMMYFUNCTION("""COMPUTED_VALUE"""),"Uncle Sams Cider (04/04/2023)")</f>
        <v>Uncle Sams Cider (04/04/2023)</v>
      </c>
      <c r="H1313" s="19"/>
    </row>
    <row r="1314">
      <c r="A1314" s="9"/>
      <c r="B1314" s="15"/>
      <c r="C1314" s="9">
        <f>IFERROR(__xludf.DUMMYFUNCTION("""COMPUTED_VALUE"""),45130.8786606597)</f>
        <v>45130.87866</v>
      </c>
      <c r="D1314" s="15">
        <f>IFERROR(__xludf.DUMMYFUNCTION("""COMPUTED_VALUE"""),0.999)</f>
        <v>0.999</v>
      </c>
      <c r="E1314" s="16">
        <f>IFERROR(__xludf.DUMMYFUNCTION("""COMPUTED_VALUE"""),71.0)</f>
        <v>71</v>
      </c>
      <c r="F1314" s="19" t="str">
        <f>IFERROR(__xludf.DUMMYFUNCTION("""COMPUTED_VALUE"""),"BLUE")</f>
        <v>BLUE</v>
      </c>
      <c r="G1314" s="20" t="str">
        <f>IFERROR(__xludf.DUMMYFUNCTION("""COMPUTED_VALUE"""),"Uncle Sams Cider (04/04/2023)")</f>
        <v>Uncle Sams Cider (04/04/2023)</v>
      </c>
      <c r="H1314" s="19"/>
    </row>
    <row r="1315">
      <c r="A1315" s="9"/>
      <c r="B1315" s="15"/>
      <c r="C1315" s="9">
        <f>IFERROR(__xludf.DUMMYFUNCTION("""COMPUTED_VALUE"""),45130.8682403356)</f>
        <v>45130.86824</v>
      </c>
      <c r="D1315" s="15">
        <f>IFERROR(__xludf.DUMMYFUNCTION("""COMPUTED_VALUE"""),0.998)</f>
        <v>0.998</v>
      </c>
      <c r="E1315" s="16">
        <f>IFERROR(__xludf.DUMMYFUNCTION("""COMPUTED_VALUE"""),71.0)</f>
        <v>71</v>
      </c>
      <c r="F1315" s="19" t="str">
        <f>IFERROR(__xludf.DUMMYFUNCTION("""COMPUTED_VALUE"""),"BLUE")</f>
        <v>BLUE</v>
      </c>
      <c r="G1315" s="20" t="str">
        <f>IFERROR(__xludf.DUMMYFUNCTION("""COMPUTED_VALUE"""),"Uncle Sams Cider (04/04/2023)")</f>
        <v>Uncle Sams Cider (04/04/2023)</v>
      </c>
      <c r="H1315" s="19"/>
    </row>
    <row r="1316">
      <c r="A1316" s="9"/>
      <c r="B1316" s="15"/>
      <c r="C1316" s="9">
        <f>IFERROR(__xludf.DUMMYFUNCTION("""COMPUTED_VALUE"""),45130.8578181713)</f>
        <v>45130.85782</v>
      </c>
      <c r="D1316" s="15">
        <f>IFERROR(__xludf.DUMMYFUNCTION("""COMPUTED_VALUE"""),0.999)</f>
        <v>0.999</v>
      </c>
      <c r="E1316" s="16">
        <f>IFERROR(__xludf.DUMMYFUNCTION("""COMPUTED_VALUE"""),71.0)</f>
        <v>71</v>
      </c>
      <c r="F1316" s="19" t="str">
        <f>IFERROR(__xludf.DUMMYFUNCTION("""COMPUTED_VALUE"""),"BLUE")</f>
        <v>BLUE</v>
      </c>
      <c r="G1316" s="20" t="str">
        <f>IFERROR(__xludf.DUMMYFUNCTION("""COMPUTED_VALUE"""),"Uncle Sams Cider (04/04/2023)")</f>
        <v>Uncle Sams Cider (04/04/2023)</v>
      </c>
      <c r="H1316" s="19"/>
    </row>
    <row r="1317">
      <c r="A1317" s="9"/>
      <c r="B1317" s="15"/>
      <c r="C1317" s="9">
        <f>IFERROR(__xludf.DUMMYFUNCTION("""COMPUTED_VALUE"""),45130.8473964467)</f>
        <v>45130.8474</v>
      </c>
      <c r="D1317" s="15">
        <f>IFERROR(__xludf.DUMMYFUNCTION("""COMPUTED_VALUE"""),0.998)</f>
        <v>0.998</v>
      </c>
      <c r="E1317" s="16">
        <f>IFERROR(__xludf.DUMMYFUNCTION("""COMPUTED_VALUE"""),71.0)</f>
        <v>71</v>
      </c>
      <c r="F1317" s="19" t="str">
        <f>IFERROR(__xludf.DUMMYFUNCTION("""COMPUTED_VALUE"""),"BLUE")</f>
        <v>BLUE</v>
      </c>
      <c r="G1317" s="20" t="str">
        <f>IFERROR(__xludf.DUMMYFUNCTION("""COMPUTED_VALUE"""),"Uncle Sams Cider (04/04/2023)")</f>
        <v>Uncle Sams Cider (04/04/2023)</v>
      </c>
      <c r="H1317" s="19"/>
    </row>
    <row r="1318">
      <c r="A1318" s="9"/>
      <c r="B1318" s="15"/>
      <c r="C1318" s="9">
        <f>IFERROR(__xludf.DUMMYFUNCTION("""COMPUTED_VALUE"""),45130.836963287)</f>
        <v>45130.83696</v>
      </c>
      <c r="D1318" s="15">
        <f>IFERROR(__xludf.DUMMYFUNCTION("""COMPUTED_VALUE"""),0.998)</f>
        <v>0.998</v>
      </c>
      <c r="E1318" s="16">
        <f>IFERROR(__xludf.DUMMYFUNCTION("""COMPUTED_VALUE"""),71.0)</f>
        <v>71</v>
      </c>
      <c r="F1318" s="19" t="str">
        <f>IFERROR(__xludf.DUMMYFUNCTION("""COMPUTED_VALUE"""),"BLUE")</f>
        <v>BLUE</v>
      </c>
      <c r="G1318" s="20" t="str">
        <f>IFERROR(__xludf.DUMMYFUNCTION("""COMPUTED_VALUE"""),"Uncle Sams Cider (04/04/2023)")</f>
        <v>Uncle Sams Cider (04/04/2023)</v>
      </c>
      <c r="H1318" s="19"/>
    </row>
    <row r="1319">
      <c r="A1319" s="9"/>
      <c r="B1319" s="15"/>
      <c r="C1319" s="9">
        <f>IFERROR(__xludf.DUMMYFUNCTION("""COMPUTED_VALUE"""),45130.826541655)</f>
        <v>45130.82654</v>
      </c>
      <c r="D1319" s="15">
        <f>IFERROR(__xludf.DUMMYFUNCTION("""COMPUTED_VALUE"""),0.999)</f>
        <v>0.999</v>
      </c>
      <c r="E1319" s="16">
        <f>IFERROR(__xludf.DUMMYFUNCTION("""COMPUTED_VALUE"""),71.0)</f>
        <v>71</v>
      </c>
      <c r="F1319" s="19" t="str">
        <f>IFERROR(__xludf.DUMMYFUNCTION("""COMPUTED_VALUE"""),"BLUE")</f>
        <v>BLUE</v>
      </c>
      <c r="G1319" s="20" t="str">
        <f>IFERROR(__xludf.DUMMYFUNCTION("""COMPUTED_VALUE"""),"Uncle Sams Cider (04/04/2023)")</f>
        <v>Uncle Sams Cider (04/04/2023)</v>
      </c>
      <c r="H1319" s="19"/>
    </row>
    <row r="1320">
      <c r="A1320" s="9"/>
      <c r="B1320" s="15"/>
      <c r="C1320" s="9">
        <f>IFERROR(__xludf.DUMMYFUNCTION("""COMPUTED_VALUE"""),45130.8161096875)</f>
        <v>45130.81611</v>
      </c>
      <c r="D1320" s="15">
        <f>IFERROR(__xludf.DUMMYFUNCTION("""COMPUTED_VALUE"""),0.999)</f>
        <v>0.999</v>
      </c>
      <c r="E1320" s="16">
        <f>IFERROR(__xludf.DUMMYFUNCTION("""COMPUTED_VALUE"""),71.0)</f>
        <v>71</v>
      </c>
      <c r="F1320" s="19" t="str">
        <f>IFERROR(__xludf.DUMMYFUNCTION("""COMPUTED_VALUE"""),"BLUE")</f>
        <v>BLUE</v>
      </c>
      <c r="G1320" s="20" t="str">
        <f>IFERROR(__xludf.DUMMYFUNCTION("""COMPUTED_VALUE"""),"Uncle Sams Cider (04/04/2023)")</f>
        <v>Uncle Sams Cider (04/04/2023)</v>
      </c>
      <c r="H1320" s="19"/>
    </row>
    <row r="1321">
      <c r="A1321" s="9"/>
      <c r="B1321" s="15"/>
      <c r="C1321" s="9">
        <f>IFERROR(__xludf.DUMMYFUNCTION("""COMPUTED_VALUE"""),45130.8056890046)</f>
        <v>45130.80569</v>
      </c>
      <c r="D1321" s="15">
        <f>IFERROR(__xludf.DUMMYFUNCTION("""COMPUTED_VALUE"""),0.999)</f>
        <v>0.999</v>
      </c>
      <c r="E1321" s="16">
        <f>IFERROR(__xludf.DUMMYFUNCTION("""COMPUTED_VALUE"""),71.0)</f>
        <v>71</v>
      </c>
      <c r="F1321" s="19" t="str">
        <f>IFERROR(__xludf.DUMMYFUNCTION("""COMPUTED_VALUE"""),"BLUE")</f>
        <v>BLUE</v>
      </c>
      <c r="G1321" s="20" t="str">
        <f>IFERROR(__xludf.DUMMYFUNCTION("""COMPUTED_VALUE"""),"Uncle Sams Cider (04/04/2023)")</f>
        <v>Uncle Sams Cider (04/04/2023)</v>
      </c>
      <c r="H1321" s="19"/>
    </row>
    <row r="1322">
      <c r="A1322" s="9"/>
      <c r="B1322" s="15"/>
      <c r="C1322" s="9">
        <f>IFERROR(__xludf.DUMMYFUNCTION("""COMPUTED_VALUE"""),45130.7952671296)</f>
        <v>45130.79527</v>
      </c>
      <c r="D1322" s="15">
        <f>IFERROR(__xludf.DUMMYFUNCTION("""COMPUTED_VALUE"""),0.998)</f>
        <v>0.998</v>
      </c>
      <c r="E1322" s="16">
        <f>IFERROR(__xludf.DUMMYFUNCTION("""COMPUTED_VALUE"""),71.0)</f>
        <v>71</v>
      </c>
      <c r="F1322" s="19" t="str">
        <f>IFERROR(__xludf.DUMMYFUNCTION("""COMPUTED_VALUE"""),"BLUE")</f>
        <v>BLUE</v>
      </c>
      <c r="G1322" s="20" t="str">
        <f>IFERROR(__xludf.DUMMYFUNCTION("""COMPUTED_VALUE"""),"Uncle Sams Cider (04/04/2023)")</f>
        <v>Uncle Sams Cider (04/04/2023)</v>
      </c>
      <c r="H1322" s="19"/>
    </row>
    <row r="1323">
      <c r="A1323" s="9"/>
      <c r="B1323" s="15"/>
      <c r="C1323" s="9">
        <f>IFERROR(__xludf.DUMMYFUNCTION("""COMPUTED_VALUE"""),45130.7848464814)</f>
        <v>45130.78485</v>
      </c>
      <c r="D1323" s="15">
        <f>IFERROR(__xludf.DUMMYFUNCTION("""COMPUTED_VALUE"""),0.998)</f>
        <v>0.998</v>
      </c>
      <c r="E1323" s="16">
        <f>IFERROR(__xludf.DUMMYFUNCTION("""COMPUTED_VALUE"""),71.0)</f>
        <v>71</v>
      </c>
      <c r="F1323" s="19" t="str">
        <f>IFERROR(__xludf.DUMMYFUNCTION("""COMPUTED_VALUE"""),"BLUE")</f>
        <v>BLUE</v>
      </c>
      <c r="G1323" s="20" t="str">
        <f>IFERROR(__xludf.DUMMYFUNCTION("""COMPUTED_VALUE"""),"Uncle Sams Cider (04/04/2023)")</f>
        <v>Uncle Sams Cider (04/04/2023)</v>
      </c>
      <c r="H1323" s="19"/>
    </row>
    <row r="1324">
      <c r="A1324" s="9"/>
      <c r="B1324" s="15"/>
      <c r="C1324" s="9">
        <f>IFERROR(__xludf.DUMMYFUNCTION("""COMPUTED_VALUE"""),45130.7744262731)</f>
        <v>45130.77443</v>
      </c>
      <c r="D1324" s="15">
        <f>IFERROR(__xludf.DUMMYFUNCTION("""COMPUTED_VALUE"""),0.999)</f>
        <v>0.999</v>
      </c>
      <c r="E1324" s="16">
        <f>IFERROR(__xludf.DUMMYFUNCTION("""COMPUTED_VALUE"""),71.0)</f>
        <v>71</v>
      </c>
      <c r="F1324" s="19" t="str">
        <f>IFERROR(__xludf.DUMMYFUNCTION("""COMPUTED_VALUE"""),"BLUE")</f>
        <v>BLUE</v>
      </c>
      <c r="G1324" s="20" t="str">
        <f>IFERROR(__xludf.DUMMYFUNCTION("""COMPUTED_VALUE"""),"Uncle Sams Cider (04/04/2023)")</f>
        <v>Uncle Sams Cider (04/04/2023)</v>
      </c>
      <c r="H1324" s="19"/>
    </row>
    <row r="1325">
      <c r="A1325" s="9"/>
      <c r="B1325" s="15"/>
      <c r="C1325" s="9">
        <f>IFERROR(__xludf.DUMMYFUNCTION("""COMPUTED_VALUE"""),45130.7535854513)</f>
        <v>45130.75359</v>
      </c>
      <c r="D1325" s="15">
        <f>IFERROR(__xludf.DUMMYFUNCTION("""COMPUTED_VALUE"""),0.999)</f>
        <v>0.999</v>
      </c>
      <c r="E1325" s="16">
        <f>IFERROR(__xludf.DUMMYFUNCTION("""COMPUTED_VALUE"""),71.0)</f>
        <v>71</v>
      </c>
      <c r="F1325" s="19" t="str">
        <f>IFERROR(__xludf.DUMMYFUNCTION("""COMPUTED_VALUE"""),"BLUE")</f>
        <v>BLUE</v>
      </c>
      <c r="G1325" s="20" t="str">
        <f>IFERROR(__xludf.DUMMYFUNCTION("""COMPUTED_VALUE"""),"Uncle Sams Cider (04/04/2023)")</f>
        <v>Uncle Sams Cider (04/04/2023)</v>
      </c>
      <c r="H1325" s="19"/>
    </row>
    <row r="1326">
      <c r="A1326" s="9"/>
      <c r="B1326" s="15"/>
      <c r="C1326" s="9">
        <f>IFERROR(__xludf.DUMMYFUNCTION("""COMPUTED_VALUE"""),45130.7431645833)</f>
        <v>45130.74316</v>
      </c>
      <c r="D1326" s="15">
        <f>IFERROR(__xludf.DUMMYFUNCTION("""COMPUTED_VALUE"""),0.999)</f>
        <v>0.999</v>
      </c>
      <c r="E1326" s="16">
        <f>IFERROR(__xludf.DUMMYFUNCTION("""COMPUTED_VALUE"""),71.0)</f>
        <v>71</v>
      </c>
      <c r="F1326" s="19" t="str">
        <f>IFERROR(__xludf.DUMMYFUNCTION("""COMPUTED_VALUE"""),"BLUE")</f>
        <v>BLUE</v>
      </c>
      <c r="G1326" s="20" t="str">
        <f>IFERROR(__xludf.DUMMYFUNCTION("""COMPUTED_VALUE"""),"Uncle Sams Cider (04/04/2023)")</f>
        <v>Uncle Sams Cider (04/04/2023)</v>
      </c>
      <c r="H1326" s="19"/>
    </row>
    <row r="1327">
      <c r="A1327" s="9"/>
      <c r="B1327" s="15"/>
      <c r="C1327" s="9">
        <f>IFERROR(__xludf.DUMMYFUNCTION("""COMPUTED_VALUE"""),45130.7327433796)</f>
        <v>45130.73274</v>
      </c>
      <c r="D1327" s="15">
        <f>IFERROR(__xludf.DUMMYFUNCTION("""COMPUTED_VALUE"""),0.999)</f>
        <v>0.999</v>
      </c>
      <c r="E1327" s="16">
        <f>IFERROR(__xludf.DUMMYFUNCTION("""COMPUTED_VALUE"""),71.0)</f>
        <v>71</v>
      </c>
      <c r="F1327" s="19" t="str">
        <f>IFERROR(__xludf.DUMMYFUNCTION("""COMPUTED_VALUE"""),"BLUE")</f>
        <v>BLUE</v>
      </c>
      <c r="G1327" s="20" t="str">
        <f>IFERROR(__xludf.DUMMYFUNCTION("""COMPUTED_VALUE"""),"Uncle Sams Cider (04/04/2023)")</f>
        <v>Uncle Sams Cider (04/04/2023)</v>
      </c>
      <c r="H1327" s="19"/>
    </row>
    <row r="1328">
      <c r="A1328" s="9"/>
      <c r="B1328" s="15"/>
      <c r="C1328" s="9">
        <f>IFERROR(__xludf.DUMMYFUNCTION("""COMPUTED_VALUE"""),45130.7223218055)</f>
        <v>45130.72232</v>
      </c>
      <c r="D1328" s="15">
        <f>IFERROR(__xludf.DUMMYFUNCTION("""COMPUTED_VALUE"""),0.999)</f>
        <v>0.999</v>
      </c>
      <c r="E1328" s="16">
        <f>IFERROR(__xludf.DUMMYFUNCTION("""COMPUTED_VALUE"""),71.0)</f>
        <v>71</v>
      </c>
      <c r="F1328" s="19" t="str">
        <f>IFERROR(__xludf.DUMMYFUNCTION("""COMPUTED_VALUE"""),"BLUE")</f>
        <v>BLUE</v>
      </c>
      <c r="G1328" s="20" t="str">
        <f>IFERROR(__xludf.DUMMYFUNCTION("""COMPUTED_VALUE"""),"Uncle Sams Cider (04/04/2023)")</f>
        <v>Uncle Sams Cider (04/04/2023)</v>
      </c>
      <c r="H1328" s="19"/>
    </row>
    <row r="1329">
      <c r="A1329" s="9"/>
      <c r="B1329" s="15"/>
      <c r="C1329" s="9">
        <f>IFERROR(__xludf.DUMMYFUNCTION("""COMPUTED_VALUE"""),45130.7119015856)</f>
        <v>45130.7119</v>
      </c>
      <c r="D1329" s="15">
        <f>IFERROR(__xludf.DUMMYFUNCTION("""COMPUTED_VALUE"""),0.998)</f>
        <v>0.998</v>
      </c>
      <c r="E1329" s="16">
        <f>IFERROR(__xludf.DUMMYFUNCTION("""COMPUTED_VALUE"""),71.0)</f>
        <v>71</v>
      </c>
      <c r="F1329" s="19" t="str">
        <f>IFERROR(__xludf.DUMMYFUNCTION("""COMPUTED_VALUE"""),"BLUE")</f>
        <v>BLUE</v>
      </c>
      <c r="G1329" s="20" t="str">
        <f>IFERROR(__xludf.DUMMYFUNCTION("""COMPUTED_VALUE"""),"Uncle Sams Cider (04/04/2023)")</f>
        <v>Uncle Sams Cider (04/04/2023)</v>
      </c>
      <c r="H1329" s="19"/>
    </row>
    <row r="1330">
      <c r="A1330" s="9"/>
      <c r="B1330" s="15"/>
      <c r="C1330" s="9">
        <f>IFERROR(__xludf.DUMMYFUNCTION("""COMPUTED_VALUE"""),45130.7014575694)</f>
        <v>45130.70146</v>
      </c>
      <c r="D1330" s="15">
        <f>IFERROR(__xludf.DUMMYFUNCTION("""COMPUTED_VALUE"""),0.999)</f>
        <v>0.999</v>
      </c>
      <c r="E1330" s="16">
        <f>IFERROR(__xludf.DUMMYFUNCTION("""COMPUTED_VALUE"""),71.0)</f>
        <v>71</v>
      </c>
      <c r="F1330" s="19" t="str">
        <f>IFERROR(__xludf.DUMMYFUNCTION("""COMPUTED_VALUE"""),"BLUE")</f>
        <v>BLUE</v>
      </c>
      <c r="G1330" s="20" t="str">
        <f>IFERROR(__xludf.DUMMYFUNCTION("""COMPUTED_VALUE"""),"Uncle Sams Cider (04/04/2023)")</f>
        <v>Uncle Sams Cider (04/04/2023)</v>
      </c>
      <c r="H1330" s="19"/>
    </row>
    <row r="1331">
      <c r="A1331" s="9"/>
      <c r="B1331" s="15"/>
      <c r="C1331" s="9">
        <f>IFERROR(__xludf.DUMMYFUNCTION("""COMPUTED_VALUE"""),45130.6910357291)</f>
        <v>45130.69104</v>
      </c>
      <c r="D1331" s="15">
        <f>IFERROR(__xludf.DUMMYFUNCTION("""COMPUTED_VALUE"""),0.998)</f>
        <v>0.998</v>
      </c>
      <c r="E1331" s="16">
        <f>IFERROR(__xludf.DUMMYFUNCTION("""COMPUTED_VALUE"""),71.0)</f>
        <v>71</v>
      </c>
      <c r="F1331" s="19" t="str">
        <f>IFERROR(__xludf.DUMMYFUNCTION("""COMPUTED_VALUE"""),"BLUE")</f>
        <v>BLUE</v>
      </c>
      <c r="G1331" s="20" t="str">
        <f>IFERROR(__xludf.DUMMYFUNCTION("""COMPUTED_VALUE"""),"Uncle Sams Cider (04/04/2023)")</f>
        <v>Uncle Sams Cider (04/04/2023)</v>
      </c>
      <c r="H1331" s="19"/>
    </row>
    <row r="1332">
      <c r="A1332" s="9"/>
      <c r="B1332" s="15"/>
      <c r="C1332" s="9">
        <f>IFERROR(__xludf.DUMMYFUNCTION("""COMPUTED_VALUE"""),45130.6806134027)</f>
        <v>45130.68061</v>
      </c>
      <c r="D1332" s="15">
        <f>IFERROR(__xludf.DUMMYFUNCTION("""COMPUTED_VALUE"""),0.998)</f>
        <v>0.998</v>
      </c>
      <c r="E1332" s="16">
        <f>IFERROR(__xludf.DUMMYFUNCTION("""COMPUTED_VALUE"""),71.0)</f>
        <v>71</v>
      </c>
      <c r="F1332" s="19" t="str">
        <f>IFERROR(__xludf.DUMMYFUNCTION("""COMPUTED_VALUE"""),"BLUE")</f>
        <v>BLUE</v>
      </c>
      <c r="G1332" s="20" t="str">
        <f>IFERROR(__xludf.DUMMYFUNCTION("""COMPUTED_VALUE"""),"Uncle Sams Cider (04/04/2023)")</f>
        <v>Uncle Sams Cider (04/04/2023)</v>
      </c>
      <c r="H1332" s="19"/>
    </row>
    <row r="1333">
      <c r="A1333" s="9"/>
      <c r="B1333" s="15"/>
      <c r="C1333" s="9">
        <f>IFERROR(__xludf.DUMMYFUNCTION("""COMPUTED_VALUE"""),45130.6701799421)</f>
        <v>45130.67018</v>
      </c>
      <c r="D1333" s="15">
        <f>IFERROR(__xludf.DUMMYFUNCTION("""COMPUTED_VALUE"""),0.999)</f>
        <v>0.999</v>
      </c>
      <c r="E1333" s="16">
        <f>IFERROR(__xludf.DUMMYFUNCTION("""COMPUTED_VALUE"""),71.0)</f>
        <v>71</v>
      </c>
      <c r="F1333" s="19" t="str">
        <f>IFERROR(__xludf.DUMMYFUNCTION("""COMPUTED_VALUE"""),"BLUE")</f>
        <v>BLUE</v>
      </c>
      <c r="G1333" s="20" t="str">
        <f>IFERROR(__xludf.DUMMYFUNCTION("""COMPUTED_VALUE"""),"Uncle Sams Cider (04/04/2023)")</f>
        <v>Uncle Sams Cider (04/04/2023)</v>
      </c>
      <c r="H1333" s="19"/>
    </row>
    <row r="1334">
      <c r="A1334" s="9"/>
      <c r="B1334" s="15"/>
      <c r="C1334" s="9">
        <f>IFERROR(__xludf.DUMMYFUNCTION("""COMPUTED_VALUE"""),45130.6597457175)</f>
        <v>45130.65975</v>
      </c>
      <c r="D1334" s="15">
        <f>IFERROR(__xludf.DUMMYFUNCTION("""COMPUTED_VALUE"""),0.999)</f>
        <v>0.999</v>
      </c>
      <c r="E1334" s="16">
        <f>IFERROR(__xludf.DUMMYFUNCTION("""COMPUTED_VALUE"""),71.0)</f>
        <v>71</v>
      </c>
      <c r="F1334" s="19" t="str">
        <f>IFERROR(__xludf.DUMMYFUNCTION("""COMPUTED_VALUE"""),"BLUE")</f>
        <v>BLUE</v>
      </c>
      <c r="G1334" s="20" t="str">
        <f>IFERROR(__xludf.DUMMYFUNCTION("""COMPUTED_VALUE"""),"Uncle Sams Cider (04/04/2023)")</f>
        <v>Uncle Sams Cider (04/04/2023)</v>
      </c>
      <c r="H1334" s="19"/>
    </row>
    <row r="1335">
      <c r="A1335" s="9"/>
      <c r="B1335" s="15"/>
      <c r="C1335" s="9">
        <f>IFERROR(__xludf.DUMMYFUNCTION("""COMPUTED_VALUE"""),45130.6493248495)</f>
        <v>45130.64932</v>
      </c>
      <c r="D1335" s="15">
        <f>IFERROR(__xludf.DUMMYFUNCTION("""COMPUTED_VALUE"""),0.998)</f>
        <v>0.998</v>
      </c>
      <c r="E1335" s="16">
        <f>IFERROR(__xludf.DUMMYFUNCTION("""COMPUTED_VALUE"""),71.0)</f>
        <v>71</v>
      </c>
      <c r="F1335" s="19" t="str">
        <f>IFERROR(__xludf.DUMMYFUNCTION("""COMPUTED_VALUE"""),"BLUE")</f>
        <v>BLUE</v>
      </c>
      <c r="G1335" s="20" t="str">
        <f>IFERROR(__xludf.DUMMYFUNCTION("""COMPUTED_VALUE"""),"Uncle Sams Cider (04/04/2023)")</f>
        <v>Uncle Sams Cider (04/04/2023)</v>
      </c>
      <c r="H1335" s="19"/>
    </row>
    <row r="1336">
      <c r="A1336" s="9"/>
      <c r="B1336" s="15"/>
      <c r="C1336" s="9">
        <f>IFERROR(__xludf.DUMMYFUNCTION("""COMPUTED_VALUE"""),45130.638905243)</f>
        <v>45130.63891</v>
      </c>
      <c r="D1336" s="15">
        <f>IFERROR(__xludf.DUMMYFUNCTION("""COMPUTED_VALUE"""),0.999)</f>
        <v>0.999</v>
      </c>
      <c r="E1336" s="16">
        <f>IFERROR(__xludf.DUMMYFUNCTION("""COMPUTED_VALUE"""),71.0)</f>
        <v>71</v>
      </c>
      <c r="F1336" s="19" t="str">
        <f>IFERROR(__xludf.DUMMYFUNCTION("""COMPUTED_VALUE"""),"BLUE")</f>
        <v>BLUE</v>
      </c>
      <c r="G1336" s="20" t="str">
        <f>IFERROR(__xludf.DUMMYFUNCTION("""COMPUTED_VALUE"""),"Uncle Sams Cider (04/04/2023)")</f>
        <v>Uncle Sams Cider (04/04/2023)</v>
      </c>
      <c r="H1336" s="19"/>
    </row>
    <row r="1337">
      <c r="A1337" s="9"/>
      <c r="B1337" s="15"/>
      <c r="C1337" s="9">
        <f>IFERROR(__xludf.DUMMYFUNCTION("""COMPUTED_VALUE"""),45130.6284726273)</f>
        <v>45130.62847</v>
      </c>
      <c r="D1337" s="15">
        <f>IFERROR(__xludf.DUMMYFUNCTION("""COMPUTED_VALUE"""),0.998)</f>
        <v>0.998</v>
      </c>
      <c r="E1337" s="16">
        <f>IFERROR(__xludf.DUMMYFUNCTION("""COMPUTED_VALUE"""),71.0)</f>
        <v>71</v>
      </c>
      <c r="F1337" s="19" t="str">
        <f>IFERROR(__xludf.DUMMYFUNCTION("""COMPUTED_VALUE"""),"BLUE")</f>
        <v>BLUE</v>
      </c>
      <c r="G1337" s="20" t="str">
        <f>IFERROR(__xludf.DUMMYFUNCTION("""COMPUTED_VALUE"""),"Uncle Sams Cider (04/04/2023)")</f>
        <v>Uncle Sams Cider (04/04/2023)</v>
      </c>
      <c r="H1337" s="19"/>
    </row>
    <row r="1338">
      <c r="A1338" s="9"/>
      <c r="B1338" s="15"/>
      <c r="C1338" s="9">
        <f>IFERROR(__xludf.DUMMYFUNCTION("""COMPUTED_VALUE"""),45130.6180517708)</f>
        <v>45130.61805</v>
      </c>
      <c r="D1338" s="15">
        <f>IFERROR(__xludf.DUMMYFUNCTION("""COMPUTED_VALUE"""),0.999)</f>
        <v>0.999</v>
      </c>
      <c r="E1338" s="16">
        <f>IFERROR(__xludf.DUMMYFUNCTION("""COMPUTED_VALUE"""),71.0)</f>
        <v>71</v>
      </c>
      <c r="F1338" s="19" t="str">
        <f>IFERROR(__xludf.DUMMYFUNCTION("""COMPUTED_VALUE"""),"BLUE")</f>
        <v>BLUE</v>
      </c>
      <c r="G1338" s="20" t="str">
        <f>IFERROR(__xludf.DUMMYFUNCTION("""COMPUTED_VALUE"""),"Uncle Sams Cider (04/04/2023)")</f>
        <v>Uncle Sams Cider (04/04/2023)</v>
      </c>
      <c r="H1338" s="19"/>
    </row>
    <row r="1339">
      <c r="A1339" s="9"/>
      <c r="B1339" s="15"/>
      <c r="C1339" s="9">
        <f>IFERROR(__xludf.DUMMYFUNCTION("""COMPUTED_VALUE"""),45130.6076304166)</f>
        <v>45130.60763</v>
      </c>
      <c r="D1339" s="15">
        <f>IFERROR(__xludf.DUMMYFUNCTION("""COMPUTED_VALUE"""),0.999)</f>
        <v>0.999</v>
      </c>
      <c r="E1339" s="16">
        <f>IFERROR(__xludf.DUMMYFUNCTION("""COMPUTED_VALUE"""),71.0)</f>
        <v>71</v>
      </c>
      <c r="F1339" s="19" t="str">
        <f>IFERROR(__xludf.DUMMYFUNCTION("""COMPUTED_VALUE"""),"BLUE")</f>
        <v>BLUE</v>
      </c>
      <c r="G1339" s="20" t="str">
        <f>IFERROR(__xludf.DUMMYFUNCTION("""COMPUTED_VALUE"""),"Uncle Sams Cider (04/04/2023)")</f>
        <v>Uncle Sams Cider (04/04/2023)</v>
      </c>
      <c r="H1339" s="19"/>
    </row>
    <row r="1340">
      <c r="A1340" s="9"/>
      <c r="B1340" s="15"/>
      <c r="C1340" s="9">
        <f>IFERROR(__xludf.DUMMYFUNCTION("""COMPUTED_VALUE"""),45130.5972093055)</f>
        <v>45130.59721</v>
      </c>
      <c r="D1340" s="15">
        <f>IFERROR(__xludf.DUMMYFUNCTION("""COMPUTED_VALUE"""),0.999)</f>
        <v>0.999</v>
      </c>
      <c r="E1340" s="16">
        <f>IFERROR(__xludf.DUMMYFUNCTION("""COMPUTED_VALUE"""),71.0)</f>
        <v>71</v>
      </c>
      <c r="F1340" s="19" t="str">
        <f>IFERROR(__xludf.DUMMYFUNCTION("""COMPUTED_VALUE"""),"BLUE")</f>
        <v>BLUE</v>
      </c>
      <c r="G1340" s="20" t="str">
        <f>IFERROR(__xludf.DUMMYFUNCTION("""COMPUTED_VALUE"""),"Uncle Sams Cider (04/04/2023)")</f>
        <v>Uncle Sams Cider (04/04/2023)</v>
      </c>
      <c r="H1340" s="19"/>
    </row>
    <row r="1341">
      <c r="A1341" s="9"/>
      <c r="B1341" s="15"/>
      <c r="C1341" s="9">
        <f>IFERROR(__xludf.DUMMYFUNCTION("""COMPUTED_VALUE"""),45130.5867884027)</f>
        <v>45130.58679</v>
      </c>
      <c r="D1341" s="15">
        <f>IFERROR(__xludf.DUMMYFUNCTION("""COMPUTED_VALUE"""),0.999)</f>
        <v>0.999</v>
      </c>
      <c r="E1341" s="16">
        <f>IFERROR(__xludf.DUMMYFUNCTION("""COMPUTED_VALUE"""),71.0)</f>
        <v>71</v>
      </c>
      <c r="F1341" s="19" t="str">
        <f>IFERROR(__xludf.DUMMYFUNCTION("""COMPUTED_VALUE"""),"BLUE")</f>
        <v>BLUE</v>
      </c>
      <c r="G1341" s="20" t="str">
        <f>IFERROR(__xludf.DUMMYFUNCTION("""COMPUTED_VALUE"""),"Uncle Sams Cider (04/04/2023)")</f>
        <v>Uncle Sams Cider (04/04/2023)</v>
      </c>
      <c r="H1341" s="19"/>
    </row>
    <row r="1342">
      <c r="A1342" s="9"/>
      <c r="B1342" s="15"/>
      <c r="C1342" s="9">
        <f>IFERROR(__xludf.DUMMYFUNCTION("""COMPUTED_VALUE"""),45130.5763328125)</f>
        <v>45130.57633</v>
      </c>
      <c r="D1342" s="15">
        <f>IFERROR(__xludf.DUMMYFUNCTION("""COMPUTED_VALUE"""),0.999)</f>
        <v>0.999</v>
      </c>
      <c r="E1342" s="16">
        <f>IFERROR(__xludf.DUMMYFUNCTION("""COMPUTED_VALUE"""),71.0)</f>
        <v>71</v>
      </c>
      <c r="F1342" s="19" t="str">
        <f>IFERROR(__xludf.DUMMYFUNCTION("""COMPUTED_VALUE"""),"BLUE")</f>
        <v>BLUE</v>
      </c>
      <c r="G1342" s="20" t="str">
        <f>IFERROR(__xludf.DUMMYFUNCTION("""COMPUTED_VALUE"""),"Uncle Sams Cider (04/04/2023)")</f>
        <v>Uncle Sams Cider (04/04/2023)</v>
      </c>
      <c r="H1342" s="19"/>
    </row>
    <row r="1343">
      <c r="A1343" s="9"/>
      <c r="B1343" s="15"/>
      <c r="C1343" s="9">
        <f>IFERROR(__xludf.DUMMYFUNCTION("""COMPUTED_VALUE"""),45130.5658989814)</f>
        <v>45130.5659</v>
      </c>
      <c r="D1343" s="15">
        <f>IFERROR(__xludf.DUMMYFUNCTION("""COMPUTED_VALUE"""),0.998)</f>
        <v>0.998</v>
      </c>
      <c r="E1343" s="16">
        <f>IFERROR(__xludf.DUMMYFUNCTION("""COMPUTED_VALUE"""),71.0)</f>
        <v>71</v>
      </c>
      <c r="F1343" s="19" t="str">
        <f>IFERROR(__xludf.DUMMYFUNCTION("""COMPUTED_VALUE"""),"BLUE")</f>
        <v>BLUE</v>
      </c>
      <c r="G1343" s="20" t="str">
        <f>IFERROR(__xludf.DUMMYFUNCTION("""COMPUTED_VALUE"""),"Uncle Sams Cider (04/04/2023)")</f>
        <v>Uncle Sams Cider (04/04/2023)</v>
      </c>
      <c r="H1343" s="19"/>
    </row>
    <row r="1344">
      <c r="A1344" s="9"/>
      <c r="B1344" s="15"/>
      <c r="C1344" s="9">
        <f>IFERROR(__xludf.DUMMYFUNCTION("""COMPUTED_VALUE"""),45130.5554774537)</f>
        <v>45130.55548</v>
      </c>
      <c r="D1344" s="15">
        <f>IFERROR(__xludf.DUMMYFUNCTION("""COMPUTED_VALUE"""),0.998)</f>
        <v>0.998</v>
      </c>
      <c r="E1344" s="16">
        <f>IFERROR(__xludf.DUMMYFUNCTION("""COMPUTED_VALUE"""),71.0)</f>
        <v>71</v>
      </c>
      <c r="F1344" s="19" t="str">
        <f>IFERROR(__xludf.DUMMYFUNCTION("""COMPUTED_VALUE"""),"BLUE")</f>
        <v>BLUE</v>
      </c>
      <c r="G1344" s="20" t="str">
        <f>IFERROR(__xludf.DUMMYFUNCTION("""COMPUTED_VALUE"""),"Uncle Sams Cider (04/04/2023)")</f>
        <v>Uncle Sams Cider (04/04/2023)</v>
      </c>
      <c r="H1344" s="19"/>
    </row>
    <row r="1345">
      <c r="A1345" s="9"/>
      <c r="B1345" s="15"/>
      <c r="C1345" s="9">
        <f>IFERROR(__xludf.DUMMYFUNCTION("""COMPUTED_VALUE"""),45130.5450542939)</f>
        <v>45130.54505</v>
      </c>
      <c r="D1345" s="15">
        <f>IFERROR(__xludf.DUMMYFUNCTION("""COMPUTED_VALUE"""),0.999)</f>
        <v>0.999</v>
      </c>
      <c r="E1345" s="16">
        <f>IFERROR(__xludf.DUMMYFUNCTION("""COMPUTED_VALUE"""),71.0)</f>
        <v>71</v>
      </c>
      <c r="F1345" s="19" t="str">
        <f>IFERROR(__xludf.DUMMYFUNCTION("""COMPUTED_VALUE"""),"BLUE")</f>
        <v>BLUE</v>
      </c>
      <c r="G1345" s="20" t="str">
        <f>IFERROR(__xludf.DUMMYFUNCTION("""COMPUTED_VALUE"""),"Uncle Sams Cider (04/04/2023)")</f>
        <v>Uncle Sams Cider (04/04/2023)</v>
      </c>
      <c r="H1345" s="19"/>
    </row>
    <row r="1346">
      <c r="A1346" s="9"/>
      <c r="B1346" s="15"/>
      <c r="C1346" s="9">
        <f>IFERROR(__xludf.DUMMYFUNCTION("""COMPUTED_VALUE"""),45130.5346329629)</f>
        <v>45130.53463</v>
      </c>
      <c r="D1346" s="15">
        <f>IFERROR(__xludf.DUMMYFUNCTION("""COMPUTED_VALUE"""),0.999)</f>
        <v>0.999</v>
      </c>
      <c r="E1346" s="16">
        <f>IFERROR(__xludf.DUMMYFUNCTION("""COMPUTED_VALUE"""),71.0)</f>
        <v>71</v>
      </c>
      <c r="F1346" s="19" t="str">
        <f>IFERROR(__xludf.DUMMYFUNCTION("""COMPUTED_VALUE"""),"BLUE")</f>
        <v>BLUE</v>
      </c>
      <c r="G1346" s="20" t="str">
        <f>IFERROR(__xludf.DUMMYFUNCTION("""COMPUTED_VALUE"""),"Uncle Sams Cider (04/04/2023)")</f>
        <v>Uncle Sams Cider (04/04/2023)</v>
      </c>
      <c r="H1346" s="19"/>
    </row>
    <row r="1347">
      <c r="A1347" s="9"/>
      <c r="B1347" s="15"/>
      <c r="C1347" s="9">
        <f>IFERROR(__xludf.DUMMYFUNCTION("""COMPUTED_VALUE"""),45130.5242106944)</f>
        <v>45130.52421</v>
      </c>
      <c r="D1347" s="15">
        <f>IFERROR(__xludf.DUMMYFUNCTION("""COMPUTED_VALUE"""),0.998)</f>
        <v>0.998</v>
      </c>
      <c r="E1347" s="16">
        <f>IFERROR(__xludf.DUMMYFUNCTION("""COMPUTED_VALUE"""),71.0)</f>
        <v>71</v>
      </c>
      <c r="F1347" s="19" t="str">
        <f>IFERROR(__xludf.DUMMYFUNCTION("""COMPUTED_VALUE"""),"BLUE")</f>
        <v>BLUE</v>
      </c>
      <c r="G1347" s="20" t="str">
        <f>IFERROR(__xludf.DUMMYFUNCTION("""COMPUTED_VALUE"""),"Uncle Sams Cider (04/04/2023)")</f>
        <v>Uncle Sams Cider (04/04/2023)</v>
      </c>
      <c r="H1347" s="19"/>
    </row>
    <row r="1348">
      <c r="A1348" s="9"/>
      <c r="B1348" s="15"/>
      <c r="C1348" s="9">
        <f>IFERROR(__xludf.DUMMYFUNCTION("""COMPUTED_VALUE"""),45130.5137899652)</f>
        <v>45130.51379</v>
      </c>
      <c r="D1348" s="15">
        <f>IFERROR(__xludf.DUMMYFUNCTION("""COMPUTED_VALUE"""),0.999)</f>
        <v>0.999</v>
      </c>
      <c r="E1348" s="16">
        <f>IFERROR(__xludf.DUMMYFUNCTION("""COMPUTED_VALUE"""),71.0)</f>
        <v>71</v>
      </c>
      <c r="F1348" s="19" t="str">
        <f>IFERROR(__xludf.DUMMYFUNCTION("""COMPUTED_VALUE"""),"BLUE")</f>
        <v>BLUE</v>
      </c>
      <c r="G1348" s="20" t="str">
        <f>IFERROR(__xludf.DUMMYFUNCTION("""COMPUTED_VALUE"""),"Uncle Sams Cider (04/04/2023)")</f>
        <v>Uncle Sams Cider (04/04/2023)</v>
      </c>
      <c r="H1348" s="19"/>
    </row>
    <row r="1349">
      <c r="A1349" s="9"/>
      <c r="B1349" s="15"/>
      <c r="C1349" s="9">
        <f>IFERROR(__xludf.DUMMYFUNCTION("""COMPUTED_VALUE"""),45130.5033688078)</f>
        <v>45130.50337</v>
      </c>
      <c r="D1349" s="15">
        <f>IFERROR(__xludf.DUMMYFUNCTION("""COMPUTED_VALUE"""),0.999)</f>
        <v>0.999</v>
      </c>
      <c r="E1349" s="16">
        <f>IFERROR(__xludf.DUMMYFUNCTION("""COMPUTED_VALUE"""),71.0)</f>
        <v>71</v>
      </c>
      <c r="F1349" s="19" t="str">
        <f>IFERROR(__xludf.DUMMYFUNCTION("""COMPUTED_VALUE"""),"BLUE")</f>
        <v>BLUE</v>
      </c>
      <c r="G1349" s="20" t="str">
        <f>IFERROR(__xludf.DUMMYFUNCTION("""COMPUTED_VALUE"""),"Uncle Sams Cider (04/04/2023)")</f>
        <v>Uncle Sams Cider (04/04/2023)</v>
      </c>
      <c r="H1349" s="19"/>
    </row>
    <row r="1350">
      <c r="A1350" s="9"/>
      <c r="B1350" s="15"/>
      <c r="C1350" s="9">
        <f>IFERROR(__xludf.DUMMYFUNCTION("""COMPUTED_VALUE"""),45130.4929476273)</f>
        <v>45130.49295</v>
      </c>
      <c r="D1350" s="15">
        <f>IFERROR(__xludf.DUMMYFUNCTION("""COMPUTED_VALUE"""),0.998)</f>
        <v>0.998</v>
      </c>
      <c r="E1350" s="16">
        <f>IFERROR(__xludf.DUMMYFUNCTION("""COMPUTED_VALUE"""),71.0)</f>
        <v>71</v>
      </c>
      <c r="F1350" s="19" t="str">
        <f>IFERROR(__xludf.DUMMYFUNCTION("""COMPUTED_VALUE"""),"BLUE")</f>
        <v>BLUE</v>
      </c>
      <c r="G1350" s="20" t="str">
        <f>IFERROR(__xludf.DUMMYFUNCTION("""COMPUTED_VALUE"""),"Uncle Sams Cider (04/04/2023)")</f>
        <v>Uncle Sams Cider (04/04/2023)</v>
      </c>
      <c r="H1350" s="19"/>
    </row>
    <row r="1351">
      <c r="A1351" s="9"/>
      <c r="B1351" s="15"/>
      <c r="C1351" s="9">
        <f>IFERROR(__xludf.DUMMYFUNCTION("""COMPUTED_VALUE"""),45130.4825265625)</f>
        <v>45130.48253</v>
      </c>
      <c r="D1351" s="15">
        <f>IFERROR(__xludf.DUMMYFUNCTION("""COMPUTED_VALUE"""),0.998)</f>
        <v>0.998</v>
      </c>
      <c r="E1351" s="16">
        <f>IFERROR(__xludf.DUMMYFUNCTION("""COMPUTED_VALUE"""),71.0)</f>
        <v>71</v>
      </c>
      <c r="F1351" s="19" t="str">
        <f>IFERROR(__xludf.DUMMYFUNCTION("""COMPUTED_VALUE"""),"BLUE")</f>
        <v>BLUE</v>
      </c>
      <c r="G1351" s="20" t="str">
        <f>IFERROR(__xludf.DUMMYFUNCTION("""COMPUTED_VALUE"""),"Uncle Sams Cider (04/04/2023)")</f>
        <v>Uncle Sams Cider (04/04/2023)</v>
      </c>
      <c r="H1351" s="19"/>
    </row>
    <row r="1352">
      <c r="A1352" s="9"/>
      <c r="B1352" s="15"/>
      <c r="C1352" s="9">
        <f>IFERROR(__xludf.DUMMYFUNCTION("""COMPUTED_VALUE"""),45130.4720809953)</f>
        <v>45130.47208</v>
      </c>
      <c r="D1352" s="15">
        <f>IFERROR(__xludf.DUMMYFUNCTION("""COMPUTED_VALUE"""),0.998)</f>
        <v>0.998</v>
      </c>
      <c r="E1352" s="16">
        <f>IFERROR(__xludf.DUMMYFUNCTION("""COMPUTED_VALUE"""),71.0)</f>
        <v>71</v>
      </c>
      <c r="F1352" s="19" t="str">
        <f>IFERROR(__xludf.DUMMYFUNCTION("""COMPUTED_VALUE"""),"BLUE")</f>
        <v>BLUE</v>
      </c>
      <c r="G1352" s="20" t="str">
        <f>IFERROR(__xludf.DUMMYFUNCTION("""COMPUTED_VALUE"""),"Uncle Sams Cider (04/04/2023)")</f>
        <v>Uncle Sams Cider (04/04/2023)</v>
      </c>
      <c r="H1352" s="19"/>
    </row>
    <row r="1353">
      <c r="A1353" s="9"/>
      <c r="B1353" s="15"/>
      <c r="C1353" s="9">
        <f>IFERROR(__xludf.DUMMYFUNCTION("""COMPUTED_VALUE"""),45130.461660324)</f>
        <v>45130.46166</v>
      </c>
      <c r="D1353" s="15">
        <f>IFERROR(__xludf.DUMMYFUNCTION("""COMPUTED_VALUE"""),0.999)</f>
        <v>0.999</v>
      </c>
      <c r="E1353" s="16">
        <f>IFERROR(__xludf.DUMMYFUNCTION("""COMPUTED_VALUE"""),71.0)</f>
        <v>71</v>
      </c>
      <c r="F1353" s="19" t="str">
        <f>IFERROR(__xludf.DUMMYFUNCTION("""COMPUTED_VALUE"""),"BLUE")</f>
        <v>BLUE</v>
      </c>
      <c r="G1353" s="20" t="str">
        <f>IFERROR(__xludf.DUMMYFUNCTION("""COMPUTED_VALUE"""),"Uncle Sams Cider (04/04/2023)")</f>
        <v>Uncle Sams Cider (04/04/2023)</v>
      </c>
      <c r="H1353" s="19"/>
    </row>
    <row r="1354">
      <c r="A1354" s="9"/>
      <c r="B1354" s="15"/>
      <c r="C1354" s="9">
        <f>IFERROR(__xludf.DUMMYFUNCTION("""COMPUTED_VALUE"""),45130.4512062847)</f>
        <v>45130.45121</v>
      </c>
      <c r="D1354" s="15">
        <f>IFERROR(__xludf.DUMMYFUNCTION("""COMPUTED_VALUE"""),0.999)</f>
        <v>0.999</v>
      </c>
      <c r="E1354" s="16">
        <f>IFERROR(__xludf.DUMMYFUNCTION("""COMPUTED_VALUE"""),71.0)</f>
        <v>71</v>
      </c>
      <c r="F1354" s="19" t="str">
        <f>IFERROR(__xludf.DUMMYFUNCTION("""COMPUTED_VALUE"""),"BLUE")</f>
        <v>BLUE</v>
      </c>
      <c r="G1354" s="20" t="str">
        <f>IFERROR(__xludf.DUMMYFUNCTION("""COMPUTED_VALUE"""),"Uncle Sams Cider (04/04/2023)")</f>
        <v>Uncle Sams Cider (04/04/2023)</v>
      </c>
      <c r="H1354" s="19"/>
    </row>
    <row r="1355">
      <c r="A1355" s="9"/>
      <c r="B1355" s="15"/>
      <c r="C1355" s="9">
        <f>IFERROR(__xludf.DUMMYFUNCTION("""COMPUTED_VALUE"""),45130.4407861689)</f>
        <v>45130.44079</v>
      </c>
      <c r="D1355" s="15">
        <f>IFERROR(__xludf.DUMMYFUNCTION("""COMPUTED_VALUE"""),0.998)</f>
        <v>0.998</v>
      </c>
      <c r="E1355" s="16">
        <f>IFERROR(__xludf.DUMMYFUNCTION("""COMPUTED_VALUE"""),71.0)</f>
        <v>71</v>
      </c>
      <c r="F1355" s="19" t="str">
        <f>IFERROR(__xludf.DUMMYFUNCTION("""COMPUTED_VALUE"""),"BLUE")</f>
        <v>BLUE</v>
      </c>
      <c r="G1355" s="20" t="str">
        <f>IFERROR(__xludf.DUMMYFUNCTION("""COMPUTED_VALUE"""),"Uncle Sams Cider (04/04/2023)")</f>
        <v>Uncle Sams Cider (04/04/2023)</v>
      </c>
      <c r="H1355" s="19"/>
    </row>
    <row r="1356">
      <c r="A1356" s="9"/>
      <c r="B1356" s="15"/>
      <c r="C1356" s="9">
        <f>IFERROR(__xludf.DUMMYFUNCTION("""COMPUTED_VALUE"""),45130.4303655324)</f>
        <v>45130.43037</v>
      </c>
      <c r="D1356" s="15">
        <f>IFERROR(__xludf.DUMMYFUNCTION("""COMPUTED_VALUE"""),0.999)</f>
        <v>0.999</v>
      </c>
      <c r="E1356" s="16">
        <f>IFERROR(__xludf.DUMMYFUNCTION("""COMPUTED_VALUE"""),71.0)</f>
        <v>71</v>
      </c>
      <c r="F1356" s="19" t="str">
        <f>IFERROR(__xludf.DUMMYFUNCTION("""COMPUTED_VALUE"""),"BLUE")</f>
        <v>BLUE</v>
      </c>
      <c r="G1356" s="20" t="str">
        <f>IFERROR(__xludf.DUMMYFUNCTION("""COMPUTED_VALUE"""),"Uncle Sams Cider (04/04/2023)")</f>
        <v>Uncle Sams Cider (04/04/2023)</v>
      </c>
      <c r="H1356" s="19"/>
    </row>
    <row r="1357">
      <c r="A1357" s="9"/>
      <c r="B1357" s="15"/>
      <c r="C1357" s="9">
        <f>IFERROR(__xludf.DUMMYFUNCTION("""COMPUTED_VALUE"""),45130.4199454398)</f>
        <v>45130.41995</v>
      </c>
      <c r="D1357" s="15">
        <f>IFERROR(__xludf.DUMMYFUNCTION("""COMPUTED_VALUE"""),0.999)</f>
        <v>0.999</v>
      </c>
      <c r="E1357" s="16">
        <f>IFERROR(__xludf.DUMMYFUNCTION("""COMPUTED_VALUE"""),71.0)</f>
        <v>71</v>
      </c>
      <c r="F1357" s="19" t="str">
        <f>IFERROR(__xludf.DUMMYFUNCTION("""COMPUTED_VALUE"""),"BLUE")</f>
        <v>BLUE</v>
      </c>
      <c r="G1357" s="20" t="str">
        <f>IFERROR(__xludf.DUMMYFUNCTION("""COMPUTED_VALUE"""),"Uncle Sams Cider (04/04/2023)")</f>
        <v>Uncle Sams Cider (04/04/2023)</v>
      </c>
      <c r="H1357" s="19"/>
    </row>
    <row r="1358">
      <c r="A1358" s="9"/>
      <c r="B1358" s="15"/>
      <c r="C1358" s="9">
        <f>IFERROR(__xludf.DUMMYFUNCTION("""COMPUTED_VALUE"""),45130.409525405)</f>
        <v>45130.40953</v>
      </c>
      <c r="D1358" s="15">
        <f>IFERROR(__xludf.DUMMYFUNCTION("""COMPUTED_VALUE"""),0.999)</f>
        <v>0.999</v>
      </c>
      <c r="E1358" s="16">
        <f>IFERROR(__xludf.DUMMYFUNCTION("""COMPUTED_VALUE"""),71.0)</f>
        <v>71</v>
      </c>
      <c r="F1358" s="19" t="str">
        <f>IFERROR(__xludf.DUMMYFUNCTION("""COMPUTED_VALUE"""),"BLUE")</f>
        <v>BLUE</v>
      </c>
      <c r="G1358" s="20" t="str">
        <f>IFERROR(__xludf.DUMMYFUNCTION("""COMPUTED_VALUE"""),"Uncle Sams Cider (04/04/2023)")</f>
        <v>Uncle Sams Cider (04/04/2023)</v>
      </c>
      <c r="H1358" s="19"/>
    </row>
    <row r="1359">
      <c r="A1359" s="9"/>
      <c r="B1359" s="15"/>
      <c r="C1359" s="9">
        <f>IFERROR(__xludf.DUMMYFUNCTION("""COMPUTED_VALUE"""),45130.3991036574)</f>
        <v>45130.3991</v>
      </c>
      <c r="D1359" s="15">
        <f>IFERROR(__xludf.DUMMYFUNCTION("""COMPUTED_VALUE"""),0.998)</f>
        <v>0.998</v>
      </c>
      <c r="E1359" s="16">
        <f>IFERROR(__xludf.DUMMYFUNCTION("""COMPUTED_VALUE"""),71.0)</f>
        <v>71</v>
      </c>
      <c r="F1359" s="19" t="str">
        <f>IFERROR(__xludf.DUMMYFUNCTION("""COMPUTED_VALUE"""),"BLUE")</f>
        <v>BLUE</v>
      </c>
      <c r="G1359" s="20" t="str">
        <f>IFERROR(__xludf.DUMMYFUNCTION("""COMPUTED_VALUE"""),"Uncle Sams Cider (04/04/2023)")</f>
        <v>Uncle Sams Cider (04/04/2023)</v>
      </c>
      <c r="H1359" s="19"/>
    </row>
    <row r="1360">
      <c r="A1360" s="9"/>
      <c r="B1360" s="15"/>
      <c r="C1360" s="9">
        <f>IFERROR(__xludf.DUMMYFUNCTION("""COMPUTED_VALUE"""),45130.3886836921)</f>
        <v>45130.38868</v>
      </c>
      <c r="D1360" s="15">
        <f>IFERROR(__xludf.DUMMYFUNCTION("""COMPUTED_VALUE"""),0.999)</f>
        <v>0.999</v>
      </c>
      <c r="E1360" s="16">
        <f>IFERROR(__xludf.DUMMYFUNCTION("""COMPUTED_VALUE"""),71.0)</f>
        <v>71</v>
      </c>
      <c r="F1360" s="19" t="str">
        <f>IFERROR(__xludf.DUMMYFUNCTION("""COMPUTED_VALUE"""),"BLUE")</f>
        <v>BLUE</v>
      </c>
      <c r="G1360" s="20" t="str">
        <f>IFERROR(__xludf.DUMMYFUNCTION("""COMPUTED_VALUE"""),"Uncle Sams Cider (04/04/2023)")</f>
        <v>Uncle Sams Cider (04/04/2023)</v>
      </c>
      <c r="H1360" s="19"/>
    </row>
    <row r="1361">
      <c r="A1361" s="9"/>
      <c r="B1361" s="15"/>
      <c r="C1361" s="9">
        <f>IFERROR(__xludf.DUMMYFUNCTION("""COMPUTED_VALUE"""),45130.3782376157)</f>
        <v>45130.37824</v>
      </c>
      <c r="D1361" s="15">
        <f>IFERROR(__xludf.DUMMYFUNCTION("""COMPUTED_VALUE"""),0.999)</f>
        <v>0.999</v>
      </c>
      <c r="E1361" s="16">
        <f>IFERROR(__xludf.DUMMYFUNCTION("""COMPUTED_VALUE"""),71.0)</f>
        <v>71</v>
      </c>
      <c r="F1361" s="19" t="str">
        <f>IFERROR(__xludf.DUMMYFUNCTION("""COMPUTED_VALUE"""),"BLUE")</f>
        <v>BLUE</v>
      </c>
      <c r="G1361" s="20" t="str">
        <f>IFERROR(__xludf.DUMMYFUNCTION("""COMPUTED_VALUE"""),"Uncle Sams Cider (04/04/2023)")</f>
        <v>Uncle Sams Cider (04/04/2023)</v>
      </c>
      <c r="H1361" s="19"/>
    </row>
    <row r="1362">
      <c r="A1362" s="9"/>
      <c r="B1362" s="15"/>
      <c r="C1362" s="9">
        <f>IFERROR(__xludf.DUMMYFUNCTION("""COMPUTED_VALUE"""),45130.3678171064)</f>
        <v>45130.36782</v>
      </c>
      <c r="D1362" s="15">
        <f>IFERROR(__xludf.DUMMYFUNCTION("""COMPUTED_VALUE"""),0.998)</f>
        <v>0.998</v>
      </c>
      <c r="E1362" s="16">
        <f>IFERROR(__xludf.DUMMYFUNCTION("""COMPUTED_VALUE"""),71.0)</f>
        <v>71</v>
      </c>
      <c r="F1362" s="19" t="str">
        <f>IFERROR(__xludf.DUMMYFUNCTION("""COMPUTED_VALUE"""),"BLUE")</f>
        <v>BLUE</v>
      </c>
      <c r="G1362" s="20" t="str">
        <f>IFERROR(__xludf.DUMMYFUNCTION("""COMPUTED_VALUE"""),"Uncle Sams Cider (04/04/2023)")</f>
        <v>Uncle Sams Cider (04/04/2023)</v>
      </c>
      <c r="H1362" s="19"/>
    </row>
    <row r="1363">
      <c r="A1363" s="9"/>
      <c r="B1363" s="15"/>
      <c r="C1363" s="9">
        <f>IFERROR(__xludf.DUMMYFUNCTION("""COMPUTED_VALUE"""),45130.3573979976)</f>
        <v>45130.3574</v>
      </c>
      <c r="D1363" s="15">
        <f>IFERROR(__xludf.DUMMYFUNCTION("""COMPUTED_VALUE"""),0.998)</f>
        <v>0.998</v>
      </c>
      <c r="E1363" s="16">
        <f>IFERROR(__xludf.DUMMYFUNCTION("""COMPUTED_VALUE"""),71.0)</f>
        <v>71</v>
      </c>
      <c r="F1363" s="19" t="str">
        <f>IFERROR(__xludf.DUMMYFUNCTION("""COMPUTED_VALUE"""),"BLUE")</f>
        <v>BLUE</v>
      </c>
      <c r="G1363" s="20" t="str">
        <f>IFERROR(__xludf.DUMMYFUNCTION("""COMPUTED_VALUE"""),"Uncle Sams Cider (04/04/2023)")</f>
        <v>Uncle Sams Cider (04/04/2023)</v>
      </c>
      <c r="H1363" s="19"/>
    </row>
    <row r="1364">
      <c r="A1364" s="9"/>
      <c r="B1364" s="15"/>
      <c r="C1364" s="9">
        <f>IFERROR(__xludf.DUMMYFUNCTION("""COMPUTED_VALUE"""),45130.3469760648)</f>
        <v>45130.34698</v>
      </c>
      <c r="D1364" s="15">
        <f>IFERROR(__xludf.DUMMYFUNCTION("""COMPUTED_VALUE"""),0.999)</f>
        <v>0.999</v>
      </c>
      <c r="E1364" s="16">
        <f>IFERROR(__xludf.DUMMYFUNCTION("""COMPUTED_VALUE"""),71.0)</f>
        <v>71</v>
      </c>
      <c r="F1364" s="19" t="str">
        <f>IFERROR(__xludf.DUMMYFUNCTION("""COMPUTED_VALUE"""),"BLUE")</f>
        <v>BLUE</v>
      </c>
      <c r="G1364" s="20" t="str">
        <f>IFERROR(__xludf.DUMMYFUNCTION("""COMPUTED_VALUE"""),"Uncle Sams Cider (04/04/2023)")</f>
        <v>Uncle Sams Cider (04/04/2023)</v>
      </c>
      <c r="H1364" s="19"/>
    </row>
    <row r="1365">
      <c r="A1365" s="9"/>
      <c r="B1365" s="15"/>
      <c r="C1365" s="9">
        <f>IFERROR(__xludf.DUMMYFUNCTION("""COMPUTED_VALUE"""),45130.3365554745)</f>
        <v>45130.33656</v>
      </c>
      <c r="D1365" s="15">
        <f>IFERROR(__xludf.DUMMYFUNCTION("""COMPUTED_VALUE"""),0.999)</f>
        <v>0.999</v>
      </c>
      <c r="E1365" s="16">
        <f>IFERROR(__xludf.DUMMYFUNCTION("""COMPUTED_VALUE"""),71.0)</f>
        <v>71</v>
      </c>
      <c r="F1365" s="19" t="str">
        <f>IFERROR(__xludf.DUMMYFUNCTION("""COMPUTED_VALUE"""),"BLUE")</f>
        <v>BLUE</v>
      </c>
      <c r="G1365" s="20" t="str">
        <f>IFERROR(__xludf.DUMMYFUNCTION("""COMPUTED_VALUE"""),"Uncle Sams Cider (04/04/2023)")</f>
        <v>Uncle Sams Cider (04/04/2023)</v>
      </c>
      <c r="H1365" s="19"/>
    </row>
    <row r="1366">
      <c r="A1366" s="9"/>
      <c r="B1366" s="15"/>
      <c r="C1366" s="9">
        <f>IFERROR(__xludf.DUMMYFUNCTION("""COMPUTED_VALUE"""),45130.3261344444)</f>
        <v>45130.32613</v>
      </c>
      <c r="D1366" s="15">
        <f>IFERROR(__xludf.DUMMYFUNCTION("""COMPUTED_VALUE"""),0.999)</f>
        <v>0.999</v>
      </c>
      <c r="E1366" s="16">
        <f>IFERROR(__xludf.DUMMYFUNCTION("""COMPUTED_VALUE"""),71.0)</f>
        <v>71</v>
      </c>
      <c r="F1366" s="19" t="str">
        <f>IFERROR(__xludf.DUMMYFUNCTION("""COMPUTED_VALUE"""),"BLUE")</f>
        <v>BLUE</v>
      </c>
      <c r="G1366" s="20" t="str">
        <f>IFERROR(__xludf.DUMMYFUNCTION("""COMPUTED_VALUE"""),"Uncle Sams Cider (04/04/2023)")</f>
        <v>Uncle Sams Cider (04/04/2023)</v>
      </c>
      <c r="H1366" s="19"/>
    </row>
    <row r="1367">
      <c r="A1367" s="9"/>
      <c r="B1367" s="15"/>
      <c r="C1367" s="9">
        <f>IFERROR(__xludf.DUMMYFUNCTION("""COMPUTED_VALUE"""),45130.3157008912)</f>
        <v>45130.3157</v>
      </c>
      <c r="D1367" s="15">
        <f>IFERROR(__xludf.DUMMYFUNCTION("""COMPUTED_VALUE"""),0.998)</f>
        <v>0.998</v>
      </c>
      <c r="E1367" s="16">
        <f>IFERROR(__xludf.DUMMYFUNCTION("""COMPUTED_VALUE"""),71.0)</f>
        <v>71</v>
      </c>
      <c r="F1367" s="19" t="str">
        <f>IFERROR(__xludf.DUMMYFUNCTION("""COMPUTED_VALUE"""),"BLUE")</f>
        <v>BLUE</v>
      </c>
      <c r="G1367" s="20" t="str">
        <f>IFERROR(__xludf.DUMMYFUNCTION("""COMPUTED_VALUE"""),"Uncle Sams Cider (04/04/2023)")</f>
        <v>Uncle Sams Cider (04/04/2023)</v>
      </c>
      <c r="H1367" s="19"/>
    </row>
    <row r="1368">
      <c r="A1368" s="9"/>
      <c r="B1368" s="15"/>
      <c r="C1368" s="9">
        <f>IFERROR(__xludf.DUMMYFUNCTION("""COMPUTED_VALUE"""),45130.3052686574)</f>
        <v>45130.30527</v>
      </c>
      <c r="D1368" s="15">
        <f>IFERROR(__xludf.DUMMYFUNCTION("""COMPUTED_VALUE"""),0.999)</f>
        <v>0.999</v>
      </c>
      <c r="E1368" s="16">
        <f>IFERROR(__xludf.DUMMYFUNCTION("""COMPUTED_VALUE"""),71.0)</f>
        <v>71</v>
      </c>
      <c r="F1368" s="19" t="str">
        <f>IFERROR(__xludf.DUMMYFUNCTION("""COMPUTED_VALUE"""),"BLUE")</f>
        <v>BLUE</v>
      </c>
      <c r="G1368" s="20" t="str">
        <f>IFERROR(__xludf.DUMMYFUNCTION("""COMPUTED_VALUE"""),"Uncle Sams Cider (04/04/2023)")</f>
        <v>Uncle Sams Cider (04/04/2023)</v>
      </c>
      <c r="H1368" s="19"/>
    </row>
    <row r="1369">
      <c r="A1369" s="9"/>
      <c r="B1369" s="15"/>
      <c r="C1369" s="9">
        <f>IFERROR(__xludf.DUMMYFUNCTION("""COMPUTED_VALUE"""),45130.2948474189)</f>
        <v>45130.29485</v>
      </c>
      <c r="D1369" s="15">
        <f>IFERROR(__xludf.DUMMYFUNCTION("""COMPUTED_VALUE"""),0.999)</f>
        <v>0.999</v>
      </c>
      <c r="E1369" s="16">
        <f>IFERROR(__xludf.DUMMYFUNCTION("""COMPUTED_VALUE"""),71.0)</f>
        <v>71</v>
      </c>
      <c r="F1369" s="19" t="str">
        <f>IFERROR(__xludf.DUMMYFUNCTION("""COMPUTED_VALUE"""),"BLUE")</f>
        <v>BLUE</v>
      </c>
      <c r="G1369" s="20" t="str">
        <f>IFERROR(__xludf.DUMMYFUNCTION("""COMPUTED_VALUE"""),"Uncle Sams Cider (04/04/2023)")</f>
        <v>Uncle Sams Cider (04/04/2023)</v>
      </c>
      <c r="H1369" s="19"/>
    </row>
    <row r="1370">
      <c r="A1370" s="9"/>
      <c r="B1370" s="15"/>
      <c r="C1370" s="9">
        <f>IFERROR(__xludf.DUMMYFUNCTION("""COMPUTED_VALUE"""),45130.2844012152)</f>
        <v>45130.2844</v>
      </c>
      <c r="D1370" s="15">
        <f>IFERROR(__xludf.DUMMYFUNCTION("""COMPUTED_VALUE"""),0.999)</f>
        <v>0.999</v>
      </c>
      <c r="E1370" s="16">
        <f>IFERROR(__xludf.DUMMYFUNCTION("""COMPUTED_VALUE"""),71.0)</f>
        <v>71</v>
      </c>
      <c r="F1370" s="19" t="str">
        <f>IFERROR(__xludf.DUMMYFUNCTION("""COMPUTED_VALUE"""),"BLUE")</f>
        <v>BLUE</v>
      </c>
      <c r="G1370" s="20" t="str">
        <f>IFERROR(__xludf.DUMMYFUNCTION("""COMPUTED_VALUE"""),"Uncle Sams Cider (04/04/2023)")</f>
        <v>Uncle Sams Cider (04/04/2023)</v>
      </c>
      <c r="H1370" s="19"/>
    </row>
    <row r="1371">
      <c r="A1371" s="9"/>
      <c r="B1371" s="15"/>
      <c r="C1371" s="9">
        <f>IFERROR(__xludf.DUMMYFUNCTION("""COMPUTED_VALUE"""),45130.2739795023)</f>
        <v>45130.27398</v>
      </c>
      <c r="D1371" s="15">
        <f>IFERROR(__xludf.DUMMYFUNCTION("""COMPUTED_VALUE"""),0.999)</f>
        <v>0.999</v>
      </c>
      <c r="E1371" s="16">
        <f>IFERROR(__xludf.DUMMYFUNCTION("""COMPUTED_VALUE"""),71.0)</f>
        <v>71</v>
      </c>
      <c r="F1371" s="19" t="str">
        <f>IFERROR(__xludf.DUMMYFUNCTION("""COMPUTED_VALUE"""),"BLUE")</f>
        <v>BLUE</v>
      </c>
      <c r="G1371" s="20" t="str">
        <f>IFERROR(__xludf.DUMMYFUNCTION("""COMPUTED_VALUE"""),"Uncle Sams Cider (04/04/2023)")</f>
        <v>Uncle Sams Cider (04/04/2023)</v>
      </c>
      <c r="H1371" s="19"/>
    </row>
    <row r="1372">
      <c r="A1372" s="9"/>
      <c r="B1372" s="15"/>
      <c r="C1372" s="9">
        <f>IFERROR(__xludf.DUMMYFUNCTION("""COMPUTED_VALUE"""),45130.2635580555)</f>
        <v>45130.26356</v>
      </c>
      <c r="D1372" s="15">
        <f>IFERROR(__xludf.DUMMYFUNCTION("""COMPUTED_VALUE"""),0.998)</f>
        <v>0.998</v>
      </c>
      <c r="E1372" s="16">
        <f>IFERROR(__xludf.DUMMYFUNCTION("""COMPUTED_VALUE"""),71.0)</f>
        <v>71</v>
      </c>
      <c r="F1372" s="19" t="str">
        <f>IFERROR(__xludf.DUMMYFUNCTION("""COMPUTED_VALUE"""),"BLUE")</f>
        <v>BLUE</v>
      </c>
      <c r="G1372" s="20" t="str">
        <f>IFERROR(__xludf.DUMMYFUNCTION("""COMPUTED_VALUE"""),"Uncle Sams Cider (04/04/2023)")</f>
        <v>Uncle Sams Cider (04/04/2023)</v>
      </c>
      <c r="H1372" s="19"/>
    </row>
    <row r="1373">
      <c r="A1373" s="9"/>
      <c r="B1373" s="15"/>
      <c r="C1373" s="9">
        <f>IFERROR(__xludf.DUMMYFUNCTION("""COMPUTED_VALUE"""),45130.2531248379)</f>
        <v>45130.25312</v>
      </c>
      <c r="D1373" s="15">
        <f>IFERROR(__xludf.DUMMYFUNCTION("""COMPUTED_VALUE"""),0.998)</f>
        <v>0.998</v>
      </c>
      <c r="E1373" s="16">
        <f>IFERROR(__xludf.DUMMYFUNCTION("""COMPUTED_VALUE"""),71.0)</f>
        <v>71</v>
      </c>
      <c r="F1373" s="19" t="str">
        <f>IFERROR(__xludf.DUMMYFUNCTION("""COMPUTED_VALUE"""),"BLUE")</f>
        <v>BLUE</v>
      </c>
      <c r="G1373" s="20" t="str">
        <f>IFERROR(__xludf.DUMMYFUNCTION("""COMPUTED_VALUE"""),"Uncle Sams Cider (04/04/2023)")</f>
        <v>Uncle Sams Cider (04/04/2023)</v>
      </c>
      <c r="H1373" s="19"/>
    </row>
    <row r="1374">
      <c r="A1374" s="9"/>
      <c r="B1374" s="15"/>
      <c r="C1374" s="9">
        <f>IFERROR(__xludf.DUMMYFUNCTION("""COMPUTED_VALUE"""),45130.2426930208)</f>
        <v>45130.24269</v>
      </c>
      <c r="D1374" s="15">
        <f>IFERROR(__xludf.DUMMYFUNCTION("""COMPUTED_VALUE"""),0.999)</f>
        <v>0.999</v>
      </c>
      <c r="E1374" s="16">
        <f>IFERROR(__xludf.DUMMYFUNCTION("""COMPUTED_VALUE"""),71.0)</f>
        <v>71</v>
      </c>
      <c r="F1374" s="19" t="str">
        <f>IFERROR(__xludf.DUMMYFUNCTION("""COMPUTED_VALUE"""),"BLUE")</f>
        <v>BLUE</v>
      </c>
      <c r="G1374" s="20" t="str">
        <f>IFERROR(__xludf.DUMMYFUNCTION("""COMPUTED_VALUE"""),"Uncle Sams Cider (04/04/2023)")</f>
        <v>Uncle Sams Cider (04/04/2023)</v>
      </c>
      <c r="H1374" s="19"/>
    </row>
    <row r="1375">
      <c r="A1375" s="9"/>
      <c r="B1375" s="15"/>
      <c r="C1375" s="9">
        <f>IFERROR(__xludf.DUMMYFUNCTION("""COMPUTED_VALUE"""),45130.2322714699)</f>
        <v>45130.23227</v>
      </c>
      <c r="D1375" s="15">
        <f>IFERROR(__xludf.DUMMYFUNCTION("""COMPUTED_VALUE"""),0.999)</f>
        <v>0.999</v>
      </c>
      <c r="E1375" s="16">
        <f>IFERROR(__xludf.DUMMYFUNCTION("""COMPUTED_VALUE"""),71.0)</f>
        <v>71</v>
      </c>
      <c r="F1375" s="19" t="str">
        <f>IFERROR(__xludf.DUMMYFUNCTION("""COMPUTED_VALUE"""),"BLUE")</f>
        <v>BLUE</v>
      </c>
      <c r="G1375" s="20" t="str">
        <f>IFERROR(__xludf.DUMMYFUNCTION("""COMPUTED_VALUE"""),"Uncle Sams Cider (04/04/2023)")</f>
        <v>Uncle Sams Cider (04/04/2023)</v>
      </c>
      <c r="H1375" s="19"/>
    </row>
    <row r="1376">
      <c r="A1376" s="9"/>
      <c r="B1376" s="15"/>
      <c r="C1376" s="9">
        <f>IFERROR(__xludf.DUMMYFUNCTION("""COMPUTED_VALUE"""),45130.2218490509)</f>
        <v>45130.22185</v>
      </c>
      <c r="D1376" s="15">
        <f>IFERROR(__xludf.DUMMYFUNCTION("""COMPUTED_VALUE"""),0.998)</f>
        <v>0.998</v>
      </c>
      <c r="E1376" s="16">
        <f>IFERROR(__xludf.DUMMYFUNCTION("""COMPUTED_VALUE"""),71.0)</f>
        <v>71</v>
      </c>
      <c r="F1376" s="19" t="str">
        <f>IFERROR(__xludf.DUMMYFUNCTION("""COMPUTED_VALUE"""),"BLUE")</f>
        <v>BLUE</v>
      </c>
      <c r="G1376" s="20" t="str">
        <f>IFERROR(__xludf.DUMMYFUNCTION("""COMPUTED_VALUE"""),"Uncle Sams Cider (04/04/2023)")</f>
        <v>Uncle Sams Cider (04/04/2023)</v>
      </c>
      <c r="H1376" s="19"/>
    </row>
    <row r="1377">
      <c r="A1377" s="9"/>
      <c r="B1377" s="15"/>
      <c r="C1377" s="9">
        <f>IFERROR(__xludf.DUMMYFUNCTION("""COMPUTED_VALUE"""),45130.211428993)</f>
        <v>45130.21143</v>
      </c>
      <c r="D1377" s="15">
        <f>IFERROR(__xludf.DUMMYFUNCTION("""COMPUTED_VALUE"""),0.999)</f>
        <v>0.999</v>
      </c>
      <c r="E1377" s="16">
        <f>IFERROR(__xludf.DUMMYFUNCTION("""COMPUTED_VALUE"""),71.0)</f>
        <v>71</v>
      </c>
      <c r="F1377" s="19" t="str">
        <f>IFERROR(__xludf.DUMMYFUNCTION("""COMPUTED_VALUE"""),"BLUE")</f>
        <v>BLUE</v>
      </c>
      <c r="G1377" s="20" t="str">
        <f>IFERROR(__xludf.DUMMYFUNCTION("""COMPUTED_VALUE"""),"Uncle Sams Cider (04/04/2023)")</f>
        <v>Uncle Sams Cider (04/04/2023)</v>
      </c>
      <c r="H1377" s="19"/>
    </row>
    <row r="1378">
      <c r="A1378" s="9"/>
      <c r="B1378" s="15"/>
      <c r="C1378" s="9">
        <f>IFERROR(__xludf.DUMMYFUNCTION("""COMPUTED_VALUE"""),45130.2010078935)</f>
        <v>45130.20101</v>
      </c>
      <c r="D1378" s="15">
        <f>IFERROR(__xludf.DUMMYFUNCTION("""COMPUTED_VALUE"""),0.998)</f>
        <v>0.998</v>
      </c>
      <c r="E1378" s="16">
        <f>IFERROR(__xludf.DUMMYFUNCTION("""COMPUTED_VALUE"""),71.0)</f>
        <v>71</v>
      </c>
      <c r="F1378" s="19" t="str">
        <f>IFERROR(__xludf.DUMMYFUNCTION("""COMPUTED_VALUE"""),"BLUE")</f>
        <v>BLUE</v>
      </c>
      <c r="G1378" s="20" t="str">
        <f>IFERROR(__xludf.DUMMYFUNCTION("""COMPUTED_VALUE"""),"Uncle Sams Cider (04/04/2023)")</f>
        <v>Uncle Sams Cider (04/04/2023)</v>
      </c>
      <c r="H1378" s="19"/>
    </row>
    <row r="1379">
      <c r="A1379" s="9"/>
      <c r="B1379" s="15"/>
      <c r="C1379" s="9">
        <f>IFERROR(__xludf.DUMMYFUNCTION("""COMPUTED_VALUE"""),45130.1905857986)</f>
        <v>45130.19059</v>
      </c>
      <c r="D1379" s="15">
        <f>IFERROR(__xludf.DUMMYFUNCTION("""COMPUTED_VALUE"""),0.998)</f>
        <v>0.998</v>
      </c>
      <c r="E1379" s="16">
        <f>IFERROR(__xludf.DUMMYFUNCTION("""COMPUTED_VALUE"""),71.0)</f>
        <v>71</v>
      </c>
      <c r="F1379" s="19" t="str">
        <f>IFERROR(__xludf.DUMMYFUNCTION("""COMPUTED_VALUE"""),"BLUE")</f>
        <v>BLUE</v>
      </c>
      <c r="G1379" s="20" t="str">
        <f>IFERROR(__xludf.DUMMYFUNCTION("""COMPUTED_VALUE"""),"Uncle Sams Cider (04/04/2023)")</f>
        <v>Uncle Sams Cider (04/04/2023)</v>
      </c>
      <c r="H1379" s="19"/>
    </row>
    <row r="1380">
      <c r="A1380" s="9"/>
      <c r="B1380" s="15"/>
      <c r="C1380" s="9">
        <f>IFERROR(__xludf.DUMMYFUNCTION("""COMPUTED_VALUE"""),45130.1801660879)</f>
        <v>45130.18017</v>
      </c>
      <c r="D1380" s="15">
        <f>IFERROR(__xludf.DUMMYFUNCTION("""COMPUTED_VALUE"""),0.999)</f>
        <v>0.999</v>
      </c>
      <c r="E1380" s="16">
        <f>IFERROR(__xludf.DUMMYFUNCTION("""COMPUTED_VALUE"""),71.0)</f>
        <v>71</v>
      </c>
      <c r="F1380" s="19" t="str">
        <f>IFERROR(__xludf.DUMMYFUNCTION("""COMPUTED_VALUE"""),"BLUE")</f>
        <v>BLUE</v>
      </c>
      <c r="G1380" s="20" t="str">
        <f>IFERROR(__xludf.DUMMYFUNCTION("""COMPUTED_VALUE"""),"Uncle Sams Cider (04/04/2023)")</f>
        <v>Uncle Sams Cider (04/04/2023)</v>
      </c>
      <c r="H1380" s="19"/>
    </row>
    <row r="1381">
      <c r="A1381" s="9"/>
      <c r="B1381" s="15"/>
      <c r="C1381" s="9">
        <f>IFERROR(__xludf.DUMMYFUNCTION("""COMPUTED_VALUE"""),45130.1697462847)</f>
        <v>45130.16975</v>
      </c>
      <c r="D1381" s="15">
        <f>IFERROR(__xludf.DUMMYFUNCTION("""COMPUTED_VALUE"""),0.998)</f>
        <v>0.998</v>
      </c>
      <c r="E1381" s="16">
        <f>IFERROR(__xludf.DUMMYFUNCTION("""COMPUTED_VALUE"""),71.0)</f>
        <v>71</v>
      </c>
      <c r="F1381" s="19" t="str">
        <f>IFERROR(__xludf.DUMMYFUNCTION("""COMPUTED_VALUE"""),"BLUE")</f>
        <v>BLUE</v>
      </c>
      <c r="G1381" s="20" t="str">
        <f>IFERROR(__xludf.DUMMYFUNCTION("""COMPUTED_VALUE"""),"Uncle Sams Cider (04/04/2023)")</f>
        <v>Uncle Sams Cider (04/04/2023)</v>
      </c>
      <c r="H1381" s="19"/>
    </row>
    <row r="1382">
      <c r="A1382" s="9"/>
      <c r="B1382" s="15"/>
      <c r="C1382" s="9">
        <f>IFERROR(__xludf.DUMMYFUNCTION("""COMPUTED_VALUE"""),45130.1593247801)</f>
        <v>45130.15932</v>
      </c>
      <c r="D1382" s="15">
        <f>IFERROR(__xludf.DUMMYFUNCTION("""COMPUTED_VALUE"""),0.999)</f>
        <v>0.999</v>
      </c>
      <c r="E1382" s="16">
        <f>IFERROR(__xludf.DUMMYFUNCTION("""COMPUTED_VALUE"""),71.0)</f>
        <v>71</v>
      </c>
      <c r="F1382" s="19" t="str">
        <f>IFERROR(__xludf.DUMMYFUNCTION("""COMPUTED_VALUE"""),"BLUE")</f>
        <v>BLUE</v>
      </c>
      <c r="G1382" s="20" t="str">
        <f>IFERROR(__xludf.DUMMYFUNCTION("""COMPUTED_VALUE"""),"Uncle Sams Cider (04/04/2023)")</f>
        <v>Uncle Sams Cider (04/04/2023)</v>
      </c>
      <c r="H1382" s="19"/>
    </row>
    <row r="1383">
      <c r="A1383" s="9"/>
      <c r="B1383" s="15"/>
      <c r="C1383" s="9">
        <f>IFERROR(__xludf.DUMMYFUNCTION("""COMPUTED_VALUE"""),45130.1489053125)</f>
        <v>45130.14891</v>
      </c>
      <c r="D1383" s="15">
        <f>IFERROR(__xludf.DUMMYFUNCTION("""COMPUTED_VALUE"""),0.998)</f>
        <v>0.998</v>
      </c>
      <c r="E1383" s="16">
        <f>IFERROR(__xludf.DUMMYFUNCTION("""COMPUTED_VALUE"""),71.0)</f>
        <v>71</v>
      </c>
      <c r="F1383" s="19" t="str">
        <f>IFERROR(__xludf.DUMMYFUNCTION("""COMPUTED_VALUE"""),"BLUE")</f>
        <v>BLUE</v>
      </c>
      <c r="G1383" s="20" t="str">
        <f>IFERROR(__xludf.DUMMYFUNCTION("""COMPUTED_VALUE"""),"Uncle Sams Cider (04/04/2023)")</f>
        <v>Uncle Sams Cider (04/04/2023)</v>
      </c>
      <c r="H1383" s="19"/>
    </row>
    <row r="1384">
      <c r="A1384" s="9"/>
      <c r="B1384" s="15"/>
      <c r="C1384" s="9">
        <f>IFERROR(__xludf.DUMMYFUNCTION("""COMPUTED_VALUE"""),45130.1384833217)</f>
        <v>45130.13848</v>
      </c>
      <c r="D1384" s="15">
        <f>IFERROR(__xludf.DUMMYFUNCTION("""COMPUTED_VALUE"""),0.998)</f>
        <v>0.998</v>
      </c>
      <c r="E1384" s="16">
        <f>IFERROR(__xludf.DUMMYFUNCTION("""COMPUTED_VALUE"""),71.0)</f>
        <v>71</v>
      </c>
      <c r="F1384" s="19" t="str">
        <f>IFERROR(__xludf.DUMMYFUNCTION("""COMPUTED_VALUE"""),"BLUE")</f>
        <v>BLUE</v>
      </c>
      <c r="G1384" s="20" t="str">
        <f>IFERROR(__xludf.DUMMYFUNCTION("""COMPUTED_VALUE"""),"Uncle Sams Cider (04/04/2023)")</f>
        <v>Uncle Sams Cider (04/04/2023)</v>
      </c>
      <c r="H1384" s="19"/>
    </row>
    <row r="1385">
      <c r="A1385" s="9"/>
      <c r="B1385" s="15"/>
      <c r="C1385" s="9">
        <f>IFERROR(__xludf.DUMMYFUNCTION("""COMPUTED_VALUE"""),45130.1280626967)</f>
        <v>45130.12806</v>
      </c>
      <c r="D1385" s="15">
        <f>IFERROR(__xludf.DUMMYFUNCTION("""COMPUTED_VALUE"""),0.998)</f>
        <v>0.998</v>
      </c>
      <c r="E1385" s="16">
        <f>IFERROR(__xludf.DUMMYFUNCTION("""COMPUTED_VALUE"""),71.0)</f>
        <v>71</v>
      </c>
      <c r="F1385" s="19" t="str">
        <f>IFERROR(__xludf.DUMMYFUNCTION("""COMPUTED_VALUE"""),"BLUE")</f>
        <v>BLUE</v>
      </c>
      <c r="G1385" s="20" t="str">
        <f>IFERROR(__xludf.DUMMYFUNCTION("""COMPUTED_VALUE"""),"Uncle Sams Cider (04/04/2023)")</f>
        <v>Uncle Sams Cider (04/04/2023)</v>
      </c>
      <c r="H1385" s="19"/>
    </row>
    <row r="1386">
      <c r="A1386" s="9"/>
      <c r="B1386" s="15"/>
      <c r="C1386" s="9">
        <f>IFERROR(__xludf.DUMMYFUNCTION("""COMPUTED_VALUE"""),45130.1176422569)</f>
        <v>45130.11764</v>
      </c>
      <c r="D1386" s="15">
        <f>IFERROR(__xludf.DUMMYFUNCTION("""COMPUTED_VALUE"""),0.999)</f>
        <v>0.999</v>
      </c>
      <c r="E1386" s="16">
        <f>IFERROR(__xludf.DUMMYFUNCTION("""COMPUTED_VALUE"""),71.0)</f>
        <v>71</v>
      </c>
      <c r="F1386" s="19" t="str">
        <f>IFERROR(__xludf.DUMMYFUNCTION("""COMPUTED_VALUE"""),"BLUE")</f>
        <v>BLUE</v>
      </c>
      <c r="G1386" s="20" t="str">
        <f>IFERROR(__xludf.DUMMYFUNCTION("""COMPUTED_VALUE"""),"Uncle Sams Cider (04/04/2023)")</f>
        <v>Uncle Sams Cider (04/04/2023)</v>
      </c>
      <c r="H1386" s="19"/>
    </row>
    <row r="1387">
      <c r="A1387" s="9"/>
      <c r="B1387" s="15"/>
      <c r="C1387" s="9">
        <f>IFERROR(__xludf.DUMMYFUNCTION("""COMPUTED_VALUE"""),45130.1071966435)</f>
        <v>45130.1072</v>
      </c>
      <c r="D1387" s="15">
        <f>IFERROR(__xludf.DUMMYFUNCTION("""COMPUTED_VALUE"""),0.999)</f>
        <v>0.999</v>
      </c>
      <c r="E1387" s="16">
        <f>IFERROR(__xludf.DUMMYFUNCTION("""COMPUTED_VALUE"""),71.0)</f>
        <v>71</v>
      </c>
      <c r="F1387" s="19" t="str">
        <f>IFERROR(__xludf.DUMMYFUNCTION("""COMPUTED_VALUE"""),"BLUE")</f>
        <v>BLUE</v>
      </c>
      <c r="G1387" s="20" t="str">
        <f>IFERROR(__xludf.DUMMYFUNCTION("""COMPUTED_VALUE"""),"Uncle Sams Cider (04/04/2023)")</f>
        <v>Uncle Sams Cider (04/04/2023)</v>
      </c>
      <c r="H1387" s="19"/>
    </row>
    <row r="1388">
      <c r="A1388" s="9"/>
      <c r="B1388" s="15"/>
      <c r="C1388" s="9">
        <f>IFERROR(__xludf.DUMMYFUNCTION("""COMPUTED_VALUE"""),45130.0967620833)</f>
        <v>45130.09676</v>
      </c>
      <c r="D1388" s="15">
        <f>IFERROR(__xludf.DUMMYFUNCTION("""COMPUTED_VALUE"""),0.999)</f>
        <v>0.999</v>
      </c>
      <c r="E1388" s="16">
        <f>IFERROR(__xludf.DUMMYFUNCTION("""COMPUTED_VALUE"""),71.0)</f>
        <v>71</v>
      </c>
      <c r="F1388" s="19" t="str">
        <f>IFERROR(__xludf.DUMMYFUNCTION("""COMPUTED_VALUE"""),"BLUE")</f>
        <v>BLUE</v>
      </c>
      <c r="G1388" s="20" t="str">
        <f>IFERROR(__xludf.DUMMYFUNCTION("""COMPUTED_VALUE"""),"Uncle Sams Cider (04/04/2023)")</f>
        <v>Uncle Sams Cider (04/04/2023)</v>
      </c>
      <c r="H1388" s="19"/>
    </row>
    <row r="1389">
      <c r="A1389" s="9"/>
      <c r="B1389" s="15"/>
      <c r="C1389" s="9">
        <f>IFERROR(__xludf.DUMMYFUNCTION("""COMPUTED_VALUE"""),45130.086330405)</f>
        <v>45130.08633</v>
      </c>
      <c r="D1389" s="15">
        <f>IFERROR(__xludf.DUMMYFUNCTION("""COMPUTED_VALUE"""),0.999)</f>
        <v>0.999</v>
      </c>
      <c r="E1389" s="16">
        <f>IFERROR(__xludf.DUMMYFUNCTION("""COMPUTED_VALUE"""),71.0)</f>
        <v>71</v>
      </c>
      <c r="F1389" s="19" t="str">
        <f>IFERROR(__xludf.DUMMYFUNCTION("""COMPUTED_VALUE"""),"BLUE")</f>
        <v>BLUE</v>
      </c>
      <c r="G1389" s="20" t="str">
        <f>IFERROR(__xludf.DUMMYFUNCTION("""COMPUTED_VALUE"""),"Uncle Sams Cider (04/04/2023)")</f>
        <v>Uncle Sams Cider (04/04/2023)</v>
      </c>
      <c r="H1389" s="19"/>
    </row>
    <row r="1390">
      <c r="A1390" s="9"/>
      <c r="B1390" s="15"/>
      <c r="C1390" s="9">
        <f>IFERROR(__xludf.DUMMYFUNCTION("""COMPUTED_VALUE"""),45130.075908831)</f>
        <v>45130.07591</v>
      </c>
      <c r="D1390" s="15">
        <f>IFERROR(__xludf.DUMMYFUNCTION("""COMPUTED_VALUE"""),0.999)</f>
        <v>0.999</v>
      </c>
      <c r="E1390" s="16">
        <f>IFERROR(__xludf.DUMMYFUNCTION("""COMPUTED_VALUE"""),71.0)</f>
        <v>71</v>
      </c>
      <c r="F1390" s="19" t="str">
        <f>IFERROR(__xludf.DUMMYFUNCTION("""COMPUTED_VALUE"""),"BLUE")</f>
        <v>BLUE</v>
      </c>
      <c r="G1390" s="20" t="str">
        <f>IFERROR(__xludf.DUMMYFUNCTION("""COMPUTED_VALUE"""),"Uncle Sams Cider (04/04/2023)")</f>
        <v>Uncle Sams Cider (04/04/2023)</v>
      </c>
      <c r="H1390" s="19"/>
    </row>
    <row r="1391">
      <c r="A1391" s="9"/>
      <c r="B1391" s="15"/>
      <c r="C1391" s="9">
        <f>IFERROR(__xludf.DUMMYFUNCTION("""COMPUTED_VALUE"""),45130.0654649421)</f>
        <v>45130.06546</v>
      </c>
      <c r="D1391" s="15">
        <f>IFERROR(__xludf.DUMMYFUNCTION("""COMPUTED_VALUE"""),0.999)</f>
        <v>0.999</v>
      </c>
      <c r="E1391" s="16">
        <f>IFERROR(__xludf.DUMMYFUNCTION("""COMPUTED_VALUE"""),71.0)</f>
        <v>71</v>
      </c>
      <c r="F1391" s="19" t="str">
        <f>IFERROR(__xludf.DUMMYFUNCTION("""COMPUTED_VALUE"""),"BLUE")</f>
        <v>BLUE</v>
      </c>
      <c r="G1391" s="20" t="str">
        <f>IFERROR(__xludf.DUMMYFUNCTION("""COMPUTED_VALUE"""),"Uncle Sams Cider (04/04/2023)")</f>
        <v>Uncle Sams Cider (04/04/2023)</v>
      </c>
      <c r="H1391" s="19"/>
    </row>
    <row r="1392">
      <c r="A1392" s="9"/>
      <c r="B1392" s="15"/>
      <c r="C1392" s="9">
        <f>IFERROR(__xludf.DUMMYFUNCTION("""COMPUTED_VALUE"""),45130.0550410995)</f>
        <v>45130.05504</v>
      </c>
      <c r="D1392" s="15">
        <f>IFERROR(__xludf.DUMMYFUNCTION("""COMPUTED_VALUE"""),0.998)</f>
        <v>0.998</v>
      </c>
      <c r="E1392" s="16">
        <f>IFERROR(__xludf.DUMMYFUNCTION("""COMPUTED_VALUE"""),71.0)</f>
        <v>71</v>
      </c>
      <c r="F1392" s="19" t="str">
        <f>IFERROR(__xludf.DUMMYFUNCTION("""COMPUTED_VALUE"""),"BLUE")</f>
        <v>BLUE</v>
      </c>
      <c r="G1392" s="20" t="str">
        <f>IFERROR(__xludf.DUMMYFUNCTION("""COMPUTED_VALUE"""),"Uncle Sams Cider (04/04/2023)")</f>
        <v>Uncle Sams Cider (04/04/2023)</v>
      </c>
      <c r="H1392" s="19"/>
    </row>
    <row r="1393">
      <c r="A1393" s="9"/>
      <c r="B1393" s="15"/>
      <c r="C1393" s="9">
        <f>IFERROR(__xludf.DUMMYFUNCTION("""COMPUTED_VALUE"""),45130.0446202662)</f>
        <v>45130.04462</v>
      </c>
      <c r="D1393" s="15">
        <f>IFERROR(__xludf.DUMMYFUNCTION("""COMPUTED_VALUE"""),0.999)</f>
        <v>0.999</v>
      </c>
      <c r="E1393" s="16">
        <f>IFERROR(__xludf.DUMMYFUNCTION("""COMPUTED_VALUE"""),71.0)</f>
        <v>71</v>
      </c>
      <c r="F1393" s="19" t="str">
        <f>IFERROR(__xludf.DUMMYFUNCTION("""COMPUTED_VALUE"""),"BLUE")</f>
        <v>BLUE</v>
      </c>
      <c r="G1393" s="20" t="str">
        <f>IFERROR(__xludf.DUMMYFUNCTION("""COMPUTED_VALUE"""),"Uncle Sams Cider (04/04/2023)")</f>
        <v>Uncle Sams Cider (04/04/2023)</v>
      </c>
      <c r="H1393" s="19"/>
    </row>
    <row r="1394">
      <c r="A1394" s="9"/>
      <c r="B1394" s="15"/>
      <c r="C1394" s="9">
        <f>IFERROR(__xludf.DUMMYFUNCTION("""COMPUTED_VALUE"""),45130.0341994907)</f>
        <v>45130.0342</v>
      </c>
      <c r="D1394" s="15">
        <f>IFERROR(__xludf.DUMMYFUNCTION("""COMPUTED_VALUE"""),0.998)</f>
        <v>0.998</v>
      </c>
      <c r="E1394" s="16">
        <f>IFERROR(__xludf.DUMMYFUNCTION("""COMPUTED_VALUE"""),71.0)</f>
        <v>71</v>
      </c>
      <c r="F1394" s="19" t="str">
        <f>IFERROR(__xludf.DUMMYFUNCTION("""COMPUTED_VALUE"""),"BLUE")</f>
        <v>BLUE</v>
      </c>
      <c r="G1394" s="20" t="str">
        <f>IFERROR(__xludf.DUMMYFUNCTION("""COMPUTED_VALUE"""),"Uncle Sams Cider (04/04/2023)")</f>
        <v>Uncle Sams Cider (04/04/2023)</v>
      </c>
      <c r="H1394" s="19"/>
    </row>
    <row r="1395">
      <c r="A1395" s="9"/>
      <c r="B1395" s="15"/>
      <c r="C1395" s="9">
        <f>IFERROR(__xludf.DUMMYFUNCTION("""COMPUTED_VALUE"""),45130.0237792592)</f>
        <v>45130.02378</v>
      </c>
      <c r="D1395" s="15">
        <f>IFERROR(__xludf.DUMMYFUNCTION("""COMPUTED_VALUE"""),0.999)</f>
        <v>0.999</v>
      </c>
      <c r="E1395" s="16">
        <f>IFERROR(__xludf.DUMMYFUNCTION("""COMPUTED_VALUE"""),71.0)</f>
        <v>71</v>
      </c>
      <c r="F1395" s="19" t="str">
        <f>IFERROR(__xludf.DUMMYFUNCTION("""COMPUTED_VALUE"""),"BLUE")</f>
        <v>BLUE</v>
      </c>
      <c r="G1395" s="20" t="str">
        <f>IFERROR(__xludf.DUMMYFUNCTION("""COMPUTED_VALUE"""),"Uncle Sams Cider (04/04/2023)")</f>
        <v>Uncle Sams Cider (04/04/2023)</v>
      </c>
      <c r="H1395" s="19"/>
    </row>
    <row r="1396">
      <c r="A1396" s="9"/>
      <c r="B1396" s="15"/>
      <c r="C1396" s="9">
        <f>IFERROR(__xludf.DUMMYFUNCTION("""COMPUTED_VALUE"""),45130.0133568981)</f>
        <v>45130.01336</v>
      </c>
      <c r="D1396" s="15">
        <f>IFERROR(__xludf.DUMMYFUNCTION("""COMPUTED_VALUE"""),0.999)</f>
        <v>0.999</v>
      </c>
      <c r="E1396" s="16">
        <f>IFERROR(__xludf.DUMMYFUNCTION("""COMPUTED_VALUE"""),71.0)</f>
        <v>71</v>
      </c>
      <c r="F1396" s="19" t="str">
        <f>IFERROR(__xludf.DUMMYFUNCTION("""COMPUTED_VALUE"""),"BLUE")</f>
        <v>BLUE</v>
      </c>
      <c r="G1396" s="20" t="str">
        <f>IFERROR(__xludf.DUMMYFUNCTION("""COMPUTED_VALUE"""),"Uncle Sams Cider (04/04/2023)")</f>
        <v>Uncle Sams Cider (04/04/2023)</v>
      </c>
      <c r="H1396" s="19"/>
    </row>
    <row r="1397">
      <c r="A1397" s="9"/>
      <c r="B1397" s="15"/>
      <c r="C1397" s="9">
        <f>IFERROR(__xludf.DUMMYFUNCTION("""COMPUTED_VALUE"""),45130.0029336342)</f>
        <v>45130.00293</v>
      </c>
      <c r="D1397" s="15">
        <f>IFERROR(__xludf.DUMMYFUNCTION("""COMPUTED_VALUE"""),0.999)</f>
        <v>0.999</v>
      </c>
      <c r="E1397" s="16">
        <f>IFERROR(__xludf.DUMMYFUNCTION("""COMPUTED_VALUE"""),71.0)</f>
        <v>71</v>
      </c>
      <c r="F1397" s="19" t="str">
        <f>IFERROR(__xludf.DUMMYFUNCTION("""COMPUTED_VALUE"""),"BLUE")</f>
        <v>BLUE</v>
      </c>
      <c r="G1397" s="20" t="str">
        <f>IFERROR(__xludf.DUMMYFUNCTION("""COMPUTED_VALUE"""),"Uncle Sams Cider (04/04/2023)")</f>
        <v>Uncle Sams Cider (04/04/2023)</v>
      </c>
      <c r="H1397" s="19"/>
    </row>
    <row r="1398">
      <c r="A1398" s="9"/>
      <c r="B1398" s="15"/>
      <c r="C1398" s="9">
        <f>IFERROR(__xludf.DUMMYFUNCTION("""COMPUTED_VALUE"""),45129.9925132175)</f>
        <v>45129.99251</v>
      </c>
      <c r="D1398" s="15">
        <f>IFERROR(__xludf.DUMMYFUNCTION("""COMPUTED_VALUE"""),0.999)</f>
        <v>0.999</v>
      </c>
      <c r="E1398" s="16">
        <f>IFERROR(__xludf.DUMMYFUNCTION("""COMPUTED_VALUE"""),71.0)</f>
        <v>71</v>
      </c>
      <c r="F1398" s="19" t="str">
        <f>IFERROR(__xludf.DUMMYFUNCTION("""COMPUTED_VALUE"""),"BLUE")</f>
        <v>BLUE</v>
      </c>
      <c r="G1398" s="20" t="str">
        <f>IFERROR(__xludf.DUMMYFUNCTION("""COMPUTED_VALUE"""),"Uncle Sams Cider (04/04/2023)")</f>
        <v>Uncle Sams Cider (04/04/2023)</v>
      </c>
      <c r="H1398" s="19"/>
    </row>
    <row r="1399">
      <c r="A1399" s="9"/>
      <c r="B1399" s="15"/>
      <c r="C1399" s="9">
        <f>IFERROR(__xludf.DUMMYFUNCTION("""COMPUTED_VALUE"""),45129.9820913078)</f>
        <v>45129.98209</v>
      </c>
      <c r="D1399" s="15">
        <f>IFERROR(__xludf.DUMMYFUNCTION("""COMPUTED_VALUE"""),0.999)</f>
        <v>0.999</v>
      </c>
      <c r="E1399" s="16">
        <f>IFERROR(__xludf.DUMMYFUNCTION("""COMPUTED_VALUE"""),71.0)</f>
        <v>71</v>
      </c>
      <c r="F1399" s="19" t="str">
        <f>IFERROR(__xludf.DUMMYFUNCTION("""COMPUTED_VALUE"""),"BLUE")</f>
        <v>BLUE</v>
      </c>
      <c r="G1399" s="20" t="str">
        <f>IFERROR(__xludf.DUMMYFUNCTION("""COMPUTED_VALUE"""),"Uncle Sams Cider (04/04/2023)")</f>
        <v>Uncle Sams Cider (04/04/2023)</v>
      </c>
      <c r="H1399" s="19"/>
    </row>
    <row r="1400">
      <c r="A1400" s="9"/>
      <c r="B1400" s="15"/>
      <c r="C1400" s="9">
        <f>IFERROR(__xludf.DUMMYFUNCTION("""COMPUTED_VALUE"""),45129.9716592592)</f>
        <v>45129.97166</v>
      </c>
      <c r="D1400" s="15">
        <f>IFERROR(__xludf.DUMMYFUNCTION("""COMPUTED_VALUE"""),0.999)</f>
        <v>0.999</v>
      </c>
      <c r="E1400" s="16">
        <f>IFERROR(__xludf.DUMMYFUNCTION("""COMPUTED_VALUE"""),71.0)</f>
        <v>71</v>
      </c>
      <c r="F1400" s="19" t="str">
        <f>IFERROR(__xludf.DUMMYFUNCTION("""COMPUTED_VALUE"""),"BLUE")</f>
        <v>BLUE</v>
      </c>
      <c r="G1400" s="20" t="str">
        <f>IFERROR(__xludf.DUMMYFUNCTION("""COMPUTED_VALUE"""),"Uncle Sams Cider (04/04/2023)")</f>
        <v>Uncle Sams Cider (04/04/2023)</v>
      </c>
      <c r="H1400" s="19"/>
    </row>
    <row r="1401">
      <c r="A1401" s="9"/>
      <c r="B1401" s="15"/>
      <c r="C1401" s="9">
        <f>IFERROR(__xludf.DUMMYFUNCTION("""COMPUTED_VALUE"""),45129.9612357986)</f>
        <v>45129.96124</v>
      </c>
      <c r="D1401" s="15">
        <f>IFERROR(__xludf.DUMMYFUNCTION("""COMPUTED_VALUE"""),0.999)</f>
        <v>0.999</v>
      </c>
      <c r="E1401" s="16">
        <f>IFERROR(__xludf.DUMMYFUNCTION("""COMPUTED_VALUE"""),71.0)</f>
        <v>71</v>
      </c>
      <c r="F1401" s="19" t="str">
        <f>IFERROR(__xludf.DUMMYFUNCTION("""COMPUTED_VALUE"""),"BLUE")</f>
        <v>BLUE</v>
      </c>
      <c r="G1401" s="20" t="str">
        <f>IFERROR(__xludf.DUMMYFUNCTION("""COMPUTED_VALUE"""),"Uncle Sams Cider (04/04/2023)")</f>
        <v>Uncle Sams Cider (04/04/2023)</v>
      </c>
      <c r="H1401" s="19"/>
    </row>
    <row r="1402">
      <c r="A1402" s="9"/>
      <c r="B1402" s="15"/>
      <c r="C1402" s="9">
        <f>IFERROR(__xludf.DUMMYFUNCTION("""COMPUTED_VALUE"""),45129.9508144444)</f>
        <v>45129.95081</v>
      </c>
      <c r="D1402" s="15">
        <f>IFERROR(__xludf.DUMMYFUNCTION("""COMPUTED_VALUE"""),0.999)</f>
        <v>0.999</v>
      </c>
      <c r="E1402" s="16">
        <f>IFERROR(__xludf.DUMMYFUNCTION("""COMPUTED_VALUE"""),71.0)</f>
        <v>71</v>
      </c>
      <c r="F1402" s="19" t="str">
        <f>IFERROR(__xludf.DUMMYFUNCTION("""COMPUTED_VALUE"""),"BLUE")</f>
        <v>BLUE</v>
      </c>
      <c r="G1402" s="20" t="str">
        <f>IFERROR(__xludf.DUMMYFUNCTION("""COMPUTED_VALUE"""),"Uncle Sams Cider (04/04/2023)")</f>
        <v>Uncle Sams Cider (04/04/2023)</v>
      </c>
      <c r="H1402" s="19"/>
    </row>
    <row r="1403">
      <c r="A1403" s="9"/>
      <c r="B1403" s="15"/>
      <c r="C1403" s="9">
        <f>IFERROR(__xludf.DUMMYFUNCTION("""COMPUTED_VALUE"""),45129.9403947916)</f>
        <v>45129.94039</v>
      </c>
      <c r="D1403" s="15">
        <f>IFERROR(__xludf.DUMMYFUNCTION("""COMPUTED_VALUE"""),0.999)</f>
        <v>0.999</v>
      </c>
      <c r="E1403" s="16">
        <f>IFERROR(__xludf.DUMMYFUNCTION("""COMPUTED_VALUE"""),71.0)</f>
        <v>71</v>
      </c>
      <c r="F1403" s="19" t="str">
        <f>IFERROR(__xludf.DUMMYFUNCTION("""COMPUTED_VALUE"""),"BLUE")</f>
        <v>BLUE</v>
      </c>
      <c r="G1403" s="20" t="str">
        <f>IFERROR(__xludf.DUMMYFUNCTION("""COMPUTED_VALUE"""),"Uncle Sams Cider (04/04/2023)")</f>
        <v>Uncle Sams Cider (04/04/2023)</v>
      </c>
      <c r="H1403" s="19"/>
    </row>
    <row r="1404">
      <c r="A1404" s="9"/>
      <c r="B1404" s="15"/>
      <c r="C1404" s="9">
        <f>IFERROR(__xludf.DUMMYFUNCTION("""COMPUTED_VALUE"""),45129.9299612037)</f>
        <v>45129.92996</v>
      </c>
      <c r="D1404" s="15">
        <f>IFERROR(__xludf.DUMMYFUNCTION("""COMPUTED_VALUE"""),0.999)</f>
        <v>0.999</v>
      </c>
      <c r="E1404" s="16">
        <f>IFERROR(__xludf.DUMMYFUNCTION("""COMPUTED_VALUE"""),71.0)</f>
        <v>71</v>
      </c>
      <c r="F1404" s="19" t="str">
        <f>IFERROR(__xludf.DUMMYFUNCTION("""COMPUTED_VALUE"""),"BLUE")</f>
        <v>BLUE</v>
      </c>
      <c r="G1404" s="20" t="str">
        <f>IFERROR(__xludf.DUMMYFUNCTION("""COMPUTED_VALUE"""),"Uncle Sams Cider (04/04/2023)")</f>
        <v>Uncle Sams Cider (04/04/2023)</v>
      </c>
      <c r="H1404" s="19"/>
    </row>
    <row r="1405">
      <c r="A1405" s="9"/>
      <c r="B1405" s="15"/>
      <c r="C1405" s="9">
        <f>IFERROR(__xludf.DUMMYFUNCTION("""COMPUTED_VALUE"""),45129.9195049537)</f>
        <v>45129.9195</v>
      </c>
      <c r="D1405" s="15">
        <f>IFERROR(__xludf.DUMMYFUNCTION("""COMPUTED_VALUE"""),0.999)</f>
        <v>0.999</v>
      </c>
      <c r="E1405" s="16">
        <f>IFERROR(__xludf.DUMMYFUNCTION("""COMPUTED_VALUE"""),71.0)</f>
        <v>71</v>
      </c>
      <c r="F1405" s="19" t="str">
        <f>IFERROR(__xludf.DUMMYFUNCTION("""COMPUTED_VALUE"""),"BLUE")</f>
        <v>BLUE</v>
      </c>
      <c r="G1405" s="20" t="str">
        <f>IFERROR(__xludf.DUMMYFUNCTION("""COMPUTED_VALUE"""),"Uncle Sams Cider (04/04/2023)")</f>
        <v>Uncle Sams Cider (04/04/2023)</v>
      </c>
      <c r="H1405" s="19"/>
    </row>
    <row r="1406">
      <c r="A1406" s="9"/>
      <c r="B1406" s="15"/>
      <c r="C1406" s="9">
        <f>IFERROR(__xludf.DUMMYFUNCTION("""COMPUTED_VALUE"""),45129.9090715277)</f>
        <v>45129.90907</v>
      </c>
      <c r="D1406" s="15">
        <f>IFERROR(__xludf.DUMMYFUNCTION("""COMPUTED_VALUE"""),0.999)</f>
        <v>0.999</v>
      </c>
      <c r="E1406" s="16">
        <f>IFERROR(__xludf.DUMMYFUNCTION("""COMPUTED_VALUE"""),71.0)</f>
        <v>71</v>
      </c>
      <c r="F1406" s="19" t="str">
        <f>IFERROR(__xludf.DUMMYFUNCTION("""COMPUTED_VALUE"""),"BLUE")</f>
        <v>BLUE</v>
      </c>
      <c r="G1406" s="20" t="str">
        <f>IFERROR(__xludf.DUMMYFUNCTION("""COMPUTED_VALUE"""),"Uncle Sams Cider (04/04/2023)")</f>
        <v>Uncle Sams Cider (04/04/2023)</v>
      </c>
      <c r="H1406" s="19"/>
    </row>
    <row r="1407">
      <c r="A1407" s="9"/>
      <c r="B1407" s="15"/>
      <c r="C1407" s="9">
        <f>IFERROR(__xludf.DUMMYFUNCTION("""COMPUTED_VALUE"""),45129.8986500694)</f>
        <v>45129.89865</v>
      </c>
      <c r="D1407" s="15">
        <f>IFERROR(__xludf.DUMMYFUNCTION("""COMPUTED_VALUE"""),0.999)</f>
        <v>0.999</v>
      </c>
      <c r="E1407" s="16">
        <f>IFERROR(__xludf.DUMMYFUNCTION("""COMPUTED_VALUE"""),71.0)</f>
        <v>71</v>
      </c>
      <c r="F1407" s="19" t="str">
        <f>IFERROR(__xludf.DUMMYFUNCTION("""COMPUTED_VALUE"""),"BLUE")</f>
        <v>BLUE</v>
      </c>
      <c r="G1407" s="20" t="str">
        <f>IFERROR(__xludf.DUMMYFUNCTION("""COMPUTED_VALUE"""),"Uncle Sams Cider (04/04/2023)")</f>
        <v>Uncle Sams Cider (04/04/2023)</v>
      </c>
      <c r="H1407" s="19"/>
    </row>
    <row r="1408">
      <c r="A1408" s="9"/>
      <c r="B1408" s="15"/>
      <c r="C1408" s="9">
        <f>IFERROR(__xludf.DUMMYFUNCTION("""COMPUTED_VALUE"""),45129.8882277777)</f>
        <v>45129.88823</v>
      </c>
      <c r="D1408" s="15">
        <f>IFERROR(__xludf.DUMMYFUNCTION("""COMPUTED_VALUE"""),0.999)</f>
        <v>0.999</v>
      </c>
      <c r="E1408" s="16">
        <f>IFERROR(__xludf.DUMMYFUNCTION("""COMPUTED_VALUE"""),71.0)</f>
        <v>71</v>
      </c>
      <c r="F1408" s="19" t="str">
        <f>IFERROR(__xludf.DUMMYFUNCTION("""COMPUTED_VALUE"""),"BLUE")</f>
        <v>BLUE</v>
      </c>
      <c r="G1408" s="20" t="str">
        <f>IFERROR(__xludf.DUMMYFUNCTION("""COMPUTED_VALUE"""),"Uncle Sams Cider (04/04/2023)")</f>
        <v>Uncle Sams Cider (04/04/2023)</v>
      </c>
      <c r="H1408" s="19"/>
    </row>
    <row r="1409">
      <c r="A1409" s="9"/>
      <c r="B1409" s="15"/>
      <c r="C1409" s="9">
        <f>IFERROR(__xludf.DUMMYFUNCTION("""COMPUTED_VALUE"""),45129.8778067708)</f>
        <v>45129.87781</v>
      </c>
      <c r="D1409" s="15">
        <f>IFERROR(__xludf.DUMMYFUNCTION("""COMPUTED_VALUE"""),0.999)</f>
        <v>0.999</v>
      </c>
      <c r="E1409" s="16">
        <f>IFERROR(__xludf.DUMMYFUNCTION("""COMPUTED_VALUE"""),71.0)</f>
        <v>71</v>
      </c>
      <c r="F1409" s="19" t="str">
        <f>IFERROR(__xludf.DUMMYFUNCTION("""COMPUTED_VALUE"""),"BLUE")</f>
        <v>BLUE</v>
      </c>
      <c r="G1409" s="20" t="str">
        <f>IFERROR(__xludf.DUMMYFUNCTION("""COMPUTED_VALUE"""),"Uncle Sams Cider (04/04/2023)")</f>
        <v>Uncle Sams Cider (04/04/2023)</v>
      </c>
      <c r="H1409" s="19"/>
    </row>
    <row r="1410">
      <c r="A1410" s="9"/>
      <c r="B1410" s="15"/>
      <c r="C1410" s="9">
        <f>IFERROR(__xludf.DUMMYFUNCTION("""COMPUTED_VALUE"""),45129.8673624768)</f>
        <v>45129.86736</v>
      </c>
      <c r="D1410" s="15">
        <f>IFERROR(__xludf.DUMMYFUNCTION("""COMPUTED_VALUE"""),0.998)</f>
        <v>0.998</v>
      </c>
      <c r="E1410" s="16">
        <f>IFERROR(__xludf.DUMMYFUNCTION("""COMPUTED_VALUE"""),71.0)</f>
        <v>71</v>
      </c>
      <c r="F1410" s="19" t="str">
        <f>IFERROR(__xludf.DUMMYFUNCTION("""COMPUTED_VALUE"""),"BLUE")</f>
        <v>BLUE</v>
      </c>
      <c r="G1410" s="20" t="str">
        <f>IFERROR(__xludf.DUMMYFUNCTION("""COMPUTED_VALUE"""),"Uncle Sams Cider (04/04/2023)")</f>
        <v>Uncle Sams Cider (04/04/2023)</v>
      </c>
      <c r="H1410" s="19"/>
    </row>
    <row r="1411">
      <c r="A1411" s="9"/>
      <c r="B1411" s="15"/>
      <c r="C1411" s="9">
        <f>IFERROR(__xludf.DUMMYFUNCTION("""COMPUTED_VALUE"""),45129.8569292592)</f>
        <v>45129.85693</v>
      </c>
      <c r="D1411" s="15">
        <f>IFERROR(__xludf.DUMMYFUNCTION("""COMPUTED_VALUE"""),0.999)</f>
        <v>0.999</v>
      </c>
      <c r="E1411" s="16">
        <f>IFERROR(__xludf.DUMMYFUNCTION("""COMPUTED_VALUE"""),71.0)</f>
        <v>71</v>
      </c>
      <c r="F1411" s="19" t="str">
        <f>IFERROR(__xludf.DUMMYFUNCTION("""COMPUTED_VALUE"""),"BLUE")</f>
        <v>BLUE</v>
      </c>
      <c r="G1411" s="20" t="str">
        <f>IFERROR(__xludf.DUMMYFUNCTION("""COMPUTED_VALUE"""),"Uncle Sams Cider (04/04/2023)")</f>
        <v>Uncle Sams Cider (04/04/2023)</v>
      </c>
      <c r="H1411" s="19"/>
    </row>
    <row r="1412">
      <c r="A1412" s="9"/>
      <c r="B1412" s="15"/>
      <c r="C1412" s="9">
        <f>IFERROR(__xludf.DUMMYFUNCTION("""COMPUTED_VALUE"""),45129.8464959606)</f>
        <v>45129.8465</v>
      </c>
      <c r="D1412" s="15">
        <f>IFERROR(__xludf.DUMMYFUNCTION("""COMPUTED_VALUE"""),0.999)</f>
        <v>0.999</v>
      </c>
      <c r="E1412" s="16">
        <f>IFERROR(__xludf.DUMMYFUNCTION("""COMPUTED_VALUE"""),71.0)</f>
        <v>71</v>
      </c>
      <c r="F1412" s="19" t="str">
        <f>IFERROR(__xludf.DUMMYFUNCTION("""COMPUTED_VALUE"""),"BLUE")</f>
        <v>BLUE</v>
      </c>
      <c r="G1412" s="20" t="str">
        <f>IFERROR(__xludf.DUMMYFUNCTION("""COMPUTED_VALUE"""),"Uncle Sams Cider (04/04/2023)")</f>
        <v>Uncle Sams Cider (04/04/2023)</v>
      </c>
      <c r="H1412" s="19"/>
    </row>
    <row r="1413">
      <c r="A1413" s="9"/>
      <c r="B1413" s="15"/>
      <c r="C1413" s="9">
        <f>IFERROR(__xludf.DUMMYFUNCTION("""COMPUTED_VALUE"""),45129.8360733912)</f>
        <v>45129.83607</v>
      </c>
      <c r="D1413" s="15">
        <f>IFERROR(__xludf.DUMMYFUNCTION("""COMPUTED_VALUE"""),0.999)</f>
        <v>0.999</v>
      </c>
      <c r="E1413" s="16">
        <f>IFERROR(__xludf.DUMMYFUNCTION("""COMPUTED_VALUE"""),71.0)</f>
        <v>71</v>
      </c>
      <c r="F1413" s="19" t="str">
        <f>IFERROR(__xludf.DUMMYFUNCTION("""COMPUTED_VALUE"""),"BLUE")</f>
        <v>BLUE</v>
      </c>
      <c r="G1413" s="20" t="str">
        <f>IFERROR(__xludf.DUMMYFUNCTION("""COMPUTED_VALUE"""),"Uncle Sams Cider (04/04/2023)")</f>
        <v>Uncle Sams Cider (04/04/2023)</v>
      </c>
      <c r="H1413" s="19"/>
    </row>
    <row r="1414">
      <c r="A1414" s="9"/>
      <c r="B1414" s="15"/>
      <c r="C1414" s="9">
        <f>IFERROR(__xludf.DUMMYFUNCTION("""COMPUTED_VALUE"""),45129.8256398726)</f>
        <v>45129.82564</v>
      </c>
      <c r="D1414" s="15">
        <f>IFERROR(__xludf.DUMMYFUNCTION("""COMPUTED_VALUE"""),0.999)</f>
        <v>0.999</v>
      </c>
      <c r="E1414" s="16">
        <f>IFERROR(__xludf.DUMMYFUNCTION("""COMPUTED_VALUE"""),71.0)</f>
        <v>71</v>
      </c>
      <c r="F1414" s="19" t="str">
        <f>IFERROR(__xludf.DUMMYFUNCTION("""COMPUTED_VALUE"""),"BLUE")</f>
        <v>BLUE</v>
      </c>
      <c r="G1414" s="20" t="str">
        <f>IFERROR(__xludf.DUMMYFUNCTION("""COMPUTED_VALUE"""),"Uncle Sams Cider (04/04/2023)")</f>
        <v>Uncle Sams Cider (04/04/2023)</v>
      </c>
      <c r="H1414" s="19"/>
    </row>
    <row r="1415">
      <c r="A1415" s="9"/>
      <c r="B1415" s="15"/>
      <c r="C1415" s="9">
        <f>IFERROR(__xludf.DUMMYFUNCTION("""COMPUTED_VALUE"""),45129.8152176157)</f>
        <v>45129.81522</v>
      </c>
      <c r="D1415" s="15">
        <f>IFERROR(__xludf.DUMMYFUNCTION("""COMPUTED_VALUE"""),0.999)</f>
        <v>0.999</v>
      </c>
      <c r="E1415" s="16">
        <f>IFERROR(__xludf.DUMMYFUNCTION("""COMPUTED_VALUE"""),71.0)</f>
        <v>71</v>
      </c>
      <c r="F1415" s="19" t="str">
        <f>IFERROR(__xludf.DUMMYFUNCTION("""COMPUTED_VALUE"""),"BLUE")</f>
        <v>BLUE</v>
      </c>
      <c r="G1415" s="20" t="str">
        <f>IFERROR(__xludf.DUMMYFUNCTION("""COMPUTED_VALUE"""),"Uncle Sams Cider (04/04/2023)")</f>
        <v>Uncle Sams Cider (04/04/2023)</v>
      </c>
      <c r="H1415" s="19"/>
    </row>
    <row r="1416">
      <c r="A1416" s="9"/>
      <c r="B1416" s="15"/>
      <c r="C1416" s="9">
        <f>IFERROR(__xludf.DUMMYFUNCTION("""COMPUTED_VALUE"""),45129.8047965277)</f>
        <v>45129.8048</v>
      </c>
      <c r="D1416" s="15">
        <f>IFERROR(__xludf.DUMMYFUNCTION("""COMPUTED_VALUE"""),0.998)</f>
        <v>0.998</v>
      </c>
      <c r="E1416" s="16">
        <f>IFERROR(__xludf.DUMMYFUNCTION("""COMPUTED_VALUE"""),71.0)</f>
        <v>71</v>
      </c>
      <c r="F1416" s="19" t="str">
        <f>IFERROR(__xludf.DUMMYFUNCTION("""COMPUTED_VALUE"""),"BLUE")</f>
        <v>BLUE</v>
      </c>
      <c r="G1416" s="20" t="str">
        <f>IFERROR(__xludf.DUMMYFUNCTION("""COMPUTED_VALUE"""),"Uncle Sams Cider (04/04/2023)")</f>
        <v>Uncle Sams Cider (04/04/2023)</v>
      </c>
      <c r="H1416" s="19"/>
    </row>
    <row r="1417">
      <c r="A1417" s="9"/>
      <c r="B1417" s="15"/>
      <c r="C1417" s="9">
        <f>IFERROR(__xludf.DUMMYFUNCTION("""COMPUTED_VALUE"""),45129.7943756018)</f>
        <v>45129.79438</v>
      </c>
      <c r="D1417" s="15">
        <f>IFERROR(__xludf.DUMMYFUNCTION("""COMPUTED_VALUE"""),0.999)</f>
        <v>0.999</v>
      </c>
      <c r="E1417" s="16">
        <f>IFERROR(__xludf.DUMMYFUNCTION("""COMPUTED_VALUE"""),71.0)</f>
        <v>71</v>
      </c>
      <c r="F1417" s="19" t="str">
        <f>IFERROR(__xludf.DUMMYFUNCTION("""COMPUTED_VALUE"""),"BLUE")</f>
        <v>BLUE</v>
      </c>
      <c r="G1417" s="20" t="str">
        <f>IFERROR(__xludf.DUMMYFUNCTION("""COMPUTED_VALUE"""),"Uncle Sams Cider (04/04/2023)")</f>
        <v>Uncle Sams Cider (04/04/2023)</v>
      </c>
      <c r="H1417" s="19"/>
    </row>
    <row r="1418">
      <c r="A1418" s="9"/>
      <c r="B1418" s="15"/>
      <c r="C1418" s="9">
        <f>IFERROR(__xludf.DUMMYFUNCTION("""COMPUTED_VALUE"""),45129.7839560301)</f>
        <v>45129.78396</v>
      </c>
      <c r="D1418" s="15">
        <f>IFERROR(__xludf.DUMMYFUNCTION("""COMPUTED_VALUE"""),0.999)</f>
        <v>0.999</v>
      </c>
      <c r="E1418" s="16">
        <f>IFERROR(__xludf.DUMMYFUNCTION("""COMPUTED_VALUE"""),71.0)</f>
        <v>71</v>
      </c>
      <c r="F1418" s="19" t="str">
        <f>IFERROR(__xludf.DUMMYFUNCTION("""COMPUTED_VALUE"""),"BLUE")</f>
        <v>BLUE</v>
      </c>
      <c r="G1418" s="20" t="str">
        <f>IFERROR(__xludf.DUMMYFUNCTION("""COMPUTED_VALUE"""),"Uncle Sams Cider (04/04/2023)")</f>
        <v>Uncle Sams Cider (04/04/2023)</v>
      </c>
      <c r="H1418" s="19"/>
    </row>
    <row r="1419">
      <c r="A1419" s="9"/>
      <c r="B1419" s="15"/>
      <c r="C1419" s="9">
        <f>IFERROR(__xludf.DUMMYFUNCTION("""COMPUTED_VALUE"""),45129.7735365625)</f>
        <v>45129.77354</v>
      </c>
      <c r="D1419" s="15">
        <f>IFERROR(__xludf.DUMMYFUNCTION("""COMPUTED_VALUE"""),0.998)</f>
        <v>0.998</v>
      </c>
      <c r="E1419" s="16">
        <f>IFERROR(__xludf.DUMMYFUNCTION("""COMPUTED_VALUE"""),71.0)</f>
        <v>71</v>
      </c>
      <c r="F1419" s="19" t="str">
        <f>IFERROR(__xludf.DUMMYFUNCTION("""COMPUTED_VALUE"""),"BLUE")</f>
        <v>BLUE</v>
      </c>
      <c r="G1419" s="20" t="str">
        <f>IFERROR(__xludf.DUMMYFUNCTION("""COMPUTED_VALUE"""),"Uncle Sams Cider (04/04/2023)")</f>
        <v>Uncle Sams Cider (04/04/2023)</v>
      </c>
      <c r="H1419" s="19"/>
    </row>
    <row r="1420">
      <c r="A1420" s="9"/>
      <c r="B1420" s="15"/>
      <c r="C1420" s="9">
        <f>IFERROR(__xludf.DUMMYFUNCTION("""COMPUTED_VALUE"""),45129.7631044907)</f>
        <v>45129.7631</v>
      </c>
      <c r="D1420" s="15">
        <f>IFERROR(__xludf.DUMMYFUNCTION("""COMPUTED_VALUE"""),0.999)</f>
        <v>0.999</v>
      </c>
      <c r="E1420" s="16">
        <f>IFERROR(__xludf.DUMMYFUNCTION("""COMPUTED_VALUE"""),71.0)</f>
        <v>71</v>
      </c>
      <c r="F1420" s="19" t="str">
        <f>IFERROR(__xludf.DUMMYFUNCTION("""COMPUTED_VALUE"""),"BLUE")</f>
        <v>BLUE</v>
      </c>
      <c r="G1420" s="20" t="str">
        <f>IFERROR(__xludf.DUMMYFUNCTION("""COMPUTED_VALUE"""),"Uncle Sams Cider (04/04/2023)")</f>
        <v>Uncle Sams Cider (04/04/2023)</v>
      </c>
      <c r="H1420" s="19"/>
    </row>
    <row r="1421">
      <c r="A1421" s="9"/>
      <c r="B1421" s="15"/>
      <c r="C1421" s="9">
        <f>IFERROR(__xludf.DUMMYFUNCTION("""COMPUTED_VALUE"""),45129.7526830324)</f>
        <v>45129.75268</v>
      </c>
      <c r="D1421" s="15">
        <f>IFERROR(__xludf.DUMMYFUNCTION("""COMPUTED_VALUE"""),0.999)</f>
        <v>0.999</v>
      </c>
      <c r="E1421" s="16">
        <f>IFERROR(__xludf.DUMMYFUNCTION("""COMPUTED_VALUE"""),71.0)</f>
        <v>71</v>
      </c>
      <c r="F1421" s="19" t="str">
        <f>IFERROR(__xludf.DUMMYFUNCTION("""COMPUTED_VALUE"""),"BLUE")</f>
        <v>BLUE</v>
      </c>
      <c r="G1421" s="20" t="str">
        <f>IFERROR(__xludf.DUMMYFUNCTION("""COMPUTED_VALUE"""),"Uncle Sams Cider (04/04/2023)")</f>
        <v>Uncle Sams Cider (04/04/2023)</v>
      </c>
      <c r="H1421" s="19"/>
    </row>
    <row r="1422">
      <c r="A1422" s="9"/>
      <c r="B1422" s="15"/>
      <c r="C1422" s="9">
        <f>IFERROR(__xludf.DUMMYFUNCTION("""COMPUTED_VALUE"""),45129.7422616203)</f>
        <v>45129.74226</v>
      </c>
      <c r="D1422" s="15">
        <f>IFERROR(__xludf.DUMMYFUNCTION("""COMPUTED_VALUE"""),0.998)</f>
        <v>0.998</v>
      </c>
      <c r="E1422" s="16">
        <f>IFERROR(__xludf.DUMMYFUNCTION("""COMPUTED_VALUE"""),71.0)</f>
        <v>71</v>
      </c>
      <c r="F1422" s="19" t="str">
        <f>IFERROR(__xludf.DUMMYFUNCTION("""COMPUTED_VALUE"""),"BLUE")</f>
        <v>BLUE</v>
      </c>
      <c r="G1422" s="20" t="str">
        <f>IFERROR(__xludf.DUMMYFUNCTION("""COMPUTED_VALUE"""),"Uncle Sams Cider (04/04/2023)")</f>
        <v>Uncle Sams Cider (04/04/2023)</v>
      </c>
      <c r="H1422" s="19"/>
    </row>
    <row r="1423">
      <c r="A1423" s="9"/>
      <c r="B1423" s="15"/>
      <c r="C1423" s="9">
        <f>IFERROR(__xludf.DUMMYFUNCTION("""COMPUTED_VALUE"""),45129.7318412847)</f>
        <v>45129.73184</v>
      </c>
      <c r="D1423" s="15">
        <f>IFERROR(__xludf.DUMMYFUNCTION("""COMPUTED_VALUE"""),0.999)</f>
        <v>0.999</v>
      </c>
      <c r="E1423" s="16">
        <f>IFERROR(__xludf.DUMMYFUNCTION("""COMPUTED_VALUE"""),71.0)</f>
        <v>71</v>
      </c>
      <c r="F1423" s="19" t="str">
        <f>IFERROR(__xludf.DUMMYFUNCTION("""COMPUTED_VALUE"""),"BLUE")</f>
        <v>BLUE</v>
      </c>
      <c r="G1423" s="20" t="str">
        <f>IFERROR(__xludf.DUMMYFUNCTION("""COMPUTED_VALUE"""),"Uncle Sams Cider (04/04/2023)")</f>
        <v>Uncle Sams Cider (04/04/2023)</v>
      </c>
      <c r="H1423" s="19"/>
    </row>
    <row r="1424">
      <c r="A1424" s="9"/>
      <c r="B1424" s="15"/>
      <c r="C1424" s="9">
        <f>IFERROR(__xludf.DUMMYFUNCTION("""COMPUTED_VALUE"""),45129.7214212615)</f>
        <v>45129.72142</v>
      </c>
      <c r="D1424" s="15">
        <f>IFERROR(__xludf.DUMMYFUNCTION("""COMPUTED_VALUE"""),0.999)</f>
        <v>0.999</v>
      </c>
      <c r="E1424" s="16">
        <f>IFERROR(__xludf.DUMMYFUNCTION("""COMPUTED_VALUE"""),71.0)</f>
        <v>71</v>
      </c>
      <c r="F1424" s="19" t="str">
        <f>IFERROR(__xludf.DUMMYFUNCTION("""COMPUTED_VALUE"""),"BLUE")</f>
        <v>BLUE</v>
      </c>
      <c r="G1424" s="20" t="str">
        <f>IFERROR(__xludf.DUMMYFUNCTION("""COMPUTED_VALUE"""),"Uncle Sams Cider (04/04/2023)")</f>
        <v>Uncle Sams Cider (04/04/2023)</v>
      </c>
      <c r="H1424" s="19"/>
    </row>
    <row r="1425">
      <c r="A1425" s="9"/>
      <c r="B1425" s="15"/>
      <c r="C1425" s="9">
        <f>IFERROR(__xludf.DUMMYFUNCTION("""COMPUTED_VALUE"""),45129.7110004282)</f>
        <v>45129.711</v>
      </c>
      <c r="D1425" s="15">
        <f>IFERROR(__xludf.DUMMYFUNCTION("""COMPUTED_VALUE"""),0.999)</f>
        <v>0.999</v>
      </c>
      <c r="E1425" s="16">
        <f>IFERROR(__xludf.DUMMYFUNCTION("""COMPUTED_VALUE"""),71.0)</f>
        <v>71</v>
      </c>
      <c r="F1425" s="19" t="str">
        <f>IFERROR(__xludf.DUMMYFUNCTION("""COMPUTED_VALUE"""),"BLUE")</f>
        <v>BLUE</v>
      </c>
      <c r="G1425" s="20" t="str">
        <f>IFERROR(__xludf.DUMMYFUNCTION("""COMPUTED_VALUE"""),"Uncle Sams Cider (04/04/2023)")</f>
        <v>Uncle Sams Cider (04/04/2023)</v>
      </c>
      <c r="H1425" s="19"/>
    </row>
    <row r="1426">
      <c r="A1426" s="9"/>
      <c r="B1426" s="15"/>
      <c r="C1426" s="9">
        <f>IFERROR(__xludf.DUMMYFUNCTION("""COMPUTED_VALUE"""),45129.7005804514)</f>
        <v>45129.70058</v>
      </c>
      <c r="D1426" s="15">
        <f>IFERROR(__xludf.DUMMYFUNCTION("""COMPUTED_VALUE"""),0.999)</f>
        <v>0.999</v>
      </c>
      <c r="E1426" s="16">
        <f>IFERROR(__xludf.DUMMYFUNCTION("""COMPUTED_VALUE"""),71.0)</f>
        <v>71</v>
      </c>
      <c r="F1426" s="19" t="str">
        <f>IFERROR(__xludf.DUMMYFUNCTION("""COMPUTED_VALUE"""),"BLUE")</f>
        <v>BLUE</v>
      </c>
      <c r="G1426" s="20" t="str">
        <f>IFERROR(__xludf.DUMMYFUNCTION("""COMPUTED_VALUE"""),"Uncle Sams Cider (04/04/2023)")</f>
        <v>Uncle Sams Cider (04/04/2023)</v>
      </c>
      <c r="H1426" s="19"/>
    </row>
    <row r="1427">
      <c r="A1427" s="9"/>
      <c r="B1427" s="15"/>
      <c r="C1427" s="9">
        <f>IFERROR(__xludf.DUMMYFUNCTION("""COMPUTED_VALUE"""),45129.6901469213)</f>
        <v>45129.69015</v>
      </c>
      <c r="D1427" s="15">
        <f>IFERROR(__xludf.DUMMYFUNCTION("""COMPUTED_VALUE"""),0.999)</f>
        <v>0.999</v>
      </c>
      <c r="E1427" s="16">
        <f>IFERROR(__xludf.DUMMYFUNCTION("""COMPUTED_VALUE"""),71.0)</f>
        <v>71</v>
      </c>
      <c r="F1427" s="19" t="str">
        <f>IFERROR(__xludf.DUMMYFUNCTION("""COMPUTED_VALUE"""),"BLUE")</f>
        <v>BLUE</v>
      </c>
      <c r="G1427" s="20" t="str">
        <f>IFERROR(__xludf.DUMMYFUNCTION("""COMPUTED_VALUE"""),"Uncle Sams Cider (04/04/2023)")</f>
        <v>Uncle Sams Cider (04/04/2023)</v>
      </c>
      <c r="H1427" s="19"/>
    </row>
    <row r="1428">
      <c r="A1428" s="9"/>
      <c r="B1428" s="15"/>
      <c r="C1428" s="9">
        <f>IFERROR(__xludf.DUMMYFUNCTION("""COMPUTED_VALUE"""),45129.6797260185)</f>
        <v>45129.67973</v>
      </c>
      <c r="D1428" s="15">
        <f>IFERROR(__xludf.DUMMYFUNCTION("""COMPUTED_VALUE"""),0.999)</f>
        <v>0.999</v>
      </c>
      <c r="E1428" s="16">
        <f>IFERROR(__xludf.DUMMYFUNCTION("""COMPUTED_VALUE"""),71.0)</f>
        <v>71</v>
      </c>
      <c r="F1428" s="19" t="str">
        <f>IFERROR(__xludf.DUMMYFUNCTION("""COMPUTED_VALUE"""),"BLUE")</f>
        <v>BLUE</v>
      </c>
      <c r="G1428" s="20" t="str">
        <f>IFERROR(__xludf.DUMMYFUNCTION("""COMPUTED_VALUE"""),"Uncle Sams Cider (04/04/2023)")</f>
        <v>Uncle Sams Cider (04/04/2023)</v>
      </c>
      <c r="H1428" s="19"/>
    </row>
    <row r="1429">
      <c r="A1429" s="9"/>
      <c r="B1429" s="15"/>
      <c r="C1429" s="9">
        <f>IFERROR(__xludf.DUMMYFUNCTION("""COMPUTED_VALUE"""),45129.669291875)</f>
        <v>45129.66929</v>
      </c>
      <c r="D1429" s="15">
        <f>IFERROR(__xludf.DUMMYFUNCTION("""COMPUTED_VALUE"""),0.999)</f>
        <v>0.999</v>
      </c>
      <c r="E1429" s="16">
        <f>IFERROR(__xludf.DUMMYFUNCTION("""COMPUTED_VALUE"""),71.0)</f>
        <v>71</v>
      </c>
      <c r="F1429" s="19" t="str">
        <f>IFERROR(__xludf.DUMMYFUNCTION("""COMPUTED_VALUE"""),"BLUE")</f>
        <v>BLUE</v>
      </c>
      <c r="G1429" s="20" t="str">
        <f>IFERROR(__xludf.DUMMYFUNCTION("""COMPUTED_VALUE"""),"Uncle Sams Cider (04/04/2023)")</f>
        <v>Uncle Sams Cider (04/04/2023)</v>
      </c>
      <c r="H1429" s="19"/>
    </row>
    <row r="1430">
      <c r="A1430" s="9"/>
      <c r="B1430" s="15"/>
      <c r="C1430" s="9">
        <f>IFERROR(__xludf.DUMMYFUNCTION("""COMPUTED_VALUE"""),45129.6588701504)</f>
        <v>45129.65887</v>
      </c>
      <c r="D1430" s="15">
        <f>IFERROR(__xludf.DUMMYFUNCTION("""COMPUTED_VALUE"""),0.999)</f>
        <v>0.999</v>
      </c>
      <c r="E1430" s="16">
        <f>IFERROR(__xludf.DUMMYFUNCTION("""COMPUTED_VALUE"""),71.0)</f>
        <v>71</v>
      </c>
      <c r="F1430" s="19" t="str">
        <f>IFERROR(__xludf.DUMMYFUNCTION("""COMPUTED_VALUE"""),"BLUE")</f>
        <v>BLUE</v>
      </c>
      <c r="G1430" s="20" t="str">
        <f>IFERROR(__xludf.DUMMYFUNCTION("""COMPUTED_VALUE"""),"Uncle Sams Cider (04/04/2023)")</f>
        <v>Uncle Sams Cider (04/04/2023)</v>
      </c>
      <c r="H1430" s="19"/>
    </row>
    <row r="1431">
      <c r="A1431" s="9"/>
      <c r="B1431" s="15"/>
      <c r="C1431" s="9">
        <f>IFERROR(__xludf.DUMMYFUNCTION("""COMPUTED_VALUE"""),45129.6451930787)</f>
        <v>45129.64519</v>
      </c>
      <c r="D1431" s="15">
        <f>IFERROR(__xludf.DUMMYFUNCTION("""COMPUTED_VALUE"""),0.999)</f>
        <v>0.999</v>
      </c>
      <c r="E1431" s="16">
        <f>IFERROR(__xludf.DUMMYFUNCTION("""COMPUTED_VALUE"""),71.0)</f>
        <v>71</v>
      </c>
      <c r="F1431" s="19" t="str">
        <f>IFERROR(__xludf.DUMMYFUNCTION("""COMPUTED_VALUE"""),"BLUE")</f>
        <v>BLUE</v>
      </c>
      <c r="G1431" s="20" t="str">
        <f>IFERROR(__xludf.DUMMYFUNCTION("""COMPUTED_VALUE"""),"Uncle Sams Cider (04/04/2023)")</f>
        <v>Uncle Sams Cider (04/04/2023)</v>
      </c>
      <c r="H1431" s="19"/>
    </row>
    <row r="1432">
      <c r="A1432" s="9"/>
      <c r="B1432" s="15"/>
      <c r="C1432" s="9">
        <f>IFERROR(__xludf.DUMMYFUNCTION("""COMPUTED_VALUE"""),45129.634771875)</f>
        <v>45129.63477</v>
      </c>
      <c r="D1432" s="15">
        <f>IFERROR(__xludf.DUMMYFUNCTION("""COMPUTED_VALUE"""),0.998)</f>
        <v>0.998</v>
      </c>
      <c r="E1432" s="16">
        <f>IFERROR(__xludf.DUMMYFUNCTION("""COMPUTED_VALUE"""),71.0)</f>
        <v>71</v>
      </c>
      <c r="F1432" s="19" t="str">
        <f>IFERROR(__xludf.DUMMYFUNCTION("""COMPUTED_VALUE"""),"BLUE")</f>
        <v>BLUE</v>
      </c>
      <c r="G1432" s="20" t="str">
        <f>IFERROR(__xludf.DUMMYFUNCTION("""COMPUTED_VALUE"""),"Uncle Sams Cider (04/04/2023)")</f>
        <v>Uncle Sams Cider (04/04/2023)</v>
      </c>
      <c r="H1432" s="19"/>
    </row>
    <row r="1433">
      <c r="A1433" s="9"/>
      <c r="B1433" s="15"/>
      <c r="C1433" s="9">
        <f>IFERROR(__xludf.DUMMYFUNCTION("""COMPUTED_VALUE"""),45129.62435228)</f>
        <v>45129.62435</v>
      </c>
      <c r="D1433" s="15">
        <f>IFERROR(__xludf.DUMMYFUNCTION("""COMPUTED_VALUE"""),0.999)</f>
        <v>0.999</v>
      </c>
      <c r="E1433" s="16">
        <f>IFERROR(__xludf.DUMMYFUNCTION("""COMPUTED_VALUE"""),71.0)</f>
        <v>71</v>
      </c>
      <c r="F1433" s="19" t="str">
        <f>IFERROR(__xludf.DUMMYFUNCTION("""COMPUTED_VALUE"""),"BLUE")</f>
        <v>BLUE</v>
      </c>
      <c r="G1433" s="20" t="str">
        <f>IFERROR(__xludf.DUMMYFUNCTION("""COMPUTED_VALUE"""),"Uncle Sams Cider (04/04/2023)")</f>
        <v>Uncle Sams Cider (04/04/2023)</v>
      </c>
      <c r="H1433" s="19"/>
    </row>
    <row r="1434">
      <c r="A1434" s="9"/>
      <c r="B1434" s="15"/>
      <c r="C1434" s="9">
        <f>IFERROR(__xludf.DUMMYFUNCTION("""COMPUTED_VALUE"""),45129.6139307407)</f>
        <v>45129.61393</v>
      </c>
      <c r="D1434" s="15">
        <f>IFERROR(__xludf.DUMMYFUNCTION("""COMPUTED_VALUE"""),0.999)</f>
        <v>0.999</v>
      </c>
      <c r="E1434" s="16">
        <f>IFERROR(__xludf.DUMMYFUNCTION("""COMPUTED_VALUE"""),71.0)</f>
        <v>71</v>
      </c>
      <c r="F1434" s="19" t="str">
        <f>IFERROR(__xludf.DUMMYFUNCTION("""COMPUTED_VALUE"""),"BLUE")</f>
        <v>BLUE</v>
      </c>
      <c r="G1434" s="20" t="str">
        <f>IFERROR(__xludf.DUMMYFUNCTION("""COMPUTED_VALUE"""),"Uncle Sams Cider (04/04/2023)")</f>
        <v>Uncle Sams Cider (04/04/2023)</v>
      </c>
      <c r="H1434" s="19"/>
    </row>
    <row r="1435">
      <c r="A1435" s="9"/>
      <c r="B1435" s="15"/>
      <c r="C1435" s="9">
        <f>IFERROR(__xludf.DUMMYFUNCTION("""COMPUTED_VALUE"""),45129.603510324)</f>
        <v>45129.60351</v>
      </c>
      <c r="D1435" s="15">
        <f>IFERROR(__xludf.DUMMYFUNCTION("""COMPUTED_VALUE"""),0.999)</f>
        <v>0.999</v>
      </c>
      <c r="E1435" s="16">
        <f>IFERROR(__xludf.DUMMYFUNCTION("""COMPUTED_VALUE"""),71.0)</f>
        <v>71</v>
      </c>
      <c r="F1435" s="19" t="str">
        <f>IFERROR(__xludf.DUMMYFUNCTION("""COMPUTED_VALUE"""),"BLUE")</f>
        <v>BLUE</v>
      </c>
      <c r="G1435" s="20" t="str">
        <f>IFERROR(__xludf.DUMMYFUNCTION("""COMPUTED_VALUE"""),"Uncle Sams Cider (04/04/2023)")</f>
        <v>Uncle Sams Cider (04/04/2023)</v>
      </c>
      <c r="H1435" s="19"/>
    </row>
    <row r="1436">
      <c r="A1436" s="9"/>
      <c r="B1436" s="15"/>
      <c r="C1436" s="9">
        <f>IFERROR(__xludf.DUMMYFUNCTION("""COMPUTED_VALUE"""),45129.5930897222)</f>
        <v>45129.59309</v>
      </c>
      <c r="D1436" s="15">
        <f>IFERROR(__xludf.DUMMYFUNCTION("""COMPUTED_VALUE"""),0.999)</f>
        <v>0.999</v>
      </c>
      <c r="E1436" s="16">
        <f>IFERROR(__xludf.DUMMYFUNCTION("""COMPUTED_VALUE"""),71.0)</f>
        <v>71</v>
      </c>
      <c r="F1436" s="19" t="str">
        <f>IFERROR(__xludf.DUMMYFUNCTION("""COMPUTED_VALUE"""),"BLUE")</f>
        <v>BLUE</v>
      </c>
      <c r="G1436" s="20" t="str">
        <f>IFERROR(__xludf.DUMMYFUNCTION("""COMPUTED_VALUE"""),"Uncle Sams Cider (04/04/2023)")</f>
        <v>Uncle Sams Cider (04/04/2023)</v>
      </c>
      <c r="H1436" s="19"/>
    </row>
    <row r="1437">
      <c r="A1437" s="9"/>
      <c r="B1437" s="15"/>
      <c r="C1437" s="9">
        <f>IFERROR(__xludf.DUMMYFUNCTION("""COMPUTED_VALUE"""),45129.5826687615)</f>
        <v>45129.58267</v>
      </c>
      <c r="D1437" s="15">
        <f>IFERROR(__xludf.DUMMYFUNCTION("""COMPUTED_VALUE"""),0.999)</f>
        <v>0.999</v>
      </c>
      <c r="E1437" s="16">
        <f>IFERROR(__xludf.DUMMYFUNCTION("""COMPUTED_VALUE"""),71.0)</f>
        <v>71</v>
      </c>
      <c r="F1437" s="19" t="str">
        <f>IFERROR(__xludf.DUMMYFUNCTION("""COMPUTED_VALUE"""),"BLUE")</f>
        <v>BLUE</v>
      </c>
      <c r="G1437" s="20" t="str">
        <f>IFERROR(__xludf.DUMMYFUNCTION("""COMPUTED_VALUE"""),"Uncle Sams Cider (04/04/2023)")</f>
        <v>Uncle Sams Cider (04/04/2023)</v>
      </c>
      <c r="H1437" s="19"/>
    </row>
    <row r="1438">
      <c r="A1438" s="9"/>
      <c r="B1438" s="15"/>
      <c r="C1438" s="9">
        <f>IFERROR(__xludf.DUMMYFUNCTION("""COMPUTED_VALUE"""),45129.5722483217)</f>
        <v>45129.57225</v>
      </c>
      <c r="D1438" s="15">
        <f>IFERROR(__xludf.DUMMYFUNCTION("""COMPUTED_VALUE"""),0.999)</f>
        <v>0.999</v>
      </c>
      <c r="E1438" s="16">
        <f>IFERROR(__xludf.DUMMYFUNCTION("""COMPUTED_VALUE"""),71.0)</f>
        <v>71</v>
      </c>
      <c r="F1438" s="19" t="str">
        <f>IFERROR(__xludf.DUMMYFUNCTION("""COMPUTED_VALUE"""),"BLUE")</f>
        <v>BLUE</v>
      </c>
      <c r="G1438" s="20" t="str">
        <f>IFERROR(__xludf.DUMMYFUNCTION("""COMPUTED_VALUE"""),"Uncle Sams Cider (04/04/2023)")</f>
        <v>Uncle Sams Cider (04/04/2023)</v>
      </c>
      <c r="H1438" s="19"/>
    </row>
    <row r="1439">
      <c r="A1439" s="9"/>
      <c r="B1439" s="15"/>
      <c r="C1439" s="9">
        <f>IFERROR(__xludf.DUMMYFUNCTION("""COMPUTED_VALUE"""),45129.5618277546)</f>
        <v>45129.56183</v>
      </c>
      <c r="D1439" s="15">
        <f>IFERROR(__xludf.DUMMYFUNCTION("""COMPUTED_VALUE"""),0.999)</f>
        <v>0.999</v>
      </c>
      <c r="E1439" s="16">
        <f>IFERROR(__xludf.DUMMYFUNCTION("""COMPUTED_VALUE"""),71.0)</f>
        <v>71</v>
      </c>
      <c r="F1439" s="19" t="str">
        <f>IFERROR(__xludf.DUMMYFUNCTION("""COMPUTED_VALUE"""),"BLUE")</f>
        <v>BLUE</v>
      </c>
      <c r="G1439" s="20" t="str">
        <f>IFERROR(__xludf.DUMMYFUNCTION("""COMPUTED_VALUE"""),"Uncle Sams Cider (04/04/2023)")</f>
        <v>Uncle Sams Cider (04/04/2023)</v>
      </c>
      <c r="H1439" s="19"/>
    </row>
    <row r="1440">
      <c r="A1440" s="9"/>
      <c r="B1440" s="15"/>
      <c r="C1440" s="9">
        <f>IFERROR(__xludf.DUMMYFUNCTION("""COMPUTED_VALUE"""),45129.551406493)</f>
        <v>45129.55141</v>
      </c>
      <c r="D1440" s="15">
        <f>IFERROR(__xludf.DUMMYFUNCTION("""COMPUTED_VALUE"""),0.998)</f>
        <v>0.998</v>
      </c>
      <c r="E1440" s="16">
        <f>IFERROR(__xludf.DUMMYFUNCTION("""COMPUTED_VALUE"""),71.0)</f>
        <v>71</v>
      </c>
      <c r="F1440" s="19" t="str">
        <f>IFERROR(__xludf.DUMMYFUNCTION("""COMPUTED_VALUE"""),"BLUE")</f>
        <v>BLUE</v>
      </c>
      <c r="G1440" s="20" t="str">
        <f>IFERROR(__xludf.DUMMYFUNCTION("""COMPUTED_VALUE"""),"Uncle Sams Cider (04/04/2023)")</f>
        <v>Uncle Sams Cider (04/04/2023)</v>
      </c>
      <c r="H1440" s="19"/>
    </row>
    <row r="1441">
      <c r="A1441" s="9"/>
      <c r="B1441" s="15"/>
      <c r="C1441" s="9">
        <f>IFERROR(__xludf.DUMMYFUNCTION("""COMPUTED_VALUE"""),45129.4793768402)</f>
        <v>45129.47938</v>
      </c>
      <c r="D1441" s="15">
        <f>IFERROR(__xludf.DUMMYFUNCTION("""COMPUTED_VALUE"""),0.999)</f>
        <v>0.999</v>
      </c>
      <c r="E1441" s="16">
        <f>IFERROR(__xludf.DUMMYFUNCTION("""COMPUTED_VALUE"""),71.0)</f>
        <v>71</v>
      </c>
      <c r="F1441" s="19" t="str">
        <f>IFERROR(__xludf.DUMMYFUNCTION("""COMPUTED_VALUE"""),"BLUE")</f>
        <v>BLUE</v>
      </c>
      <c r="G1441" s="20" t="str">
        <f>IFERROR(__xludf.DUMMYFUNCTION("""COMPUTED_VALUE"""),"Uncle Sams Cider (04/04/2023)")</f>
        <v>Uncle Sams Cider (04/04/2023)</v>
      </c>
      <c r="H1441" s="19"/>
    </row>
    <row r="1442">
      <c r="A1442" s="9"/>
      <c r="B1442" s="15"/>
      <c r="C1442" s="9">
        <f>IFERROR(__xludf.DUMMYFUNCTION("""COMPUTED_VALUE"""),45129.4689560763)</f>
        <v>45129.46896</v>
      </c>
      <c r="D1442" s="15">
        <f>IFERROR(__xludf.DUMMYFUNCTION("""COMPUTED_VALUE"""),0.999)</f>
        <v>0.999</v>
      </c>
      <c r="E1442" s="16">
        <f>IFERROR(__xludf.DUMMYFUNCTION("""COMPUTED_VALUE"""),71.0)</f>
        <v>71</v>
      </c>
      <c r="F1442" s="19" t="str">
        <f>IFERROR(__xludf.DUMMYFUNCTION("""COMPUTED_VALUE"""),"BLUE")</f>
        <v>BLUE</v>
      </c>
      <c r="G1442" s="20" t="str">
        <f>IFERROR(__xludf.DUMMYFUNCTION("""COMPUTED_VALUE"""),"Uncle Sams Cider (04/04/2023)")</f>
        <v>Uncle Sams Cider (04/04/2023)</v>
      </c>
      <c r="H1442" s="19"/>
    </row>
    <row r="1443">
      <c r="A1443" s="9"/>
      <c r="B1443" s="15"/>
      <c r="C1443" s="9">
        <f>IFERROR(__xludf.DUMMYFUNCTION("""COMPUTED_VALUE"""),45129.458534699)</f>
        <v>45129.45853</v>
      </c>
      <c r="D1443" s="15">
        <f>IFERROR(__xludf.DUMMYFUNCTION("""COMPUTED_VALUE"""),0.998)</f>
        <v>0.998</v>
      </c>
      <c r="E1443" s="16">
        <f>IFERROR(__xludf.DUMMYFUNCTION("""COMPUTED_VALUE"""),71.0)</f>
        <v>71</v>
      </c>
      <c r="F1443" s="19" t="str">
        <f>IFERROR(__xludf.DUMMYFUNCTION("""COMPUTED_VALUE"""),"BLUE")</f>
        <v>BLUE</v>
      </c>
      <c r="G1443" s="20" t="str">
        <f>IFERROR(__xludf.DUMMYFUNCTION("""COMPUTED_VALUE"""),"Uncle Sams Cider (04/04/2023)")</f>
        <v>Uncle Sams Cider (04/04/2023)</v>
      </c>
      <c r="H1443" s="19"/>
    </row>
    <row r="1444">
      <c r="A1444" s="9"/>
      <c r="B1444" s="15"/>
      <c r="C1444" s="9">
        <f>IFERROR(__xludf.DUMMYFUNCTION("""COMPUTED_VALUE"""),45129.4481132291)</f>
        <v>45129.44811</v>
      </c>
      <c r="D1444" s="15">
        <f>IFERROR(__xludf.DUMMYFUNCTION("""COMPUTED_VALUE"""),0.998)</f>
        <v>0.998</v>
      </c>
      <c r="E1444" s="16">
        <f>IFERROR(__xludf.DUMMYFUNCTION("""COMPUTED_VALUE"""),71.0)</f>
        <v>71</v>
      </c>
      <c r="F1444" s="19" t="str">
        <f>IFERROR(__xludf.DUMMYFUNCTION("""COMPUTED_VALUE"""),"BLUE")</f>
        <v>BLUE</v>
      </c>
      <c r="G1444" s="20" t="str">
        <f>IFERROR(__xludf.DUMMYFUNCTION("""COMPUTED_VALUE"""),"Uncle Sams Cider (04/04/2023)")</f>
        <v>Uncle Sams Cider (04/04/2023)</v>
      </c>
      <c r="H1444" s="19"/>
    </row>
    <row r="1445">
      <c r="A1445" s="9"/>
      <c r="B1445" s="15"/>
      <c r="C1445" s="9">
        <f>IFERROR(__xludf.DUMMYFUNCTION("""COMPUTED_VALUE"""),45129.4376911342)</f>
        <v>45129.43769</v>
      </c>
      <c r="D1445" s="15">
        <f>IFERROR(__xludf.DUMMYFUNCTION("""COMPUTED_VALUE"""),0.999)</f>
        <v>0.999</v>
      </c>
      <c r="E1445" s="16">
        <f>IFERROR(__xludf.DUMMYFUNCTION("""COMPUTED_VALUE"""),71.0)</f>
        <v>71</v>
      </c>
      <c r="F1445" s="19" t="str">
        <f>IFERROR(__xludf.DUMMYFUNCTION("""COMPUTED_VALUE"""),"BLUE")</f>
        <v>BLUE</v>
      </c>
      <c r="G1445" s="20" t="str">
        <f>IFERROR(__xludf.DUMMYFUNCTION("""COMPUTED_VALUE"""),"Uncle Sams Cider (04/04/2023)")</f>
        <v>Uncle Sams Cider (04/04/2023)</v>
      </c>
      <c r="H1445" s="19"/>
    </row>
    <row r="1446">
      <c r="A1446" s="9"/>
      <c r="B1446" s="15"/>
      <c r="C1446" s="9">
        <f>IFERROR(__xludf.DUMMYFUNCTION("""COMPUTED_VALUE"""),45129.42727)</f>
        <v>45129.42727</v>
      </c>
      <c r="D1446" s="15">
        <f>IFERROR(__xludf.DUMMYFUNCTION("""COMPUTED_VALUE"""),0.999)</f>
        <v>0.999</v>
      </c>
      <c r="E1446" s="16">
        <f>IFERROR(__xludf.DUMMYFUNCTION("""COMPUTED_VALUE"""),71.0)</f>
        <v>71</v>
      </c>
      <c r="F1446" s="19" t="str">
        <f>IFERROR(__xludf.DUMMYFUNCTION("""COMPUTED_VALUE"""),"BLUE")</f>
        <v>BLUE</v>
      </c>
      <c r="G1446" s="20" t="str">
        <f>IFERROR(__xludf.DUMMYFUNCTION("""COMPUTED_VALUE"""),"Uncle Sams Cider (04/04/2023)")</f>
        <v>Uncle Sams Cider (04/04/2023)</v>
      </c>
      <c r="H1446" s="19"/>
    </row>
    <row r="1447">
      <c r="A1447" s="9"/>
      <c r="B1447" s="15"/>
      <c r="C1447" s="9">
        <f>IFERROR(__xludf.DUMMYFUNCTION("""COMPUTED_VALUE"""),45129.4168373495)</f>
        <v>45129.41684</v>
      </c>
      <c r="D1447" s="15">
        <f>IFERROR(__xludf.DUMMYFUNCTION("""COMPUTED_VALUE"""),0.999)</f>
        <v>0.999</v>
      </c>
      <c r="E1447" s="16">
        <f>IFERROR(__xludf.DUMMYFUNCTION("""COMPUTED_VALUE"""),71.0)</f>
        <v>71</v>
      </c>
      <c r="F1447" s="19" t="str">
        <f>IFERROR(__xludf.DUMMYFUNCTION("""COMPUTED_VALUE"""),"BLUE")</f>
        <v>BLUE</v>
      </c>
      <c r="G1447" s="20" t="str">
        <f>IFERROR(__xludf.DUMMYFUNCTION("""COMPUTED_VALUE"""),"Uncle Sams Cider (04/04/2023)")</f>
        <v>Uncle Sams Cider (04/04/2023)</v>
      </c>
      <c r="H1447" s="19"/>
    </row>
    <row r="1448">
      <c r="A1448" s="9"/>
      <c r="B1448" s="15"/>
      <c r="C1448" s="9">
        <f>IFERROR(__xludf.DUMMYFUNCTION("""COMPUTED_VALUE"""),45129.4064166898)</f>
        <v>45129.40642</v>
      </c>
      <c r="D1448" s="15">
        <f>IFERROR(__xludf.DUMMYFUNCTION("""COMPUTED_VALUE"""),0.999)</f>
        <v>0.999</v>
      </c>
      <c r="E1448" s="16">
        <f>IFERROR(__xludf.DUMMYFUNCTION("""COMPUTED_VALUE"""),71.0)</f>
        <v>71</v>
      </c>
      <c r="F1448" s="19" t="str">
        <f>IFERROR(__xludf.DUMMYFUNCTION("""COMPUTED_VALUE"""),"BLUE")</f>
        <v>BLUE</v>
      </c>
      <c r="G1448" s="20" t="str">
        <f>IFERROR(__xludf.DUMMYFUNCTION("""COMPUTED_VALUE"""),"Uncle Sams Cider (04/04/2023)")</f>
        <v>Uncle Sams Cider (04/04/2023)</v>
      </c>
      <c r="H1448" s="19"/>
    </row>
    <row r="1449">
      <c r="A1449" s="9"/>
      <c r="B1449" s="15"/>
      <c r="C1449" s="9">
        <f>IFERROR(__xludf.DUMMYFUNCTION("""COMPUTED_VALUE"""),45129.3959964351)</f>
        <v>45129.396</v>
      </c>
      <c r="D1449" s="15">
        <f>IFERROR(__xludf.DUMMYFUNCTION("""COMPUTED_VALUE"""),0.999)</f>
        <v>0.999</v>
      </c>
      <c r="E1449" s="16">
        <f>IFERROR(__xludf.DUMMYFUNCTION("""COMPUTED_VALUE"""),71.0)</f>
        <v>71</v>
      </c>
      <c r="F1449" s="19" t="str">
        <f>IFERROR(__xludf.DUMMYFUNCTION("""COMPUTED_VALUE"""),"BLUE")</f>
        <v>BLUE</v>
      </c>
      <c r="G1449" s="20" t="str">
        <f>IFERROR(__xludf.DUMMYFUNCTION("""COMPUTED_VALUE"""),"Uncle Sams Cider (04/04/2023)")</f>
        <v>Uncle Sams Cider (04/04/2023)</v>
      </c>
      <c r="H1449" s="19"/>
    </row>
    <row r="1450">
      <c r="A1450" s="9"/>
      <c r="B1450" s="15"/>
      <c r="C1450" s="9">
        <f>IFERROR(__xludf.DUMMYFUNCTION("""COMPUTED_VALUE"""),45129.3855638078)</f>
        <v>45129.38556</v>
      </c>
      <c r="D1450" s="15">
        <f>IFERROR(__xludf.DUMMYFUNCTION("""COMPUTED_VALUE"""),0.998)</f>
        <v>0.998</v>
      </c>
      <c r="E1450" s="16">
        <f>IFERROR(__xludf.DUMMYFUNCTION("""COMPUTED_VALUE"""),71.0)</f>
        <v>71</v>
      </c>
      <c r="F1450" s="19" t="str">
        <f>IFERROR(__xludf.DUMMYFUNCTION("""COMPUTED_VALUE"""),"BLUE")</f>
        <v>BLUE</v>
      </c>
      <c r="G1450" s="20" t="str">
        <f>IFERROR(__xludf.DUMMYFUNCTION("""COMPUTED_VALUE"""),"Uncle Sams Cider (04/04/2023)")</f>
        <v>Uncle Sams Cider (04/04/2023)</v>
      </c>
      <c r="H1450" s="19"/>
    </row>
    <row r="1451">
      <c r="A1451" s="9"/>
      <c r="B1451" s="15"/>
      <c r="C1451" s="9">
        <f>IFERROR(__xludf.DUMMYFUNCTION("""COMPUTED_VALUE"""),45129.375144456)</f>
        <v>45129.37514</v>
      </c>
      <c r="D1451" s="15">
        <f>IFERROR(__xludf.DUMMYFUNCTION("""COMPUTED_VALUE"""),0.999)</f>
        <v>0.999</v>
      </c>
      <c r="E1451" s="16">
        <f>IFERROR(__xludf.DUMMYFUNCTION("""COMPUTED_VALUE"""),71.0)</f>
        <v>71</v>
      </c>
      <c r="F1451" s="19" t="str">
        <f>IFERROR(__xludf.DUMMYFUNCTION("""COMPUTED_VALUE"""),"BLUE")</f>
        <v>BLUE</v>
      </c>
      <c r="G1451" s="20" t="str">
        <f>IFERROR(__xludf.DUMMYFUNCTION("""COMPUTED_VALUE"""),"Uncle Sams Cider (04/04/2023)")</f>
        <v>Uncle Sams Cider (04/04/2023)</v>
      </c>
      <c r="H1451" s="19"/>
    </row>
    <row r="1452">
      <c r="A1452" s="9"/>
      <c r="B1452" s="15"/>
      <c r="C1452" s="9">
        <f>IFERROR(__xludf.DUMMYFUNCTION("""COMPUTED_VALUE"""),45129.3647240046)</f>
        <v>45129.36472</v>
      </c>
      <c r="D1452" s="15">
        <f>IFERROR(__xludf.DUMMYFUNCTION("""COMPUTED_VALUE"""),0.999)</f>
        <v>0.999</v>
      </c>
      <c r="E1452" s="16">
        <f>IFERROR(__xludf.DUMMYFUNCTION("""COMPUTED_VALUE"""),71.0)</f>
        <v>71</v>
      </c>
      <c r="F1452" s="19" t="str">
        <f>IFERROR(__xludf.DUMMYFUNCTION("""COMPUTED_VALUE"""),"BLUE")</f>
        <v>BLUE</v>
      </c>
      <c r="G1452" s="20" t="str">
        <f>IFERROR(__xludf.DUMMYFUNCTION("""COMPUTED_VALUE"""),"Uncle Sams Cider (04/04/2023)")</f>
        <v>Uncle Sams Cider (04/04/2023)</v>
      </c>
      <c r="H1452" s="19"/>
    </row>
    <row r="1453">
      <c r="A1453" s="9"/>
      <c r="B1453" s="15"/>
      <c r="C1453" s="9">
        <f>IFERROR(__xludf.DUMMYFUNCTION("""COMPUTED_VALUE"""),45129.3543028125)</f>
        <v>45129.3543</v>
      </c>
      <c r="D1453" s="15">
        <f>IFERROR(__xludf.DUMMYFUNCTION("""COMPUTED_VALUE"""),0.999)</f>
        <v>0.999</v>
      </c>
      <c r="E1453" s="16">
        <f>IFERROR(__xludf.DUMMYFUNCTION("""COMPUTED_VALUE"""),71.0)</f>
        <v>71</v>
      </c>
      <c r="F1453" s="19" t="str">
        <f>IFERROR(__xludf.DUMMYFUNCTION("""COMPUTED_VALUE"""),"BLUE")</f>
        <v>BLUE</v>
      </c>
      <c r="G1453" s="20" t="str">
        <f>IFERROR(__xludf.DUMMYFUNCTION("""COMPUTED_VALUE"""),"Uncle Sams Cider (04/04/2023)")</f>
        <v>Uncle Sams Cider (04/04/2023)</v>
      </c>
      <c r="H1453" s="19"/>
    </row>
    <row r="1454">
      <c r="A1454" s="9"/>
      <c r="B1454" s="15"/>
      <c r="C1454" s="9">
        <f>IFERROR(__xludf.DUMMYFUNCTION("""COMPUTED_VALUE"""),45129.3438702546)</f>
        <v>45129.34387</v>
      </c>
      <c r="D1454" s="15">
        <f>IFERROR(__xludf.DUMMYFUNCTION("""COMPUTED_VALUE"""),0.999)</f>
        <v>0.999</v>
      </c>
      <c r="E1454" s="16">
        <f>IFERROR(__xludf.DUMMYFUNCTION("""COMPUTED_VALUE"""),71.0)</f>
        <v>71</v>
      </c>
      <c r="F1454" s="19" t="str">
        <f>IFERROR(__xludf.DUMMYFUNCTION("""COMPUTED_VALUE"""),"BLUE")</f>
        <v>BLUE</v>
      </c>
      <c r="G1454" s="20" t="str">
        <f>IFERROR(__xludf.DUMMYFUNCTION("""COMPUTED_VALUE"""),"Uncle Sams Cider (04/04/2023)")</f>
        <v>Uncle Sams Cider (04/04/2023)</v>
      </c>
      <c r="H1454" s="19"/>
    </row>
    <row r="1455">
      <c r="A1455" s="9"/>
      <c r="B1455" s="15"/>
      <c r="C1455" s="9">
        <f>IFERROR(__xludf.DUMMYFUNCTION("""COMPUTED_VALUE"""),45129.3334484606)</f>
        <v>45129.33345</v>
      </c>
      <c r="D1455" s="15">
        <f>IFERROR(__xludf.DUMMYFUNCTION("""COMPUTED_VALUE"""),0.999)</f>
        <v>0.999</v>
      </c>
      <c r="E1455" s="16">
        <f>IFERROR(__xludf.DUMMYFUNCTION("""COMPUTED_VALUE"""),71.0)</f>
        <v>71</v>
      </c>
      <c r="F1455" s="19" t="str">
        <f>IFERROR(__xludf.DUMMYFUNCTION("""COMPUTED_VALUE"""),"BLUE")</f>
        <v>BLUE</v>
      </c>
      <c r="G1455" s="20" t="str">
        <f>IFERROR(__xludf.DUMMYFUNCTION("""COMPUTED_VALUE"""),"Uncle Sams Cider (04/04/2023)")</f>
        <v>Uncle Sams Cider (04/04/2023)</v>
      </c>
      <c r="H1455" s="19"/>
    </row>
    <row r="1456">
      <c r="A1456" s="9"/>
      <c r="B1456" s="15"/>
      <c r="C1456" s="9">
        <f>IFERROR(__xludf.DUMMYFUNCTION("""COMPUTED_VALUE"""),45129.3230277662)</f>
        <v>45129.32303</v>
      </c>
      <c r="D1456" s="15">
        <f>IFERROR(__xludf.DUMMYFUNCTION("""COMPUTED_VALUE"""),0.999)</f>
        <v>0.999</v>
      </c>
      <c r="E1456" s="16">
        <f>IFERROR(__xludf.DUMMYFUNCTION("""COMPUTED_VALUE"""),71.0)</f>
        <v>71</v>
      </c>
      <c r="F1456" s="19" t="str">
        <f>IFERROR(__xludf.DUMMYFUNCTION("""COMPUTED_VALUE"""),"BLUE")</f>
        <v>BLUE</v>
      </c>
      <c r="G1456" s="20" t="str">
        <f>IFERROR(__xludf.DUMMYFUNCTION("""COMPUTED_VALUE"""),"Uncle Sams Cider (04/04/2023)")</f>
        <v>Uncle Sams Cider (04/04/2023)</v>
      </c>
      <c r="H1456" s="19"/>
    </row>
    <row r="1457">
      <c r="A1457" s="9"/>
      <c r="B1457" s="15"/>
      <c r="C1457" s="9">
        <f>IFERROR(__xludf.DUMMYFUNCTION("""COMPUTED_VALUE"""),45129.3126048611)</f>
        <v>45129.3126</v>
      </c>
      <c r="D1457" s="15">
        <f>IFERROR(__xludf.DUMMYFUNCTION("""COMPUTED_VALUE"""),0.999)</f>
        <v>0.999</v>
      </c>
      <c r="E1457" s="16">
        <f>IFERROR(__xludf.DUMMYFUNCTION("""COMPUTED_VALUE"""),71.0)</f>
        <v>71</v>
      </c>
      <c r="F1457" s="19" t="str">
        <f>IFERROR(__xludf.DUMMYFUNCTION("""COMPUTED_VALUE"""),"BLUE")</f>
        <v>BLUE</v>
      </c>
      <c r="G1457" s="20" t="str">
        <f>IFERROR(__xludf.DUMMYFUNCTION("""COMPUTED_VALUE"""),"Uncle Sams Cider (04/04/2023)")</f>
        <v>Uncle Sams Cider (04/04/2023)</v>
      </c>
      <c r="H1457" s="19"/>
    </row>
    <row r="1458">
      <c r="A1458" s="9"/>
      <c r="B1458" s="15"/>
      <c r="C1458" s="9">
        <f>IFERROR(__xludf.DUMMYFUNCTION("""COMPUTED_VALUE"""),45129.3021839351)</f>
        <v>45129.30218</v>
      </c>
      <c r="D1458" s="15">
        <f>IFERROR(__xludf.DUMMYFUNCTION("""COMPUTED_VALUE"""),0.999)</f>
        <v>0.999</v>
      </c>
      <c r="E1458" s="16">
        <f>IFERROR(__xludf.DUMMYFUNCTION("""COMPUTED_VALUE"""),71.0)</f>
        <v>71</v>
      </c>
      <c r="F1458" s="19" t="str">
        <f>IFERROR(__xludf.DUMMYFUNCTION("""COMPUTED_VALUE"""),"BLUE")</f>
        <v>BLUE</v>
      </c>
      <c r="G1458" s="20" t="str">
        <f>IFERROR(__xludf.DUMMYFUNCTION("""COMPUTED_VALUE"""),"Uncle Sams Cider (04/04/2023)")</f>
        <v>Uncle Sams Cider (04/04/2023)</v>
      </c>
      <c r="H1458" s="19"/>
    </row>
    <row r="1459">
      <c r="A1459" s="9"/>
      <c r="B1459" s="15"/>
      <c r="C1459" s="9">
        <f>IFERROR(__xludf.DUMMYFUNCTION("""COMPUTED_VALUE"""),45129.2917385416)</f>
        <v>45129.29174</v>
      </c>
      <c r="D1459" s="15">
        <f>IFERROR(__xludf.DUMMYFUNCTION("""COMPUTED_VALUE"""),0.999)</f>
        <v>0.999</v>
      </c>
      <c r="E1459" s="16">
        <f>IFERROR(__xludf.DUMMYFUNCTION("""COMPUTED_VALUE"""),71.0)</f>
        <v>71</v>
      </c>
      <c r="F1459" s="19" t="str">
        <f>IFERROR(__xludf.DUMMYFUNCTION("""COMPUTED_VALUE"""),"BLUE")</f>
        <v>BLUE</v>
      </c>
      <c r="G1459" s="20" t="str">
        <f>IFERROR(__xludf.DUMMYFUNCTION("""COMPUTED_VALUE"""),"Uncle Sams Cider (04/04/2023)")</f>
        <v>Uncle Sams Cider (04/04/2023)</v>
      </c>
      <c r="H1459" s="19"/>
    </row>
    <row r="1460">
      <c r="A1460" s="9"/>
      <c r="B1460" s="15"/>
      <c r="C1460" s="9">
        <f>IFERROR(__xludf.DUMMYFUNCTION("""COMPUTED_VALUE"""),45129.2813162384)</f>
        <v>45129.28132</v>
      </c>
      <c r="D1460" s="15">
        <f>IFERROR(__xludf.DUMMYFUNCTION("""COMPUTED_VALUE"""),0.999)</f>
        <v>0.999</v>
      </c>
      <c r="E1460" s="16">
        <f>IFERROR(__xludf.DUMMYFUNCTION("""COMPUTED_VALUE"""),71.0)</f>
        <v>71</v>
      </c>
      <c r="F1460" s="19" t="str">
        <f>IFERROR(__xludf.DUMMYFUNCTION("""COMPUTED_VALUE"""),"BLUE")</f>
        <v>BLUE</v>
      </c>
      <c r="G1460" s="20" t="str">
        <f>IFERROR(__xludf.DUMMYFUNCTION("""COMPUTED_VALUE"""),"Uncle Sams Cider (04/04/2023)")</f>
        <v>Uncle Sams Cider (04/04/2023)</v>
      </c>
      <c r="H1460" s="19"/>
    </row>
    <row r="1461">
      <c r="A1461" s="9"/>
      <c r="B1461" s="15"/>
      <c r="C1461" s="9">
        <f>IFERROR(__xludf.DUMMYFUNCTION("""COMPUTED_VALUE"""),45129.2708961921)</f>
        <v>45129.2709</v>
      </c>
      <c r="D1461" s="15">
        <f>IFERROR(__xludf.DUMMYFUNCTION("""COMPUTED_VALUE"""),0.999)</f>
        <v>0.999</v>
      </c>
      <c r="E1461" s="16">
        <f>IFERROR(__xludf.DUMMYFUNCTION("""COMPUTED_VALUE"""),71.0)</f>
        <v>71</v>
      </c>
      <c r="F1461" s="19" t="str">
        <f>IFERROR(__xludf.DUMMYFUNCTION("""COMPUTED_VALUE"""),"BLUE")</f>
        <v>BLUE</v>
      </c>
      <c r="G1461" s="20" t="str">
        <f>IFERROR(__xludf.DUMMYFUNCTION("""COMPUTED_VALUE"""),"Uncle Sams Cider (04/04/2023)")</f>
        <v>Uncle Sams Cider (04/04/2023)</v>
      </c>
      <c r="H1461" s="19"/>
    </row>
    <row r="1462">
      <c r="A1462" s="9"/>
      <c r="B1462" s="15"/>
      <c r="C1462" s="9">
        <f>IFERROR(__xludf.DUMMYFUNCTION("""COMPUTED_VALUE"""),45129.260476412)</f>
        <v>45129.26048</v>
      </c>
      <c r="D1462" s="15">
        <f>IFERROR(__xludf.DUMMYFUNCTION("""COMPUTED_VALUE"""),0.999)</f>
        <v>0.999</v>
      </c>
      <c r="E1462" s="16">
        <f>IFERROR(__xludf.DUMMYFUNCTION("""COMPUTED_VALUE"""),71.0)</f>
        <v>71</v>
      </c>
      <c r="F1462" s="19" t="str">
        <f>IFERROR(__xludf.DUMMYFUNCTION("""COMPUTED_VALUE"""),"BLUE")</f>
        <v>BLUE</v>
      </c>
      <c r="G1462" s="20" t="str">
        <f>IFERROR(__xludf.DUMMYFUNCTION("""COMPUTED_VALUE"""),"Uncle Sams Cider (04/04/2023)")</f>
        <v>Uncle Sams Cider (04/04/2023)</v>
      </c>
      <c r="H1462" s="19"/>
    </row>
    <row r="1463">
      <c r="A1463" s="9"/>
      <c r="B1463" s="15"/>
      <c r="C1463" s="9">
        <f>IFERROR(__xludf.DUMMYFUNCTION("""COMPUTED_VALUE"""),45129.2500559722)</f>
        <v>45129.25006</v>
      </c>
      <c r="D1463" s="15">
        <f>IFERROR(__xludf.DUMMYFUNCTION("""COMPUTED_VALUE"""),0.999)</f>
        <v>0.999</v>
      </c>
      <c r="E1463" s="16">
        <f>IFERROR(__xludf.DUMMYFUNCTION("""COMPUTED_VALUE"""),71.0)</f>
        <v>71</v>
      </c>
      <c r="F1463" s="19" t="str">
        <f>IFERROR(__xludf.DUMMYFUNCTION("""COMPUTED_VALUE"""),"BLUE")</f>
        <v>BLUE</v>
      </c>
      <c r="G1463" s="20" t="str">
        <f>IFERROR(__xludf.DUMMYFUNCTION("""COMPUTED_VALUE"""),"Uncle Sams Cider (04/04/2023)")</f>
        <v>Uncle Sams Cider (04/04/2023)</v>
      </c>
      <c r="H1463" s="19"/>
    </row>
    <row r="1464">
      <c r="A1464" s="9"/>
      <c r="B1464" s="15"/>
      <c r="C1464" s="9">
        <f>IFERROR(__xludf.DUMMYFUNCTION("""COMPUTED_VALUE"""),45129.2396350694)</f>
        <v>45129.23964</v>
      </c>
      <c r="D1464" s="15">
        <f>IFERROR(__xludf.DUMMYFUNCTION("""COMPUTED_VALUE"""),0.999)</f>
        <v>0.999</v>
      </c>
      <c r="E1464" s="16">
        <f>IFERROR(__xludf.DUMMYFUNCTION("""COMPUTED_VALUE"""),71.0)</f>
        <v>71</v>
      </c>
      <c r="F1464" s="19" t="str">
        <f>IFERROR(__xludf.DUMMYFUNCTION("""COMPUTED_VALUE"""),"BLUE")</f>
        <v>BLUE</v>
      </c>
      <c r="G1464" s="20" t="str">
        <f>IFERROR(__xludf.DUMMYFUNCTION("""COMPUTED_VALUE"""),"Uncle Sams Cider (04/04/2023)")</f>
        <v>Uncle Sams Cider (04/04/2023)</v>
      </c>
      <c r="H1464" s="19"/>
    </row>
    <row r="1465">
      <c r="A1465" s="9"/>
      <c r="B1465" s="15"/>
      <c r="C1465" s="9">
        <f>IFERROR(__xludf.DUMMYFUNCTION("""COMPUTED_VALUE"""),45129.2292127662)</f>
        <v>45129.22921</v>
      </c>
      <c r="D1465" s="15">
        <f>IFERROR(__xludf.DUMMYFUNCTION("""COMPUTED_VALUE"""),0.999)</f>
        <v>0.999</v>
      </c>
      <c r="E1465" s="16">
        <f>IFERROR(__xludf.DUMMYFUNCTION("""COMPUTED_VALUE"""),71.0)</f>
        <v>71</v>
      </c>
      <c r="F1465" s="19" t="str">
        <f>IFERROR(__xludf.DUMMYFUNCTION("""COMPUTED_VALUE"""),"BLUE")</f>
        <v>BLUE</v>
      </c>
      <c r="G1465" s="20" t="str">
        <f>IFERROR(__xludf.DUMMYFUNCTION("""COMPUTED_VALUE"""),"Uncle Sams Cider (04/04/2023)")</f>
        <v>Uncle Sams Cider (04/04/2023)</v>
      </c>
      <c r="H1465" s="19"/>
    </row>
    <row r="1466">
      <c r="A1466" s="9"/>
      <c r="B1466" s="15"/>
      <c r="C1466" s="9">
        <f>IFERROR(__xludf.DUMMYFUNCTION("""COMPUTED_VALUE"""),45129.218780081)</f>
        <v>45129.21878</v>
      </c>
      <c r="D1466" s="15">
        <f>IFERROR(__xludf.DUMMYFUNCTION("""COMPUTED_VALUE"""),0.998)</f>
        <v>0.998</v>
      </c>
      <c r="E1466" s="16">
        <f>IFERROR(__xludf.DUMMYFUNCTION("""COMPUTED_VALUE"""),71.0)</f>
        <v>71</v>
      </c>
      <c r="F1466" s="19" t="str">
        <f>IFERROR(__xludf.DUMMYFUNCTION("""COMPUTED_VALUE"""),"BLUE")</f>
        <v>BLUE</v>
      </c>
      <c r="G1466" s="20" t="str">
        <f>IFERROR(__xludf.DUMMYFUNCTION("""COMPUTED_VALUE"""),"Uncle Sams Cider (04/04/2023)")</f>
        <v>Uncle Sams Cider (04/04/2023)</v>
      </c>
      <c r="H1466" s="19"/>
    </row>
    <row r="1467">
      <c r="A1467" s="9"/>
      <c r="B1467" s="15"/>
      <c r="C1467" s="9">
        <f>IFERROR(__xludf.DUMMYFUNCTION("""COMPUTED_VALUE"""),45129.2083590162)</f>
        <v>45129.20836</v>
      </c>
      <c r="D1467" s="15">
        <f>IFERROR(__xludf.DUMMYFUNCTION("""COMPUTED_VALUE"""),0.999)</f>
        <v>0.999</v>
      </c>
      <c r="E1467" s="16">
        <f>IFERROR(__xludf.DUMMYFUNCTION("""COMPUTED_VALUE"""),71.0)</f>
        <v>71</v>
      </c>
      <c r="F1467" s="19" t="str">
        <f>IFERROR(__xludf.DUMMYFUNCTION("""COMPUTED_VALUE"""),"BLUE")</f>
        <v>BLUE</v>
      </c>
      <c r="G1467" s="20" t="str">
        <f>IFERROR(__xludf.DUMMYFUNCTION("""COMPUTED_VALUE"""),"Uncle Sams Cider (04/04/2023)")</f>
        <v>Uncle Sams Cider (04/04/2023)</v>
      </c>
      <c r="H1467" s="19"/>
    </row>
    <row r="1468">
      <c r="A1468" s="9"/>
      <c r="B1468" s="15"/>
      <c r="C1468" s="9">
        <f>IFERROR(__xludf.DUMMYFUNCTION("""COMPUTED_VALUE"""),45129.1979374189)</f>
        <v>45129.19794</v>
      </c>
      <c r="D1468" s="15">
        <f>IFERROR(__xludf.DUMMYFUNCTION("""COMPUTED_VALUE"""),0.999)</f>
        <v>0.999</v>
      </c>
      <c r="E1468" s="16">
        <f>IFERROR(__xludf.DUMMYFUNCTION("""COMPUTED_VALUE"""),71.0)</f>
        <v>71</v>
      </c>
      <c r="F1468" s="19" t="str">
        <f>IFERROR(__xludf.DUMMYFUNCTION("""COMPUTED_VALUE"""),"BLUE")</f>
        <v>BLUE</v>
      </c>
      <c r="G1468" s="20" t="str">
        <f>IFERROR(__xludf.DUMMYFUNCTION("""COMPUTED_VALUE"""),"Uncle Sams Cider (04/04/2023)")</f>
        <v>Uncle Sams Cider (04/04/2023)</v>
      </c>
      <c r="H1468" s="19"/>
    </row>
    <row r="1469">
      <c r="A1469" s="9"/>
      <c r="B1469" s="15"/>
      <c r="C1469" s="9">
        <f>IFERROR(__xludf.DUMMYFUNCTION("""COMPUTED_VALUE"""),45129.1875170138)</f>
        <v>45129.18752</v>
      </c>
      <c r="D1469" s="15">
        <f>IFERROR(__xludf.DUMMYFUNCTION("""COMPUTED_VALUE"""),0.999)</f>
        <v>0.999</v>
      </c>
      <c r="E1469" s="16">
        <f>IFERROR(__xludf.DUMMYFUNCTION("""COMPUTED_VALUE"""),71.0)</f>
        <v>71</v>
      </c>
      <c r="F1469" s="19" t="str">
        <f>IFERROR(__xludf.DUMMYFUNCTION("""COMPUTED_VALUE"""),"BLUE")</f>
        <v>BLUE</v>
      </c>
      <c r="G1469" s="20" t="str">
        <f>IFERROR(__xludf.DUMMYFUNCTION("""COMPUTED_VALUE"""),"Uncle Sams Cider (04/04/2023)")</f>
        <v>Uncle Sams Cider (04/04/2023)</v>
      </c>
      <c r="H1469" s="19"/>
    </row>
    <row r="1470">
      <c r="A1470" s="9"/>
      <c r="B1470" s="15"/>
      <c r="C1470" s="9">
        <f>IFERROR(__xludf.DUMMYFUNCTION("""COMPUTED_VALUE"""),45129.1770846296)</f>
        <v>45129.17708</v>
      </c>
      <c r="D1470" s="15">
        <f>IFERROR(__xludf.DUMMYFUNCTION("""COMPUTED_VALUE"""),0.998)</f>
        <v>0.998</v>
      </c>
      <c r="E1470" s="16">
        <f>IFERROR(__xludf.DUMMYFUNCTION("""COMPUTED_VALUE"""),71.0)</f>
        <v>71</v>
      </c>
      <c r="F1470" s="19" t="str">
        <f>IFERROR(__xludf.DUMMYFUNCTION("""COMPUTED_VALUE"""),"BLUE")</f>
        <v>BLUE</v>
      </c>
      <c r="G1470" s="20" t="str">
        <f>IFERROR(__xludf.DUMMYFUNCTION("""COMPUTED_VALUE"""),"Uncle Sams Cider (04/04/2023)")</f>
        <v>Uncle Sams Cider (04/04/2023)</v>
      </c>
      <c r="H1470" s="19"/>
    </row>
    <row r="1471">
      <c r="A1471" s="9"/>
      <c r="B1471" s="15"/>
      <c r="C1471" s="9">
        <f>IFERROR(__xludf.DUMMYFUNCTION("""COMPUTED_VALUE"""),45129.1666628009)</f>
        <v>45129.16666</v>
      </c>
      <c r="D1471" s="15">
        <f>IFERROR(__xludf.DUMMYFUNCTION("""COMPUTED_VALUE"""),0.998)</f>
        <v>0.998</v>
      </c>
      <c r="E1471" s="16">
        <f>IFERROR(__xludf.DUMMYFUNCTION("""COMPUTED_VALUE"""),71.0)</f>
        <v>71</v>
      </c>
      <c r="F1471" s="19" t="str">
        <f>IFERROR(__xludf.DUMMYFUNCTION("""COMPUTED_VALUE"""),"BLUE")</f>
        <v>BLUE</v>
      </c>
      <c r="G1471" s="20" t="str">
        <f>IFERROR(__xludf.DUMMYFUNCTION("""COMPUTED_VALUE"""),"Uncle Sams Cider (04/04/2023)")</f>
        <v>Uncle Sams Cider (04/04/2023)</v>
      </c>
      <c r="H1471" s="19"/>
    </row>
    <row r="1472">
      <c r="A1472" s="9"/>
      <c r="B1472" s="15"/>
      <c r="C1472" s="9">
        <f>IFERROR(__xludf.DUMMYFUNCTION("""COMPUTED_VALUE"""),45129.1562420023)</f>
        <v>45129.15624</v>
      </c>
      <c r="D1472" s="15">
        <f>IFERROR(__xludf.DUMMYFUNCTION("""COMPUTED_VALUE"""),0.999)</f>
        <v>0.999</v>
      </c>
      <c r="E1472" s="16">
        <f>IFERROR(__xludf.DUMMYFUNCTION("""COMPUTED_VALUE"""),71.0)</f>
        <v>71</v>
      </c>
      <c r="F1472" s="19" t="str">
        <f>IFERROR(__xludf.DUMMYFUNCTION("""COMPUTED_VALUE"""),"BLUE")</f>
        <v>BLUE</v>
      </c>
      <c r="G1472" s="20" t="str">
        <f>IFERROR(__xludf.DUMMYFUNCTION("""COMPUTED_VALUE"""),"Uncle Sams Cider (04/04/2023)")</f>
        <v>Uncle Sams Cider (04/04/2023)</v>
      </c>
      <c r="H1472" s="19"/>
    </row>
    <row r="1473">
      <c r="A1473" s="9"/>
      <c r="B1473" s="15"/>
      <c r="C1473" s="9">
        <f>IFERROR(__xludf.DUMMYFUNCTION("""COMPUTED_VALUE"""),45129.1458206134)</f>
        <v>45129.14582</v>
      </c>
      <c r="D1473" s="15">
        <f>IFERROR(__xludf.DUMMYFUNCTION("""COMPUTED_VALUE"""),0.998)</f>
        <v>0.998</v>
      </c>
      <c r="E1473" s="16">
        <f>IFERROR(__xludf.DUMMYFUNCTION("""COMPUTED_VALUE"""),71.0)</f>
        <v>71</v>
      </c>
      <c r="F1473" s="19" t="str">
        <f>IFERROR(__xludf.DUMMYFUNCTION("""COMPUTED_VALUE"""),"BLUE")</f>
        <v>BLUE</v>
      </c>
      <c r="G1473" s="20" t="str">
        <f>IFERROR(__xludf.DUMMYFUNCTION("""COMPUTED_VALUE"""),"Uncle Sams Cider (04/04/2023)")</f>
        <v>Uncle Sams Cider (04/04/2023)</v>
      </c>
      <c r="H1473" s="19"/>
    </row>
    <row r="1474">
      <c r="A1474" s="9"/>
      <c r="B1474" s="15"/>
      <c r="C1474" s="9">
        <f>IFERROR(__xludf.DUMMYFUNCTION("""COMPUTED_VALUE"""),45129.1353904861)</f>
        <v>45129.13539</v>
      </c>
      <c r="D1474" s="15">
        <f>IFERROR(__xludf.DUMMYFUNCTION("""COMPUTED_VALUE"""),0.999)</f>
        <v>0.999</v>
      </c>
      <c r="E1474" s="16">
        <f>IFERROR(__xludf.DUMMYFUNCTION("""COMPUTED_VALUE"""),71.0)</f>
        <v>71</v>
      </c>
      <c r="F1474" s="19" t="str">
        <f>IFERROR(__xludf.DUMMYFUNCTION("""COMPUTED_VALUE"""),"BLUE")</f>
        <v>BLUE</v>
      </c>
      <c r="G1474" s="20" t="str">
        <f>IFERROR(__xludf.DUMMYFUNCTION("""COMPUTED_VALUE"""),"Uncle Sams Cider (04/04/2023)")</f>
        <v>Uncle Sams Cider (04/04/2023)</v>
      </c>
      <c r="H1474" s="19"/>
    </row>
    <row r="1475">
      <c r="A1475" s="9"/>
      <c r="B1475" s="15"/>
      <c r="C1475" s="9">
        <f>IFERROR(__xludf.DUMMYFUNCTION("""COMPUTED_VALUE"""),45129.1249692708)</f>
        <v>45129.12497</v>
      </c>
      <c r="D1475" s="15">
        <f>IFERROR(__xludf.DUMMYFUNCTION("""COMPUTED_VALUE"""),0.998)</f>
        <v>0.998</v>
      </c>
      <c r="E1475" s="16">
        <f>IFERROR(__xludf.DUMMYFUNCTION("""COMPUTED_VALUE"""),71.0)</f>
        <v>71</v>
      </c>
      <c r="F1475" s="19" t="str">
        <f>IFERROR(__xludf.DUMMYFUNCTION("""COMPUTED_VALUE"""),"BLUE")</f>
        <v>BLUE</v>
      </c>
      <c r="G1475" s="20" t="str">
        <f>IFERROR(__xludf.DUMMYFUNCTION("""COMPUTED_VALUE"""),"Uncle Sams Cider (04/04/2023)")</f>
        <v>Uncle Sams Cider (04/04/2023)</v>
      </c>
      <c r="H1475" s="19"/>
    </row>
    <row r="1476">
      <c r="A1476" s="9"/>
      <c r="B1476" s="15"/>
      <c r="C1476" s="9">
        <f>IFERROR(__xludf.DUMMYFUNCTION("""COMPUTED_VALUE"""),45129.1145473611)</f>
        <v>45129.11455</v>
      </c>
      <c r="D1476" s="15">
        <f>IFERROR(__xludf.DUMMYFUNCTION("""COMPUTED_VALUE"""),0.998)</f>
        <v>0.998</v>
      </c>
      <c r="E1476" s="16">
        <f>IFERROR(__xludf.DUMMYFUNCTION("""COMPUTED_VALUE"""),71.0)</f>
        <v>71</v>
      </c>
      <c r="F1476" s="19" t="str">
        <f>IFERROR(__xludf.DUMMYFUNCTION("""COMPUTED_VALUE"""),"BLUE")</f>
        <v>BLUE</v>
      </c>
      <c r="G1476" s="20" t="str">
        <f>IFERROR(__xludf.DUMMYFUNCTION("""COMPUTED_VALUE"""),"Uncle Sams Cider (04/04/2023)")</f>
        <v>Uncle Sams Cider (04/04/2023)</v>
      </c>
      <c r="H1476" s="19"/>
    </row>
    <row r="1477">
      <c r="A1477" s="9"/>
      <c r="B1477" s="15"/>
      <c r="C1477" s="9">
        <f>IFERROR(__xludf.DUMMYFUNCTION("""COMPUTED_VALUE"""),45129.1041266551)</f>
        <v>45129.10413</v>
      </c>
      <c r="D1477" s="15">
        <f>IFERROR(__xludf.DUMMYFUNCTION("""COMPUTED_VALUE"""),0.999)</f>
        <v>0.999</v>
      </c>
      <c r="E1477" s="16">
        <f>IFERROR(__xludf.DUMMYFUNCTION("""COMPUTED_VALUE"""),71.0)</f>
        <v>71</v>
      </c>
      <c r="F1477" s="19" t="str">
        <f>IFERROR(__xludf.DUMMYFUNCTION("""COMPUTED_VALUE"""),"BLUE")</f>
        <v>BLUE</v>
      </c>
      <c r="G1477" s="20" t="str">
        <f>IFERROR(__xludf.DUMMYFUNCTION("""COMPUTED_VALUE"""),"Uncle Sams Cider (04/04/2023)")</f>
        <v>Uncle Sams Cider (04/04/2023)</v>
      </c>
      <c r="H1477" s="19"/>
    </row>
    <row r="1478">
      <c r="A1478" s="9"/>
      <c r="B1478" s="15"/>
      <c r="C1478" s="9">
        <f>IFERROR(__xludf.DUMMYFUNCTION("""COMPUTED_VALUE"""),45129.0936822916)</f>
        <v>45129.09368</v>
      </c>
      <c r="D1478" s="15">
        <f>IFERROR(__xludf.DUMMYFUNCTION("""COMPUTED_VALUE"""),0.999)</f>
        <v>0.999</v>
      </c>
      <c r="E1478" s="16">
        <f>IFERROR(__xludf.DUMMYFUNCTION("""COMPUTED_VALUE"""),71.0)</f>
        <v>71</v>
      </c>
      <c r="F1478" s="19" t="str">
        <f>IFERROR(__xludf.DUMMYFUNCTION("""COMPUTED_VALUE"""),"BLUE")</f>
        <v>BLUE</v>
      </c>
      <c r="G1478" s="20" t="str">
        <f>IFERROR(__xludf.DUMMYFUNCTION("""COMPUTED_VALUE"""),"Uncle Sams Cider (04/04/2023)")</f>
        <v>Uncle Sams Cider (04/04/2023)</v>
      </c>
      <c r="H1478" s="19"/>
    </row>
    <row r="1479">
      <c r="A1479" s="9"/>
      <c r="B1479" s="15"/>
      <c r="C1479" s="9">
        <f>IFERROR(__xludf.DUMMYFUNCTION("""COMPUTED_VALUE"""),45129.0832504976)</f>
        <v>45129.08325</v>
      </c>
      <c r="D1479" s="15">
        <f>IFERROR(__xludf.DUMMYFUNCTION("""COMPUTED_VALUE"""),0.999)</f>
        <v>0.999</v>
      </c>
      <c r="E1479" s="16">
        <f>IFERROR(__xludf.DUMMYFUNCTION("""COMPUTED_VALUE"""),71.0)</f>
        <v>71</v>
      </c>
      <c r="F1479" s="19" t="str">
        <f>IFERROR(__xludf.DUMMYFUNCTION("""COMPUTED_VALUE"""),"BLUE")</f>
        <v>BLUE</v>
      </c>
      <c r="G1479" s="20" t="str">
        <f>IFERROR(__xludf.DUMMYFUNCTION("""COMPUTED_VALUE"""),"Uncle Sams Cider (04/04/2023)")</f>
        <v>Uncle Sams Cider (04/04/2023)</v>
      </c>
      <c r="H1479" s="19"/>
    </row>
    <row r="1480">
      <c r="A1480" s="9"/>
      <c r="B1480" s="15"/>
      <c r="C1480" s="9">
        <f>IFERROR(__xludf.DUMMYFUNCTION("""COMPUTED_VALUE"""),45129.0728294676)</f>
        <v>45129.07283</v>
      </c>
      <c r="D1480" s="15">
        <f>IFERROR(__xludf.DUMMYFUNCTION("""COMPUTED_VALUE"""),0.999)</f>
        <v>0.999</v>
      </c>
      <c r="E1480" s="16">
        <f>IFERROR(__xludf.DUMMYFUNCTION("""COMPUTED_VALUE"""),71.0)</f>
        <v>71</v>
      </c>
      <c r="F1480" s="19" t="str">
        <f>IFERROR(__xludf.DUMMYFUNCTION("""COMPUTED_VALUE"""),"BLUE")</f>
        <v>BLUE</v>
      </c>
      <c r="G1480" s="20" t="str">
        <f>IFERROR(__xludf.DUMMYFUNCTION("""COMPUTED_VALUE"""),"Uncle Sams Cider (04/04/2023)")</f>
        <v>Uncle Sams Cider (04/04/2023)</v>
      </c>
      <c r="H1480" s="19"/>
    </row>
    <row r="1481">
      <c r="A1481" s="9"/>
      <c r="B1481" s="15"/>
      <c r="C1481" s="9">
        <f>IFERROR(__xludf.DUMMYFUNCTION("""COMPUTED_VALUE"""),45129.0624076851)</f>
        <v>45129.06241</v>
      </c>
      <c r="D1481" s="15">
        <f>IFERROR(__xludf.DUMMYFUNCTION("""COMPUTED_VALUE"""),0.999)</f>
        <v>0.999</v>
      </c>
      <c r="E1481" s="16">
        <f>IFERROR(__xludf.DUMMYFUNCTION("""COMPUTED_VALUE"""),71.0)</f>
        <v>71</v>
      </c>
      <c r="F1481" s="19" t="str">
        <f>IFERROR(__xludf.DUMMYFUNCTION("""COMPUTED_VALUE"""),"BLUE")</f>
        <v>BLUE</v>
      </c>
      <c r="G1481" s="20" t="str">
        <f>IFERROR(__xludf.DUMMYFUNCTION("""COMPUTED_VALUE"""),"Uncle Sams Cider (04/04/2023)")</f>
        <v>Uncle Sams Cider (04/04/2023)</v>
      </c>
      <c r="H1481" s="19"/>
    </row>
    <row r="1482">
      <c r="A1482" s="9"/>
      <c r="B1482" s="15"/>
      <c r="C1482" s="9">
        <f>IFERROR(__xludf.DUMMYFUNCTION("""COMPUTED_VALUE"""),45129.0519847916)</f>
        <v>45129.05198</v>
      </c>
      <c r="D1482" s="15">
        <f>IFERROR(__xludf.DUMMYFUNCTION("""COMPUTED_VALUE"""),0.999)</f>
        <v>0.999</v>
      </c>
      <c r="E1482" s="16">
        <f>IFERROR(__xludf.DUMMYFUNCTION("""COMPUTED_VALUE"""),71.0)</f>
        <v>71</v>
      </c>
      <c r="F1482" s="19" t="str">
        <f>IFERROR(__xludf.DUMMYFUNCTION("""COMPUTED_VALUE"""),"BLUE")</f>
        <v>BLUE</v>
      </c>
      <c r="G1482" s="20" t="str">
        <f>IFERROR(__xludf.DUMMYFUNCTION("""COMPUTED_VALUE"""),"Uncle Sams Cider (04/04/2023)")</f>
        <v>Uncle Sams Cider (04/04/2023)</v>
      </c>
      <c r="H1482" s="19"/>
    </row>
    <row r="1483">
      <c r="A1483" s="9"/>
      <c r="B1483" s="15"/>
      <c r="C1483" s="9">
        <f>IFERROR(__xludf.DUMMYFUNCTION("""COMPUTED_VALUE"""),45129.0415635648)</f>
        <v>45129.04156</v>
      </c>
      <c r="D1483" s="15">
        <f>IFERROR(__xludf.DUMMYFUNCTION("""COMPUTED_VALUE"""),0.999)</f>
        <v>0.999</v>
      </c>
      <c r="E1483" s="16">
        <f>IFERROR(__xludf.DUMMYFUNCTION("""COMPUTED_VALUE"""),71.0)</f>
        <v>71</v>
      </c>
      <c r="F1483" s="19" t="str">
        <f>IFERROR(__xludf.DUMMYFUNCTION("""COMPUTED_VALUE"""),"BLUE")</f>
        <v>BLUE</v>
      </c>
      <c r="G1483" s="20" t="str">
        <f>IFERROR(__xludf.DUMMYFUNCTION("""COMPUTED_VALUE"""),"Uncle Sams Cider (04/04/2023)")</f>
        <v>Uncle Sams Cider (04/04/2023)</v>
      </c>
      <c r="H1483" s="19"/>
    </row>
    <row r="1484">
      <c r="A1484" s="9"/>
      <c r="B1484" s="15"/>
      <c r="C1484" s="9">
        <f>IFERROR(__xludf.DUMMYFUNCTION("""COMPUTED_VALUE"""),45129.031141574)</f>
        <v>45129.03114</v>
      </c>
      <c r="D1484" s="15">
        <f>IFERROR(__xludf.DUMMYFUNCTION("""COMPUTED_VALUE"""),0.999)</f>
        <v>0.999</v>
      </c>
      <c r="E1484" s="16">
        <f>IFERROR(__xludf.DUMMYFUNCTION("""COMPUTED_VALUE"""),71.0)</f>
        <v>71</v>
      </c>
      <c r="F1484" s="19" t="str">
        <f>IFERROR(__xludf.DUMMYFUNCTION("""COMPUTED_VALUE"""),"BLUE")</f>
        <v>BLUE</v>
      </c>
      <c r="G1484" s="20" t="str">
        <f>IFERROR(__xludf.DUMMYFUNCTION("""COMPUTED_VALUE"""),"Uncle Sams Cider (04/04/2023)")</f>
        <v>Uncle Sams Cider (04/04/2023)</v>
      </c>
      <c r="H1484" s="19"/>
    </row>
    <row r="1485">
      <c r="A1485" s="9"/>
      <c r="B1485" s="15"/>
      <c r="C1485" s="9">
        <f>IFERROR(__xludf.DUMMYFUNCTION("""COMPUTED_VALUE"""),45129.0207093865)</f>
        <v>45129.02071</v>
      </c>
      <c r="D1485" s="15">
        <f>IFERROR(__xludf.DUMMYFUNCTION("""COMPUTED_VALUE"""),0.998)</f>
        <v>0.998</v>
      </c>
      <c r="E1485" s="16">
        <f>IFERROR(__xludf.DUMMYFUNCTION("""COMPUTED_VALUE"""),71.0)</f>
        <v>71</v>
      </c>
      <c r="F1485" s="19" t="str">
        <f>IFERROR(__xludf.DUMMYFUNCTION("""COMPUTED_VALUE"""),"BLUE")</f>
        <v>BLUE</v>
      </c>
      <c r="G1485" s="20" t="str">
        <f>IFERROR(__xludf.DUMMYFUNCTION("""COMPUTED_VALUE"""),"Uncle Sams Cider (04/04/2023)")</f>
        <v>Uncle Sams Cider (04/04/2023)</v>
      </c>
      <c r="H1485" s="19"/>
    </row>
    <row r="1486">
      <c r="A1486" s="9"/>
      <c r="B1486" s="15"/>
      <c r="C1486" s="9">
        <f>IFERROR(__xludf.DUMMYFUNCTION("""COMPUTED_VALUE"""),45129.0102882291)</f>
        <v>45129.01029</v>
      </c>
      <c r="D1486" s="15">
        <f>IFERROR(__xludf.DUMMYFUNCTION("""COMPUTED_VALUE"""),0.998)</f>
        <v>0.998</v>
      </c>
      <c r="E1486" s="16">
        <f>IFERROR(__xludf.DUMMYFUNCTION("""COMPUTED_VALUE"""),71.0)</f>
        <v>71</v>
      </c>
      <c r="F1486" s="19" t="str">
        <f>IFERROR(__xludf.DUMMYFUNCTION("""COMPUTED_VALUE"""),"BLUE")</f>
        <v>BLUE</v>
      </c>
      <c r="G1486" s="20" t="str">
        <f>IFERROR(__xludf.DUMMYFUNCTION("""COMPUTED_VALUE"""),"Uncle Sams Cider (04/04/2023)")</f>
        <v>Uncle Sams Cider (04/04/2023)</v>
      </c>
      <c r="H1486" s="19"/>
    </row>
    <row r="1487">
      <c r="A1487" s="9"/>
      <c r="B1487" s="15"/>
      <c r="C1487" s="9">
        <f>IFERROR(__xludf.DUMMYFUNCTION("""COMPUTED_VALUE"""),45128.999866412)</f>
        <v>45128.99987</v>
      </c>
      <c r="D1487" s="15">
        <f>IFERROR(__xludf.DUMMYFUNCTION("""COMPUTED_VALUE"""),0.999)</f>
        <v>0.999</v>
      </c>
      <c r="E1487" s="16">
        <f>IFERROR(__xludf.DUMMYFUNCTION("""COMPUTED_VALUE"""),71.0)</f>
        <v>71</v>
      </c>
      <c r="F1487" s="19" t="str">
        <f>IFERROR(__xludf.DUMMYFUNCTION("""COMPUTED_VALUE"""),"BLUE")</f>
        <v>BLUE</v>
      </c>
      <c r="G1487" s="20" t="str">
        <f>IFERROR(__xludf.DUMMYFUNCTION("""COMPUTED_VALUE"""),"Uncle Sams Cider (04/04/2023)")</f>
        <v>Uncle Sams Cider (04/04/2023)</v>
      </c>
      <c r="H1487" s="19"/>
    </row>
    <row r="1488">
      <c r="A1488" s="9"/>
      <c r="B1488" s="15"/>
      <c r="C1488" s="9">
        <f>IFERROR(__xludf.DUMMYFUNCTION("""COMPUTED_VALUE"""),45128.9894334143)</f>
        <v>45128.98943</v>
      </c>
      <c r="D1488" s="15">
        <f>IFERROR(__xludf.DUMMYFUNCTION("""COMPUTED_VALUE"""),0.998)</f>
        <v>0.998</v>
      </c>
      <c r="E1488" s="16">
        <f>IFERROR(__xludf.DUMMYFUNCTION("""COMPUTED_VALUE"""),71.0)</f>
        <v>71</v>
      </c>
      <c r="F1488" s="19" t="str">
        <f>IFERROR(__xludf.DUMMYFUNCTION("""COMPUTED_VALUE"""),"BLUE")</f>
        <v>BLUE</v>
      </c>
      <c r="G1488" s="20" t="str">
        <f>IFERROR(__xludf.DUMMYFUNCTION("""COMPUTED_VALUE"""),"Uncle Sams Cider (04/04/2023)")</f>
        <v>Uncle Sams Cider (04/04/2023)</v>
      </c>
      <c r="H1488" s="19"/>
    </row>
    <row r="1489">
      <c r="A1489" s="9"/>
      <c r="B1489" s="15"/>
      <c r="C1489" s="9">
        <f>IFERROR(__xludf.DUMMYFUNCTION("""COMPUTED_VALUE"""),45128.9790113773)</f>
        <v>45128.97901</v>
      </c>
      <c r="D1489" s="15">
        <f>IFERROR(__xludf.DUMMYFUNCTION("""COMPUTED_VALUE"""),0.999)</f>
        <v>0.999</v>
      </c>
      <c r="E1489" s="16">
        <f>IFERROR(__xludf.DUMMYFUNCTION("""COMPUTED_VALUE"""),71.0)</f>
        <v>71</v>
      </c>
      <c r="F1489" s="19" t="str">
        <f>IFERROR(__xludf.DUMMYFUNCTION("""COMPUTED_VALUE"""),"BLUE")</f>
        <v>BLUE</v>
      </c>
      <c r="G1489" s="20" t="str">
        <f>IFERROR(__xludf.DUMMYFUNCTION("""COMPUTED_VALUE"""),"Uncle Sams Cider (04/04/2023)")</f>
        <v>Uncle Sams Cider (04/04/2023)</v>
      </c>
      <c r="H1489" s="19"/>
    </row>
    <row r="1490">
      <c r="A1490" s="9"/>
      <c r="B1490" s="15"/>
      <c r="C1490" s="9">
        <f>IFERROR(__xludf.DUMMYFUNCTION("""COMPUTED_VALUE"""),45128.9685811574)</f>
        <v>45128.96858</v>
      </c>
      <c r="D1490" s="15">
        <f>IFERROR(__xludf.DUMMYFUNCTION("""COMPUTED_VALUE"""),0.999)</f>
        <v>0.999</v>
      </c>
      <c r="E1490" s="16">
        <f>IFERROR(__xludf.DUMMYFUNCTION("""COMPUTED_VALUE"""),71.0)</f>
        <v>71</v>
      </c>
      <c r="F1490" s="19" t="str">
        <f>IFERROR(__xludf.DUMMYFUNCTION("""COMPUTED_VALUE"""),"BLUE")</f>
        <v>BLUE</v>
      </c>
      <c r="G1490" s="20" t="str">
        <f>IFERROR(__xludf.DUMMYFUNCTION("""COMPUTED_VALUE"""),"Uncle Sams Cider (04/04/2023)")</f>
        <v>Uncle Sams Cider (04/04/2023)</v>
      </c>
      <c r="H1490" s="19"/>
    </row>
    <row r="1491">
      <c r="A1491" s="9"/>
      <c r="B1491" s="15"/>
      <c r="C1491" s="9">
        <f>IFERROR(__xludf.DUMMYFUNCTION("""COMPUTED_VALUE"""),45128.9581483912)</f>
        <v>45128.95815</v>
      </c>
      <c r="D1491" s="15">
        <f>IFERROR(__xludf.DUMMYFUNCTION("""COMPUTED_VALUE"""),0.999)</f>
        <v>0.999</v>
      </c>
      <c r="E1491" s="16">
        <f>IFERROR(__xludf.DUMMYFUNCTION("""COMPUTED_VALUE"""),71.0)</f>
        <v>71</v>
      </c>
      <c r="F1491" s="19" t="str">
        <f>IFERROR(__xludf.DUMMYFUNCTION("""COMPUTED_VALUE"""),"BLUE")</f>
        <v>BLUE</v>
      </c>
      <c r="G1491" s="20" t="str">
        <f>IFERROR(__xludf.DUMMYFUNCTION("""COMPUTED_VALUE"""),"Uncle Sams Cider (04/04/2023)")</f>
        <v>Uncle Sams Cider (04/04/2023)</v>
      </c>
      <c r="H1491" s="19"/>
    </row>
    <row r="1492">
      <c r="A1492" s="9"/>
      <c r="B1492" s="15"/>
      <c r="C1492" s="9">
        <f>IFERROR(__xludf.DUMMYFUNCTION("""COMPUTED_VALUE"""),45128.947715405)</f>
        <v>45128.94772</v>
      </c>
      <c r="D1492" s="15">
        <f>IFERROR(__xludf.DUMMYFUNCTION("""COMPUTED_VALUE"""),0.998)</f>
        <v>0.998</v>
      </c>
      <c r="E1492" s="16">
        <f>IFERROR(__xludf.DUMMYFUNCTION("""COMPUTED_VALUE"""),71.0)</f>
        <v>71</v>
      </c>
      <c r="F1492" s="19" t="str">
        <f>IFERROR(__xludf.DUMMYFUNCTION("""COMPUTED_VALUE"""),"BLUE")</f>
        <v>BLUE</v>
      </c>
      <c r="G1492" s="20" t="str">
        <f>IFERROR(__xludf.DUMMYFUNCTION("""COMPUTED_VALUE"""),"Uncle Sams Cider (04/04/2023)")</f>
        <v>Uncle Sams Cider (04/04/2023)</v>
      </c>
      <c r="H1492" s="19"/>
    </row>
    <row r="1493">
      <c r="A1493" s="9"/>
      <c r="B1493" s="15"/>
      <c r="C1493" s="9">
        <f>IFERROR(__xludf.DUMMYFUNCTION("""COMPUTED_VALUE"""),45128.9372927314)</f>
        <v>45128.93729</v>
      </c>
      <c r="D1493" s="15">
        <f>IFERROR(__xludf.DUMMYFUNCTION("""COMPUTED_VALUE"""),0.998)</f>
        <v>0.998</v>
      </c>
      <c r="E1493" s="16">
        <f>IFERROR(__xludf.DUMMYFUNCTION("""COMPUTED_VALUE"""),71.0)</f>
        <v>71</v>
      </c>
      <c r="F1493" s="19" t="str">
        <f>IFERROR(__xludf.DUMMYFUNCTION("""COMPUTED_VALUE"""),"BLUE")</f>
        <v>BLUE</v>
      </c>
      <c r="G1493" s="20" t="str">
        <f>IFERROR(__xludf.DUMMYFUNCTION("""COMPUTED_VALUE"""),"Uncle Sams Cider (04/04/2023)")</f>
        <v>Uncle Sams Cider (04/04/2023)</v>
      </c>
      <c r="H1493" s="19"/>
    </row>
    <row r="1494">
      <c r="A1494" s="9"/>
      <c r="B1494" s="15"/>
      <c r="C1494" s="9">
        <f>IFERROR(__xludf.DUMMYFUNCTION("""COMPUTED_VALUE"""),45128.9268703587)</f>
        <v>45128.92687</v>
      </c>
      <c r="D1494" s="15">
        <f>IFERROR(__xludf.DUMMYFUNCTION("""COMPUTED_VALUE"""),0.999)</f>
        <v>0.999</v>
      </c>
      <c r="E1494" s="16">
        <f>IFERROR(__xludf.DUMMYFUNCTION("""COMPUTED_VALUE"""),71.0)</f>
        <v>71</v>
      </c>
      <c r="F1494" s="19" t="str">
        <f>IFERROR(__xludf.DUMMYFUNCTION("""COMPUTED_VALUE"""),"BLUE")</f>
        <v>BLUE</v>
      </c>
      <c r="G1494" s="20" t="str">
        <f>IFERROR(__xludf.DUMMYFUNCTION("""COMPUTED_VALUE"""),"Uncle Sams Cider (04/04/2023)")</f>
        <v>Uncle Sams Cider (04/04/2023)</v>
      </c>
      <c r="H1494" s="19"/>
    </row>
    <row r="1495">
      <c r="A1495" s="9"/>
      <c r="B1495" s="15"/>
      <c r="C1495" s="9">
        <f>IFERROR(__xludf.DUMMYFUNCTION("""COMPUTED_VALUE"""),45128.9164490046)</f>
        <v>45128.91645</v>
      </c>
      <c r="D1495" s="15">
        <f>IFERROR(__xludf.DUMMYFUNCTION("""COMPUTED_VALUE"""),0.999)</f>
        <v>0.999</v>
      </c>
      <c r="E1495" s="16">
        <f>IFERROR(__xludf.DUMMYFUNCTION("""COMPUTED_VALUE"""),71.0)</f>
        <v>71</v>
      </c>
      <c r="F1495" s="19" t="str">
        <f>IFERROR(__xludf.DUMMYFUNCTION("""COMPUTED_VALUE"""),"BLUE")</f>
        <v>BLUE</v>
      </c>
      <c r="G1495" s="20" t="str">
        <f>IFERROR(__xludf.DUMMYFUNCTION("""COMPUTED_VALUE"""),"Uncle Sams Cider (04/04/2023)")</f>
        <v>Uncle Sams Cider (04/04/2023)</v>
      </c>
      <c r="H1495" s="19"/>
    </row>
    <row r="1496">
      <c r="A1496" s="9"/>
      <c r="B1496" s="15"/>
      <c r="C1496" s="9">
        <f>IFERROR(__xludf.DUMMYFUNCTION("""COMPUTED_VALUE"""),45128.9060158564)</f>
        <v>45128.90602</v>
      </c>
      <c r="D1496" s="15">
        <f>IFERROR(__xludf.DUMMYFUNCTION("""COMPUTED_VALUE"""),0.999)</f>
        <v>0.999</v>
      </c>
      <c r="E1496" s="16">
        <f>IFERROR(__xludf.DUMMYFUNCTION("""COMPUTED_VALUE"""),71.0)</f>
        <v>71</v>
      </c>
      <c r="F1496" s="19" t="str">
        <f>IFERROR(__xludf.DUMMYFUNCTION("""COMPUTED_VALUE"""),"BLUE")</f>
        <v>BLUE</v>
      </c>
      <c r="G1496" s="20" t="str">
        <f>IFERROR(__xludf.DUMMYFUNCTION("""COMPUTED_VALUE"""),"Uncle Sams Cider (04/04/2023)")</f>
        <v>Uncle Sams Cider (04/04/2023)</v>
      </c>
      <c r="H1496" s="19"/>
    </row>
    <row r="1497">
      <c r="A1497" s="9"/>
      <c r="B1497" s="15"/>
      <c r="C1497" s="9">
        <f>IFERROR(__xludf.DUMMYFUNCTION("""COMPUTED_VALUE"""),45128.8955832523)</f>
        <v>45128.89558</v>
      </c>
      <c r="D1497" s="15">
        <f>IFERROR(__xludf.DUMMYFUNCTION("""COMPUTED_VALUE"""),0.998)</f>
        <v>0.998</v>
      </c>
      <c r="E1497" s="16">
        <f>IFERROR(__xludf.DUMMYFUNCTION("""COMPUTED_VALUE"""),71.0)</f>
        <v>71</v>
      </c>
      <c r="F1497" s="19" t="str">
        <f>IFERROR(__xludf.DUMMYFUNCTION("""COMPUTED_VALUE"""),"BLUE")</f>
        <v>BLUE</v>
      </c>
      <c r="G1497" s="20" t="str">
        <f>IFERROR(__xludf.DUMMYFUNCTION("""COMPUTED_VALUE"""),"Uncle Sams Cider (04/04/2023)")</f>
        <v>Uncle Sams Cider (04/04/2023)</v>
      </c>
      <c r="H1497" s="19"/>
    </row>
    <row r="1498">
      <c r="A1498" s="9"/>
      <c r="B1498" s="15"/>
      <c r="C1498" s="9">
        <f>IFERROR(__xludf.DUMMYFUNCTION("""COMPUTED_VALUE"""),45128.8851627199)</f>
        <v>45128.88516</v>
      </c>
      <c r="D1498" s="15">
        <f>IFERROR(__xludf.DUMMYFUNCTION("""COMPUTED_VALUE"""),0.998)</f>
        <v>0.998</v>
      </c>
      <c r="E1498" s="16">
        <f>IFERROR(__xludf.DUMMYFUNCTION("""COMPUTED_VALUE"""),71.0)</f>
        <v>71</v>
      </c>
      <c r="F1498" s="19" t="str">
        <f>IFERROR(__xludf.DUMMYFUNCTION("""COMPUTED_VALUE"""),"BLUE")</f>
        <v>BLUE</v>
      </c>
      <c r="G1498" s="20" t="str">
        <f>IFERROR(__xludf.DUMMYFUNCTION("""COMPUTED_VALUE"""),"Uncle Sams Cider (04/04/2023)")</f>
        <v>Uncle Sams Cider (04/04/2023)</v>
      </c>
      <c r="H1498" s="19"/>
    </row>
    <row r="1499">
      <c r="A1499" s="9"/>
      <c r="B1499" s="15"/>
      <c r="C1499" s="9">
        <f>IFERROR(__xludf.DUMMYFUNCTION("""COMPUTED_VALUE"""),45128.8747420254)</f>
        <v>45128.87474</v>
      </c>
      <c r="D1499" s="15">
        <f>IFERROR(__xludf.DUMMYFUNCTION("""COMPUTED_VALUE"""),0.999)</f>
        <v>0.999</v>
      </c>
      <c r="E1499" s="16">
        <f>IFERROR(__xludf.DUMMYFUNCTION("""COMPUTED_VALUE"""),71.0)</f>
        <v>71</v>
      </c>
      <c r="F1499" s="19" t="str">
        <f>IFERROR(__xludf.DUMMYFUNCTION("""COMPUTED_VALUE"""),"BLUE")</f>
        <v>BLUE</v>
      </c>
      <c r="G1499" s="20" t="str">
        <f>IFERROR(__xludf.DUMMYFUNCTION("""COMPUTED_VALUE"""),"Uncle Sams Cider (04/04/2023)")</f>
        <v>Uncle Sams Cider (04/04/2023)</v>
      </c>
      <c r="H1499" s="19"/>
    </row>
    <row r="1500">
      <c r="A1500" s="9"/>
      <c r="B1500" s="15"/>
      <c r="C1500" s="9">
        <f>IFERROR(__xludf.DUMMYFUNCTION("""COMPUTED_VALUE"""),45128.8643201736)</f>
        <v>45128.86432</v>
      </c>
      <c r="D1500" s="15">
        <f>IFERROR(__xludf.DUMMYFUNCTION("""COMPUTED_VALUE"""),0.999)</f>
        <v>0.999</v>
      </c>
      <c r="E1500" s="16">
        <f>IFERROR(__xludf.DUMMYFUNCTION("""COMPUTED_VALUE"""),71.0)</f>
        <v>71</v>
      </c>
      <c r="F1500" s="19" t="str">
        <f>IFERROR(__xludf.DUMMYFUNCTION("""COMPUTED_VALUE"""),"BLUE")</f>
        <v>BLUE</v>
      </c>
      <c r="G1500" s="20" t="str">
        <f>IFERROR(__xludf.DUMMYFUNCTION("""COMPUTED_VALUE"""),"Uncle Sams Cider (04/04/2023)")</f>
        <v>Uncle Sams Cider (04/04/2023)</v>
      </c>
      <c r="H1500" s="19"/>
    </row>
    <row r="1501">
      <c r="A1501" s="9"/>
      <c r="B1501" s="15"/>
      <c r="C1501" s="9">
        <f>IFERROR(__xludf.DUMMYFUNCTION("""COMPUTED_VALUE"""),45128.8538994328)</f>
        <v>45128.8539</v>
      </c>
      <c r="D1501" s="15">
        <f>IFERROR(__xludf.DUMMYFUNCTION("""COMPUTED_VALUE"""),0.999)</f>
        <v>0.999</v>
      </c>
      <c r="E1501" s="16">
        <f>IFERROR(__xludf.DUMMYFUNCTION("""COMPUTED_VALUE"""),71.0)</f>
        <v>71</v>
      </c>
      <c r="F1501" s="19" t="str">
        <f>IFERROR(__xludf.DUMMYFUNCTION("""COMPUTED_VALUE"""),"BLUE")</f>
        <v>BLUE</v>
      </c>
      <c r="G1501" s="20" t="str">
        <f>IFERROR(__xludf.DUMMYFUNCTION("""COMPUTED_VALUE"""),"Uncle Sams Cider (04/04/2023)")</f>
        <v>Uncle Sams Cider (04/04/2023)</v>
      </c>
      <c r="H1501" s="19"/>
    </row>
    <row r="1502">
      <c r="A1502" s="9"/>
      <c r="B1502" s="15"/>
      <c r="C1502" s="9">
        <f>IFERROR(__xludf.DUMMYFUNCTION("""COMPUTED_VALUE"""),45128.8434781481)</f>
        <v>45128.84348</v>
      </c>
      <c r="D1502" s="15">
        <f>IFERROR(__xludf.DUMMYFUNCTION("""COMPUTED_VALUE"""),0.999)</f>
        <v>0.999</v>
      </c>
      <c r="E1502" s="16">
        <f>IFERROR(__xludf.DUMMYFUNCTION("""COMPUTED_VALUE"""),71.0)</f>
        <v>71</v>
      </c>
      <c r="F1502" s="19" t="str">
        <f>IFERROR(__xludf.DUMMYFUNCTION("""COMPUTED_VALUE"""),"BLUE")</f>
        <v>BLUE</v>
      </c>
      <c r="G1502" s="20" t="str">
        <f>IFERROR(__xludf.DUMMYFUNCTION("""COMPUTED_VALUE"""),"Uncle Sams Cider (04/04/2023)")</f>
        <v>Uncle Sams Cider (04/04/2023)</v>
      </c>
      <c r="H1502" s="19"/>
    </row>
    <row r="1503">
      <c r="A1503" s="9"/>
      <c r="B1503" s="15"/>
      <c r="C1503" s="9">
        <f>IFERROR(__xludf.DUMMYFUNCTION("""COMPUTED_VALUE"""),45128.8330564236)</f>
        <v>45128.83306</v>
      </c>
      <c r="D1503" s="15">
        <f>IFERROR(__xludf.DUMMYFUNCTION("""COMPUTED_VALUE"""),0.998)</f>
        <v>0.998</v>
      </c>
      <c r="E1503" s="16">
        <f>IFERROR(__xludf.DUMMYFUNCTION("""COMPUTED_VALUE"""),71.0)</f>
        <v>71</v>
      </c>
      <c r="F1503" s="19" t="str">
        <f>IFERROR(__xludf.DUMMYFUNCTION("""COMPUTED_VALUE"""),"BLUE")</f>
        <v>BLUE</v>
      </c>
      <c r="G1503" s="20" t="str">
        <f>IFERROR(__xludf.DUMMYFUNCTION("""COMPUTED_VALUE"""),"Uncle Sams Cider (04/04/2023)")</f>
        <v>Uncle Sams Cider (04/04/2023)</v>
      </c>
      <c r="H1503" s="19"/>
    </row>
    <row r="1504">
      <c r="A1504" s="9"/>
      <c r="B1504" s="15"/>
      <c r="C1504" s="9">
        <f>IFERROR(__xludf.DUMMYFUNCTION("""COMPUTED_VALUE"""),45128.8226228703)</f>
        <v>45128.82262</v>
      </c>
      <c r="D1504" s="15">
        <f>IFERROR(__xludf.DUMMYFUNCTION("""COMPUTED_VALUE"""),0.999)</f>
        <v>0.999</v>
      </c>
      <c r="E1504" s="16">
        <f>IFERROR(__xludf.DUMMYFUNCTION("""COMPUTED_VALUE"""),71.0)</f>
        <v>71</v>
      </c>
      <c r="F1504" s="19" t="str">
        <f>IFERROR(__xludf.DUMMYFUNCTION("""COMPUTED_VALUE"""),"BLUE")</f>
        <v>BLUE</v>
      </c>
      <c r="G1504" s="20" t="str">
        <f>IFERROR(__xludf.DUMMYFUNCTION("""COMPUTED_VALUE"""),"Uncle Sams Cider (04/04/2023)")</f>
        <v>Uncle Sams Cider (04/04/2023)</v>
      </c>
      <c r="H1504" s="19"/>
    </row>
    <row r="1505">
      <c r="A1505" s="9"/>
      <c r="B1505" s="15"/>
      <c r="C1505" s="9">
        <f>IFERROR(__xludf.DUMMYFUNCTION("""COMPUTED_VALUE"""),45128.812190081)</f>
        <v>45128.81219</v>
      </c>
      <c r="D1505" s="15">
        <f>IFERROR(__xludf.DUMMYFUNCTION("""COMPUTED_VALUE"""),0.998)</f>
        <v>0.998</v>
      </c>
      <c r="E1505" s="16">
        <f>IFERROR(__xludf.DUMMYFUNCTION("""COMPUTED_VALUE"""),71.0)</f>
        <v>71</v>
      </c>
      <c r="F1505" s="19" t="str">
        <f>IFERROR(__xludf.DUMMYFUNCTION("""COMPUTED_VALUE"""),"BLUE")</f>
        <v>BLUE</v>
      </c>
      <c r="G1505" s="20" t="str">
        <f>IFERROR(__xludf.DUMMYFUNCTION("""COMPUTED_VALUE"""),"Uncle Sams Cider (04/04/2023)")</f>
        <v>Uncle Sams Cider (04/04/2023)</v>
      </c>
      <c r="H1505" s="19"/>
    </row>
    <row r="1506">
      <c r="A1506" s="9"/>
      <c r="B1506" s="15"/>
      <c r="C1506" s="9">
        <f>IFERROR(__xludf.DUMMYFUNCTION("""COMPUTED_VALUE"""),45128.801770243)</f>
        <v>45128.80177</v>
      </c>
      <c r="D1506" s="15">
        <f>IFERROR(__xludf.DUMMYFUNCTION("""COMPUTED_VALUE"""),0.999)</f>
        <v>0.999</v>
      </c>
      <c r="E1506" s="16">
        <f>IFERROR(__xludf.DUMMYFUNCTION("""COMPUTED_VALUE"""),71.0)</f>
        <v>71</v>
      </c>
      <c r="F1506" s="19" t="str">
        <f>IFERROR(__xludf.DUMMYFUNCTION("""COMPUTED_VALUE"""),"BLUE")</f>
        <v>BLUE</v>
      </c>
      <c r="G1506" s="20" t="str">
        <f>IFERROR(__xludf.DUMMYFUNCTION("""COMPUTED_VALUE"""),"Uncle Sams Cider (04/04/2023)")</f>
        <v>Uncle Sams Cider (04/04/2023)</v>
      </c>
      <c r="H1506" s="19"/>
    </row>
    <row r="1507">
      <c r="A1507" s="9"/>
      <c r="B1507" s="15"/>
      <c r="C1507" s="9">
        <f>IFERROR(__xludf.DUMMYFUNCTION("""COMPUTED_VALUE"""),45128.7913487037)</f>
        <v>45128.79135</v>
      </c>
      <c r="D1507" s="15">
        <f>IFERROR(__xludf.DUMMYFUNCTION("""COMPUTED_VALUE"""),0.999)</f>
        <v>0.999</v>
      </c>
      <c r="E1507" s="16">
        <f>IFERROR(__xludf.DUMMYFUNCTION("""COMPUTED_VALUE"""),70.0)</f>
        <v>70</v>
      </c>
      <c r="F1507" s="19" t="str">
        <f>IFERROR(__xludf.DUMMYFUNCTION("""COMPUTED_VALUE"""),"BLUE")</f>
        <v>BLUE</v>
      </c>
      <c r="G1507" s="20" t="str">
        <f>IFERROR(__xludf.DUMMYFUNCTION("""COMPUTED_VALUE"""),"Uncle Sams Cider (04/04/2023)")</f>
        <v>Uncle Sams Cider (04/04/2023)</v>
      </c>
      <c r="H1507" s="19"/>
    </row>
    <row r="1508">
      <c r="A1508" s="9"/>
      <c r="B1508" s="15"/>
      <c r="C1508" s="9">
        <f>IFERROR(__xludf.DUMMYFUNCTION("""COMPUTED_VALUE"""),45128.7809271412)</f>
        <v>45128.78093</v>
      </c>
      <c r="D1508" s="15">
        <f>IFERROR(__xludf.DUMMYFUNCTION("""COMPUTED_VALUE"""),0.999)</f>
        <v>0.999</v>
      </c>
      <c r="E1508" s="16">
        <f>IFERROR(__xludf.DUMMYFUNCTION("""COMPUTED_VALUE"""),71.0)</f>
        <v>71</v>
      </c>
      <c r="F1508" s="19" t="str">
        <f>IFERROR(__xludf.DUMMYFUNCTION("""COMPUTED_VALUE"""),"BLUE")</f>
        <v>BLUE</v>
      </c>
      <c r="G1508" s="20" t="str">
        <f>IFERROR(__xludf.DUMMYFUNCTION("""COMPUTED_VALUE"""),"Uncle Sams Cider (04/04/2023)")</f>
        <v>Uncle Sams Cider (04/04/2023)</v>
      </c>
      <c r="H1508" s="19"/>
    </row>
    <row r="1509">
      <c r="A1509" s="9"/>
      <c r="B1509" s="15"/>
      <c r="C1509" s="9">
        <f>IFERROR(__xludf.DUMMYFUNCTION("""COMPUTED_VALUE"""),45128.7704684143)</f>
        <v>45128.77047</v>
      </c>
      <c r="D1509" s="15">
        <f>IFERROR(__xludf.DUMMYFUNCTION("""COMPUTED_VALUE"""),0.999)</f>
        <v>0.999</v>
      </c>
      <c r="E1509" s="16">
        <f>IFERROR(__xludf.DUMMYFUNCTION("""COMPUTED_VALUE"""),71.0)</f>
        <v>71</v>
      </c>
      <c r="F1509" s="19" t="str">
        <f>IFERROR(__xludf.DUMMYFUNCTION("""COMPUTED_VALUE"""),"BLUE")</f>
        <v>BLUE</v>
      </c>
      <c r="G1509" s="20" t="str">
        <f>IFERROR(__xludf.DUMMYFUNCTION("""COMPUTED_VALUE"""),"Uncle Sams Cider (04/04/2023)")</f>
        <v>Uncle Sams Cider (04/04/2023)</v>
      </c>
      <c r="H1509" s="19"/>
    </row>
    <row r="1510">
      <c r="A1510" s="9"/>
      <c r="B1510" s="15"/>
      <c r="C1510" s="9">
        <f>IFERROR(__xludf.DUMMYFUNCTION("""COMPUTED_VALUE"""),45128.7600463426)</f>
        <v>45128.76005</v>
      </c>
      <c r="D1510" s="15">
        <f>IFERROR(__xludf.DUMMYFUNCTION("""COMPUTED_VALUE"""),0.999)</f>
        <v>0.999</v>
      </c>
      <c r="E1510" s="16">
        <f>IFERROR(__xludf.DUMMYFUNCTION("""COMPUTED_VALUE"""),71.0)</f>
        <v>71</v>
      </c>
      <c r="F1510" s="19" t="str">
        <f>IFERROR(__xludf.DUMMYFUNCTION("""COMPUTED_VALUE"""),"BLUE")</f>
        <v>BLUE</v>
      </c>
      <c r="G1510" s="20" t="str">
        <f>IFERROR(__xludf.DUMMYFUNCTION("""COMPUTED_VALUE"""),"Uncle Sams Cider (04/04/2023)")</f>
        <v>Uncle Sams Cider (04/04/2023)</v>
      </c>
      <c r="H1510" s="19"/>
    </row>
    <row r="1511">
      <c r="A1511" s="9"/>
      <c r="B1511" s="15"/>
      <c r="C1511" s="9">
        <f>IFERROR(__xludf.DUMMYFUNCTION("""COMPUTED_VALUE"""),45128.7496252199)</f>
        <v>45128.74963</v>
      </c>
      <c r="D1511" s="15">
        <f>IFERROR(__xludf.DUMMYFUNCTION("""COMPUTED_VALUE"""),0.999)</f>
        <v>0.999</v>
      </c>
      <c r="E1511" s="16">
        <f>IFERROR(__xludf.DUMMYFUNCTION("""COMPUTED_VALUE"""),71.0)</f>
        <v>71</v>
      </c>
      <c r="F1511" s="19" t="str">
        <f>IFERROR(__xludf.DUMMYFUNCTION("""COMPUTED_VALUE"""),"BLUE")</f>
        <v>BLUE</v>
      </c>
      <c r="G1511" s="20" t="str">
        <f>IFERROR(__xludf.DUMMYFUNCTION("""COMPUTED_VALUE"""),"Uncle Sams Cider (04/04/2023)")</f>
        <v>Uncle Sams Cider (04/04/2023)</v>
      </c>
      <c r="H1511" s="19"/>
    </row>
    <row r="1512">
      <c r="A1512" s="9"/>
      <c r="B1512" s="15"/>
      <c r="C1512" s="9">
        <f>IFERROR(__xludf.DUMMYFUNCTION("""COMPUTED_VALUE"""),45128.7392045023)</f>
        <v>45128.7392</v>
      </c>
      <c r="D1512" s="15">
        <f>IFERROR(__xludf.DUMMYFUNCTION("""COMPUTED_VALUE"""),0.999)</f>
        <v>0.999</v>
      </c>
      <c r="E1512" s="16">
        <f>IFERROR(__xludf.DUMMYFUNCTION("""COMPUTED_VALUE"""),71.0)</f>
        <v>71</v>
      </c>
      <c r="F1512" s="19" t="str">
        <f>IFERROR(__xludf.DUMMYFUNCTION("""COMPUTED_VALUE"""),"BLUE")</f>
        <v>BLUE</v>
      </c>
      <c r="G1512" s="20" t="str">
        <f>IFERROR(__xludf.DUMMYFUNCTION("""COMPUTED_VALUE"""),"Uncle Sams Cider (04/04/2023)")</f>
        <v>Uncle Sams Cider (04/04/2023)</v>
      </c>
      <c r="H1512" s="19"/>
    </row>
    <row r="1513">
      <c r="A1513" s="9"/>
      <c r="B1513" s="15"/>
      <c r="C1513" s="9">
        <f>IFERROR(__xludf.DUMMYFUNCTION("""COMPUTED_VALUE"""),45128.7287852314)</f>
        <v>45128.72879</v>
      </c>
      <c r="D1513" s="15">
        <f>IFERROR(__xludf.DUMMYFUNCTION("""COMPUTED_VALUE"""),0.999)</f>
        <v>0.999</v>
      </c>
      <c r="E1513" s="16">
        <f>IFERROR(__xludf.DUMMYFUNCTION("""COMPUTED_VALUE"""),71.0)</f>
        <v>71</v>
      </c>
      <c r="F1513" s="19" t="str">
        <f>IFERROR(__xludf.DUMMYFUNCTION("""COMPUTED_VALUE"""),"BLUE")</f>
        <v>BLUE</v>
      </c>
      <c r="G1513" s="20" t="str">
        <f>IFERROR(__xludf.DUMMYFUNCTION("""COMPUTED_VALUE"""),"Uncle Sams Cider (04/04/2023)")</f>
        <v>Uncle Sams Cider (04/04/2023)</v>
      </c>
      <c r="H1513" s="19"/>
    </row>
    <row r="1514">
      <c r="A1514" s="9"/>
      <c r="B1514" s="15"/>
      <c r="C1514" s="9">
        <f>IFERROR(__xludf.DUMMYFUNCTION("""COMPUTED_VALUE"""),45128.7183516088)</f>
        <v>45128.71835</v>
      </c>
      <c r="D1514" s="15">
        <f>IFERROR(__xludf.DUMMYFUNCTION("""COMPUTED_VALUE"""),0.998)</f>
        <v>0.998</v>
      </c>
      <c r="E1514" s="16">
        <f>IFERROR(__xludf.DUMMYFUNCTION("""COMPUTED_VALUE"""),71.0)</f>
        <v>71</v>
      </c>
      <c r="F1514" s="19" t="str">
        <f>IFERROR(__xludf.DUMMYFUNCTION("""COMPUTED_VALUE"""),"BLUE")</f>
        <v>BLUE</v>
      </c>
      <c r="G1514" s="20" t="str">
        <f>IFERROR(__xludf.DUMMYFUNCTION("""COMPUTED_VALUE"""),"Uncle Sams Cider (04/04/2023)")</f>
        <v>Uncle Sams Cider (04/04/2023)</v>
      </c>
      <c r="H1514" s="19"/>
    </row>
    <row r="1515">
      <c r="A1515" s="9"/>
      <c r="B1515" s="15"/>
      <c r="C1515" s="9">
        <f>IFERROR(__xludf.DUMMYFUNCTION("""COMPUTED_VALUE"""),45128.7079306134)</f>
        <v>45128.70793</v>
      </c>
      <c r="D1515" s="15">
        <f>IFERROR(__xludf.DUMMYFUNCTION("""COMPUTED_VALUE"""),0.999)</f>
        <v>0.999</v>
      </c>
      <c r="E1515" s="16">
        <f>IFERROR(__xludf.DUMMYFUNCTION("""COMPUTED_VALUE"""),71.0)</f>
        <v>71</v>
      </c>
      <c r="F1515" s="19" t="str">
        <f>IFERROR(__xludf.DUMMYFUNCTION("""COMPUTED_VALUE"""),"BLUE")</f>
        <v>BLUE</v>
      </c>
      <c r="G1515" s="20" t="str">
        <f>IFERROR(__xludf.DUMMYFUNCTION("""COMPUTED_VALUE"""),"Uncle Sams Cider (04/04/2023)")</f>
        <v>Uncle Sams Cider (04/04/2023)</v>
      </c>
      <c r="H1515" s="19"/>
    </row>
    <row r="1516">
      <c r="A1516" s="9"/>
      <c r="B1516" s="15"/>
      <c r="C1516" s="9">
        <f>IFERROR(__xludf.DUMMYFUNCTION("""COMPUTED_VALUE"""),45128.6975102893)</f>
        <v>45128.69751</v>
      </c>
      <c r="D1516" s="15">
        <f>IFERROR(__xludf.DUMMYFUNCTION("""COMPUTED_VALUE"""),0.998)</f>
        <v>0.998</v>
      </c>
      <c r="E1516" s="16">
        <f>IFERROR(__xludf.DUMMYFUNCTION("""COMPUTED_VALUE"""),71.0)</f>
        <v>71</v>
      </c>
      <c r="F1516" s="19" t="str">
        <f>IFERROR(__xludf.DUMMYFUNCTION("""COMPUTED_VALUE"""),"BLUE")</f>
        <v>BLUE</v>
      </c>
      <c r="G1516" s="20" t="str">
        <f>IFERROR(__xludf.DUMMYFUNCTION("""COMPUTED_VALUE"""),"Uncle Sams Cider (04/04/2023)")</f>
        <v>Uncle Sams Cider (04/04/2023)</v>
      </c>
      <c r="H1516" s="19"/>
    </row>
    <row r="1517">
      <c r="A1517" s="9"/>
      <c r="B1517" s="15"/>
      <c r="C1517" s="9">
        <f>IFERROR(__xludf.DUMMYFUNCTION("""COMPUTED_VALUE"""),45128.6870884259)</f>
        <v>45128.68709</v>
      </c>
      <c r="D1517" s="15">
        <f>IFERROR(__xludf.DUMMYFUNCTION("""COMPUTED_VALUE"""),0.999)</f>
        <v>0.999</v>
      </c>
      <c r="E1517" s="16">
        <f>IFERROR(__xludf.DUMMYFUNCTION("""COMPUTED_VALUE"""),71.0)</f>
        <v>71</v>
      </c>
      <c r="F1517" s="19" t="str">
        <f>IFERROR(__xludf.DUMMYFUNCTION("""COMPUTED_VALUE"""),"BLUE")</f>
        <v>BLUE</v>
      </c>
      <c r="G1517" s="20" t="str">
        <f>IFERROR(__xludf.DUMMYFUNCTION("""COMPUTED_VALUE"""),"Uncle Sams Cider (04/04/2023)")</f>
        <v>Uncle Sams Cider (04/04/2023)</v>
      </c>
      <c r="H1517" s="19"/>
    </row>
    <row r="1518">
      <c r="A1518" s="9"/>
      <c r="B1518" s="15"/>
      <c r="C1518" s="9">
        <f>IFERROR(__xludf.DUMMYFUNCTION("""COMPUTED_VALUE"""),45128.6766681134)</f>
        <v>45128.67667</v>
      </c>
      <c r="D1518" s="15">
        <f>IFERROR(__xludf.DUMMYFUNCTION("""COMPUTED_VALUE"""),0.999)</f>
        <v>0.999</v>
      </c>
      <c r="E1518" s="16">
        <f>IFERROR(__xludf.DUMMYFUNCTION("""COMPUTED_VALUE"""),71.0)</f>
        <v>71</v>
      </c>
      <c r="F1518" s="19" t="str">
        <f>IFERROR(__xludf.DUMMYFUNCTION("""COMPUTED_VALUE"""),"BLUE")</f>
        <v>BLUE</v>
      </c>
      <c r="G1518" s="20" t="str">
        <f>IFERROR(__xludf.DUMMYFUNCTION("""COMPUTED_VALUE"""),"Uncle Sams Cider (04/04/2023)")</f>
        <v>Uncle Sams Cider (04/04/2023)</v>
      </c>
      <c r="H1518" s="19"/>
    </row>
    <row r="1519">
      <c r="A1519" s="9"/>
      <c r="B1519" s="15"/>
      <c r="C1519" s="9">
        <f>IFERROR(__xludf.DUMMYFUNCTION("""COMPUTED_VALUE"""),45128.6662477662)</f>
        <v>45128.66625</v>
      </c>
      <c r="D1519" s="15">
        <f>IFERROR(__xludf.DUMMYFUNCTION("""COMPUTED_VALUE"""),0.999)</f>
        <v>0.999</v>
      </c>
      <c r="E1519" s="16">
        <f>IFERROR(__xludf.DUMMYFUNCTION("""COMPUTED_VALUE"""),71.0)</f>
        <v>71</v>
      </c>
      <c r="F1519" s="19" t="str">
        <f>IFERROR(__xludf.DUMMYFUNCTION("""COMPUTED_VALUE"""),"BLUE")</f>
        <v>BLUE</v>
      </c>
      <c r="G1519" s="20" t="str">
        <f>IFERROR(__xludf.DUMMYFUNCTION("""COMPUTED_VALUE"""),"Uncle Sams Cider (04/04/2023)")</f>
        <v>Uncle Sams Cider (04/04/2023)</v>
      </c>
      <c r="H1519" s="19"/>
    </row>
    <row r="1520">
      <c r="A1520" s="9"/>
      <c r="B1520" s="15"/>
      <c r="C1520" s="9">
        <f>IFERROR(__xludf.DUMMYFUNCTION("""COMPUTED_VALUE"""),45128.6558144097)</f>
        <v>45128.65581</v>
      </c>
      <c r="D1520" s="15">
        <f>IFERROR(__xludf.DUMMYFUNCTION("""COMPUTED_VALUE"""),0.999)</f>
        <v>0.999</v>
      </c>
      <c r="E1520" s="16">
        <f>IFERROR(__xludf.DUMMYFUNCTION("""COMPUTED_VALUE"""),71.0)</f>
        <v>71</v>
      </c>
      <c r="F1520" s="19" t="str">
        <f>IFERROR(__xludf.DUMMYFUNCTION("""COMPUTED_VALUE"""),"BLUE")</f>
        <v>BLUE</v>
      </c>
      <c r="G1520" s="20" t="str">
        <f>IFERROR(__xludf.DUMMYFUNCTION("""COMPUTED_VALUE"""),"Uncle Sams Cider (04/04/2023)")</f>
        <v>Uncle Sams Cider (04/04/2023)</v>
      </c>
      <c r="H1520" s="19"/>
    </row>
    <row r="1521">
      <c r="A1521" s="9"/>
      <c r="B1521" s="15"/>
      <c r="C1521" s="9">
        <f>IFERROR(__xludf.DUMMYFUNCTION("""COMPUTED_VALUE"""),45128.645391493)</f>
        <v>45128.64539</v>
      </c>
      <c r="D1521" s="15">
        <f>IFERROR(__xludf.DUMMYFUNCTION("""COMPUTED_VALUE"""),0.999)</f>
        <v>0.999</v>
      </c>
      <c r="E1521" s="16">
        <f>IFERROR(__xludf.DUMMYFUNCTION("""COMPUTED_VALUE"""),71.0)</f>
        <v>71</v>
      </c>
      <c r="F1521" s="19" t="str">
        <f>IFERROR(__xludf.DUMMYFUNCTION("""COMPUTED_VALUE"""),"BLUE")</f>
        <v>BLUE</v>
      </c>
      <c r="G1521" s="20" t="str">
        <f>IFERROR(__xludf.DUMMYFUNCTION("""COMPUTED_VALUE"""),"Uncle Sams Cider (04/04/2023)")</f>
        <v>Uncle Sams Cider (04/04/2023)</v>
      </c>
      <c r="H1521" s="19"/>
    </row>
    <row r="1522">
      <c r="A1522" s="9"/>
      <c r="B1522" s="15"/>
      <c r="C1522" s="9">
        <f>IFERROR(__xludf.DUMMYFUNCTION("""COMPUTED_VALUE"""),45128.6349689467)</f>
        <v>45128.63497</v>
      </c>
      <c r="D1522" s="15">
        <f>IFERROR(__xludf.DUMMYFUNCTION("""COMPUTED_VALUE"""),0.999)</f>
        <v>0.999</v>
      </c>
      <c r="E1522" s="16">
        <f>IFERROR(__xludf.DUMMYFUNCTION("""COMPUTED_VALUE"""),71.0)</f>
        <v>71</v>
      </c>
      <c r="F1522" s="19" t="str">
        <f>IFERROR(__xludf.DUMMYFUNCTION("""COMPUTED_VALUE"""),"BLUE")</f>
        <v>BLUE</v>
      </c>
      <c r="G1522" s="20" t="str">
        <f>IFERROR(__xludf.DUMMYFUNCTION("""COMPUTED_VALUE"""),"Uncle Sams Cider (04/04/2023)")</f>
        <v>Uncle Sams Cider (04/04/2023)</v>
      </c>
      <c r="H1522" s="19"/>
    </row>
    <row r="1523">
      <c r="A1523" s="9"/>
      <c r="B1523" s="15"/>
      <c r="C1523" s="9">
        <f>IFERROR(__xludf.DUMMYFUNCTION("""COMPUTED_VALUE"""),45128.6245481365)</f>
        <v>45128.62455</v>
      </c>
      <c r="D1523" s="15">
        <f>IFERROR(__xludf.DUMMYFUNCTION("""COMPUTED_VALUE"""),0.999)</f>
        <v>0.999</v>
      </c>
      <c r="E1523" s="16">
        <f>IFERROR(__xludf.DUMMYFUNCTION("""COMPUTED_VALUE"""),71.0)</f>
        <v>71</v>
      </c>
      <c r="F1523" s="19" t="str">
        <f>IFERROR(__xludf.DUMMYFUNCTION("""COMPUTED_VALUE"""),"BLUE")</f>
        <v>BLUE</v>
      </c>
      <c r="G1523" s="20" t="str">
        <f>IFERROR(__xludf.DUMMYFUNCTION("""COMPUTED_VALUE"""),"Uncle Sams Cider (04/04/2023)")</f>
        <v>Uncle Sams Cider (04/04/2023)</v>
      </c>
      <c r="H1523" s="19"/>
    </row>
    <row r="1524">
      <c r="A1524" s="9"/>
      <c r="B1524" s="15"/>
      <c r="C1524" s="9">
        <f>IFERROR(__xludf.DUMMYFUNCTION("""COMPUTED_VALUE"""),45128.6141256597)</f>
        <v>45128.61413</v>
      </c>
      <c r="D1524" s="15">
        <f>IFERROR(__xludf.DUMMYFUNCTION("""COMPUTED_VALUE"""),0.999)</f>
        <v>0.999</v>
      </c>
      <c r="E1524" s="16">
        <f>IFERROR(__xludf.DUMMYFUNCTION("""COMPUTED_VALUE"""),71.0)</f>
        <v>71</v>
      </c>
      <c r="F1524" s="19" t="str">
        <f>IFERROR(__xludf.DUMMYFUNCTION("""COMPUTED_VALUE"""),"BLUE")</f>
        <v>BLUE</v>
      </c>
      <c r="G1524" s="20" t="str">
        <f>IFERROR(__xludf.DUMMYFUNCTION("""COMPUTED_VALUE"""),"Uncle Sams Cider (04/04/2023)")</f>
        <v>Uncle Sams Cider (04/04/2023)</v>
      </c>
      <c r="H1524" s="19"/>
    </row>
    <row r="1525">
      <c r="A1525" s="9"/>
      <c r="B1525" s="15"/>
      <c r="C1525" s="9">
        <f>IFERROR(__xludf.DUMMYFUNCTION("""COMPUTED_VALUE"""),45128.6037061805)</f>
        <v>45128.60371</v>
      </c>
      <c r="D1525" s="15">
        <f>IFERROR(__xludf.DUMMYFUNCTION("""COMPUTED_VALUE"""),0.999)</f>
        <v>0.999</v>
      </c>
      <c r="E1525" s="16">
        <f>IFERROR(__xludf.DUMMYFUNCTION("""COMPUTED_VALUE"""),71.0)</f>
        <v>71</v>
      </c>
      <c r="F1525" s="19" t="str">
        <f>IFERROR(__xludf.DUMMYFUNCTION("""COMPUTED_VALUE"""),"BLUE")</f>
        <v>BLUE</v>
      </c>
      <c r="G1525" s="20" t="str">
        <f>IFERROR(__xludf.DUMMYFUNCTION("""COMPUTED_VALUE"""),"Uncle Sams Cider (04/04/2023)")</f>
        <v>Uncle Sams Cider (04/04/2023)</v>
      </c>
      <c r="H1525" s="19"/>
    </row>
    <row r="1526">
      <c r="A1526" s="9"/>
      <c r="B1526" s="15"/>
      <c r="C1526" s="9">
        <f>IFERROR(__xludf.DUMMYFUNCTION("""COMPUTED_VALUE"""),45128.5932732407)</f>
        <v>45128.59327</v>
      </c>
      <c r="D1526" s="15">
        <f>IFERROR(__xludf.DUMMYFUNCTION("""COMPUTED_VALUE"""),0.999)</f>
        <v>0.999</v>
      </c>
      <c r="E1526" s="16">
        <f>IFERROR(__xludf.DUMMYFUNCTION("""COMPUTED_VALUE"""),71.0)</f>
        <v>71</v>
      </c>
      <c r="F1526" s="19" t="str">
        <f>IFERROR(__xludf.DUMMYFUNCTION("""COMPUTED_VALUE"""),"BLUE")</f>
        <v>BLUE</v>
      </c>
      <c r="G1526" s="20" t="str">
        <f>IFERROR(__xludf.DUMMYFUNCTION("""COMPUTED_VALUE"""),"Uncle Sams Cider (04/04/2023)")</f>
        <v>Uncle Sams Cider (04/04/2023)</v>
      </c>
      <c r="H1526" s="19"/>
    </row>
    <row r="1527">
      <c r="A1527" s="9"/>
      <c r="B1527" s="15"/>
      <c r="C1527" s="9">
        <f>IFERROR(__xludf.DUMMYFUNCTION("""COMPUTED_VALUE"""),45128.582851412)</f>
        <v>45128.58285</v>
      </c>
      <c r="D1527" s="15">
        <f>IFERROR(__xludf.DUMMYFUNCTION("""COMPUTED_VALUE"""),0.999)</f>
        <v>0.999</v>
      </c>
      <c r="E1527" s="16">
        <f>IFERROR(__xludf.DUMMYFUNCTION("""COMPUTED_VALUE"""),71.0)</f>
        <v>71</v>
      </c>
      <c r="F1527" s="19" t="str">
        <f>IFERROR(__xludf.DUMMYFUNCTION("""COMPUTED_VALUE"""),"BLUE")</f>
        <v>BLUE</v>
      </c>
      <c r="G1527" s="20" t="str">
        <f>IFERROR(__xludf.DUMMYFUNCTION("""COMPUTED_VALUE"""),"Uncle Sams Cider (04/04/2023)")</f>
        <v>Uncle Sams Cider (04/04/2023)</v>
      </c>
      <c r="H1527" s="19"/>
    </row>
    <row r="1528">
      <c r="A1528" s="9"/>
      <c r="B1528" s="15"/>
      <c r="C1528" s="9">
        <f>IFERROR(__xludf.DUMMYFUNCTION("""COMPUTED_VALUE"""),45128.5724285995)</f>
        <v>45128.57243</v>
      </c>
      <c r="D1528" s="15">
        <f>IFERROR(__xludf.DUMMYFUNCTION("""COMPUTED_VALUE"""),0.999)</f>
        <v>0.999</v>
      </c>
      <c r="E1528" s="16">
        <f>IFERROR(__xludf.DUMMYFUNCTION("""COMPUTED_VALUE"""),71.0)</f>
        <v>71</v>
      </c>
      <c r="F1528" s="19" t="str">
        <f>IFERROR(__xludf.DUMMYFUNCTION("""COMPUTED_VALUE"""),"BLUE")</f>
        <v>BLUE</v>
      </c>
      <c r="G1528" s="20" t="str">
        <f>IFERROR(__xludf.DUMMYFUNCTION("""COMPUTED_VALUE"""),"Uncle Sams Cider (04/04/2023)")</f>
        <v>Uncle Sams Cider (04/04/2023)</v>
      </c>
      <c r="H1528" s="19"/>
    </row>
    <row r="1529">
      <c r="A1529" s="9"/>
      <c r="B1529" s="15"/>
      <c r="C1529" s="9">
        <f>IFERROR(__xludf.DUMMYFUNCTION("""COMPUTED_VALUE"""),45128.5619969328)</f>
        <v>45128.562</v>
      </c>
      <c r="D1529" s="15">
        <f>IFERROR(__xludf.DUMMYFUNCTION("""COMPUTED_VALUE"""),0.999)</f>
        <v>0.999</v>
      </c>
      <c r="E1529" s="16">
        <f>IFERROR(__xludf.DUMMYFUNCTION("""COMPUTED_VALUE"""),71.0)</f>
        <v>71</v>
      </c>
      <c r="F1529" s="19" t="str">
        <f>IFERROR(__xludf.DUMMYFUNCTION("""COMPUTED_VALUE"""),"BLUE")</f>
        <v>BLUE</v>
      </c>
      <c r="G1529" s="20" t="str">
        <f>IFERROR(__xludf.DUMMYFUNCTION("""COMPUTED_VALUE"""),"Uncle Sams Cider (04/04/2023)")</f>
        <v>Uncle Sams Cider (04/04/2023)</v>
      </c>
      <c r="H1529" s="19"/>
    </row>
    <row r="1530">
      <c r="A1530" s="9"/>
      <c r="B1530" s="15"/>
      <c r="C1530" s="9">
        <f>IFERROR(__xludf.DUMMYFUNCTION("""COMPUTED_VALUE"""),45128.5515750925)</f>
        <v>45128.55158</v>
      </c>
      <c r="D1530" s="15">
        <f>IFERROR(__xludf.DUMMYFUNCTION("""COMPUTED_VALUE"""),0.999)</f>
        <v>0.999</v>
      </c>
      <c r="E1530" s="16">
        <f>IFERROR(__xludf.DUMMYFUNCTION("""COMPUTED_VALUE"""),71.0)</f>
        <v>71</v>
      </c>
      <c r="F1530" s="19" t="str">
        <f>IFERROR(__xludf.DUMMYFUNCTION("""COMPUTED_VALUE"""),"BLUE")</f>
        <v>BLUE</v>
      </c>
      <c r="G1530" s="20" t="str">
        <f>IFERROR(__xludf.DUMMYFUNCTION("""COMPUTED_VALUE"""),"Uncle Sams Cider (04/04/2023)")</f>
        <v>Uncle Sams Cider (04/04/2023)</v>
      </c>
      <c r="H1530" s="19"/>
    </row>
    <row r="1531">
      <c r="A1531" s="9"/>
      <c r="B1531" s="15"/>
      <c r="C1531" s="9">
        <f>IFERROR(__xludf.DUMMYFUNCTION("""COMPUTED_VALUE"""),45128.5411529051)</f>
        <v>45128.54115</v>
      </c>
      <c r="D1531" s="15">
        <f>IFERROR(__xludf.DUMMYFUNCTION("""COMPUTED_VALUE"""),0.998)</f>
        <v>0.998</v>
      </c>
      <c r="E1531" s="16">
        <f>IFERROR(__xludf.DUMMYFUNCTION("""COMPUTED_VALUE"""),71.0)</f>
        <v>71</v>
      </c>
      <c r="F1531" s="19" t="str">
        <f>IFERROR(__xludf.DUMMYFUNCTION("""COMPUTED_VALUE"""),"BLUE")</f>
        <v>BLUE</v>
      </c>
      <c r="G1531" s="20" t="str">
        <f>IFERROR(__xludf.DUMMYFUNCTION("""COMPUTED_VALUE"""),"Uncle Sams Cider (04/04/2023)")</f>
        <v>Uncle Sams Cider (04/04/2023)</v>
      </c>
      <c r="H1531" s="19"/>
    </row>
    <row r="1532">
      <c r="A1532" s="9"/>
      <c r="B1532" s="15"/>
      <c r="C1532" s="9">
        <f>IFERROR(__xludf.DUMMYFUNCTION("""COMPUTED_VALUE"""),45128.53072)</f>
        <v>45128.53072</v>
      </c>
      <c r="D1532" s="15">
        <f>IFERROR(__xludf.DUMMYFUNCTION("""COMPUTED_VALUE"""),0.999)</f>
        <v>0.999</v>
      </c>
      <c r="E1532" s="16">
        <f>IFERROR(__xludf.DUMMYFUNCTION("""COMPUTED_VALUE"""),71.0)</f>
        <v>71</v>
      </c>
      <c r="F1532" s="19" t="str">
        <f>IFERROR(__xludf.DUMMYFUNCTION("""COMPUTED_VALUE"""),"BLUE")</f>
        <v>BLUE</v>
      </c>
      <c r="G1532" s="20" t="str">
        <f>IFERROR(__xludf.DUMMYFUNCTION("""COMPUTED_VALUE"""),"Uncle Sams Cider (04/04/2023)")</f>
        <v>Uncle Sams Cider (04/04/2023)</v>
      </c>
      <c r="H1532" s="19"/>
    </row>
    <row r="1533">
      <c r="A1533" s="9"/>
      <c r="B1533" s="15"/>
      <c r="C1533" s="9">
        <f>IFERROR(__xludf.DUMMYFUNCTION("""COMPUTED_VALUE"""),45128.5202984143)</f>
        <v>45128.5203</v>
      </c>
      <c r="D1533" s="15">
        <f>IFERROR(__xludf.DUMMYFUNCTION("""COMPUTED_VALUE"""),0.999)</f>
        <v>0.999</v>
      </c>
      <c r="E1533" s="16">
        <f>IFERROR(__xludf.DUMMYFUNCTION("""COMPUTED_VALUE"""),71.0)</f>
        <v>71</v>
      </c>
      <c r="F1533" s="19" t="str">
        <f>IFERROR(__xludf.DUMMYFUNCTION("""COMPUTED_VALUE"""),"BLUE")</f>
        <v>BLUE</v>
      </c>
      <c r="G1533" s="20" t="str">
        <f>IFERROR(__xludf.DUMMYFUNCTION("""COMPUTED_VALUE"""),"Uncle Sams Cider (04/04/2023)")</f>
        <v>Uncle Sams Cider (04/04/2023)</v>
      </c>
      <c r="H1533" s="19"/>
    </row>
    <row r="1534">
      <c r="A1534" s="9"/>
      <c r="B1534" s="15"/>
      <c r="C1534" s="9">
        <f>IFERROR(__xludf.DUMMYFUNCTION("""COMPUTED_VALUE"""),45128.5098668981)</f>
        <v>45128.50987</v>
      </c>
      <c r="D1534" s="15">
        <f>IFERROR(__xludf.DUMMYFUNCTION("""COMPUTED_VALUE"""),0.998)</f>
        <v>0.998</v>
      </c>
      <c r="E1534" s="16">
        <f>IFERROR(__xludf.DUMMYFUNCTION("""COMPUTED_VALUE"""),71.0)</f>
        <v>71</v>
      </c>
      <c r="F1534" s="19" t="str">
        <f>IFERROR(__xludf.DUMMYFUNCTION("""COMPUTED_VALUE"""),"BLUE")</f>
        <v>BLUE</v>
      </c>
      <c r="G1534" s="20" t="str">
        <f>IFERROR(__xludf.DUMMYFUNCTION("""COMPUTED_VALUE"""),"Uncle Sams Cider (04/04/2023)")</f>
        <v>Uncle Sams Cider (04/04/2023)</v>
      </c>
      <c r="H1534" s="19"/>
    </row>
    <row r="1535">
      <c r="A1535" s="9"/>
      <c r="B1535" s="15"/>
      <c r="C1535" s="9">
        <f>IFERROR(__xludf.DUMMYFUNCTION("""COMPUTED_VALUE"""),45128.4994454976)</f>
        <v>45128.49945</v>
      </c>
      <c r="D1535" s="15">
        <f>IFERROR(__xludf.DUMMYFUNCTION("""COMPUTED_VALUE"""),0.999)</f>
        <v>0.999</v>
      </c>
      <c r="E1535" s="16">
        <f>IFERROR(__xludf.DUMMYFUNCTION("""COMPUTED_VALUE"""),71.0)</f>
        <v>71</v>
      </c>
      <c r="F1535" s="19" t="str">
        <f>IFERROR(__xludf.DUMMYFUNCTION("""COMPUTED_VALUE"""),"BLUE")</f>
        <v>BLUE</v>
      </c>
      <c r="G1535" s="20" t="str">
        <f>IFERROR(__xludf.DUMMYFUNCTION("""COMPUTED_VALUE"""),"Uncle Sams Cider (04/04/2023)")</f>
        <v>Uncle Sams Cider (04/04/2023)</v>
      </c>
      <c r="H1535" s="19"/>
    </row>
    <row r="1536">
      <c r="A1536" s="9"/>
      <c r="B1536" s="15"/>
      <c r="C1536" s="9">
        <f>IFERROR(__xludf.DUMMYFUNCTION("""COMPUTED_VALUE"""),45128.4890234953)</f>
        <v>45128.48902</v>
      </c>
      <c r="D1536" s="15">
        <f>IFERROR(__xludf.DUMMYFUNCTION("""COMPUTED_VALUE"""),0.999)</f>
        <v>0.999</v>
      </c>
      <c r="E1536" s="16">
        <f>IFERROR(__xludf.DUMMYFUNCTION("""COMPUTED_VALUE"""),71.0)</f>
        <v>71</v>
      </c>
      <c r="F1536" s="19" t="str">
        <f>IFERROR(__xludf.DUMMYFUNCTION("""COMPUTED_VALUE"""),"BLUE")</f>
        <v>BLUE</v>
      </c>
      <c r="G1536" s="20" t="str">
        <f>IFERROR(__xludf.DUMMYFUNCTION("""COMPUTED_VALUE"""),"Uncle Sams Cider (04/04/2023)")</f>
        <v>Uncle Sams Cider (04/04/2023)</v>
      </c>
      <c r="H1536" s="19"/>
    </row>
    <row r="1537">
      <c r="A1537" s="9"/>
      <c r="B1537" s="15"/>
      <c r="C1537" s="9">
        <f>IFERROR(__xludf.DUMMYFUNCTION("""COMPUTED_VALUE"""),45128.4785917013)</f>
        <v>45128.47859</v>
      </c>
      <c r="D1537" s="15">
        <f>IFERROR(__xludf.DUMMYFUNCTION("""COMPUTED_VALUE"""),0.999)</f>
        <v>0.999</v>
      </c>
      <c r="E1537" s="16">
        <f>IFERROR(__xludf.DUMMYFUNCTION("""COMPUTED_VALUE"""),71.0)</f>
        <v>71</v>
      </c>
      <c r="F1537" s="19" t="str">
        <f>IFERROR(__xludf.DUMMYFUNCTION("""COMPUTED_VALUE"""),"BLUE")</f>
        <v>BLUE</v>
      </c>
      <c r="G1537" s="20" t="str">
        <f>IFERROR(__xludf.DUMMYFUNCTION("""COMPUTED_VALUE"""),"Uncle Sams Cider (04/04/2023)")</f>
        <v>Uncle Sams Cider (04/04/2023)</v>
      </c>
      <c r="H1537" s="19"/>
    </row>
    <row r="1538">
      <c r="A1538" s="9"/>
      <c r="B1538" s="15"/>
      <c r="C1538" s="9">
        <f>IFERROR(__xludf.DUMMYFUNCTION("""COMPUTED_VALUE"""),45128.4681720138)</f>
        <v>45128.46817</v>
      </c>
      <c r="D1538" s="15">
        <f>IFERROR(__xludf.DUMMYFUNCTION("""COMPUTED_VALUE"""),0.999)</f>
        <v>0.999</v>
      </c>
      <c r="E1538" s="16">
        <f>IFERROR(__xludf.DUMMYFUNCTION("""COMPUTED_VALUE"""),71.0)</f>
        <v>71</v>
      </c>
      <c r="F1538" s="19" t="str">
        <f>IFERROR(__xludf.DUMMYFUNCTION("""COMPUTED_VALUE"""),"BLUE")</f>
        <v>BLUE</v>
      </c>
      <c r="G1538" s="20" t="str">
        <f>IFERROR(__xludf.DUMMYFUNCTION("""COMPUTED_VALUE"""),"Uncle Sams Cider (04/04/2023)")</f>
        <v>Uncle Sams Cider (04/04/2023)</v>
      </c>
      <c r="H1538" s="19"/>
    </row>
    <row r="1539">
      <c r="A1539" s="9"/>
      <c r="B1539" s="15"/>
      <c r="C1539" s="9">
        <f>IFERROR(__xludf.DUMMYFUNCTION("""COMPUTED_VALUE"""),45128.4577385069)</f>
        <v>45128.45774</v>
      </c>
      <c r="D1539" s="15">
        <f>IFERROR(__xludf.DUMMYFUNCTION("""COMPUTED_VALUE"""),0.999)</f>
        <v>0.999</v>
      </c>
      <c r="E1539" s="16">
        <f>IFERROR(__xludf.DUMMYFUNCTION("""COMPUTED_VALUE"""),71.0)</f>
        <v>71</v>
      </c>
      <c r="F1539" s="19" t="str">
        <f>IFERROR(__xludf.DUMMYFUNCTION("""COMPUTED_VALUE"""),"BLUE")</f>
        <v>BLUE</v>
      </c>
      <c r="G1539" s="20" t="str">
        <f>IFERROR(__xludf.DUMMYFUNCTION("""COMPUTED_VALUE"""),"Uncle Sams Cider (04/04/2023)")</f>
        <v>Uncle Sams Cider (04/04/2023)</v>
      </c>
      <c r="H1539" s="19"/>
    </row>
    <row r="1540">
      <c r="A1540" s="9"/>
      <c r="B1540" s="15"/>
      <c r="C1540" s="9">
        <f>IFERROR(__xludf.DUMMYFUNCTION("""COMPUTED_VALUE"""),45128.4473193055)</f>
        <v>45128.44732</v>
      </c>
      <c r="D1540" s="15">
        <f>IFERROR(__xludf.DUMMYFUNCTION("""COMPUTED_VALUE"""),0.999)</f>
        <v>0.999</v>
      </c>
      <c r="E1540" s="16">
        <f>IFERROR(__xludf.DUMMYFUNCTION("""COMPUTED_VALUE"""),71.0)</f>
        <v>71</v>
      </c>
      <c r="F1540" s="19" t="str">
        <f>IFERROR(__xludf.DUMMYFUNCTION("""COMPUTED_VALUE"""),"BLUE")</f>
        <v>BLUE</v>
      </c>
      <c r="G1540" s="20" t="str">
        <f>IFERROR(__xludf.DUMMYFUNCTION("""COMPUTED_VALUE"""),"Uncle Sams Cider (04/04/2023)")</f>
        <v>Uncle Sams Cider (04/04/2023)</v>
      </c>
      <c r="H1540" s="19"/>
    </row>
    <row r="1541">
      <c r="A1541" s="9"/>
      <c r="B1541" s="15"/>
      <c r="C1541" s="9">
        <f>IFERROR(__xludf.DUMMYFUNCTION("""COMPUTED_VALUE"""),45128.4368994097)</f>
        <v>45128.4369</v>
      </c>
      <c r="D1541" s="15">
        <f>IFERROR(__xludf.DUMMYFUNCTION("""COMPUTED_VALUE"""),0.999)</f>
        <v>0.999</v>
      </c>
      <c r="E1541" s="16">
        <f>IFERROR(__xludf.DUMMYFUNCTION("""COMPUTED_VALUE"""),71.0)</f>
        <v>71</v>
      </c>
      <c r="F1541" s="19" t="str">
        <f>IFERROR(__xludf.DUMMYFUNCTION("""COMPUTED_VALUE"""),"BLUE")</f>
        <v>BLUE</v>
      </c>
      <c r="G1541" s="20" t="str">
        <f>IFERROR(__xludf.DUMMYFUNCTION("""COMPUTED_VALUE"""),"Uncle Sams Cider (04/04/2023)")</f>
        <v>Uncle Sams Cider (04/04/2023)</v>
      </c>
      <c r="H1541" s="19"/>
    </row>
    <row r="1542">
      <c r="A1542" s="9"/>
      <c r="B1542" s="15"/>
      <c r="C1542" s="9">
        <f>IFERROR(__xludf.DUMMYFUNCTION("""COMPUTED_VALUE"""),45128.4264785648)</f>
        <v>45128.42648</v>
      </c>
      <c r="D1542" s="15">
        <f>IFERROR(__xludf.DUMMYFUNCTION("""COMPUTED_VALUE"""),0.998)</f>
        <v>0.998</v>
      </c>
      <c r="E1542" s="16">
        <f>IFERROR(__xludf.DUMMYFUNCTION("""COMPUTED_VALUE"""),71.0)</f>
        <v>71</v>
      </c>
      <c r="F1542" s="19" t="str">
        <f>IFERROR(__xludf.DUMMYFUNCTION("""COMPUTED_VALUE"""),"BLUE")</f>
        <v>BLUE</v>
      </c>
      <c r="G1542" s="20" t="str">
        <f>IFERROR(__xludf.DUMMYFUNCTION("""COMPUTED_VALUE"""),"Uncle Sams Cider (04/04/2023)")</f>
        <v>Uncle Sams Cider (04/04/2023)</v>
      </c>
      <c r="H1542" s="19"/>
    </row>
    <row r="1543">
      <c r="A1543" s="9"/>
      <c r="B1543" s="15"/>
      <c r="C1543" s="9">
        <f>IFERROR(__xludf.DUMMYFUNCTION("""COMPUTED_VALUE"""),45128.4160592824)</f>
        <v>45128.41606</v>
      </c>
      <c r="D1543" s="15">
        <f>IFERROR(__xludf.DUMMYFUNCTION("""COMPUTED_VALUE"""),0.998)</f>
        <v>0.998</v>
      </c>
      <c r="E1543" s="16">
        <f>IFERROR(__xludf.DUMMYFUNCTION("""COMPUTED_VALUE"""),71.0)</f>
        <v>71</v>
      </c>
      <c r="F1543" s="19" t="str">
        <f>IFERROR(__xludf.DUMMYFUNCTION("""COMPUTED_VALUE"""),"BLUE")</f>
        <v>BLUE</v>
      </c>
      <c r="G1543" s="20" t="str">
        <f>IFERROR(__xludf.DUMMYFUNCTION("""COMPUTED_VALUE"""),"Uncle Sams Cider (04/04/2023)")</f>
        <v>Uncle Sams Cider (04/04/2023)</v>
      </c>
      <c r="H1543" s="19"/>
    </row>
    <row r="1544">
      <c r="A1544" s="9"/>
      <c r="B1544" s="15"/>
      <c r="C1544" s="9">
        <f>IFERROR(__xludf.DUMMYFUNCTION("""COMPUTED_VALUE"""),45128.405638125)</f>
        <v>45128.40564</v>
      </c>
      <c r="D1544" s="15">
        <f>IFERROR(__xludf.DUMMYFUNCTION("""COMPUTED_VALUE"""),0.999)</f>
        <v>0.999</v>
      </c>
      <c r="E1544" s="16">
        <f>IFERROR(__xludf.DUMMYFUNCTION("""COMPUTED_VALUE"""),71.0)</f>
        <v>71</v>
      </c>
      <c r="F1544" s="19" t="str">
        <f>IFERROR(__xludf.DUMMYFUNCTION("""COMPUTED_VALUE"""),"BLUE")</f>
        <v>BLUE</v>
      </c>
      <c r="G1544" s="20" t="str">
        <f>IFERROR(__xludf.DUMMYFUNCTION("""COMPUTED_VALUE"""),"Uncle Sams Cider (04/04/2023)")</f>
        <v>Uncle Sams Cider (04/04/2023)</v>
      </c>
      <c r="H1544" s="19"/>
    </row>
    <row r="1545">
      <c r="A1545" s="9"/>
      <c r="B1545" s="15"/>
      <c r="C1545" s="9">
        <f>IFERROR(__xludf.DUMMYFUNCTION("""COMPUTED_VALUE"""),45128.3952158217)</f>
        <v>45128.39522</v>
      </c>
      <c r="D1545" s="15">
        <f>IFERROR(__xludf.DUMMYFUNCTION("""COMPUTED_VALUE"""),0.999)</f>
        <v>0.999</v>
      </c>
      <c r="E1545" s="16">
        <f>IFERROR(__xludf.DUMMYFUNCTION("""COMPUTED_VALUE"""),71.0)</f>
        <v>71</v>
      </c>
      <c r="F1545" s="19" t="str">
        <f>IFERROR(__xludf.DUMMYFUNCTION("""COMPUTED_VALUE"""),"BLUE")</f>
        <v>BLUE</v>
      </c>
      <c r="G1545" s="20" t="str">
        <f>IFERROR(__xludf.DUMMYFUNCTION("""COMPUTED_VALUE"""),"Uncle Sams Cider (04/04/2023)")</f>
        <v>Uncle Sams Cider (04/04/2023)</v>
      </c>
      <c r="H1545" s="19"/>
    </row>
    <row r="1546">
      <c r="A1546" s="9"/>
      <c r="B1546" s="15"/>
      <c r="C1546" s="9">
        <f>IFERROR(__xludf.DUMMYFUNCTION("""COMPUTED_VALUE"""),45128.3847825115)</f>
        <v>45128.38478</v>
      </c>
      <c r="D1546" s="15">
        <f>IFERROR(__xludf.DUMMYFUNCTION("""COMPUTED_VALUE"""),0.998)</f>
        <v>0.998</v>
      </c>
      <c r="E1546" s="16">
        <f>IFERROR(__xludf.DUMMYFUNCTION("""COMPUTED_VALUE"""),71.0)</f>
        <v>71</v>
      </c>
      <c r="F1546" s="19" t="str">
        <f>IFERROR(__xludf.DUMMYFUNCTION("""COMPUTED_VALUE"""),"BLUE")</f>
        <v>BLUE</v>
      </c>
      <c r="G1546" s="20" t="str">
        <f>IFERROR(__xludf.DUMMYFUNCTION("""COMPUTED_VALUE"""),"Uncle Sams Cider (04/04/2023)")</f>
        <v>Uncle Sams Cider (04/04/2023)</v>
      </c>
      <c r="H1546" s="19"/>
    </row>
    <row r="1547">
      <c r="A1547" s="9"/>
      <c r="B1547" s="15"/>
      <c r="C1547" s="9">
        <f>IFERROR(__xludf.DUMMYFUNCTION("""COMPUTED_VALUE"""),45128.3743611921)</f>
        <v>45128.37436</v>
      </c>
      <c r="D1547" s="15">
        <f>IFERROR(__xludf.DUMMYFUNCTION("""COMPUTED_VALUE"""),0.999)</f>
        <v>0.999</v>
      </c>
      <c r="E1547" s="16">
        <f>IFERROR(__xludf.DUMMYFUNCTION("""COMPUTED_VALUE"""),71.0)</f>
        <v>71</v>
      </c>
      <c r="F1547" s="19" t="str">
        <f>IFERROR(__xludf.DUMMYFUNCTION("""COMPUTED_VALUE"""),"BLUE")</f>
        <v>BLUE</v>
      </c>
      <c r="G1547" s="20" t="str">
        <f>IFERROR(__xludf.DUMMYFUNCTION("""COMPUTED_VALUE"""),"Uncle Sams Cider (04/04/2023)")</f>
        <v>Uncle Sams Cider (04/04/2023)</v>
      </c>
      <c r="H1547" s="19"/>
    </row>
    <row r="1548">
      <c r="A1548" s="9"/>
      <c r="B1548" s="15"/>
      <c r="C1548" s="9">
        <f>IFERROR(__xludf.DUMMYFUNCTION("""COMPUTED_VALUE"""),45128.3639275694)</f>
        <v>45128.36393</v>
      </c>
      <c r="D1548" s="15">
        <f>IFERROR(__xludf.DUMMYFUNCTION("""COMPUTED_VALUE"""),0.999)</f>
        <v>0.999</v>
      </c>
      <c r="E1548" s="16">
        <f>IFERROR(__xludf.DUMMYFUNCTION("""COMPUTED_VALUE"""),71.0)</f>
        <v>71</v>
      </c>
      <c r="F1548" s="19" t="str">
        <f>IFERROR(__xludf.DUMMYFUNCTION("""COMPUTED_VALUE"""),"BLUE")</f>
        <v>BLUE</v>
      </c>
      <c r="G1548" s="20" t="str">
        <f>IFERROR(__xludf.DUMMYFUNCTION("""COMPUTED_VALUE"""),"Uncle Sams Cider (04/04/2023)")</f>
        <v>Uncle Sams Cider (04/04/2023)</v>
      </c>
      <c r="H1548" s="19"/>
    </row>
    <row r="1549">
      <c r="A1549" s="9"/>
      <c r="B1549" s="15"/>
      <c r="C1549" s="9">
        <f>IFERROR(__xludf.DUMMYFUNCTION("""COMPUTED_VALUE"""),45128.3535059953)</f>
        <v>45128.35351</v>
      </c>
      <c r="D1549" s="15">
        <f>IFERROR(__xludf.DUMMYFUNCTION("""COMPUTED_VALUE"""),0.999)</f>
        <v>0.999</v>
      </c>
      <c r="E1549" s="16">
        <f>IFERROR(__xludf.DUMMYFUNCTION("""COMPUTED_VALUE"""),71.0)</f>
        <v>71</v>
      </c>
      <c r="F1549" s="19" t="str">
        <f>IFERROR(__xludf.DUMMYFUNCTION("""COMPUTED_VALUE"""),"BLUE")</f>
        <v>BLUE</v>
      </c>
      <c r="G1549" s="20" t="str">
        <f>IFERROR(__xludf.DUMMYFUNCTION("""COMPUTED_VALUE"""),"Uncle Sams Cider (04/04/2023)")</f>
        <v>Uncle Sams Cider (04/04/2023)</v>
      </c>
      <c r="H1549" s="19"/>
    </row>
    <row r="1550">
      <c r="A1550" s="9"/>
      <c r="B1550" s="15"/>
      <c r="C1550" s="9">
        <f>IFERROR(__xludf.DUMMYFUNCTION("""COMPUTED_VALUE"""),45128.3430854051)</f>
        <v>45128.34309</v>
      </c>
      <c r="D1550" s="15">
        <f>IFERROR(__xludf.DUMMYFUNCTION("""COMPUTED_VALUE"""),0.999)</f>
        <v>0.999</v>
      </c>
      <c r="E1550" s="16">
        <f>IFERROR(__xludf.DUMMYFUNCTION("""COMPUTED_VALUE"""),71.0)</f>
        <v>71</v>
      </c>
      <c r="F1550" s="19" t="str">
        <f>IFERROR(__xludf.DUMMYFUNCTION("""COMPUTED_VALUE"""),"BLUE")</f>
        <v>BLUE</v>
      </c>
      <c r="G1550" s="20" t="str">
        <f>IFERROR(__xludf.DUMMYFUNCTION("""COMPUTED_VALUE"""),"Uncle Sams Cider (04/04/2023)")</f>
        <v>Uncle Sams Cider (04/04/2023)</v>
      </c>
      <c r="H1550" s="19"/>
    </row>
    <row r="1551">
      <c r="A1551" s="9"/>
      <c r="B1551" s="15"/>
      <c r="C1551" s="9">
        <f>IFERROR(__xludf.DUMMYFUNCTION("""COMPUTED_VALUE"""),45128.332665324)</f>
        <v>45128.33267</v>
      </c>
      <c r="D1551" s="15">
        <f>IFERROR(__xludf.DUMMYFUNCTION("""COMPUTED_VALUE"""),0.998)</f>
        <v>0.998</v>
      </c>
      <c r="E1551" s="16">
        <f>IFERROR(__xludf.DUMMYFUNCTION("""COMPUTED_VALUE"""),71.0)</f>
        <v>71</v>
      </c>
      <c r="F1551" s="19" t="str">
        <f>IFERROR(__xludf.DUMMYFUNCTION("""COMPUTED_VALUE"""),"BLUE")</f>
        <v>BLUE</v>
      </c>
      <c r="G1551" s="20" t="str">
        <f>IFERROR(__xludf.DUMMYFUNCTION("""COMPUTED_VALUE"""),"Uncle Sams Cider (04/04/2023)")</f>
        <v>Uncle Sams Cider (04/04/2023)</v>
      </c>
      <c r="H1551" s="19"/>
    </row>
    <row r="1552">
      <c r="A1552" s="9"/>
      <c r="B1552" s="15"/>
      <c r="C1552" s="9">
        <f>IFERROR(__xludf.DUMMYFUNCTION("""COMPUTED_VALUE"""),45128.3222442592)</f>
        <v>45128.32224</v>
      </c>
      <c r="D1552" s="15">
        <f>IFERROR(__xludf.DUMMYFUNCTION("""COMPUTED_VALUE"""),0.999)</f>
        <v>0.999</v>
      </c>
      <c r="E1552" s="16">
        <f>IFERROR(__xludf.DUMMYFUNCTION("""COMPUTED_VALUE"""),71.0)</f>
        <v>71</v>
      </c>
      <c r="F1552" s="19" t="str">
        <f>IFERROR(__xludf.DUMMYFUNCTION("""COMPUTED_VALUE"""),"BLUE")</f>
        <v>BLUE</v>
      </c>
      <c r="G1552" s="20" t="str">
        <f>IFERROR(__xludf.DUMMYFUNCTION("""COMPUTED_VALUE"""),"Uncle Sams Cider (04/04/2023)")</f>
        <v>Uncle Sams Cider (04/04/2023)</v>
      </c>
      <c r="H1552" s="19"/>
    </row>
    <row r="1553">
      <c r="A1553" s="9"/>
      <c r="B1553" s="15"/>
      <c r="C1553" s="9">
        <f>IFERROR(__xludf.DUMMYFUNCTION("""COMPUTED_VALUE"""),45128.311823449)</f>
        <v>45128.31182</v>
      </c>
      <c r="D1553" s="15">
        <f>IFERROR(__xludf.DUMMYFUNCTION("""COMPUTED_VALUE"""),0.999)</f>
        <v>0.999</v>
      </c>
      <c r="E1553" s="16">
        <f>IFERROR(__xludf.DUMMYFUNCTION("""COMPUTED_VALUE"""),71.0)</f>
        <v>71</v>
      </c>
      <c r="F1553" s="19" t="str">
        <f>IFERROR(__xludf.DUMMYFUNCTION("""COMPUTED_VALUE"""),"BLUE")</f>
        <v>BLUE</v>
      </c>
      <c r="G1553" s="20" t="str">
        <f>IFERROR(__xludf.DUMMYFUNCTION("""COMPUTED_VALUE"""),"Uncle Sams Cider (04/04/2023)")</f>
        <v>Uncle Sams Cider (04/04/2023)</v>
      </c>
      <c r="H1553" s="19"/>
    </row>
    <row r="1554">
      <c r="A1554" s="9"/>
      <c r="B1554" s="15"/>
      <c r="C1554" s="9">
        <f>IFERROR(__xludf.DUMMYFUNCTION("""COMPUTED_VALUE"""),45128.3014024074)</f>
        <v>45128.3014</v>
      </c>
      <c r="D1554" s="15">
        <f>IFERROR(__xludf.DUMMYFUNCTION("""COMPUTED_VALUE"""),0.998)</f>
        <v>0.998</v>
      </c>
      <c r="E1554" s="16">
        <f>IFERROR(__xludf.DUMMYFUNCTION("""COMPUTED_VALUE"""),71.0)</f>
        <v>71</v>
      </c>
      <c r="F1554" s="19" t="str">
        <f>IFERROR(__xludf.DUMMYFUNCTION("""COMPUTED_VALUE"""),"BLUE")</f>
        <v>BLUE</v>
      </c>
      <c r="G1554" s="20" t="str">
        <f>IFERROR(__xludf.DUMMYFUNCTION("""COMPUTED_VALUE"""),"Uncle Sams Cider (04/04/2023)")</f>
        <v>Uncle Sams Cider (04/04/2023)</v>
      </c>
      <c r="H1554" s="19"/>
    </row>
    <row r="1555">
      <c r="A1555" s="9"/>
      <c r="B1555" s="15"/>
      <c r="C1555" s="9">
        <f>IFERROR(__xludf.DUMMYFUNCTION("""COMPUTED_VALUE"""),45128.2909700463)</f>
        <v>45128.29097</v>
      </c>
      <c r="D1555" s="15">
        <f>IFERROR(__xludf.DUMMYFUNCTION("""COMPUTED_VALUE"""),0.998)</f>
        <v>0.998</v>
      </c>
      <c r="E1555" s="16">
        <f>IFERROR(__xludf.DUMMYFUNCTION("""COMPUTED_VALUE"""),71.0)</f>
        <v>71</v>
      </c>
      <c r="F1555" s="19" t="str">
        <f>IFERROR(__xludf.DUMMYFUNCTION("""COMPUTED_VALUE"""),"BLUE")</f>
        <v>BLUE</v>
      </c>
      <c r="G1555" s="20" t="str">
        <f>IFERROR(__xludf.DUMMYFUNCTION("""COMPUTED_VALUE"""),"Uncle Sams Cider (04/04/2023)")</f>
        <v>Uncle Sams Cider (04/04/2023)</v>
      </c>
      <c r="H1555" s="19"/>
    </row>
    <row r="1556">
      <c r="A1556" s="9"/>
      <c r="B1556" s="15"/>
      <c r="C1556" s="9">
        <f>IFERROR(__xludf.DUMMYFUNCTION("""COMPUTED_VALUE"""),45128.2805484837)</f>
        <v>45128.28055</v>
      </c>
      <c r="D1556" s="15">
        <f>IFERROR(__xludf.DUMMYFUNCTION("""COMPUTED_VALUE"""),0.999)</f>
        <v>0.999</v>
      </c>
      <c r="E1556" s="16">
        <f>IFERROR(__xludf.DUMMYFUNCTION("""COMPUTED_VALUE"""),71.0)</f>
        <v>71</v>
      </c>
      <c r="F1556" s="19" t="str">
        <f>IFERROR(__xludf.DUMMYFUNCTION("""COMPUTED_VALUE"""),"BLUE")</f>
        <v>BLUE</v>
      </c>
      <c r="G1556" s="20" t="str">
        <f>IFERROR(__xludf.DUMMYFUNCTION("""COMPUTED_VALUE"""),"Uncle Sams Cider (04/04/2023)")</f>
        <v>Uncle Sams Cider (04/04/2023)</v>
      </c>
      <c r="H1556" s="19"/>
    </row>
    <row r="1557">
      <c r="A1557" s="9"/>
      <c r="B1557" s="15"/>
      <c r="C1557" s="9">
        <f>IFERROR(__xludf.DUMMYFUNCTION("""COMPUTED_VALUE"""),45128.2701286458)</f>
        <v>45128.27013</v>
      </c>
      <c r="D1557" s="15">
        <f>IFERROR(__xludf.DUMMYFUNCTION("""COMPUTED_VALUE"""),0.999)</f>
        <v>0.999</v>
      </c>
      <c r="E1557" s="16">
        <f>IFERROR(__xludf.DUMMYFUNCTION("""COMPUTED_VALUE"""),71.0)</f>
        <v>71</v>
      </c>
      <c r="F1557" s="19" t="str">
        <f>IFERROR(__xludf.DUMMYFUNCTION("""COMPUTED_VALUE"""),"BLUE")</f>
        <v>BLUE</v>
      </c>
      <c r="G1557" s="20" t="str">
        <f>IFERROR(__xludf.DUMMYFUNCTION("""COMPUTED_VALUE"""),"Uncle Sams Cider (04/04/2023)")</f>
        <v>Uncle Sams Cider (04/04/2023)</v>
      </c>
      <c r="H1557" s="19"/>
    </row>
    <row r="1558">
      <c r="A1558" s="9"/>
      <c r="B1558" s="15"/>
      <c r="C1558" s="9">
        <f>IFERROR(__xludf.DUMMYFUNCTION("""COMPUTED_VALUE"""),45128.2597087152)</f>
        <v>45128.25971</v>
      </c>
      <c r="D1558" s="15">
        <f>IFERROR(__xludf.DUMMYFUNCTION("""COMPUTED_VALUE"""),0.999)</f>
        <v>0.999</v>
      </c>
      <c r="E1558" s="16">
        <f>IFERROR(__xludf.DUMMYFUNCTION("""COMPUTED_VALUE"""),71.0)</f>
        <v>71</v>
      </c>
      <c r="F1558" s="19" t="str">
        <f>IFERROR(__xludf.DUMMYFUNCTION("""COMPUTED_VALUE"""),"BLUE")</f>
        <v>BLUE</v>
      </c>
      <c r="G1558" s="20" t="str">
        <f>IFERROR(__xludf.DUMMYFUNCTION("""COMPUTED_VALUE"""),"Uncle Sams Cider (04/04/2023)")</f>
        <v>Uncle Sams Cider (04/04/2023)</v>
      </c>
      <c r="H1558" s="19"/>
    </row>
    <row r="1559">
      <c r="A1559" s="9"/>
      <c r="B1559" s="15"/>
      <c r="C1559" s="9">
        <f>IFERROR(__xludf.DUMMYFUNCTION("""COMPUTED_VALUE"""),45128.2492753472)</f>
        <v>45128.24928</v>
      </c>
      <c r="D1559" s="15">
        <f>IFERROR(__xludf.DUMMYFUNCTION("""COMPUTED_VALUE"""),0.998)</f>
        <v>0.998</v>
      </c>
      <c r="E1559" s="16">
        <f>IFERROR(__xludf.DUMMYFUNCTION("""COMPUTED_VALUE"""),71.0)</f>
        <v>71</v>
      </c>
      <c r="F1559" s="19" t="str">
        <f>IFERROR(__xludf.DUMMYFUNCTION("""COMPUTED_VALUE"""),"BLUE")</f>
        <v>BLUE</v>
      </c>
      <c r="G1559" s="20" t="str">
        <f>IFERROR(__xludf.DUMMYFUNCTION("""COMPUTED_VALUE"""),"Uncle Sams Cider (04/04/2023)")</f>
        <v>Uncle Sams Cider (04/04/2023)</v>
      </c>
      <c r="H1559" s="19"/>
    </row>
    <row r="1560">
      <c r="A1560" s="9"/>
      <c r="B1560" s="15"/>
      <c r="C1560" s="9">
        <f>IFERROR(__xludf.DUMMYFUNCTION("""COMPUTED_VALUE"""),45128.2388440046)</f>
        <v>45128.23884</v>
      </c>
      <c r="D1560" s="15">
        <f>IFERROR(__xludf.DUMMYFUNCTION("""COMPUTED_VALUE"""),0.999)</f>
        <v>0.999</v>
      </c>
      <c r="E1560" s="16">
        <f>IFERROR(__xludf.DUMMYFUNCTION("""COMPUTED_VALUE"""),71.0)</f>
        <v>71</v>
      </c>
      <c r="F1560" s="19" t="str">
        <f>IFERROR(__xludf.DUMMYFUNCTION("""COMPUTED_VALUE"""),"BLUE")</f>
        <v>BLUE</v>
      </c>
      <c r="G1560" s="20" t="str">
        <f>IFERROR(__xludf.DUMMYFUNCTION("""COMPUTED_VALUE"""),"Uncle Sams Cider (04/04/2023)")</f>
        <v>Uncle Sams Cider (04/04/2023)</v>
      </c>
      <c r="H1560" s="19"/>
    </row>
    <row r="1561">
      <c r="A1561" s="9"/>
      <c r="B1561" s="15"/>
      <c r="C1561" s="9">
        <f>IFERROR(__xludf.DUMMYFUNCTION("""COMPUTED_VALUE"""),45128.2284109838)</f>
        <v>45128.22841</v>
      </c>
      <c r="D1561" s="15">
        <f>IFERROR(__xludf.DUMMYFUNCTION("""COMPUTED_VALUE"""),0.999)</f>
        <v>0.999</v>
      </c>
      <c r="E1561" s="16">
        <f>IFERROR(__xludf.DUMMYFUNCTION("""COMPUTED_VALUE"""),71.0)</f>
        <v>71</v>
      </c>
      <c r="F1561" s="19" t="str">
        <f>IFERROR(__xludf.DUMMYFUNCTION("""COMPUTED_VALUE"""),"BLUE")</f>
        <v>BLUE</v>
      </c>
      <c r="G1561" s="20" t="str">
        <f>IFERROR(__xludf.DUMMYFUNCTION("""COMPUTED_VALUE"""),"Uncle Sams Cider (04/04/2023)")</f>
        <v>Uncle Sams Cider (04/04/2023)</v>
      </c>
      <c r="H1561" s="19"/>
    </row>
    <row r="1562">
      <c r="A1562" s="9"/>
      <c r="B1562" s="15"/>
      <c r="C1562" s="9">
        <f>IFERROR(__xludf.DUMMYFUNCTION("""COMPUTED_VALUE"""),45128.2179896296)</f>
        <v>45128.21799</v>
      </c>
      <c r="D1562" s="15">
        <f>IFERROR(__xludf.DUMMYFUNCTION("""COMPUTED_VALUE"""),0.999)</f>
        <v>0.999</v>
      </c>
      <c r="E1562" s="16">
        <f>IFERROR(__xludf.DUMMYFUNCTION("""COMPUTED_VALUE"""),71.0)</f>
        <v>71</v>
      </c>
      <c r="F1562" s="19" t="str">
        <f>IFERROR(__xludf.DUMMYFUNCTION("""COMPUTED_VALUE"""),"BLUE")</f>
        <v>BLUE</v>
      </c>
      <c r="G1562" s="20" t="str">
        <f>IFERROR(__xludf.DUMMYFUNCTION("""COMPUTED_VALUE"""),"Uncle Sams Cider (04/04/2023)")</f>
        <v>Uncle Sams Cider (04/04/2023)</v>
      </c>
      <c r="H1562" s="19"/>
    </row>
    <row r="1563">
      <c r="A1563" s="9"/>
      <c r="B1563" s="15"/>
      <c r="C1563" s="9">
        <f>IFERROR(__xludf.DUMMYFUNCTION("""COMPUTED_VALUE"""),45128.2075574884)</f>
        <v>45128.20756</v>
      </c>
      <c r="D1563" s="15">
        <f>IFERROR(__xludf.DUMMYFUNCTION("""COMPUTED_VALUE"""),0.999)</f>
        <v>0.999</v>
      </c>
      <c r="E1563" s="16">
        <f>IFERROR(__xludf.DUMMYFUNCTION("""COMPUTED_VALUE"""),71.0)</f>
        <v>71</v>
      </c>
      <c r="F1563" s="19" t="str">
        <f>IFERROR(__xludf.DUMMYFUNCTION("""COMPUTED_VALUE"""),"BLUE")</f>
        <v>BLUE</v>
      </c>
      <c r="G1563" s="20" t="str">
        <f>IFERROR(__xludf.DUMMYFUNCTION("""COMPUTED_VALUE"""),"Uncle Sams Cider (04/04/2023)")</f>
        <v>Uncle Sams Cider (04/04/2023)</v>
      </c>
      <c r="H1563" s="19"/>
    </row>
    <row r="1564">
      <c r="A1564" s="9"/>
      <c r="B1564" s="15"/>
      <c r="C1564" s="9">
        <f>IFERROR(__xludf.DUMMYFUNCTION("""COMPUTED_VALUE"""),45128.1971374305)</f>
        <v>45128.19714</v>
      </c>
      <c r="D1564" s="15">
        <f>IFERROR(__xludf.DUMMYFUNCTION("""COMPUTED_VALUE"""),0.998)</f>
        <v>0.998</v>
      </c>
      <c r="E1564" s="16">
        <f>IFERROR(__xludf.DUMMYFUNCTION("""COMPUTED_VALUE"""),71.0)</f>
        <v>71</v>
      </c>
      <c r="F1564" s="19" t="str">
        <f>IFERROR(__xludf.DUMMYFUNCTION("""COMPUTED_VALUE"""),"BLUE")</f>
        <v>BLUE</v>
      </c>
      <c r="G1564" s="20" t="str">
        <f>IFERROR(__xludf.DUMMYFUNCTION("""COMPUTED_VALUE"""),"Uncle Sams Cider (04/04/2023)")</f>
        <v>Uncle Sams Cider (04/04/2023)</v>
      </c>
      <c r="H1564" s="19"/>
    </row>
    <row r="1565">
      <c r="A1565" s="9"/>
      <c r="B1565" s="15"/>
      <c r="C1565" s="9">
        <f>IFERROR(__xludf.DUMMYFUNCTION("""COMPUTED_VALUE"""),45128.1867161226)</f>
        <v>45128.18672</v>
      </c>
      <c r="D1565" s="15">
        <f>IFERROR(__xludf.DUMMYFUNCTION("""COMPUTED_VALUE"""),0.998)</f>
        <v>0.998</v>
      </c>
      <c r="E1565" s="16">
        <f>IFERROR(__xludf.DUMMYFUNCTION("""COMPUTED_VALUE"""),71.0)</f>
        <v>71</v>
      </c>
      <c r="F1565" s="19" t="str">
        <f>IFERROR(__xludf.DUMMYFUNCTION("""COMPUTED_VALUE"""),"BLUE")</f>
        <v>BLUE</v>
      </c>
      <c r="G1565" s="20" t="str">
        <f>IFERROR(__xludf.DUMMYFUNCTION("""COMPUTED_VALUE"""),"Uncle Sams Cider (04/04/2023)")</f>
        <v>Uncle Sams Cider (04/04/2023)</v>
      </c>
      <c r="H1565" s="19"/>
    </row>
    <row r="1566">
      <c r="A1566" s="9"/>
      <c r="B1566" s="15"/>
      <c r="C1566" s="9">
        <f>IFERROR(__xludf.DUMMYFUNCTION("""COMPUTED_VALUE"""),45128.1762836574)</f>
        <v>45128.17628</v>
      </c>
      <c r="D1566" s="15">
        <f>IFERROR(__xludf.DUMMYFUNCTION("""COMPUTED_VALUE"""),0.999)</f>
        <v>0.999</v>
      </c>
      <c r="E1566" s="16">
        <f>IFERROR(__xludf.DUMMYFUNCTION("""COMPUTED_VALUE"""),71.0)</f>
        <v>71</v>
      </c>
      <c r="F1566" s="19" t="str">
        <f>IFERROR(__xludf.DUMMYFUNCTION("""COMPUTED_VALUE"""),"BLUE")</f>
        <v>BLUE</v>
      </c>
      <c r="G1566" s="20" t="str">
        <f>IFERROR(__xludf.DUMMYFUNCTION("""COMPUTED_VALUE"""),"Uncle Sams Cider (04/04/2023)")</f>
        <v>Uncle Sams Cider (04/04/2023)</v>
      </c>
      <c r="H1566" s="19"/>
    </row>
    <row r="1567">
      <c r="A1567" s="9"/>
      <c r="B1567" s="15"/>
      <c r="C1567" s="9">
        <f>IFERROR(__xludf.DUMMYFUNCTION("""COMPUTED_VALUE"""),45128.1658639236)</f>
        <v>45128.16586</v>
      </c>
      <c r="D1567" s="15">
        <f>IFERROR(__xludf.DUMMYFUNCTION("""COMPUTED_VALUE"""),0.999)</f>
        <v>0.999</v>
      </c>
      <c r="E1567" s="16">
        <f>IFERROR(__xludf.DUMMYFUNCTION("""COMPUTED_VALUE"""),71.0)</f>
        <v>71</v>
      </c>
      <c r="F1567" s="19" t="str">
        <f>IFERROR(__xludf.DUMMYFUNCTION("""COMPUTED_VALUE"""),"BLUE")</f>
        <v>BLUE</v>
      </c>
      <c r="G1567" s="20" t="str">
        <f>IFERROR(__xludf.DUMMYFUNCTION("""COMPUTED_VALUE"""),"Uncle Sams Cider (04/04/2023)")</f>
        <v>Uncle Sams Cider (04/04/2023)</v>
      </c>
      <c r="H1567" s="19"/>
    </row>
    <row r="1568">
      <c r="A1568" s="9"/>
      <c r="B1568" s="15"/>
      <c r="C1568" s="9">
        <f>IFERROR(__xludf.DUMMYFUNCTION("""COMPUTED_VALUE"""),45128.1554435995)</f>
        <v>45128.15544</v>
      </c>
      <c r="D1568" s="15">
        <f>IFERROR(__xludf.DUMMYFUNCTION("""COMPUTED_VALUE"""),0.999)</f>
        <v>0.999</v>
      </c>
      <c r="E1568" s="16">
        <f>IFERROR(__xludf.DUMMYFUNCTION("""COMPUTED_VALUE"""),71.0)</f>
        <v>71</v>
      </c>
      <c r="F1568" s="19" t="str">
        <f>IFERROR(__xludf.DUMMYFUNCTION("""COMPUTED_VALUE"""),"BLUE")</f>
        <v>BLUE</v>
      </c>
      <c r="G1568" s="20" t="str">
        <f>IFERROR(__xludf.DUMMYFUNCTION("""COMPUTED_VALUE"""),"Uncle Sams Cider (04/04/2023)")</f>
        <v>Uncle Sams Cider (04/04/2023)</v>
      </c>
      <c r="H1568" s="19"/>
    </row>
    <row r="1569">
      <c r="A1569" s="9"/>
      <c r="B1569" s="15"/>
      <c r="C1569" s="9">
        <f>IFERROR(__xludf.DUMMYFUNCTION("""COMPUTED_VALUE"""),45128.1450230787)</f>
        <v>45128.14502</v>
      </c>
      <c r="D1569" s="15">
        <f>IFERROR(__xludf.DUMMYFUNCTION("""COMPUTED_VALUE"""),0.999)</f>
        <v>0.999</v>
      </c>
      <c r="E1569" s="16">
        <f>IFERROR(__xludf.DUMMYFUNCTION("""COMPUTED_VALUE"""),71.0)</f>
        <v>71</v>
      </c>
      <c r="F1569" s="19" t="str">
        <f>IFERROR(__xludf.DUMMYFUNCTION("""COMPUTED_VALUE"""),"BLUE")</f>
        <v>BLUE</v>
      </c>
      <c r="G1569" s="20" t="str">
        <f>IFERROR(__xludf.DUMMYFUNCTION("""COMPUTED_VALUE"""),"Uncle Sams Cider (04/04/2023)")</f>
        <v>Uncle Sams Cider (04/04/2023)</v>
      </c>
      <c r="H1569" s="19"/>
    </row>
    <row r="1570">
      <c r="A1570" s="9"/>
      <c r="B1570" s="15"/>
      <c r="C1570" s="9">
        <f>IFERROR(__xludf.DUMMYFUNCTION("""COMPUTED_VALUE"""),45128.1345993055)</f>
        <v>45128.1346</v>
      </c>
      <c r="D1570" s="15">
        <f>IFERROR(__xludf.DUMMYFUNCTION("""COMPUTED_VALUE"""),0.999)</f>
        <v>0.999</v>
      </c>
      <c r="E1570" s="16">
        <f>IFERROR(__xludf.DUMMYFUNCTION("""COMPUTED_VALUE"""),71.0)</f>
        <v>71</v>
      </c>
      <c r="F1570" s="19" t="str">
        <f>IFERROR(__xludf.DUMMYFUNCTION("""COMPUTED_VALUE"""),"BLUE")</f>
        <v>BLUE</v>
      </c>
      <c r="G1570" s="20" t="str">
        <f>IFERROR(__xludf.DUMMYFUNCTION("""COMPUTED_VALUE"""),"Uncle Sams Cider (04/04/2023)")</f>
        <v>Uncle Sams Cider (04/04/2023)</v>
      </c>
      <c r="H1570" s="19"/>
    </row>
    <row r="1571">
      <c r="A1571" s="9"/>
      <c r="B1571" s="15"/>
      <c r="C1571" s="9">
        <f>IFERROR(__xludf.DUMMYFUNCTION("""COMPUTED_VALUE"""),45128.1241783217)</f>
        <v>45128.12418</v>
      </c>
      <c r="D1571" s="15">
        <f>IFERROR(__xludf.DUMMYFUNCTION("""COMPUTED_VALUE"""),0.999)</f>
        <v>0.999</v>
      </c>
      <c r="E1571" s="16">
        <f>IFERROR(__xludf.DUMMYFUNCTION("""COMPUTED_VALUE"""),71.0)</f>
        <v>71</v>
      </c>
      <c r="F1571" s="19" t="str">
        <f>IFERROR(__xludf.DUMMYFUNCTION("""COMPUTED_VALUE"""),"BLUE")</f>
        <v>BLUE</v>
      </c>
      <c r="G1571" s="20" t="str">
        <f>IFERROR(__xludf.DUMMYFUNCTION("""COMPUTED_VALUE"""),"Uncle Sams Cider (04/04/2023)")</f>
        <v>Uncle Sams Cider (04/04/2023)</v>
      </c>
      <c r="H1571" s="19"/>
    </row>
    <row r="1572">
      <c r="A1572" s="9"/>
      <c r="B1572" s="15"/>
      <c r="C1572" s="9">
        <f>IFERROR(__xludf.DUMMYFUNCTION("""COMPUTED_VALUE"""),45128.1137581713)</f>
        <v>45128.11376</v>
      </c>
      <c r="D1572" s="15">
        <f>IFERROR(__xludf.DUMMYFUNCTION("""COMPUTED_VALUE"""),0.999)</f>
        <v>0.999</v>
      </c>
      <c r="E1572" s="16">
        <f>IFERROR(__xludf.DUMMYFUNCTION("""COMPUTED_VALUE"""),71.0)</f>
        <v>71</v>
      </c>
      <c r="F1572" s="19" t="str">
        <f>IFERROR(__xludf.DUMMYFUNCTION("""COMPUTED_VALUE"""),"BLUE")</f>
        <v>BLUE</v>
      </c>
      <c r="G1572" s="20" t="str">
        <f>IFERROR(__xludf.DUMMYFUNCTION("""COMPUTED_VALUE"""),"Uncle Sams Cider (04/04/2023)")</f>
        <v>Uncle Sams Cider (04/04/2023)</v>
      </c>
      <c r="H1572" s="19"/>
    </row>
    <row r="1573">
      <c r="A1573" s="9"/>
      <c r="B1573" s="15"/>
      <c r="C1573" s="9">
        <f>IFERROR(__xludf.DUMMYFUNCTION("""COMPUTED_VALUE"""),45128.1033366088)</f>
        <v>45128.10334</v>
      </c>
      <c r="D1573" s="15">
        <f>IFERROR(__xludf.DUMMYFUNCTION("""COMPUTED_VALUE"""),0.999)</f>
        <v>0.999</v>
      </c>
      <c r="E1573" s="16">
        <f>IFERROR(__xludf.DUMMYFUNCTION("""COMPUTED_VALUE"""),71.0)</f>
        <v>71</v>
      </c>
      <c r="F1573" s="19" t="str">
        <f>IFERROR(__xludf.DUMMYFUNCTION("""COMPUTED_VALUE"""),"BLUE")</f>
        <v>BLUE</v>
      </c>
      <c r="G1573" s="20" t="str">
        <f>IFERROR(__xludf.DUMMYFUNCTION("""COMPUTED_VALUE"""),"Uncle Sams Cider (04/04/2023)")</f>
        <v>Uncle Sams Cider (04/04/2023)</v>
      </c>
      <c r="H1573" s="19"/>
    </row>
    <row r="1574">
      <c r="A1574" s="9"/>
      <c r="B1574" s="15"/>
      <c r="C1574" s="9">
        <f>IFERROR(__xludf.DUMMYFUNCTION("""COMPUTED_VALUE"""),45128.0929144907)</f>
        <v>45128.09291</v>
      </c>
      <c r="D1574" s="15">
        <f>IFERROR(__xludf.DUMMYFUNCTION("""COMPUTED_VALUE"""),0.999)</f>
        <v>0.999</v>
      </c>
      <c r="E1574" s="16">
        <f>IFERROR(__xludf.DUMMYFUNCTION("""COMPUTED_VALUE"""),71.0)</f>
        <v>71</v>
      </c>
      <c r="F1574" s="19" t="str">
        <f>IFERROR(__xludf.DUMMYFUNCTION("""COMPUTED_VALUE"""),"BLUE")</f>
        <v>BLUE</v>
      </c>
      <c r="G1574" s="20" t="str">
        <f>IFERROR(__xludf.DUMMYFUNCTION("""COMPUTED_VALUE"""),"Uncle Sams Cider (04/04/2023)")</f>
        <v>Uncle Sams Cider (04/04/2023)</v>
      </c>
      <c r="H1574" s="19"/>
    </row>
    <row r="1575">
      <c r="A1575" s="9"/>
      <c r="B1575" s="15"/>
      <c r="C1575" s="9">
        <f>IFERROR(__xludf.DUMMYFUNCTION("""COMPUTED_VALUE"""),45128.0824947453)</f>
        <v>45128.08249</v>
      </c>
      <c r="D1575" s="15">
        <f>IFERROR(__xludf.DUMMYFUNCTION("""COMPUTED_VALUE"""),0.999)</f>
        <v>0.999</v>
      </c>
      <c r="E1575" s="16">
        <f>IFERROR(__xludf.DUMMYFUNCTION("""COMPUTED_VALUE"""),71.0)</f>
        <v>71</v>
      </c>
      <c r="F1575" s="19" t="str">
        <f>IFERROR(__xludf.DUMMYFUNCTION("""COMPUTED_VALUE"""),"BLUE")</f>
        <v>BLUE</v>
      </c>
      <c r="G1575" s="20" t="str">
        <f>IFERROR(__xludf.DUMMYFUNCTION("""COMPUTED_VALUE"""),"Uncle Sams Cider (04/04/2023)")</f>
        <v>Uncle Sams Cider (04/04/2023)</v>
      </c>
      <c r="H1575" s="19"/>
    </row>
    <row r="1576">
      <c r="A1576" s="9"/>
      <c r="B1576" s="15"/>
      <c r="C1576" s="9">
        <f>IFERROR(__xludf.DUMMYFUNCTION("""COMPUTED_VALUE"""),45128.0720734027)</f>
        <v>45128.07207</v>
      </c>
      <c r="D1576" s="15">
        <f>IFERROR(__xludf.DUMMYFUNCTION("""COMPUTED_VALUE"""),0.999)</f>
        <v>0.999</v>
      </c>
      <c r="E1576" s="16">
        <f>IFERROR(__xludf.DUMMYFUNCTION("""COMPUTED_VALUE"""),71.0)</f>
        <v>71</v>
      </c>
      <c r="F1576" s="19" t="str">
        <f>IFERROR(__xludf.DUMMYFUNCTION("""COMPUTED_VALUE"""),"BLUE")</f>
        <v>BLUE</v>
      </c>
      <c r="G1576" s="20" t="str">
        <f>IFERROR(__xludf.DUMMYFUNCTION("""COMPUTED_VALUE"""),"Uncle Sams Cider (04/04/2023)")</f>
        <v>Uncle Sams Cider (04/04/2023)</v>
      </c>
      <c r="H1576" s="19"/>
    </row>
    <row r="1577">
      <c r="A1577" s="9"/>
      <c r="B1577" s="15"/>
      <c r="C1577" s="9">
        <f>IFERROR(__xludf.DUMMYFUNCTION("""COMPUTED_VALUE"""),45128.0616520254)</f>
        <v>45128.06165</v>
      </c>
      <c r="D1577" s="15">
        <f>IFERROR(__xludf.DUMMYFUNCTION("""COMPUTED_VALUE"""),0.999)</f>
        <v>0.999</v>
      </c>
      <c r="E1577" s="16">
        <f>IFERROR(__xludf.DUMMYFUNCTION("""COMPUTED_VALUE"""),71.0)</f>
        <v>71</v>
      </c>
      <c r="F1577" s="19" t="str">
        <f>IFERROR(__xludf.DUMMYFUNCTION("""COMPUTED_VALUE"""),"BLUE")</f>
        <v>BLUE</v>
      </c>
      <c r="G1577" s="20" t="str">
        <f>IFERROR(__xludf.DUMMYFUNCTION("""COMPUTED_VALUE"""),"Uncle Sams Cider (04/04/2023)")</f>
        <v>Uncle Sams Cider (04/04/2023)</v>
      </c>
      <c r="H1577" s="19"/>
    </row>
    <row r="1578">
      <c r="A1578" s="9"/>
      <c r="B1578" s="15"/>
      <c r="C1578" s="9">
        <f>IFERROR(__xludf.DUMMYFUNCTION("""COMPUTED_VALUE"""),45128.0512307523)</f>
        <v>45128.05123</v>
      </c>
      <c r="D1578" s="15">
        <f>IFERROR(__xludf.DUMMYFUNCTION("""COMPUTED_VALUE"""),0.999)</f>
        <v>0.999</v>
      </c>
      <c r="E1578" s="16">
        <f>IFERROR(__xludf.DUMMYFUNCTION("""COMPUTED_VALUE"""),71.0)</f>
        <v>71</v>
      </c>
      <c r="F1578" s="19" t="str">
        <f>IFERROR(__xludf.DUMMYFUNCTION("""COMPUTED_VALUE"""),"BLUE")</f>
        <v>BLUE</v>
      </c>
      <c r="G1578" s="20" t="str">
        <f>IFERROR(__xludf.DUMMYFUNCTION("""COMPUTED_VALUE"""),"Uncle Sams Cider (04/04/2023)")</f>
        <v>Uncle Sams Cider (04/04/2023)</v>
      </c>
      <c r="H1578" s="19"/>
    </row>
    <row r="1579">
      <c r="A1579" s="9"/>
      <c r="B1579" s="15"/>
      <c r="C1579" s="9">
        <f>IFERROR(__xludf.DUMMYFUNCTION("""COMPUTED_VALUE"""),45128.0407989351)</f>
        <v>45128.0408</v>
      </c>
      <c r="D1579" s="15">
        <f>IFERROR(__xludf.DUMMYFUNCTION("""COMPUTED_VALUE"""),0.999)</f>
        <v>0.999</v>
      </c>
      <c r="E1579" s="16">
        <f>IFERROR(__xludf.DUMMYFUNCTION("""COMPUTED_VALUE"""),71.0)</f>
        <v>71</v>
      </c>
      <c r="F1579" s="19" t="str">
        <f>IFERROR(__xludf.DUMMYFUNCTION("""COMPUTED_VALUE"""),"BLUE")</f>
        <v>BLUE</v>
      </c>
      <c r="G1579" s="20" t="str">
        <f>IFERROR(__xludf.DUMMYFUNCTION("""COMPUTED_VALUE"""),"Uncle Sams Cider (04/04/2023)")</f>
        <v>Uncle Sams Cider (04/04/2023)</v>
      </c>
      <c r="H1579" s="19"/>
    </row>
    <row r="1580">
      <c r="A1580" s="9"/>
      <c r="B1580" s="15"/>
      <c r="C1580" s="9">
        <f>IFERROR(__xludf.DUMMYFUNCTION("""COMPUTED_VALUE"""),45128.0303777777)</f>
        <v>45128.03038</v>
      </c>
      <c r="D1580" s="15">
        <f>IFERROR(__xludf.DUMMYFUNCTION("""COMPUTED_VALUE"""),0.999)</f>
        <v>0.999</v>
      </c>
      <c r="E1580" s="16">
        <f>IFERROR(__xludf.DUMMYFUNCTION("""COMPUTED_VALUE"""),71.0)</f>
        <v>71</v>
      </c>
      <c r="F1580" s="19" t="str">
        <f>IFERROR(__xludf.DUMMYFUNCTION("""COMPUTED_VALUE"""),"BLUE")</f>
        <v>BLUE</v>
      </c>
      <c r="G1580" s="20" t="str">
        <f>IFERROR(__xludf.DUMMYFUNCTION("""COMPUTED_VALUE"""),"Uncle Sams Cider (04/04/2023)")</f>
        <v>Uncle Sams Cider (04/04/2023)</v>
      </c>
      <c r="H1580" s="19"/>
    </row>
    <row r="1581">
      <c r="A1581" s="9"/>
      <c r="B1581" s="15"/>
      <c r="C1581" s="9">
        <f>IFERROR(__xludf.DUMMYFUNCTION("""COMPUTED_VALUE"""),45128.0199577314)</f>
        <v>45128.01996</v>
      </c>
      <c r="D1581" s="15">
        <f>IFERROR(__xludf.DUMMYFUNCTION("""COMPUTED_VALUE"""),0.998)</f>
        <v>0.998</v>
      </c>
      <c r="E1581" s="16">
        <f>IFERROR(__xludf.DUMMYFUNCTION("""COMPUTED_VALUE"""),71.0)</f>
        <v>71</v>
      </c>
      <c r="F1581" s="19" t="str">
        <f>IFERROR(__xludf.DUMMYFUNCTION("""COMPUTED_VALUE"""),"BLUE")</f>
        <v>BLUE</v>
      </c>
      <c r="G1581" s="20" t="str">
        <f>IFERROR(__xludf.DUMMYFUNCTION("""COMPUTED_VALUE"""),"Uncle Sams Cider (04/04/2023)")</f>
        <v>Uncle Sams Cider (04/04/2023)</v>
      </c>
      <c r="H1581" s="19"/>
    </row>
    <row r="1582">
      <c r="A1582" s="9"/>
      <c r="B1582" s="15"/>
      <c r="C1582" s="9">
        <f>IFERROR(__xludf.DUMMYFUNCTION("""COMPUTED_VALUE"""),45128.0095244791)</f>
        <v>45128.00952</v>
      </c>
      <c r="D1582" s="15">
        <f>IFERROR(__xludf.DUMMYFUNCTION("""COMPUTED_VALUE"""),0.999)</f>
        <v>0.999</v>
      </c>
      <c r="E1582" s="16">
        <f>IFERROR(__xludf.DUMMYFUNCTION("""COMPUTED_VALUE"""),71.0)</f>
        <v>71</v>
      </c>
      <c r="F1582" s="19" t="str">
        <f>IFERROR(__xludf.DUMMYFUNCTION("""COMPUTED_VALUE"""),"BLUE")</f>
        <v>BLUE</v>
      </c>
      <c r="G1582" s="20" t="str">
        <f>IFERROR(__xludf.DUMMYFUNCTION("""COMPUTED_VALUE"""),"Uncle Sams Cider (04/04/2023)")</f>
        <v>Uncle Sams Cider (04/04/2023)</v>
      </c>
      <c r="H1582" s="19"/>
    </row>
    <row r="1583">
      <c r="A1583" s="9"/>
      <c r="B1583" s="15"/>
      <c r="C1583" s="9">
        <f>IFERROR(__xludf.DUMMYFUNCTION("""COMPUTED_VALUE"""),45127.9991047453)</f>
        <v>45127.9991</v>
      </c>
      <c r="D1583" s="15">
        <f>IFERROR(__xludf.DUMMYFUNCTION("""COMPUTED_VALUE"""),0.999)</f>
        <v>0.999</v>
      </c>
      <c r="E1583" s="16">
        <f>IFERROR(__xludf.DUMMYFUNCTION("""COMPUTED_VALUE"""),71.0)</f>
        <v>71</v>
      </c>
      <c r="F1583" s="19" t="str">
        <f>IFERROR(__xludf.DUMMYFUNCTION("""COMPUTED_VALUE"""),"BLUE")</f>
        <v>BLUE</v>
      </c>
      <c r="G1583" s="20" t="str">
        <f>IFERROR(__xludf.DUMMYFUNCTION("""COMPUTED_VALUE"""),"Uncle Sams Cider (04/04/2023)")</f>
        <v>Uncle Sams Cider (04/04/2023)</v>
      </c>
      <c r="H1583" s="19"/>
    </row>
    <row r="1584">
      <c r="A1584" s="9"/>
      <c r="B1584" s="15"/>
      <c r="C1584" s="9">
        <f>IFERROR(__xludf.DUMMYFUNCTION("""COMPUTED_VALUE"""),45127.9886830555)</f>
        <v>45127.98868</v>
      </c>
      <c r="D1584" s="15">
        <f>IFERROR(__xludf.DUMMYFUNCTION("""COMPUTED_VALUE"""),0.998)</f>
        <v>0.998</v>
      </c>
      <c r="E1584" s="16">
        <f>IFERROR(__xludf.DUMMYFUNCTION("""COMPUTED_VALUE"""),71.0)</f>
        <v>71</v>
      </c>
      <c r="F1584" s="19" t="str">
        <f>IFERROR(__xludf.DUMMYFUNCTION("""COMPUTED_VALUE"""),"BLUE")</f>
        <v>BLUE</v>
      </c>
      <c r="G1584" s="20" t="str">
        <f>IFERROR(__xludf.DUMMYFUNCTION("""COMPUTED_VALUE"""),"Uncle Sams Cider (04/04/2023)")</f>
        <v>Uncle Sams Cider (04/04/2023)</v>
      </c>
      <c r="H1584" s="19"/>
    </row>
    <row r="1585">
      <c r="A1585" s="9"/>
      <c r="B1585" s="15"/>
      <c r="C1585" s="9">
        <f>IFERROR(__xludf.DUMMYFUNCTION("""COMPUTED_VALUE"""),45127.9782601967)</f>
        <v>45127.97826</v>
      </c>
      <c r="D1585" s="15">
        <f>IFERROR(__xludf.DUMMYFUNCTION("""COMPUTED_VALUE"""),0.999)</f>
        <v>0.999</v>
      </c>
      <c r="E1585" s="16">
        <f>IFERROR(__xludf.DUMMYFUNCTION("""COMPUTED_VALUE"""),71.0)</f>
        <v>71</v>
      </c>
      <c r="F1585" s="19" t="str">
        <f>IFERROR(__xludf.DUMMYFUNCTION("""COMPUTED_VALUE"""),"BLUE")</f>
        <v>BLUE</v>
      </c>
      <c r="G1585" s="20" t="str">
        <f>IFERROR(__xludf.DUMMYFUNCTION("""COMPUTED_VALUE"""),"Uncle Sams Cider (04/04/2023)")</f>
        <v>Uncle Sams Cider (04/04/2023)</v>
      </c>
      <c r="H1585" s="19"/>
    </row>
    <row r="1586">
      <c r="A1586" s="9"/>
      <c r="B1586" s="15"/>
      <c r="C1586" s="9">
        <f>IFERROR(__xludf.DUMMYFUNCTION("""COMPUTED_VALUE"""),45127.9678386921)</f>
        <v>45127.96784</v>
      </c>
      <c r="D1586" s="15">
        <f>IFERROR(__xludf.DUMMYFUNCTION("""COMPUTED_VALUE"""),0.999)</f>
        <v>0.999</v>
      </c>
      <c r="E1586" s="16">
        <f>IFERROR(__xludf.DUMMYFUNCTION("""COMPUTED_VALUE"""),71.0)</f>
        <v>71</v>
      </c>
      <c r="F1586" s="19" t="str">
        <f>IFERROR(__xludf.DUMMYFUNCTION("""COMPUTED_VALUE"""),"BLUE")</f>
        <v>BLUE</v>
      </c>
      <c r="G1586" s="20" t="str">
        <f>IFERROR(__xludf.DUMMYFUNCTION("""COMPUTED_VALUE"""),"Uncle Sams Cider (04/04/2023)")</f>
        <v>Uncle Sams Cider (04/04/2023)</v>
      </c>
      <c r="H1586" s="19"/>
    </row>
    <row r="1587">
      <c r="A1587" s="9"/>
      <c r="B1587" s="15"/>
      <c r="C1587" s="9">
        <f>IFERROR(__xludf.DUMMYFUNCTION("""COMPUTED_VALUE"""),45127.9574177083)</f>
        <v>45127.95742</v>
      </c>
      <c r="D1587" s="15">
        <f>IFERROR(__xludf.DUMMYFUNCTION("""COMPUTED_VALUE"""),0.999)</f>
        <v>0.999</v>
      </c>
      <c r="E1587" s="16">
        <f>IFERROR(__xludf.DUMMYFUNCTION("""COMPUTED_VALUE"""),71.0)</f>
        <v>71</v>
      </c>
      <c r="F1587" s="19" t="str">
        <f>IFERROR(__xludf.DUMMYFUNCTION("""COMPUTED_VALUE"""),"BLUE")</f>
        <v>BLUE</v>
      </c>
      <c r="G1587" s="20" t="str">
        <f>IFERROR(__xludf.DUMMYFUNCTION("""COMPUTED_VALUE"""),"Uncle Sams Cider (04/04/2023)")</f>
        <v>Uncle Sams Cider (04/04/2023)</v>
      </c>
      <c r="H1587" s="19"/>
    </row>
    <row r="1588">
      <c r="A1588" s="9"/>
      <c r="B1588" s="15"/>
      <c r="C1588" s="9">
        <f>IFERROR(__xludf.DUMMYFUNCTION("""COMPUTED_VALUE"""),45127.946973368)</f>
        <v>45127.94697</v>
      </c>
      <c r="D1588" s="15">
        <f>IFERROR(__xludf.DUMMYFUNCTION("""COMPUTED_VALUE"""),0.999)</f>
        <v>0.999</v>
      </c>
      <c r="E1588" s="16">
        <f>IFERROR(__xludf.DUMMYFUNCTION("""COMPUTED_VALUE"""),71.0)</f>
        <v>71</v>
      </c>
      <c r="F1588" s="19" t="str">
        <f>IFERROR(__xludf.DUMMYFUNCTION("""COMPUTED_VALUE"""),"BLUE")</f>
        <v>BLUE</v>
      </c>
      <c r="G1588" s="20" t="str">
        <f>IFERROR(__xludf.DUMMYFUNCTION("""COMPUTED_VALUE"""),"Uncle Sams Cider (04/04/2023)")</f>
        <v>Uncle Sams Cider (04/04/2023)</v>
      </c>
      <c r="H1588" s="19"/>
    </row>
    <row r="1589">
      <c r="A1589" s="9"/>
      <c r="B1589" s="15"/>
      <c r="C1589" s="9">
        <f>IFERROR(__xludf.DUMMYFUNCTION("""COMPUTED_VALUE"""),45127.9365531134)</f>
        <v>45127.93655</v>
      </c>
      <c r="D1589" s="15">
        <f>IFERROR(__xludf.DUMMYFUNCTION("""COMPUTED_VALUE"""),0.999)</f>
        <v>0.999</v>
      </c>
      <c r="E1589" s="16">
        <f>IFERROR(__xludf.DUMMYFUNCTION("""COMPUTED_VALUE"""),71.0)</f>
        <v>71</v>
      </c>
      <c r="F1589" s="19" t="str">
        <f>IFERROR(__xludf.DUMMYFUNCTION("""COMPUTED_VALUE"""),"BLUE")</f>
        <v>BLUE</v>
      </c>
      <c r="G1589" s="20" t="str">
        <f>IFERROR(__xludf.DUMMYFUNCTION("""COMPUTED_VALUE"""),"Uncle Sams Cider (04/04/2023)")</f>
        <v>Uncle Sams Cider (04/04/2023)</v>
      </c>
      <c r="H1589" s="19"/>
    </row>
    <row r="1590">
      <c r="A1590" s="9"/>
      <c r="B1590" s="15"/>
      <c r="C1590" s="9">
        <f>IFERROR(__xludf.DUMMYFUNCTION("""COMPUTED_VALUE"""),45127.9261280092)</f>
        <v>45127.92613</v>
      </c>
      <c r="D1590" s="15">
        <f>IFERROR(__xludf.DUMMYFUNCTION("""COMPUTED_VALUE"""),0.999)</f>
        <v>0.999</v>
      </c>
      <c r="E1590" s="16">
        <f>IFERROR(__xludf.DUMMYFUNCTION("""COMPUTED_VALUE"""),71.0)</f>
        <v>71</v>
      </c>
      <c r="F1590" s="19" t="str">
        <f>IFERROR(__xludf.DUMMYFUNCTION("""COMPUTED_VALUE"""),"BLUE")</f>
        <v>BLUE</v>
      </c>
      <c r="G1590" s="20" t="str">
        <f>IFERROR(__xludf.DUMMYFUNCTION("""COMPUTED_VALUE"""),"Uncle Sams Cider (04/04/2023)")</f>
        <v>Uncle Sams Cider (04/04/2023)</v>
      </c>
      <c r="H1590" s="19"/>
    </row>
    <row r="1591">
      <c r="A1591" s="9"/>
      <c r="B1591" s="15"/>
      <c r="C1591" s="9">
        <f>IFERROR(__xludf.DUMMYFUNCTION("""COMPUTED_VALUE"""),45127.9157068981)</f>
        <v>45127.91571</v>
      </c>
      <c r="D1591" s="15">
        <f>IFERROR(__xludf.DUMMYFUNCTION("""COMPUTED_VALUE"""),0.999)</f>
        <v>0.999</v>
      </c>
      <c r="E1591" s="16">
        <f>IFERROR(__xludf.DUMMYFUNCTION("""COMPUTED_VALUE"""),71.0)</f>
        <v>71</v>
      </c>
      <c r="F1591" s="19" t="str">
        <f>IFERROR(__xludf.DUMMYFUNCTION("""COMPUTED_VALUE"""),"BLUE")</f>
        <v>BLUE</v>
      </c>
      <c r="G1591" s="20" t="str">
        <f>IFERROR(__xludf.DUMMYFUNCTION("""COMPUTED_VALUE"""),"Uncle Sams Cider (04/04/2023)")</f>
        <v>Uncle Sams Cider (04/04/2023)</v>
      </c>
      <c r="H1591" s="19"/>
    </row>
    <row r="1592">
      <c r="A1592" s="9"/>
      <c r="B1592" s="15"/>
      <c r="C1592" s="9">
        <f>IFERROR(__xludf.DUMMYFUNCTION("""COMPUTED_VALUE"""),45127.9052744213)</f>
        <v>45127.90527</v>
      </c>
      <c r="D1592" s="15">
        <f>IFERROR(__xludf.DUMMYFUNCTION("""COMPUTED_VALUE"""),0.999)</f>
        <v>0.999</v>
      </c>
      <c r="E1592" s="16">
        <f>IFERROR(__xludf.DUMMYFUNCTION("""COMPUTED_VALUE"""),71.0)</f>
        <v>71</v>
      </c>
      <c r="F1592" s="19" t="str">
        <f>IFERROR(__xludf.DUMMYFUNCTION("""COMPUTED_VALUE"""),"BLUE")</f>
        <v>BLUE</v>
      </c>
      <c r="G1592" s="20" t="str">
        <f>IFERROR(__xludf.DUMMYFUNCTION("""COMPUTED_VALUE"""),"Uncle Sams Cider (04/04/2023)")</f>
        <v>Uncle Sams Cider (04/04/2023)</v>
      </c>
      <c r="H1592" s="19"/>
    </row>
    <row r="1593">
      <c r="A1593" s="9"/>
      <c r="B1593" s="15"/>
      <c r="C1593" s="9">
        <f>IFERROR(__xludf.DUMMYFUNCTION("""COMPUTED_VALUE"""),45127.8948538773)</f>
        <v>45127.89485</v>
      </c>
      <c r="D1593" s="15">
        <f>IFERROR(__xludf.DUMMYFUNCTION("""COMPUTED_VALUE"""),0.999)</f>
        <v>0.999</v>
      </c>
      <c r="E1593" s="16">
        <f>IFERROR(__xludf.DUMMYFUNCTION("""COMPUTED_VALUE"""),71.0)</f>
        <v>71</v>
      </c>
      <c r="F1593" s="19" t="str">
        <f>IFERROR(__xludf.DUMMYFUNCTION("""COMPUTED_VALUE"""),"BLUE")</f>
        <v>BLUE</v>
      </c>
      <c r="G1593" s="20" t="str">
        <f>IFERROR(__xludf.DUMMYFUNCTION("""COMPUTED_VALUE"""),"Uncle Sams Cider (04/04/2023)")</f>
        <v>Uncle Sams Cider (04/04/2023)</v>
      </c>
      <c r="H1593" s="19"/>
    </row>
    <row r="1594">
      <c r="A1594" s="9"/>
      <c r="B1594" s="15"/>
      <c r="C1594" s="9">
        <f>IFERROR(__xludf.DUMMYFUNCTION("""COMPUTED_VALUE"""),45127.8844218055)</f>
        <v>45127.88442</v>
      </c>
      <c r="D1594" s="15">
        <f>IFERROR(__xludf.DUMMYFUNCTION("""COMPUTED_VALUE"""),0.999)</f>
        <v>0.999</v>
      </c>
      <c r="E1594" s="16">
        <f>IFERROR(__xludf.DUMMYFUNCTION("""COMPUTED_VALUE"""),71.0)</f>
        <v>71</v>
      </c>
      <c r="F1594" s="19" t="str">
        <f>IFERROR(__xludf.DUMMYFUNCTION("""COMPUTED_VALUE"""),"BLUE")</f>
        <v>BLUE</v>
      </c>
      <c r="G1594" s="20" t="str">
        <f>IFERROR(__xludf.DUMMYFUNCTION("""COMPUTED_VALUE"""),"Uncle Sams Cider (04/04/2023)")</f>
        <v>Uncle Sams Cider (04/04/2023)</v>
      </c>
      <c r="H1594" s="19"/>
    </row>
    <row r="1595">
      <c r="A1595" s="9"/>
      <c r="B1595" s="15"/>
      <c r="C1595" s="9">
        <f>IFERROR(__xludf.DUMMYFUNCTION("""COMPUTED_VALUE"""),45127.8740000926)</f>
        <v>45127.874</v>
      </c>
      <c r="D1595" s="15">
        <f>IFERROR(__xludf.DUMMYFUNCTION("""COMPUTED_VALUE"""),0.999)</f>
        <v>0.999</v>
      </c>
      <c r="E1595" s="16">
        <f>IFERROR(__xludf.DUMMYFUNCTION("""COMPUTED_VALUE"""),71.0)</f>
        <v>71</v>
      </c>
      <c r="F1595" s="19" t="str">
        <f>IFERROR(__xludf.DUMMYFUNCTION("""COMPUTED_VALUE"""),"BLUE")</f>
        <v>BLUE</v>
      </c>
      <c r="G1595" s="20" t="str">
        <f>IFERROR(__xludf.DUMMYFUNCTION("""COMPUTED_VALUE"""),"Uncle Sams Cider (04/04/2023)")</f>
        <v>Uncle Sams Cider (04/04/2023)</v>
      </c>
      <c r="H1595" s="19"/>
    </row>
    <row r="1596">
      <c r="A1596" s="9"/>
      <c r="B1596" s="15"/>
      <c r="C1596" s="9">
        <f>IFERROR(__xludf.DUMMYFUNCTION("""COMPUTED_VALUE"""),45127.8635797338)</f>
        <v>45127.86358</v>
      </c>
      <c r="D1596" s="15">
        <f>IFERROR(__xludf.DUMMYFUNCTION("""COMPUTED_VALUE"""),0.999)</f>
        <v>0.999</v>
      </c>
      <c r="E1596" s="16">
        <f>IFERROR(__xludf.DUMMYFUNCTION("""COMPUTED_VALUE"""),71.0)</f>
        <v>71</v>
      </c>
      <c r="F1596" s="19" t="str">
        <f>IFERROR(__xludf.DUMMYFUNCTION("""COMPUTED_VALUE"""),"BLUE")</f>
        <v>BLUE</v>
      </c>
      <c r="G1596" s="20" t="str">
        <f>IFERROR(__xludf.DUMMYFUNCTION("""COMPUTED_VALUE"""),"Uncle Sams Cider (04/04/2023)")</f>
        <v>Uncle Sams Cider (04/04/2023)</v>
      </c>
      <c r="H1596" s="19"/>
    </row>
    <row r="1597">
      <c r="A1597" s="9"/>
      <c r="B1597" s="15"/>
      <c r="C1597" s="9">
        <f>IFERROR(__xludf.DUMMYFUNCTION("""COMPUTED_VALUE"""),45127.8531585879)</f>
        <v>45127.85316</v>
      </c>
      <c r="D1597" s="15">
        <f>IFERROR(__xludf.DUMMYFUNCTION("""COMPUTED_VALUE"""),0.999)</f>
        <v>0.999</v>
      </c>
      <c r="E1597" s="16">
        <f>IFERROR(__xludf.DUMMYFUNCTION("""COMPUTED_VALUE"""),71.0)</f>
        <v>71</v>
      </c>
      <c r="F1597" s="19" t="str">
        <f>IFERROR(__xludf.DUMMYFUNCTION("""COMPUTED_VALUE"""),"BLUE")</f>
        <v>BLUE</v>
      </c>
      <c r="G1597" s="20" t="str">
        <f>IFERROR(__xludf.DUMMYFUNCTION("""COMPUTED_VALUE"""),"Uncle Sams Cider (04/04/2023)")</f>
        <v>Uncle Sams Cider (04/04/2023)</v>
      </c>
      <c r="H1597" s="19"/>
    </row>
    <row r="1598">
      <c r="A1598" s="9"/>
      <c r="B1598" s="15"/>
      <c r="C1598" s="9">
        <f>IFERROR(__xludf.DUMMYFUNCTION("""COMPUTED_VALUE"""),45127.8427384259)</f>
        <v>45127.84274</v>
      </c>
      <c r="D1598" s="15">
        <f>IFERROR(__xludf.DUMMYFUNCTION("""COMPUTED_VALUE"""),0.999)</f>
        <v>0.999</v>
      </c>
      <c r="E1598" s="16">
        <f>IFERROR(__xludf.DUMMYFUNCTION("""COMPUTED_VALUE"""),71.0)</f>
        <v>71</v>
      </c>
      <c r="F1598" s="19" t="str">
        <f>IFERROR(__xludf.DUMMYFUNCTION("""COMPUTED_VALUE"""),"BLUE")</f>
        <v>BLUE</v>
      </c>
      <c r="G1598" s="20" t="str">
        <f>IFERROR(__xludf.DUMMYFUNCTION("""COMPUTED_VALUE"""),"Uncle Sams Cider (04/04/2023)")</f>
        <v>Uncle Sams Cider (04/04/2023)</v>
      </c>
      <c r="H1598" s="19"/>
    </row>
    <row r="1599">
      <c r="A1599" s="9"/>
      <c r="B1599" s="15"/>
      <c r="C1599" s="9">
        <f>IFERROR(__xludf.DUMMYFUNCTION("""COMPUTED_VALUE"""),45127.8323187037)</f>
        <v>45127.83232</v>
      </c>
      <c r="D1599" s="15">
        <f>IFERROR(__xludf.DUMMYFUNCTION("""COMPUTED_VALUE"""),0.999)</f>
        <v>0.999</v>
      </c>
      <c r="E1599" s="16">
        <f>IFERROR(__xludf.DUMMYFUNCTION("""COMPUTED_VALUE"""),71.0)</f>
        <v>71</v>
      </c>
      <c r="F1599" s="19" t="str">
        <f>IFERROR(__xludf.DUMMYFUNCTION("""COMPUTED_VALUE"""),"BLUE")</f>
        <v>BLUE</v>
      </c>
      <c r="G1599" s="20" t="str">
        <f>IFERROR(__xludf.DUMMYFUNCTION("""COMPUTED_VALUE"""),"Uncle Sams Cider (04/04/2023)")</f>
        <v>Uncle Sams Cider (04/04/2023)</v>
      </c>
      <c r="H1599" s="19"/>
    </row>
    <row r="1600">
      <c r="A1600" s="9"/>
      <c r="B1600" s="15"/>
      <c r="C1600" s="9">
        <f>IFERROR(__xludf.DUMMYFUNCTION("""COMPUTED_VALUE"""),45127.8218861689)</f>
        <v>45127.82189</v>
      </c>
      <c r="D1600" s="15">
        <f>IFERROR(__xludf.DUMMYFUNCTION("""COMPUTED_VALUE"""),0.999)</f>
        <v>0.999</v>
      </c>
      <c r="E1600" s="16">
        <f>IFERROR(__xludf.DUMMYFUNCTION("""COMPUTED_VALUE"""),71.0)</f>
        <v>71</v>
      </c>
      <c r="F1600" s="19" t="str">
        <f>IFERROR(__xludf.DUMMYFUNCTION("""COMPUTED_VALUE"""),"BLUE")</f>
        <v>BLUE</v>
      </c>
      <c r="G1600" s="20" t="str">
        <f>IFERROR(__xludf.DUMMYFUNCTION("""COMPUTED_VALUE"""),"Uncle Sams Cider (04/04/2023)")</f>
        <v>Uncle Sams Cider (04/04/2023)</v>
      </c>
      <c r="H1600" s="19"/>
    </row>
    <row r="1601">
      <c r="A1601" s="9"/>
      <c r="B1601" s="15"/>
      <c r="C1601" s="9">
        <f>IFERROR(__xludf.DUMMYFUNCTION("""COMPUTED_VALUE"""),45127.8114676041)</f>
        <v>45127.81147</v>
      </c>
      <c r="D1601" s="15">
        <f>IFERROR(__xludf.DUMMYFUNCTION("""COMPUTED_VALUE"""),0.998)</f>
        <v>0.998</v>
      </c>
      <c r="E1601" s="16">
        <f>IFERROR(__xludf.DUMMYFUNCTION("""COMPUTED_VALUE"""),71.0)</f>
        <v>71</v>
      </c>
      <c r="F1601" s="19" t="str">
        <f>IFERROR(__xludf.DUMMYFUNCTION("""COMPUTED_VALUE"""),"BLUE")</f>
        <v>BLUE</v>
      </c>
      <c r="G1601" s="20" t="str">
        <f>IFERROR(__xludf.DUMMYFUNCTION("""COMPUTED_VALUE"""),"Uncle Sams Cider (04/04/2023)")</f>
        <v>Uncle Sams Cider (04/04/2023)</v>
      </c>
      <c r="H1601" s="19"/>
    </row>
    <row r="1602">
      <c r="A1602" s="9"/>
      <c r="B1602" s="15"/>
      <c r="C1602" s="9">
        <f>IFERROR(__xludf.DUMMYFUNCTION("""COMPUTED_VALUE"""),45127.8010469675)</f>
        <v>45127.80105</v>
      </c>
      <c r="D1602" s="15">
        <f>IFERROR(__xludf.DUMMYFUNCTION("""COMPUTED_VALUE"""),0.999)</f>
        <v>0.999</v>
      </c>
      <c r="E1602" s="16">
        <f>IFERROR(__xludf.DUMMYFUNCTION("""COMPUTED_VALUE"""),71.0)</f>
        <v>71</v>
      </c>
      <c r="F1602" s="19" t="str">
        <f>IFERROR(__xludf.DUMMYFUNCTION("""COMPUTED_VALUE"""),"BLUE")</f>
        <v>BLUE</v>
      </c>
      <c r="G1602" s="20" t="str">
        <f>IFERROR(__xludf.DUMMYFUNCTION("""COMPUTED_VALUE"""),"Uncle Sams Cider (04/04/2023)")</f>
        <v>Uncle Sams Cider (04/04/2023)</v>
      </c>
      <c r="H1602" s="19"/>
    </row>
    <row r="1603">
      <c r="A1603" s="9"/>
      <c r="B1603" s="15"/>
      <c r="C1603" s="9">
        <f>IFERROR(__xludf.DUMMYFUNCTION("""COMPUTED_VALUE"""),45127.7906264467)</f>
        <v>45127.79063</v>
      </c>
      <c r="D1603" s="15">
        <f>IFERROR(__xludf.DUMMYFUNCTION("""COMPUTED_VALUE"""),0.999)</f>
        <v>0.999</v>
      </c>
      <c r="E1603" s="16">
        <f>IFERROR(__xludf.DUMMYFUNCTION("""COMPUTED_VALUE"""),71.0)</f>
        <v>71</v>
      </c>
      <c r="F1603" s="19" t="str">
        <f>IFERROR(__xludf.DUMMYFUNCTION("""COMPUTED_VALUE"""),"BLUE")</f>
        <v>BLUE</v>
      </c>
      <c r="G1603" s="20" t="str">
        <f>IFERROR(__xludf.DUMMYFUNCTION("""COMPUTED_VALUE"""),"Uncle Sams Cider (04/04/2023)")</f>
        <v>Uncle Sams Cider (04/04/2023)</v>
      </c>
      <c r="H1603" s="19"/>
    </row>
    <row r="1604">
      <c r="A1604" s="9"/>
      <c r="B1604" s="15"/>
      <c r="C1604" s="9">
        <f>IFERROR(__xludf.DUMMYFUNCTION("""COMPUTED_VALUE"""),45127.7802050925)</f>
        <v>45127.78021</v>
      </c>
      <c r="D1604" s="15">
        <f>IFERROR(__xludf.DUMMYFUNCTION("""COMPUTED_VALUE"""),0.999)</f>
        <v>0.999</v>
      </c>
      <c r="E1604" s="16">
        <f>IFERROR(__xludf.DUMMYFUNCTION("""COMPUTED_VALUE"""),71.0)</f>
        <v>71</v>
      </c>
      <c r="F1604" s="19" t="str">
        <f>IFERROR(__xludf.DUMMYFUNCTION("""COMPUTED_VALUE"""),"BLUE")</f>
        <v>BLUE</v>
      </c>
      <c r="G1604" s="20" t="str">
        <f>IFERROR(__xludf.DUMMYFUNCTION("""COMPUTED_VALUE"""),"Uncle Sams Cider (04/04/2023)")</f>
        <v>Uncle Sams Cider (04/04/2023)</v>
      </c>
      <c r="H1604" s="19"/>
    </row>
    <row r="1605">
      <c r="A1605" s="9"/>
      <c r="B1605" s="15"/>
      <c r="C1605" s="9">
        <f>IFERROR(__xludf.DUMMYFUNCTION("""COMPUTED_VALUE"""),45127.7697723611)</f>
        <v>45127.76977</v>
      </c>
      <c r="D1605" s="15">
        <f>IFERROR(__xludf.DUMMYFUNCTION("""COMPUTED_VALUE"""),0.999)</f>
        <v>0.999</v>
      </c>
      <c r="E1605" s="16">
        <f>IFERROR(__xludf.DUMMYFUNCTION("""COMPUTED_VALUE"""),71.0)</f>
        <v>71</v>
      </c>
      <c r="F1605" s="19" t="str">
        <f>IFERROR(__xludf.DUMMYFUNCTION("""COMPUTED_VALUE"""),"BLUE")</f>
        <v>BLUE</v>
      </c>
      <c r="G1605" s="20" t="str">
        <f>IFERROR(__xludf.DUMMYFUNCTION("""COMPUTED_VALUE"""),"Uncle Sams Cider (04/04/2023)")</f>
        <v>Uncle Sams Cider (04/04/2023)</v>
      </c>
      <c r="H1605" s="19"/>
    </row>
    <row r="1606">
      <c r="A1606" s="9"/>
      <c r="B1606" s="15"/>
      <c r="C1606" s="9">
        <f>IFERROR(__xludf.DUMMYFUNCTION("""COMPUTED_VALUE"""),45127.7593523726)</f>
        <v>45127.75935</v>
      </c>
      <c r="D1606" s="15">
        <f>IFERROR(__xludf.DUMMYFUNCTION("""COMPUTED_VALUE"""),0.999)</f>
        <v>0.999</v>
      </c>
      <c r="E1606" s="16">
        <f>IFERROR(__xludf.DUMMYFUNCTION("""COMPUTED_VALUE"""),71.0)</f>
        <v>71</v>
      </c>
      <c r="F1606" s="19" t="str">
        <f>IFERROR(__xludf.DUMMYFUNCTION("""COMPUTED_VALUE"""),"BLUE")</f>
        <v>BLUE</v>
      </c>
      <c r="G1606" s="20" t="str">
        <f>IFERROR(__xludf.DUMMYFUNCTION("""COMPUTED_VALUE"""),"Uncle Sams Cider (04/04/2023)")</f>
        <v>Uncle Sams Cider (04/04/2023)</v>
      </c>
      <c r="H1606" s="19"/>
    </row>
    <row r="1607">
      <c r="A1607" s="9"/>
      <c r="B1607" s="15"/>
      <c r="C1607" s="9">
        <f>IFERROR(__xludf.DUMMYFUNCTION("""COMPUTED_VALUE"""),45127.7489325694)</f>
        <v>45127.74893</v>
      </c>
      <c r="D1607" s="15">
        <f>IFERROR(__xludf.DUMMYFUNCTION("""COMPUTED_VALUE"""),0.998)</f>
        <v>0.998</v>
      </c>
      <c r="E1607" s="16">
        <f>IFERROR(__xludf.DUMMYFUNCTION("""COMPUTED_VALUE"""),71.0)</f>
        <v>71</v>
      </c>
      <c r="F1607" s="19" t="str">
        <f>IFERROR(__xludf.DUMMYFUNCTION("""COMPUTED_VALUE"""),"BLUE")</f>
        <v>BLUE</v>
      </c>
      <c r="G1607" s="20" t="str">
        <f>IFERROR(__xludf.DUMMYFUNCTION("""COMPUTED_VALUE"""),"Uncle Sams Cider (04/04/2023)")</f>
        <v>Uncle Sams Cider (04/04/2023)</v>
      </c>
      <c r="H1607" s="19"/>
    </row>
    <row r="1608">
      <c r="A1608" s="9"/>
      <c r="B1608" s="15"/>
      <c r="C1608" s="9">
        <f>IFERROR(__xludf.DUMMYFUNCTION("""COMPUTED_VALUE"""),45127.738513125)</f>
        <v>45127.73851</v>
      </c>
      <c r="D1608" s="15">
        <f>IFERROR(__xludf.DUMMYFUNCTION("""COMPUTED_VALUE"""),0.999)</f>
        <v>0.999</v>
      </c>
      <c r="E1608" s="16">
        <f>IFERROR(__xludf.DUMMYFUNCTION("""COMPUTED_VALUE"""),71.0)</f>
        <v>71</v>
      </c>
      <c r="F1608" s="19" t="str">
        <f>IFERROR(__xludf.DUMMYFUNCTION("""COMPUTED_VALUE"""),"BLUE")</f>
        <v>BLUE</v>
      </c>
      <c r="G1608" s="20" t="str">
        <f>IFERROR(__xludf.DUMMYFUNCTION("""COMPUTED_VALUE"""),"Uncle Sams Cider (04/04/2023)")</f>
        <v>Uncle Sams Cider (04/04/2023)</v>
      </c>
      <c r="H1608" s="19"/>
    </row>
    <row r="1609">
      <c r="A1609" s="9"/>
      <c r="B1609" s="15"/>
      <c r="C1609" s="9">
        <f>IFERROR(__xludf.DUMMYFUNCTION("""COMPUTED_VALUE"""),45127.7280915162)</f>
        <v>45127.72809</v>
      </c>
      <c r="D1609" s="15">
        <f>IFERROR(__xludf.DUMMYFUNCTION("""COMPUTED_VALUE"""),0.999)</f>
        <v>0.999</v>
      </c>
      <c r="E1609" s="16">
        <f>IFERROR(__xludf.DUMMYFUNCTION("""COMPUTED_VALUE"""),71.0)</f>
        <v>71</v>
      </c>
      <c r="F1609" s="19" t="str">
        <f>IFERROR(__xludf.DUMMYFUNCTION("""COMPUTED_VALUE"""),"BLUE")</f>
        <v>BLUE</v>
      </c>
      <c r="G1609" s="20" t="str">
        <f>IFERROR(__xludf.DUMMYFUNCTION("""COMPUTED_VALUE"""),"Uncle Sams Cider (04/04/2023)")</f>
        <v>Uncle Sams Cider (04/04/2023)</v>
      </c>
      <c r="H1609" s="19"/>
    </row>
    <row r="1610">
      <c r="A1610" s="9"/>
      <c r="B1610" s="15"/>
      <c r="C1610" s="9">
        <f>IFERROR(__xludf.DUMMYFUNCTION("""COMPUTED_VALUE"""),45127.7176610185)</f>
        <v>45127.71766</v>
      </c>
      <c r="D1610" s="15">
        <f>IFERROR(__xludf.DUMMYFUNCTION("""COMPUTED_VALUE"""),0.998)</f>
        <v>0.998</v>
      </c>
      <c r="E1610" s="16">
        <f>IFERROR(__xludf.DUMMYFUNCTION("""COMPUTED_VALUE"""),71.0)</f>
        <v>71</v>
      </c>
      <c r="F1610" s="19" t="str">
        <f>IFERROR(__xludf.DUMMYFUNCTION("""COMPUTED_VALUE"""),"BLUE")</f>
        <v>BLUE</v>
      </c>
      <c r="G1610" s="20" t="str">
        <f>IFERROR(__xludf.DUMMYFUNCTION("""COMPUTED_VALUE"""),"Uncle Sams Cider (04/04/2023)")</f>
        <v>Uncle Sams Cider (04/04/2023)</v>
      </c>
      <c r="H1610" s="19"/>
    </row>
    <row r="1611">
      <c r="A1611" s="9"/>
      <c r="B1611" s="15"/>
      <c r="C1611" s="9">
        <f>IFERROR(__xludf.DUMMYFUNCTION("""COMPUTED_VALUE"""),45127.7072393981)</f>
        <v>45127.70724</v>
      </c>
      <c r="D1611" s="15">
        <f>IFERROR(__xludf.DUMMYFUNCTION("""COMPUTED_VALUE"""),0.999)</f>
        <v>0.999</v>
      </c>
      <c r="E1611" s="16">
        <f>IFERROR(__xludf.DUMMYFUNCTION("""COMPUTED_VALUE"""),71.0)</f>
        <v>71</v>
      </c>
      <c r="F1611" s="19" t="str">
        <f>IFERROR(__xludf.DUMMYFUNCTION("""COMPUTED_VALUE"""),"BLUE")</f>
        <v>BLUE</v>
      </c>
      <c r="G1611" s="20" t="str">
        <f>IFERROR(__xludf.DUMMYFUNCTION("""COMPUTED_VALUE"""),"Uncle Sams Cider (04/04/2023)")</f>
        <v>Uncle Sams Cider (04/04/2023)</v>
      </c>
      <c r="H1611" s="19"/>
    </row>
    <row r="1612">
      <c r="A1612" s="9"/>
      <c r="B1612" s="15"/>
      <c r="C1612" s="9">
        <f>IFERROR(__xludf.DUMMYFUNCTION("""COMPUTED_VALUE"""),45127.6968089583)</f>
        <v>45127.69681</v>
      </c>
      <c r="D1612" s="15">
        <f>IFERROR(__xludf.DUMMYFUNCTION("""COMPUTED_VALUE"""),0.999)</f>
        <v>0.999</v>
      </c>
      <c r="E1612" s="16">
        <f>IFERROR(__xludf.DUMMYFUNCTION("""COMPUTED_VALUE"""),71.0)</f>
        <v>71</v>
      </c>
      <c r="F1612" s="19" t="str">
        <f>IFERROR(__xludf.DUMMYFUNCTION("""COMPUTED_VALUE"""),"BLUE")</f>
        <v>BLUE</v>
      </c>
      <c r="G1612" s="20" t="str">
        <f>IFERROR(__xludf.DUMMYFUNCTION("""COMPUTED_VALUE"""),"Uncle Sams Cider (04/04/2023)")</f>
        <v>Uncle Sams Cider (04/04/2023)</v>
      </c>
      <c r="H1612" s="19"/>
    </row>
    <row r="1613">
      <c r="A1613" s="9"/>
      <c r="B1613" s="15"/>
      <c r="C1613" s="9">
        <f>IFERROR(__xludf.DUMMYFUNCTION("""COMPUTED_VALUE"""),45127.6863856828)</f>
        <v>45127.68639</v>
      </c>
      <c r="D1613" s="15">
        <f>IFERROR(__xludf.DUMMYFUNCTION("""COMPUTED_VALUE"""),0.999)</f>
        <v>0.999</v>
      </c>
      <c r="E1613" s="16">
        <f>IFERROR(__xludf.DUMMYFUNCTION("""COMPUTED_VALUE"""),71.0)</f>
        <v>71</v>
      </c>
      <c r="F1613" s="19" t="str">
        <f>IFERROR(__xludf.DUMMYFUNCTION("""COMPUTED_VALUE"""),"BLUE")</f>
        <v>BLUE</v>
      </c>
      <c r="G1613" s="20" t="str">
        <f>IFERROR(__xludf.DUMMYFUNCTION("""COMPUTED_VALUE"""),"Uncle Sams Cider (04/04/2023)")</f>
        <v>Uncle Sams Cider (04/04/2023)</v>
      </c>
      <c r="H1613" s="19"/>
    </row>
    <row r="1614">
      <c r="A1614" s="9"/>
      <c r="B1614" s="15"/>
      <c r="C1614" s="9">
        <f>IFERROR(__xludf.DUMMYFUNCTION("""COMPUTED_VALUE"""),45127.6759424421)</f>
        <v>45127.67594</v>
      </c>
      <c r="D1614" s="15">
        <f>IFERROR(__xludf.DUMMYFUNCTION("""COMPUTED_VALUE"""),0.999)</f>
        <v>0.999</v>
      </c>
      <c r="E1614" s="16">
        <f>IFERROR(__xludf.DUMMYFUNCTION("""COMPUTED_VALUE"""),71.0)</f>
        <v>71</v>
      </c>
      <c r="F1614" s="19" t="str">
        <f>IFERROR(__xludf.DUMMYFUNCTION("""COMPUTED_VALUE"""),"BLUE")</f>
        <v>BLUE</v>
      </c>
      <c r="G1614" s="20" t="str">
        <f>IFERROR(__xludf.DUMMYFUNCTION("""COMPUTED_VALUE"""),"Uncle Sams Cider (04/04/2023)")</f>
        <v>Uncle Sams Cider (04/04/2023)</v>
      </c>
      <c r="H1614" s="19"/>
    </row>
    <row r="1615">
      <c r="A1615" s="9"/>
      <c r="B1615" s="15"/>
      <c r="C1615" s="9">
        <f>IFERROR(__xludf.DUMMYFUNCTION("""COMPUTED_VALUE"""),45127.6655086342)</f>
        <v>45127.66551</v>
      </c>
      <c r="D1615" s="15">
        <f>IFERROR(__xludf.DUMMYFUNCTION("""COMPUTED_VALUE"""),0.999)</f>
        <v>0.999</v>
      </c>
      <c r="E1615" s="16">
        <f>IFERROR(__xludf.DUMMYFUNCTION("""COMPUTED_VALUE"""),71.0)</f>
        <v>71</v>
      </c>
      <c r="F1615" s="19" t="str">
        <f>IFERROR(__xludf.DUMMYFUNCTION("""COMPUTED_VALUE"""),"BLUE")</f>
        <v>BLUE</v>
      </c>
      <c r="G1615" s="20" t="str">
        <f>IFERROR(__xludf.DUMMYFUNCTION("""COMPUTED_VALUE"""),"Uncle Sams Cider (04/04/2023)")</f>
        <v>Uncle Sams Cider (04/04/2023)</v>
      </c>
      <c r="H1615" s="19"/>
    </row>
    <row r="1616">
      <c r="A1616" s="9"/>
      <c r="B1616" s="15"/>
      <c r="C1616" s="9">
        <f>IFERROR(__xludf.DUMMYFUNCTION("""COMPUTED_VALUE"""),45127.655088125)</f>
        <v>45127.65509</v>
      </c>
      <c r="D1616" s="15">
        <f>IFERROR(__xludf.DUMMYFUNCTION("""COMPUTED_VALUE"""),0.999)</f>
        <v>0.999</v>
      </c>
      <c r="E1616" s="16">
        <f>IFERROR(__xludf.DUMMYFUNCTION("""COMPUTED_VALUE"""),71.0)</f>
        <v>71</v>
      </c>
      <c r="F1616" s="19" t="str">
        <f>IFERROR(__xludf.DUMMYFUNCTION("""COMPUTED_VALUE"""),"BLUE")</f>
        <v>BLUE</v>
      </c>
      <c r="G1616" s="20" t="str">
        <f>IFERROR(__xludf.DUMMYFUNCTION("""COMPUTED_VALUE"""),"Uncle Sams Cider (04/04/2023)")</f>
        <v>Uncle Sams Cider (04/04/2023)</v>
      </c>
      <c r="H1616" s="19"/>
    </row>
    <row r="1617">
      <c r="A1617" s="9"/>
      <c r="B1617" s="15"/>
      <c r="C1617" s="9">
        <f>IFERROR(__xludf.DUMMYFUNCTION("""COMPUTED_VALUE"""),45127.6446656944)</f>
        <v>45127.64467</v>
      </c>
      <c r="D1617" s="15">
        <f>IFERROR(__xludf.DUMMYFUNCTION("""COMPUTED_VALUE"""),0.999)</f>
        <v>0.999</v>
      </c>
      <c r="E1617" s="16">
        <f>IFERROR(__xludf.DUMMYFUNCTION("""COMPUTED_VALUE"""),71.0)</f>
        <v>71</v>
      </c>
      <c r="F1617" s="19" t="str">
        <f>IFERROR(__xludf.DUMMYFUNCTION("""COMPUTED_VALUE"""),"BLUE")</f>
        <v>BLUE</v>
      </c>
      <c r="G1617" s="20" t="str">
        <f>IFERROR(__xludf.DUMMYFUNCTION("""COMPUTED_VALUE"""),"Uncle Sams Cider (04/04/2023)")</f>
        <v>Uncle Sams Cider (04/04/2023)</v>
      </c>
      <c r="H1617" s="19"/>
    </row>
    <row r="1618">
      <c r="A1618" s="9"/>
      <c r="B1618" s="15"/>
      <c r="C1618" s="9">
        <f>IFERROR(__xludf.DUMMYFUNCTION("""COMPUTED_VALUE"""),45127.63423228)</f>
        <v>45127.63423</v>
      </c>
      <c r="D1618" s="15">
        <f>IFERROR(__xludf.DUMMYFUNCTION("""COMPUTED_VALUE"""),0.999)</f>
        <v>0.999</v>
      </c>
      <c r="E1618" s="16">
        <f>IFERROR(__xludf.DUMMYFUNCTION("""COMPUTED_VALUE"""),71.0)</f>
        <v>71</v>
      </c>
      <c r="F1618" s="19" t="str">
        <f>IFERROR(__xludf.DUMMYFUNCTION("""COMPUTED_VALUE"""),"BLUE")</f>
        <v>BLUE</v>
      </c>
      <c r="G1618" s="20" t="str">
        <f>IFERROR(__xludf.DUMMYFUNCTION("""COMPUTED_VALUE"""),"Uncle Sams Cider (04/04/2023)")</f>
        <v>Uncle Sams Cider (04/04/2023)</v>
      </c>
      <c r="H1618" s="19"/>
    </row>
    <row r="1619">
      <c r="A1619" s="9"/>
      <c r="B1619" s="15"/>
      <c r="C1619" s="9">
        <f>IFERROR(__xludf.DUMMYFUNCTION("""COMPUTED_VALUE"""),45127.6238105671)</f>
        <v>45127.62381</v>
      </c>
      <c r="D1619" s="15">
        <f>IFERROR(__xludf.DUMMYFUNCTION("""COMPUTED_VALUE"""),0.999)</f>
        <v>0.999</v>
      </c>
      <c r="E1619" s="16">
        <f>IFERROR(__xludf.DUMMYFUNCTION("""COMPUTED_VALUE"""),71.0)</f>
        <v>71</v>
      </c>
      <c r="F1619" s="19" t="str">
        <f>IFERROR(__xludf.DUMMYFUNCTION("""COMPUTED_VALUE"""),"BLUE")</f>
        <v>BLUE</v>
      </c>
      <c r="G1619" s="20" t="str">
        <f>IFERROR(__xludf.DUMMYFUNCTION("""COMPUTED_VALUE"""),"Uncle Sams Cider (04/04/2023)")</f>
        <v>Uncle Sams Cider (04/04/2023)</v>
      </c>
      <c r="H1619" s="19"/>
    </row>
    <row r="1620">
      <c r="A1620" s="9"/>
      <c r="B1620" s="15"/>
      <c r="C1620" s="9">
        <f>IFERROR(__xludf.DUMMYFUNCTION("""COMPUTED_VALUE"""),45127.6133907175)</f>
        <v>45127.61339</v>
      </c>
      <c r="D1620" s="15">
        <f>IFERROR(__xludf.DUMMYFUNCTION("""COMPUTED_VALUE"""),0.999)</f>
        <v>0.999</v>
      </c>
      <c r="E1620" s="16">
        <f>IFERROR(__xludf.DUMMYFUNCTION("""COMPUTED_VALUE"""),71.0)</f>
        <v>71</v>
      </c>
      <c r="F1620" s="19" t="str">
        <f>IFERROR(__xludf.DUMMYFUNCTION("""COMPUTED_VALUE"""),"BLUE")</f>
        <v>BLUE</v>
      </c>
      <c r="G1620" s="20" t="str">
        <f>IFERROR(__xludf.DUMMYFUNCTION("""COMPUTED_VALUE"""),"Uncle Sams Cider (04/04/2023)")</f>
        <v>Uncle Sams Cider (04/04/2023)</v>
      </c>
      <c r="H1620" s="19"/>
    </row>
    <row r="1621">
      <c r="A1621" s="9"/>
      <c r="B1621" s="15"/>
      <c r="C1621" s="9">
        <f>IFERROR(__xludf.DUMMYFUNCTION("""COMPUTED_VALUE"""),45127.6029582754)</f>
        <v>45127.60296</v>
      </c>
      <c r="D1621" s="15">
        <f>IFERROR(__xludf.DUMMYFUNCTION("""COMPUTED_VALUE"""),0.999)</f>
        <v>0.999</v>
      </c>
      <c r="E1621" s="16">
        <f>IFERROR(__xludf.DUMMYFUNCTION("""COMPUTED_VALUE"""),71.0)</f>
        <v>71</v>
      </c>
      <c r="F1621" s="19" t="str">
        <f>IFERROR(__xludf.DUMMYFUNCTION("""COMPUTED_VALUE"""),"BLUE")</f>
        <v>BLUE</v>
      </c>
      <c r="G1621" s="20" t="str">
        <f>IFERROR(__xludf.DUMMYFUNCTION("""COMPUTED_VALUE"""),"Uncle Sams Cider (04/04/2023)")</f>
        <v>Uncle Sams Cider (04/04/2023)</v>
      </c>
      <c r="H1621" s="19"/>
    </row>
    <row r="1622">
      <c r="A1622" s="9"/>
      <c r="B1622" s="15"/>
      <c r="C1622" s="9">
        <f>IFERROR(__xludf.DUMMYFUNCTION("""COMPUTED_VALUE"""),45127.592536875)</f>
        <v>45127.59254</v>
      </c>
      <c r="D1622" s="15">
        <f>IFERROR(__xludf.DUMMYFUNCTION("""COMPUTED_VALUE"""),0.999)</f>
        <v>0.999</v>
      </c>
      <c r="E1622" s="16">
        <f>IFERROR(__xludf.DUMMYFUNCTION("""COMPUTED_VALUE"""),71.0)</f>
        <v>71</v>
      </c>
      <c r="F1622" s="19" t="str">
        <f>IFERROR(__xludf.DUMMYFUNCTION("""COMPUTED_VALUE"""),"BLUE")</f>
        <v>BLUE</v>
      </c>
      <c r="G1622" s="20" t="str">
        <f>IFERROR(__xludf.DUMMYFUNCTION("""COMPUTED_VALUE"""),"Uncle Sams Cider (04/04/2023)")</f>
        <v>Uncle Sams Cider (04/04/2023)</v>
      </c>
      <c r="H1622" s="19"/>
    </row>
    <row r="1623">
      <c r="A1623" s="9"/>
      <c r="B1623" s="15"/>
      <c r="C1623" s="9">
        <f>IFERROR(__xludf.DUMMYFUNCTION("""COMPUTED_VALUE"""),45127.5821148263)</f>
        <v>45127.58211</v>
      </c>
      <c r="D1623" s="15">
        <f>IFERROR(__xludf.DUMMYFUNCTION("""COMPUTED_VALUE"""),0.999)</f>
        <v>0.999</v>
      </c>
      <c r="E1623" s="16">
        <f>IFERROR(__xludf.DUMMYFUNCTION("""COMPUTED_VALUE"""),71.0)</f>
        <v>71</v>
      </c>
      <c r="F1623" s="19" t="str">
        <f>IFERROR(__xludf.DUMMYFUNCTION("""COMPUTED_VALUE"""),"BLUE")</f>
        <v>BLUE</v>
      </c>
      <c r="G1623" s="20" t="str">
        <f>IFERROR(__xludf.DUMMYFUNCTION("""COMPUTED_VALUE"""),"Uncle Sams Cider (04/04/2023)")</f>
        <v>Uncle Sams Cider (04/04/2023)</v>
      </c>
      <c r="H1623" s="19"/>
    </row>
    <row r="1624">
      <c r="A1624" s="9"/>
      <c r="B1624" s="15"/>
      <c r="C1624" s="9">
        <f>IFERROR(__xludf.DUMMYFUNCTION("""COMPUTED_VALUE"""),45127.5716929861)</f>
        <v>45127.57169</v>
      </c>
      <c r="D1624" s="15">
        <f>IFERROR(__xludf.DUMMYFUNCTION("""COMPUTED_VALUE"""),0.999)</f>
        <v>0.999</v>
      </c>
      <c r="E1624" s="16">
        <f>IFERROR(__xludf.DUMMYFUNCTION("""COMPUTED_VALUE"""),71.0)</f>
        <v>71</v>
      </c>
      <c r="F1624" s="19" t="str">
        <f>IFERROR(__xludf.DUMMYFUNCTION("""COMPUTED_VALUE"""),"BLUE")</f>
        <v>BLUE</v>
      </c>
      <c r="G1624" s="20" t="str">
        <f>IFERROR(__xludf.DUMMYFUNCTION("""COMPUTED_VALUE"""),"Uncle Sams Cider (04/04/2023)")</f>
        <v>Uncle Sams Cider (04/04/2023)</v>
      </c>
      <c r="H1624" s="19"/>
    </row>
    <row r="1625">
      <c r="A1625" s="9"/>
      <c r="B1625" s="15"/>
      <c r="C1625" s="9">
        <f>IFERROR(__xludf.DUMMYFUNCTION("""COMPUTED_VALUE"""),45127.5612717824)</f>
        <v>45127.56127</v>
      </c>
      <c r="D1625" s="15">
        <f>IFERROR(__xludf.DUMMYFUNCTION("""COMPUTED_VALUE"""),0.999)</f>
        <v>0.999</v>
      </c>
      <c r="E1625" s="16">
        <f>IFERROR(__xludf.DUMMYFUNCTION("""COMPUTED_VALUE"""),71.0)</f>
        <v>71</v>
      </c>
      <c r="F1625" s="19" t="str">
        <f>IFERROR(__xludf.DUMMYFUNCTION("""COMPUTED_VALUE"""),"BLUE")</f>
        <v>BLUE</v>
      </c>
      <c r="G1625" s="20" t="str">
        <f>IFERROR(__xludf.DUMMYFUNCTION("""COMPUTED_VALUE"""),"Uncle Sams Cider (04/04/2023)")</f>
        <v>Uncle Sams Cider (04/04/2023)</v>
      </c>
      <c r="H1625" s="19"/>
    </row>
    <row r="1626">
      <c r="A1626" s="9"/>
      <c r="B1626" s="15"/>
      <c r="C1626" s="9">
        <f>IFERROR(__xludf.DUMMYFUNCTION("""COMPUTED_VALUE"""),45127.5508498263)</f>
        <v>45127.55085</v>
      </c>
      <c r="D1626" s="15">
        <f>IFERROR(__xludf.DUMMYFUNCTION("""COMPUTED_VALUE"""),0.999)</f>
        <v>0.999</v>
      </c>
      <c r="E1626" s="16">
        <f>IFERROR(__xludf.DUMMYFUNCTION("""COMPUTED_VALUE"""),71.0)</f>
        <v>71</v>
      </c>
      <c r="F1626" s="19" t="str">
        <f>IFERROR(__xludf.DUMMYFUNCTION("""COMPUTED_VALUE"""),"BLUE")</f>
        <v>BLUE</v>
      </c>
      <c r="G1626" s="20" t="str">
        <f>IFERROR(__xludf.DUMMYFUNCTION("""COMPUTED_VALUE"""),"Uncle Sams Cider (04/04/2023)")</f>
        <v>Uncle Sams Cider (04/04/2023)</v>
      </c>
      <c r="H1626" s="19"/>
    </row>
    <row r="1627">
      <c r="A1627" s="9"/>
      <c r="B1627" s="15"/>
      <c r="C1627" s="9">
        <f>IFERROR(__xludf.DUMMYFUNCTION("""COMPUTED_VALUE"""),45127.5404283564)</f>
        <v>45127.54043</v>
      </c>
      <c r="D1627" s="15">
        <f>IFERROR(__xludf.DUMMYFUNCTION("""COMPUTED_VALUE"""),0.999)</f>
        <v>0.999</v>
      </c>
      <c r="E1627" s="16">
        <f>IFERROR(__xludf.DUMMYFUNCTION("""COMPUTED_VALUE"""),71.0)</f>
        <v>71</v>
      </c>
      <c r="F1627" s="19" t="str">
        <f>IFERROR(__xludf.DUMMYFUNCTION("""COMPUTED_VALUE"""),"BLUE")</f>
        <v>BLUE</v>
      </c>
      <c r="G1627" s="20" t="str">
        <f>IFERROR(__xludf.DUMMYFUNCTION("""COMPUTED_VALUE"""),"Uncle Sams Cider (04/04/2023)")</f>
        <v>Uncle Sams Cider (04/04/2023)</v>
      </c>
      <c r="H1627" s="19"/>
    </row>
    <row r="1628">
      <c r="A1628" s="9"/>
      <c r="B1628" s="15"/>
      <c r="C1628" s="9">
        <f>IFERROR(__xludf.DUMMYFUNCTION("""COMPUTED_VALUE"""),45127.5299966203)</f>
        <v>45127.53</v>
      </c>
      <c r="D1628" s="15">
        <f>IFERROR(__xludf.DUMMYFUNCTION("""COMPUTED_VALUE"""),0.999)</f>
        <v>0.999</v>
      </c>
      <c r="E1628" s="16">
        <f>IFERROR(__xludf.DUMMYFUNCTION("""COMPUTED_VALUE"""),71.0)</f>
        <v>71</v>
      </c>
      <c r="F1628" s="19" t="str">
        <f>IFERROR(__xludf.DUMMYFUNCTION("""COMPUTED_VALUE"""),"BLUE")</f>
        <v>BLUE</v>
      </c>
      <c r="G1628" s="20" t="str">
        <f>IFERROR(__xludf.DUMMYFUNCTION("""COMPUTED_VALUE"""),"Uncle Sams Cider (04/04/2023)")</f>
        <v>Uncle Sams Cider (04/04/2023)</v>
      </c>
      <c r="H1628" s="19"/>
    </row>
    <row r="1629">
      <c r="A1629" s="9"/>
      <c r="B1629" s="15"/>
      <c r="C1629" s="9">
        <f>IFERROR(__xludf.DUMMYFUNCTION("""COMPUTED_VALUE"""),45127.5195760763)</f>
        <v>45127.51958</v>
      </c>
      <c r="D1629" s="15">
        <f>IFERROR(__xludf.DUMMYFUNCTION("""COMPUTED_VALUE"""),0.998)</f>
        <v>0.998</v>
      </c>
      <c r="E1629" s="16">
        <f>IFERROR(__xludf.DUMMYFUNCTION("""COMPUTED_VALUE"""),71.0)</f>
        <v>71</v>
      </c>
      <c r="F1629" s="19" t="str">
        <f>IFERROR(__xludf.DUMMYFUNCTION("""COMPUTED_VALUE"""),"BLUE")</f>
        <v>BLUE</v>
      </c>
      <c r="G1629" s="20" t="str">
        <f>IFERROR(__xludf.DUMMYFUNCTION("""COMPUTED_VALUE"""),"Uncle Sams Cider (04/04/2023)")</f>
        <v>Uncle Sams Cider (04/04/2023)</v>
      </c>
      <c r="H1629" s="19"/>
    </row>
    <row r="1630">
      <c r="A1630" s="9"/>
      <c r="B1630" s="15"/>
      <c r="C1630" s="9">
        <f>IFERROR(__xludf.DUMMYFUNCTION("""COMPUTED_VALUE"""),45127.5091545601)</f>
        <v>45127.50915</v>
      </c>
      <c r="D1630" s="15">
        <f>IFERROR(__xludf.DUMMYFUNCTION("""COMPUTED_VALUE"""),0.999)</f>
        <v>0.999</v>
      </c>
      <c r="E1630" s="16">
        <f>IFERROR(__xludf.DUMMYFUNCTION("""COMPUTED_VALUE"""),71.0)</f>
        <v>71</v>
      </c>
      <c r="F1630" s="19" t="str">
        <f>IFERROR(__xludf.DUMMYFUNCTION("""COMPUTED_VALUE"""),"BLUE")</f>
        <v>BLUE</v>
      </c>
      <c r="G1630" s="20" t="str">
        <f>IFERROR(__xludf.DUMMYFUNCTION("""COMPUTED_VALUE"""),"Uncle Sams Cider (04/04/2023)")</f>
        <v>Uncle Sams Cider (04/04/2023)</v>
      </c>
      <c r="H1630" s="19"/>
    </row>
    <row r="1631">
      <c r="A1631" s="9"/>
      <c r="B1631" s="15"/>
      <c r="C1631" s="9">
        <f>IFERROR(__xludf.DUMMYFUNCTION("""COMPUTED_VALUE"""),45127.4987335069)</f>
        <v>45127.49873</v>
      </c>
      <c r="D1631" s="15">
        <f>IFERROR(__xludf.DUMMYFUNCTION("""COMPUTED_VALUE"""),0.999)</f>
        <v>0.999</v>
      </c>
      <c r="E1631" s="16">
        <f>IFERROR(__xludf.DUMMYFUNCTION("""COMPUTED_VALUE"""),71.0)</f>
        <v>71</v>
      </c>
      <c r="F1631" s="19" t="str">
        <f>IFERROR(__xludf.DUMMYFUNCTION("""COMPUTED_VALUE"""),"BLUE")</f>
        <v>BLUE</v>
      </c>
      <c r="G1631" s="20" t="str">
        <f>IFERROR(__xludf.DUMMYFUNCTION("""COMPUTED_VALUE"""),"Uncle Sams Cider (04/04/2023)")</f>
        <v>Uncle Sams Cider (04/04/2023)</v>
      </c>
      <c r="H1631" s="19"/>
    </row>
    <row r="1632">
      <c r="A1632" s="9"/>
      <c r="B1632" s="15"/>
      <c r="C1632" s="9">
        <f>IFERROR(__xludf.DUMMYFUNCTION("""COMPUTED_VALUE"""),45127.4883122453)</f>
        <v>45127.48831</v>
      </c>
      <c r="D1632" s="15">
        <f>IFERROR(__xludf.DUMMYFUNCTION("""COMPUTED_VALUE"""),0.999)</f>
        <v>0.999</v>
      </c>
      <c r="E1632" s="16">
        <f>IFERROR(__xludf.DUMMYFUNCTION("""COMPUTED_VALUE"""),71.0)</f>
        <v>71</v>
      </c>
      <c r="F1632" s="19" t="str">
        <f>IFERROR(__xludf.DUMMYFUNCTION("""COMPUTED_VALUE"""),"BLUE")</f>
        <v>BLUE</v>
      </c>
      <c r="G1632" s="20" t="str">
        <f>IFERROR(__xludf.DUMMYFUNCTION("""COMPUTED_VALUE"""),"Uncle Sams Cider (04/04/2023)")</f>
        <v>Uncle Sams Cider (04/04/2023)</v>
      </c>
      <c r="H1632" s="19"/>
    </row>
    <row r="1633">
      <c r="A1633" s="9"/>
      <c r="B1633" s="15"/>
      <c r="C1633" s="9">
        <f>IFERROR(__xludf.DUMMYFUNCTION("""COMPUTED_VALUE"""),45127.4778916088)</f>
        <v>45127.47789</v>
      </c>
      <c r="D1633" s="15">
        <f>IFERROR(__xludf.DUMMYFUNCTION("""COMPUTED_VALUE"""),0.999)</f>
        <v>0.999</v>
      </c>
      <c r="E1633" s="16">
        <f>IFERROR(__xludf.DUMMYFUNCTION("""COMPUTED_VALUE"""),71.0)</f>
        <v>71</v>
      </c>
      <c r="F1633" s="19" t="str">
        <f>IFERROR(__xludf.DUMMYFUNCTION("""COMPUTED_VALUE"""),"BLUE")</f>
        <v>BLUE</v>
      </c>
      <c r="G1633" s="20" t="str">
        <f>IFERROR(__xludf.DUMMYFUNCTION("""COMPUTED_VALUE"""),"Uncle Sams Cider (04/04/2023)")</f>
        <v>Uncle Sams Cider (04/04/2023)</v>
      </c>
      <c r="H1633" s="19"/>
    </row>
    <row r="1634">
      <c r="A1634" s="9"/>
      <c r="B1634" s="15"/>
      <c r="C1634" s="9">
        <f>IFERROR(__xludf.DUMMYFUNCTION("""COMPUTED_VALUE"""),45127.4674589583)</f>
        <v>45127.46746</v>
      </c>
      <c r="D1634" s="15">
        <f>IFERROR(__xludf.DUMMYFUNCTION("""COMPUTED_VALUE"""),0.999)</f>
        <v>0.999</v>
      </c>
      <c r="E1634" s="16">
        <f>IFERROR(__xludf.DUMMYFUNCTION("""COMPUTED_VALUE"""),71.0)</f>
        <v>71</v>
      </c>
      <c r="F1634" s="19" t="str">
        <f>IFERROR(__xludf.DUMMYFUNCTION("""COMPUTED_VALUE"""),"BLUE")</f>
        <v>BLUE</v>
      </c>
      <c r="G1634" s="20" t="str">
        <f>IFERROR(__xludf.DUMMYFUNCTION("""COMPUTED_VALUE"""),"Uncle Sams Cider (04/04/2023)")</f>
        <v>Uncle Sams Cider (04/04/2023)</v>
      </c>
      <c r="H1634" s="19"/>
    </row>
    <row r="1635">
      <c r="A1635" s="9"/>
      <c r="B1635" s="15"/>
      <c r="C1635" s="9">
        <f>IFERROR(__xludf.DUMMYFUNCTION("""COMPUTED_VALUE"""),45127.4570395486)</f>
        <v>45127.45704</v>
      </c>
      <c r="D1635" s="15">
        <f>IFERROR(__xludf.DUMMYFUNCTION("""COMPUTED_VALUE"""),0.998)</f>
        <v>0.998</v>
      </c>
      <c r="E1635" s="16">
        <f>IFERROR(__xludf.DUMMYFUNCTION("""COMPUTED_VALUE"""),71.0)</f>
        <v>71</v>
      </c>
      <c r="F1635" s="19" t="str">
        <f>IFERROR(__xludf.DUMMYFUNCTION("""COMPUTED_VALUE"""),"BLUE")</f>
        <v>BLUE</v>
      </c>
      <c r="G1635" s="20" t="str">
        <f>IFERROR(__xludf.DUMMYFUNCTION("""COMPUTED_VALUE"""),"Uncle Sams Cider (04/04/2023)")</f>
        <v>Uncle Sams Cider (04/04/2023)</v>
      </c>
      <c r="H1635" s="19"/>
    </row>
    <row r="1636">
      <c r="A1636" s="9"/>
      <c r="B1636" s="15"/>
      <c r="C1636" s="9">
        <f>IFERROR(__xludf.DUMMYFUNCTION("""COMPUTED_VALUE"""),45127.4466203588)</f>
        <v>45127.44662</v>
      </c>
      <c r="D1636" s="15">
        <f>IFERROR(__xludf.DUMMYFUNCTION("""COMPUTED_VALUE"""),0.998)</f>
        <v>0.998</v>
      </c>
      <c r="E1636" s="16">
        <f>IFERROR(__xludf.DUMMYFUNCTION("""COMPUTED_VALUE"""),71.0)</f>
        <v>71</v>
      </c>
      <c r="F1636" s="19" t="str">
        <f>IFERROR(__xludf.DUMMYFUNCTION("""COMPUTED_VALUE"""),"BLUE")</f>
        <v>BLUE</v>
      </c>
      <c r="G1636" s="20" t="str">
        <f>IFERROR(__xludf.DUMMYFUNCTION("""COMPUTED_VALUE"""),"Uncle Sams Cider (04/04/2023)")</f>
        <v>Uncle Sams Cider (04/04/2023)</v>
      </c>
      <c r="H1636" s="19"/>
    </row>
    <row r="1637">
      <c r="A1637" s="9"/>
      <c r="B1637" s="15"/>
      <c r="C1637" s="9">
        <f>IFERROR(__xludf.DUMMYFUNCTION("""COMPUTED_VALUE"""),45127.4362022453)</f>
        <v>45127.4362</v>
      </c>
      <c r="D1637" s="15">
        <f>IFERROR(__xludf.DUMMYFUNCTION("""COMPUTED_VALUE"""),0.999)</f>
        <v>0.999</v>
      </c>
      <c r="E1637" s="16">
        <f>IFERROR(__xludf.DUMMYFUNCTION("""COMPUTED_VALUE"""),71.0)</f>
        <v>71</v>
      </c>
      <c r="F1637" s="19" t="str">
        <f>IFERROR(__xludf.DUMMYFUNCTION("""COMPUTED_VALUE"""),"BLUE")</f>
        <v>BLUE</v>
      </c>
      <c r="G1637" s="20" t="str">
        <f>IFERROR(__xludf.DUMMYFUNCTION("""COMPUTED_VALUE"""),"Uncle Sams Cider (04/04/2023)")</f>
        <v>Uncle Sams Cider (04/04/2023)</v>
      </c>
      <c r="H1637" s="19"/>
    </row>
    <row r="1638">
      <c r="A1638" s="9"/>
      <c r="B1638" s="15"/>
      <c r="C1638" s="9">
        <f>IFERROR(__xludf.DUMMYFUNCTION("""COMPUTED_VALUE"""),45127.4257688078)</f>
        <v>45127.42577</v>
      </c>
      <c r="D1638" s="15">
        <f>IFERROR(__xludf.DUMMYFUNCTION("""COMPUTED_VALUE"""),0.999)</f>
        <v>0.999</v>
      </c>
      <c r="E1638" s="16">
        <f>IFERROR(__xludf.DUMMYFUNCTION("""COMPUTED_VALUE"""),71.0)</f>
        <v>71</v>
      </c>
      <c r="F1638" s="19" t="str">
        <f>IFERROR(__xludf.DUMMYFUNCTION("""COMPUTED_VALUE"""),"BLUE")</f>
        <v>BLUE</v>
      </c>
      <c r="G1638" s="20" t="str">
        <f>IFERROR(__xludf.DUMMYFUNCTION("""COMPUTED_VALUE"""),"Uncle Sams Cider (04/04/2023)")</f>
        <v>Uncle Sams Cider (04/04/2023)</v>
      </c>
      <c r="H1638" s="19"/>
    </row>
    <row r="1639">
      <c r="A1639" s="9"/>
      <c r="B1639" s="15"/>
      <c r="C1639" s="9">
        <f>IFERROR(__xludf.DUMMYFUNCTION("""COMPUTED_VALUE"""),45127.415347037)</f>
        <v>45127.41535</v>
      </c>
      <c r="D1639" s="15">
        <f>IFERROR(__xludf.DUMMYFUNCTION("""COMPUTED_VALUE"""),0.998)</f>
        <v>0.998</v>
      </c>
      <c r="E1639" s="16">
        <f>IFERROR(__xludf.DUMMYFUNCTION("""COMPUTED_VALUE"""),71.0)</f>
        <v>71</v>
      </c>
      <c r="F1639" s="19" t="str">
        <f>IFERROR(__xludf.DUMMYFUNCTION("""COMPUTED_VALUE"""),"BLUE")</f>
        <v>BLUE</v>
      </c>
      <c r="G1639" s="20" t="str">
        <f>IFERROR(__xludf.DUMMYFUNCTION("""COMPUTED_VALUE"""),"Uncle Sams Cider (04/04/2023)")</f>
        <v>Uncle Sams Cider (04/04/2023)</v>
      </c>
      <c r="H1639" s="19"/>
    </row>
    <row r="1640">
      <c r="A1640" s="9"/>
      <c r="B1640" s="15"/>
      <c r="C1640" s="9">
        <f>IFERROR(__xludf.DUMMYFUNCTION("""COMPUTED_VALUE"""),45127.4049238078)</f>
        <v>45127.40492</v>
      </c>
      <c r="D1640" s="15">
        <f>IFERROR(__xludf.DUMMYFUNCTION("""COMPUTED_VALUE"""),0.998)</f>
        <v>0.998</v>
      </c>
      <c r="E1640" s="16">
        <f>IFERROR(__xludf.DUMMYFUNCTION("""COMPUTED_VALUE"""),71.0)</f>
        <v>71</v>
      </c>
      <c r="F1640" s="19" t="str">
        <f>IFERROR(__xludf.DUMMYFUNCTION("""COMPUTED_VALUE"""),"BLUE")</f>
        <v>BLUE</v>
      </c>
      <c r="G1640" s="20" t="str">
        <f>IFERROR(__xludf.DUMMYFUNCTION("""COMPUTED_VALUE"""),"Uncle Sams Cider (04/04/2023)")</f>
        <v>Uncle Sams Cider (04/04/2023)</v>
      </c>
      <c r="H1640" s="19"/>
    </row>
    <row r="1641">
      <c r="A1641" s="9"/>
      <c r="B1641" s="15"/>
      <c r="C1641" s="9">
        <f>IFERROR(__xludf.DUMMYFUNCTION("""COMPUTED_VALUE"""),45127.3945017708)</f>
        <v>45127.3945</v>
      </c>
      <c r="D1641" s="15">
        <f>IFERROR(__xludf.DUMMYFUNCTION("""COMPUTED_VALUE"""),0.998)</f>
        <v>0.998</v>
      </c>
      <c r="E1641" s="16">
        <f>IFERROR(__xludf.DUMMYFUNCTION("""COMPUTED_VALUE"""),71.0)</f>
        <v>71</v>
      </c>
      <c r="F1641" s="19" t="str">
        <f>IFERROR(__xludf.DUMMYFUNCTION("""COMPUTED_VALUE"""),"BLUE")</f>
        <v>BLUE</v>
      </c>
      <c r="G1641" s="20" t="str">
        <f>IFERROR(__xludf.DUMMYFUNCTION("""COMPUTED_VALUE"""),"Uncle Sams Cider (04/04/2023)")</f>
        <v>Uncle Sams Cider (04/04/2023)</v>
      </c>
      <c r="H1641" s="19"/>
    </row>
    <row r="1642">
      <c r="A1642" s="9"/>
      <c r="B1642" s="15"/>
      <c r="C1642" s="9">
        <f>IFERROR(__xludf.DUMMYFUNCTION("""COMPUTED_VALUE"""),45127.3840797338)</f>
        <v>45127.38408</v>
      </c>
      <c r="D1642" s="15">
        <f>IFERROR(__xludf.DUMMYFUNCTION("""COMPUTED_VALUE"""),0.998)</f>
        <v>0.998</v>
      </c>
      <c r="E1642" s="16">
        <f>IFERROR(__xludf.DUMMYFUNCTION("""COMPUTED_VALUE"""),71.0)</f>
        <v>71</v>
      </c>
      <c r="F1642" s="19" t="str">
        <f>IFERROR(__xludf.DUMMYFUNCTION("""COMPUTED_VALUE"""),"BLUE")</f>
        <v>BLUE</v>
      </c>
      <c r="G1642" s="20" t="str">
        <f>IFERROR(__xludf.DUMMYFUNCTION("""COMPUTED_VALUE"""),"Uncle Sams Cider (04/04/2023)")</f>
        <v>Uncle Sams Cider (04/04/2023)</v>
      </c>
      <c r="H1642" s="19"/>
    </row>
    <row r="1643">
      <c r="A1643" s="9"/>
      <c r="B1643" s="15"/>
      <c r="C1643" s="9">
        <f>IFERROR(__xludf.DUMMYFUNCTION("""COMPUTED_VALUE"""),45127.3736602546)</f>
        <v>45127.37366</v>
      </c>
      <c r="D1643" s="15">
        <f>IFERROR(__xludf.DUMMYFUNCTION("""COMPUTED_VALUE"""),0.998)</f>
        <v>0.998</v>
      </c>
      <c r="E1643" s="16">
        <f>IFERROR(__xludf.DUMMYFUNCTION("""COMPUTED_VALUE"""),71.0)</f>
        <v>71</v>
      </c>
      <c r="F1643" s="19" t="str">
        <f>IFERROR(__xludf.DUMMYFUNCTION("""COMPUTED_VALUE"""),"BLUE")</f>
        <v>BLUE</v>
      </c>
      <c r="G1643" s="20" t="str">
        <f>IFERROR(__xludf.DUMMYFUNCTION("""COMPUTED_VALUE"""),"Uncle Sams Cider (04/04/2023)")</f>
        <v>Uncle Sams Cider (04/04/2023)</v>
      </c>
      <c r="H1643" s="19"/>
    </row>
    <row r="1644">
      <c r="A1644" s="9"/>
      <c r="B1644" s="15"/>
      <c r="C1644" s="9">
        <f>IFERROR(__xludf.DUMMYFUNCTION("""COMPUTED_VALUE"""),45127.3632382638)</f>
        <v>45127.36324</v>
      </c>
      <c r="D1644" s="15">
        <f>IFERROR(__xludf.DUMMYFUNCTION("""COMPUTED_VALUE"""),0.998)</f>
        <v>0.998</v>
      </c>
      <c r="E1644" s="16">
        <f>IFERROR(__xludf.DUMMYFUNCTION("""COMPUTED_VALUE"""),71.0)</f>
        <v>71</v>
      </c>
      <c r="F1644" s="19" t="str">
        <f>IFERROR(__xludf.DUMMYFUNCTION("""COMPUTED_VALUE"""),"BLUE")</f>
        <v>BLUE</v>
      </c>
      <c r="G1644" s="20" t="str">
        <f>IFERROR(__xludf.DUMMYFUNCTION("""COMPUTED_VALUE"""),"Uncle Sams Cider (04/04/2023)")</f>
        <v>Uncle Sams Cider (04/04/2023)</v>
      </c>
      <c r="H1644" s="19"/>
    </row>
    <row r="1645">
      <c r="A1645" s="9"/>
      <c r="B1645" s="15"/>
      <c r="C1645" s="9">
        <f>IFERROR(__xludf.DUMMYFUNCTION("""COMPUTED_VALUE"""),45127.3527932407)</f>
        <v>45127.35279</v>
      </c>
      <c r="D1645" s="15">
        <f>IFERROR(__xludf.DUMMYFUNCTION("""COMPUTED_VALUE"""),0.998)</f>
        <v>0.998</v>
      </c>
      <c r="E1645" s="16">
        <f>IFERROR(__xludf.DUMMYFUNCTION("""COMPUTED_VALUE"""),71.0)</f>
        <v>71</v>
      </c>
      <c r="F1645" s="19" t="str">
        <f>IFERROR(__xludf.DUMMYFUNCTION("""COMPUTED_VALUE"""),"BLUE")</f>
        <v>BLUE</v>
      </c>
      <c r="G1645" s="20" t="str">
        <f>IFERROR(__xludf.DUMMYFUNCTION("""COMPUTED_VALUE"""),"Uncle Sams Cider (04/04/2023)")</f>
        <v>Uncle Sams Cider (04/04/2023)</v>
      </c>
      <c r="H1645" s="19"/>
    </row>
    <row r="1646">
      <c r="A1646" s="9"/>
      <c r="B1646" s="15"/>
      <c r="C1646" s="9">
        <f>IFERROR(__xludf.DUMMYFUNCTION("""COMPUTED_VALUE"""),45127.3423720601)</f>
        <v>45127.34237</v>
      </c>
      <c r="D1646" s="15">
        <f>IFERROR(__xludf.DUMMYFUNCTION("""COMPUTED_VALUE"""),0.999)</f>
        <v>0.999</v>
      </c>
      <c r="E1646" s="16">
        <f>IFERROR(__xludf.DUMMYFUNCTION("""COMPUTED_VALUE"""),71.0)</f>
        <v>71</v>
      </c>
      <c r="F1646" s="19" t="str">
        <f>IFERROR(__xludf.DUMMYFUNCTION("""COMPUTED_VALUE"""),"BLUE")</f>
        <v>BLUE</v>
      </c>
      <c r="G1646" s="20" t="str">
        <f>IFERROR(__xludf.DUMMYFUNCTION("""COMPUTED_VALUE"""),"Uncle Sams Cider (04/04/2023)")</f>
        <v>Uncle Sams Cider (04/04/2023)</v>
      </c>
      <c r="H1646" s="19"/>
    </row>
    <row r="1647">
      <c r="A1647" s="9"/>
      <c r="B1647" s="15"/>
      <c r="C1647" s="9">
        <f>IFERROR(__xludf.DUMMYFUNCTION("""COMPUTED_VALUE"""),45127.3319508217)</f>
        <v>45127.33195</v>
      </c>
      <c r="D1647" s="15">
        <f>IFERROR(__xludf.DUMMYFUNCTION("""COMPUTED_VALUE"""),0.998)</f>
        <v>0.998</v>
      </c>
      <c r="E1647" s="16">
        <f>IFERROR(__xludf.DUMMYFUNCTION("""COMPUTED_VALUE"""),71.0)</f>
        <v>71</v>
      </c>
      <c r="F1647" s="19" t="str">
        <f>IFERROR(__xludf.DUMMYFUNCTION("""COMPUTED_VALUE"""),"BLUE")</f>
        <v>BLUE</v>
      </c>
      <c r="G1647" s="20" t="str">
        <f>IFERROR(__xludf.DUMMYFUNCTION("""COMPUTED_VALUE"""),"Uncle Sams Cider (04/04/2023)")</f>
        <v>Uncle Sams Cider (04/04/2023)</v>
      </c>
      <c r="H1647" s="19"/>
    </row>
    <row r="1648">
      <c r="A1648" s="9"/>
      <c r="B1648" s="15"/>
      <c r="C1648" s="9">
        <f>IFERROR(__xludf.DUMMYFUNCTION("""COMPUTED_VALUE"""),45127.3215195949)</f>
        <v>45127.32152</v>
      </c>
      <c r="D1648" s="15">
        <f>IFERROR(__xludf.DUMMYFUNCTION("""COMPUTED_VALUE"""),0.999)</f>
        <v>0.999</v>
      </c>
      <c r="E1648" s="16">
        <f>IFERROR(__xludf.DUMMYFUNCTION("""COMPUTED_VALUE"""),71.0)</f>
        <v>71</v>
      </c>
      <c r="F1648" s="19" t="str">
        <f>IFERROR(__xludf.DUMMYFUNCTION("""COMPUTED_VALUE"""),"BLUE")</f>
        <v>BLUE</v>
      </c>
      <c r="G1648" s="20" t="str">
        <f>IFERROR(__xludf.DUMMYFUNCTION("""COMPUTED_VALUE"""),"Uncle Sams Cider (04/04/2023)")</f>
        <v>Uncle Sams Cider (04/04/2023)</v>
      </c>
      <c r="H1648" s="19"/>
    </row>
    <row r="1649">
      <c r="A1649" s="9"/>
      <c r="B1649" s="15"/>
      <c r="C1649" s="9">
        <f>IFERROR(__xludf.DUMMYFUNCTION("""COMPUTED_VALUE"""),45127.3110993518)</f>
        <v>45127.3111</v>
      </c>
      <c r="D1649" s="15">
        <f>IFERROR(__xludf.DUMMYFUNCTION("""COMPUTED_VALUE"""),0.998)</f>
        <v>0.998</v>
      </c>
      <c r="E1649" s="16">
        <f>IFERROR(__xludf.DUMMYFUNCTION("""COMPUTED_VALUE"""),71.0)</f>
        <v>71</v>
      </c>
      <c r="F1649" s="19" t="str">
        <f>IFERROR(__xludf.DUMMYFUNCTION("""COMPUTED_VALUE"""),"BLUE")</f>
        <v>BLUE</v>
      </c>
      <c r="G1649" s="20" t="str">
        <f>IFERROR(__xludf.DUMMYFUNCTION("""COMPUTED_VALUE"""),"Uncle Sams Cider (04/04/2023)")</f>
        <v>Uncle Sams Cider (04/04/2023)</v>
      </c>
      <c r="H1649" s="19"/>
    </row>
    <row r="1650">
      <c r="A1650" s="9"/>
      <c r="B1650" s="15"/>
      <c r="C1650" s="9">
        <f>IFERROR(__xludf.DUMMYFUNCTION("""COMPUTED_VALUE"""),45127.3006778125)</f>
        <v>45127.30068</v>
      </c>
      <c r="D1650" s="15">
        <f>IFERROR(__xludf.DUMMYFUNCTION("""COMPUTED_VALUE"""),0.999)</f>
        <v>0.999</v>
      </c>
      <c r="E1650" s="16">
        <f>IFERROR(__xludf.DUMMYFUNCTION("""COMPUTED_VALUE"""),71.0)</f>
        <v>71</v>
      </c>
      <c r="F1650" s="19" t="str">
        <f>IFERROR(__xludf.DUMMYFUNCTION("""COMPUTED_VALUE"""),"BLUE")</f>
        <v>BLUE</v>
      </c>
      <c r="G1650" s="20" t="str">
        <f>IFERROR(__xludf.DUMMYFUNCTION("""COMPUTED_VALUE"""),"Uncle Sams Cider (04/04/2023)")</f>
        <v>Uncle Sams Cider (04/04/2023)</v>
      </c>
      <c r="H1650" s="19"/>
    </row>
    <row r="1651">
      <c r="A1651" s="9"/>
      <c r="B1651" s="15"/>
      <c r="C1651" s="9">
        <f>IFERROR(__xludf.DUMMYFUNCTION("""COMPUTED_VALUE"""),45127.2902553588)</f>
        <v>45127.29026</v>
      </c>
      <c r="D1651" s="15">
        <f>IFERROR(__xludf.DUMMYFUNCTION("""COMPUTED_VALUE"""),0.999)</f>
        <v>0.999</v>
      </c>
      <c r="E1651" s="16">
        <f>IFERROR(__xludf.DUMMYFUNCTION("""COMPUTED_VALUE"""),71.0)</f>
        <v>71</v>
      </c>
      <c r="F1651" s="19" t="str">
        <f>IFERROR(__xludf.DUMMYFUNCTION("""COMPUTED_VALUE"""),"BLUE")</f>
        <v>BLUE</v>
      </c>
      <c r="G1651" s="20" t="str">
        <f>IFERROR(__xludf.DUMMYFUNCTION("""COMPUTED_VALUE"""),"Uncle Sams Cider (04/04/2023)")</f>
        <v>Uncle Sams Cider (04/04/2023)</v>
      </c>
      <c r="H1651" s="19"/>
    </row>
    <row r="1652">
      <c r="A1652" s="9"/>
      <c r="B1652" s="15"/>
      <c r="C1652" s="9">
        <f>IFERROR(__xludf.DUMMYFUNCTION("""COMPUTED_VALUE"""),45127.2798345717)</f>
        <v>45127.27983</v>
      </c>
      <c r="D1652" s="15">
        <f>IFERROR(__xludf.DUMMYFUNCTION("""COMPUTED_VALUE"""),0.999)</f>
        <v>0.999</v>
      </c>
      <c r="E1652" s="16">
        <f>IFERROR(__xludf.DUMMYFUNCTION("""COMPUTED_VALUE"""),71.0)</f>
        <v>71</v>
      </c>
      <c r="F1652" s="19" t="str">
        <f>IFERROR(__xludf.DUMMYFUNCTION("""COMPUTED_VALUE"""),"BLUE")</f>
        <v>BLUE</v>
      </c>
      <c r="G1652" s="20" t="str">
        <f>IFERROR(__xludf.DUMMYFUNCTION("""COMPUTED_VALUE"""),"Uncle Sams Cider (04/04/2023)")</f>
        <v>Uncle Sams Cider (04/04/2023)</v>
      </c>
      <c r="H1652" s="19"/>
    </row>
    <row r="1653">
      <c r="A1653" s="9"/>
      <c r="B1653" s="15"/>
      <c r="C1653" s="9">
        <f>IFERROR(__xludf.DUMMYFUNCTION("""COMPUTED_VALUE"""),45127.2694019675)</f>
        <v>45127.2694</v>
      </c>
      <c r="D1653" s="15">
        <f>IFERROR(__xludf.DUMMYFUNCTION("""COMPUTED_VALUE"""),0.998)</f>
        <v>0.998</v>
      </c>
      <c r="E1653" s="16">
        <f>IFERROR(__xludf.DUMMYFUNCTION("""COMPUTED_VALUE"""),71.0)</f>
        <v>71</v>
      </c>
      <c r="F1653" s="19" t="str">
        <f>IFERROR(__xludf.DUMMYFUNCTION("""COMPUTED_VALUE"""),"BLUE")</f>
        <v>BLUE</v>
      </c>
      <c r="G1653" s="20" t="str">
        <f>IFERROR(__xludf.DUMMYFUNCTION("""COMPUTED_VALUE"""),"Uncle Sams Cider (04/04/2023)")</f>
        <v>Uncle Sams Cider (04/04/2023)</v>
      </c>
      <c r="H1653" s="19"/>
    </row>
    <row r="1654">
      <c r="A1654" s="9"/>
      <c r="B1654" s="15"/>
      <c r="C1654" s="9">
        <f>IFERROR(__xludf.DUMMYFUNCTION("""COMPUTED_VALUE"""),45127.258983206)</f>
        <v>45127.25898</v>
      </c>
      <c r="D1654" s="15">
        <f>IFERROR(__xludf.DUMMYFUNCTION("""COMPUTED_VALUE"""),0.999)</f>
        <v>0.999</v>
      </c>
      <c r="E1654" s="16">
        <f>IFERROR(__xludf.DUMMYFUNCTION("""COMPUTED_VALUE"""),71.0)</f>
        <v>71</v>
      </c>
      <c r="F1654" s="19" t="str">
        <f>IFERROR(__xludf.DUMMYFUNCTION("""COMPUTED_VALUE"""),"BLUE")</f>
        <v>BLUE</v>
      </c>
      <c r="G1654" s="20" t="str">
        <f>IFERROR(__xludf.DUMMYFUNCTION("""COMPUTED_VALUE"""),"Uncle Sams Cider (04/04/2023)")</f>
        <v>Uncle Sams Cider (04/04/2023)</v>
      </c>
      <c r="H1654" s="19"/>
    </row>
    <row r="1655">
      <c r="A1655" s="9"/>
      <c r="B1655" s="15"/>
      <c r="C1655" s="9">
        <f>IFERROR(__xludf.DUMMYFUNCTION("""COMPUTED_VALUE"""),45127.2485621759)</f>
        <v>45127.24856</v>
      </c>
      <c r="D1655" s="15">
        <f>IFERROR(__xludf.DUMMYFUNCTION("""COMPUTED_VALUE"""),0.999)</f>
        <v>0.999</v>
      </c>
      <c r="E1655" s="16">
        <f>IFERROR(__xludf.DUMMYFUNCTION("""COMPUTED_VALUE"""),71.0)</f>
        <v>71</v>
      </c>
      <c r="F1655" s="19" t="str">
        <f>IFERROR(__xludf.DUMMYFUNCTION("""COMPUTED_VALUE"""),"BLUE")</f>
        <v>BLUE</v>
      </c>
      <c r="G1655" s="20" t="str">
        <f>IFERROR(__xludf.DUMMYFUNCTION("""COMPUTED_VALUE"""),"Uncle Sams Cider (04/04/2023)")</f>
        <v>Uncle Sams Cider (04/04/2023)</v>
      </c>
      <c r="H1655" s="19"/>
    </row>
    <row r="1656">
      <c r="A1656" s="9"/>
      <c r="B1656" s="15"/>
      <c r="C1656" s="9">
        <f>IFERROR(__xludf.DUMMYFUNCTION("""COMPUTED_VALUE"""),45127.2381411342)</f>
        <v>45127.23814</v>
      </c>
      <c r="D1656" s="15">
        <f>IFERROR(__xludf.DUMMYFUNCTION("""COMPUTED_VALUE"""),0.999)</f>
        <v>0.999</v>
      </c>
      <c r="E1656" s="16">
        <f>IFERROR(__xludf.DUMMYFUNCTION("""COMPUTED_VALUE"""),71.0)</f>
        <v>71</v>
      </c>
      <c r="F1656" s="19" t="str">
        <f>IFERROR(__xludf.DUMMYFUNCTION("""COMPUTED_VALUE"""),"BLUE")</f>
        <v>BLUE</v>
      </c>
      <c r="G1656" s="20" t="str">
        <f>IFERROR(__xludf.DUMMYFUNCTION("""COMPUTED_VALUE"""),"Uncle Sams Cider (04/04/2023)")</f>
        <v>Uncle Sams Cider (04/04/2023)</v>
      </c>
      <c r="H1656" s="19"/>
    </row>
    <row r="1657">
      <c r="A1657" s="9"/>
      <c r="B1657" s="15"/>
      <c r="C1657" s="9">
        <f>IFERROR(__xludf.DUMMYFUNCTION("""COMPUTED_VALUE"""),45127.22772125)</f>
        <v>45127.22772</v>
      </c>
      <c r="D1657" s="15">
        <f>IFERROR(__xludf.DUMMYFUNCTION("""COMPUTED_VALUE"""),0.999)</f>
        <v>0.999</v>
      </c>
      <c r="E1657" s="16">
        <f>IFERROR(__xludf.DUMMYFUNCTION("""COMPUTED_VALUE"""),71.0)</f>
        <v>71</v>
      </c>
      <c r="F1657" s="19" t="str">
        <f>IFERROR(__xludf.DUMMYFUNCTION("""COMPUTED_VALUE"""),"BLUE")</f>
        <v>BLUE</v>
      </c>
      <c r="G1657" s="20" t="str">
        <f>IFERROR(__xludf.DUMMYFUNCTION("""COMPUTED_VALUE"""),"Uncle Sams Cider (04/04/2023)")</f>
        <v>Uncle Sams Cider (04/04/2023)</v>
      </c>
      <c r="H1657" s="19"/>
    </row>
    <row r="1658">
      <c r="A1658" s="9"/>
      <c r="B1658" s="15"/>
      <c r="C1658" s="9">
        <f>IFERROR(__xludf.DUMMYFUNCTION("""COMPUTED_VALUE"""),45127.2173011689)</f>
        <v>45127.2173</v>
      </c>
      <c r="D1658" s="15">
        <f>IFERROR(__xludf.DUMMYFUNCTION("""COMPUTED_VALUE"""),0.999)</f>
        <v>0.999</v>
      </c>
      <c r="E1658" s="16">
        <f>IFERROR(__xludf.DUMMYFUNCTION("""COMPUTED_VALUE"""),71.0)</f>
        <v>71</v>
      </c>
      <c r="F1658" s="19" t="str">
        <f>IFERROR(__xludf.DUMMYFUNCTION("""COMPUTED_VALUE"""),"BLUE")</f>
        <v>BLUE</v>
      </c>
      <c r="G1658" s="20" t="str">
        <f>IFERROR(__xludf.DUMMYFUNCTION("""COMPUTED_VALUE"""),"Uncle Sams Cider (04/04/2023)")</f>
        <v>Uncle Sams Cider (04/04/2023)</v>
      </c>
      <c r="H1658" s="19"/>
    </row>
    <row r="1659">
      <c r="A1659" s="9"/>
      <c r="B1659" s="15"/>
      <c r="C1659" s="9">
        <f>IFERROR(__xludf.DUMMYFUNCTION("""COMPUTED_VALUE"""),45127.2068816203)</f>
        <v>45127.20688</v>
      </c>
      <c r="D1659" s="15">
        <f>IFERROR(__xludf.DUMMYFUNCTION("""COMPUTED_VALUE"""),0.999)</f>
        <v>0.999</v>
      </c>
      <c r="E1659" s="16">
        <f>IFERROR(__xludf.DUMMYFUNCTION("""COMPUTED_VALUE"""),71.0)</f>
        <v>71</v>
      </c>
      <c r="F1659" s="19" t="str">
        <f>IFERROR(__xludf.DUMMYFUNCTION("""COMPUTED_VALUE"""),"BLUE")</f>
        <v>BLUE</v>
      </c>
      <c r="G1659" s="20" t="str">
        <f>IFERROR(__xludf.DUMMYFUNCTION("""COMPUTED_VALUE"""),"Uncle Sams Cider (04/04/2023)")</f>
        <v>Uncle Sams Cider (04/04/2023)</v>
      </c>
      <c r="H1659" s="19"/>
    </row>
    <row r="1660">
      <c r="A1660" s="9"/>
      <c r="B1660" s="15"/>
      <c r="C1660" s="9">
        <f>IFERROR(__xludf.DUMMYFUNCTION("""COMPUTED_VALUE"""),45127.1964612847)</f>
        <v>45127.19646</v>
      </c>
      <c r="D1660" s="15">
        <f>IFERROR(__xludf.DUMMYFUNCTION("""COMPUTED_VALUE"""),0.999)</f>
        <v>0.999</v>
      </c>
      <c r="E1660" s="16">
        <f>IFERROR(__xludf.DUMMYFUNCTION("""COMPUTED_VALUE"""),71.0)</f>
        <v>71</v>
      </c>
      <c r="F1660" s="19" t="str">
        <f>IFERROR(__xludf.DUMMYFUNCTION("""COMPUTED_VALUE"""),"BLUE")</f>
        <v>BLUE</v>
      </c>
      <c r="G1660" s="20" t="str">
        <f>IFERROR(__xludf.DUMMYFUNCTION("""COMPUTED_VALUE"""),"Uncle Sams Cider (04/04/2023)")</f>
        <v>Uncle Sams Cider (04/04/2023)</v>
      </c>
      <c r="H1660" s="19"/>
    </row>
    <row r="1661">
      <c r="A1661" s="9"/>
      <c r="B1661" s="15"/>
      <c r="C1661" s="9">
        <f>IFERROR(__xludf.DUMMYFUNCTION("""COMPUTED_VALUE"""),45127.1860406944)</f>
        <v>45127.18604</v>
      </c>
      <c r="D1661" s="15">
        <f>IFERROR(__xludf.DUMMYFUNCTION("""COMPUTED_VALUE"""),0.998)</f>
        <v>0.998</v>
      </c>
      <c r="E1661" s="16">
        <f>IFERROR(__xludf.DUMMYFUNCTION("""COMPUTED_VALUE"""),71.0)</f>
        <v>71</v>
      </c>
      <c r="F1661" s="19" t="str">
        <f>IFERROR(__xludf.DUMMYFUNCTION("""COMPUTED_VALUE"""),"BLUE")</f>
        <v>BLUE</v>
      </c>
      <c r="G1661" s="20" t="str">
        <f>IFERROR(__xludf.DUMMYFUNCTION("""COMPUTED_VALUE"""),"Uncle Sams Cider (04/04/2023)")</f>
        <v>Uncle Sams Cider (04/04/2023)</v>
      </c>
      <c r="H1661" s="19"/>
    </row>
    <row r="1662">
      <c r="A1662" s="9"/>
      <c r="B1662" s="15"/>
      <c r="C1662" s="9">
        <f>IFERROR(__xludf.DUMMYFUNCTION("""COMPUTED_VALUE"""),45127.1756181365)</f>
        <v>45127.17562</v>
      </c>
      <c r="D1662" s="15">
        <f>IFERROR(__xludf.DUMMYFUNCTION("""COMPUTED_VALUE"""),0.998)</f>
        <v>0.998</v>
      </c>
      <c r="E1662" s="16">
        <f>IFERROR(__xludf.DUMMYFUNCTION("""COMPUTED_VALUE"""),71.0)</f>
        <v>71</v>
      </c>
      <c r="F1662" s="19" t="str">
        <f>IFERROR(__xludf.DUMMYFUNCTION("""COMPUTED_VALUE"""),"BLUE")</f>
        <v>BLUE</v>
      </c>
      <c r="G1662" s="20" t="str">
        <f>IFERROR(__xludf.DUMMYFUNCTION("""COMPUTED_VALUE"""),"Uncle Sams Cider (04/04/2023)")</f>
        <v>Uncle Sams Cider (04/04/2023)</v>
      </c>
      <c r="H1662" s="19"/>
    </row>
    <row r="1663">
      <c r="A1663" s="9"/>
      <c r="B1663" s="15"/>
      <c r="C1663" s="9">
        <f>IFERROR(__xludf.DUMMYFUNCTION("""COMPUTED_VALUE"""),45127.1651966898)</f>
        <v>45127.1652</v>
      </c>
      <c r="D1663" s="15">
        <f>IFERROR(__xludf.DUMMYFUNCTION("""COMPUTED_VALUE"""),0.999)</f>
        <v>0.999</v>
      </c>
      <c r="E1663" s="16">
        <f>IFERROR(__xludf.DUMMYFUNCTION("""COMPUTED_VALUE"""),71.0)</f>
        <v>71</v>
      </c>
      <c r="F1663" s="19" t="str">
        <f>IFERROR(__xludf.DUMMYFUNCTION("""COMPUTED_VALUE"""),"BLUE")</f>
        <v>BLUE</v>
      </c>
      <c r="G1663" s="20" t="str">
        <f>IFERROR(__xludf.DUMMYFUNCTION("""COMPUTED_VALUE"""),"Uncle Sams Cider (04/04/2023)")</f>
        <v>Uncle Sams Cider (04/04/2023)</v>
      </c>
      <c r="H1663" s="19"/>
    </row>
    <row r="1664">
      <c r="A1664" s="9"/>
      <c r="B1664" s="15"/>
      <c r="C1664" s="9">
        <f>IFERROR(__xludf.DUMMYFUNCTION("""COMPUTED_VALUE"""),45127.1547755439)</f>
        <v>45127.15478</v>
      </c>
      <c r="D1664" s="15">
        <f>IFERROR(__xludf.DUMMYFUNCTION("""COMPUTED_VALUE"""),0.999)</f>
        <v>0.999</v>
      </c>
      <c r="E1664" s="16">
        <f>IFERROR(__xludf.DUMMYFUNCTION("""COMPUTED_VALUE"""),71.0)</f>
        <v>71</v>
      </c>
      <c r="F1664" s="19" t="str">
        <f>IFERROR(__xludf.DUMMYFUNCTION("""COMPUTED_VALUE"""),"BLUE")</f>
        <v>BLUE</v>
      </c>
      <c r="G1664" s="20" t="str">
        <f>IFERROR(__xludf.DUMMYFUNCTION("""COMPUTED_VALUE"""),"Uncle Sams Cider (04/04/2023)")</f>
        <v>Uncle Sams Cider (04/04/2023)</v>
      </c>
      <c r="H1664" s="19"/>
    </row>
    <row r="1665">
      <c r="A1665" s="9"/>
      <c r="B1665" s="15"/>
      <c r="C1665" s="9">
        <f>IFERROR(__xludf.DUMMYFUNCTION("""COMPUTED_VALUE"""),45127.1443544097)</f>
        <v>45127.14435</v>
      </c>
      <c r="D1665" s="15">
        <f>IFERROR(__xludf.DUMMYFUNCTION("""COMPUTED_VALUE"""),0.999)</f>
        <v>0.999</v>
      </c>
      <c r="E1665" s="16">
        <f>IFERROR(__xludf.DUMMYFUNCTION("""COMPUTED_VALUE"""),71.0)</f>
        <v>71</v>
      </c>
      <c r="F1665" s="19" t="str">
        <f>IFERROR(__xludf.DUMMYFUNCTION("""COMPUTED_VALUE"""),"BLUE")</f>
        <v>BLUE</v>
      </c>
      <c r="G1665" s="20" t="str">
        <f>IFERROR(__xludf.DUMMYFUNCTION("""COMPUTED_VALUE"""),"Uncle Sams Cider (04/04/2023)")</f>
        <v>Uncle Sams Cider (04/04/2023)</v>
      </c>
      <c r="H1665" s="19"/>
    </row>
    <row r="1666">
      <c r="A1666" s="9"/>
      <c r="B1666" s="15"/>
      <c r="C1666" s="9">
        <f>IFERROR(__xludf.DUMMYFUNCTION("""COMPUTED_VALUE"""),45127.1339225694)</f>
        <v>45127.13392</v>
      </c>
      <c r="D1666" s="15">
        <f>IFERROR(__xludf.DUMMYFUNCTION("""COMPUTED_VALUE"""),0.999)</f>
        <v>0.999</v>
      </c>
      <c r="E1666" s="16">
        <f>IFERROR(__xludf.DUMMYFUNCTION("""COMPUTED_VALUE"""),71.0)</f>
        <v>71</v>
      </c>
      <c r="F1666" s="19" t="str">
        <f>IFERROR(__xludf.DUMMYFUNCTION("""COMPUTED_VALUE"""),"BLUE")</f>
        <v>BLUE</v>
      </c>
      <c r="G1666" s="20" t="str">
        <f>IFERROR(__xludf.DUMMYFUNCTION("""COMPUTED_VALUE"""),"Uncle Sams Cider (04/04/2023)")</f>
        <v>Uncle Sams Cider (04/04/2023)</v>
      </c>
      <c r="H1666" s="19"/>
    </row>
    <row r="1667">
      <c r="A1667" s="9"/>
      <c r="B1667" s="15"/>
      <c r="C1667" s="9">
        <f>IFERROR(__xludf.DUMMYFUNCTION("""COMPUTED_VALUE"""),45127.1234898842)</f>
        <v>45127.12349</v>
      </c>
      <c r="D1667" s="15">
        <f>IFERROR(__xludf.DUMMYFUNCTION("""COMPUTED_VALUE"""),0.999)</f>
        <v>0.999</v>
      </c>
      <c r="E1667" s="16">
        <f>IFERROR(__xludf.DUMMYFUNCTION("""COMPUTED_VALUE"""),71.0)</f>
        <v>71</v>
      </c>
      <c r="F1667" s="19" t="str">
        <f>IFERROR(__xludf.DUMMYFUNCTION("""COMPUTED_VALUE"""),"BLUE")</f>
        <v>BLUE</v>
      </c>
      <c r="G1667" s="20" t="str">
        <f>IFERROR(__xludf.DUMMYFUNCTION("""COMPUTED_VALUE"""),"Uncle Sams Cider (04/04/2023)")</f>
        <v>Uncle Sams Cider (04/04/2023)</v>
      </c>
      <c r="H1667" s="19"/>
    </row>
    <row r="1668">
      <c r="A1668" s="9"/>
      <c r="B1668" s="15"/>
      <c r="C1668" s="9">
        <f>IFERROR(__xludf.DUMMYFUNCTION("""COMPUTED_VALUE"""),45127.1130567013)</f>
        <v>45127.11306</v>
      </c>
      <c r="D1668" s="15">
        <f>IFERROR(__xludf.DUMMYFUNCTION("""COMPUTED_VALUE"""),0.999)</f>
        <v>0.999</v>
      </c>
      <c r="E1668" s="16">
        <f>IFERROR(__xludf.DUMMYFUNCTION("""COMPUTED_VALUE"""),71.0)</f>
        <v>71</v>
      </c>
      <c r="F1668" s="19" t="str">
        <f>IFERROR(__xludf.DUMMYFUNCTION("""COMPUTED_VALUE"""),"BLUE")</f>
        <v>BLUE</v>
      </c>
      <c r="G1668" s="20" t="str">
        <f>IFERROR(__xludf.DUMMYFUNCTION("""COMPUTED_VALUE"""),"Uncle Sams Cider (04/04/2023)")</f>
        <v>Uncle Sams Cider (04/04/2023)</v>
      </c>
      <c r="H1668" s="19"/>
    </row>
    <row r="1669">
      <c r="A1669" s="9"/>
      <c r="B1669" s="15"/>
      <c r="C1669" s="9">
        <f>IFERROR(__xludf.DUMMYFUNCTION("""COMPUTED_VALUE"""),45127.102624456)</f>
        <v>45127.10262</v>
      </c>
      <c r="D1669" s="15">
        <f>IFERROR(__xludf.DUMMYFUNCTION("""COMPUTED_VALUE"""),0.998)</f>
        <v>0.998</v>
      </c>
      <c r="E1669" s="16">
        <f>IFERROR(__xludf.DUMMYFUNCTION("""COMPUTED_VALUE"""),71.0)</f>
        <v>71</v>
      </c>
      <c r="F1669" s="19" t="str">
        <f>IFERROR(__xludf.DUMMYFUNCTION("""COMPUTED_VALUE"""),"BLUE")</f>
        <v>BLUE</v>
      </c>
      <c r="G1669" s="20" t="str">
        <f>IFERROR(__xludf.DUMMYFUNCTION("""COMPUTED_VALUE"""),"Uncle Sams Cider (04/04/2023)")</f>
        <v>Uncle Sams Cider (04/04/2023)</v>
      </c>
      <c r="H1669" s="19"/>
    </row>
    <row r="1670">
      <c r="A1670" s="9"/>
      <c r="B1670" s="15"/>
      <c r="C1670" s="9">
        <f>IFERROR(__xludf.DUMMYFUNCTION("""COMPUTED_VALUE"""),45127.0817728356)</f>
        <v>45127.08177</v>
      </c>
      <c r="D1670" s="15">
        <f>IFERROR(__xludf.DUMMYFUNCTION("""COMPUTED_VALUE"""),0.998)</f>
        <v>0.998</v>
      </c>
      <c r="E1670" s="16">
        <f>IFERROR(__xludf.DUMMYFUNCTION("""COMPUTED_VALUE"""),71.0)</f>
        <v>71</v>
      </c>
      <c r="F1670" s="19" t="str">
        <f>IFERROR(__xludf.DUMMYFUNCTION("""COMPUTED_VALUE"""),"BLUE")</f>
        <v>BLUE</v>
      </c>
      <c r="G1670" s="20" t="str">
        <f>IFERROR(__xludf.DUMMYFUNCTION("""COMPUTED_VALUE"""),"Uncle Sams Cider (04/04/2023)")</f>
        <v>Uncle Sams Cider (04/04/2023)</v>
      </c>
      <c r="H1670" s="19"/>
    </row>
    <row r="1671">
      <c r="A1671" s="9"/>
      <c r="B1671" s="15"/>
      <c r="C1671" s="9">
        <f>IFERROR(__xludf.DUMMYFUNCTION("""COMPUTED_VALUE"""),45127.0713514351)</f>
        <v>45127.07135</v>
      </c>
      <c r="D1671" s="15">
        <f>IFERROR(__xludf.DUMMYFUNCTION("""COMPUTED_VALUE"""),0.998)</f>
        <v>0.998</v>
      </c>
      <c r="E1671" s="16">
        <f>IFERROR(__xludf.DUMMYFUNCTION("""COMPUTED_VALUE"""),71.0)</f>
        <v>71</v>
      </c>
      <c r="F1671" s="19" t="str">
        <f>IFERROR(__xludf.DUMMYFUNCTION("""COMPUTED_VALUE"""),"BLUE")</f>
        <v>BLUE</v>
      </c>
      <c r="G1671" s="20" t="str">
        <f>IFERROR(__xludf.DUMMYFUNCTION("""COMPUTED_VALUE"""),"Uncle Sams Cider (04/04/2023)")</f>
        <v>Uncle Sams Cider (04/04/2023)</v>
      </c>
      <c r="H1671" s="19"/>
    </row>
    <row r="1672">
      <c r="A1672" s="9"/>
      <c r="B1672" s="15"/>
      <c r="C1672" s="9">
        <f>IFERROR(__xludf.DUMMYFUNCTION("""COMPUTED_VALUE"""),45127.0609296412)</f>
        <v>45127.06093</v>
      </c>
      <c r="D1672" s="15">
        <f>IFERROR(__xludf.DUMMYFUNCTION("""COMPUTED_VALUE"""),0.998)</f>
        <v>0.998</v>
      </c>
      <c r="E1672" s="16">
        <f>IFERROR(__xludf.DUMMYFUNCTION("""COMPUTED_VALUE"""),71.0)</f>
        <v>71</v>
      </c>
      <c r="F1672" s="19" t="str">
        <f>IFERROR(__xludf.DUMMYFUNCTION("""COMPUTED_VALUE"""),"BLUE")</f>
        <v>BLUE</v>
      </c>
      <c r="G1672" s="20" t="str">
        <f>IFERROR(__xludf.DUMMYFUNCTION("""COMPUTED_VALUE"""),"Uncle Sams Cider (04/04/2023)")</f>
        <v>Uncle Sams Cider (04/04/2023)</v>
      </c>
      <c r="H1672" s="19"/>
    </row>
    <row r="1673">
      <c r="A1673" s="9"/>
      <c r="B1673" s="15"/>
      <c r="C1673" s="9">
        <f>IFERROR(__xludf.DUMMYFUNCTION("""COMPUTED_VALUE"""),45127.0504985416)</f>
        <v>45127.0505</v>
      </c>
      <c r="D1673" s="15">
        <f>IFERROR(__xludf.DUMMYFUNCTION("""COMPUTED_VALUE"""),0.998)</f>
        <v>0.998</v>
      </c>
      <c r="E1673" s="16">
        <f>IFERROR(__xludf.DUMMYFUNCTION("""COMPUTED_VALUE"""),71.0)</f>
        <v>71</v>
      </c>
      <c r="F1673" s="19" t="str">
        <f>IFERROR(__xludf.DUMMYFUNCTION("""COMPUTED_VALUE"""),"BLUE")</f>
        <v>BLUE</v>
      </c>
      <c r="G1673" s="20" t="str">
        <f>IFERROR(__xludf.DUMMYFUNCTION("""COMPUTED_VALUE"""),"Uncle Sams Cider (04/04/2023)")</f>
        <v>Uncle Sams Cider (04/04/2023)</v>
      </c>
      <c r="H1673" s="19"/>
    </row>
    <row r="1674">
      <c r="A1674" s="9"/>
      <c r="B1674" s="15"/>
      <c r="C1674" s="9">
        <f>IFERROR(__xludf.DUMMYFUNCTION("""COMPUTED_VALUE"""),45127.0400648726)</f>
        <v>45127.04006</v>
      </c>
      <c r="D1674" s="15">
        <f>IFERROR(__xludf.DUMMYFUNCTION("""COMPUTED_VALUE"""),0.999)</f>
        <v>0.999</v>
      </c>
      <c r="E1674" s="16">
        <f>IFERROR(__xludf.DUMMYFUNCTION("""COMPUTED_VALUE"""),71.0)</f>
        <v>71</v>
      </c>
      <c r="F1674" s="19" t="str">
        <f>IFERROR(__xludf.DUMMYFUNCTION("""COMPUTED_VALUE"""),"BLUE")</f>
        <v>BLUE</v>
      </c>
      <c r="G1674" s="20" t="str">
        <f>IFERROR(__xludf.DUMMYFUNCTION("""COMPUTED_VALUE"""),"Uncle Sams Cider (04/04/2023)")</f>
        <v>Uncle Sams Cider (04/04/2023)</v>
      </c>
      <c r="H1674" s="19"/>
    </row>
    <row r="1675">
      <c r="A1675" s="9"/>
      <c r="B1675" s="15"/>
      <c r="C1675" s="9">
        <f>IFERROR(__xludf.DUMMYFUNCTION("""COMPUTED_VALUE"""),45127.0296443171)</f>
        <v>45127.02964</v>
      </c>
      <c r="D1675" s="15">
        <f>IFERROR(__xludf.DUMMYFUNCTION("""COMPUTED_VALUE"""),0.999)</f>
        <v>0.999</v>
      </c>
      <c r="E1675" s="16">
        <f>IFERROR(__xludf.DUMMYFUNCTION("""COMPUTED_VALUE"""),71.0)</f>
        <v>71</v>
      </c>
      <c r="F1675" s="19" t="str">
        <f>IFERROR(__xludf.DUMMYFUNCTION("""COMPUTED_VALUE"""),"BLUE")</f>
        <v>BLUE</v>
      </c>
      <c r="G1675" s="20" t="str">
        <f>IFERROR(__xludf.DUMMYFUNCTION("""COMPUTED_VALUE"""),"Uncle Sams Cider (04/04/2023)")</f>
        <v>Uncle Sams Cider (04/04/2023)</v>
      </c>
      <c r="H1675" s="19"/>
    </row>
    <row r="1676">
      <c r="A1676" s="9"/>
      <c r="B1676" s="15"/>
      <c r="C1676" s="9">
        <f>IFERROR(__xludf.DUMMYFUNCTION("""COMPUTED_VALUE"""),45127.0192210648)</f>
        <v>45127.01922</v>
      </c>
      <c r="D1676" s="15">
        <f>IFERROR(__xludf.DUMMYFUNCTION("""COMPUTED_VALUE"""),0.999)</f>
        <v>0.999</v>
      </c>
      <c r="E1676" s="16">
        <f>IFERROR(__xludf.DUMMYFUNCTION("""COMPUTED_VALUE"""),71.0)</f>
        <v>71</v>
      </c>
      <c r="F1676" s="19" t="str">
        <f>IFERROR(__xludf.DUMMYFUNCTION("""COMPUTED_VALUE"""),"BLUE")</f>
        <v>BLUE</v>
      </c>
      <c r="G1676" s="20" t="str">
        <f>IFERROR(__xludf.DUMMYFUNCTION("""COMPUTED_VALUE"""),"Uncle Sams Cider (04/04/2023)")</f>
        <v>Uncle Sams Cider (04/04/2023)</v>
      </c>
      <c r="H1676" s="19"/>
    </row>
    <row r="1677">
      <c r="A1677" s="9"/>
      <c r="B1677" s="15"/>
      <c r="C1677" s="9">
        <f>IFERROR(__xludf.DUMMYFUNCTION("""COMPUTED_VALUE"""),45127.0087980324)</f>
        <v>45127.0088</v>
      </c>
      <c r="D1677" s="15">
        <f>IFERROR(__xludf.DUMMYFUNCTION("""COMPUTED_VALUE"""),0.999)</f>
        <v>0.999</v>
      </c>
      <c r="E1677" s="16">
        <f>IFERROR(__xludf.DUMMYFUNCTION("""COMPUTED_VALUE"""),71.0)</f>
        <v>71</v>
      </c>
      <c r="F1677" s="19" t="str">
        <f>IFERROR(__xludf.DUMMYFUNCTION("""COMPUTED_VALUE"""),"BLUE")</f>
        <v>BLUE</v>
      </c>
      <c r="G1677" s="20" t="str">
        <f>IFERROR(__xludf.DUMMYFUNCTION("""COMPUTED_VALUE"""),"Uncle Sams Cider (04/04/2023)")</f>
        <v>Uncle Sams Cider (04/04/2023)</v>
      </c>
      <c r="H1677" s="19"/>
    </row>
    <row r="1678">
      <c r="A1678" s="9"/>
      <c r="B1678" s="15"/>
      <c r="C1678" s="9">
        <f>IFERROR(__xludf.DUMMYFUNCTION("""COMPUTED_VALUE"""),45126.9983774189)</f>
        <v>45126.99838</v>
      </c>
      <c r="D1678" s="15">
        <f>IFERROR(__xludf.DUMMYFUNCTION("""COMPUTED_VALUE"""),0.998)</f>
        <v>0.998</v>
      </c>
      <c r="E1678" s="16">
        <f>IFERROR(__xludf.DUMMYFUNCTION("""COMPUTED_VALUE"""),71.0)</f>
        <v>71</v>
      </c>
      <c r="F1678" s="19" t="str">
        <f>IFERROR(__xludf.DUMMYFUNCTION("""COMPUTED_VALUE"""),"BLUE")</f>
        <v>BLUE</v>
      </c>
      <c r="G1678" s="20" t="str">
        <f>IFERROR(__xludf.DUMMYFUNCTION("""COMPUTED_VALUE"""),"Uncle Sams Cider (04/04/2023)")</f>
        <v>Uncle Sams Cider (04/04/2023)</v>
      </c>
      <c r="H1678" s="19"/>
    </row>
    <row r="1679">
      <c r="A1679" s="9"/>
      <c r="B1679" s="15"/>
      <c r="C1679" s="9">
        <f>IFERROR(__xludf.DUMMYFUNCTION("""COMPUTED_VALUE"""),45126.9879575231)</f>
        <v>45126.98796</v>
      </c>
      <c r="D1679" s="15">
        <f>IFERROR(__xludf.DUMMYFUNCTION("""COMPUTED_VALUE"""),0.999)</f>
        <v>0.999</v>
      </c>
      <c r="E1679" s="16">
        <f>IFERROR(__xludf.DUMMYFUNCTION("""COMPUTED_VALUE"""),71.0)</f>
        <v>71</v>
      </c>
      <c r="F1679" s="19" t="str">
        <f>IFERROR(__xludf.DUMMYFUNCTION("""COMPUTED_VALUE"""),"BLUE")</f>
        <v>BLUE</v>
      </c>
      <c r="G1679" s="20" t="str">
        <f>IFERROR(__xludf.DUMMYFUNCTION("""COMPUTED_VALUE"""),"Uncle Sams Cider (04/04/2023)")</f>
        <v>Uncle Sams Cider (04/04/2023)</v>
      </c>
      <c r="H1679" s="19"/>
    </row>
    <row r="1680">
      <c r="A1680" s="9"/>
      <c r="B1680" s="15"/>
      <c r="C1680" s="9">
        <f>IFERROR(__xludf.DUMMYFUNCTION("""COMPUTED_VALUE"""),45126.9775332176)</f>
        <v>45126.97753</v>
      </c>
      <c r="D1680" s="15">
        <f>IFERROR(__xludf.DUMMYFUNCTION("""COMPUTED_VALUE"""),0.999)</f>
        <v>0.999</v>
      </c>
      <c r="E1680" s="16">
        <f>IFERROR(__xludf.DUMMYFUNCTION("""COMPUTED_VALUE"""),71.0)</f>
        <v>71</v>
      </c>
      <c r="F1680" s="19" t="str">
        <f>IFERROR(__xludf.DUMMYFUNCTION("""COMPUTED_VALUE"""),"BLUE")</f>
        <v>BLUE</v>
      </c>
      <c r="G1680" s="20" t="str">
        <f>IFERROR(__xludf.DUMMYFUNCTION("""COMPUTED_VALUE"""),"Uncle Sams Cider (04/04/2023)")</f>
        <v>Uncle Sams Cider (04/04/2023)</v>
      </c>
      <c r="H1680" s="19"/>
    </row>
    <row r="1681">
      <c r="A1681" s="9"/>
      <c r="B1681" s="15"/>
      <c r="C1681" s="9">
        <f>IFERROR(__xludf.DUMMYFUNCTION("""COMPUTED_VALUE"""),45126.9671139583)</f>
        <v>45126.96711</v>
      </c>
      <c r="D1681" s="15">
        <f>IFERROR(__xludf.DUMMYFUNCTION("""COMPUTED_VALUE"""),0.999)</f>
        <v>0.999</v>
      </c>
      <c r="E1681" s="16">
        <f>IFERROR(__xludf.DUMMYFUNCTION("""COMPUTED_VALUE"""),71.0)</f>
        <v>71</v>
      </c>
      <c r="F1681" s="19" t="str">
        <f>IFERROR(__xludf.DUMMYFUNCTION("""COMPUTED_VALUE"""),"BLUE")</f>
        <v>BLUE</v>
      </c>
      <c r="G1681" s="20" t="str">
        <f>IFERROR(__xludf.DUMMYFUNCTION("""COMPUTED_VALUE"""),"Uncle Sams Cider (04/04/2023)")</f>
        <v>Uncle Sams Cider (04/04/2023)</v>
      </c>
      <c r="H1681" s="19"/>
    </row>
    <row r="1682">
      <c r="A1682" s="9"/>
      <c r="B1682" s="15"/>
      <c r="C1682" s="9">
        <f>IFERROR(__xludf.DUMMYFUNCTION("""COMPUTED_VALUE"""),45126.9566937152)</f>
        <v>45126.95669</v>
      </c>
      <c r="D1682" s="15">
        <f>IFERROR(__xludf.DUMMYFUNCTION("""COMPUTED_VALUE"""),0.999)</f>
        <v>0.999</v>
      </c>
      <c r="E1682" s="16">
        <f>IFERROR(__xludf.DUMMYFUNCTION("""COMPUTED_VALUE"""),71.0)</f>
        <v>71</v>
      </c>
      <c r="F1682" s="19" t="str">
        <f>IFERROR(__xludf.DUMMYFUNCTION("""COMPUTED_VALUE"""),"BLUE")</f>
        <v>BLUE</v>
      </c>
      <c r="G1682" s="20" t="str">
        <f>IFERROR(__xludf.DUMMYFUNCTION("""COMPUTED_VALUE"""),"Uncle Sams Cider (04/04/2023)")</f>
        <v>Uncle Sams Cider (04/04/2023)</v>
      </c>
      <c r="H1682" s="19"/>
    </row>
    <row r="1683">
      <c r="A1683" s="9"/>
      <c r="B1683" s="15"/>
      <c r="C1683" s="9">
        <f>IFERROR(__xludf.DUMMYFUNCTION("""COMPUTED_VALUE"""),45126.9462723611)</f>
        <v>45126.94627</v>
      </c>
      <c r="D1683" s="15">
        <f>IFERROR(__xludf.DUMMYFUNCTION("""COMPUTED_VALUE"""),0.999)</f>
        <v>0.999</v>
      </c>
      <c r="E1683" s="16">
        <f>IFERROR(__xludf.DUMMYFUNCTION("""COMPUTED_VALUE"""),71.0)</f>
        <v>71</v>
      </c>
      <c r="F1683" s="19" t="str">
        <f>IFERROR(__xludf.DUMMYFUNCTION("""COMPUTED_VALUE"""),"BLUE")</f>
        <v>BLUE</v>
      </c>
      <c r="G1683" s="20" t="str">
        <f>IFERROR(__xludf.DUMMYFUNCTION("""COMPUTED_VALUE"""),"Uncle Sams Cider (04/04/2023)")</f>
        <v>Uncle Sams Cider (04/04/2023)</v>
      </c>
      <c r="H1683" s="19"/>
    </row>
    <row r="1684">
      <c r="A1684" s="9"/>
      <c r="B1684" s="15"/>
      <c r="C1684" s="9">
        <f>IFERROR(__xludf.DUMMYFUNCTION("""COMPUTED_VALUE"""),45126.9358500347)</f>
        <v>45126.93585</v>
      </c>
      <c r="D1684" s="15">
        <f>IFERROR(__xludf.DUMMYFUNCTION("""COMPUTED_VALUE"""),0.999)</f>
        <v>0.999</v>
      </c>
      <c r="E1684" s="16">
        <f>IFERROR(__xludf.DUMMYFUNCTION("""COMPUTED_VALUE"""),71.0)</f>
        <v>71</v>
      </c>
      <c r="F1684" s="19" t="str">
        <f>IFERROR(__xludf.DUMMYFUNCTION("""COMPUTED_VALUE"""),"BLUE")</f>
        <v>BLUE</v>
      </c>
      <c r="G1684" s="20" t="str">
        <f>IFERROR(__xludf.DUMMYFUNCTION("""COMPUTED_VALUE"""),"Uncle Sams Cider (04/04/2023)")</f>
        <v>Uncle Sams Cider (04/04/2023)</v>
      </c>
      <c r="H1684" s="19"/>
    </row>
    <row r="1685">
      <c r="A1685" s="9"/>
      <c r="B1685" s="15"/>
      <c r="C1685" s="9">
        <f>IFERROR(__xludf.DUMMYFUNCTION("""COMPUTED_VALUE"""),45126.9254175115)</f>
        <v>45126.92542</v>
      </c>
      <c r="D1685" s="15">
        <f>IFERROR(__xludf.DUMMYFUNCTION("""COMPUTED_VALUE"""),0.999)</f>
        <v>0.999</v>
      </c>
      <c r="E1685" s="16">
        <f>IFERROR(__xludf.DUMMYFUNCTION("""COMPUTED_VALUE"""),71.0)</f>
        <v>71</v>
      </c>
      <c r="F1685" s="19" t="str">
        <f>IFERROR(__xludf.DUMMYFUNCTION("""COMPUTED_VALUE"""),"BLUE")</f>
        <v>BLUE</v>
      </c>
      <c r="G1685" s="20" t="str">
        <f>IFERROR(__xludf.DUMMYFUNCTION("""COMPUTED_VALUE"""),"Uncle Sams Cider (04/04/2023)")</f>
        <v>Uncle Sams Cider (04/04/2023)</v>
      </c>
      <c r="H1685" s="19"/>
    </row>
    <row r="1686">
      <c r="A1686" s="9"/>
      <c r="B1686" s="15"/>
      <c r="C1686" s="9">
        <f>IFERROR(__xludf.DUMMYFUNCTION("""COMPUTED_VALUE"""),45126.9149984837)</f>
        <v>45126.915</v>
      </c>
      <c r="D1686" s="15">
        <f>IFERROR(__xludf.DUMMYFUNCTION("""COMPUTED_VALUE"""),0.999)</f>
        <v>0.999</v>
      </c>
      <c r="E1686" s="16">
        <f>IFERROR(__xludf.DUMMYFUNCTION("""COMPUTED_VALUE"""),71.0)</f>
        <v>71</v>
      </c>
      <c r="F1686" s="19" t="str">
        <f>IFERROR(__xludf.DUMMYFUNCTION("""COMPUTED_VALUE"""),"BLUE")</f>
        <v>BLUE</v>
      </c>
      <c r="G1686" s="20" t="str">
        <f>IFERROR(__xludf.DUMMYFUNCTION("""COMPUTED_VALUE"""),"Uncle Sams Cider (04/04/2023)")</f>
        <v>Uncle Sams Cider (04/04/2023)</v>
      </c>
      <c r="H1686" s="19"/>
    </row>
    <row r="1687">
      <c r="A1687" s="9"/>
      <c r="B1687" s="15"/>
      <c r="C1687" s="9">
        <f>IFERROR(__xludf.DUMMYFUNCTION("""COMPUTED_VALUE"""),45126.904578368)</f>
        <v>45126.90458</v>
      </c>
      <c r="D1687" s="15">
        <f>IFERROR(__xludf.DUMMYFUNCTION("""COMPUTED_VALUE"""),0.999)</f>
        <v>0.999</v>
      </c>
      <c r="E1687" s="16">
        <f>IFERROR(__xludf.DUMMYFUNCTION("""COMPUTED_VALUE"""),71.0)</f>
        <v>71</v>
      </c>
      <c r="F1687" s="19" t="str">
        <f>IFERROR(__xludf.DUMMYFUNCTION("""COMPUTED_VALUE"""),"BLUE")</f>
        <v>BLUE</v>
      </c>
      <c r="G1687" s="20" t="str">
        <f>IFERROR(__xludf.DUMMYFUNCTION("""COMPUTED_VALUE"""),"Uncle Sams Cider (04/04/2023)")</f>
        <v>Uncle Sams Cider (04/04/2023)</v>
      </c>
      <c r="H1687" s="19"/>
    </row>
    <row r="1688">
      <c r="A1688" s="9"/>
      <c r="B1688" s="15"/>
      <c r="C1688" s="9">
        <f>IFERROR(__xludf.DUMMYFUNCTION("""COMPUTED_VALUE"""),45126.8941558333)</f>
        <v>45126.89416</v>
      </c>
      <c r="D1688" s="15">
        <f>IFERROR(__xludf.DUMMYFUNCTION("""COMPUTED_VALUE"""),0.999)</f>
        <v>0.999</v>
      </c>
      <c r="E1688" s="16">
        <f>IFERROR(__xludf.DUMMYFUNCTION("""COMPUTED_VALUE"""),71.0)</f>
        <v>71</v>
      </c>
      <c r="F1688" s="19" t="str">
        <f>IFERROR(__xludf.DUMMYFUNCTION("""COMPUTED_VALUE"""),"BLUE")</f>
        <v>BLUE</v>
      </c>
      <c r="G1688" s="20" t="str">
        <f>IFERROR(__xludf.DUMMYFUNCTION("""COMPUTED_VALUE"""),"Uncle Sams Cider (04/04/2023)")</f>
        <v>Uncle Sams Cider (04/04/2023)</v>
      </c>
      <c r="H1688" s="19"/>
    </row>
    <row r="1689">
      <c r="A1689" s="9"/>
      <c r="B1689" s="15"/>
      <c r="C1689" s="9">
        <f>IFERROR(__xludf.DUMMYFUNCTION("""COMPUTED_VALUE"""),45126.8837338773)</f>
        <v>45126.88373</v>
      </c>
      <c r="D1689" s="15">
        <f>IFERROR(__xludf.DUMMYFUNCTION("""COMPUTED_VALUE"""),0.999)</f>
        <v>0.999</v>
      </c>
      <c r="E1689" s="16">
        <f>IFERROR(__xludf.DUMMYFUNCTION("""COMPUTED_VALUE"""),71.0)</f>
        <v>71</v>
      </c>
      <c r="F1689" s="19" t="str">
        <f>IFERROR(__xludf.DUMMYFUNCTION("""COMPUTED_VALUE"""),"BLUE")</f>
        <v>BLUE</v>
      </c>
      <c r="G1689" s="20" t="str">
        <f>IFERROR(__xludf.DUMMYFUNCTION("""COMPUTED_VALUE"""),"Uncle Sams Cider (04/04/2023)")</f>
        <v>Uncle Sams Cider (04/04/2023)</v>
      </c>
      <c r="H1689" s="19"/>
    </row>
    <row r="1690">
      <c r="A1690" s="9"/>
      <c r="B1690" s="15"/>
      <c r="C1690" s="9">
        <f>IFERROR(__xludf.DUMMYFUNCTION("""COMPUTED_VALUE"""),45126.8732891319)</f>
        <v>45126.87329</v>
      </c>
      <c r="D1690" s="15">
        <f>IFERROR(__xludf.DUMMYFUNCTION("""COMPUTED_VALUE"""),0.998)</f>
        <v>0.998</v>
      </c>
      <c r="E1690" s="16">
        <f>IFERROR(__xludf.DUMMYFUNCTION("""COMPUTED_VALUE"""),71.0)</f>
        <v>71</v>
      </c>
      <c r="F1690" s="19" t="str">
        <f>IFERROR(__xludf.DUMMYFUNCTION("""COMPUTED_VALUE"""),"BLUE")</f>
        <v>BLUE</v>
      </c>
      <c r="G1690" s="20" t="str">
        <f>IFERROR(__xludf.DUMMYFUNCTION("""COMPUTED_VALUE"""),"Uncle Sams Cider (04/04/2023)")</f>
        <v>Uncle Sams Cider (04/04/2023)</v>
      </c>
      <c r="H1690" s="19"/>
    </row>
    <row r="1691">
      <c r="A1691" s="9"/>
      <c r="B1691" s="15"/>
      <c r="C1691" s="9">
        <f>IFERROR(__xludf.DUMMYFUNCTION("""COMPUTED_VALUE"""),45126.86286875)</f>
        <v>45126.86287</v>
      </c>
      <c r="D1691" s="15">
        <f>IFERROR(__xludf.DUMMYFUNCTION("""COMPUTED_VALUE"""),0.999)</f>
        <v>0.999</v>
      </c>
      <c r="E1691" s="16">
        <f>IFERROR(__xludf.DUMMYFUNCTION("""COMPUTED_VALUE"""),71.0)</f>
        <v>71</v>
      </c>
      <c r="F1691" s="19" t="str">
        <f>IFERROR(__xludf.DUMMYFUNCTION("""COMPUTED_VALUE"""),"BLUE")</f>
        <v>BLUE</v>
      </c>
      <c r="G1691" s="20" t="str">
        <f>IFERROR(__xludf.DUMMYFUNCTION("""COMPUTED_VALUE"""),"Uncle Sams Cider (04/04/2023)")</f>
        <v>Uncle Sams Cider (04/04/2023)</v>
      </c>
      <c r="H1691" s="19"/>
    </row>
    <row r="1692">
      <c r="A1692" s="9"/>
      <c r="B1692" s="15"/>
      <c r="C1692" s="9">
        <f>IFERROR(__xludf.DUMMYFUNCTION("""COMPUTED_VALUE"""),45126.8524356365)</f>
        <v>45126.85244</v>
      </c>
      <c r="D1692" s="15">
        <f>IFERROR(__xludf.DUMMYFUNCTION("""COMPUTED_VALUE"""),0.999)</f>
        <v>0.999</v>
      </c>
      <c r="E1692" s="16">
        <f>IFERROR(__xludf.DUMMYFUNCTION("""COMPUTED_VALUE"""),71.0)</f>
        <v>71</v>
      </c>
      <c r="F1692" s="19" t="str">
        <f>IFERROR(__xludf.DUMMYFUNCTION("""COMPUTED_VALUE"""),"BLUE")</f>
        <v>BLUE</v>
      </c>
      <c r="G1692" s="20" t="str">
        <f>IFERROR(__xludf.DUMMYFUNCTION("""COMPUTED_VALUE"""),"Uncle Sams Cider (04/04/2023)")</f>
        <v>Uncle Sams Cider (04/04/2023)</v>
      </c>
      <c r="H1692" s="19"/>
    </row>
    <row r="1693">
      <c r="A1693" s="9"/>
      <c r="B1693" s="15"/>
      <c r="C1693" s="9">
        <f>IFERROR(__xludf.DUMMYFUNCTION("""COMPUTED_VALUE"""),45126.8420050115)</f>
        <v>45126.84201</v>
      </c>
      <c r="D1693" s="15">
        <f>IFERROR(__xludf.DUMMYFUNCTION("""COMPUTED_VALUE"""),0.999)</f>
        <v>0.999</v>
      </c>
      <c r="E1693" s="16">
        <f>IFERROR(__xludf.DUMMYFUNCTION("""COMPUTED_VALUE"""),71.0)</f>
        <v>71</v>
      </c>
      <c r="F1693" s="19" t="str">
        <f>IFERROR(__xludf.DUMMYFUNCTION("""COMPUTED_VALUE"""),"BLUE")</f>
        <v>BLUE</v>
      </c>
      <c r="G1693" s="20" t="str">
        <f>IFERROR(__xludf.DUMMYFUNCTION("""COMPUTED_VALUE"""),"Uncle Sams Cider (04/04/2023)")</f>
        <v>Uncle Sams Cider (04/04/2023)</v>
      </c>
      <c r="H1693" s="19"/>
    </row>
    <row r="1694">
      <c r="A1694" s="9"/>
      <c r="B1694" s="15"/>
      <c r="C1694" s="9">
        <f>IFERROR(__xludf.DUMMYFUNCTION("""COMPUTED_VALUE"""),45126.8315734375)</f>
        <v>45126.83157</v>
      </c>
      <c r="D1694" s="15">
        <f>IFERROR(__xludf.DUMMYFUNCTION("""COMPUTED_VALUE"""),0.999)</f>
        <v>0.999</v>
      </c>
      <c r="E1694" s="16">
        <f>IFERROR(__xludf.DUMMYFUNCTION("""COMPUTED_VALUE"""),71.0)</f>
        <v>71</v>
      </c>
      <c r="F1694" s="19" t="str">
        <f>IFERROR(__xludf.DUMMYFUNCTION("""COMPUTED_VALUE"""),"BLUE")</f>
        <v>BLUE</v>
      </c>
      <c r="G1694" s="20" t="str">
        <f>IFERROR(__xludf.DUMMYFUNCTION("""COMPUTED_VALUE"""),"Uncle Sams Cider (04/04/2023)")</f>
        <v>Uncle Sams Cider (04/04/2023)</v>
      </c>
      <c r="H1694" s="19"/>
    </row>
    <row r="1695">
      <c r="A1695" s="9"/>
      <c r="B1695" s="15"/>
      <c r="C1695" s="9">
        <f>IFERROR(__xludf.DUMMYFUNCTION("""COMPUTED_VALUE"""),45126.8211528125)</f>
        <v>45126.82115</v>
      </c>
      <c r="D1695" s="15">
        <f>IFERROR(__xludf.DUMMYFUNCTION("""COMPUTED_VALUE"""),0.999)</f>
        <v>0.999</v>
      </c>
      <c r="E1695" s="16">
        <f>IFERROR(__xludf.DUMMYFUNCTION("""COMPUTED_VALUE"""),71.0)</f>
        <v>71</v>
      </c>
      <c r="F1695" s="19" t="str">
        <f>IFERROR(__xludf.DUMMYFUNCTION("""COMPUTED_VALUE"""),"BLUE")</f>
        <v>BLUE</v>
      </c>
      <c r="G1695" s="20" t="str">
        <f>IFERROR(__xludf.DUMMYFUNCTION("""COMPUTED_VALUE"""),"Uncle Sams Cider (04/04/2023)")</f>
        <v>Uncle Sams Cider (04/04/2023)</v>
      </c>
      <c r="H1695" s="19"/>
    </row>
    <row r="1696">
      <c r="A1696" s="9"/>
      <c r="B1696" s="15"/>
      <c r="C1696" s="9">
        <f>IFERROR(__xludf.DUMMYFUNCTION("""COMPUTED_VALUE"""),45126.8107318981)</f>
        <v>45126.81073</v>
      </c>
      <c r="D1696" s="15">
        <f>IFERROR(__xludf.DUMMYFUNCTION("""COMPUTED_VALUE"""),0.998)</f>
        <v>0.998</v>
      </c>
      <c r="E1696" s="16">
        <f>IFERROR(__xludf.DUMMYFUNCTION("""COMPUTED_VALUE"""),71.0)</f>
        <v>71</v>
      </c>
      <c r="F1696" s="19" t="str">
        <f>IFERROR(__xludf.DUMMYFUNCTION("""COMPUTED_VALUE"""),"BLUE")</f>
        <v>BLUE</v>
      </c>
      <c r="G1696" s="20" t="str">
        <f>IFERROR(__xludf.DUMMYFUNCTION("""COMPUTED_VALUE"""),"Uncle Sams Cider (04/04/2023)")</f>
        <v>Uncle Sams Cider (04/04/2023)</v>
      </c>
      <c r="H1696" s="19"/>
    </row>
    <row r="1697">
      <c r="A1697" s="9"/>
      <c r="B1697" s="15"/>
      <c r="C1697" s="9">
        <f>IFERROR(__xludf.DUMMYFUNCTION("""COMPUTED_VALUE"""),45126.8002884953)</f>
        <v>45126.80029</v>
      </c>
      <c r="D1697" s="15">
        <f>IFERROR(__xludf.DUMMYFUNCTION("""COMPUTED_VALUE"""),0.999)</f>
        <v>0.999</v>
      </c>
      <c r="E1697" s="16">
        <f>IFERROR(__xludf.DUMMYFUNCTION("""COMPUTED_VALUE"""),71.0)</f>
        <v>71</v>
      </c>
      <c r="F1697" s="19" t="str">
        <f>IFERROR(__xludf.DUMMYFUNCTION("""COMPUTED_VALUE"""),"BLUE")</f>
        <v>BLUE</v>
      </c>
      <c r="G1697" s="20" t="str">
        <f>IFERROR(__xludf.DUMMYFUNCTION("""COMPUTED_VALUE"""),"Uncle Sams Cider (04/04/2023)")</f>
        <v>Uncle Sams Cider (04/04/2023)</v>
      </c>
      <c r="H1697" s="19"/>
    </row>
    <row r="1698">
      <c r="A1698" s="9"/>
      <c r="B1698" s="15"/>
      <c r="C1698" s="9">
        <f>IFERROR(__xludf.DUMMYFUNCTION("""COMPUTED_VALUE"""),45126.7898689236)</f>
        <v>45126.78987</v>
      </c>
      <c r="D1698" s="15">
        <f>IFERROR(__xludf.DUMMYFUNCTION("""COMPUTED_VALUE"""),0.999)</f>
        <v>0.999</v>
      </c>
      <c r="E1698" s="16">
        <f>IFERROR(__xludf.DUMMYFUNCTION("""COMPUTED_VALUE"""),71.0)</f>
        <v>71</v>
      </c>
      <c r="F1698" s="19" t="str">
        <f>IFERROR(__xludf.DUMMYFUNCTION("""COMPUTED_VALUE"""),"BLUE")</f>
        <v>BLUE</v>
      </c>
      <c r="G1698" s="20" t="str">
        <f>IFERROR(__xludf.DUMMYFUNCTION("""COMPUTED_VALUE"""),"Uncle Sams Cider (04/04/2023)")</f>
        <v>Uncle Sams Cider (04/04/2023)</v>
      </c>
      <c r="H1698" s="19"/>
    </row>
    <row r="1699">
      <c r="A1699" s="9"/>
      <c r="B1699" s="15"/>
      <c r="C1699" s="9">
        <f>IFERROR(__xludf.DUMMYFUNCTION("""COMPUTED_VALUE"""),45126.7794474652)</f>
        <v>45126.77945</v>
      </c>
      <c r="D1699" s="15">
        <f>IFERROR(__xludf.DUMMYFUNCTION("""COMPUTED_VALUE"""),0.998)</f>
        <v>0.998</v>
      </c>
      <c r="E1699" s="16">
        <f>IFERROR(__xludf.DUMMYFUNCTION("""COMPUTED_VALUE"""),71.0)</f>
        <v>71</v>
      </c>
      <c r="F1699" s="19" t="str">
        <f>IFERROR(__xludf.DUMMYFUNCTION("""COMPUTED_VALUE"""),"BLUE")</f>
        <v>BLUE</v>
      </c>
      <c r="G1699" s="20" t="str">
        <f>IFERROR(__xludf.DUMMYFUNCTION("""COMPUTED_VALUE"""),"Uncle Sams Cider (04/04/2023)")</f>
        <v>Uncle Sams Cider (04/04/2023)</v>
      </c>
      <c r="H1699" s="19"/>
    </row>
    <row r="1700">
      <c r="A1700" s="9"/>
      <c r="B1700" s="15"/>
      <c r="C1700" s="9">
        <f>IFERROR(__xludf.DUMMYFUNCTION("""COMPUTED_VALUE"""),45126.7690263888)</f>
        <v>45126.76903</v>
      </c>
      <c r="D1700" s="15">
        <f>IFERROR(__xludf.DUMMYFUNCTION("""COMPUTED_VALUE"""),0.999)</f>
        <v>0.999</v>
      </c>
      <c r="E1700" s="16">
        <f>IFERROR(__xludf.DUMMYFUNCTION("""COMPUTED_VALUE"""),71.0)</f>
        <v>71</v>
      </c>
      <c r="F1700" s="19" t="str">
        <f>IFERROR(__xludf.DUMMYFUNCTION("""COMPUTED_VALUE"""),"BLUE")</f>
        <v>BLUE</v>
      </c>
      <c r="G1700" s="20" t="str">
        <f>IFERROR(__xludf.DUMMYFUNCTION("""COMPUTED_VALUE"""),"Uncle Sams Cider (04/04/2023)")</f>
        <v>Uncle Sams Cider (04/04/2023)</v>
      </c>
      <c r="H1700" s="19"/>
    </row>
    <row r="1701">
      <c r="A1701" s="9"/>
      <c r="B1701" s="15"/>
      <c r="C1701" s="9">
        <f>IFERROR(__xludf.DUMMYFUNCTION("""COMPUTED_VALUE"""),45126.7586046064)</f>
        <v>45126.7586</v>
      </c>
      <c r="D1701" s="15">
        <f>IFERROR(__xludf.DUMMYFUNCTION("""COMPUTED_VALUE"""),0.999)</f>
        <v>0.999</v>
      </c>
      <c r="E1701" s="16">
        <f>IFERROR(__xludf.DUMMYFUNCTION("""COMPUTED_VALUE"""),71.0)</f>
        <v>71</v>
      </c>
      <c r="F1701" s="19" t="str">
        <f>IFERROR(__xludf.DUMMYFUNCTION("""COMPUTED_VALUE"""),"BLUE")</f>
        <v>BLUE</v>
      </c>
      <c r="G1701" s="20" t="str">
        <f>IFERROR(__xludf.DUMMYFUNCTION("""COMPUTED_VALUE"""),"Uncle Sams Cider (04/04/2023)")</f>
        <v>Uncle Sams Cider (04/04/2023)</v>
      </c>
      <c r="H1701" s="19"/>
    </row>
    <row r="1702">
      <c r="A1702" s="9"/>
      <c r="B1702" s="15"/>
      <c r="C1702" s="9">
        <f>IFERROR(__xludf.DUMMYFUNCTION("""COMPUTED_VALUE"""),45126.7481832175)</f>
        <v>45126.74818</v>
      </c>
      <c r="D1702" s="15">
        <f>IFERROR(__xludf.DUMMYFUNCTION("""COMPUTED_VALUE"""),0.999)</f>
        <v>0.999</v>
      </c>
      <c r="E1702" s="16">
        <f>IFERROR(__xludf.DUMMYFUNCTION("""COMPUTED_VALUE"""),71.0)</f>
        <v>71</v>
      </c>
      <c r="F1702" s="19" t="str">
        <f>IFERROR(__xludf.DUMMYFUNCTION("""COMPUTED_VALUE"""),"BLUE")</f>
        <v>BLUE</v>
      </c>
      <c r="G1702" s="20" t="str">
        <f>IFERROR(__xludf.DUMMYFUNCTION("""COMPUTED_VALUE"""),"Uncle Sams Cider (04/04/2023)")</f>
        <v>Uncle Sams Cider (04/04/2023)</v>
      </c>
      <c r="H1702" s="19"/>
    </row>
    <row r="1703">
      <c r="A1703" s="9"/>
      <c r="B1703" s="15"/>
      <c r="C1703" s="9">
        <f>IFERROR(__xludf.DUMMYFUNCTION("""COMPUTED_VALUE"""),45126.7377632176)</f>
        <v>45126.73776</v>
      </c>
      <c r="D1703" s="15">
        <f>IFERROR(__xludf.DUMMYFUNCTION("""COMPUTED_VALUE"""),0.999)</f>
        <v>0.999</v>
      </c>
      <c r="E1703" s="16">
        <f>IFERROR(__xludf.DUMMYFUNCTION("""COMPUTED_VALUE"""),71.0)</f>
        <v>71</v>
      </c>
      <c r="F1703" s="19" t="str">
        <f>IFERROR(__xludf.DUMMYFUNCTION("""COMPUTED_VALUE"""),"BLUE")</f>
        <v>BLUE</v>
      </c>
      <c r="G1703" s="20" t="str">
        <f>IFERROR(__xludf.DUMMYFUNCTION("""COMPUTED_VALUE"""),"Uncle Sams Cider (04/04/2023)")</f>
        <v>Uncle Sams Cider (04/04/2023)</v>
      </c>
      <c r="H1703" s="19"/>
    </row>
    <row r="1704">
      <c r="A1704" s="9"/>
      <c r="B1704" s="15"/>
      <c r="C1704" s="9">
        <f>IFERROR(__xludf.DUMMYFUNCTION("""COMPUTED_VALUE"""),45126.7273423379)</f>
        <v>45126.72734</v>
      </c>
      <c r="D1704" s="15">
        <f>IFERROR(__xludf.DUMMYFUNCTION("""COMPUTED_VALUE"""),0.999)</f>
        <v>0.999</v>
      </c>
      <c r="E1704" s="16">
        <f>IFERROR(__xludf.DUMMYFUNCTION("""COMPUTED_VALUE"""),71.0)</f>
        <v>71</v>
      </c>
      <c r="F1704" s="19" t="str">
        <f>IFERROR(__xludf.DUMMYFUNCTION("""COMPUTED_VALUE"""),"BLUE")</f>
        <v>BLUE</v>
      </c>
      <c r="G1704" s="20" t="str">
        <f>IFERROR(__xludf.DUMMYFUNCTION("""COMPUTED_VALUE"""),"Uncle Sams Cider (04/04/2023)")</f>
        <v>Uncle Sams Cider (04/04/2023)</v>
      </c>
      <c r="H1704" s="19"/>
    </row>
    <row r="1705">
      <c r="A1705" s="9"/>
      <c r="B1705" s="15"/>
      <c r="C1705" s="9">
        <f>IFERROR(__xludf.DUMMYFUNCTION("""COMPUTED_VALUE"""),45126.716921412)</f>
        <v>45126.71692</v>
      </c>
      <c r="D1705" s="15">
        <f>IFERROR(__xludf.DUMMYFUNCTION("""COMPUTED_VALUE"""),0.999)</f>
        <v>0.999</v>
      </c>
      <c r="E1705" s="16">
        <f>IFERROR(__xludf.DUMMYFUNCTION("""COMPUTED_VALUE"""),71.0)</f>
        <v>71</v>
      </c>
      <c r="F1705" s="19" t="str">
        <f>IFERROR(__xludf.DUMMYFUNCTION("""COMPUTED_VALUE"""),"BLUE")</f>
        <v>BLUE</v>
      </c>
      <c r="G1705" s="20" t="str">
        <f>IFERROR(__xludf.DUMMYFUNCTION("""COMPUTED_VALUE"""),"Uncle Sams Cider (04/04/2023)")</f>
        <v>Uncle Sams Cider (04/04/2023)</v>
      </c>
      <c r="H1705" s="19"/>
    </row>
    <row r="1706">
      <c r="A1706" s="9"/>
      <c r="B1706" s="15"/>
      <c r="C1706" s="9">
        <f>IFERROR(__xludf.DUMMYFUNCTION("""COMPUTED_VALUE"""),45126.706499375)</f>
        <v>45126.7065</v>
      </c>
      <c r="D1706" s="15">
        <f>IFERROR(__xludf.DUMMYFUNCTION("""COMPUTED_VALUE"""),0.999)</f>
        <v>0.999</v>
      </c>
      <c r="E1706" s="16">
        <f>IFERROR(__xludf.DUMMYFUNCTION("""COMPUTED_VALUE"""),71.0)</f>
        <v>71</v>
      </c>
      <c r="F1706" s="19" t="str">
        <f>IFERROR(__xludf.DUMMYFUNCTION("""COMPUTED_VALUE"""),"BLUE")</f>
        <v>BLUE</v>
      </c>
      <c r="G1706" s="20" t="str">
        <f>IFERROR(__xludf.DUMMYFUNCTION("""COMPUTED_VALUE"""),"Uncle Sams Cider (04/04/2023)")</f>
        <v>Uncle Sams Cider (04/04/2023)</v>
      </c>
      <c r="H1706" s="19"/>
    </row>
    <row r="1707">
      <c r="A1707" s="9"/>
      <c r="B1707" s="15"/>
      <c r="C1707" s="9">
        <f>IFERROR(__xludf.DUMMYFUNCTION("""COMPUTED_VALUE"""),45126.6960784143)</f>
        <v>45126.69608</v>
      </c>
      <c r="D1707" s="15">
        <f>IFERROR(__xludf.DUMMYFUNCTION("""COMPUTED_VALUE"""),0.999)</f>
        <v>0.999</v>
      </c>
      <c r="E1707" s="16">
        <f>IFERROR(__xludf.DUMMYFUNCTION("""COMPUTED_VALUE"""),71.0)</f>
        <v>71</v>
      </c>
      <c r="F1707" s="19" t="str">
        <f>IFERROR(__xludf.DUMMYFUNCTION("""COMPUTED_VALUE"""),"BLUE")</f>
        <v>BLUE</v>
      </c>
      <c r="G1707" s="20" t="str">
        <f>IFERROR(__xludf.DUMMYFUNCTION("""COMPUTED_VALUE"""),"Uncle Sams Cider (04/04/2023)")</f>
        <v>Uncle Sams Cider (04/04/2023)</v>
      </c>
      <c r="H1707" s="19"/>
    </row>
    <row r="1708">
      <c r="A1708" s="9"/>
      <c r="B1708" s="15"/>
      <c r="C1708" s="9">
        <f>IFERROR(__xludf.DUMMYFUNCTION("""COMPUTED_VALUE"""),45126.6856220601)</f>
        <v>45126.68562</v>
      </c>
      <c r="D1708" s="15">
        <f>IFERROR(__xludf.DUMMYFUNCTION("""COMPUTED_VALUE"""),0.999)</f>
        <v>0.999</v>
      </c>
      <c r="E1708" s="16">
        <f>IFERROR(__xludf.DUMMYFUNCTION("""COMPUTED_VALUE"""),71.0)</f>
        <v>71</v>
      </c>
      <c r="F1708" s="19" t="str">
        <f>IFERROR(__xludf.DUMMYFUNCTION("""COMPUTED_VALUE"""),"BLUE")</f>
        <v>BLUE</v>
      </c>
      <c r="G1708" s="20" t="str">
        <f>IFERROR(__xludf.DUMMYFUNCTION("""COMPUTED_VALUE"""),"Uncle Sams Cider (04/04/2023)")</f>
        <v>Uncle Sams Cider (04/04/2023)</v>
      </c>
      <c r="H1708" s="19"/>
    </row>
    <row r="1709">
      <c r="A1709" s="9"/>
      <c r="B1709" s="15"/>
      <c r="C1709" s="9">
        <f>IFERROR(__xludf.DUMMYFUNCTION("""COMPUTED_VALUE"""),45126.6752004282)</f>
        <v>45126.6752</v>
      </c>
      <c r="D1709" s="15">
        <f>IFERROR(__xludf.DUMMYFUNCTION("""COMPUTED_VALUE"""),0.999)</f>
        <v>0.999</v>
      </c>
      <c r="E1709" s="16">
        <f>IFERROR(__xludf.DUMMYFUNCTION("""COMPUTED_VALUE"""),71.0)</f>
        <v>71</v>
      </c>
      <c r="F1709" s="19" t="str">
        <f>IFERROR(__xludf.DUMMYFUNCTION("""COMPUTED_VALUE"""),"BLUE")</f>
        <v>BLUE</v>
      </c>
      <c r="G1709" s="20" t="str">
        <f>IFERROR(__xludf.DUMMYFUNCTION("""COMPUTED_VALUE"""),"Uncle Sams Cider (04/04/2023)")</f>
        <v>Uncle Sams Cider (04/04/2023)</v>
      </c>
      <c r="H1709" s="19"/>
    </row>
    <row r="1710">
      <c r="A1710" s="9"/>
      <c r="B1710" s="15"/>
      <c r="C1710" s="9">
        <f>IFERROR(__xludf.DUMMYFUNCTION("""COMPUTED_VALUE"""),45126.6647801736)</f>
        <v>45126.66478</v>
      </c>
      <c r="D1710" s="15">
        <f>IFERROR(__xludf.DUMMYFUNCTION("""COMPUTED_VALUE"""),0.998)</f>
        <v>0.998</v>
      </c>
      <c r="E1710" s="16">
        <f>IFERROR(__xludf.DUMMYFUNCTION("""COMPUTED_VALUE"""),71.0)</f>
        <v>71</v>
      </c>
      <c r="F1710" s="19" t="str">
        <f>IFERROR(__xludf.DUMMYFUNCTION("""COMPUTED_VALUE"""),"BLUE")</f>
        <v>BLUE</v>
      </c>
      <c r="G1710" s="20" t="str">
        <f>IFERROR(__xludf.DUMMYFUNCTION("""COMPUTED_VALUE"""),"Uncle Sams Cider (04/04/2023)")</f>
        <v>Uncle Sams Cider (04/04/2023)</v>
      </c>
      <c r="H1710" s="19"/>
    </row>
    <row r="1711">
      <c r="A1711" s="9"/>
      <c r="B1711" s="15"/>
      <c r="C1711" s="9">
        <f>IFERROR(__xludf.DUMMYFUNCTION("""COMPUTED_VALUE"""),45126.6543591435)</f>
        <v>45126.65436</v>
      </c>
      <c r="D1711" s="15">
        <f>IFERROR(__xludf.DUMMYFUNCTION("""COMPUTED_VALUE"""),0.999)</f>
        <v>0.999</v>
      </c>
      <c r="E1711" s="16">
        <f>IFERROR(__xludf.DUMMYFUNCTION("""COMPUTED_VALUE"""),71.0)</f>
        <v>71</v>
      </c>
      <c r="F1711" s="19" t="str">
        <f>IFERROR(__xludf.DUMMYFUNCTION("""COMPUTED_VALUE"""),"BLUE")</f>
        <v>BLUE</v>
      </c>
      <c r="G1711" s="20" t="str">
        <f>IFERROR(__xludf.DUMMYFUNCTION("""COMPUTED_VALUE"""),"Uncle Sams Cider (04/04/2023)")</f>
        <v>Uncle Sams Cider (04/04/2023)</v>
      </c>
      <c r="H1711" s="19"/>
    </row>
    <row r="1712">
      <c r="A1712" s="9"/>
      <c r="B1712" s="15"/>
      <c r="C1712" s="9">
        <f>IFERROR(__xludf.DUMMYFUNCTION("""COMPUTED_VALUE"""),45126.6439389699)</f>
        <v>45126.64394</v>
      </c>
      <c r="D1712" s="15">
        <f>IFERROR(__xludf.DUMMYFUNCTION("""COMPUTED_VALUE"""),0.999)</f>
        <v>0.999</v>
      </c>
      <c r="E1712" s="16">
        <f>IFERROR(__xludf.DUMMYFUNCTION("""COMPUTED_VALUE"""),71.0)</f>
        <v>71</v>
      </c>
      <c r="F1712" s="19" t="str">
        <f>IFERROR(__xludf.DUMMYFUNCTION("""COMPUTED_VALUE"""),"BLUE")</f>
        <v>BLUE</v>
      </c>
      <c r="G1712" s="20" t="str">
        <f>IFERROR(__xludf.DUMMYFUNCTION("""COMPUTED_VALUE"""),"Uncle Sams Cider (04/04/2023)")</f>
        <v>Uncle Sams Cider (04/04/2023)</v>
      </c>
      <c r="H1712" s="19"/>
    </row>
    <row r="1713">
      <c r="A1713" s="9"/>
      <c r="B1713" s="15"/>
      <c r="C1713" s="9">
        <f>IFERROR(__xludf.DUMMYFUNCTION("""COMPUTED_VALUE"""),45126.6335061921)</f>
        <v>45126.63351</v>
      </c>
      <c r="D1713" s="15">
        <f>IFERROR(__xludf.DUMMYFUNCTION("""COMPUTED_VALUE"""),0.999)</f>
        <v>0.999</v>
      </c>
      <c r="E1713" s="16">
        <f>IFERROR(__xludf.DUMMYFUNCTION("""COMPUTED_VALUE"""),71.0)</f>
        <v>71</v>
      </c>
      <c r="F1713" s="19" t="str">
        <f>IFERROR(__xludf.DUMMYFUNCTION("""COMPUTED_VALUE"""),"BLUE")</f>
        <v>BLUE</v>
      </c>
      <c r="G1713" s="20" t="str">
        <f>IFERROR(__xludf.DUMMYFUNCTION("""COMPUTED_VALUE"""),"Uncle Sams Cider (04/04/2023)")</f>
        <v>Uncle Sams Cider (04/04/2023)</v>
      </c>
      <c r="H1713" s="19"/>
    </row>
    <row r="1714">
      <c r="A1714" s="9"/>
      <c r="B1714" s="15"/>
      <c r="C1714" s="9">
        <f>IFERROR(__xludf.DUMMYFUNCTION("""COMPUTED_VALUE"""),45126.6230837963)</f>
        <v>45126.62308</v>
      </c>
      <c r="D1714" s="15">
        <f>IFERROR(__xludf.DUMMYFUNCTION("""COMPUTED_VALUE"""),0.999)</f>
        <v>0.999</v>
      </c>
      <c r="E1714" s="16">
        <f>IFERROR(__xludf.DUMMYFUNCTION("""COMPUTED_VALUE"""),71.0)</f>
        <v>71</v>
      </c>
      <c r="F1714" s="19" t="str">
        <f>IFERROR(__xludf.DUMMYFUNCTION("""COMPUTED_VALUE"""),"BLUE")</f>
        <v>BLUE</v>
      </c>
      <c r="G1714" s="20" t="str">
        <f>IFERROR(__xludf.DUMMYFUNCTION("""COMPUTED_VALUE"""),"Uncle Sams Cider (04/04/2023)")</f>
        <v>Uncle Sams Cider (04/04/2023)</v>
      </c>
      <c r="H1714" s="19"/>
    </row>
    <row r="1715">
      <c r="A1715" s="9"/>
      <c r="B1715" s="15"/>
      <c r="C1715" s="9">
        <f>IFERROR(__xludf.DUMMYFUNCTION("""COMPUTED_VALUE"""),45126.6126618171)</f>
        <v>45126.61266</v>
      </c>
      <c r="D1715" s="15">
        <f>IFERROR(__xludf.DUMMYFUNCTION("""COMPUTED_VALUE"""),0.999)</f>
        <v>0.999</v>
      </c>
      <c r="E1715" s="16">
        <f>IFERROR(__xludf.DUMMYFUNCTION("""COMPUTED_VALUE"""),71.0)</f>
        <v>71</v>
      </c>
      <c r="F1715" s="19" t="str">
        <f>IFERROR(__xludf.DUMMYFUNCTION("""COMPUTED_VALUE"""),"BLUE")</f>
        <v>BLUE</v>
      </c>
      <c r="G1715" s="20" t="str">
        <f>IFERROR(__xludf.DUMMYFUNCTION("""COMPUTED_VALUE"""),"Uncle Sams Cider (04/04/2023)")</f>
        <v>Uncle Sams Cider (04/04/2023)</v>
      </c>
      <c r="H1715" s="19"/>
    </row>
    <row r="1716">
      <c r="A1716" s="9"/>
      <c r="B1716" s="15"/>
      <c r="C1716" s="9">
        <f>IFERROR(__xludf.DUMMYFUNCTION("""COMPUTED_VALUE"""),45126.6022417592)</f>
        <v>45126.60224</v>
      </c>
      <c r="D1716" s="15">
        <f>IFERROR(__xludf.DUMMYFUNCTION("""COMPUTED_VALUE"""),0.999)</f>
        <v>0.999</v>
      </c>
      <c r="E1716" s="16">
        <f>IFERROR(__xludf.DUMMYFUNCTION("""COMPUTED_VALUE"""),71.0)</f>
        <v>71</v>
      </c>
      <c r="F1716" s="19" t="str">
        <f>IFERROR(__xludf.DUMMYFUNCTION("""COMPUTED_VALUE"""),"BLUE")</f>
        <v>BLUE</v>
      </c>
      <c r="G1716" s="20" t="str">
        <f>IFERROR(__xludf.DUMMYFUNCTION("""COMPUTED_VALUE"""),"Uncle Sams Cider (04/04/2023)")</f>
        <v>Uncle Sams Cider (04/04/2023)</v>
      </c>
      <c r="H1716" s="19"/>
    </row>
    <row r="1717">
      <c r="A1717" s="9"/>
      <c r="B1717" s="15"/>
      <c r="C1717" s="9">
        <f>IFERROR(__xludf.DUMMYFUNCTION("""COMPUTED_VALUE"""),45126.5918210185)</f>
        <v>45126.59182</v>
      </c>
      <c r="D1717" s="15">
        <f>IFERROR(__xludf.DUMMYFUNCTION("""COMPUTED_VALUE"""),0.999)</f>
        <v>0.999</v>
      </c>
      <c r="E1717" s="16">
        <f>IFERROR(__xludf.DUMMYFUNCTION("""COMPUTED_VALUE"""),71.0)</f>
        <v>71</v>
      </c>
      <c r="F1717" s="19" t="str">
        <f>IFERROR(__xludf.DUMMYFUNCTION("""COMPUTED_VALUE"""),"BLUE")</f>
        <v>BLUE</v>
      </c>
      <c r="G1717" s="20" t="str">
        <f>IFERROR(__xludf.DUMMYFUNCTION("""COMPUTED_VALUE"""),"Uncle Sams Cider (04/04/2023)")</f>
        <v>Uncle Sams Cider (04/04/2023)</v>
      </c>
      <c r="H1717" s="19"/>
    </row>
    <row r="1718">
      <c r="A1718" s="9"/>
      <c r="B1718" s="15"/>
      <c r="C1718" s="9">
        <f>IFERROR(__xludf.DUMMYFUNCTION("""COMPUTED_VALUE"""),45126.5813986342)</f>
        <v>45126.5814</v>
      </c>
      <c r="D1718" s="15">
        <f>IFERROR(__xludf.DUMMYFUNCTION("""COMPUTED_VALUE"""),0.999)</f>
        <v>0.999</v>
      </c>
      <c r="E1718" s="16">
        <f>IFERROR(__xludf.DUMMYFUNCTION("""COMPUTED_VALUE"""),71.0)</f>
        <v>71</v>
      </c>
      <c r="F1718" s="19" t="str">
        <f>IFERROR(__xludf.DUMMYFUNCTION("""COMPUTED_VALUE"""),"BLUE")</f>
        <v>BLUE</v>
      </c>
      <c r="G1718" s="20" t="str">
        <f>IFERROR(__xludf.DUMMYFUNCTION("""COMPUTED_VALUE"""),"Uncle Sams Cider (04/04/2023)")</f>
        <v>Uncle Sams Cider (04/04/2023)</v>
      </c>
      <c r="H1718" s="19"/>
    </row>
    <row r="1719">
      <c r="A1719" s="9"/>
      <c r="B1719" s="15"/>
      <c r="C1719" s="9">
        <f>IFERROR(__xludf.DUMMYFUNCTION("""COMPUTED_VALUE"""),45126.5709776851)</f>
        <v>45126.57098</v>
      </c>
      <c r="D1719" s="15">
        <f>IFERROR(__xludf.DUMMYFUNCTION("""COMPUTED_VALUE"""),0.999)</f>
        <v>0.999</v>
      </c>
      <c r="E1719" s="16">
        <f>IFERROR(__xludf.DUMMYFUNCTION("""COMPUTED_VALUE"""),71.0)</f>
        <v>71</v>
      </c>
      <c r="F1719" s="19" t="str">
        <f>IFERROR(__xludf.DUMMYFUNCTION("""COMPUTED_VALUE"""),"BLUE")</f>
        <v>BLUE</v>
      </c>
      <c r="G1719" s="20" t="str">
        <f>IFERROR(__xludf.DUMMYFUNCTION("""COMPUTED_VALUE"""),"Uncle Sams Cider (04/04/2023)")</f>
        <v>Uncle Sams Cider (04/04/2023)</v>
      </c>
      <c r="H1719" s="19"/>
    </row>
    <row r="1720">
      <c r="A1720" s="9"/>
      <c r="B1720" s="15"/>
      <c r="C1720" s="9">
        <f>IFERROR(__xludf.DUMMYFUNCTION("""COMPUTED_VALUE"""),45126.5605441666)</f>
        <v>45126.56054</v>
      </c>
      <c r="D1720" s="15">
        <f>IFERROR(__xludf.DUMMYFUNCTION("""COMPUTED_VALUE"""),0.999)</f>
        <v>0.999</v>
      </c>
      <c r="E1720" s="16">
        <f>IFERROR(__xludf.DUMMYFUNCTION("""COMPUTED_VALUE"""),71.0)</f>
        <v>71</v>
      </c>
      <c r="F1720" s="19" t="str">
        <f>IFERROR(__xludf.DUMMYFUNCTION("""COMPUTED_VALUE"""),"BLUE")</f>
        <v>BLUE</v>
      </c>
      <c r="G1720" s="20" t="str">
        <f>IFERROR(__xludf.DUMMYFUNCTION("""COMPUTED_VALUE"""),"Uncle Sams Cider (04/04/2023)")</f>
        <v>Uncle Sams Cider (04/04/2023)</v>
      </c>
      <c r="H1720" s="19"/>
    </row>
    <row r="1721">
      <c r="A1721" s="9"/>
      <c r="B1721" s="15"/>
      <c r="C1721" s="9">
        <f>IFERROR(__xludf.DUMMYFUNCTION("""COMPUTED_VALUE"""),45126.5501229398)</f>
        <v>45126.55012</v>
      </c>
      <c r="D1721" s="15">
        <f>IFERROR(__xludf.DUMMYFUNCTION("""COMPUTED_VALUE"""),0.999)</f>
        <v>0.999</v>
      </c>
      <c r="E1721" s="16">
        <f>IFERROR(__xludf.DUMMYFUNCTION("""COMPUTED_VALUE"""),71.0)</f>
        <v>71</v>
      </c>
      <c r="F1721" s="19" t="str">
        <f>IFERROR(__xludf.DUMMYFUNCTION("""COMPUTED_VALUE"""),"BLUE")</f>
        <v>BLUE</v>
      </c>
      <c r="G1721" s="20" t="str">
        <f>IFERROR(__xludf.DUMMYFUNCTION("""COMPUTED_VALUE"""),"Uncle Sams Cider (04/04/2023)")</f>
        <v>Uncle Sams Cider (04/04/2023)</v>
      </c>
      <c r="H1721" s="19"/>
    </row>
    <row r="1722">
      <c r="A1722" s="9"/>
      <c r="B1722" s="15"/>
      <c r="C1722" s="9">
        <f>IFERROR(__xludf.DUMMYFUNCTION("""COMPUTED_VALUE"""),45126.5397016435)</f>
        <v>45126.5397</v>
      </c>
      <c r="D1722" s="15">
        <f>IFERROR(__xludf.DUMMYFUNCTION("""COMPUTED_VALUE"""),0.999)</f>
        <v>0.999</v>
      </c>
      <c r="E1722" s="16">
        <f>IFERROR(__xludf.DUMMYFUNCTION("""COMPUTED_VALUE"""),71.0)</f>
        <v>71</v>
      </c>
      <c r="F1722" s="19" t="str">
        <f>IFERROR(__xludf.DUMMYFUNCTION("""COMPUTED_VALUE"""),"BLUE")</f>
        <v>BLUE</v>
      </c>
      <c r="G1722" s="20" t="str">
        <f>IFERROR(__xludf.DUMMYFUNCTION("""COMPUTED_VALUE"""),"Uncle Sams Cider (04/04/2023)")</f>
        <v>Uncle Sams Cider (04/04/2023)</v>
      </c>
      <c r="H1722" s="19"/>
    </row>
    <row r="1723">
      <c r="A1723" s="9"/>
      <c r="B1723" s="15"/>
      <c r="C1723" s="9">
        <f>IFERROR(__xludf.DUMMYFUNCTION("""COMPUTED_VALUE"""),45126.5292797338)</f>
        <v>45126.52928</v>
      </c>
      <c r="D1723" s="15">
        <f>IFERROR(__xludf.DUMMYFUNCTION("""COMPUTED_VALUE"""),0.999)</f>
        <v>0.999</v>
      </c>
      <c r="E1723" s="16">
        <f>IFERROR(__xludf.DUMMYFUNCTION("""COMPUTED_VALUE"""),71.0)</f>
        <v>71</v>
      </c>
      <c r="F1723" s="19" t="str">
        <f>IFERROR(__xludf.DUMMYFUNCTION("""COMPUTED_VALUE"""),"BLUE")</f>
        <v>BLUE</v>
      </c>
      <c r="G1723" s="20" t="str">
        <f>IFERROR(__xludf.DUMMYFUNCTION("""COMPUTED_VALUE"""),"Uncle Sams Cider (04/04/2023)")</f>
        <v>Uncle Sams Cider (04/04/2023)</v>
      </c>
      <c r="H1723" s="19"/>
    </row>
    <row r="1724">
      <c r="A1724" s="9"/>
      <c r="B1724" s="15"/>
      <c r="C1724" s="9">
        <f>IFERROR(__xludf.DUMMYFUNCTION("""COMPUTED_VALUE"""),45126.5188578588)</f>
        <v>45126.51886</v>
      </c>
      <c r="D1724" s="15">
        <f>IFERROR(__xludf.DUMMYFUNCTION("""COMPUTED_VALUE"""),0.999)</f>
        <v>0.999</v>
      </c>
      <c r="E1724" s="16">
        <f>IFERROR(__xludf.DUMMYFUNCTION("""COMPUTED_VALUE"""),71.0)</f>
        <v>71</v>
      </c>
      <c r="F1724" s="19" t="str">
        <f>IFERROR(__xludf.DUMMYFUNCTION("""COMPUTED_VALUE"""),"BLUE")</f>
        <v>BLUE</v>
      </c>
      <c r="G1724" s="20" t="str">
        <f>IFERROR(__xludf.DUMMYFUNCTION("""COMPUTED_VALUE"""),"Uncle Sams Cider (04/04/2023)")</f>
        <v>Uncle Sams Cider (04/04/2023)</v>
      </c>
      <c r="H1724" s="19"/>
    </row>
    <row r="1725">
      <c r="A1725" s="9"/>
      <c r="B1725" s="15"/>
      <c r="C1725" s="9">
        <f>IFERROR(__xludf.DUMMYFUNCTION("""COMPUTED_VALUE"""),45126.5084264583)</f>
        <v>45126.50843</v>
      </c>
      <c r="D1725" s="15">
        <f>IFERROR(__xludf.DUMMYFUNCTION("""COMPUTED_VALUE"""),0.999)</f>
        <v>0.999</v>
      </c>
      <c r="E1725" s="16">
        <f>IFERROR(__xludf.DUMMYFUNCTION("""COMPUTED_VALUE"""),71.0)</f>
        <v>71</v>
      </c>
      <c r="F1725" s="19" t="str">
        <f>IFERROR(__xludf.DUMMYFUNCTION("""COMPUTED_VALUE"""),"BLUE")</f>
        <v>BLUE</v>
      </c>
      <c r="G1725" s="20" t="str">
        <f>IFERROR(__xludf.DUMMYFUNCTION("""COMPUTED_VALUE"""),"Uncle Sams Cider (04/04/2023)")</f>
        <v>Uncle Sams Cider (04/04/2023)</v>
      </c>
      <c r="H1725" s="19"/>
    </row>
    <row r="1726">
      <c r="A1726" s="9"/>
      <c r="B1726" s="15"/>
      <c r="C1726" s="9">
        <f>IFERROR(__xludf.DUMMYFUNCTION("""COMPUTED_VALUE"""),45126.4980052199)</f>
        <v>45126.49801</v>
      </c>
      <c r="D1726" s="15">
        <f>IFERROR(__xludf.DUMMYFUNCTION("""COMPUTED_VALUE"""),0.999)</f>
        <v>0.999</v>
      </c>
      <c r="E1726" s="16">
        <f>IFERROR(__xludf.DUMMYFUNCTION("""COMPUTED_VALUE"""),71.0)</f>
        <v>71</v>
      </c>
      <c r="F1726" s="19" t="str">
        <f>IFERROR(__xludf.DUMMYFUNCTION("""COMPUTED_VALUE"""),"BLUE")</f>
        <v>BLUE</v>
      </c>
      <c r="G1726" s="20" t="str">
        <f>IFERROR(__xludf.DUMMYFUNCTION("""COMPUTED_VALUE"""),"Uncle Sams Cider (04/04/2023)")</f>
        <v>Uncle Sams Cider (04/04/2023)</v>
      </c>
      <c r="H1726" s="19"/>
    </row>
    <row r="1727">
      <c r="A1727" s="9"/>
      <c r="B1727" s="15"/>
      <c r="C1727" s="9">
        <f>IFERROR(__xludf.DUMMYFUNCTION("""COMPUTED_VALUE"""),45126.4875616203)</f>
        <v>45126.48756</v>
      </c>
      <c r="D1727" s="15">
        <f>IFERROR(__xludf.DUMMYFUNCTION("""COMPUTED_VALUE"""),0.999)</f>
        <v>0.999</v>
      </c>
      <c r="E1727" s="16">
        <f>IFERROR(__xludf.DUMMYFUNCTION("""COMPUTED_VALUE"""),71.0)</f>
        <v>71</v>
      </c>
      <c r="F1727" s="19" t="str">
        <f>IFERROR(__xludf.DUMMYFUNCTION("""COMPUTED_VALUE"""),"BLUE")</f>
        <v>BLUE</v>
      </c>
      <c r="G1727" s="20" t="str">
        <f>IFERROR(__xludf.DUMMYFUNCTION("""COMPUTED_VALUE"""),"Uncle Sams Cider (04/04/2023)")</f>
        <v>Uncle Sams Cider (04/04/2023)</v>
      </c>
      <c r="H1727" s="19"/>
    </row>
    <row r="1728">
      <c r="A1728" s="9"/>
      <c r="B1728" s="15"/>
      <c r="C1728" s="9">
        <f>IFERROR(__xludf.DUMMYFUNCTION("""COMPUTED_VALUE"""),45126.4771293865)</f>
        <v>45126.47713</v>
      </c>
      <c r="D1728" s="15">
        <f>IFERROR(__xludf.DUMMYFUNCTION("""COMPUTED_VALUE"""),0.999)</f>
        <v>0.999</v>
      </c>
      <c r="E1728" s="16">
        <f>IFERROR(__xludf.DUMMYFUNCTION("""COMPUTED_VALUE"""),71.0)</f>
        <v>71</v>
      </c>
      <c r="F1728" s="19" t="str">
        <f>IFERROR(__xludf.DUMMYFUNCTION("""COMPUTED_VALUE"""),"BLUE")</f>
        <v>BLUE</v>
      </c>
      <c r="G1728" s="20" t="str">
        <f>IFERROR(__xludf.DUMMYFUNCTION("""COMPUTED_VALUE"""),"Uncle Sams Cider (04/04/2023)")</f>
        <v>Uncle Sams Cider (04/04/2023)</v>
      </c>
      <c r="H1728" s="19"/>
    </row>
    <row r="1729">
      <c r="A1729" s="9"/>
      <c r="B1729" s="15"/>
      <c r="C1729" s="9">
        <f>IFERROR(__xludf.DUMMYFUNCTION("""COMPUTED_VALUE"""),45126.4667082638)</f>
        <v>45126.46671</v>
      </c>
      <c r="D1729" s="15">
        <f>IFERROR(__xludf.DUMMYFUNCTION("""COMPUTED_VALUE"""),0.999)</f>
        <v>0.999</v>
      </c>
      <c r="E1729" s="16">
        <f>IFERROR(__xludf.DUMMYFUNCTION("""COMPUTED_VALUE"""),71.0)</f>
        <v>71</v>
      </c>
      <c r="F1729" s="19" t="str">
        <f>IFERROR(__xludf.DUMMYFUNCTION("""COMPUTED_VALUE"""),"BLUE")</f>
        <v>BLUE</v>
      </c>
      <c r="G1729" s="20" t="str">
        <f>IFERROR(__xludf.DUMMYFUNCTION("""COMPUTED_VALUE"""),"Uncle Sams Cider (04/04/2023)")</f>
        <v>Uncle Sams Cider (04/04/2023)</v>
      </c>
      <c r="H1729" s="19"/>
    </row>
    <row r="1730">
      <c r="A1730" s="9"/>
      <c r="B1730" s="15"/>
      <c r="C1730" s="9">
        <f>IFERROR(__xludf.DUMMYFUNCTION("""COMPUTED_VALUE"""),45126.4562879745)</f>
        <v>45126.45629</v>
      </c>
      <c r="D1730" s="15">
        <f>IFERROR(__xludf.DUMMYFUNCTION("""COMPUTED_VALUE"""),0.998)</f>
        <v>0.998</v>
      </c>
      <c r="E1730" s="16">
        <f>IFERROR(__xludf.DUMMYFUNCTION("""COMPUTED_VALUE"""),71.0)</f>
        <v>71</v>
      </c>
      <c r="F1730" s="19" t="str">
        <f>IFERROR(__xludf.DUMMYFUNCTION("""COMPUTED_VALUE"""),"BLUE")</f>
        <v>BLUE</v>
      </c>
      <c r="G1730" s="20" t="str">
        <f>IFERROR(__xludf.DUMMYFUNCTION("""COMPUTED_VALUE"""),"Uncle Sams Cider (04/04/2023)")</f>
        <v>Uncle Sams Cider (04/04/2023)</v>
      </c>
      <c r="H1730" s="19"/>
    </row>
    <row r="1731">
      <c r="A1731" s="9"/>
      <c r="B1731" s="15"/>
      <c r="C1731" s="9">
        <f>IFERROR(__xludf.DUMMYFUNCTION("""COMPUTED_VALUE"""),45126.4458454051)</f>
        <v>45126.44585</v>
      </c>
      <c r="D1731" s="15">
        <f>IFERROR(__xludf.DUMMYFUNCTION("""COMPUTED_VALUE"""),0.999)</f>
        <v>0.999</v>
      </c>
      <c r="E1731" s="16">
        <f>IFERROR(__xludf.DUMMYFUNCTION("""COMPUTED_VALUE"""),71.0)</f>
        <v>71</v>
      </c>
      <c r="F1731" s="19" t="str">
        <f>IFERROR(__xludf.DUMMYFUNCTION("""COMPUTED_VALUE"""),"BLUE")</f>
        <v>BLUE</v>
      </c>
      <c r="G1731" s="20" t="str">
        <f>IFERROR(__xludf.DUMMYFUNCTION("""COMPUTED_VALUE"""),"Uncle Sams Cider (04/04/2023)")</f>
        <v>Uncle Sams Cider (04/04/2023)</v>
      </c>
      <c r="H1731" s="19"/>
    </row>
    <row r="1732">
      <c r="A1732" s="9"/>
      <c r="B1732" s="15"/>
      <c r="C1732" s="9">
        <f>IFERROR(__xludf.DUMMYFUNCTION("""COMPUTED_VALUE"""),45126.4354237037)</f>
        <v>45126.43542</v>
      </c>
      <c r="D1732" s="15">
        <f>IFERROR(__xludf.DUMMYFUNCTION("""COMPUTED_VALUE"""),0.999)</f>
        <v>0.999</v>
      </c>
      <c r="E1732" s="16">
        <f>IFERROR(__xludf.DUMMYFUNCTION("""COMPUTED_VALUE"""),71.0)</f>
        <v>71</v>
      </c>
      <c r="F1732" s="19" t="str">
        <f>IFERROR(__xludf.DUMMYFUNCTION("""COMPUTED_VALUE"""),"BLUE")</f>
        <v>BLUE</v>
      </c>
      <c r="G1732" s="20" t="str">
        <f>IFERROR(__xludf.DUMMYFUNCTION("""COMPUTED_VALUE"""),"Uncle Sams Cider (04/04/2023)")</f>
        <v>Uncle Sams Cider (04/04/2023)</v>
      </c>
      <c r="H1732" s="19"/>
    </row>
    <row r="1733">
      <c r="A1733" s="9"/>
      <c r="B1733" s="15"/>
      <c r="C1733" s="9">
        <f>IFERROR(__xludf.DUMMYFUNCTION("""COMPUTED_VALUE"""),45126.4250023379)</f>
        <v>45126.425</v>
      </c>
      <c r="D1733" s="15">
        <f>IFERROR(__xludf.DUMMYFUNCTION("""COMPUTED_VALUE"""),0.999)</f>
        <v>0.999</v>
      </c>
      <c r="E1733" s="16">
        <f>IFERROR(__xludf.DUMMYFUNCTION("""COMPUTED_VALUE"""),71.0)</f>
        <v>71</v>
      </c>
      <c r="F1733" s="19" t="str">
        <f>IFERROR(__xludf.DUMMYFUNCTION("""COMPUTED_VALUE"""),"BLUE")</f>
        <v>BLUE</v>
      </c>
      <c r="G1733" s="20" t="str">
        <f>IFERROR(__xludf.DUMMYFUNCTION("""COMPUTED_VALUE"""),"Uncle Sams Cider (04/04/2023)")</f>
        <v>Uncle Sams Cider (04/04/2023)</v>
      </c>
      <c r="H1733" s="19"/>
    </row>
    <row r="1734">
      <c r="A1734" s="9"/>
      <c r="B1734" s="15"/>
      <c r="C1734" s="9">
        <f>IFERROR(__xludf.DUMMYFUNCTION("""COMPUTED_VALUE"""),45126.4145790277)</f>
        <v>45126.41458</v>
      </c>
      <c r="D1734" s="15">
        <f>IFERROR(__xludf.DUMMYFUNCTION("""COMPUTED_VALUE"""),0.999)</f>
        <v>0.999</v>
      </c>
      <c r="E1734" s="16">
        <f>IFERROR(__xludf.DUMMYFUNCTION("""COMPUTED_VALUE"""),71.0)</f>
        <v>71</v>
      </c>
      <c r="F1734" s="19" t="str">
        <f>IFERROR(__xludf.DUMMYFUNCTION("""COMPUTED_VALUE"""),"BLUE")</f>
        <v>BLUE</v>
      </c>
      <c r="G1734" s="20" t="str">
        <f>IFERROR(__xludf.DUMMYFUNCTION("""COMPUTED_VALUE"""),"Uncle Sams Cider (04/04/2023)")</f>
        <v>Uncle Sams Cider (04/04/2023)</v>
      </c>
      <c r="H1734" s="19"/>
    </row>
    <row r="1735">
      <c r="A1735" s="9"/>
      <c r="B1735" s="15"/>
      <c r="C1735" s="9">
        <f>IFERROR(__xludf.DUMMYFUNCTION("""COMPUTED_VALUE"""),45126.4041581597)</f>
        <v>45126.40416</v>
      </c>
      <c r="D1735" s="15">
        <f>IFERROR(__xludf.DUMMYFUNCTION("""COMPUTED_VALUE"""),0.999)</f>
        <v>0.999</v>
      </c>
      <c r="E1735" s="16">
        <f>IFERROR(__xludf.DUMMYFUNCTION("""COMPUTED_VALUE"""),71.0)</f>
        <v>71</v>
      </c>
      <c r="F1735" s="19" t="str">
        <f>IFERROR(__xludf.DUMMYFUNCTION("""COMPUTED_VALUE"""),"BLUE")</f>
        <v>BLUE</v>
      </c>
      <c r="G1735" s="20" t="str">
        <f>IFERROR(__xludf.DUMMYFUNCTION("""COMPUTED_VALUE"""),"Uncle Sams Cider (04/04/2023)")</f>
        <v>Uncle Sams Cider (04/04/2023)</v>
      </c>
      <c r="H1735" s="19"/>
    </row>
    <row r="1736">
      <c r="A1736" s="9"/>
      <c r="B1736" s="15"/>
      <c r="C1736" s="9">
        <f>IFERROR(__xludf.DUMMYFUNCTION("""COMPUTED_VALUE"""),45126.3937247106)</f>
        <v>45126.39372</v>
      </c>
      <c r="D1736" s="15">
        <f>IFERROR(__xludf.DUMMYFUNCTION("""COMPUTED_VALUE"""),0.999)</f>
        <v>0.999</v>
      </c>
      <c r="E1736" s="16">
        <f>IFERROR(__xludf.DUMMYFUNCTION("""COMPUTED_VALUE"""),71.0)</f>
        <v>71</v>
      </c>
      <c r="F1736" s="19" t="str">
        <f>IFERROR(__xludf.DUMMYFUNCTION("""COMPUTED_VALUE"""),"BLUE")</f>
        <v>BLUE</v>
      </c>
      <c r="G1736" s="20" t="str">
        <f>IFERROR(__xludf.DUMMYFUNCTION("""COMPUTED_VALUE"""),"Uncle Sams Cider (04/04/2023)")</f>
        <v>Uncle Sams Cider (04/04/2023)</v>
      </c>
      <c r="H1736" s="19"/>
    </row>
    <row r="1737">
      <c r="A1737" s="9"/>
      <c r="B1737" s="15"/>
      <c r="C1737" s="9">
        <f>IFERROR(__xludf.DUMMYFUNCTION("""COMPUTED_VALUE"""),45126.3833022685)</f>
        <v>45126.3833</v>
      </c>
      <c r="D1737" s="15">
        <f>IFERROR(__xludf.DUMMYFUNCTION("""COMPUTED_VALUE"""),0.998)</f>
        <v>0.998</v>
      </c>
      <c r="E1737" s="16">
        <f>IFERROR(__xludf.DUMMYFUNCTION("""COMPUTED_VALUE"""),71.0)</f>
        <v>71</v>
      </c>
      <c r="F1737" s="19" t="str">
        <f>IFERROR(__xludf.DUMMYFUNCTION("""COMPUTED_VALUE"""),"BLUE")</f>
        <v>BLUE</v>
      </c>
      <c r="G1737" s="20" t="str">
        <f>IFERROR(__xludf.DUMMYFUNCTION("""COMPUTED_VALUE"""),"Uncle Sams Cider (04/04/2023)")</f>
        <v>Uncle Sams Cider (04/04/2023)</v>
      </c>
      <c r="H1737" s="19"/>
    </row>
    <row r="1738">
      <c r="A1738" s="9"/>
      <c r="B1738" s="15"/>
      <c r="C1738" s="9">
        <f>IFERROR(__xludf.DUMMYFUNCTION("""COMPUTED_VALUE"""),45126.3728694213)</f>
        <v>45126.37287</v>
      </c>
      <c r="D1738" s="15">
        <f>IFERROR(__xludf.DUMMYFUNCTION("""COMPUTED_VALUE"""),0.998)</f>
        <v>0.998</v>
      </c>
      <c r="E1738" s="16">
        <f>IFERROR(__xludf.DUMMYFUNCTION("""COMPUTED_VALUE"""),71.0)</f>
        <v>71</v>
      </c>
      <c r="F1738" s="19" t="str">
        <f>IFERROR(__xludf.DUMMYFUNCTION("""COMPUTED_VALUE"""),"BLUE")</f>
        <v>BLUE</v>
      </c>
      <c r="G1738" s="20" t="str">
        <f>IFERROR(__xludf.DUMMYFUNCTION("""COMPUTED_VALUE"""),"Uncle Sams Cider (04/04/2023)")</f>
        <v>Uncle Sams Cider (04/04/2023)</v>
      </c>
      <c r="H1738" s="19"/>
    </row>
    <row r="1739">
      <c r="A1739" s="9"/>
      <c r="B1739" s="15"/>
      <c r="C1739" s="9">
        <f>IFERROR(__xludf.DUMMYFUNCTION("""COMPUTED_VALUE"""),45126.3624484953)</f>
        <v>45126.36245</v>
      </c>
      <c r="D1739" s="15">
        <f>IFERROR(__xludf.DUMMYFUNCTION("""COMPUTED_VALUE"""),0.999)</f>
        <v>0.999</v>
      </c>
      <c r="E1739" s="16">
        <f>IFERROR(__xludf.DUMMYFUNCTION("""COMPUTED_VALUE"""),71.0)</f>
        <v>71</v>
      </c>
      <c r="F1739" s="19" t="str">
        <f>IFERROR(__xludf.DUMMYFUNCTION("""COMPUTED_VALUE"""),"BLUE")</f>
        <v>BLUE</v>
      </c>
      <c r="G1739" s="20" t="str">
        <f>IFERROR(__xludf.DUMMYFUNCTION("""COMPUTED_VALUE"""),"Uncle Sams Cider (04/04/2023)")</f>
        <v>Uncle Sams Cider (04/04/2023)</v>
      </c>
      <c r="H1739" s="19"/>
    </row>
    <row r="1740">
      <c r="A1740" s="9"/>
      <c r="B1740" s="15"/>
      <c r="C1740" s="9">
        <f>IFERROR(__xludf.DUMMYFUNCTION("""COMPUTED_VALUE"""),45126.3520268518)</f>
        <v>45126.35203</v>
      </c>
      <c r="D1740" s="15">
        <f>IFERROR(__xludf.DUMMYFUNCTION("""COMPUTED_VALUE"""),0.999)</f>
        <v>0.999</v>
      </c>
      <c r="E1740" s="16">
        <f>IFERROR(__xludf.DUMMYFUNCTION("""COMPUTED_VALUE"""),71.0)</f>
        <v>71</v>
      </c>
      <c r="F1740" s="19" t="str">
        <f>IFERROR(__xludf.DUMMYFUNCTION("""COMPUTED_VALUE"""),"BLUE")</f>
        <v>BLUE</v>
      </c>
      <c r="G1740" s="20" t="str">
        <f>IFERROR(__xludf.DUMMYFUNCTION("""COMPUTED_VALUE"""),"Uncle Sams Cider (04/04/2023)")</f>
        <v>Uncle Sams Cider (04/04/2023)</v>
      </c>
      <c r="H1740" s="19"/>
    </row>
    <row r="1741">
      <c r="A1741" s="9"/>
      <c r="B1741" s="15"/>
      <c r="C1741" s="9">
        <f>IFERROR(__xludf.DUMMYFUNCTION("""COMPUTED_VALUE"""),45126.3416060416)</f>
        <v>45126.34161</v>
      </c>
      <c r="D1741" s="15">
        <f>IFERROR(__xludf.DUMMYFUNCTION("""COMPUTED_VALUE"""),0.999)</f>
        <v>0.999</v>
      </c>
      <c r="E1741" s="16">
        <f>IFERROR(__xludf.DUMMYFUNCTION("""COMPUTED_VALUE"""),71.0)</f>
        <v>71</v>
      </c>
      <c r="F1741" s="19" t="str">
        <f>IFERROR(__xludf.DUMMYFUNCTION("""COMPUTED_VALUE"""),"BLUE")</f>
        <v>BLUE</v>
      </c>
      <c r="G1741" s="20" t="str">
        <f>IFERROR(__xludf.DUMMYFUNCTION("""COMPUTED_VALUE"""),"Uncle Sams Cider (04/04/2023)")</f>
        <v>Uncle Sams Cider (04/04/2023)</v>
      </c>
      <c r="H1741" s="19"/>
    </row>
    <row r="1742">
      <c r="A1742" s="9"/>
      <c r="B1742" s="15"/>
      <c r="C1742" s="9">
        <f>IFERROR(__xludf.DUMMYFUNCTION("""COMPUTED_VALUE"""),45126.3311872685)</f>
        <v>45126.33119</v>
      </c>
      <c r="D1742" s="15">
        <f>IFERROR(__xludf.DUMMYFUNCTION("""COMPUTED_VALUE"""),0.999)</f>
        <v>0.999</v>
      </c>
      <c r="E1742" s="16">
        <f>IFERROR(__xludf.DUMMYFUNCTION("""COMPUTED_VALUE"""),71.0)</f>
        <v>71</v>
      </c>
      <c r="F1742" s="19" t="str">
        <f>IFERROR(__xludf.DUMMYFUNCTION("""COMPUTED_VALUE"""),"BLUE")</f>
        <v>BLUE</v>
      </c>
      <c r="G1742" s="20" t="str">
        <f>IFERROR(__xludf.DUMMYFUNCTION("""COMPUTED_VALUE"""),"Uncle Sams Cider (04/04/2023)")</f>
        <v>Uncle Sams Cider (04/04/2023)</v>
      </c>
      <c r="H1742" s="19"/>
    </row>
    <row r="1743">
      <c r="A1743" s="9"/>
      <c r="B1743" s="15"/>
      <c r="C1743" s="9">
        <f>IFERROR(__xludf.DUMMYFUNCTION("""COMPUTED_VALUE"""),45126.3207658101)</f>
        <v>45126.32077</v>
      </c>
      <c r="D1743" s="15">
        <f>IFERROR(__xludf.DUMMYFUNCTION("""COMPUTED_VALUE"""),0.999)</f>
        <v>0.999</v>
      </c>
      <c r="E1743" s="16">
        <f>IFERROR(__xludf.DUMMYFUNCTION("""COMPUTED_VALUE"""),71.0)</f>
        <v>71</v>
      </c>
      <c r="F1743" s="19" t="str">
        <f>IFERROR(__xludf.DUMMYFUNCTION("""COMPUTED_VALUE"""),"BLUE")</f>
        <v>BLUE</v>
      </c>
      <c r="G1743" s="20" t="str">
        <f>IFERROR(__xludf.DUMMYFUNCTION("""COMPUTED_VALUE"""),"Uncle Sams Cider (04/04/2023)")</f>
        <v>Uncle Sams Cider (04/04/2023)</v>
      </c>
      <c r="H1743" s="19"/>
    </row>
    <row r="1744">
      <c r="A1744" s="9"/>
      <c r="B1744" s="15"/>
      <c r="C1744" s="9">
        <f>IFERROR(__xludf.DUMMYFUNCTION("""COMPUTED_VALUE"""),45126.3103444907)</f>
        <v>45126.31034</v>
      </c>
      <c r="D1744" s="15">
        <f>IFERROR(__xludf.DUMMYFUNCTION("""COMPUTED_VALUE"""),0.999)</f>
        <v>0.999</v>
      </c>
      <c r="E1744" s="16">
        <f>IFERROR(__xludf.DUMMYFUNCTION("""COMPUTED_VALUE"""),71.0)</f>
        <v>71</v>
      </c>
      <c r="F1744" s="19" t="str">
        <f>IFERROR(__xludf.DUMMYFUNCTION("""COMPUTED_VALUE"""),"BLUE")</f>
        <v>BLUE</v>
      </c>
      <c r="G1744" s="20" t="str">
        <f>IFERROR(__xludf.DUMMYFUNCTION("""COMPUTED_VALUE"""),"Uncle Sams Cider (04/04/2023)")</f>
        <v>Uncle Sams Cider (04/04/2023)</v>
      </c>
      <c r="H1744" s="19"/>
    </row>
    <row r="1745">
      <c r="A1745" s="9"/>
      <c r="B1745" s="15"/>
      <c r="C1745" s="9">
        <f>IFERROR(__xludf.DUMMYFUNCTION("""COMPUTED_VALUE"""),45126.2999244097)</f>
        <v>45126.29992</v>
      </c>
      <c r="D1745" s="15">
        <f>IFERROR(__xludf.DUMMYFUNCTION("""COMPUTED_VALUE"""),0.999)</f>
        <v>0.999</v>
      </c>
      <c r="E1745" s="16">
        <f>IFERROR(__xludf.DUMMYFUNCTION("""COMPUTED_VALUE"""),71.0)</f>
        <v>71</v>
      </c>
      <c r="F1745" s="19" t="str">
        <f>IFERROR(__xludf.DUMMYFUNCTION("""COMPUTED_VALUE"""),"BLUE")</f>
        <v>BLUE</v>
      </c>
      <c r="G1745" s="20" t="str">
        <f>IFERROR(__xludf.DUMMYFUNCTION("""COMPUTED_VALUE"""),"Uncle Sams Cider (04/04/2023)")</f>
        <v>Uncle Sams Cider (04/04/2023)</v>
      </c>
      <c r="H1745" s="19"/>
    </row>
    <row r="1746">
      <c r="A1746" s="9"/>
      <c r="B1746" s="15"/>
      <c r="C1746" s="9">
        <f>IFERROR(__xludf.DUMMYFUNCTION("""COMPUTED_VALUE"""),45126.2895027083)</f>
        <v>45126.2895</v>
      </c>
      <c r="D1746" s="15">
        <f>IFERROR(__xludf.DUMMYFUNCTION("""COMPUTED_VALUE"""),0.999)</f>
        <v>0.999</v>
      </c>
      <c r="E1746" s="16">
        <f>IFERROR(__xludf.DUMMYFUNCTION("""COMPUTED_VALUE"""),71.0)</f>
        <v>71</v>
      </c>
      <c r="F1746" s="19" t="str">
        <f>IFERROR(__xludf.DUMMYFUNCTION("""COMPUTED_VALUE"""),"BLUE")</f>
        <v>BLUE</v>
      </c>
      <c r="G1746" s="20" t="str">
        <f>IFERROR(__xludf.DUMMYFUNCTION("""COMPUTED_VALUE"""),"Uncle Sams Cider (04/04/2023)")</f>
        <v>Uncle Sams Cider (04/04/2023)</v>
      </c>
      <c r="H1746" s="19"/>
    </row>
    <row r="1747">
      <c r="A1747" s="9"/>
      <c r="B1747" s="15"/>
      <c r="C1747" s="9">
        <f>IFERROR(__xludf.DUMMYFUNCTION("""COMPUTED_VALUE"""),45126.2790827314)</f>
        <v>45126.27908</v>
      </c>
      <c r="D1747" s="15">
        <f>IFERROR(__xludf.DUMMYFUNCTION("""COMPUTED_VALUE"""),0.999)</f>
        <v>0.999</v>
      </c>
      <c r="E1747" s="16">
        <f>IFERROR(__xludf.DUMMYFUNCTION("""COMPUTED_VALUE"""),71.0)</f>
        <v>71</v>
      </c>
      <c r="F1747" s="19" t="str">
        <f>IFERROR(__xludf.DUMMYFUNCTION("""COMPUTED_VALUE"""),"BLUE")</f>
        <v>BLUE</v>
      </c>
      <c r="G1747" s="20" t="str">
        <f>IFERROR(__xludf.DUMMYFUNCTION("""COMPUTED_VALUE"""),"Uncle Sams Cider (04/04/2023)")</f>
        <v>Uncle Sams Cider (04/04/2023)</v>
      </c>
      <c r="H1747" s="19"/>
    </row>
    <row r="1748">
      <c r="A1748" s="9"/>
      <c r="B1748" s="15"/>
      <c r="C1748" s="9">
        <f>IFERROR(__xludf.DUMMYFUNCTION("""COMPUTED_VALUE"""),45126.2686628935)</f>
        <v>45126.26866</v>
      </c>
      <c r="D1748" s="15">
        <f>IFERROR(__xludf.DUMMYFUNCTION("""COMPUTED_VALUE"""),0.999)</f>
        <v>0.999</v>
      </c>
      <c r="E1748" s="16">
        <f>IFERROR(__xludf.DUMMYFUNCTION("""COMPUTED_VALUE"""),71.0)</f>
        <v>71</v>
      </c>
      <c r="F1748" s="19" t="str">
        <f>IFERROR(__xludf.DUMMYFUNCTION("""COMPUTED_VALUE"""),"BLUE")</f>
        <v>BLUE</v>
      </c>
      <c r="G1748" s="20" t="str">
        <f>IFERROR(__xludf.DUMMYFUNCTION("""COMPUTED_VALUE"""),"Uncle Sams Cider (04/04/2023)")</f>
        <v>Uncle Sams Cider (04/04/2023)</v>
      </c>
      <c r="H1748" s="19"/>
    </row>
    <row r="1749">
      <c r="A1749" s="9"/>
      <c r="B1749" s="15"/>
      <c r="C1749" s="9">
        <f>IFERROR(__xludf.DUMMYFUNCTION("""COMPUTED_VALUE"""),45126.2582300463)</f>
        <v>45126.25823</v>
      </c>
      <c r="D1749" s="15">
        <f>IFERROR(__xludf.DUMMYFUNCTION("""COMPUTED_VALUE"""),0.999)</f>
        <v>0.999</v>
      </c>
      <c r="E1749" s="16">
        <f>IFERROR(__xludf.DUMMYFUNCTION("""COMPUTED_VALUE"""),71.0)</f>
        <v>71</v>
      </c>
      <c r="F1749" s="19" t="str">
        <f>IFERROR(__xludf.DUMMYFUNCTION("""COMPUTED_VALUE"""),"BLUE")</f>
        <v>BLUE</v>
      </c>
      <c r="G1749" s="20" t="str">
        <f>IFERROR(__xludf.DUMMYFUNCTION("""COMPUTED_VALUE"""),"Uncle Sams Cider (04/04/2023)")</f>
        <v>Uncle Sams Cider (04/04/2023)</v>
      </c>
      <c r="H1749" s="19"/>
    </row>
    <row r="1750">
      <c r="A1750" s="9"/>
      <c r="B1750" s="15"/>
      <c r="C1750" s="9">
        <f>IFERROR(__xludf.DUMMYFUNCTION("""COMPUTED_VALUE"""),45126.2478076273)</f>
        <v>45126.24781</v>
      </c>
      <c r="D1750" s="15">
        <f>IFERROR(__xludf.DUMMYFUNCTION("""COMPUTED_VALUE"""),0.999)</f>
        <v>0.999</v>
      </c>
      <c r="E1750" s="16">
        <f>IFERROR(__xludf.DUMMYFUNCTION("""COMPUTED_VALUE"""),71.0)</f>
        <v>71</v>
      </c>
      <c r="F1750" s="19" t="str">
        <f>IFERROR(__xludf.DUMMYFUNCTION("""COMPUTED_VALUE"""),"BLUE")</f>
        <v>BLUE</v>
      </c>
      <c r="G1750" s="20" t="str">
        <f>IFERROR(__xludf.DUMMYFUNCTION("""COMPUTED_VALUE"""),"Uncle Sams Cider (04/04/2023)")</f>
        <v>Uncle Sams Cider (04/04/2023)</v>
      </c>
      <c r="H1750" s="19"/>
    </row>
    <row r="1751">
      <c r="A1751" s="9"/>
      <c r="B1751" s="15"/>
      <c r="C1751" s="9">
        <f>IFERROR(__xludf.DUMMYFUNCTION("""COMPUTED_VALUE"""),45126.2373864236)</f>
        <v>45126.23739</v>
      </c>
      <c r="D1751" s="15">
        <f>IFERROR(__xludf.DUMMYFUNCTION("""COMPUTED_VALUE"""),0.999)</f>
        <v>0.999</v>
      </c>
      <c r="E1751" s="16">
        <f>IFERROR(__xludf.DUMMYFUNCTION("""COMPUTED_VALUE"""),71.0)</f>
        <v>71</v>
      </c>
      <c r="F1751" s="19" t="str">
        <f>IFERROR(__xludf.DUMMYFUNCTION("""COMPUTED_VALUE"""),"BLUE")</f>
        <v>BLUE</v>
      </c>
      <c r="G1751" s="20" t="str">
        <f>IFERROR(__xludf.DUMMYFUNCTION("""COMPUTED_VALUE"""),"Uncle Sams Cider (04/04/2023)")</f>
        <v>Uncle Sams Cider (04/04/2023)</v>
      </c>
      <c r="H1751" s="19"/>
    </row>
    <row r="1752">
      <c r="A1752" s="9"/>
      <c r="B1752" s="15"/>
      <c r="C1752" s="9">
        <f>IFERROR(__xludf.DUMMYFUNCTION("""COMPUTED_VALUE"""),45126.226963912)</f>
        <v>45126.22696</v>
      </c>
      <c r="D1752" s="15">
        <f>IFERROR(__xludf.DUMMYFUNCTION("""COMPUTED_VALUE"""),0.999)</f>
        <v>0.999</v>
      </c>
      <c r="E1752" s="16">
        <f>IFERROR(__xludf.DUMMYFUNCTION("""COMPUTED_VALUE"""),71.0)</f>
        <v>71</v>
      </c>
      <c r="F1752" s="19" t="str">
        <f>IFERROR(__xludf.DUMMYFUNCTION("""COMPUTED_VALUE"""),"BLUE")</f>
        <v>BLUE</v>
      </c>
      <c r="G1752" s="20" t="str">
        <f>IFERROR(__xludf.DUMMYFUNCTION("""COMPUTED_VALUE"""),"Uncle Sams Cider (04/04/2023)")</f>
        <v>Uncle Sams Cider (04/04/2023)</v>
      </c>
      <c r="H1752" s="19"/>
    </row>
    <row r="1753">
      <c r="A1753" s="9"/>
      <c r="B1753" s="15"/>
      <c r="C1753" s="9">
        <f>IFERROR(__xludf.DUMMYFUNCTION("""COMPUTED_VALUE"""),45126.2165418634)</f>
        <v>45126.21654</v>
      </c>
      <c r="D1753" s="15">
        <f>IFERROR(__xludf.DUMMYFUNCTION("""COMPUTED_VALUE"""),0.998)</f>
        <v>0.998</v>
      </c>
      <c r="E1753" s="16">
        <f>IFERROR(__xludf.DUMMYFUNCTION("""COMPUTED_VALUE"""),71.0)</f>
        <v>71</v>
      </c>
      <c r="F1753" s="19" t="str">
        <f>IFERROR(__xludf.DUMMYFUNCTION("""COMPUTED_VALUE"""),"BLUE")</f>
        <v>BLUE</v>
      </c>
      <c r="G1753" s="20" t="str">
        <f>IFERROR(__xludf.DUMMYFUNCTION("""COMPUTED_VALUE"""),"Uncle Sams Cider (04/04/2023)")</f>
        <v>Uncle Sams Cider (04/04/2023)</v>
      </c>
      <c r="H1753" s="19"/>
    </row>
    <row r="1754">
      <c r="A1754" s="9"/>
      <c r="B1754" s="15"/>
      <c r="C1754" s="9">
        <f>IFERROR(__xludf.DUMMYFUNCTION("""COMPUTED_VALUE"""),45126.2061200463)</f>
        <v>45126.20612</v>
      </c>
      <c r="D1754" s="15">
        <f>IFERROR(__xludf.DUMMYFUNCTION("""COMPUTED_VALUE"""),0.999)</f>
        <v>0.999</v>
      </c>
      <c r="E1754" s="16">
        <f>IFERROR(__xludf.DUMMYFUNCTION("""COMPUTED_VALUE"""),71.0)</f>
        <v>71</v>
      </c>
      <c r="F1754" s="19" t="str">
        <f>IFERROR(__xludf.DUMMYFUNCTION("""COMPUTED_VALUE"""),"BLUE")</f>
        <v>BLUE</v>
      </c>
      <c r="G1754" s="20" t="str">
        <f>IFERROR(__xludf.DUMMYFUNCTION("""COMPUTED_VALUE"""),"Uncle Sams Cider (04/04/2023)")</f>
        <v>Uncle Sams Cider (04/04/2023)</v>
      </c>
      <c r="H1754" s="19"/>
    </row>
    <row r="1755">
      <c r="A1755" s="9"/>
      <c r="B1755" s="15"/>
      <c r="C1755" s="9">
        <f>IFERROR(__xludf.DUMMYFUNCTION("""COMPUTED_VALUE"""),45126.1956990625)</f>
        <v>45126.1957</v>
      </c>
      <c r="D1755" s="15">
        <f>IFERROR(__xludf.DUMMYFUNCTION("""COMPUTED_VALUE"""),0.999)</f>
        <v>0.999</v>
      </c>
      <c r="E1755" s="16">
        <f>IFERROR(__xludf.DUMMYFUNCTION("""COMPUTED_VALUE"""),71.0)</f>
        <v>71</v>
      </c>
      <c r="F1755" s="19" t="str">
        <f>IFERROR(__xludf.DUMMYFUNCTION("""COMPUTED_VALUE"""),"BLUE")</f>
        <v>BLUE</v>
      </c>
      <c r="G1755" s="20" t="str">
        <f>IFERROR(__xludf.DUMMYFUNCTION("""COMPUTED_VALUE"""),"Uncle Sams Cider (04/04/2023)")</f>
        <v>Uncle Sams Cider (04/04/2023)</v>
      </c>
      <c r="H1755" s="19"/>
    </row>
    <row r="1756">
      <c r="A1756" s="9"/>
      <c r="B1756" s="15"/>
      <c r="C1756" s="9">
        <f>IFERROR(__xludf.DUMMYFUNCTION("""COMPUTED_VALUE"""),45126.1852550231)</f>
        <v>45126.18526</v>
      </c>
      <c r="D1756" s="15">
        <f>IFERROR(__xludf.DUMMYFUNCTION("""COMPUTED_VALUE"""),0.999)</f>
        <v>0.999</v>
      </c>
      <c r="E1756" s="16">
        <f>IFERROR(__xludf.DUMMYFUNCTION("""COMPUTED_VALUE"""),71.0)</f>
        <v>71</v>
      </c>
      <c r="F1756" s="19" t="str">
        <f>IFERROR(__xludf.DUMMYFUNCTION("""COMPUTED_VALUE"""),"BLUE")</f>
        <v>BLUE</v>
      </c>
      <c r="G1756" s="20" t="str">
        <f>IFERROR(__xludf.DUMMYFUNCTION("""COMPUTED_VALUE"""),"Uncle Sams Cider (04/04/2023)")</f>
        <v>Uncle Sams Cider (04/04/2023)</v>
      </c>
      <c r="H1756" s="19"/>
    </row>
    <row r="1757">
      <c r="A1757" s="9"/>
      <c r="B1757" s="15"/>
      <c r="C1757" s="9">
        <f>IFERROR(__xludf.DUMMYFUNCTION("""COMPUTED_VALUE"""),45126.1748334722)</f>
        <v>45126.17483</v>
      </c>
      <c r="D1757" s="15">
        <f>IFERROR(__xludf.DUMMYFUNCTION("""COMPUTED_VALUE"""),0.999)</f>
        <v>0.999</v>
      </c>
      <c r="E1757" s="16">
        <f>IFERROR(__xludf.DUMMYFUNCTION("""COMPUTED_VALUE"""),71.0)</f>
        <v>71</v>
      </c>
      <c r="F1757" s="19" t="str">
        <f>IFERROR(__xludf.DUMMYFUNCTION("""COMPUTED_VALUE"""),"BLUE")</f>
        <v>BLUE</v>
      </c>
      <c r="G1757" s="20" t="str">
        <f>IFERROR(__xludf.DUMMYFUNCTION("""COMPUTED_VALUE"""),"Uncle Sams Cider (04/04/2023)")</f>
        <v>Uncle Sams Cider (04/04/2023)</v>
      </c>
      <c r="H1757" s="19"/>
    </row>
    <row r="1758">
      <c r="A1758" s="9"/>
      <c r="B1758" s="15"/>
      <c r="C1758" s="9">
        <f>IFERROR(__xludf.DUMMYFUNCTION("""COMPUTED_VALUE"""),45126.1644002314)</f>
        <v>45126.1644</v>
      </c>
      <c r="D1758" s="15">
        <f>IFERROR(__xludf.DUMMYFUNCTION("""COMPUTED_VALUE"""),0.999)</f>
        <v>0.999</v>
      </c>
      <c r="E1758" s="16">
        <f>IFERROR(__xludf.DUMMYFUNCTION("""COMPUTED_VALUE"""),71.0)</f>
        <v>71</v>
      </c>
      <c r="F1758" s="19" t="str">
        <f>IFERROR(__xludf.DUMMYFUNCTION("""COMPUTED_VALUE"""),"BLUE")</f>
        <v>BLUE</v>
      </c>
      <c r="G1758" s="20" t="str">
        <f>IFERROR(__xludf.DUMMYFUNCTION("""COMPUTED_VALUE"""),"Uncle Sams Cider (04/04/2023)")</f>
        <v>Uncle Sams Cider (04/04/2023)</v>
      </c>
      <c r="H1758" s="19"/>
    </row>
    <row r="1759">
      <c r="A1759" s="9"/>
      <c r="B1759" s="15"/>
      <c r="C1759" s="9">
        <f>IFERROR(__xludf.DUMMYFUNCTION("""COMPUTED_VALUE"""),45126.1539796643)</f>
        <v>45126.15398</v>
      </c>
      <c r="D1759" s="15">
        <f>IFERROR(__xludf.DUMMYFUNCTION("""COMPUTED_VALUE"""),0.999)</f>
        <v>0.999</v>
      </c>
      <c r="E1759" s="16">
        <f>IFERROR(__xludf.DUMMYFUNCTION("""COMPUTED_VALUE"""),71.0)</f>
        <v>71</v>
      </c>
      <c r="F1759" s="19" t="str">
        <f>IFERROR(__xludf.DUMMYFUNCTION("""COMPUTED_VALUE"""),"BLUE")</f>
        <v>BLUE</v>
      </c>
      <c r="G1759" s="20" t="str">
        <f>IFERROR(__xludf.DUMMYFUNCTION("""COMPUTED_VALUE"""),"Uncle Sams Cider (04/04/2023)")</f>
        <v>Uncle Sams Cider (04/04/2023)</v>
      </c>
      <c r="H1759" s="19"/>
    </row>
    <row r="1760">
      <c r="A1760" s="9"/>
      <c r="B1760" s="15"/>
      <c r="C1760" s="9">
        <f>IFERROR(__xludf.DUMMYFUNCTION("""COMPUTED_VALUE"""),45126.1435456597)</f>
        <v>45126.14355</v>
      </c>
      <c r="D1760" s="15">
        <f>IFERROR(__xludf.DUMMYFUNCTION("""COMPUTED_VALUE"""),0.999)</f>
        <v>0.999</v>
      </c>
      <c r="E1760" s="16">
        <f>IFERROR(__xludf.DUMMYFUNCTION("""COMPUTED_VALUE"""),71.0)</f>
        <v>71</v>
      </c>
      <c r="F1760" s="19" t="str">
        <f>IFERROR(__xludf.DUMMYFUNCTION("""COMPUTED_VALUE"""),"BLUE")</f>
        <v>BLUE</v>
      </c>
      <c r="G1760" s="20" t="str">
        <f>IFERROR(__xludf.DUMMYFUNCTION("""COMPUTED_VALUE"""),"Uncle Sams Cider (04/04/2023)")</f>
        <v>Uncle Sams Cider (04/04/2023)</v>
      </c>
      <c r="H1760" s="19"/>
    </row>
    <row r="1761">
      <c r="A1761" s="9"/>
      <c r="B1761" s="15"/>
      <c r="C1761" s="9">
        <f>IFERROR(__xludf.DUMMYFUNCTION("""COMPUTED_VALUE"""),45126.1331251041)</f>
        <v>45126.13313</v>
      </c>
      <c r="D1761" s="15">
        <f>IFERROR(__xludf.DUMMYFUNCTION("""COMPUTED_VALUE"""),0.999)</f>
        <v>0.999</v>
      </c>
      <c r="E1761" s="16">
        <f>IFERROR(__xludf.DUMMYFUNCTION("""COMPUTED_VALUE"""),71.0)</f>
        <v>71</v>
      </c>
      <c r="F1761" s="19" t="str">
        <f>IFERROR(__xludf.DUMMYFUNCTION("""COMPUTED_VALUE"""),"BLUE")</f>
        <v>BLUE</v>
      </c>
      <c r="G1761" s="20" t="str">
        <f>IFERROR(__xludf.DUMMYFUNCTION("""COMPUTED_VALUE"""),"Uncle Sams Cider (04/04/2023)")</f>
        <v>Uncle Sams Cider (04/04/2023)</v>
      </c>
      <c r="H1761" s="19"/>
    </row>
    <row r="1762">
      <c r="A1762" s="9"/>
      <c r="B1762" s="15"/>
      <c r="C1762" s="9">
        <f>IFERROR(__xludf.DUMMYFUNCTION("""COMPUTED_VALUE"""),45126.122705)</f>
        <v>45126.12271</v>
      </c>
      <c r="D1762" s="15">
        <f>IFERROR(__xludf.DUMMYFUNCTION("""COMPUTED_VALUE"""),0.999)</f>
        <v>0.999</v>
      </c>
      <c r="E1762" s="16">
        <f>IFERROR(__xludf.DUMMYFUNCTION("""COMPUTED_VALUE"""),71.0)</f>
        <v>71</v>
      </c>
      <c r="F1762" s="19" t="str">
        <f>IFERROR(__xludf.DUMMYFUNCTION("""COMPUTED_VALUE"""),"BLUE")</f>
        <v>BLUE</v>
      </c>
      <c r="G1762" s="20" t="str">
        <f>IFERROR(__xludf.DUMMYFUNCTION("""COMPUTED_VALUE"""),"Uncle Sams Cider (04/04/2023)")</f>
        <v>Uncle Sams Cider (04/04/2023)</v>
      </c>
      <c r="H1762" s="19"/>
    </row>
    <row r="1763">
      <c r="A1763" s="9"/>
      <c r="B1763" s="15"/>
      <c r="C1763" s="9">
        <f>IFERROR(__xludf.DUMMYFUNCTION("""COMPUTED_VALUE"""),45126.1122833217)</f>
        <v>45126.11228</v>
      </c>
      <c r="D1763" s="15">
        <f>IFERROR(__xludf.DUMMYFUNCTION("""COMPUTED_VALUE"""),0.999)</f>
        <v>0.999</v>
      </c>
      <c r="E1763" s="16">
        <f>IFERROR(__xludf.DUMMYFUNCTION("""COMPUTED_VALUE"""),71.0)</f>
        <v>71</v>
      </c>
      <c r="F1763" s="19" t="str">
        <f>IFERROR(__xludf.DUMMYFUNCTION("""COMPUTED_VALUE"""),"BLUE")</f>
        <v>BLUE</v>
      </c>
      <c r="G1763" s="20" t="str">
        <f>IFERROR(__xludf.DUMMYFUNCTION("""COMPUTED_VALUE"""),"Uncle Sams Cider (04/04/2023)")</f>
        <v>Uncle Sams Cider (04/04/2023)</v>
      </c>
      <c r="H1763" s="19"/>
    </row>
    <row r="1764">
      <c r="A1764" s="9"/>
      <c r="B1764" s="15"/>
      <c r="C1764" s="9">
        <f>IFERROR(__xludf.DUMMYFUNCTION("""COMPUTED_VALUE"""),45126.1018509953)</f>
        <v>45126.10185</v>
      </c>
      <c r="D1764" s="15">
        <f>IFERROR(__xludf.DUMMYFUNCTION("""COMPUTED_VALUE"""),0.999)</f>
        <v>0.999</v>
      </c>
      <c r="E1764" s="16">
        <f>IFERROR(__xludf.DUMMYFUNCTION("""COMPUTED_VALUE"""),71.0)</f>
        <v>71</v>
      </c>
      <c r="F1764" s="19" t="str">
        <f>IFERROR(__xludf.DUMMYFUNCTION("""COMPUTED_VALUE"""),"BLUE")</f>
        <v>BLUE</v>
      </c>
      <c r="G1764" s="20" t="str">
        <f>IFERROR(__xludf.DUMMYFUNCTION("""COMPUTED_VALUE"""),"Uncle Sams Cider (04/04/2023)")</f>
        <v>Uncle Sams Cider (04/04/2023)</v>
      </c>
      <c r="H1764" s="19"/>
    </row>
    <row r="1765">
      <c r="A1765" s="9"/>
      <c r="B1765" s="15"/>
      <c r="C1765" s="9">
        <f>IFERROR(__xludf.DUMMYFUNCTION("""COMPUTED_VALUE"""),45126.0914270833)</f>
        <v>45126.09143</v>
      </c>
      <c r="D1765" s="15">
        <f>IFERROR(__xludf.DUMMYFUNCTION("""COMPUTED_VALUE"""),0.999)</f>
        <v>0.999</v>
      </c>
      <c r="E1765" s="16">
        <f>IFERROR(__xludf.DUMMYFUNCTION("""COMPUTED_VALUE"""),71.0)</f>
        <v>71</v>
      </c>
      <c r="F1765" s="19" t="str">
        <f>IFERROR(__xludf.DUMMYFUNCTION("""COMPUTED_VALUE"""),"BLUE")</f>
        <v>BLUE</v>
      </c>
      <c r="G1765" s="20" t="str">
        <f>IFERROR(__xludf.DUMMYFUNCTION("""COMPUTED_VALUE"""),"Uncle Sams Cider (04/04/2023)")</f>
        <v>Uncle Sams Cider (04/04/2023)</v>
      </c>
      <c r="H1765" s="19"/>
    </row>
    <row r="1766">
      <c r="A1766" s="9"/>
      <c r="B1766" s="15"/>
      <c r="C1766" s="9">
        <f>IFERROR(__xludf.DUMMYFUNCTION("""COMPUTED_VALUE"""),45126.0809947453)</f>
        <v>45126.08099</v>
      </c>
      <c r="D1766" s="15">
        <f>IFERROR(__xludf.DUMMYFUNCTION("""COMPUTED_VALUE"""),0.999)</f>
        <v>0.999</v>
      </c>
      <c r="E1766" s="16">
        <f>IFERROR(__xludf.DUMMYFUNCTION("""COMPUTED_VALUE"""),71.0)</f>
        <v>71</v>
      </c>
      <c r="F1766" s="19" t="str">
        <f>IFERROR(__xludf.DUMMYFUNCTION("""COMPUTED_VALUE"""),"BLUE")</f>
        <v>BLUE</v>
      </c>
      <c r="G1766" s="20" t="str">
        <f>IFERROR(__xludf.DUMMYFUNCTION("""COMPUTED_VALUE"""),"Uncle Sams Cider (04/04/2023)")</f>
        <v>Uncle Sams Cider (04/04/2023)</v>
      </c>
      <c r="H1766" s="19"/>
    </row>
    <row r="1767">
      <c r="A1767" s="9"/>
      <c r="B1767" s="15"/>
      <c r="C1767" s="9">
        <f>IFERROR(__xludf.DUMMYFUNCTION("""COMPUTED_VALUE"""),45126.0705626388)</f>
        <v>45126.07056</v>
      </c>
      <c r="D1767" s="15">
        <f>IFERROR(__xludf.DUMMYFUNCTION("""COMPUTED_VALUE"""),0.999)</f>
        <v>0.999</v>
      </c>
      <c r="E1767" s="16">
        <f>IFERROR(__xludf.DUMMYFUNCTION("""COMPUTED_VALUE"""),71.0)</f>
        <v>71</v>
      </c>
      <c r="F1767" s="19" t="str">
        <f>IFERROR(__xludf.DUMMYFUNCTION("""COMPUTED_VALUE"""),"BLUE")</f>
        <v>BLUE</v>
      </c>
      <c r="G1767" s="20" t="str">
        <f>IFERROR(__xludf.DUMMYFUNCTION("""COMPUTED_VALUE"""),"Uncle Sams Cider (04/04/2023)")</f>
        <v>Uncle Sams Cider (04/04/2023)</v>
      </c>
      <c r="H1767" s="19"/>
    </row>
    <row r="1768">
      <c r="A1768" s="9"/>
      <c r="B1768" s="15"/>
      <c r="C1768" s="9">
        <f>IFERROR(__xludf.DUMMYFUNCTION("""COMPUTED_VALUE"""),45126.0601309606)</f>
        <v>45126.06013</v>
      </c>
      <c r="D1768" s="15">
        <f>IFERROR(__xludf.DUMMYFUNCTION("""COMPUTED_VALUE"""),0.999)</f>
        <v>0.999</v>
      </c>
      <c r="E1768" s="16">
        <f>IFERROR(__xludf.DUMMYFUNCTION("""COMPUTED_VALUE"""),71.0)</f>
        <v>71</v>
      </c>
      <c r="F1768" s="19" t="str">
        <f>IFERROR(__xludf.DUMMYFUNCTION("""COMPUTED_VALUE"""),"BLUE")</f>
        <v>BLUE</v>
      </c>
      <c r="G1768" s="20" t="str">
        <f>IFERROR(__xludf.DUMMYFUNCTION("""COMPUTED_VALUE"""),"Uncle Sams Cider (04/04/2023)")</f>
        <v>Uncle Sams Cider (04/04/2023)</v>
      </c>
      <c r="H1768" s="19"/>
    </row>
    <row r="1769">
      <c r="A1769" s="9"/>
      <c r="B1769" s="15"/>
      <c r="C1769" s="9">
        <f>IFERROR(__xludf.DUMMYFUNCTION("""COMPUTED_VALUE"""),45126.0392773148)</f>
        <v>45126.03928</v>
      </c>
      <c r="D1769" s="15">
        <f>IFERROR(__xludf.DUMMYFUNCTION("""COMPUTED_VALUE"""),0.999)</f>
        <v>0.999</v>
      </c>
      <c r="E1769" s="16">
        <f>IFERROR(__xludf.DUMMYFUNCTION("""COMPUTED_VALUE"""),71.0)</f>
        <v>71</v>
      </c>
      <c r="F1769" s="19" t="str">
        <f>IFERROR(__xludf.DUMMYFUNCTION("""COMPUTED_VALUE"""),"BLUE")</f>
        <v>BLUE</v>
      </c>
      <c r="G1769" s="20" t="str">
        <f>IFERROR(__xludf.DUMMYFUNCTION("""COMPUTED_VALUE"""),"Uncle Sams Cider (04/04/2023)")</f>
        <v>Uncle Sams Cider (04/04/2023)</v>
      </c>
      <c r="H1769" s="19"/>
    </row>
    <row r="1770">
      <c r="A1770" s="9"/>
      <c r="B1770" s="15"/>
      <c r="C1770" s="9">
        <f>IFERROR(__xludf.DUMMYFUNCTION("""COMPUTED_VALUE"""),45126.0288573958)</f>
        <v>45126.02886</v>
      </c>
      <c r="D1770" s="15">
        <f>IFERROR(__xludf.DUMMYFUNCTION("""COMPUTED_VALUE"""),0.999)</f>
        <v>0.999</v>
      </c>
      <c r="E1770" s="16">
        <f>IFERROR(__xludf.DUMMYFUNCTION("""COMPUTED_VALUE"""),71.0)</f>
        <v>71</v>
      </c>
      <c r="F1770" s="19" t="str">
        <f>IFERROR(__xludf.DUMMYFUNCTION("""COMPUTED_VALUE"""),"BLUE")</f>
        <v>BLUE</v>
      </c>
      <c r="G1770" s="20" t="str">
        <f>IFERROR(__xludf.DUMMYFUNCTION("""COMPUTED_VALUE"""),"Uncle Sams Cider (04/04/2023)")</f>
        <v>Uncle Sams Cider (04/04/2023)</v>
      </c>
      <c r="H1770" s="19"/>
    </row>
    <row r="1771">
      <c r="A1771" s="9"/>
      <c r="B1771" s="15"/>
      <c r="C1771" s="9">
        <f>IFERROR(__xludf.DUMMYFUNCTION("""COMPUTED_VALUE"""),45126.0184364699)</f>
        <v>45126.01844</v>
      </c>
      <c r="D1771" s="15">
        <f>IFERROR(__xludf.DUMMYFUNCTION("""COMPUTED_VALUE"""),0.999)</f>
        <v>0.999</v>
      </c>
      <c r="E1771" s="16">
        <f>IFERROR(__xludf.DUMMYFUNCTION("""COMPUTED_VALUE"""),71.0)</f>
        <v>71</v>
      </c>
      <c r="F1771" s="19" t="str">
        <f>IFERROR(__xludf.DUMMYFUNCTION("""COMPUTED_VALUE"""),"BLUE")</f>
        <v>BLUE</v>
      </c>
      <c r="G1771" s="20" t="str">
        <f>IFERROR(__xludf.DUMMYFUNCTION("""COMPUTED_VALUE"""),"Uncle Sams Cider (04/04/2023)")</f>
        <v>Uncle Sams Cider (04/04/2023)</v>
      </c>
      <c r="H1771" s="19"/>
    </row>
    <row r="1772">
      <c r="A1772" s="9"/>
      <c r="B1772" s="15"/>
      <c r="C1772" s="9">
        <f>IFERROR(__xludf.DUMMYFUNCTION("""COMPUTED_VALUE"""),45126.0080151273)</f>
        <v>45126.00802</v>
      </c>
      <c r="D1772" s="15">
        <f>IFERROR(__xludf.DUMMYFUNCTION("""COMPUTED_VALUE"""),0.999)</f>
        <v>0.999</v>
      </c>
      <c r="E1772" s="16">
        <f>IFERROR(__xludf.DUMMYFUNCTION("""COMPUTED_VALUE"""),71.0)</f>
        <v>71</v>
      </c>
      <c r="F1772" s="19" t="str">
        <f>IFERROR(__xludf.DUMMYFUNCTION("""COMPUTED_VALUE"""),"BLUE")</f>
        <v>BLUE</v>
      </c>
      <c r="G1772" s="20" t="str">
        <f>IFERROR(__xludf.DUMMYFUNCTION("""COMPUTED_VALUE"""),"Uncle Sams Cider (04/04/2023)")</f>
        <v>Uncle Sams Cider (04/04/2023)</v>
      </c>
      <c r="H1772" s="19"/>
    </row>
    <row r="1773">
      <c r="A1773" s="9"/>
      <c r="B1773" s="15"/>
      <c r="C1773" s="9">
        <f>IFERROR(__xludf.DUMMYFUNCTION("""COMPUTED_VALUE"""),45125.9975695138)</f>
        <v>45125.99757</v>
      </c>
      <c r="D1773" s="15">
        <f>IFERROR(__xludf.DUMMYFUNCTION("""COMPUTED_VALUE"""),0.999)</f>
        <v>0.999</v>
      </c>
      <c r="E1773" s="16">
        <f>IFERROR(__xludf.DUMMYFUNCTION("""COMPUTED_VALUE"""),71.0)</f>
        <v>71</v>
      </c>
      <c r="F1773" s="19" t="str">
        <f>IFERROR(__xludf.DUMMYFUNCTION("""COMPUTED_VALUE"""),"BLUE")</f>
        <v>BLUE</v>
      </c>
      <c r="G1773" s="20" t="str">
        <f>IFERROR(__xludf.DUMMYFUNCTION("""COMPUTED_VALUE"""),"Uncle Sams Cider (04/04/2023)")</f>
        <v>Uncle Sams Cider (04/04/2023)</v>
      </c>
      <c r="H1773" s="19"/>
    </row>
    <row r="1774">
      <c r="A1774" s="9"/>
      <c r="B1774" s="15"/>
      <c r="C1774" s="9">
        <f>IFERROR(__xludf.DUMMYFUNCTION("""COMPUTED_VALUE"""),45125.9871476967)</f>
        <v>45125.98715</v>
      </c>
      <c r="D1774" s="15">
        <f>IFERROR(__xludf.DUMMYFUNCTION("""COMPUTED_VALUE"""),0.999)</f>
        <v>0.999</v>
      </c>
      <c r="E1774" s="16">
        <f>IFERROR(__xludf.DUMMYFUNCTION("""COMPUTED_VALUE"""),71.0)</f>
        <v>71</v>
      </c>
      <c r="F1774" s="19" t="str">
        <f>IFERROR(__xludf.DUMMYFUNCTION("""COMPUTED_VALUE"""),"BLUE")</f>
        <v>BLUE</v>
      </c>
      <c r="G1774" s="20" t="str">
        <f>IFERROR(__xludf.DUMMYFUNCTION("""COMPUTED_VALUE"""),"Uncle Sams Cider (04/04/2023)")</f>
        <v>Uncle Sams Cider (04/04/2023)</v>
      </c>
      <c r="H1774" s="19"/>
    </row>
    <row r="1775">
      <c r="A1775" s="9"/>
      <c r="B1775" s="15"/>
      <c r="C1775" s="9">
        <f>IFERROR(__xludf.DUMMYFUNCTION("""COMPUTED_VALUE"""),45125.976725405)</f>
        <v>45125.97673</v>
      </c>
      <c r="D1775" s="15">
        <f>IFERROR(__xludf.DUMMYFUNCTION("""COMPUTED_VALUE"""),0.998)</f>
        <v>0.998</v>
      </c>
      <c r="E1775" s="16">
        <f>IFERROR(__xludf.DUMMYFUNCTION("""COMPUTED_VALUE"""),71.0)</f>
        <v>71</v>
      </c>
      <c r="F1775" s="19" t="str">
        <f>IFERROR(__xludf.DUMMYFUNCTION("""COMPUTED_VALUE"""),"BLUE")</f>
        <v>BLUE</v>
      </c>
      <c r="G1775" s="20" t="str">
        <f>IFERROR(__xludf.DUMMYFUNCTION("""COMPUTED_VALUE"""),"Uncle Sams Cider (04/04/2023)")</f>
        <v>Uncle Sams Cider (04/04/2023)</v>
      </c>
      <c r="H1775" s="19"/>
    </row>
    <row r="1776">
      <c r="A1776" s="9"/>
      <c r="B1776" s="15"/>
      <c r="C1776" s="9">
        <f>IFERROR(__xludf.DUMMYFUNCTION("""COMPUTED_VALUE"""),45125.9663039583)</f>
        <v>45125.9663</v>
      </c>
      <c r="D1776" s="15">
        <f>IFERROR(__xludf.DUMMYFUNCTION("""COMPUTED_VALUE"""),0.999)</f>
        <v>0.999</v>
      </c>
      <c r="E1776" s="16">
        <f>IFERROR(__xludf.DUMMYFUNCTION("""COMPUTED_VALUE"""),71.0)</f>
        <v>71</v>
      </c>
      <c r="F1776" s="19" t="str">
        <f>IFERROR(__xludf.DUMMYFUNCTION("""COMPUTED_VALUE"""),"BLUE")</f>
        <v>BLUE</v>
      </c>
      <c r="G1776" s="20" t="str">
        <f>IFERROR(__xludf.DUMMYFUNCTION("""COMPUTED_VALUE"""),"Uncle Sams Cider (04/04/2023)")</f>
        <v>Uncle Sams Cider (04/04/2023)</v>
      </c>
      <c r="H1776" s="19"/>
    </row>
    <row r="1777">
      <c r="A1777" s="9"/>
      <c r="B1777" s="15"/>
      <c r="C1777" s="9">
        <f>IFERROR(__xludf.DUMMYFUNCTION("""COMPUTED_VALUE"""),45125.9558826388)</f>
        <v>45125.95588</v>
      </c>
      <c r="D1777" s="15">
        <f>IFERROR(__xludf.DUMMYFUNCTION("""COMPUTED_VALUE"""),0.999)</f>
        <v>0.999</v>
      </c>
      <c r="E1777" s="16">
        <f>IFERROR(__xludf.DUMMYFUNCTION("""COMPUTED_VALUE"""),71.0)</f>
        <v>71</v>
      </c>
      <c r="F1777" s="19" t="str">
        <f>IFERROR(__xludf.DUMMYFUNCTION("""COMPUTED_VALUE"""),"BLUE")</f>
        <v>BLUE</v>
      </c>
      <c r="G1777" s="20" t="str">
        <f>IFERROR(__xludf.DUMMYFUNCTION("""COMPUTED_VALUE"""),"Uncle Sams Cider (04/04/2023)")</f>
        <v>Uncle Sams Cider (04/04/2023)</v>
      </c>
      <c r="H1777" s="19"/>
    </row>
    <row r="1778">
      <c r="A1778" s="9"/>
      <c r="B1778" s="15"/>
      <c r="C1778" s="9">
        <f>IFERROR(__xludf.DUMMYFUNCTION("""COMPUTED_VALUE"""),45125.9454392476)</f>
        <v>45125.94544</v>
      </c>
      <c r="D1778" s="15">
        <f>IFERROR(__xludf.DUMMYFUNCTION("""COMPUTED_VALUE"""),0.998)</f>
        <v>0.998</v>
      </c>
      <c r="E1778" s="16">
        <f>IFERROR(__xludf.DUMMYFUNCTION("""COMPUTED_VALUE"""),71.0)</f>
        <v>71</v>
      </c>
      <c r="F1778" s="19" t="str">
        <f>IFERROR(__xludf.DUMMYFUNCTION("""COMPUTED_VALUE"""),"BLUE")</f>
        <v>BLUE</v>
      </c>
      <c r="G1778" s="20" t="str">
        <f>IFERROR(__xludf.DUMMYFUNCTION("""COMPUTED_VALUE"""),"Uncle Sams Cider (04/04/2023)")</f>
        <v>Uncle Sams Cider (04/04/2023)</v>
      </c>
      <c r="H1778" s="19"/>
    </row>
    <row r="1779">
      <c r="A1779" s="9"/>
      <c r="B1779" s="15"/>
      <c r="C1779" s="9">
        <f>IFERROR(__xludf.DUMMYFUNCTION("""COMPUTED_VALUE"""),45125.9350169328)</f>
        <v>45125.93502</v>
      </c>
      <c r="D1779" s="15">
        <f>IFERROR(__xludf.DUMMYFUNCTION("""COMPUTED_VALUE"""),0.998)</f>
        <v>0.998</v>
      </c>
      <c r="E1779" s="16">
        <f>IFERROR(__xludf.DUMMYFUNCTION("""COMPUTED_VALUE"""),71.0)</f>
        <v>71</v>
      </c>
      <c r="F1779" s="19" t="str">
        <f>IFERROR(__xludf.DUMMYFUNCTION("""COMPUTED_VALUE"""),"BLUE")</f>
        <v>BLUE</v>
      </c>
      <c r="G1779" s="20" t="str">
        <f>IFERROR(__xludf.DUMMYFUNCTION("""COMPUTED_VALUE"""),"Uncle Sams Cider (04/04/2023)")</f>
        <v>Uncle Sams Cider (04/04/2023)</v>
      </c>
      <c r="H1779" s="19"/>
    </row>
    <row r="1780">
      <c r="A1780" s="9"/>
      <c r="B1780" s="15"/>
      <c r="C1780" s="9">
        <f>IFERROR(__xludf.DUMMYFUNCTION("""COMPUTED_VALUE"""),45125.9245937963)</f>
        <v>45125.92459</v>
      </c>
      <c r="D1780" s="15">
        <f>IFERROR(__xludf.DUMMYFUNCTION("""COMPUTED_VALUE"""),0.999)</f>
        <v>0.999</v>
      </c>
      <c r="E1780" s="16">
        <f>IFERROR(__xludf.DUMMYFUNCTION("""COMPUTED_VALUE"""),71.0)</f>
        <v>71</v>
      </c>
      <c r="F1780" s="19" t="str">
        <f>IFERROR(__xludf.DUMMYFUNCTION("""COMPUTED_VALUE"""),"BLUE")</f>
        <v>BLUE</v>
      </c>
      <c r="G1780" s="20" t="str">
        <f>IFERROR(__xludf.DUMMYFUNCTION("""COMPUTED_VALUE"""),"Uncle Sams Cider (04/04/2023)")</f>
        <v>Uncle Sams Cider (04/04/2023)</v>
      </c>
      <c r="H1780" s="19"/>
    </row>
    <row r="1781">
      <c r="A1781" s="9"/>
      <c r="B1781" s="15"/>
      <c r="C1781" s="9">
        <f>IFERROR(__xludf.DUMMYFUNCTION("""COMPUTED_VALUE"""),45125.9141725347)</f>
        <v>45125.91417</v>
      </c>
      <c r="D1781" s="15">
        <f>IFERROR(__xludf.DUMMYFUNCTION("""COMPUTED_VALUE"""),0.999)</f>
        <v>0.999</v>
      </c>
      <c r="E1781" s="16">
        <f>IFERROR(__xludf.DUMMYFUNCTION("""COMPUTED_VALUE"""),71.0)</f>
        <v>71</v>
      </c>
      <c r="F1781" s="19" t="str">
        <f>IFERROR(__xludf.DUMMYFUNCTION("""COMPUTED_VALUE"""),"BLUE")</f>
        <v>BLUE</v>
      </c>
      <c r="G1781" s="20" t="str">
        <f>IFERROR(__xludf.DUMMYFUNCTION("""COMPUTED_VALUE"""),"Uncle Sams Cider (04/04/2023)")</f>
        <v>Uncle Sams Cider (04/04/2023)</v>
      </c>
      <c r="H1781" s="19"/>
    </row>
    <row r="1782">
      <c r="A1782" s="9"/>
      <c r="B1782" s="15"/>
      <c r="C1782" s="9">
        <f>IFERROR(__xludf.DUMMYFUNCTION("""COMPUTED_VALUE"""),45125.9037497916)</f>
        <v>45125.90375</v>
      </c>
      <c r="D1782" s="15">
        <f>IFERROR(__xludf.DUMMYFUNCTION("""COMPUTED_VALUE"""),0.999)</f>
        <v>0.999</v>
      </c>
      <c r="E1782" s="16">
        <f>IFERROR(__xludf.DUMMYFUNCTION("""COMPUTED_VALUE"""),71.0)</f>
        <v>71</v>
      </c>
      <c r="F1782" s="19" t="str">
        <f>IFERROR(__xludf.DUMMYFUNCTION("""COMPUTED_VALUE"""),"BLUE")</f>
        <v>BLUE</v>
      </c>
      <c r="G1782" s="20" t="str">
        <f>IFERROR(__xludf.DUMMYFUNCTION("""COMPUTED_VALUE"""),"Uncle Sams Cider (04/04/2023)")</f>
        <v>Uncle Sams Cider (04/04/2023)</v>
      </c>
      <c r="H1782" s="19"/>
    </row>
    <row r="1783">
      <c r="A1783" s="9"/>
      <c r="B1783" s="15"/>
      <c r="C1783" s="9">
        <f>IFERROR(__xludf.DUMMYFUNCTION("""COMPUTED_VALUE"""),45125.8828833912)</f>
        <v>45125.88288</v>
      </c>
      <c r="D1783" s="15">
        <f>IFERROR(__xludf.DUMMYFUNCTION("""COMPUTED_VALUE"""),0.999)</f>
        <v>0.999</v>
      </c>
      <c r="E1783" s="16">
        <f>IFERROR(__xludf.DUMMYFUNCTION("""COMPUTED_VALUE"""),71.0)</f>
        <v>71</v>
      </c>
      <c r="F1783" s="19" t="str">
        <f>IFERROR(__xludf.DUMMYFUNCTION("""COMPUTED_VALUE"""),"BLUE")</f>
        <v>BLUE</v>
      </c>
      <c r="G1783" s="20" t="str">
        <f>IFERROR(__xludf.DUMMYFUNCTION("""COMPUTED_VALUE"""),"Uncle Sams Cider (04/04/2023)")</f>
        <v>Uncle Sams Cider (04/04/2023)</v>
      </c>
      <c r="H1783" s="19"/>
    </row>
    <row r="1784">
      <c r="A1784" s="9"/>
      <c r="B1784" s="15"/>
      <c r="C1784" s="9">
        <f>IFERROR(__xludf.DUMMYFUNCTION("""COMPUTED_VALUE"""),45125.8724506365)</f>
        <v>45125.87245</v>
      </c>
      <c r="D1784" s="15">
        <f>IFERROR(__xludf.DUMMYFUNCTION("""COMPUTED_VALUE"""),0.999)</f>
        <v>0.999</v>
      </c>
      <c r="E1784" s="16">
        <f>IFERROR(__xludf.DUMMYFUNCTION("""COMPUTED_VALUE"""),71.0)</f>
        <v>71</v>
      </c>
      <c r="F1784" s="19" t="str">
        <f>IFERROR(__xludf.DUMMYFUNCTION("""COMPUTED_VALUE"""),"BLUE")</f>
        <v>BLUE</v>
      </c>
      <c r="G1784" s="20" t="str">
        <f>IFERROR(__xludf.DUMMYFUNCTION("""COMPUTED_VALUE"""),"Uncle Sams Cider (04/04/2023)")</f>
        <v>Uncle Sams Cider (04/04/2023)</v>
      </c>
      <c r="H1784" s="19"/>
    </row>
    <row r="1785">
      <c r="A1785" s="9"/>
      <c r="B1785" s="15"/>
      <c r="C1785" s="9">
        <f>IFERROR(__xludf.DUMMYFUNCTION("""COMPUTED_VALUE"""),45125.8620052893)</f>
        <v>45125.86201</v>
      </c>
      <c r="D1785" s="15">
        <f>IFERROR(__xludf.DUMMYFUNCTION("""COMPUTED_VALUE"""),0.999)</f>
        <v>0.999</v>
      </c>
      <c r="E1785" s="16">
        <f>IFERROR(__xludf.DUMMYFUNCTION("""COMPUTED_VALUE"""),71.0)</f>
        <v>71</v>
      </c>
      <c r="F1785" s="19" t="str">
        <f>IFERROR(__xludf.DUMMYFUNCTION("""COMPUTED_VALUE"""),"BLUE")</f>
        <v>BLUE</v>
      </c>
      <c r="G1785" s="20" t="str">
        <f>IFERROR(__xludf.DUMMYFUNCTION("""COMPUTED_VALUE"""),"Uncle Sams Cider (04/04/2023)")</f>
        <v>Uncle Sams Cider (04/04/2023)</v>
      </c>
      <c r="H1785" s="19"/>
    </row>
    <row r="1786">
      <c r="A1786" s="9"/>
      <c r="B1786" s="15"/>
      <c r="C1786" s="9">
        <f>IFERROR(__xludf.DUMMYFUNCTION("""COMPUTED_VALUE"""),45125.8515845486)</f>
        <v>45125.85158</v>
      </c>
      <c r="D1786" s="15">
        <f>IFERROR(__xludf.DUMMYFUNCTION("""COMPUTED_VALUE"""),0.998)</f>
        <v>0.998</v>
      </c>
      <c r="E1786" s="16">
        <f>IFERROR(__xludf.DUMMYFUNCTION("""COMPUTED_VALUE"""),71.0)</f>
        <v>71</v>
      </c>
      <c r="F1786" s="19" t="str">
        <f>IFERROR(__xludf.DUMMYFUNCTION("""COMPUTED_VALUE"""),"BLUE")</f>
        <v>BLUE</v>
      </c>
      <c r="G1786" s="20" t="str">
        <f>IFERROR(__xludf.DUMMYFUNCTION("""COMPUTED_VALUE"""),"Uncle Sams Cider (04/04/2023)")</f>
        <v>Uncle Sams Cider (04/04/2023)</v>
      </c>
      <c r="H1786" s="19"/>
    </row>
    <row r="1787">
      <c r="A1787" s="9"/>
      <c r="B1787" s="15"/>
      <c r="C1787" s="9">
        <f>IFERROR(__xludf.DUMMYFUNCTION("""COMPUTED_VALUE"""),45125.841163125)</f>
        <v>45125.84116</v>
      </c>
      <c r="D1787" s="15">
        <f>IFERROR(__xludf.DUMMYFUNCTION("""COMPUTED_VALUE"""),0.999)</f>
        <v>0.999</v>
      </c>
      <c r="E1787" s="16">
        <f>IFERROR(__xludf.DUMMYFUNCTION("""COMPUTED_VALUE"""),71.0)</f>
        <v>71</v>
      </c>
      <c r="F1787" s="19" t="str">
        <f>IFERROR(__xludf.DUMMYFUNCTION("""COMPUTED_VALUE"""),"BLUE")</f>
        <v>BLUE</v>
      </c>
      <c r="G1787" s="20" t="str">
        <f>IFERROR(__xludf.DUMMYFUNCTION("""COMPUTED_VALUE"""),"Uncle Sams Cider (04/04/2023)")</f>
        <v>Uncle Sams Cider (04/04/2023)</v>
      </c>
      <c r="H1787" s="19"/>
    </row>
    <row r="1788">
      <c r="A1788" s="9"/>
      <c r="B1788" s="15"/>
      <c r="C1788" s="9">
        <f>IFERROR(__xludf.DUMMYFUNCTION("""COMPUTED_VALUE"""),45125.8307297801)</f>
        <v>45125.83073</v>
      </c>
      <c r="D1788" s="15">
        <f>IFERROR(__xludf.DUMMYFUNCTION("""COMPUTED_VALUE"""),0.999)</f>
        <v>0.999</v>
      </c>
      <c r="E1788" s="16">
        <f>IFERROR(__xludf.DUMMYFUNCTION("""COMPUTED_VALUE"""),71.0)</f>
        <v>71</v>
      </c>
      <c r="F1788" s="19" t="str">
        <f>IFERROR(__xludf.DUMMYFUNCTION("""COMPUTED_VALUE"""),"BLUE")</f>
        <v>BLUE</v>
      </c>
      <c r="G1788" s="20" t="str">
        <f>IFERROR(__xludf.DUMMYFUNCTION("""COMPUTED_VALUE"""),"Uncle Sams Cider (04/04/2023)")</f>
        <v>Uncle Sams Cider (04/04/2023)</v>
      </c>
      <c r="H1788" s="19"/>
    </row>
    <row r="1789">
      <c r="A1789" s="9"/>
      <c r="B1789" s="15"/>
      <c r="C1789" s="9">
        <f>IFERROR(__xludf.DUMMYFUNCTION("""COMPUTED_VALUE"""),45125.8203054745)</f>
        <v>45125.82031</v>
      </c>
      <c r="D1789" s="15">
        <f>IFERROR(__xludf.DUMMYFUNCTION("""COMPUTED_VALUE"""),0.999)</f>
        <v>0.999</v>
      </c>
      <c r="E1789" s="16">
        <f>IFERROR(__xludf.DUMMYFUNCTION("""COMPUTED_VALUE"""),71.0)</f>
        <v>71</v>
      </c>
      <c r="F1789" s="19" t="str">
        <f>IFERROR(__xludf.DUMMYFUNCTION("""COMPUTED_VALUE"""),"BLUE")</f>
        <v>BLUE</v>
      </c>
      <c r="G1789" s="20" t="str">
        <f>IFERROR(__xludf.DUMMYFUNCTION("""COMPUTED_VALUE"""),"Uncle Sams Cider (04/04/2023)")</f>
        <v>Uncle Sams Cider (04/04/2023)</v>
      </c>
      <c r="H1789" s="19"/>
    </row>
    <row r="1790">
      <c r="A1790" s="9"/>
      <c r="B1790" s="15"/>
      <c r="C1790" s="9">
        <f>IFERROR(__xludf.DUMMYFUNCTION("""COMPUTED_VALUE"""),45125.8098841088)</f>
        <v>45125.80988</v>
      </c>
      <c r="D1790" s="15">
        <f>IFERROR(__xludf.DUMMYFUNCTION("""COMPUTED_VALUE"""),0.999)</f>
        <v>0.999</v>
      </c>
      <c r="E1790" s="16">
        <f>IFERROR(__xludf.DUMMYFUNCTION("""COMPUTED_VALUE"""),71.0)</f>
        <v>71</v>
      </c>
      <c r="F1790" s="19" t="str">
        <f>IFERROR(__xludf.DUMMYFUNCTION("""COMPUTED_VALUE"""),"BLUE")</f>
        <v>BLUE</v>
      </c>
      <c r="G1790" s="20" t="str">
        <f>IFERROR(__xludf.DUMMYFUNCTION("""COMPUTED_VALUE"""),"Uncle Sams Cider (04/04/2023)")</f>
        <v>Uncle Sams Cider (04/04/2023)</v>
      </c>
      <c r="H1790" s="19"/>
    </row>
    <row r="1791">
      <c r="A1791" s="9"/>
      <c r="B1791" s="15"/>
      <c r="C1791" s="9">
        <f>IFERROR(__xludf.DUMMYFUNCTION("""COMPUTED_VALUE"""),45125.7994634606)</f>
        <v>45125.79946</v>
      </c>
      <c r="D1791" s="15">
        <f>IFERROR(__xludf.DUMMYFUNCTION("""COMPUTED_VALUE"""),0.999)</f>
        <v>0.999</v>
      </c>
      <c r="E1791" s="16">
        <f>IFERROR(__xludf.DUMMYFUNCTION("""COMPUTED_VALUE"""),71.0)</f>
        <v>71</v>
      </c>
      <c r="F1791" s="19" t="str">
        <f>IFERROR(__xludf.DUMMYFUNCTION("""COMPUTED_VALUE"""),"BLUE")</f>
        <v>BLUE</v>
      </c>
      <c r="G1791" s="20" t="str">
        <f>IFERROR(__xludf.DUMMYFUNCTION("""COMPUTED_VALUE"""),"Uncle Sams Cider (04/04/2023)")</f>
        <v>Uncle Sams Cider (04/04/2023)</v>
      </c>
      <c r="H1791" s="19"/>
    </row>
    <row r="1792">
      <c r="A1792" s="9"/>
      <c r="B1792" s="15"/>
      <c r="C1792" s="9">
        <f>IFERROR(__xludf.DUMMYFUNCTION("""COMPUTED_VALUE"""),45125.7890291088)</f>
        <v>45125.78903</v>
      </c>
      <c r="D1792" s="15">
        <f>IFERROR(__xludf.DUMMYFUNCTION("""COMPUTED_VALUE"""),0.999)</f>
        <v>0.999</v>
      </c>
      <c r="E1792" s="16">
        <f>IFERROR(__xludf.DUMMYFUNCTION("""COMPUTED_VALUE"""),71.0)</f>
        <v>71</v>
      </c>
      <c r="F1792" s="19" t="str">
        <f>IFERROR(__xludf.DUMMYFUNCTION("""COMPUTED_VALUE"""),"BLUE")</f>
        <v>BLUE</v>
      </c>
      <c r="G1792" s="20" t="str">
        <f>IFERROR(__xludf.DUMMYFUNCTION("""COMPUTED_VALUE"""),"Uncle Sams Cider (04/04/2023)")</f>
        <v>Uncle Sams Cider (04/04/2023)</v>
      </c>
      <c r="H1792" s="19"/>
    </row>
    <row r="1793">
      <c r="A1793" s="9"/>
      <c r="B1793" s="15"/>
      <c r="C1793" s="9">
        <f>IFERROR(__xludf.DUMMYFUNCTION("""COMPUTED_VALUE"""),45125.7785848263)</f>
        <v>45125.77858</v>
      </c>
      <c r="D1793" s="15">
        <f>IFERROR(__xludf.DUMMYFUNCTION("""COMPUTED_VALUE"""),0.999)</f>
        <v>0.999</v>
      </c>
      <c r="E1793" s="16">
        <f>IFERROR(__xludf.DUMMYFUNCTION("""COMPUTED_VALUE"""),71.0)</f>
        <v>71</v>
      </c>
      <c r="F1793" s="19" t="str">
        <f>IFERROR(__xludf.DUMMYFUNCTION("""COMPUTED_VALUE"""),"BLUE")</f>
        <v>BLUE</v>
      </c>
      <c r="G1793" s="20" t="str">
        <f>IFERROR(__xludf.DUMMYFUNCTION("""COMPUTED_VALUE"""),"Uncle Sams Cider (04/04/2023)")</f>
        <v>Uncle Sams Cider (04/04/2023)</v>
      </c>
      <c r="H1793" s="19"/>
    </row>
    <row r="1794">
      <c r="A1794" s="9"/>
      <c r="B1794" s="15"/>
      <c r="C1794" s="9">
        <f>IFERROR(__xludf.DUMMYFUNCTION("""COMPUTED_VALUE"""),45125.7681510763)</f>
        <v>45125.76815</v>
      </c>
      <c r="D1794" s="15">
        <f>IFERROR(__xludf.DUMMYFUNCTION("""COMPUTED_VALUE"""),0.999)</f>
        <v>0.999</v>
      </c>
      <c r="E1794" s="16">
        <f>IFERROR(__xludf.DUMMYFUNCTION("""COMPUTED_VALUE"""),71.0)</f>
        <v>71</v>
      </c>
      <c r="F1794" s="19" t="str">
        <f>IFERROR(__xludf.DUMMYFUNCTION("""COMPUTED_VALUE"""),"BLUE")</f>
        <v>BLUE</v>
      </c>
      <c r="G1794" s="20" t="str">
        <f>IFERROR(__xludf.DUMMYFUNCTION("""COMPUTED_VALUE"""),"Uncle Sams Cider (04/04/2023)")</f>
        <v>Uncle Sams Cider (04/04/2023)</v>
      </c>
      <c r="H1794" s="19"/>
    </row>
    <row r="1795">
      <c r="A1795" s="9"/>
      <c r="B1795" s="15"/>
      <c r="C1795" s="9">
        <f>IFERROR(__xludf.DUMMYFUNCTION("""COMPUTED_VALUE"""),45125.757730243)</f>
        <v>45125.75773</v>
      </c>
      <c r="D1795" s="15">
        <f>IFERROR(__xludf.DUMMYFUNCTION("""COMPUTED_VALUE"""),0.999)</f>
        <v>0.999</v>
      </c>
      <c r="E1795" s="16">
        <f>IFERROR(__xludf.DUMMYFUNCTION("""COMPUTED_VALUE"""),71.0)</f>
        <v>71</v>
      </c>
      <c r="F1795" s="19" t="str">
        <f>IFERROR(__xludf.DUMMYFUNCTION("""COMPUTED_VALUE"""),"BLUE")</f>
        <v>BLUE</v>
      </c>
      <c r="G1795" s="20" t="str">
        <f>IFERROR(__xludf.DUMMYFUNCTION("""COMPUTED_VALUE"""),"Uncle Sams Cider (04/04/2023)")</f>
        <v>Uncle Sams Cider (04/04/2023)</v>
      </c>
      <c r="H1795" s="19"/>
    </row>
    <row r="1796">
      <c r="A1796" s="9"/>
      <c r="B1796" s="15"/>
      <c r="C1796" s="9">
        <f>IFERROR(__xludf.DUMMYFUNCTION("""COMPUTED_VALUE"""),45125.7473105787)</f>
        <v>45125.74731</v>
      </c>
      <c r="D1796" s="15">
        <f>IFERROR(__xludf.DUMMYFUNCTION("""COMPUTED_VALUE"""),0.999)</f>
        <v>0.999</v>
      </c>
      <c r="E1796" s="16">
        <f>IFERROR(__xludf.DUMMYFUNCTION("""COMPUTED_VALUE"""),71.0)</f>
        <v>71</v>
      </c>
      <c r="F1796" s="19" t="str">
        <f>IFERROR(__xludf.DUMMYFUNCTION("""COMPUTED_VALUE"""),"BLUE")</f>
        <v>BLUE</v>
      </c>
      <c r="G1796" s="20" t="str">
        <f>IFERROR(__xludf.DUMMYFUNCTION("""COMPUTED_VALUE"""),"Uncle Sams Cider (04/04/2023)")</f>
        <v>Uncle Sams Cider (04/04/2023)</v>
      </c>
      <c r="H1796" s="19"/>
    </row>
    <row r="1797">
      <c r="A1797" s="9"/>
      <c r="B1797" s="15"/>
      <c r="C1797" s="9">
        <f>IFERROR(__xludf.DUMMYFUNCTION("""COMPUTED_VALUE"""),45125.7368896064)</f>
        <v>45125.73689</v>
      </c>
      <c r="D1797" s="15">
        <f>IFERROR(__xludf.DUMMYFUNCTION("""COMPUTED_VALUE"""),0.999)</f>
        <v>0.999</v>
      </c>
      <c r="E1797" s="16">
        <f>IFERROR(__xludf.DUMMYFUNCTION("""COMPUTED_VALUE"""),71.0)</f>
        <v>71</v>
      </c>
      <c r="F1797" s="19" t="str">
        <f>IFERROR(__xludf.DUMMYFUNCTION("""COMPUTED_VALUE"""),"BLUE")</f>
        <v>BLUE</v>
      </c>
      <c r="G1797" s="20" t="str">
        <f>IFERROR(__xludf.DUMMYFUNCTION("""COMPUTED_VALUE"""),"Uncle Sams Cider (04/04/2023)")</f>
        <v>Uncle Sams Cider (04/04/2023)</v>
      </c>
      <c r="H1797" s="19"/>
    </row>
    <row r="1798">
      <c r="A1798" s="9"/>
      <c r="B1798" s="15"/>
      <c r="C1798" s="9">
        <f>IFERROR(__xludf.DUMMYFUNCTION("""COMPUTED_VALUE"""),45125.7264692361)</f>
        <v>45125.72647</v>
      </c>
      <c r="D1798" s="15">
        <f>IFERROR(__xludf.DUMMYFUNCTION("""COMPUTED_VALUE"""),0.999)</f>
        <v>0.999</v>
      </c>
      <c r="E1798" s="16">
        <f>IFERROR(__xludf.DUMMYFUNCTION("""COMPUTED_VALUE"""),71.0)</f>
        <v>71</v>
      </c>
      <c r="F1798" s="19" t="str">
        <f>IFERROR(__xludf.DUMMYFUNCTION("""COMPUTED_VALUE"""),"BLUE")</f>
        <v>BLUE</v>
      </c>
      <c r="G1798" s="20" t="str">
        <f>IFERROR(__xludf.DUMMYFUNCTION("""COMPUTED_VALUE"""),"Uncle Sams Cider (04/04/2023)")</f>
        <v>Uncle Sams Cider (04/04/2023)</v>
      </c>
      <c r="H1798" s="19"/>
    </row>
    <row r="1799">
      <c r="A1799" s="9"/>
      <c r="B1799" s="15"/>
      <c r="C1799" s="9">
        <f>IFERROR(__xludf.DUMMYFUNCTION("""COMPUTED_VALUE"""),45125.7160470949)</f>
        <v>45125.71605</v>
      </c>
      <c r="D1799" s="15">
        <f>IFERROR(__xludf.DUMMYFUNCTION("""COMPUTED_VALUE"""),0.999)</f>
        <v>0.999</v>
      </c>
      <c r="E1799" s="16">
        <f>IFERROR(__xludf.DUMMYFUNCTION("""COMPUTED_VALUE"""),71.0)</f>
        <v>71</v>
      </c>
      <c r="F1799" s="19" t="str">
        <f>IFERROR(__xludf.DUMMYFUNCTION("""COMPUTED_VALUE"""),"BLUE")</f>
        <v>BLUE</v>
      </c>
      <c r="G1799" s="20" t="str">
        <f>IFERROR(__xludf.DUMMYFUNCTION("""COMPUTED_VALUE"""),"Uncle Sams Cider (04/04/2023)")</f>
        <v>Uncle Sams Cider (04/04/2023)</v>
      </c>
      <c r="H1799" s="19"/>
    </row>
    <row r="1800">
      <c r="A1800" s="9"/>
      <c r="B1800" s="15"/>
      <c r="C1800" s="9">
        <f>IFERROR(__xludf.DUMMYFUNCTION("""COMPUTED_VALUE"""),45125.7056260069)</f>
        <v>45125.70563</v>
      </c>
      <c r="D1800" s="15">
        <f>IFERROR(__xludf.DUMMYFUNCTION("""COMPUTED_VALUE"""),0.999)</f>
        <v>0.999</v>
      </c>
      <c r="E1800" s="16">
        <f>IFERROR(__xludf.DUMMYFUNCTION("""COMPUTED_VALUE"""),71.0)</f>
        <v>71</v>
      </c>
      <c r="F1800" s="19" t="str">
        <f>IFERROR(__xludf.DUMMYFUNCTION("""COMPUTED_VALUE"""),"BLUE")</f>
        <v>BLUE</v>
      </c>
      <c r="G1800" s="20" t="str">
        <f>IFERROR(__xludf.DUMMYFUNCTION("""COMPUTED_VALUE"""),"Uncle Sams Cider (04/04/2023)")</f>
        <v>Uncle Sams Cider (04/04/2023)</v>
      </c>
      <c r="H1800" s="19"/>
    </row>
    <row r="1801">
      <c r="A1801" s="9"/>
      <c r="B1801" s="15"/>
      <c r="C1801" s="9">
        <f>IFERROR(__xludf.DUMMYFUNCTION("""COMPUTED_VALUE"""),45125.6952038541)</f>
        <v>45125.6952</v>
      </c>
      <c r="D1801" s="15">
        <f>IFERROR(__xludf.DUMMYFUNCTION("""COMPUTED_VALUE"""),0.999)</f>
        <v>0.999</v>
      </c>
      <c r="E1801" s="16">
        <f>IFERROR(__xludf.DUMMYFUNCTION("""COMPUTED_VALUE"""),71.0)</f>
        <v>71</v>
      </c>
      <c r="F1801" s="19" t="str">
        <f>IFERROR(__xludf.DUMMYFUNCTION("""COMPUTED_VALUE"""),"BLUE")</f>
        <v>BLUE</v>
      </c>
      <c r="G1801" s="20" t="str">
        <f>IFERROR(__xludf.DUMMYFUNCTION("""COMPUTED_VALUE"""),"Uncle Sams Cider (04/04/2023)")</f>
        <v>Uncle Sams Cider (04/04/2023)</v>
      </c>
      <c r="H1801" s="19"/>
    </row>
    <row r="1802">
      <c r="A1802" s="9"/>
      <c r="B1802" s="15"/>
      <c r="C1802" s="9">
        <f>IFERROR(__xludf.DUMMYFUNCTION("""COMPUTED_VALUE"""),45125.6847856944)</f>
        <v>45125.68479</v>
      </c>
      <c r="D1802" s="15">
        <f>IFERROR(__xludf.DUMMYFUNCTION("""COMPUTED_VALUE"""),0.999)</f>
        <v>0.999</v>
      </c>
      <c r="E1802" s="16">
        <f>IFERROR(__xludf.DUMMYFUNCTION("""COMPUTED_VALUE"""),71.0)</f>
        <v>71</v>
      </c>
      <c r="F1802" s="19" t="str">
        <f>IFERROR(__xludf.DUMMYFUNCTION("""COMPUTED_VALUE"""),"BLUE")</f>
        <v>BLUE</v>
      </c>
      <c r="G1802" s="20" t="str">
        <f>IFERROR(__xludf.DUMMYFUNCTION("""COMPUTED_VALUE"""),"Uncle Sams Cider (04/04/2023)")</f>
        <v>Uncle Sams Cider (04/04/2023)</v>
      </c>
      <c r="H1802" s="19"/>
    </row>
    <row r="1803">
      <c r="A1803" s="9"/>
      <c r="B1803" s="15"/>
      <c r="C1803" s="9">
        <f>IFERROR(__xludf.DUMMYFUNCTION("""COMPUTED_VALUE"""),45125.6743529629)</f>
        <v>45125.67435</v>
      </c>
      <c r="D1803" s="15">
        <f>IFERROR(__xludf.DUMMYFUNCTION("""COMPUTED_VALUE"""),0.999)</f>
        <v>0.999</v>
      </c>
      <c r="E1803" s="16">
        <f>IFERROR(__xludf.DUMMYFUNCTION("""COMPUTED_VALUE"""),71.0)</f>
        <v>71</v>
      </c>
      <c r="F1803" s="19" t="str">
        <f>IFERROR(__xludf.DUMMYFUNCTION("""COMPUTED_VALUE"""),"BLUE")</f>
        <v>BLUE</v>
      </c>
      <c r="G1803" s="20" t="str">
        <f>IFERROR(__xludf.DUMMYFUNCTION("""COMPUTED_VALUE"""),"Uncle Sams Cider (04/04/2023)")</f>
        <v>Uncle Sams Cider (04/04/2023)</v>
      </c>
      <c r="H1803" s="19"/>
    </row>
    <row r="1804">
      <c r="A1804" s="9"/>
      <c r="B1804" s="15"/>
      <c r="C1804" s="9">
        <f>IFERROR(__xludf.DUMMYFUNCTION("""COMPUTED_VALUE"""),45125.6639330787)</f>
        <v>45125.66393</v>
      </c>
      <c r="D1804" s="15">
        <f>IFERROR(__xludf.DUMMYFUNCTION("""COMPUTED_VALUE"""),0.999)</f>
        <v>0.999</v>
      </c>
      <c r="E1804" s="16">
        <f>IFERROR(__xludf.DUMMYFUNCTION("""COMPUTED_VALUE"""),71.0)</f>
        <v>71</v>
      </c>
      <c r="F1804" s="19" t="str">
        <f>IFERROR(__xludf.DUMMYFUNCTION("""COMPUTED_VALUE"""),"BLUE")</f>
        <v>BLUE</v>
      </c>
      <c r="G1804" s="20" t="str">
        <f>IFERROR(__xludf.DUMMYFUNCTION("""COMPUTED_VALUE"""),"Uncle Sams Cider (04/04/2023)")</f>
        <v>Uncle Sams Cider (04/04/2023)</v>
      </c>
      <c r="H1804" s="19"/>
    </row>
    <row r="1805">
      <c r="A1805" s="9"/>
      <c r="B1805" s="15"/>
      <c r="C1805" s="9">
        <f>IFERROR(__xludf.DUMMYFUNCTION("""COMPUTED_VALUE"""),45125.6535127546)</f>
        <v>45125.65351</v>
      </c>
      <c r="D1805" s="15">
        <f>IFERROR(__xludf.DUMMYFUNCTION("""COMPUTED_VALUE"""),0.999)</f>
        <v>0.999</v>
      </c>
      <c r="E1805" s="16">
        <f>IFERROR(__xludf.DUMMYFUNCTION("""COMPUTED_VALUE"""),71.0)</f>
        <v>71</v>
      </c>
      <c r="F1805" s="19" t="str">
        <f>IFERROR(__xludf.DUMMYFUNCTION("""COMPUTED_VALUE"""),"BLUE")</f>
        <v>BLUE</v>
      </c>
      <c r="G1805" s="20" t="str">
        <f>IFERROR(__xludf.DUMMYFUNCTION("""COMPUTED_VALUE"""),"Uncle Sams Cider (04/04/2023)")</f>
        <v>Uncle Sams Cider (04/04/2023)</v>
      </c>
      <c r="H1805" s="19"/>
    </row>
    <row r="1806">
      <c r="A1806" s="9"/>
      <c r="B1806" s="15"/>
      <c r="C1806" s="9">
        <f>IFERROR(__xludf.DUMMYFUNCTION("""COMPUTED_VALUE"""),45125.6430922338)</f>
        <v>45125.64309</v>
      </c>
      <c r="D1806" s="15">
        <f>IFERROR(__xludf.DUMMYFUNCTION("""COMPUTED_VALUE"""),0.999)</f>
        <v>0.999</v>
      </c>
      <c r="E1806" s="16">
        <f>IFERROR(__xludf.DUMMYFUNCTION("""COMPUTED_VALUE"""),71.0)</f>
        <v>71</v>
      </c>
      <c r="F1806" s="19" t="str">
        <f>IFERROR(__xludf.DUMMYFUNCTION("""COMPUTED_VALUE"""),"BLUE")</f>
        <v>BLUE</v>
      </c>
      <c r="G1806" s="20" t="str">
        <f>IFERROR(__xludf.DUMMYFUNCTION("""COMPUTED_VALUE"""),"Uncle Sams Cider (04/04/2023)")</f>
        <v>Uncle Sams Cider (04/04/2023)</v>
      </c>
      <c r="H1806" s="19"/>
    </row>
    <row r="1807">
      <c r="A1807" s="9"/>
      <c r="B1807" s="15"/>
      <c r="C1807" s="9">
        <f>IFERROR(__xludf.DUMMYFUNCTION("""COMPUTED_VALUE"""),45125.632670949)</f>
        <v>45125.63267</v>
      </c>
      <c r="D1807" s="15">
        <f>IFERROR(__xludf.DUMMYFUNCTION("""COMPUTED_VALUE"""),0.999)</f>
        <v>0.999</v>
      </c>
      <c r="E1807" s="16">
        <f>IFERROR(__xludf.DUMMYFUNCTION("""COMPUTED_VALUE"""),71.0)</f>
        <v>71</v>
      </c>
      <c r="F1807" s="19" t="str">
        <f>IFERROR(__xludf.DUMMYFUNCTION("""COMPUTED_VALUE"""),"BLUE")</f>
        <v>BLUE</v>
      </c>
      <c r="G1807" s="20" t="str">
        <f>IFERROR(__xludf.DUMMYFUNCTION("""COMPUTED_VALUE"""),"Uncle Sams Cider (04/04/2023)")</f>
        <v>Uncle Sams Cider (04/04/2023)</v>
      </c>
      <c r="H1807" s="19"/>
    </row>
    <row r="1808">
      <c r="A1808" s="9"/>
      <c r="B1808" s="15"/>
      <c r="C1808" s="9">
        <f>IFERROR(__xludf.DUMMYFUNCTION("""COMPUTED_VALUE"""),45125.6222519097)</f>
        <v>45125.62225</v>
      </c>
      <c r="D1808" s="15">
        <f>IFERROR(__xludf.DUMMYFUNCTION("""COMPUTED_VALUE"""),0.999)</f>
        <v>0.999</v>
      </c>
      <c r="E1808" s="16">
        <f>IFERROR(__xludf.DUMMYFUNCTION("""COMPUTED_VALUE"""),71.0)</f>
        <v>71</v>
      </c>
      <c r="F1808" s="19" t="str">
        <f>IFERROR(__xludf.DUMMYFUNCTION("""COMPUTED_VALUE"""),"BLUE")</f>
        <v>BLUE</v>
      </c>
      <c r="G1808" s="20" t="str">
        <f>IFERROR(__xludf.DUMMYFUNCTION("""COMPUTED_VALUE"""),"Uncle Sams Cider (04/04/2023)")</f>
        <v>Uncle Sams Cider (04/04/2023)</v>
      </c>
      <c r="H1808" s="19"/>
    </row>
    <row r="1809">
      <c r="A1809" s="9"/>
      <c r="B1809" s="15"/>
      <c r="C1809" s="9">
        <f>IFERROR(__xludf.DUMMYFUNCTION("""COMPUTED_VALUE"""),45125.6118306944)</f>
        <v>45125.61183</v>
      </c>
      <c r="D1809" s="15">
        <f>IFERROR(__xludf.DUMMYFUNCTION("""COMPUTED_VALUE"""),0.999)</f>
        <v>0.999</v>
      </c>
      <c r="E1809" s="16">
        <f>IFERROR(__xludf.DUMMYFUNCTION("""COMPUTED_VALUE"""),71.0)</f>
        <v>71</v>
      </c>
      <c r="F1809" s="19" t="str">
        <f>IFERROR(__xludf.DUMMYFUNCTION("""COMPUTED_VALUE"""),"BLUE")</f>
        <v>BLUE</v>
      </c>
      <c r="G1809" s="20" t="str">
        <f>IFERROR(__xludf.DUMMYFUNCTION("""COMPUTED_VALUE"""),"Uncle Sams Cider (04/04/2023)")</f>
        <v>Uncle Sams Cider (04/04/2023)</v>
      </c>
      <c r="H1809" s="19"/>
    </row>
    <row r="1810">
      <c r="A1810" s="9"/>
      <c r="B1810" s="15"/>
      <c r="C1810" s="9">
        <f>IFERROR(__xludf.DUMMYFUNCTION("""COMPUTED_VALUE"""),45125.6014101851)</f>
        <v>45125.60141</v>
      </c>
      <c r="D1810" s="15">
        <f>IFERROR(__xludf.DUMMYFUNCTION("""COMPUTED_VALUE"""),0.999)</f>
        <v>0.999</v>
      </c>
      <c r="E1810" s="16">
        <f>IFERROR(__xludf.DUMMYFUNCTION("""COMPUTED_VALUE"""),71.0)</f>
        <v>71</v>
      </c>
      <c r="F1810" s="19" t="str">
        <f>IFERROR(__xludf.DUMMYFUNCTION("""COMPUTED_VALUE"""),"BLUE")</f>
        <v>BLUE</v>
      </c>
      <c r="G1810" s="20" t="str">
        <f>IFERROR(__xludf.DUMMYFUNCTION("""COMPUTED_VALUE"""),"Uncle Sams Cider (04/04/2023)")</f>
        <v>Uncle Sams Cider (04/04/2023)</v>
      </c>
      <c r="H1810" s="19"/>
    </row>
    <row r="1811">
      <c r="A1811" s="9"/>
      <c r="B1811" s="15"/>
      <c r="C1811" s="9">
        <f>IFERROR(__xludf.DUMMYFUNCTION("""COMPUTED_VALUE"""),45125.5909645601)</f>
        <v>45125.59096</v>
      </c>
      <c r="D1811" s="15">
        <f>IFERROR(__xludf.DUMMYFUNCTION("""COMPUTED_VALUE"""),0.999)</f>
        <v>0.999</v>
      </c>
      <c r="E1811" s="16">
        <f>IFERROR(__xludf.DUMMYFUNCTION("""COMPUTED_VALUE"""),71.0)</f>
        <v>71</v>
      </c>
      <c r="F1811" s="19" t="str">
        <f>IFERROR(__xludf.DUMMYFUNCTION("""COMPUTED_VALUE"""),"BLUE")</f>
        <v>BLUE</v>
      </c>
      <c r="G1811" s="20" t="str">
        <f>IFERROR(__xludf.DUMMYFUNCTION("""COMPUTED_VALUE"""),"Uncle Sams Cider (04/04/2023)")</f>
        <v>Uncle Sams Cider (04/04/2023)</v>
      </c>
      <c r="H1811" s="19"/>
    </row>
    <row r="1812">
      <c r="A1812" s="9"/>
      <c r="B1812" s="15"/>
      <c r="C1812" s="9">
        <f>IFERROR(__xludf.DUMMYFUNCTION("""COMPUTED_VALUE"""),45125.5805441666)</f>
        <v>45125.58054</v>
      </c>
      <c r="D1812" s="15">
        <f>IFERROR(__xludf.DUMMYFUNCTION("""COMPUTED_VALUE"""),0.999)</f>
        <v>0.999</v>
      </c>
      <c r="E1812" s="16">
        <f>IFERROR(__xludf.DUMMYFUNCTION("""COMPUTED_VALUE"""),71.0)</f>
        <v>71</v>
      </c>
      <c r="F1812" s="19" t="str">
        <f>IFERROR(__xludf.DUMMYFUNCTION("""COMPUTED_VALUE"""),"BLUE")</f>
        <v>BLUE</v>
      </c>
      <c r="G1812" s="20" t="str">
        <f>IFERROR(__xludf.DUMMYFUNCTION("""COMPUTED_VALUE"""),"Uncle Sams Cider (04/04/2023)")</f>
        <v>Uncle Sams Cider (04/04/2023)</v>
      </c>
      <c r="H1812" s="19"/>
    </row>
    <row r="1813">
      <c r="A1813" s="9"/>
      <c r="B1813" s="15"/>
      <c r="C1813" s="9">
        <f>IFERROR(__xludf.DUMMYFUNCTION("""COMPUTED_VALUE"""),45125.5701097106)</f>
        <v>45125.57011</v>
      </c>
      <c r="D1813" s="15">
        <f>IFERROR(__xludf.DUMMYFUNCTION("""COMPUTED_VALUE"""),0.999)</f>
        <v>0.999</v>
      </c>
      <c r="E1813" s="16">
        <f>IFERROR(__xludf.DUMMYFUNCTION("""COMPUTED_VALUE"""),71.0)</f>
        <v>71</v>
      </c>
      <c r="F1813" s="19" t="str">
        <f>IFERROR(__xludf.DUMMYFUNCTION("""COMPUTED_VALUE"""),"BLUE")</f>
        <v>BLUE</v>
      </c>
      <c r="G1813" s="20" t="str">
        <f>IFERROR(__xludf.DUMMYFUNCTION("""COMPUTED_VALUE"""),"Uncle Sams Cider (04/04/2023)")</f>
        <v>Uncle Sams Cider (04/04/2023)</v>
      </c>
      <c r="H1813" s="19"/>
    </row>
    <row r="1814">
      <c r="A1814" s="9"/>
      <c r="B1814" s="15"/>
      <c r="C1814" s="9">
        <f>IFERROR(__xludf.DUMMYFUNCTION("""COMPUTED_VALUE"""),45125.5596890509)</f>
        <v>45125.55969</v>
      </c>
      <c r="D1814" s="15">
        <f>IFERROR(__xludf.DUMMYFUNCTION("""COMPUTED_VALUE"""),0.999)</f>
        <v>0.999</v>
      </c>
      <c r="E1814" s="16">
        <f>IFERROR(__xludf.DUMMYFUNCTION("""COMPUTED_VALUE"""),71.0)</f>
        <v>71</v>
      </c>
      <c r="F1814" s="19" t="str">
        <f>IFERROR(__xludf.DUMMYFUNCTION("""COMPUTED_VALUE"""),"BLUE")</f>
        <v>BLUE</v>
      </c>
      <c r="G1814" s="20" t="str">
        <f>IFERROR(__xludf.DUMMYFUNCTION("""COMPUTED_VALUE"""),"Uncle Sams Cider (04/04/2023)")</f>
        <v>Uncle Sams Cider (04/04/2023)</v>
      </c>
      <c r="H1814" s="19"/>
    </row>
    <row r="1815">
      <c r="A1815" s="9"/>
      <c r="B1815" s="15"/>
      <c r="C1815" s="9">
        <f>IFERROR(__xludf.DUMMYFUNCTION("""COMPUTED_VALUE"""),45125.5492682986)</f>
        <v>45125.54927</v>
      </c>
      <c r="D1815" s="15">
        <f>IFERROR(__xludf.DUMMYFUNCTION("""COMPUTED_VALUE"""),0.999)</f>
        <v>0.999</v>
      </c>
      <c r="E1815" s="16">
        <f>IFERROR(__xludf.DUMMYFUNCTION("""COMPUTED_VALUE"""),71.0)</f>
        <v>71</v>
      </c>
      <c r="F1815" s="19" t="str">
        <f>IFERROR(__xludf.DUMMYFUNCTION("""COMPUTED_VALUE"""),"BLUE")</f>
        <v>BLUE</v>
      </c>
      <c r="G1815" s="20" t="str">
        <f>IFERROR(__xludf.DUMMYFUNCTION("""COMPUTED_VALUE"""),"Uncle Sams Cider (04/04/2023)")</f>
        <v>Uncle Sams Cider (04/04/2023)</v>
      </c>
      <c r="H1815" s="19"/>
    </row>
    <row r="1816">
      <c r="A1816" s="9"/>
      <c r="B1816" s="15"/>
      <c r="C1816" s="9">
        <f>IFERROR(__xludf.DUMMYFUNCTION("""COMPUTED_VALUE"""),45125.5388473958)</f>
        <v>45125.53885</v>
      </c>
      <c r="D1816" s="15">
        <f>IFERROR(__xludf.DUMMYFUNCTION("""COMPUTED_VALUE"""),0.999)</f>
        <v>0.999</v>
      </c>
      <c r="E1816" s="16">
        <f>IFERROR(__xludf.DUMMYFUNCTION("""COMPUTED_VALUE"""),71.0)</f>
        <v>71</v>
      </c>
      <c r="F1816" s="19" t="str">
        <f>IFERROR(__xludf.DUMMYFUNCTION("""COMPUTED_VALUE"""),"BLUE")</f>
        <v>BLUE</v>
      </c>
      <c r="G1816" s="20" t="str">
        <f>IFERROR(__xludf.DUMMYFUNCTION("""COMPUTED_VALUE"""),"Uncle Sams Cider (04/04/2023)")</f>
        <v>Uncle Sams Cider (04/04/2023)</v>
      </c>
      <c r="H1816" s="19"/>
    </row>
    <row r="1817">
      <c r="A1817" s="9"/>
      <c r="B1817" s="15"/>
      <c r="C1817" s="9">
        <f>IFERROR(__xludf.DUMMYFUNCTION("""COMPUTED_VALUE"""),45125.5284285879)</f>
        <v>45125.52843</v>
      </c>
      <c r="D1817" s="15">
        <f>IFERROR(__xludf.DUMMYFUNCTION("""COMPUTED_VALUE"""),0.999)</f>
        <v>0.999</v>
      </c>
      <c r="E1817" s="16">
        <f>IFERROR(__xludf.DUMMYFUNCTION("""COMPUTED_VALUE"""),71.0)</f>
        <v>71</v>
      </c>
      <c r="F1817" s="19" t="str">
        <f>IFERROR(__xludf.DUMMYFUNCTION("""COMPUTED_VALUE"""),"BLUE")</f>
        <v>BLUE</v>
      </c>
      <c r="G1817" s="20" t="str">
        <f>IFERROR(__xludf.DUMMYFUNCTION("""COMPUTED_VALUE"""),"Uncle Sams Cider (04/04/2023)")</f>
        <v>Uncle Sams Cider (04/04/2023)</v>
      </c>
      <c r="H1817" s="19"/>
    </row>
    <row r="1818">
      <c r="A1818" s="9"/>
      <c r="B1818" s="15"/>
      <c r="C1818" s="9">
        <f>IFERROR(__xludf.DUMMYFUNCTION("""COMPUTED_VALUE"""),45125.5180075578)</f>
        <v>45125.51801</v>
      </c>
      <c r="D1818" s="15">
        <f>IFERROR(__xludf.DUMMYFUNCTION("""COMPUTED_VALUE"""),0.999)</f>
        <v>0.999</v>
      </c>
      <c r="E1818" s="16">
        <f>IFERROR(__xludf.DUMMYFUNCTION("""COMPUTED_VALUE"""),71.0)</f>
        <v>71</v>
      </c>
      <c r="F1818" s="19" t="str">
        <f>IFERROR(__xludf.DUMMYFUNCTION("""COMPUTED_VALUE"""),"BLUE")</f>
        <v>BLUE</v>
      </c>
      <c r="G1818" s="20" t="str">
        <f>IFERROR(__xludf.DUMMYFUNCTION("""COMPUTED_VALUE"""),"Uncle Sams Cider (04/04/2023)")</f>
        <v>Uncle Sams Cider (04/04/2023)</v>
      </c>
      <c r="H1818" s="19"/>
    </row>
    <row r="1819">
      <c r="A1819" s="9"/>
      <c r="B1819" s="15"/>
      <c r="C1819" s="9">
        <f>IFERROR(__xludf.DUMMYFUNCTION("""COMPUTED_VALUE"""),45125.5075742476)</f>
        <v>45125.50757</v>
      </c>
      <c r="D1819" s="15">
        <f>IFERROR(__xludf.DUMMYFUNCTION("""COMPUTED_VALUE"""),0.999)</f>
        <v>0.999</v>
      </c>
      <c r="E1819" s="16">
        <f>IFERROR(__xludf.DUMMYFUNCTION("""COMPUTED_VALUE"""),71.0)</f>
        <v>71</v>
      </c>
      <c r="F1819" s="19" t="str">
        <f>IFERROR(__xludf.DUMMYFUNCTION("""COMPUTED_VALUE"""),"BLUE")</f>
        <v>BLUE</v>
      </c>
      <c r="G1819" s="20" t="str">
        <f>IFERROR(__xludf.DUMMYFUNCTION("""COMPUTED_VALUE"""),"Uncle Sams Cider (04/04/2023)")</f>
        <v>Uncle Sams Cider (04/04/2023)</v>
      </c>
      <c r="H1819" s="19"/>
    </row>
    <row r="1820">
      <c r="A1820" s="9"/>
      <c r="B1820" s="15"/>
      <c r="C1820" s="9">
        <f>IFERROR(__xludf.DUMMYFUNCTION("""COMPUTED_VALUE"""),45125.4971547222)</f>
        <v>45125.49715</v>
      </c>
      <c r="D1820" s="15">
        <f>IFERROR(__xludf.DUMMYFUNCTION("""COMPUTED_VALUE"""),0.999)</f>
        <v>0.999</v>
      </c>
      <c r="E1820" s="16">
        <f>IFERROR(__xludf.DUMMYFUNCTION("""COMPUTED_VALUE"""),71.0)</f>
        <v>71</v>
      </c>
      <c r="F1820" s="19" t="str">
        <f>IFERROR(__xludf.DUMMYFUNCTION("""COMPUTED_VALUE"""),"BLUE")</f>
        <v>BLUE</v>
      </c>
      <c r="G1820" s="20" t="str">
        <f>IFERROR(__xludf.DUMMYFUNCTION("""COMPUTED_VALUE"""),"Uncle Sams Cider (04/04/2023)")</f>
        <v>Uncle Sams Cider (04/04/2023)</v>
      </c>
      <c r="H1820" s="19"/>
    </row>
    <row r="1821">
      <c r="A1821" s="9"/>
      <c r="B1821" s="15"/>
      <c r="C1821" s="9">
        <f>IFERROR(__xludf.DUMMYFUNCTION("""COMPUTED_VALUE"""),45125.4867225463)</f>
        <v>45125.48672</v>
      </c>
      <c r="D1821" s="15">
        <f>IFERROR(__xludf.DUMMYFUNCTION("""COMPUTED_VALUE"""),0.999)</f>
        <v>0.999</v>
      </c>
      <c r="E1821" s="16">
        <f>IFERROR(__xludf.DUMMYFUNCTION("""COMPUTED_VALUE"""),71.0)</f>
        <v>71</v>
      </c>
      <c r="F1821" s="19" t="str">
        <f>IFERROR(__xludf.DUMMYFUNCTION("""COMPUTED_VALUE"""),"BLUE")</f>
        <v>BLUE</v>
      </c>
      <c r="G1821" s="20" t="str">
        <f>IFERROR(__xludf.DUMMYFUNCTION("""COMPUTED_VALUE"""),"Uncle Sams Cider (04/04/2023)")</f>
        <v>Uncle Sams Cider (04/04/2023)</v>
      </c>
      <c r="H1821" s="19"/>
    </row>
    <row r="1822">
      <c r="A1822" s="9"/>
      <c r="B1822" s="15"/>
      <c r="C1822" s="9">
        <f>IFERROR(__xludf.DUMMYFUNCTION("""COMPUTED_VALUE"""),45125.4762770486)</f>
        <v>45125.47628</v>
      </c>
      <c r="D1822" s="15">
        <f>IFERROR(__xludf.DUMMYFUNCTION("""COMPUTED_VALUE"""),0.999)</f>
        <v>0.999</v>
      </c>
      <c r="E1822" s="16">
        <f>IFERROR(__xludf.DUMMYFUNCTION("""COMPUTED_VALUE"""),71.0)</f>
        <v>71</v>
      </c>
      <c r="F1822" s="19" t="str">
        <f>IFERROR(__xludf.DUMMYFUNCTION("""COMPUTED_VALUE"""),"BLUE")</f>
        <v>BLUE</v>
      </c>
      <c r="G1822" s="20" t="str">
        <f>IFERROR(__xludf.DUMMYFUNCTION("""COMPUTED_VALUE"""),"Uncle Sams Cider (04/04/2023)")</f>
        <v>Uncle Sams Cider (04/04/2023)</v>
      </c>
      <c r="H1822" s="19"/>
    </row>
    <row r="1823">
      <c r="A1823" s="9"/>
      <c r="B1823" s="15"/>
      <c r="C1823" s="9">
        <f>IFERROR(__xludf.DUMMYFUNCTION("""COMPUTED_VALUE"""),45125.4658563888)</f>
        <v>45125.46586</v>
      </c>
      <c r="D1823" s="15">
        <f>IFERROR(__xludf.DUMMYFUNCTION("""COMPUTED_VALUE"""),0.999)</f>
        <v>0.999</v>
      </c>
      <c r="E1823" s="16">
        <f>IFERROR(__xludf.DUMMYFUNCTION("""COMPUTED_VALUE"""),71.0)</f>
        <v>71</v>
      </c>
      <c r="F1823" s="19" t="str">
        <f>IFERROR(__xludf.DUMMYFUNCTION("""COMPUTED_VALUE"""),"BLUE")</f>
        <v>BLUE</v>
      </c>
      <c r="G1823" s="20" t="str">
        <f>IFERROR(__xludf.DUMMYFUNCTION("""COMPUTED_VALUE"""),"Uncle Sams Cider (04/04/2023)")</f>
        <v>Uncle Sams Cider (04/04/2023)</v>
      </c>
      <c r="H1823" s="19"/>
    </row>
    <row r="1824">
      <c r="A1824" s="9"/>
      <c r="B1824" s="15"/>
      <c r="C1824" s="9">
        <f>IFERROR(__xludf.DUMMYFUNCTION("""COMPUTED_VALUE"""),45125.4554377777)</f>
        <v>45125.45544</v>
      </c>
      <c r="D1824" s="15">
        <f>IFERROR(__xludf.DUMMYFUNCTION("""COMPUTED_VALUE"""),0.999)</f>
        <v>0.999</v>
      </c>
      <c r="E1824" s="16">
        <f>IFERROR(__xludf.DUMMYFUNCTION("""COMPUTED_VALUE"""),71.0)</f>
        <v>71</v>
      </c>
      <c r="F1824" s="19" t="str">
        <f>IFERROR(__xludf.DUMMYFUNCTION("""COMPUTED_VALUE"""),"BLUE")</f>
        <v>BLUE</v>
      </c>
      <c r="G1824" s="20" t="str">
        <f>IFERROR(__xludf.DUMMYFUNCTION("""COMPUTED_VALUE"""),"Uncle Sams Cider (04/04/2023)")</f>
        <v>Uncle Sams Cider (04/04/2023)</v>
      </c>
      <c r="H1824" s="19"/>
    </row>
    <row r="1825">
      <c r="A1825" s="9"/>
      <c r="B1825" s="15"/>
      <c r="C1825" s="9">
        <f>IFERROR(__xludf.DUMMYFUNCTION("""COMPUTED_VALUE"""),45125.4450159606)</f>
        <v>45125.44502</v>
      </c>
      <c r="D1825" s="15">
        <f>IFERROR(__xludf.DUMMYFUNCTION("""COMPUTED_VALUE"""),0.999)</f>
        <v>0.999</v>
      </c>
      <c r="E1825" s="16">
        <f>IFERROR(__xludf.DUMMYFUNCTION("""COMPUTED_VALUE"""),71.0)</f>
        <v>71</v>
      </c>
      <c r="F1825" s="19" t="str">
        <f>IFERROR(__xludf.DUMMYFUNCTION("""COMPUTED_VALUE"""),"BLUE")</f>
        <v>BLUE</v>
      </c>
      <c r="G1825" s="20" t="str">
        <f>IFERROR(__xludf.DUMMYFUNCTION("""COMPUTED_VALUE"""),"Uncle Sams Cider (04/04/2023)")</f>
        <v>Uncle Sams Cider (04/04/2023)</v>
      </c>
      <c r="H1825" s="19"/>
    </row>
    <row r="1826">
      <c r="A1826" s="9"/>
      <c r="B1826" s="15"/>
      <c r="C1826" s="9">
        <f>IFERROR(__xludf.DUMMYFUNCTION("""COMPUTED_VALUE"""),45125.4345942592)</f>
        <v>45125.43459</v>
      </c>
      <c r="D1826" s="15">
        <f>IFERROR(__xludf.DUMMYFUNCTION("""COMPUTED_VALUE"""),0.999)</f>
        <v>0.999</v>
      </c>
      <c r="E1826" s="16">
        <f>IFERROR(__xludf.DUMMYFUNCTION("""COMPUTED_VALUE"""),71.0)</f>
        <v>71</v>
      </c>
      <c r="F1826" s="19" t="str">
        <f>IFERROR(__xludf.DUMMYFUNCTION("""COMPUTED_VALUE"""),"BLUE")</f>
        <v>BLUE</v>
      </c>
      <c r="G1826" s="20" t="str">
        <f>IFERROR(__xludf.DUMMYFUNCTION("""COMPUTED_VALUE"""),"Uncle Sams Cider (04/04/2023)")</f>
        <v>Uncle Sams Cider (04/04/2023)</v>
      </c>
      <c r="H1826" s="19"/>
    </row>
    <row r="1827">
      <c r="A1827" s="9"/>
      <c r="B1827" s="15"/>
      <c r="C1827" s="9">
        <f>IFERROR(__xludf.DUMMYFUNCTION("""COMPUTED_VALUE"""),45125.4241732638)</f>
        <v>45125.42417</v>
      </c>
      <c r="D1827" s="15">
        <f>IFERROR(__xludf.DUMMYFUNCTION("""COMPUTED_VALUE"""),0.999)</f>
        <v>0.999</v>
      </c>
      <c r="E1827" s="16">
        <f>IFERROR(__xludf.DUMMYFUNCTION("""COMPUTED_VALUE"""),71.0)</f>
        <v>71</v>
      </c>
      <c r="F1827" s="19" t="str">
        <f>IFERROR(__xludf.DUMMYFUNCTION("""COMPUTED_VALUE"""),"BLUE")</f>
        <v>BLUE</v>
      </c>
      <c r="G1827" s="20" t="str">
        <f>IFERROR(__xludf.DUMMYFUNCTION("""COMPUTED_VALUE"""),"Uncle Sams Cider (04/04/2023)")</f>
        <v>Uncle Sams Cider (04/04/2023)</v>
      </c>
      <c r="H1827" s="19"/>
    </row>
    <row r="1828">
      <c r="A1828" s="9"/>
      <c r="B1828" s="15"/>
      <c r="C1828" s="9">
        <f>IFERROR(__xludf.DUMMYFUNCTION("""COMPUTED_VALUE"""),45125.4137530787)</f>
        <v>45125.41375</v>
      </c>
      <c r="D1828" s="15">
        <f>IFERROR(__xludf.DUMMYFUNCTION("""COMPUTED_VALUE"""),0.999)</f>
        <v>0.999</v>
      </c>
      <c r="E1828" s="16">
        <f>IFERROR(__xludf.DUMMYFUNCTION("""COMPUTED_VALUE"""),71.0)</f>
        <v>71</v>
      </c>
      <c r="F1828" s="19" t="str">
        <f>IFERROR(__xludf.DUMMYFUNCTION("""COMPUTED_VALUE"""),"BLUE")</f>
        <v>BLUE</v>
      </c>
      <c r="G1828" s="20" t="str">
        <f>IFERROR(__xludf.DUMMYFUNCTION("""COMPUTED_VALUE"""),"Uncle Sams Cider (04/04/2023)")</f>
        <v>Uncle Sams Cider (04/04/2023)</v>
      </c>
      <c r="H1828" s="19"/>
    </row>
    <row r="1829">
      <c r="A1829" s="9"/>
      <c r="B1829" s="15"/>
      <c r="C1829" s="9">
        <f>IFERROR(__xludf.DUMMYFUNCTION("""COMPUTED_VALUE"""),45125.403332581)</f>
        <v>45125.40333</v>
      </c>
      <c r="D1829" s="15">
        <f>IFERROR(__xludf.DUMMYFUNCTION("""COMPUTED_VALUE"""),0.999)</f>
        <v>0.999</v>
      </c>
      <c r="E1829" s="16">
        <f>IFERROR(__xludf.DUMMYFUNCTION("""COMPUTED_VALUE"""),71.0)</f>
        <v>71</v>
      </c>
      <c r="F1829" s="19" t="str">
        <f>IFERROR(__xludf.DUMMYFUNCTION("""COMPUTED_VALUE"""),"BLUE")</f>
        <v>BLUE</v>
      </c>
      <c r="G1829" s="20" t="str">
        <f>IFERROR(__xludf.DUMMYFUNCTION("""COMPUTED_VALUE"""),"Uncle Sams Cider (04/04/2023)")</f>
        <v>Uncle Sams Cider (04/04/2023)</v>
      </c>
      <c r="H1829" s="19"/>
    </row>
    <row r="1830">
      <c r="A1830" s="9"/>
      <c r="B1830" s="15"/>
      <c r="C1830" s="9">
        <f>IFERROR(__xludf.DUMMYFUNCTION("""COMPUTED_VALUE"""),45125.3929014236)</f>
        <v>45125.3929</v>
      </c>
      <c r="D1830" s="15">
        <f>IFERROR(__xludf.DUMMYFUNCTION("""COMPUTED_VALUE"""),0.999)</f>
        <v>0.999</v>
      </c>
      <c r="E1830" s="16">
        <f>IFERROR(__xludf.DUMMYFUNCTION("""COMPUTED_VALUE"""),71.0)</f>
        <v>71</v>
      </c>
      <c r="F1830" s="19" t="str">
        <f>IFERROR(__xludf.DUMMYFUNCTION("""COMPUTED_VALUE"""),"BLUE")</f>
        <v>BLUE</v>
      </c>
      <c r="G1830" s="20" t="str">
        <f>IFERROR(__xludf.DUMMYFUNCTION("""COMPUTED_VALUE"""),"Uncle Sams Cider (04/04/2023)")</f>
        <v>Uncle Sams Cider (04/04/2023)</v>
      </c>
      <c r="H1830" s="19"/>
    </row>
    <row r="1831">
      <c r="A1831" s="9"/>
      <c r="B1831" s="15"/>
      <c r="C1831" s="9">
        <f>IFERROR(__xludf.DUMMYFUNCTION("""COMPUTED_VALUE"""),45125.382478831)</f>
        <v>45125.38248</v>
      </c>
      <c r="D1831" s="15">
        <f>IFERROR(__xludf.DUMMYFUNCTION("""COMPUTED_VALUE"""),0.999)</f>
        <v>0.999</v>
      </c>
      <c r="E1831" s="16">
        <f>IFERROR(__xludf.DUMMYFUNCTION("""COMPUTED_VALUE"""),71.0)</f>
        <v>71</v>
      </c>
      <c r="F1831" s="19" t="str">
        <f>IFERROR(__xludf.DUMMYFUNCTION("""COMPUTED_VALUE"""),"BLUE")</f>
        <v>BLUE</v>
      </c>
      <c r="G1831" s="20" t="str">
        <f>IFERROR(__xludf.DUMMYFUNCTION("""COMPUTED_VALUE"""),"Uncle Sams Cider (04/04/2023)")</f>
        <v>Uncle Sams Cider (04/04/2023)</v>
      </c>
      <c r="H1831" s="19"/>
    </row>
    <row r="1832">
      <c r="A1832" s="9"/>
      <c r="B1832" s="15"/>
      <c r="C1832" s="9">
        <f>IFERROR(__xludf.DUMMYFUNCTION("""COMPUTED_VALUE"""),45125.372055706)</f>
        <v>45125.37206</v>
      </c>
      <c r="D1832" s="15">
        <f>IFERROR(__xludf.DUMMYFUNCTION("""COMPUTED_VALUE"""),0.999)</f>
        <v>0.999</v>
      </c>
      <c r="E1832" s="16">
        <f>IFERROR(__xludf.DUMMYFUNCTION("""COMPUTED_VALUE"""),71.0)</f>
        <v>71</v>
      </c>
      <c r="F1832" s="19" t="str">
        <f>IFERROR(__xludf.DUMMYFUNCTION("""COMPUTED_VALUE"""),"BLUE")</f>
        <v>BLUE</v>
      </c>
      <c r="G1832" s="20" t="str">
        <f>IFERROR(__xludf.DUMMYFUNCTION("""COMPUTED_VALUE"""),"Uncle Sams Cider (04/04/2023)")</f>
        <v>Uncle Sams Cider (04/04/2023)</v>
      </c>
      <c r="H1832" s="19"/>
    </row>
    <row r="1833">
      <c r="A1833" s="9"/>
      <c r="B1833" s="15"/>
      <c r="C1833" s="9">
        <f>IFERROR(__xludf.DUMMYFUNCTION("""COMPUTED_VALUE"""),45125.3616353125)</f>
        <v>45125.36164</v>
      </c>
      <c r="D1833" s="15">
        <f>IFERROR(__xludf.DUMMYFUNCTION("""COMPUTED_VALUE"""),0.999)</f>
        <v>0.999</v>
      </c>
      <c r="E1833" s="16">
        <f>IFERROR(__xludf.DUMMYFUNCTION("""COMPUTED_VALUE"""),71.0)</f>
        <v>71</v>
      </c>
      <c r="F1833" s="19" t="str">
        <f>IFERROR(__xludf.DUMMYFUNCTION("""COMPUTED_VALUE"""),"BLUE")</f>
        <v>BLUE</v>
      </c>
      <c r="G1833" s="20" t="str">
        <f>IFERROR(__xludf.DUMMYFUNCTION("""COMPUTED_VALUE"""),"Uncle Sams Cider (04/04/2023)")</f>
        <v>Uncle Sams Cider (04/04/2023)</v>
      </c>
      <c r="H1833" s="19"/>
    </row>
    <row r="1834">
      <c r="A1834" s="9"/>
      <c r="B1834" s="15"/>
      <c r="C1834" s="9">
        <f>IFERROR(__xludf.DUMMYFUNCTION("""COMPUTED_VALUE"""),45125.3512127546)</f>
        <v>45125.35121</v>
      </c>
      <c r="D1834" s="15">
        <f>IFERROR(__xludf.DUMMYFUNCTION("""COMPUTED_VALUE"""),0.998)</f>
        <v>0.998</v>
      </c>
      <c r="E1834" s="16">
        <f>IFERROR(__xludf.DUMMYFUNCTION("""COMPUTED_VALUE"""),71.0)</f>
        <v>71</v>
      </c>
      <c r="F1834" s="19" t="str">
        <f>IFERROR(__xludf.DUMMYFUNCTION("""COMPUTED_VALUE"""),"BLUE")</f>
        <v>BLUE</v>
      </c>
      <c r="G1834" s="20" t="str">
        <f>IFERROR(__xludf.DUMMYFUNCTION("""COMPUTED_VALUE"""),"Uncle Sams Cider (04/04/2023)")</f>
        <v>Uncle Sams Cider (04/04/2023)</v>
      </c>
      <c r="H1834" s="19"/>
    </row>
    <row r="1835">
      <c r="A1835" s="9"/>
      <c r="B1835" s="15"/>
      <c r="C1835" s="9">
        <f>IFERROR(__xludf.DUMMYFUNCTION("""COMPUTED_VALUE"""),45125.3407912384)</f>
        <v>45125.34079</v>
      </c>
      <c r="D1835" s="15">
        <f>IFERROR(__xludf.DUMMYFUNCTION("""COMPUTED_VALUE"""),0.998)</f>
        <v>0.998</v>
      </c>
      <c r="E1835" s="16">
        <f>IFERROR(__xludf.DUMMYFUNCTION("""COMPUTED_VALUE"""),71.0)</f>
        <v>71</v>
      </c>
      <c r="F1835" s="19" t="str">
        <f>IFERROR(__xludf.DUMMYFUNCTION("""COMPUTED_VALUE"""),"BLUE")</f>
        <v>BLUE</v>
      </c>
      <c r="G1835" s="20" t="str">
        <f>IFERROR(__xludf.DUMMYFUNCTION("""COMPUTED_VALUE"""),"Uncle Sams Cider (04/04/2023)")</f>
        <v>Uncle Sams Cider (04/04/2023)</v>
      </c>
      <c r="H1835" s="19"/>
    </row>
    <row r="1836">
      <c r="A1836" s="9"/>
      <c r="B1836" s="15"/>
      <c r="C1836" s="9">
        <f>IFERROR(__xludf.DUMMYFUNCTION("""COMPUTED_VALUE"""),45125.3303698032)</f>
        <v>45125.33037</v>
      </c>
      <c r="D1836" s="15">
        <f>IFERROR(__xludf.DUMMYFUNCTION("""COMPUTED_VALUE"""),0.998)</f>
        <v>0.998</v>
      </c>
      <c r="E1836" s="16">
        <f>IFERROR(__xludf.DUMMYFUNCTION("""COMPUTED_VALUE"""),71.0)</f>
        <v>71</v>
      </c>
      <c r="F1836" s="19" t="str">
        <f>IFERROR(__xludf.DUMMYFUNCTION("""COMPUTED_VALUE"""),"BLUE")</f>
        <v>BLUE</v>
      </c>
      <c r="G1836" s="20" t="str">
        <f>IFERROR(__xludf.DUMMYFUNCTION("""COMPUTED_VALUE"""),"Uncle Sams Cider (04/04/2023)")</f>
        <v>Uncle Sams Cider (04/04/2023)</v>
      </c>
      <c r="H1836" s="19"/>
    </row>
    <row r="1837">
      <c r="A1837" s="9"/>
      <c r="B1837" s="15"/>
      <c r="C1837" s="9">
        <f>IFERROR(__xludf.DUMMYFUNCTION("""COMPUTED_VALUE"""),45125.3199477314)</f>
        <v>45125.31995</v>
      </c>
      <c r="D1837" s="15">
        <f>IFERROR(__xludf.DUMMYFUNCTION("""COMPUTED_VALUE"""),0.998)</f>
        <v>0.998</v>
      </c>
      <c r="E1837" s="16">
        <f>IFERROR(__xludf.DUMMYFUNCTION("""COMPUTED_VALUE"""),71.0)</f>
        <v>71</v>
      </c>
      <c r="F1837" s="19" t="str">
        <f>IFERROR(__xludf.DUMMYFUNCTION("""COMPUTED_VALUE"""),"BLUE")</f>
        <v>BLUE</v>
      </c>
      <c r="G1837" s="20" t="str">
        <f>IFERROR(__xludf.DUMMYFUNCTION("""COMPUTED_VALUE"""),"Uncle Sams Cider (04/04/2023)")</f>
        <v>Uncle Sams Cider (04/04/2023)</v>
      </c>
      <c r="H1837" s="19"/>
    </row>
    <row r="1838">
      <c r="A1838" s="9"/>
      <c r="B1838" s="15"/>
      <c r="C1838" s="9">
        <f>IFERROR(__xludf.DUMMYFUNCTION("""COMPUTED_VALUE"""),45125.3095267592)</f>
        <v>45125.30953</v>
      </c>
      <c r="D1838" s="15">
        <f>IFERROR(__xludf.DUMMYFUNCTION("""COMPUTED_VALUE"""),0.999)</f>
        <v>0.999</v>
      </c>
      <c r="E1838" s="16">
        <f>IFERROR(__xludf.DUMMYFUNCTION("""COMPUTED_VALUE"""),71.0)</f>
        <v>71</v>
      </c>
      <c r="F1838" s="19" t="str">
        <f>IFERROR(__xludf.DUMMYFUNCTION("""COMPUTED_VALUE"""),"BLUE")</f>
        <v>BLUE</v>
      </c>
      <c r="G1838" s="20" t="str">
        <f>IFERROR(__xludf.DUMMYFUNCTION("""COMPUTED_VALUE"""),"Uncle Sams Cider (04/04/2023)")</f>
        <v>Uncle Sams Cider (04/04/2023)</v>
      </c>
      <c r="H1838" s="19"/>
    </row>
    <row r="1839">
      <c r="A1839" s="9"/>
      <c r="B1839" s="15"/>
      <c r="C1839" s="9">
        <f>IFERROR(__xludf.DUMMYFUNCTION("""COMPUTED_VALUE"""),45125.2990941898)</f>
        <v>45125.29909</v>
      </c>
      <c r="D1839" s="15">
        <f>IFERROR(__xludf.DUMMYFUNCTION("""COMPUTED_VALUE"""),0.999)</f>
        <v>0.999</v>
      </c>
      <c r="E1839" s="16">
        <f>IFERROR(__xludf.DUMMYFUNCTION("""COMPUTED_VALUE"""),71.0)</f>
        <v>71</v>
      </c>
      <c r="F1839" s="19" t="str">
        <f>IFERROR(__xludf.DUMMYFUNCTION("""COMPUTED_VALUE"""),"BLUE")</f>
        <v>BLUE</v>
      </c>
      <c r="G1839" s="20" t="str">
        <f>IFERROR(__xludf.DUMMYFUNCTION("""COMPUTED_VALUE"""),"Uncle Sams Cider (04/04/2023)")</f>
        <v>Uncle Sams Cider (04/04/2023)</v>
      </c>
      <c r="H1839" s="19"/>
    </row>
    <row r="1840">
      <c r="A1840" s="9"/>
      <c r="B1840" s="15"/>
      <c r="C1840" s="9">
        <f>IFERROR(__xludf.DUMMYFUNCTION("""COMPUTED_VALUE"""),45125.2886732638)</f>
        <v>45125.28867</v>
      </c>
      <c r="D1840" s="15">
        <f>IFERROR(__xludf.DUMMYFUNCTION("""COMPUTED_VALUE"""),0.998)</f>
        <v>0.998</v>
      </c>
      <c r="E1840" s="16">
        <f>IFERROR(__xludf.DUMMYFUNCTION("""COMPUTED_VALUE"""),71.0)</f>
        <v>71</v>
      </c>
      <c r="F1840" s="19" t="str">
        <f>IFERROR(__xludf.DUMMYFUNCTION("""COMPUTED_VALUE"""),"BLUE")</f>
        <v>BLUE</v>
      </c>
      <c r="G1840" s="20" t="str">
        <f>IFERROR(__xludf.DUMMYFUNCTION("""COMPUTED_VALUE"""),"Uncle Sams Cider (04/04/2023)")</f>
        <v>Uncle Sams Cider (04/04/2023)</v>
      </c>
      <c r="H1840" s="19"/>
    </row>
    <row r="1841">
      <c r="A1841" s="9"/>
      <c r="B1841" s="15"/>
      <c r="C1841" s="9">
        <f>IFERROR(__xludf.DUMMYFUNCTION("""COMPUTED_VALUE"""),45125.278239699)</f>
        <v>45125.27824</v>
      </c>
      <c r="D1841" s="15">
        <f>IFERROR(__xludf.DUMMYFUNCTION("""COMPUTED_VALUE"""),0.999)</f>
        <v>0.999</v>
      </c>
      <c r="E1841" s="16">
        <f>IFERROR(__xludf.DUMMYFUNCTION("""COMPUTED_VALUE"""),71.0)</f>
        <v>71</v>
      </c>
      <c r="F1841" s="19" t="str">
        <f>IFERROR(__xludf.DUMMYFUNCTION("""COMPUTED_VALUE"""),"BLUE")</f>
        <v>BLUE</v>
      </c>
      <c r="G1841" s="20" t="str">
        <f>IFERROR(__xludf.DUMMYFUNCTION("""COMPUTED_VALUE"""),"Uncle Sams Cider (04/04/2023)")</f>
        <v>Uncle Sams Cider (04/04/2023)</v>
      </c>
      <c r="H1841" s="19"/>
    </row>
    <row r="1842">
      <c r="A1842" s="9"/>
      <c r="B1842" s="15"/>
      <c r="C1842" s="9">
        <f>IFERROR(__xludf.DUMMYFUNCTION("""COMPUTED_VALUE"""),45125.2678197222)</f>
        <v>45125.26782</v>
      </c>
      <c r="D1842" s="15">
        <f>IFERROR(__xludf.DUMMYFUNCTION("""COMPUTED_VALUE"""),0.998)</f>
        <v>0.998</v>
      </c>
      <c r="E1842" s="16">
        <f>IFERROR(__xludf.DUMMYFUNCTION("""COMPUTED_VALUE"""),71.0)</f>
        <v>71</v>
      </c>
      <c r="F1842" s="19" t="str">
        <f>IFERROR(__xludf.DUMMYFUNCTION("""COMPUTED_VALUE"""),"BLUE")</f>
        <v>BLUE</v>
      </c>
      <c r="G1842" s="20" t="str">
        <f>IFERROR(__xludf.DUMMYFUNCTION("""COMPUTED_VALUE"""),"Uncle Sams Cider (04/04/2023)")</f>
        <v>Uncle Sams Cider (04/04/2023)</v>
      </c>
      <c r="H1842" s="19"/>
    </row>
    <row r="1843">
      <c r="A1843" s="9"/>
      <c r="B1843" s="15"/>
      <c r="C1843" s="9">
        <f>IFERROR(__xludf.DUMMYFUNCTION("""COMPUTED_VALUE"""),45125.2573975694)</f>
        <v>45125.2574</v>
      </c>
      <c r="D1843" s="15">
        <f>IFERROR(__xludf.DUMMYFUNCTION("""COMPUTED_VALUE"""),0.999)</f>
        <v>0.999</v>
      </c>
      <c r="E1843" s="16">
        <f>IFERROR(__xludf.DUMMYFUNCTION("""COMPUTED_VALUE"""),71.0)</f>
        <v>71</v>
      </c>
      <c r="F1843" s="19" t="str">
        <f>IFERROR(__xludf.DUMMYFUNCTION("""COMPUTED_VALUE"""),"BLUE")</f>
        <v>BLUE</v>
      </c>
      <c r="G1843" s="20" t="str">
        <f>IFERROR(__xludf.DUMMYFUNCTION("""COMPUTED_VALUE"""),"Uncle Sams Cider (04/04/2023)")</f>
        <v>Uncle Sams Cider (04/04/2023)</v>
      </c>
      <c r="H1843" s="19"/>
    </row>
    <row r="1844">
      <c r="A1844" s="9"/>
      <c r="B1844" s="15"/>
      <c r="C1844" s="9">
        <f>IFERROR(__xludf.DUMMYFUNCTION("""COMPUTED_VALUE"""),45125.2469755208)</f>
        <v>45125.24698</v>
      </c>
      <c r="D1844" s="15">
        <f>IFERROR(__xludf.DUMMYFUNCTION("""COMPUTED_VALUE"""),0.999)</f>
        <v>0.999</v>
      </c>
      <c r="E1844" s="16">
        <f>IFERROR(__xludf.DUMMYFUNCTION("""COMPUTED_VALUE"""),71.0)</f>
        <v>71</v>
      </c>
      <c r="F1844" s="19" t="str">
        <f>IFERROR(__xludf.DUMMYFUNCTION("""COMPUTED_VALUE"""),"BLUE")</f>
        <v>BLUE</v>
      </c>
      <c r="G1844" s="20" t="str">
        <f>IFERROR(__xludf.DUMMYFUNCTION("""COMPUTED_VALUE"""),"Uncle Sams Cider (04/04/2023)")</f>
        <v>Uncle Sams Cider (04/04/2023)</v>
      </c>
      <c r="H1844" s="19"/>
    </row>
    <row r="1845">
      <c r="A1845" s="9"/>
      <c r="B1845" s="15"/>
      <c r="C1845" s="9">
        <f>IFERROR(__xludf.DUMMYFUNCTION("""COMPUTED_VALUE"""),45125.2365548263)</f>
        <v>45125.23655</v>
      </c>
      <c r="D1845" s="15">
        <f>IFERROR(__xludf.DUMMYFUNCTION("""COMPUTED_VALUE"""),0.998)</f>
        <v>0.998</v>
      </c>
      <c r="E1845" s="16">
        <f>IFERROR(__xludf.DUMMYFUNCTION("""COMPUTED_VALUE"""),71.0)</f>
        <v>71</v>
      </c>
      <c r="F1845" s="19" t="str">
        <f>IFERROR(__xludf.DUMMYFUNCTION("""COMPUTED_VALUE"""),"BLUE")</f>
        <v>BLUE</v>
      </c>
      <c r="G1845" s="20" t="str">
        <f>IFERROR(__xludf.DUMMYFUNCTION("""COMPUTED_VALUE"""),"Uncle Sams Cider (04/04/2023)")</f>
        <v>Uncle Sams Cider (04/04/2023)</v>
      </c>
      <c r="H1845" s="19"/>
    </row>
    <row r="1846">
      <c r="A1846" s="9"/>
      <c r="B1846" s="15"/>
      <c r="C1846" s="9">
        <f>IFERROR(__xludf.DUMMYFUNCTION("""COMPUTED_VALUE"""),45125.2261320601)</f>
        <v>45125.22613</v>
      </c>
      <c r="D1846" s="15">
        <f>IFERROR(__xludf.DUMMYFUNCTION("""COMPUTED_VALUE"""),0.999)</f>
        <v>0.999</v>
      </c>
      <c r="E1846" s="16">
        <f>IFERROR(__xludf.DUMMYFUNCTION("""COMPUTED_VALUE"""),71.0)</f>
        <v>71</v>
      </c>
      <c r="F1846" s="19" t="str">
        <f>IFERROR(__xludf.DUMMYFUNCTION("""COMPUTED_VALUE"""),"BLUE")</f>
        <v>BLUE</v>
      </c>
      <c r="G1846" s="20" t="str">
        <f>IFERROR(__xludf.DUMMYFUNCTION("""COMPUTED_VALUE"""),"Uncle Sams Cider (04/04/2023)")</f>
        <v>Uncle Sams Cider (04/04/2023)</v>
      </c>
      <c r="H1846" s="19"/>
    </row>
    <row r="1847">
      <c r="A1847" s="9"/>
      <c r="B1847" s="15"/>
      <c r="C1847" s="9">
        <f>IFERROR(__xludf.DUMMYFUNCTION("""COMPUTED_VALUE"""),45125.2156993981)</f>
        <v>45125.2157</v>
      </c>
      <c r="D1847" s="15">
        <f>IFERROR(__xludf.DUMMYFUNCTION("""COMPUTED_VALUE"""),0.998)</f>
        <v>0.998</v>
      </c>
      <c r="E1847" s="16">
        <f>IFERROR(__xludf.DUMMYFUNCTION("""COMPUTED_VALUE"""),71.0)</f>
        <v>71</v>
      </c>
      <c r="F1847" s="19" t="str">
        <f>IFERROR(__xludf.DUMMYFUNCTION("""COMPUTED_VALUE"""),"BLUE")</f>
        <v>BLUE</v>
      </c>
      <c r="G1847" s="20" t="str">
        <f>IFERROR(__xludf.DUMMYFUNCTION("""COMPUTED_VALUE"""),"Uncle Sams Cider (04/04/2023)")</f>
        <v>Uncle Sams Cider (04/04/2023)</v>
      </c>
      <c r="H1847" s="19"/>
    </row>
    <row r="1848">
      <c r="A1848" s="9"/>
      <c r="B1848" s="15"/>
      <c r="C1848" s="9">
        <f>IFERROR(__xludf.DUMMYFUNCTION("""COMPUTED_VALUE"""),45125.2052776967)</f>
        <v>45125.20528</v>
      </c>
      <c r="D1848" s="15">
        <f>IFERROR(__xludf.DUMMYFUNCTION("""COMPUTED_VALUE"""),0.999)</f>
        <v>0.999</v>
      </c>
      <c r="E1848" s="16">
        <f>IFERROR(__xludf.DUMMYFUNCTION("""COMPUTED_VALUE"""),71.0)</f>
        <v>71</v>
      </c>
      <c r="F1848" s="19" t="str">
        <f>IFERROR(__xludf.DUMMYFUNCTION("""COMPUTED_VALUE"""),"BLUE")</f>
        <v>BLUE</v>
      </c>
      <c r="G1848" s="20" t="str">
        <f>IFERROR(__xludf.DUMMYFUNCTION("""COMPUTED_VALUE"""),"Uncle Sams Cider (04/04/2023)")</f>
        <v>Uncle Sams Cider (04/04/2023)</v>
      </c>
      <c r="H1848" s="19"/>
    </row>
    <row r="1849">
      <c r="A1849" s="9"/>
      <c r="B1849" s="15"/>
      <c r="C1849" s="9">
        <f>IFERROR(__xludf.DUMMYFUNCTION("""COMPUTED_VALUE"""),45125.1948559606)</f>
        <v>45125.19486</v>
      </c>
      <c r="D1849" s="15">
        <f>IFERROR(__xludf.DUMMYFUNCTION("""COMPUTED_VALUE"""),0.999)</f>
        <v>0.999</v>
      </c>
      <c r="E1849" s="16">
        <f>IFERROR(__xludf.DUMMYFUNCTION("""COMPUTED_VALUE"""),71.0)</f>
        <v>71</v>
      </c>
      <c r="F1849" s="19" t="str">
        <f>IFERROR(__xludf.DUMMYFUNCTION("""COMPUTED_VALUE"""),"BLUE")</f>
        <v>BLUE</v>
      </c>
      <c r="G1849" s="20" t="str">
        <f>IFERROR(__xludf.DUMMYFUNCTION("""COMPUTED_VALUE"""),"Uncle Sams Cider (04/04/2023)")</f>
        <v>Uncle Sams Cider (04/04/2023)</v>
      </c>
      <c r="H1849" s="19"/>
    </row>
    <row r="1850">
      <c r="A1850" s="9"/>
      <c r="B1850" s="15"/>
      <c r="C1850" s="9">
        <f>IFERROR(__xludf.DUMMYFUNCTION("""COMPUTED_VALUE"""),45125.1844357986)</f>
        <v>45125.18444</v>
      </c>
      <c r="D1850" s="15">
        <f>IFERROR(__xludf.DUMMYFUNCTION("""COMPUTED_VALUE"""),0.998)</f>
        <v>0.998</v>
      </c>
      <c r="E1850" s="16">
        <f>IFERROR(__xludf.DUMMYFUNCTION("""COMPUTED_VALUE"""),71.0)</f>
        <v>71</v>
      </c>
      <c r="F1850" s="19" t="str">
        <f>IFERROR(__xludf.DUMMYFUNCTION("""COMPUTED_VALUE"""),"BLUE")</f>
        <v>BLUE</v>
      </c>
      <c r="G1850" s="20" t="str">
        <f>IFERROR(__xludf.DUMMYFUNCTION("""COMPUTED_VALUE"""),"Uncle Sams Cider (04/04/2023)")</f>
        <v>Uncle Sams Cider (04/04/2023)</v>
      </c>
      <c r="H1850" s="19"/>
    </row>
    <row r="1851">
      <c r="A1851" s="9"/>
      <c r="B1851" s="15"/>
      <c r="C1851" s="9">
        <f>IFERROR(__xludf.DUMMYFUNCTION("""COMPUTED_VALUE"""),45125.1740137037)</f>
        <v>45125.17401</v>
      </c>
      <c r="D1851" s="15">
        <f>IFERROR(__xludf.DUMMYFUNCTION("""COMPUTED_VALUE"""),0.999)</f>
        <v>0.999</v>
      </c>
      <c r="E1851" s="16">
        <f>IFERROR(__xludf.DUMMYFUNCTION("""COMPUTED_VALUE"""),71.0)</f>
        <v>71</v>
      </c>
      <c r="F1851" s="19" t="str">
        <f>IFERROR(__xludf.DUMMYFUNCTION("""COMPUTED_VALUE"""),"BLUE")</f>
        <v>BLUE</v>
      </c>
      <c r="G1851" s="20" t="str">
        <f>IFERROR(__xludf.DUMMYFUNCTION("""COMPUTED_VALUE"""),"Uncle Sams Cider (04/04/2023)")</f>
        <v>Uncle Sams Cider (04/04/2023)</v>
      </c>
      <c r="H1851" s="19"/>
    </row>
    <row r="1852">
      <c r="A1852" s="9"/>
      <c r="B1852" s="15"/>
      <c r="C1852" s="9">
        <f>IFERROR(__xludf.DUMMYFUNCTION("""COMPUTED_VALUE"""),45125.1635923611)</f>
        <v>45125.16359</v>
      </c>
      <c r="D1852" s="15">
        <f>IFERROR(__xludf.DUMMYFUNCTION("""COMPUTED_VALUE"""),0.999)</f>
        <v>0.999</v>
      </c>
      <c r="E1852" s="16">
        <f>IFERROR(__xludf.DUMMYFUNCTION("""COMPUTED_VALUE"""),71.0)</f>
        <v>71</v>
      </c>
      <c r="F1852" s="19" t="str">
        <f>IFERROR(__xludf.DUMMYFUNCTION("""COMPUTED_VALUE"""),"BLUE")</f>
        <v>BLUE</v>
      </c>
      <c r="G1852" s="20" t="str">
        <f>IFERROR(__xludf.DUMMYFUNCTION("""COMPUTED_VALUE"""),"Uncle Sams Cider (04/04/2023)")</f>
        <v>Uncle Sams Cider (04/04/2023)</v>
      </c>
      <c r="H1852" s="19"/>
    </row>
    <row r="1853">
      <c r="A1853" s="9"/>
      <c r="B1853" s="15"/>
      <c r="C1853" s="9">
        <f>IFERROR(__xludf.DUMMYFUNCTION("""COMPUTED_VALUE"""),45125.1531711111)</f>
        <v>45125.15317</v>
      </c>
      <c r="D1853" s="15">
        <f>IFERROR(__xludf.DUMMYFUNCTION("""COMPUTED_VALUE"""),0.999)</f>
        <v>0.999</v>
      </c>
      <c r="E1853" s="16">
        <f>IFERROR(__xludf.DUMMYFUNCTION("""COMPUTED_VALUE"""),71.0)</f>
        <v>71</v>
      </c>
      <c r="F1853" s="19" t="str">
        <f>IFERROR(__xludf.DUMMYFUNCTION("""COMPUTED_VALUE"""),"BLUE")</f>
        <v>BLUE</v>
      </c>
      <c r="G1853" s="20" t="str">
        <f>IFERROR(__xludf.DUMMYFUNCTION("""COMPUTED_VALUE"""),"Uncle Sams Cider (04/04/2023)")</f>
        <v>Uncle Sams Cider (04/04/2023)</v>
      </c>
      <c r="H1853" s="19"/>
    </row>
    <row r="1854">
      <c r="A1854" s="9"/>
      <c r="B1854" s="15"/>
      <c r="C1854" s="9">
        <f>IFERROR(__xludf.DUMMYFUNCTION("""COMPUTED_VALUE"""),45125.1427510069)</f>
        <v>45125.14275</v>
      </c>
      <c r="D1854" s="15">
        <f>IFERROR(__xludf.DUMMYFUNCTION("""COMPUTED_VALUE"""),0.999)</f>
        <v>0.999</v>
      </c>
      <c r="E1854" s="16">
        <f>IFERROR(__xludf.DUMMYFUNCTION("""COMPUTED_VALUE"""),71.0)</f>
        <v>71</v>
      </c>
      <c r="F1854" s="19" t="str">
        <f>IFERROR(__xludf.DUMMYFUNCTION("""COMPUTED_VALUE"""),"BLUE")</f>
        <v>BLUE</v>
      </c>
      <c r="G1854" s="20" t="str">
        <f>IFERROR(__xludf.DUMMYFUNCTION("""COMPUTED_VALUE"""),"Uncle Sams Cider (04/04/2023)")</f>
        <v>Uncle Sams Cider (04/04/2023)</v>
      </c>
      <c r="H1854" s="19"/>
    </row>
    <row r="1855">
      <c r="A1855" s="9"/>
      <c r="B1855" s="15"/>
      <c r="C1855" s="9">
        <f>IFERROR(__xludf.DUMMYFUNCTION("""COMPUTED_VALUE"""),45125.1323188657)</f>
        <v>45125.13232</v>
      </c>
      <c r="D1855" s="15">
        <f>IFERROR(__xludf.DUMMYFUNCTION("""COMPUTED_VALUE"""),0.999)</f>
        <v>0.999</v>
      </c>
      <c r="E1855" s="16">
        <f>IFERROR(__xludf.DUMMYFUNCTION("""COMPUTED_VALUE"""),71.0)</f>
        <v>71</v>
      </c>
      <c r="F1855" s="19" t="str">
        <f>IFERROR(__xludf.DUMMYFUNCTION("""COMPUTED_VALUE"""),"BLUE")</f>
        <v>BLUE</v>
      </c>
      <c r="G1855" s="20" t="str">
        <f>IFERROR(__xludf.DUMMYFUNCTION("""COMPUTED_VALUE"""),"Uncle Sams Cider (04/04/2023)")</f>
        <v>Uncle Sams Cider (04/04/2023)</v>
      </c>
      <c r="H1855" s="19"/>
    </row>
    <row r="1856">
      <c r="A1856" s="9"/>
      <c r="B1856" s="15"/>
      <c r="C1856" s="9">
        <f>IFERROR(__xludf.DUMMYFUNCTION("""COMPUTED_VALUE"""),45125.1218971527)</f>
        <v>45125.1219</v>
      </c>
      <c r="D1856" s="15">
        <f>IFERROR(__xludf.DUMMYFUNCTION("""COMPUTED_VALUE"""),0.999)</f>
        <v>0.999</v>
      </c>
      <c r="E1856" s="16">
        <f>IFERROR(__xludf.DUMMYFUNCTION("""COMPUTED_VALUE"""),71.0)</f>
        <v>71</v>
      </c>
      <c r="F1856" s="19" t="str">
        <f>IFERROR(__xludf.DUMMYFUNCTION("""COMPUTED_VALUE"""),"BLUE")</f>
        <v>BLUE</v>
      </c>
      <c r="G1856" s="20" t="str">
        <f>IFERROR(__xludf.DUMMYFUNCTION("""COMPUTED_VALUE"""),"Uncle Sams Cider (04/04/2023)")</f>
        <v>Uncle Sams Cider (04/04/2023)</v>
      </c>
      <c r="H1856" s="19"/>
    </row>
    <row r="1857">
      <c r="A1857" s="9"/>
      <c r="B1857" s="15"/>
      <c r="C1857" s="9">
        <f>IFERROR(__xludf.DUMMYFUNCTION("""COMPUTED_VALUE"""),45125.1114756944)</f>
        <v>45125.11148</v>
      </c>
      <c r="D1857" s="15">
        <f>IFERROR(__xludf.DUMMYFUNCTION("""COMPUTED_VALUE"""),0.999)</f>
        <v>0.999</v>
      </c>
      <c r="E1857" s="16">
        <f>IFERROR(__xludf.DUMMYFUNCTION("""COMPUTED_VALUE"""),71.0)</f>
        <v>71</v>
      </c>
      <c r="F1857" s="19" t="str">
        <f>IFERROR(__xludf.DUMMYFUNCTION("""COMPUTED_VALUE"""),"BLUE")</f>
        <v>BLUE</v>
      </c>
      <c r="G1857" s="20" t="str">
        <f>IFERROR(__xludf.DUMMYFUNCTION("""COMPUTED_VALUE"""),"Uncle Sams Cider (04/04/2023)")</f>
        <v>Uncle Sams Cider (04/04/2023)</v>
      </c>
      <c r="H1857" s="19"/>
    </row>
    <row r="1858">
      <c r="A1858" s="9"/>
      <c r="B1858" s="15"/>
      <c r="C1858" s="9">
        <f>IFERROR(__xludf.DUMMYFUNCTION("""COMPUTED_VALUE"""),45125.1010556597)</f>
        <v>45125.10106</v>
      </c>
      <c r="D1858" s="15">
        <f>IFERROR(__xludf.DUMMYFUNCTION("""COMPUTED_VALUE"""),0.998)</f>
        <v>0.998</v>
      </c>
      <c r="E1858" s="16">
        <f>IFERROR(__xludf.DUMMYFUNCTION("""COMPUTED_VALUE"""),71.0)</f>
        <v>71</v>
      </c>
      <c r="F1858" s="19" t="str">
        <f>IFERROR(__xludf.DUMMYFUNCTION("""COMPUTED_VALUE"""),"BLUE")</f>
        <v>BLUE</v>
      </c>
      <c r="G1858" s="20" t="str">
        <f>IFERROR(__xludf.DUMMYFUNCTION("""COMPUTED_VALUE"""),"Uncle Sams Cider (04/04/2023)")</f>
        <v>Uncle Sams Cider (04/04/2023)</v>
      </c>
      <c r="H1858" s="19"/>
    </row>
    <row r="1859">
      <c r="A1859" s="9"/>
      <c r="B1859" s="15"/>
      <c r="C1859" s="9">
        <f>IFERROR(__xludf.DUMMYFUNCTION("""COMPUTED_VALUE"""),45125.0906342361)</f>
        <v>45125.09063</v>
      </c>
      <c r="D1859" s="15">
        <f>IFERROR(__xludf.DUMMYFUNCTION("""COMPUTED_VALUE"""),0.999)</f>
        <v>0.999</v>
      </c>
      <c r="E1859" s="16">
        <f>IFERROR(__xludf.DUMMYFUNCTION("""COMPUTED_VALUE"""),71.0)</f>
        <v>71</v>
      </c>
      <c r="F1859" s="19" t="str">
        <f>IFERROR(__xludf.DUMMYFUNCTION("""COMPUTED_VALUE"""),"BLUE")</f>
        <v>BLUE</v>
      </c>
      <c r="G1859" s="20" t="str">
        <f>IFERROR(__xludf.DUMMYFUNCTION("""COMPUTED_VALUE"""),"Uncle Sams Cider (04/04/2023)")</f>
        <v>Uncle Sams Cider (04/04/2023)</v>
      </c>
      <c r="H1859" s="19"/>
    </row>
    <row r="1860">
      <c r="A1860" s="9"/>
      <c r="B1860" s="15"/>
      <c r="C1860" s="9">
        <f>IFERROR(__xludf.DUMMYFUNCTION("""COMPUTED_VALUE"""),45125.0802136226)</f>
        <v>45125.08021</v>
      </c>
      <c r="D1860" s="15">
        <f>IFERROR(__xludf.DUMMYFUNCTION("""COMPUTED_VALUE"""),0.998)</f>
        <v>0.998</v>
      </c>
      <c r="E1860" s="16">
        <f>IFERROR(__xludf.DUMMYFUNCTION("""COMPUTED_VALUE"""),71.0)</f>
        <v>71</v>
      </c>
      <c r="F1860" s="19" t="str">
        <f>IFERROR(__xludf.DUMMYFUNCTION("""COMPUTED_VALUE"""),"BLUE")</f>
        <v>BLUE</v>
      </c>
      <c r="G1860" s="20" t="str">
        <f>IFERROR(__xludf.DUMMYFUNCTION("""COMPUTED_VALUE"""),"Uncle Sams Cider (04/04/2023)")</f>
        <v>Uncle Sams Cider (04/04/2023)</v>
      </c>
      <c r="H1860" s="19"/>
    </row>
    <row r="1861">
      <c r="A1861" s="9"/>
      <c r="B1861" s="15"/>
      <c r="C1861" s="9">
        <f>IFERROR(__xludf.DUMMYFUNCTION("""COMPUTED_VALUE"""),45125.0697916666)</f>
        <v>45125.06979</v>
      </c>
      <c r="D1861" s="15">
        <f>IFERROR(__xludf.DUMMYFUNCTION("""COMPUTED_VALUE"""),0.999)</f>
        <v>0.999</v>
      </c>
      <c r="E1861" s="16">
        <f>IFERROR(__xludf.DUMMYFUNCTION("""COMPUTED_VALUE"""),71.0)</f>
        <v>71</v>
      </c>
      <c r="F1861" s="19" t="str">
        <f>IFERROR(__xludf.DUMMYFUNCTION("""COMPUTED_VALUE"""),"BLUE")</f>
        <v>BLUE</v>
      </c>
      <c r="G1861" s="20" t="str">
        <f>IFERROR(__xludf.DUMMYFUNCTION("""COMPUTED_VALUE"""),"Uncle Sams Cider (04/04/2023)")</f>
        <v>Uncle Sams Cider (04/04/2023)</v>
      </c>
      <c r="H1861" s="19"/>
    </row>
    <row r="1862">
      <c r="A1862" s="9"/>
      <c r="B1862" s="15"/>
      <c r="C1862" s="9">
        <f>IFERROR(__xludf.DUMMYFUNCTION("""COMPUTED_VALUE"""),45125.0593715856)</f>
        <v>45125.05937</v>
      </c>
      <c r="D1862" s="15">
        <f>IFERROR(__xludf.DUMMYFUNCTION("""COMPUTED_VALUE"""),0.999)</f>
        <v>0.999</v>
      </c>
      <c r="E1862" s="16">
        <f>IFERROR(__xludf.DUMMYFUNCTION("""COMPUTED_VALUE"""),71.0)</f>
        <v>71</v>
      </c>
      <c r="F1862" s="19" t="str">
        <f>IFERROR(__xludf.DUMMYFUNCTION("""COMPUTED_VALUE"""),"BLUE")</f>
        <v>BLUE</v>
      </c>
      <c r="G1862" s="20" t="str">
        <f>IFERROR(__xludf.DUMMYFUNCTION("""COMPUTED_VALUE"""),"Uncle Sams Cider (04/04/2023)")</f>
        <v>Uncle Sams Cider (04/04/2023)</v>
      </c>
      <c r="H1862" s="19"/>
    </row>
    <row r="1863">
      <c r="A1863" s="9"/>
      <c r="B1863" s="15"/>
      <c r="C1863" s="9">
        <f>IFERROR(__xludf.DUMMYFUNCTION("""COMPUTED_VALUE"""),45125.0489512384)</f>
        <v>45125.04895</v>
      </c>
      <c r="D1863" s="15">
        <f>IFERROR(__xludf.DUMMYFUNCTION("""COMPUTED_VALUE"""),0.999)</f>
        <v>0.999</v>
      </c>
      <c r="E1863" s="16">
        <f>IFERROR(__xludf.DUMMYFUNCTION("""COMPUTED_VALUE"""),71.0)</f>
        <v>71</v>
      </c>
      <c r="F1863" s="19" t="str">
        <f>IFERROR(__xludf.DUMMYFUNCTION("""COMPUTED_VALUE"""),"BLUE")</f>
        <v>BLUE</v>
      </c>
      <c r="G1863" s="20" t="str">
        <f>IFERROR(__xludf.DUMMYFUNCTION("""COMPUTED_VALUE"""),"Uncle Sams Cider (04/04/2023)")</f>
        <v>Uncle Sams Cider (04/04/2023)</v>
      </c>
      <c r="H1863" s="19"/>
    </row>
    <row r="1864">
      <c r="A1864" s="9"/>
      <c r="B1864" s="15"/>
      <c r="C1864" s="9">
        <f>IFERROR(__xludf.DUMMYFUNCTION("""COMPUTED_VALUE"""),45125.0385290277)</f>
        <v>45125.03853</v>
      </c>
      <c r="D1864" s="15">
        <f>IFERROR(__xludf.DUMMYFUNCTION("""COMPUTED_VALUE"""),0.999)</f>
        <v>0.999</v>
      </c>
      <c r="E1864" s="16">
        <f>IFERROR(__xludf.DUMMYFUNCTION("""COMPUTED_VALUE"""),71.0)</f>
        <v>71</v>
      </c>
      <c r="F1864" s="19" t="str">
        <f>IFERROR(__xludf.DUMMYFUNCTION("""COMPUTED_VALUE"""),"BLUE")</f>
        <v>BLUE</v>
      </c>
      <c r="G1864" s="20" t="str">
        <f>IFERROR(__xludf.DUMMYFUNCTION("""COMPUTED_VALUE"""),"Uncle Sams Cider (04/04/2023)")</f>
        <v>Uncle Sams Cider (04/04/2023)</v>
      </c>
      <c r="H1864" s="19"/>
    </row>
    <row r="1865">
      <c r="A1865" s="9"/>
      <c r="B1865" s="15"/>
      <c r="C1865" s="9">
        <f>IFERROR(__xludf.DUMMYFUNCTION("""COMPUTED_VALUE"""),45125.0280964699)</f>
        <v>45125.0281</v>
      </c>
      <c r="D1865" s="15">
        <f>IFERROR(__xludf.DUMMYFUNCTION("""COMPUTED_VALUE"""),0.999)</f>
        <v>0.999</v>
      </c>
      <c r="E1865" s="16">
        <f>IFERROR(__xludf.DUMMYFUNCTION("""COMPUTED_VALUE"""),71.0)</f>
        <v>71</v>
      </c>
      <c r="F1865" s="19" t="str">
        <f>IFERROR(__xludf.DUMMYFUNCTION("""COMPUTED_VALUE"""),"BLUE")</f>
        <v>BLUE</v>
      </c>
      <c r="G1865" s="20" t="str">
        <f>IFERROR(__xludf.DUMMYFUNCTION("""COMPUTED_VALUE"""),"Uncle Sams Cider (04/04/2023)")</f>
        <v>Uncle Sams Cider (04/04/2023)</v>
      </c>
      <c r="H1865" s="19"/>
    </row>
    <row r="1866">
      <c r="A1866" s="9"/>
      <c r="B1866" s="15"/>
      <c r="C1866" s="9">
        <f>IFERROR(__xludf.DUMMYFUNCTION("""COMPUTED_VALUE"""),45125.0176760879)</f>
        <v>45125.01768</v>
      </c>
      <c r="D1866" s="15">
        <f>IFERROR(__xludf.DUMMYFUNCTION("""COMPUTED_VALUE"""),0.999)</f>
        <v>0.999</v>
      </c>
      <c r="E1866" s="16">
        <f>IFERROR(__xludf.DUMMYFUNCTION("""COMPUTED_VALUE"""),71.0)</f>
        <v>71</v>
      </c>
      <c r="F1866" s="19" t="str">
        <f>IFERROR(__xludf.DUMMYFUNCTION("""COMPUTED_VALUE"""),"BLUE")</f>
        <v>BLUE</v>
      </c>
      <c r="G1866" s="20" t="str">
        <f>IFERROR(__xludf.DUMMYFUNCTION("""COMPUTED_VALUE"""),"Uncle Sams Cider (04/04/2023)")</f>
        <v>Uncle Sams Cider (04/04/2023)</v>
      </c>
      <c r="H1866" s="19"/>
    </row>
    <row r="1867">
      <c r="A1867" s="9"/>
      <c r="B1867" s="15"/>
      <c r="C1867" s="9">
        <f>IFERROR(__xludf.DUMMYFUNCTION("""COMPUTED_VALUE"""),45125.0072530671)</f>
        <v>45125.00725</v>
      </c>
      <c r="D1867" s="15">
        <f>IFERROR(__xludf.DUMMYFUNCTION("""COMPUTED_VALUE"""),0.999)</f>
        <v>0.999</v>
      </c>
      <c r="E1867" s="16">
        <f>IFERROR(__xludf.DUMMYFUNCTION("""COMPUTED_VALUE"""),71.0)</f>
        <v>71</v>
      </c>
      <c r="F1867" s="19" t="str">
        <f>IFERROR(__xludf.DUMMYFUNCTION("""COMPUTED_VALUE"""),"BLUE")</f>
        <v>BLUE</v>
      </c>
      <c r="G1867" s="20" t="str">
        <f>IFERROR(__xludf.DUMMYFUNCTION("""COMPUTED_VALUE"""),"Uncle Sams Cider (04/04/2023)")</f>
        <v>Uncle Sams Cider (04/04/2023)</v>
      </c>
      <c r="H1867" s="19"/>
    </row>
    <row r="1868">
      <c r="A1868" s="9"/>
      <c r="B1868" s="15"/>
      <c r="C1868" s="9">
        <f>IFERROR(__xludf.DUMMYFUNCTION("""COMPUTED_VALUE"""),45124.9968191435)</f>
        <v>45124.99682</v>
      </c>
      <c r="D1868" s="15">
        <f>IFERROR(__xludf.DUMMYFUNCTION("""COMPUTED_VALUE"""),0.999)</f>
        <v>0.999</v>
      </c>
      <c r="E1868" s="16">
        <f>IFERROR(__xludf.DUMMYFUNCTION("""COMPUTED_VALUE"""),71.0)</f>
        <v>71</v>
      </c>
      <c r="F1868" s="19" t="str">
        <f>IFERROR(__xludf.DUMMYFUNCTION("""COMPUTED_VALUE"""),"BLUE")</f>
        <v>BLUE</v>
      </c>
      <c r="G1868" s="20" t="str">
        <f>IFERROR(__xludf.DUMMYFUNCTION("""COMPUTED_VALUE"""),"Uncle Sams Cider (04/04/2023)")</f>
        <v>Uncle Sams Cider (04/04/2023)</v>
      </c>
      <c r="H1868" s="19"/>
    </row>
    <row r="1869">
      <c r="A1869" s="9"/>
      <c r="B1869" s="15"/>
      <c r="C1869" s="9">
        <f>IFERROR(__xludf.DUMMYFUNCTION("""COMPUTED_VALUE"""),45124.9863993287)</f>
        <v>45124.9864</v>
      </c>
      <c r="D1869" s="15">
        <f>IFERROR(__xludf.DUMMYFUNCTION("""COMPUTED_VALUE"""),0.999)</f>
        <v>0.999</v>
      </c>
      <c r="E1869" s="16">
        <f>IFERROR(__xludf.DUMMYFUNCTION("""COMPUTED_VALUE"""),71.0)</f>
        <v>71</v>
      </c>
      <c r="F1869" s="19" t="str">
        <f>IFERROR(__xludf.DUMMYFUNCTION("""COMPUTED_VALUE"""),"BLUE")</f>
        <v>BLUE</v>
      </c>
      <c r="G1869" s="20" t="str">
        <f>IFERROR(__xludf.DUMMYFUNCTION("""COMPUTED_VALUE"""),"Uncle Sams Cider (04/04/2023)")</f>
        <v>Uncle Sams Cider (04/04/2023)</v>
      </c>
      <c r="H1869" s="19"/>
    </row>
    <row r="1870">
      <c r="A1870" s="9"/>
      <c r="B1870" s="15"/>
      <c r="C1870" s="9">
        <f>IFERROR(__xludf.DUMMYFUNCTION("""COMPUTED_VALUE"""),45124.9759775694)</f>
        <v>45124.97598</v>
      </c>
      <c r="D1870" s="15">
        <f>IFERROR(__xludf.DUMMYFUNCTION("""COMPUTED_VALUE"""),0.998)</f>
        <v>0.998</v>
      </c>
      <c r="E1870" s="16">
        <f>IFERROR(__xludf.DUMMYFUNCTION("""COMPUTED_VALUE"""),71.0)</f>
        <v>71</v>
      </c>
      <c r="F1870" s="19" t="str">
        <f>IFERROR(__xludf.DUMMYFUNCTION("""COMPUTED_VALUE"""),"BLUE")</f>
        <v>BLUE</v>
      </c>
      <c r="G1870" s="20" t="str">
        <f>IFERROR(__xludf.DUMMYFUNCTION("""COMPUTED_VALUE"""),"Uncle Sams Cider (04/04/2023)")</f>
        <v>Uncle Sams Cider (04/04/2023)</v>
      </c>
      <c r="H1870" s="19"/>
    </row>
    <row r="1871">
      <c r="A1871" s="9"/>
      <c r="B1871" s="15"/>
      <c r="C1871" s="9">
        <f>IFERROR(__xludf.DUMMYFUNCTION("""COMPUTED_VALUE"""),45124.9655575115)</f>
        <v>45124.96556</v>
      </c>
      <c r="D1871" s="15">
        <f>IFERROR(__xludf.DUMMYFUNCTION("""COMPUTED_VALUE"""),0.999)</f>
        <v>0.999</v>
      </c>
      <c r="E1871" s="16">
        <f>IFERROR(__xludf.DUMMYFUNCTION("""COMPUTED_VALUE"""),71.0)</f>
        <v>71</v>
      </c>
      <c r="F1871" s="19" t="str">
        <f>IFERROR(__xludf.DUMMYFUNCTION("""COMPUTED_VALUE"""),"BLUE")</f>
        <v>BLUE</v>
      </c>
      <c r="G1871" s="20" t="str">
        <f>IFERROR(__xludf.DUMMYFUNCTION("""COMPUTED_VALUE"""),"Uncle Sams Cider (04/04/2023)")</f>
        <v>Uncle Sams Cider (04/04/2023)</v>
      </c>
      <c r="H1871" s="19"/>
    </row>
    <row r="1872">
      <c r="A1872" s="9"/>
      <c r="B1872" s="15"/>
      <c r="C1872" s="9">
        <f>IFERROR(__xludf.DUMMYFUNCTION("""COMPUTED_VALUE"""),45124.9551376273)</f>
        <v>45124.95514</v>
      </c>
      <c r="D1872" s="15">
        <f>IFERROR(__xludf.DUMMYFUNCTION("""COMPUTED_VALUE"""),0.999)</f>
        <v>0.999</v>
      </c>
      <c r="E1872" s="16">
        <f>IFERROR(__xludf.DUMMYFUNCTION("""COMPUTED_VALUE"""),71.0)</f>
        <v>71</v>
      </c>
      <c r="F1872" s="19" t="str">
        <f>IFERROR(__xludf.DUMMYFUNCTION("""COMPUTED_VALUE"""),"BLUE")</f>
        <v>BLUE</v>
      </c>
      <c r="G1872" s="20" t="str">
        <f>IFERROR(__xludf.DUMMYFUNCTION("""COMPUTED_VALUE"""),"Uncle Sams Cider (04/04/2023)")</f>
        <v>Uncle Sams Cider (04/04/2023)</v>
      </c>
      <c r="H1872" s="19"/>
    </row>
    <row r="1873">
      <c r="A1873" s="9"/>
      <c r="B1873" s="15"/>
      <c r="C1873" s="9">
        <f>IFERROR(__xludf.DUMMYFUNCTION("""COMPUTED_VALUE"""),45124.9446937384)</f>
        <v>45124.94469</v>
      </c>
      <c r="D1873" s="15">
        <f>IFERROR(__xludf.DUMMYFUNCTION("""COMPUTED_VALUE"""),0.998)</f>
        <v>0.998</v>
      </c>
      <c r="E1873" s="16">
        <f>IFERROR(__xludf.DUMMYFUNCTION("""COMPUTED_VALUE"""),71.0)</f>
        <v>71</v>
      </c>
      <c r="F1873" s="19" t="str">
        <f>IFERROR(__xludf.DUMMYFUNCTION("""COMPUTED_VALUE"""),"BLUE")</f>
        <v>BLUE</v>
      </c>
      <c r="G1873" s="20" t="str">
        <f>IFERROR(__xludf.DUMMYFUNCTION("""COMPUTED_VALUE"""),"Uncle Sams Cider (04/04/2023)")</f>
        <v>Uncle Sams Cider (04/04/2023)</v>
      </c>
      <c r="H1873" s="19"/>
    </row>
    <row r="1874">
      <c r="A1874" s="9"/>
      <c r="B1874" s="15"/>
      <c r="C1874" s="9">
        <f>IFERROR(__xludf.DUMMYFUNCTION("""COMPUTED_VALUE"""),45124.9342718865)</f>
        <v>45124.93427</v>
      </c>
      <c r="D1874" s="15">
        <f>IFERROR(__xludf.DUMMYFUNCTION("""COMPUTED_VALUE"""),0.999)</f>
        <v>0.999</v>
      </c>
      <c r="E1874" s="16">
        <f>IFERROR(__xludf.DUMMYFUNCTION("""COMPUTED_VALUE"""),71.0)</f>
        <v>71</v>
      </c>
      <c r="F1874" s="19" t="str">
        <f>IFERROR(__xludf.DUMMYFUNCTION("""COMPUTED_VALUE"""),"BLUE")</f>
        <v>BLUE</v>
      </c>
      <c r="G1874" s="20" t="str">
        <f>IFERROR(__xludf.DUMMYFUNCTION("""COMPUTED_VALUE"""),"Uncle Sams Cider (04/04/2023)")</f>
        <v>Uncle Sams Cider (04/04/2023)</v>
      </c>
      <c r="H1874" s="19"/>
    </row>
    <row r="1875">
      <c r="A1875" s="9"/>
      <c r="B1875" s="15"/>
      <c r="C1875" s="9">
        <f>IFERROR(__xludf.DUMMYFUNCTION("""COMPUTED_VALUE"""),45124.923852662)</f>
        <v>45124.92385</v>
      </c>
      <c r="D1875" s="15">
        <f>IFERROR(__xludf.DUMMYFUNCTION("""COMPUTED_VALUE"""),0.999)</f>
        <v>0.999</v>
      </c>
      <c r="E1875" s="16">
        <f>IFERROR(__xludf.DUMMYFUNCTION("""COMPUTED_VALUE"""),71.0)</f>
        <v>71</v>
      </c>
      <c r="F1875" s="19" t="str">
        <f>IFERROR(__xludf.DUMMYFUNCTION("""COMPUTED_VALUE"""),"BLUE")</f>
        <v>BLUE</v>
      </c>
      <c r="G1875" s="20" t="str">
        <f>IFERROR(__xludf.DUMMYFUNCTION("""COMPUTED_VALUE"""),"Uncle Sams Cider (04/04/2023)")</f>
        <v>Uncle Sams Cider (04/04/2023)</v>
      </c>
      <c r="H1875" s="19"/>
    </row>
    <row r="1876">
      <c r="A1876" s="9"/>
      <c r="B1876" s="15"/>
      <c r="C1876" s="9">
        <f>IFERROR(__xludf.DUMMYFUNCTION("""COMPUTED_VALUE"""),45124.91343125)</f>
        <v>45124.91343</v>
      </c>
      <c r="D1876" s="15">
        <f>IFERROR(__xludf.DUMMYFUNCTION("""COMPUTED_VALUE"""),0.999)</f>
        <v>0.999</v>
      </c>
      <c r="E1876" s="16">
        <f>IFERROR(__xludf.DUMMYFUNCTION("""COMPUTED_VALUE"""),71.0)</f>
        <v>71</v>
      </c>
      <c r="F1876" s="19" t="str">
        <f>IFERROR(__xludf.DUMMYFUNCTION("""COMPUTED_VALUE"""),"BLUE")</f>
        <v>BLUE</v>
      </c>
      <c r="G1876" s="20" t="str">
        <f>IFERROR(__xludf.DUMMYFUNCTION("""COMPUTED_VALUE"""),"Uncle Sams Cider (04/04/2023)")</f>
        <v>Uncle Sams Cider (04/04/2023)</v>
      </c>
      <c r="H1876" s="19"/>
    </row>
    <row r="1877">
      <c r="A1877" s="9"/>
      <c r="B1877" s="15"/>
      <c r="C1877" s="9">
        <f>IFERROR(__xludf.DUMMYFUNCTION("""COMPUTED_VALUE"""),45124.9030095254)</f>
        <v>45124.90301</v>
      </c>
      <c r="D1877" s="15">
        <f>IFERROR(__xludf.DUMMYFUNCTION("""COMPUTED_VALUE"""),0.999)</f>
        <v>0.999</v>
      </c>
      <c r="E1877" s="16">
        <f>IFERROR(__xludf.DUMMYFUNCTION("""COMPUTED_VALUE"""),70.0)</f>
        <v>70</v>
      </c>
      <c r="F1877" s="19" t="str">
        <f>IFERROR(__xludf.DUMMYFUNCTION("""COMPUTED_VALUE"""),"BLUE")</f>
        <v>BLUE</v>
      </c>
      <c r="G1877" s="20" t="str">
        <f>IFERROR(__xludf.DUMMYFUNCTION("""COMPUTED_VALUE"""),"Uncle Sams Cider (04/04/2023)")</f>
        <v>Uncle Sams Cider (04/04/2023)</v>
      </c>
      <c r="H1877" s="19"/>
    </row>
    <row r="1878">
      <c r="A1878" s="9"/>
      <c r="B1878" s="15"/>
      <c r="C1878" s="9">
        <f>IFERROR(__xludf.DUMMYFUNCTION("""COMPUTED_VALUE"""),45124.8925762731)</f>
        <v>45124.89258</v>
      </c>
      <c r="D1878" s="15">
        <f>IFERROR(__xludf.DUMMYFUNCTION("""COMPUTED_VALUE"""),0.999)</f>
        <v>0.999</v>
      </c>
      <c r="E1878" s="16">
        <f>IFERROR(__xludf.DUMMYFUNCTION("""COMPUTED_VALUE"""),71.0)</f>
        <v>71</v>
      </c>
      <c r="F1878" s="19" t="str">
        <f>IFERROR(__xludf.DUMMYFUNCTION("""COMPUTED_VALUE"""),"BLUE")</f>
        <v>BLUE</v>
      </c>
      <c r="G1878" s="20" t="str">
        <f>IFERROR(__xludf.DUMMYFUNCTION("""COMPUTED_VALUE"""),"Uncle Sams Cider (04/04/2023)")</f>
        <v>Uncle Sams Cider (04/04/2023)</v>
      </c>
      <c r="H1878" s="19"/>
    </row>
    <row r="1879">
      <c r="A1879" s="9"/>
      <c r="B1879" s="15"/>
      <c r="C1879" s="9">
        <f>IFERROR(__xludf.DUMMYFUNCTION("""COMPUTED_VALUE"""),45124.8821446527)</f>
        <v>45124.88214</v>
      </c>
      <c r="D1879" s="15">
        <f>IFERROR(__xludf.DUMMYFUNCTION("""COMPUTED_VALUE"""),0.999)</f>
        <v>0.999</v>
      </c>
      <c r="E1879" s="16">
        <f>IFERROR(__xludf.DUMMYFUNCTION("""COMPUTED_VALUE"""),70.0)</f>
        <v>70</v>
      </c>
      <c r="F1879" s="19" t="str">
        <f>IFERROR(__xludf.DUMMYFUNCTION("""COMPUTED_VALUE"""),"BLUE")</f>
        <v>BLUE</v>
      </c>
      <c r="G1879" s="20" t="str">
        <f>IFERROR(__xludf.DUMMYFUNCTION("""COMPUTED_VALUE"""),"Uncle Sams Cider (04/04/2023)")</f>
        <v>Uncle Sams Cider (04/04/2023)</v>
      </c>
      <c r="H1879" s="19"/>
    </row>
    <row r="1880">
      <c r="A1880" s="9"/>
      <c r="B1880" s="15"/>
      <c r="C1880" s="9">
        <f>IFERROR(__xludf.DUMMYFUNCTION("""COMPUTED_VALUE"""),45124.8717234953)</f>
        <v>45124.87172</v>
      </c>
      <c r="D1880" s="15">
        <f>IFERROR(__xludf.DUMMYFUNCTION("""COMPUTED_VALUE"""),0.999)</f>
        <v>0.999</v>
      </c>
      <c r="E1880" s="16">
        <f>IFERROR(__xludf.DUMMYFUNCTION("""COMPUTED_VALUE"""),70.0)</f>
        <v>70</v>
      </c>
      <c r="F1880" s="19" t="str">
        <f>IFERROR(__xludf.DUMMYFUNCTION("""COMPUTED_VALUE"""),"BLUE")</f>
        <v>BLUE</v>
      </c>
      <c r="G1880" s="20" t="str">
        <f>IFERROR(__xludf.DUMMYFUNCTION("""COMPUTED_VALUE"""),"Uncle Sams Cider (04/04/2023)")</f>
        <v>Uncle Sams Cider (04/04/2023)</v>
      </c>
      <c r="H1880" s="19"/>
    </row>
    <row r="1881">
      <c r="A1881" s="9"/>
      <c r="B1881" s="15"/>
      <c r="C1881" s="9">
        <f>IFERROR(__xludf.DUMMYFUNCTION("""COMPUTED_VALUE"""),45124.8613024768)</f>
        <v>45124.8613</v>
      </c>
      <c r="D1881" s="15">
        <f>IFERROR(__xludf.DUMMYFUNCTION("""COMPUTED_VALUE"""),0.999)</f>
        <v>0.999</v>
      </c>
      <c r="E1881" s="16">
        <f>IFERROR(__xludf.DUMMYFUNCTION("""COMPUTED_VALUE"""),71.0)</f>
        <v>71</v>
      </c>
      <c r="F1881" s="19" t="str">
        <f>IFERROR(__xludf.DUMMYFUNCTION("""COMPUTED_VALUE"""),"BLUE")</f>
        <v>BLUE</v>
      </c>
      <c r="G1881" s="20" t="str">
        <f>IFERROR(__xludf.DUMMYFUNCTION("""COMPUTED_VALUE"""),"Uncle Sams Cider (04/04/2023)")</f>
        <v>Uncle Sams Cider (04/04/2023)</v>
      </c>
      <c r="H1881" s="19"/>
    </row>
    <row r="1882">
      <c r="A1882" s="9"/>
      <c r="B1882" s="15"/>
      <c r="C1882" s="9">
        <f>IFERROR(__xludf.DUMMYFUNCTION("""COMPUTED_VALUE"""),45124.8508804282)</f>
        <v>45124.85088</v>
      </c>
      <c r="D1882" s="15">
        <f>IFERROR(__xludf.DUMMYFUNCTION("""COMPUTED_VALUE"""),0.999)</f>
        <v>0.999</v>
      </c>
      <c r="E1882" s="16">
        <f>IFERROR(__xludf.DUMMYFUNCTION("""COMPUTED_VALUE"""),70.0)</f>
        <v>70</v>
      </c>
      <c r="F1882" s="19" t="str">
        <f>IFERROR(__xludf.DUMMYFUNCTION("""COMPUTED_VALUE"""),"BLUE")</f>
        <v>BLUE</v>
      </c>
      <c r="G1882" s="20" t="str">
        <f>IFERROR(__xludf.DUMMYFUNCTION("""COMPUTED_VALUE"""),"Uncle Sams Cider (04/04/2023)")</f>
        <v>Uncle Sams Cider (04/04/2023)</v>
      </c>
      <c r="H1882" s="19"/>
    </row>
    <row r="1883">
      <c r="A1883" s="9"/>
      <c r="B1883" s="15"/>
      <c r="C1883" s="9">
        <f>IFERROR(__xludf.DUMMYFUNCTION("""COMPUTED_VALUE"""),45124.8404604861)</f>
        <v>45124.84046</v>
      </c>
      <c r="D1883" s="15">
        <f>IFERROR(__xludf.DUMMYFUNCTION("""COMPUTED_VALUE"""),0.999)</f>
        <v>0.999</v>
      </c>
      <c r="E1883" s="16">
        <f>IFERROR(__xludf.DUMMYFUNCTION("""COMPUTED_VALUE"""),70.0)</f>
        <v>70</v>
      </c>
      <c r="F1883" s="19" t="str">
        <f>IFERROR(__xludf.DUMMYFUNCTION("""COMPUTED_VALUE"""),"BLUE")</f>
        <v>BLUE</v>
      </c>
      <c r="G1883" s="20" t="str">
        <f>IFERROR(__xludf.DUMMYFUNCTION("""COMPUTED_VALUE"""),"Uncle Sams Cider (04/04/2023)")</f>
        <v>Uncle Sams Cider (04/04/2023)</v>
      </c>
      <c r="H1883" s="19"/>
    </row>
    <row r="1884">
      <c r="A1884" s="9"/>
      <c r="B1884" s="15"/>
      <c r="C1884" s="9">
        <f>IFERROR(__xludf.DUMMYFUNCTION("""COMPUTED_VALUE"""),45124.8300385879)</f>
        <v>45124.83004</v>
      </c>
      <c r="D1884" s="15">
        <f>IFERROR(__xludf.DUMMYFUNCTION("""COMPUTED_VALUE"""),0.999)</f>
        <v>0.999</v>
      </c>
      <c r="E1884" s="16">
        <f>IFERROR(__xludf.DUMMYFUNCTION("""COMPUTED_VALUE"""),70.0)</f>
        <v>70</v>
      </c>
      <c r="F1884" s="19" t="str">
        <f>IFERROR(__xludf.DUMMYFUNCTION("""COMPUTED_VALUE"""),"BLUE")</f>
        <v>BLUE</v>
      </c>
      <c r="G1884" s="20" t="str">
        <f>IFERROR(__xludf.DUMMYFUNCTION("""COMPUTED_VALUE"""),"Uncle Sams Cider (04/04/2023)")</f>
        <v>Uncle Sams Cider (04/04/2023)</v>
      </c>
      <c r="H1884" s="19"/>
    </row>
    <row r="1885">
      <c r="A1885" s="9"/>
      <c r="B1885" s="15"/>
      <c r="C1885" s="9">
        <f>IFERROR(__xludf.DUMMYFUNCTION("""COMPUTED_VALUE"""),45124.8196156481)</f>
        <v>45124.81962</v>
      </c>
      <c r="D1885" s="15">
        <f>IFERROR(__xludf.DUMMYFUNCTION("""COMPUTED_VALUE"""),0.999)</f>
        <v>0.999</v>
      </c>
      <c r="E1885" s="16">
        <f>IFERROR(__xludf.DUMMYFUNCTION("""COMPUTED_VALUE"""),71.0)</f>
        <v>71</v>
      </c>
      <c r="F1885" s="19" t="str">
        <f>IFERROR(__xludf.DUMMYFUNCTION("""COMPUTED_VALUE"""),"BLUE")</f>
        <v>BLUE</v>
      </c>
      <c r="G1885" s="20" t="str">
        <f>IFERROR(__xludf.DUMMYFUNCTION("""COMPUTED_VALUE"""),"Uncle Sams Cider (04/04/2023)")</f>
        <v>Uncle Sams Cider (04/04/2023)</v>
      </c>
      <c r="H1885" s="19"/>
    </row>
    <row r="1886">
      <c r="A1886" s="9"/>
      <c r="B1886" s="15"/>
      <c r="C1886" s="9">
        <f>IFERROR(__xludf.DUMMYFUNCTION("""COMPUTED_VALUE"""),45124.8091940509)</f>
        <v>45124.80919</v>
      </c>
      <c r="D1886" s="15">
        <f>IFERROR(__xludf.DUMMYFUNCTION("""COMPUTED_VALUE"""),0.999)</f>
        <v>0.999</v>
      </c>
      <c r="E1886" s="16">
        <f>IFERROR(__xludf.DUMMYFUNCTION("""COMPUTED_VALUE"""),70.0)</f>
        <v>70</v>
      </c>
      <c r="F1886" s="19" t="str">
        <f>IFERROR(__xludf.DUMMYFUNCTION("""COMPUTED_VALUE"""),"BLUE")</f>
        <v>BLUE</v>
      </c>
      <c r="G1886" s="20" t="str">
        <f>IFERROR(__xludf.DUMMYFUNCTION("""COMPUTED_VALUE"""),"Uncle Sams Cider (04/04/2023)")</f>
        <v>Uncle Sams Cider (04/04/2023)</v>
      </c>
      <c r="H1886" s="19"/>
    </row>
    <row r="1887">
      <c r="A1887" s="9"/>
      <c r="B1887" s="15"/>
      <c r="C1887" s="9">
        <f>IFERROR(__xludf.DUMMYFUNCTION("""COMPUTED_VALUE"""),45124.7987725694)</f>
        <v>45124.79877</v>
      </c>
      <c r="D1887" s="15">
        <f>IFERROR(__xludf.DUMMYFUNCTION("""COMPUTED_VALUE"""),0.999)</f>
        <v>0.999</v>
      </c>
      <c r="E1887" s="16">
        <f>IFERROR(__xludf.DUMMYFUNCTION("""COMPUTED_VALUE"""),70.0)</f>
        <v>70</v>
      </c>
      <c r="F1887" s="19" t="str">
        <f>IFERROR(__xludf.DUMMYFUNCTION("""COMPUTED_VALUE"""),"BLUE")</f>
        <v>BLUE</v>
      </c>
      <c r="G1887" s="20" t="str">
        <f>IFERROR(__xludf.DUMMYFUNCTION("""COMPUTED_VALUE"""),"Uncle Sams Cider (04/04/2023)")</f>
        <v>Uncle Sams Cider (04/04/2023)</v>
      </c>
      <c r="H1887" s="19"/>
    </row>
    <row r="1888">
      <c r="A1888" s="9"/>
      <c r="B1888" s="15"/>
      <c r="C1888" s="9">
        <f>IFERROR(__xludf.DUMMYFUNCTION("""COMPUTED_VALUE"""),45124.78834)</f>
        <v>45124.78834</v>
      </c>
      <c r="D1888" s="15">
        <f>IFERROR(__xludf.DUMMYFUNCTION("""COMPUTED_VALUE"""),0.999)</f>
        <v>0.999</v>
      </c>
      <c r="E1888" s="16">
        <f>IFERROR(__xludf.DUMMYFUNCTION("""COMPUTED_VALUE"""),70.0)</f>
        <v>70</v>
      </c>
      <c r="F1888" s="19" t="str">
        <f>IFERROR(__xludf.DUMMYFUNCTION("""COMPUTED_VALUE"""),"BLUE")</f>
        <v>BLUE</v>
      </c>
      <c r="G1888" s="20" t="str">
        <f>IFERROR(__xludf.DUMMYFUNCTION("""COMPUTED_VALUE"""),"Uncle Sams Cider (04/04/2023)")</f>
        <v>Uncle Sams Cider (04/04/2023)</v>
      </c>
      <c r="H1888" s="19"/>
    </row>
    <row r="1889">
      <c r="A1889" s="9"/>
      <c r="B1889" s="15"/>
      <c r="C1889" s="9">
        <f>IFERROR(__xludf.DUMMYFUNCTION("""COMPUTED_VALUE"""),45124.7779190856)</f>
        <v>45124.77792</v>
      </c>
      <c r="D1889" s="15">
        <f>IFERROR(__xludf.DUMMYFUNCTION("""COMPUTED_VALUE"""),0.999)</f>
        <v>0.999</v>
      </c>
      <c r="E1889" s="16">
        <f>IFERROR(__xludf.DUMMYFUNCTION("""COMPUTED_VALUE"""),70.0)</f>
        <v>70</v>
      </c>
      <c r="F1889" s="19" t="str">
        <f>IFERROR(__xludf.DUMMYFUNCTION("""COMPUTED_VALUE"""),"BLUE")</f>
        <v>BLUE</v>
      </c>
      <c r="G1889" s="20" t="str">
        <f>IFERROR(__xludf.DUMMYFUNCTION("""COMPUTED_VALUE"""),"Uncle Sams Cider (04/04/2023)")</f>
        <v>Uncle Sams Cider (04/04/2023)</v>
      </c>
      <c r="H1889" s="19"/>
    </row>
    <row r="1890">
      <c r="A1890" s="9"/>
      <c r="B1890" s="15"/>
      <c r="C1890" s="9">
        <f>IFERROR(__xludf.DUMMYFUNCTION("""COMPUTED_VALUE"""),45124.7674631134)</f>
        <v>45124.76746</v>
      </c>
      <c r="D1890" s="15">
        <f>IFERROR(__xludf.DUMMYFUNCTION("""COMPUTED_VALUE"""),0.999)</f>
        <v>0.999</v>
      </c>
      <c r="E1890" s="16">
        <f>IFERROR(__xludf.DUMMYFUNCTION("""COMPUTED_VALUE"""),70.0)</f>
        <v>70</v>
      </c>
      <c r="F1890" s="19" t="str">
        <f>IFERROR(__xludf.DUMMYFUNCTION("""COMPUTED_VALUE"""),"BLUE")</f>
        <v>BLUE</v>
      </c>
      <c r="G1890" s="20" t="str">
        <f>IFERROR(__xludf.DUMMYFUNCTION("""COMPUTED_VALUE"""),"Uncle Sams Cider (04/04/2023)")</f>
        <v>Uncle Sams Cider (04/04/2023)</v>
      </c>
      <c r="H1890" s="19"/>
    </row>
    <row r="1891">
      <c r="A1891" s="9"/>
      <c r="B1891" s="15"/>
      <c r="C1891" s="9">
        <f>IFERROR(__xludf.DUMMYFUNCTION("""COMPUTED_VALUE"""),45124.7570421412)</f>
        <v>45124.75704</v>
      </c>
      <c r="D1891" s="15">
        <f>IFERROR(__xludf.DUMMYFUNCTION("""COMPUTED_VALUE"""),0.999)</f>
        <v>0.999</v>
      </c>
      <c r="E1891" s="16">
        <f>IFERROR(__xludf.DUMMYFUNCTION("""COMPUTED_VALUE"""),70.0)</f>
        <v>70</v>
      </c>
      <c r="F1891" s="19" t="str">
        <f>IFERROR(__xludf.DUMMYFUNCTION("""COMPUTED_VALUE"""),"BLUE")</f>
        <v>BLUE</v>
      </c>
      <c r="G1891" s="20" t="str">
        <f>IFERROR(__xludf.DUMMYFUNCTION("""COMPUTED_VALUE"""),"Uncle Sams Cider (04/04/2023)")</f>
        <v>Uncle Sams Cider (04/04/2023)</v>
      </c>
      <c r="H1891" s="19"/>
    </row>
    <row r="1892">
      <c r="A1892" s="9"/>
      <c r="B1892" s="15"/>
      <c r="C1892" s="9">
        <f>IFERROR(__xludf.DUMMYFUNCTION("""COMPUTED_VALUE"""),45124.7465860069)</f>
        <v>45124.74659</v>
      </c>
      <c r="D1892" s="15">
        <f>IFERROR(__xludf.DUMMYFUNCTION("""COMPUTED_VALUE"""),0.999)</f>
        <v>0.999</v>
      </c>
      <c r="E1892" s="16">
        <f>IFERROR(__xludf.DUMMYFUNCTION("""COMPUTED_VALUE"""),70.0)</f>
        <v>70</v>
      </c>
      <c r="F1892" s="19" t="str">
        <f>IFERROR(__xludf.DUMMYFUNCTION("""COMPUTED_VALUE"""),"BLUE")</f>
        <v>BLUE</v>
      </c>
      <c r="G1892" s="20" t="str">
        <f>IFERROR(__xludf.DUMMYFUNCTION("""COMPUTED_VALUE"""),"Uncle Sams Cider (04/04/2023)")</f>
        <v>Uncle Sams Cider (04/04/2023)</v>
      </c>
      <c r="H1892" s="19"/>
    </row>
    <row r="1893">
      <c r="A1893" s="9"/>
      <c r="B1893" s="15"/>
      <c r="C1893" s="9">
        <f>IFERROR(__xludf.DUMMYFUNCTION("""COMPUTED_VALUE"""),45124.7361644907)</f>
        <v>45124.73616</v>
      </c>
      <c r="D1893" s="15">
        <f>IFERROR(__xludf.DUMMYFUNCTION("""COMPUTED_VALUE"""),0.999)</f>
        <v>0.999</v>
      </c>
      <c r="E1893" s="16">
        <f>IFERROR(__xludf.DUMMYFUNCTION("""COMPUTED_VALUE"""),71.0)</f>
        <v>71</v>
      </c>
      <c r="F1893" s="19" t="str">
        <f>IFERROR(__xludf.DUMMYFUNCTION("""COMPUTED_VALUE"""),"BLUE")</f>
        <v>BLUE</v>
      </c>
      <c r="G1893" s="20" t="str">
        <f>IFERROR(__xludf.DUMMYFUNCTION("""COMPUTED_VALUE"""),"Uncle Sams Cider (04/04/2023)")</f>
        <v>Uncle Sams Cider (04/04/2023)</v>
      </c>
      <c r="H1893" s="19"/>
    </row>
    <row r="1894">
      <c r="A1894" s="9"/>
      <c r="B1894" s="15"/>
      <c r="C1894" s="9">
        <f>IFERROR(__xludf.DUMMYFUNCTION("""COMPUTED_VALUE"""),45124.7257208449)</f>
        <v>45124.72572</v>
      </c>
      <c r="D1894" s="15">
        <f>IFERROR(__xludf.DUMMYFUNCTION("""COMPUTED_VALUE"""),0.999)</f>
        <v>0.999</v>
      </c>
      <c r="E1894" s="16">
        <f>IFERROR(__xludf.DUMMYFUNCTION("""COMPUTED_VALUE"""),70.0)</f>
        <v>70</v>
      </c>
      <c r="F1894" s="19" t="str">
        <f>IFERROR(__xludf.DUMMYFUNCTION("""COMPUTED_VALUE"""),"BLUE")</f>
        <v>BLUE</v>
      </c>
      <c r="G1894" s="20" t="str">
        <f>IFERROR(__xludf.DUMMYFUNCTION("""COMPUTED_VALUE"""),"Uncle Sams Cider (04/04/2023)")</f>
        <v>Uncle Sams Cider (04/04/2023)</v>
      </c>
      <c r="H1894" s="19"/>
    </row>
    <row r="1895">
      <c r="A1895" s="9"/>
      <c r="B1895" s="15"/>
      <c r="C1895" s="9">
        <f>IFERROR(__xludf.DUMMYFUNCTION("""COMPUTED_VALUE"""),45124.7152994907)</f>
        <v>45124.7153</v>
      </c>
      <c r="D1895" s="15">
        <f>IFERROR(__xludf.DUMMYFUNCTION("""COMPUTED_VALUE"""),0.999)</f>
        <v>0.999</v>
      </c>
      <c r="E1895" s="16">
        <f>IFERROR(__xludf.DUMMYFUNCTION("""COMPUTED_VALUE"""),70.0)</f>
        <v>70</v>
      </c>
      <c r="F1895" s="19" t="str">
        <f>IFERROR(__xludf.DUMMYFUNCTION("""COMPUTED_VALUE"""),"BLUE")</f>
        <v>BLUE</v>
      </c>
      <c r="G1895" s="20" t="str">
        <f>IFERROR(__xludf.DUMMYFUNCTION("""COMPUTED_VALUE"""),"Uncle Sams Cider (04/04/2023)")</f>
        <v>Uncle Sams Cider (04/04/2023)</v>
      </c>
      <c r="H1895" s="19"/>
    </row>
    <row r="1896">
      <c r="A1896" s="9"/>
      <c r="B1896" s="15"/>
      <c r="C1896" s="9">
        <f>IFERROR(__xludf.DUMMYFUNCTION("""COMPUTED_VALUE"""),45124.7048795138)</f>
        <v>45124.70488</v>
      </c>
      <c r="D1896" s="15">
        <f>IFERROR(__xludf.DUMMYFUNCTION("""COMPUTED_VALUE"""),0.999)</f>
        <v>0.999</v>
      </c>
      <c r="E1896" s="16">
        <f>IFERROR(__xludf.DUMMYFUNCTION("""COMPUTED_VALUE"""),70.0)</f>
        <v>70</v>
      </c>
      <c r="F1896" s="19" t="str">
        <f>IFERROR(__xludf.DUMMYFUNCTION("""COMPUTED_VALUE"""),"BLUE")</f>
        <v>BLUE</v>
      </c>
      <c r="G1896" s="20" t="str">
        <f>IFERROR(__xludf.DUMMYFUNCTION("""COMPUTED_VALUE"""),"Uncle Sams Cider (04/04/2023)")</f>
        <v>Uncle Sams Cider (04/04/2023)</v>
      </c>
      <c r="H1896" s="19"/>
    </row>
    <row r="1897">
      <c r="A1897" s="9"/>
      <c r="B1897" s="15"/>
      <c r="C1897" s="9">
        <f>IFERROR(__xludf.DUMMYFUNCTION("""COMPUTED_VALUE"""),45124.6944472453)</f>
        <v>45124.69445</v>
      </c>
      <c r="D1897" s="15">
        <f>IFERROR(__xludf.DUMMYFUNCTION("""COMPUTED_VALUE"""),0.999)</f>
        <v>0.999</v>
      </c>
      <c r="E1897" s="16">
        <f>IFERROR(__xludf.DUMMYFUNCTION("""COMPUTED_VALUE"""),70.0)</f>
        <v>70</v>
      </c>
      <c r="F1897" s="19" t="str">
        <f>IFERROR(__xludf.DUMMYFUNCTION("""COMPUTED_VALUE"""),"BLUE")</f>
        <v>BLUE</v>
      </c>
      <c r="G1897" s="20" t="str">
        <f>IFERROR(__xludf.DUMMYFUNCTION("""COMPUTED_VALUE"""),"Uncle Sams Cider (04/04/2023)")</f>
        <v>Uncle Sams Cider (04/04/2023)</v>
      </c>
      <c r="H1897" s="19"/>
    </row>
    <row r="1898">
      <c r="A1898" s="9"/>
      <c r="B1898" s="15"/>
      <c r="C1898" s="9">
        <f>IFERROR(__xludf.DUMMYFUNCTION("""COMPUTED_VALUE"""),45124.6840261805)</f>
        <v>45124.68403</v>
      </c>
      <c r="D1898" s="15">
        <f>IFERROR(__xludf.DUMMYFUNCTION("""COMPUTED_VALUE"""),0.999)</f>
        <v>0.999</v>
      </c>
      <c r="E1898" s="16">
        <f>IFERROR(__xludf.DUMMYFUNCTION("""COMPUTED_VALUE"""),71.0)</f>
        <v>71</v>
      </c>
      <c r="F1898" s="19" t="str">
        <f>IFERROR(__xludf.DUMMYFUNCTION("""COMPUTED_VALUE"""),"BLUE")</f>
        <v>BLUE</v>
      </c>
      <c r="G1898" s="20" t="str">
        <f>IFERROR(__xludf.DUMMYFUNCTION("""COMPUTED_VALUE"""),"Uncle Sams Cider (04/04/2023)")</f>
        <v>Uncle Sams Cider (04/04/2023)</v>
      </c>
      <c r="H1898" s="19"/>
    </row>
    <row r="1899">
      <c r="A1899" s="9"/>
      <c r="B1899" s="15"/>
      <c r="C1899" s="9">
        <f>IFERROR(__xludf.DUMMYFUNCTION("""COMPUTED_VALUE"""),45124.673607037)</f>
        <v>45124.67361</v>
      </c>
      <c r="D1899" s="15">
        <f>IFERROR(__xludf.DUMMYFUNCTION("""COMPUTED_VALUE"""),0.999)</f>
        <v>0.999</v>
      </c>
      <c r="E1899" s="16">
        <f>IFERROR(__xludf.DUMMYFUNCTION("""COMPUTED_VALUE"""),71.0)</f>
        <v>71</v>
      </c>
      <c r="F1899" s="19" t="str">
        <f>IFERROR(__xludf.DUMMYFUNCTION("""COMPUTED_VALUE"""),"BLUE")</f>
        <v>BLUE</v>
      </c>
      <c r="G1899" s="20" t="str">
        <f>IFERROR(__xludf.DUMMYFUNCTION("""COMPUTED_VALUE"""),"Uncle Sams Cider (04/04/2023)")</f>
        <v>Uncle Sams Cider (04/04/2023)</v>
      </c>
      <c r="H1899" s="19"/>
    </row>
    <row r="1900">
      <c r="A1900" s="9"/>
      <c r="B1900" s="15"/>
      <c r="C1900" s="9">
        <f>IFERROR(__xludf.DUMMYFUNCTION("""COMPUTED_VALUE"""),45124.6631875463)</f>
        <v>45124.66319</v>
      </c>
      <c r="D1900" s="15">
        <f>IFERROR(__xludf.DUMMYFUNCTION("""COMPUTED_VALUE"""),0.999)</f>
        <v>0.999</v>
      </c>
      <c r="E1900" s="16">
        <f>IFERROR(__xludf.DUMMYFUNCTION("""COMPUTED_VALUE"""),71.0)</f>
        <v>71</v>
      </c>
      <c r="F1900" s="19" t="str">
        <f>IFERROR(__xludf.DUMMYFUNCTION("""COMPUTED_VALUE"""),"BLUE")</f>
        <v>BLUE</v>
      </c>
      <c r="G1900" s="20" t="str">
        <f>IFERROR(__xludf.DUMMYFUNCTION("""COMPUTED_VALUE"""),"Uncle Sams Cider (04/04/2023)")</f>
        <v>Uncle Sams Cider (04/04/2023)</v>
      </c>
      <c r="H1900" s="19"/>
    </row>
    <row r="1901">
      <c r="A1901" s="9"/>
      <c r="B1901" s="15"/>
      <c r="C1901" s="9">
        <f>IFERROR(__xludf.DUMMYFUNCTION("""COMPUTED_VALUE"""),45124.6527670023)</f>
        <v>45124.65277</v>
      </c>
      <c r="D1901" s="15">
        <f>IFERROR(__xludf.DUMMYFUNCTION("""COMPUTED_VALUE"""),0.999)</f>
        <v>0.999</v>
      </c>
      <c r="E1901" s="16">
        <f>IFERROR(__xludf.DUMMYFUNCTION("""COMPUTED_VALUE"""),71.0)</f>
        <v>71</v>
      </c>
      <c r="F1901" s="19" t="str">
        <f>IFERROR(__xludf.DUMMYFUNCTION("""COMPUTED_VALUE"""),"BLUE")</f>
        <v>BLUE</v>
      </c>
      <c r="G1901" s="20" t="str">
        <f>IFERROR(__xludf.DUMMYFUNCTION("""COMPUTED_VALUE"""),"Uncle Sams Cider (04/04/2023)")</f>
        <v>Uncle Sams Cider (04/04/2023)</v>
      </c>
      <c r="H1901" s="19"/>
    </row>
    <row r="1902">
      <c r="A1902" s="9"/>
      <c r="B1902" s="15"/>
      <c r="C1902" s="9">
        <f>IFERROR(__xludf.DUMMYFUNCTION("""COMPUTED_VALUE"""),45124.6423331481)</f>
        <v>45124.64233</v>
      </c>
      <c r="D1902" s="15">
        <f>IFERROR(__xludf.DUMMYFUNCTION("""COMPUTED_VALUE"""),0.999)</f>
        <v>0.999</v>
      </c>
      <c r="E1902" s="16">
        <f>IFERROR(__xludf.DUMMYFUNCTION("""COMPUTED_VALUE"""),71.0)</f>
        <v>71</v>
      </c>
      <c r="F1902" s="19" t="str">
        <f>IFERROR(__xludf.DUMMYFUNCTION("""COMPUTED_VALUE"""),"BLUE")</f>
        <v>BLUE</v>
      </c>
      <c r="G1902" s="20" t="str">
        <f>IFERROR(__xludf.DUMMYFUNCTION("""COMPUTED_VALUE"""),"Uncle Sams Cider (04/04/2023)")</f>
        <v>Uncle Sams Cider (04/04/2023)</v>
      </c>
      <c r="H1902" s="19"/>
    </row>
    <row r="1903">
      <c r="A1903" s="9"/>
      <c r="B1903" s="15"/>
      <c r="C1903" s="9">
        <f>IFERROR(__xludf.DUMMYFUNCTION("""COMPUTED_VALUE"""),45124.6319130671)</f>
        <v>45124.63191</v>
      </c>
      <c r="D1903" s="15">
        <f>IFERROR(__xludf.DUMMYFUNCTION("""COMPUTED_VALUE"""),0.999)</f>
        <v>0.999</v>
      </c>
      <c r="E1903" s="16">
        <f>IFERROR(__xludf.DUMMYFUNCTION("""COMPUTED_VALUE"""),71.0)</f>
        <v>71</v>
      </c>
      <c r="F1903" s="19" t="str">
        <f>IFERROR(__xludf.DUMMYFUNCTION("""COMPUTED_VALUE"""),"BLUE")</f>
        <v>BLUE</v>
      </c>
      <c r="G1903" s="20" t="str">
        <f>IFERROR(__xludf.DUMMYFUNCTION("""COMPUTED_VALUE"""),"Uncle Sams Cider (04/04/2023)")</f>
        <v>Uncle Sams Cider (04/04/2023)</v>
      </c>
      <c r="H1903" s="19"/>
    </row>
    <row r="1904">
      <c r="A1904" s="9"/>
      <c r="B1904" s="15"/>
      <c r="C1904" s="9">
        <f>IFERROR(__xludf.DUMMYFUNCTION("""COMPUTED_VALUE"""),45124.6214906018)</f>
        <v>45124.62149</v>
      </c>
      <c r="D1904" s="15">
        <f>IFERROR(__xludf.DUMMYFUNCTION("""COMPUTED_VALUE"""),0.999)</f>
        <v>0.999</v>
      </c>
      <c r="E1904" s="16">
        <f>IFERROR(__xludf.DUMMYFUNCTION("""COMPUTED_VALUE"""),71.0)</f>
        <v>71</v>
      </c>
      <c r="F1904" s="19" t="str">
        <f>IFERROR(__xludf.DUMMYFUNCTION("""COMPUTED_VALUE"""),"BLUE")</f>
        <v>BLUE</v>
      </c>
      <c r="G1904" s="20" t="str">
        <f>IFERROR(__xludf.DUMMYFUNCTION("""COMPUTED_VALUE"""),"Uncle Sams Cider (04/04/2023)")</f>
        <v>Uncle Sams Cider (04/04/2023)</v>
      </c>
      <c r="H1904" s="19"/>
    </row>
    <row r="1905">
      <c r="A1905" s="9"/>
      <c r="B1905" s="15"/>
      <c r="C1905" s="9">
        <f>IFERROR(__xludf.DUMMYFUNCTION("""COMPUTED_VALUE"""),45124.6110676273)</f>
        <v>45124.61107</v>
      </c>
      <c r="D1905" s="15">
        <f>IFERROR(__xludf.DUMMYFUNCTION("""COMPUTED_VALUE"""),0.999)</f>
        <v>0.999</v>
      </c>
      <c r="E1905" s="16">
        <f>IFERROR(__xludf.DUMMYFUNCTION("""COMPUTED_VALUE"""),71.0)</f>
        <v>71</v>
      </c>
      <c r="F1905" s="19" t="str">
        <f>IFERROR(__xludf.DUMMYFUNCTION("""COMPUTED_VALUE"""),"BLUE")</f>
        <v>BLUE</v>
      </c>
      <c r="G1905" s="20" t="str">
        <f>IFERROR(__xludf.DUMMYFUNCTION("""COMPUTED_VALUE"""),"Uncle Sams Cider (04/04/2023)")</f>
        <v>Uncle Sams Cider (04/04/2023)</v>
      </c>
      <c r="H1905" s="19"/>
    </row>
    <row r="1906">
      <c r="A1906" s="9"/>
      <c r="B1906" s="15"/>
      <c r="C1906" s="9">
        <f>IFERROR(__xludf.DUMMYFUNCTION("""COMPUTED_VALUE"""),45124.6006361574)</f>
        <v>45124.60064</v>
      </c>
      <c r="D1906" s="15">
        <f>IFERROR(__xludf.DUMMYFUNCTION("""COMPUTED_VALUE"""),0.999)</f>
        <v>0.999</v>
      </c>
      <c r="E1906" s="16">
        <f>IFERROR(__xludf.DUMMYFUNCTION("""COMPUTED_VALUE"""),71.0)</f>
        <v>71</v>
      </c>
      <c r="F1906" s="19" t="str">
        <f>IFERROR(__xludf.DUMMYFUNCTION("""COMPUTED_VALUE"""),"BLUE")</f>
        <v>BLUE</v>
      </c>
      <c r="G1906" s="20" t="str">
        <f>IFERROR(__xludf.DUMMYFUNCTION("""COMPUTED_VALUE"""),"Uncle Sams Cider (04/04/2023)")</f>
        <v>Uncle Sams Cider (04/04/2023)</v>
      </c>
      <c r="H1906" s="19"/>
    </row>
    <row r="1907">
      <c r="A1907" s="9"/>
      <c r="B1907" s="15"/>
      <c r="C1907" s="9">
        <f>IFERROR(__xludf.DUMMYFUNCTION("""COMPUTED_VALUE"""),45124.5902142592)</f>
        <v>45124.59021</v>
      </c>
      <c r="D1907" s="15">
        <f>IFERROR(__xludf.DUMMYFUNCTION("""COMPUTED_VALUE"""),0.999)</f>
        <v>0.999</v>
      </c>
      <c r="E1907" s="16">
        <f>IFERROR(__xludf.DUMMYFUNCTION("""COMPUTED_VALUE"""),71.0)</f>
        <v>71</v>
      </c>
      <c r="F1907" s="19" t="str">
        <f>IFERROR(__xludf.DUMMYFUNCTION("""COMPUTED_VALUE"""),"BLUE")</f>
        <v>BLUE</v>
      </c>
      <c r="G1907" s="20" t="str">
        <f>IFERROR(__xludf.DUMMYFUNCTION("""COMPUTED_VALUE"""),"Uncle Sams Cider (04/04/2023)")</f>
        <v>Uncle Sams Cider (04/04/2023)</v>
      </c>
      <c r="H1907" s="19"/>
    </row>
    <row r="1908">
      <c r="A1908" s="9"/>
      <c r="B1908" s="15"/>
      <c r="C1908" s="9">
        <f>IFERROR(__xludf.DUMMYFUNCTION("""COMPUTED_VALUE"""),45124.5797925463)</f>
        <v>45124.57979</v>
      </c>
      <c r="D1908" s="15">
        <f>IFERROR(__xludf.DUMMYFUNCTION("""COMPUTED_VALUE"""),0.999)</f>
        <v>0.999</v>
      </c>
      <c r="E1908" s="16">
        <f>IFERROR(__xludf.DUMMYFUNCTION("""COMPUTED_VALUE"""),71.0)</f>
        <v>71</v>
      </c>
      <c r="F1908" s="19" t="str">
        <f>IFERROR(__xludf.DUMMYFUNCTION("""COMPUTED_VALUE"""),"BLUE")</f>
        <v>BLUE</v>
      </c>
      <c r="G1908" s="20" t="str">
        <f>IFERROR(__xludf.DUMMYFUNCTION("""COMPUTED_VALUE"""),"Uncle Sams Cider (04/04/2023)")</f>
        <v>Uncle Sams Cider (04/04/2023)</v>
      </c>
      <c r="H1908" s="19"/>
    </row>
    <row r="1909">
      <c r="A1909" s="9"/>
      <c r="B1909" s="15"/>
      <c r="C1909" s="9">
        <f>IFERROR(__xludf.DUMMYFUNCTION("""COMPUTED_VALUE"""),45124.5693701967)</f>
        <v>45124.56937</v>
      </c>
      <c r="D1909" s="15">
        <f>IFERROR(__xludf.DUMMYFUNCTION("""COMPUTED_VALUE"""),0.999)</f>
        <v>0.999</v>
      </c>
      <c r="E1909" s="16">
        <f>IFERROR(__xludf.DUMMYFUNCTION("""COMPUTED_VALUE"""),71.0)</f>
        <v>71</v>
      </c>
      <c r="F1909" s="19" t="str">
        <f>IFERROR(__xludf.DUMMYFUNCTION("""COMPUTED_VALUE"""),"BLUE")</f>
        <v>BLUE</v>
      </c>
      <c r="G1909" s="20" t="str">
        <f>IFERROR(__xludf.DUMMYFUNCTION("""COMPUTED_VALUE"""),"Uncle Sams Cider (04/04/2023)")</f>
        <v>Uncle Sams Cider (04/04/2023)</v>
      </c>
      <c r="H1909" s="19"/>
    </row>
    <row r="1910">
      <c r="A1910" s="9"/>
      <c r="B1910" s="15"/>
      <c r="C1910" s="9">
        <f>IFERROR(__xludf.DUMMYFUNCTION("""COMPUTED_VALUE"""),45124.5589397106)</f>
        <v>45124.55894</v>
      </c>
      <c r="D1910" s="15">
        <f>IFERROR(__xludf.DUMMYFUNCTION("""COMPUTED_VALUE"""),0.999)</f>
        <v>0.999</v>
      </c>
      <c r="E1910" s="16">
        <f>IFERROR(__xludf.DUMMYFUNCTION("""COMPUTED_VALUE"""),71.0)</f>
        <v>71</v>
      </c>
      <c r="F1910" s="19" t="str">
        <f>IFERROR(__xludf.DUMMYFUNCTION("""COMPUTED_VALUE"""),"BLUE")</f>
        <v>BLUE</v>
      </c>
      <c r="G1910" s="20" t="str">
        <f>IFERROR(__xludf.DUMMYFUNCTION("""COMPUTED_VALUE"""),"Uncle Sams Cider (04/04/2023)")</f>
        <v>Uncle Sams Cider (04/04/2023)</v>
      </c>
      <c r="H1910" s="19"/>
    </row>
    <row r="1911">
      <c r="A1911" s="9"/>
      <c r="B1911" s="15"/>
      <c r="C1911" s="9">
        <f>IFERROR(__xludf.DUMMYFUNCTION("""COMPUTED_VALUE"""),45124.5485180324)</f>
        <v>45124.54852</v>
      </c>
      <c r="D1911" s="15">
        <f>IFERROR(__xludf.DUMMYFUNCTION("""COMPUTED_VALUE"""),0.999)</f>
        <v>0.999</v>
      </c>
      <c r="E1911" s="16">
        <f>IFERROR(__xludf.DUMMYFUNCTION("""COMPUTED_VALUE"""),71.0)</f>
        <v>71</v>
      </c>
      <c r="F1911" s="19" t="str">
        <f>IFERROR(__xludf.DUMMYFUNCTION("""COMPUTED_VALUE"""),"BLUE")</f>
        <v>BLUE</v>
      </c>
      <c r="G1911" s="20" t="str">
        <f>IFERROR(__xludf.DUMMYFUNCTION("""COMPUTED_VALUE"""),"Uncle Sams Cider (04/04/2023)")</f>
        <v>Uncle Sams Cider (04/04/2023)</v>
      </c>
      <c r="H1911" s="19"/>
    </row>
    <row r="1912">
      <c r="A1912" s="9"/>
      <c r="B1912" s="15"/>
      <c r="C1912" s="9">
        <f>IFERROR(__xludf.DUMMYFUNCTION("""COMPUTED_VALUE"""),45124.5380979745)</f>
        <v>45124.5381</v>
      </c>
      <c r="D1912" s="15">
        <f>IFERROR(__xludf.DUMMYFUNCTION("""COMPUTED_VALUE"""),0.999)</f>
        <v>0.999</v>
      </c>
      <c r="E1912" s="16">
        <f>IFERROR(__xludf.DUMMYFUNCTION("""COMPUTED_VALUE"""),71.0)</f>
        <v>71</v>
      </c>
      <c r="F1912" s="19" t="str">
        <f>IFERROR(__xludf.DUMMYFUNCTION("""COMPUTED_VALUE"""),"BLUE")</f>
        <v>BLUE</v>
      </c>
      <c r="G1912" s="20" t="str">
        <f>IFERROR(__xludf.DUMMYFUNCTION("""COMPUTED_VALUE"""),"Uncle Sams Cider (04/04/2023)")</f>
        <v>Uncle Sams Cider (04/04/2023)</v>
      </c>
      <c r="H1912" s="19"/>
    </row>
    <row r="1913">
      <c r="A1913" s="9"/>
      <c r="B1913" s="15"/>
      <c r="C1913" s="9">
        <f>IFERROR(__xludf.DUMMYFUNCTION("""COMPUTED_VALUE"""),45124.5276774884)</f>
        <v>45124.52768</v>
      </c>
      <c r="D1913" s="15">
        <f>IFERROR(__xludf.DUMMYFUNCTION("""COMPUTED_VALUE"""),0.999)</f>
        <v>0.999</v>
      </c>
      <c r="E1913" s="16">
        <f>IFERROR(__xludf.DUMMYFUNCTION("""COMPUTED_VALUE"""),71.0)</f>
        <v>71</v>
      </c>
      <c r="F1913" s="19" t="str">
        <f>IFERROR(__xludf.DUMMYFUNCTION("""COMPUTED_VALUE"""),"BLUE")</f>
        <v>BLUE</v>
      </c>
      <c r="G1913" s="20" t="str">
        <f>IFERROR(__xludf.DUMMYFUNCTION("""COMPUTED_VALUE"""),"Uncle Sams Cider (04/04/2023)")</f>
        <v>Uncle Sams Cider (04/04/2023)</v>
      </c>
      <c r="H1913" s="19"/>
    </row>
    <row r="1914">
      <c r="A1914" s="9"/>
      <c r="B1914" s="15"/>
      <c r="C1914" s="9">
        <f>IFERROR(__xludf.DUMMYFUNCTION("""COMPUTED_VALUE"""),45124.517254456)</f>
        <v>45124.51725</v>
      </c>
      <c r="D1914" s="15">
        <f>IFERROR(__xludf.DUMMYFUNCTION("""COMPUTED_VALUE"""),0.999)</f>
        <v>0.999</v>
      </c>
      <c r="E1914" s="16">
        <f>IFERROR(__xludf.DUMMYFUNCTION("""COMPUTED_VALUE"""),71.0)</f>
        <v>71</v>
      </c>
      <c r="F1914" s="19" t="str">
        <f>IFERROR(__xludf.DUMMYFUNCTION("""COMPUTED_VALUE"""),"BLUE")</f>
        <v>BLUE</v>
      </c>
      <c r="G1914" s="20" t="str">
        <f>IFERROR(__xludf.DUMMYFUNCTION("""COMPUTED_VALUE"""),"Uncle Sams Cider (04/04/2023)")</f>
        <v>Uncle Sams Cider (04/04/2023)</v>
      </c>
      <c r="H1914" s="19"/>
    </row>
    <row r="1915">
      <c r="A1915" s="9"/>
      <c r="B1915" s="15"/>
      <c r="C1915" s="9">
        <f>IFERROR(__xludf.DUMMYFUNCTION("""COMPUTED_VALUE"""),45124.5068221759)</f>
        <v>45124.50682</v>
      </c>
      <c r="D1915" s="15">
        <f>IFERROR(__xludf.DUMMYFUNCTION("""COMPUTED_VALUE"""),0.999)</f>
        <v>0.999</v>
      </c>
      <c r="E1915" s="16">
        <f>IFERROR(__xludf.DUMMYFUNCTION("""COMPUTED_VALUE"""),71.0)</f>
        <v>71</v>
      </c>
      <c r="F1915" s="19" t="str">
        <f>IFERROR(__xludf.DUMMYFUNCTION("""COMPUTED_VALUE"""),"BLUE")</f>
        <v>BLUE</v>
      </c>
      <c r="G1915" s="20" t="str">
        <f>IFERROR(__xludf.DUMMYFUNCTION("""COMPUTED_VALUE"""),"Uncle Sams Cider (04/04/2023)")</f>
        <v>Uncle Sams Cider (04/04/2023)</v>
      </c>
      <c r="H1915" s="19"/>
    </row>
    <row r="1916">
      <c r="A1916" s="9"/>
      <c r="B1916" s="15"/>
      <c r="C1916" s="9">
        <f>IFERROR(__xludf.DUMMYFUNCTION("""COMPUTED_VALUE"""),45124.4964021527)</f>
        <v>45124.4964</v>
      </c>
      <c r="D1916" s="15">
        <f>IFERROR(__xludf.DUMMYFUNCTION("""COMPUTED_VALUE"""),0.998)</f>
        <v>0.998</v>
      </c>
      <c r="E1916" s="16">
        <f>IFERROR(__xludf.DUMMYFUNCTION("""COMPUTED_VALUE"""),71.0)</f>
        <v>71</v>
      </c>
      <c r="F1916" s="19" t="str">
        <f>IFERROR(__xludf.DUMMYFUNCTION("""COMPUTED_VALUE"""),"BLUE")</f>
        <v>BLUE</v>
      </c>
      <c r="G1916" s="20" t="str">
        <f>IFERROR(__xludf.DUMMYFUNCTION("""COMPUTED_VALUE"""),"Uncle Sams Cider (04/04/2023)")</f>
        <v>Uncle Sams Cider (04/04/2023)</v>
      </c>
      <c r="H1916" s="19"/>
    </row>
    <row r="1917">
      <c r="A1917" s="9"/>
      <c r="B1917" s="15"/>
      <c r="C1917" s="9">
        <f>IFERROR(__xludf.DUMMYFUNCTION("""COMPUTED_VALUE"""),45124.4859817129)</f>
        <v>45124.48598</v>
      </c>
      <c r="D1917" s="15">
        <f>IFERROR(__xludf.DUMMYFUNCTION("""COMPUTED_VALUE"""),0.999)</f>
        <v>0.999</v>
      </c>
      <c r="E1917" s="16">
        <f>IFERROR(__xludf.DUMMYFUNCTION("""COMPUTED_VALUE"""),71.0)</f>
        <v>71</v>
      </c>
      <c r="F1917" s="19" t="str">
        <f>IFERROR(__xludf.DUMMYFUNCTION("""COMPUTED_VALUE"""),"BLUE")</f>
        <v>BLUE</v>
      </c>
      <c r="G1917" s="20" t="str">
        <f>IFERROR(__xludf.DUMMYFUNCTION("""COMPUTED_VALUE"""),"Uncle Sams Cider (04/04/2023)")</f>
        <v>Uncle Sams Cider (04/04/2023)</v>
      </c>
      <c r="H1917" s="19"/>
    </row>
    <row r="1918">
      <c r="A1918" s="9"/>
      <c r="B1918" s="15"/>
      <c r="C1918" s="9">
        <f>IFERROR(__xludf.DUMMYFUNCTION("""COMPUTED_VALUE"""),45124.4755607986)</f>
        <v>45124.47556</v>
      </c>
      <c r="D1918" s="15">
        <f>IFERROR(__xludf.DUMMYFUNCTION("""COMPUTED_VALUE"""),0.999)</f>
        <v>0.999</v>
      </c>
      <c r="E1918" s="16">
        <f>IFERROR(__xludf.DUMMYFUNCTION("""COMPUTED_VALUE"""),71.0)</f>
        <v>71</v>
      </c>
      <c r="F1918" s="19" t="str">
        <f>IFERROR(__xludf.DUMMYFUNCTION("""COMPUTED_VALUE"""),"BLUE")</f>
        <v>BLUE</v>
      </c>
      <c r="G1918" s="20" t="str">
        <f>IFERROR(__xludf.DUMMYFUNCTION("""COMPUTED_VALUE"""),"Uncle Sams Cider (04/04/2023)")</f>
        <v>Uncle Sams Cider (04/04/2023)</v>
      </c>
      <c r="H1918" s="19"/>
    </row>
    <row r="1919">
      <c r="A1919" s="9"/>
      <c r="B1919" s="15"/>
      <c r="C1919" s="9">
        <f>IFERROR(__xludf.DUMMYFUNCTION("""COMPUTED_VALUE"""),45124.4651375)</f>
        <v>45124.46514</v>
      </c>
      <c r="D1919" s="15">
        <f>IFERROR(__xludf.DUMMYFUNCTION("""COMPUTED_VALUE"""),0.999)</f>
        <v>0.999</v>
      </c>
      <c r="E1919" s="16">
        <f>IFERROR(__xludf.DUMMYFUNCTION("""COMPUTED_VALUE"""),71.0)</f>
        <v>71</v>
      </c>
      <c r="F1919" s="19" t="str">
        <f>IFERROR(__xludf.DUMMYFUNCTION("""COMPUTED_VALUE"""),"BLUE")</f>
        <v>BLUE</v>
      </c>
      <c r="G1919" s="20" t="str">
        <f>IFERROR(__xludf.DUMMYFUNCTION("""COMPUTED_VALUE"""),"Uncle Sams Cider (04/04/2023)")</f>
        <v>Uncle Sams Cider (04/04/2023)</v>
      </c>
      <c r="H1919" s="19"/>
    </row>
    <row r="1920">
      <c r="A1920" s="9"/>
      <c r="B1920" s="15"/>
      <c r="C1920" s="9">
        <f>IFERROR(__xludf.DUMMYFUNCTION("""COMPUTED_VALUE"""),45124.4547171527)</f>
        <v>45124.45472</v>
      </c>
      <c r="D1920" s="15">
        <f>IFERROR(__xludf.DUMMYFUNCTION("""COMPUTED_VALUE"""),0.999)</f>
        <v>0.999</v>
      </c>
      <c r="E1920" s="16">
        <f>IFERROR(__xludf.DUMMYFUNCTION("""COMPUTED_VALUE"""),71.0)</f>
        <v>71</v>
      </c>
      <c r="F1920" s="19" t="str">
        <f>IFERROR(__xludf.DUMMYFUNCTION("""COMPUTED_VALUE"""),"BLUE")</f>
        <v>BLUE</v>
      </c>
      <c r="G1920" s="20" t="str">
        <f>IFERROR(__xludf.DUMMYFUNCTION("""COMPUTED_VALUE"""),"Uncle Sams Cider (04/04/2023)")</f>
        <v>Uncle Sams Cider (04/04/2023)</v>
      </c>
      <c r="H1920" s="19"/>
    </row>
    <row r="1921">
      <c r="A1921" s="9"/>
      <c r="B1921" s="15"/>
      <c r="C1921" s="9">
        <f>IFERROR(__xludf.DUMMYFUNCTION("""COMPUTED_VALUE"""),45124.4442960532)</f>
        <v>45124.4443</v>
      </c>
      <c r="D1921" s="15">
        <f>IFERROR(__xludf.DUMMYFUNCTION("""COMPUTED_VALUE"""),0.999)</f>
        <v>0.999</v>
      </c>
      <c r="E1921" s="16">
        <f>IFERROR(__xludf.DUMMYFUNCTION("""COMPUTED_VALUE"""),71.0)</f>
        <v>71</v>
      </c>
      <c r="F1921" s="19" t="str">
        <f>IFERROR(__xludf.DUMMYFUNCTION("""COMPUTED_VALUE"""),"BLUE")</f>
        <v>BLUE</v>
      </c>
      <c r="G1921" s="20" t="str">
        <f>IFERROR(__xludf.DUMMYFUNCTION("""COMPUTED_VALUE"""),"Uncle Sams Cider (04/04/2023)")</f>
        <v>Uncle Sams Cider (04/04/2023)</v>
      </c>
      <c r="H1921" s="19"/>
    </row>
    <row r="1922">
      <c r="A1922" s="9"/>
      <c r="B1922" s="15"/>
      <c r="C1922" s="9">
        <f>IFERROR(__xludf.DUMMYFUNCTION("""COMPUTED_VALUE"""),45124.4338633101)</f>
        <v>45124.43386</v>
      </c>
      <c r="D1922" s="15">
        <f>IFERROR(__xludf.DUMMYFUNCTION("""COMPUTED_VALUE"""),0.999)</f>
        <v>0.999</v>
      </c>
      <c r="E1922" s="16">
        <f>IFERROR(__xludf.DUMMYFUNCTION("""COMPUTED_VALUE"""),71.0)</f>
        <v>71</v>
      </c>
      <c r="F1922" s="19" t="str">
        <f>IFERROR(__xludf.DUMMYFUNCTION("""COMPUTED_VALUE"""),"BLUE")</f>
        <v>BLUE</v>
      </c>
      <c r="G1922" s="20" t="str">
        <f>IFERROR(__xludf.DUMMYFUNCTION("""COMPUTED_VALUE"""),"Uncle Sams Cider (04/04/2023)")</f>
        <v>Uncle Sams Cider (04/04/2023)</v>
      </c>
      <c r="H1922" s="19"/>
    </row>
    <row r="1923">
      <c r="A1923" s="9"/>
      <c r="B1923" s="15"/>
      <c r="C1923" s="9">
        <f>IFERROR(__xludf.DUMMYFUNCTION("""COMPUTED_VALUE"""),45124.4234424999)</f>
        <v>45124.42344</v>
      </c>
      <c r="D1923" s="15">
        <f>IFERROR(__xludf.DUMMYFUNCTION("""COMPUTED_VALUE"""),0.999)</f>
        <v>0.999</v>
      </c>
      <c r="E1923" s="16">
        <f>IFERROR(__xludf.DUMMYFUNCTION("""COMPUTED_VALUE"""),71.0)</f>
        <v>71</v>
      </c>
      <c r="F1923" s="19" t="str">
        <f>IFERROR(__xludf.DUMMYFUNCTION("""COMPUTED_VALUE"""),"BLUE")</f>
        <v>BLUE</v>
      </c>
      <c r="G1923" s="20" t="str">
        <f>IFERROR(__xludf.DUMMYFUNCTION("""COMPUTED_VALUE"""),"Uncle Sams Cider (04/04/2023)")</f>
        <v>Uncle Sams Cider (04/04/2023)</v>
      </c>
      <c r="H1923" s="19"/>
    </row>
    <row r="1924">
      <c r="A1924" s="9"/>
      <c r="B1924" s="15"/>
      <c r="C1924" s="9">
        <f>IFERROR(__xludf.DUMMYFUNCTION("""COMPUTED_VALUE"""),45124.413018912)</f>
        <v>45124.41302</v>
      </c>
      <c r="D1924" s="15">
        <f>IFERROR(__xludf.DUMMYFUNCTION("""COMPUTED_VALUE"""),0.999)</f>
        <v>0.999</v>
      </c>
      <c r="E1924" s="16">
        <f>IFERROR(__xludf.DUMMYFUNCTION("""COMPUTED_VALUE"""),71.0)</f>
        <v>71</v>
      </c>
      <c r="F1924" s="19" t="str">
        <f>IFERROR(__xludf.DUMMYFUNCTION("""COMPUTED_VALUE"""),"BLUE")</f>
        <v>BLUE</v>
      </c>
      <c r="G1924" s="20" t="str">
        <f>IFERROR(__xludf.DUMMYFUNCTION("""COMPUTED_VALUE"""),"Uncle Sams Cider (04/04/2023)")</f>
        <v>Uncle Sams Cider (04/04/2023)</v>
      </c>
      <c r="H1924" s="19"/>
    </row>
    <row r="1925">
      <c r="A1925" s="9"/>
      <c r="B1925" s="15"/>
      <c r="C1925" s="9">
        <f>IFERROR(__xludf.DUMMYFUNCTION("""COMPUTED_VALUE"""),45124.4025864236)</f>
        <v>45124.40259</v>
      </c>
      <c r="D1925" s="15">
        <f>IFERROR(__xludf.DUMMYFUNCTION("""COMPUTED_VALUE"""),0.999)</f>
        <v>0.999</v>
      </c>
      <c r="E1925" s="16">
        <f>IFERROR(__xludf.DUMMYFUNCTION("""COMPUTED_VALUE"""),71.0)</f>
        <v>71</v>
      </c>
      <c r="F1925" s="19" t="str">
        <f>IFERROR(__xludf.DUMMYFUNCTION("""COMPUTED_VALUE"""),"BLUE")</f>
        <v>BLUE</v>
      </c>
      <c r="G1925" s="20" t="str">
        <f>IFERROR(__xludf.DUMMYFUNCTION("""COMPUTED_VALUE"""),"Uncle Sams Cider (04/04/2023)")</f>
        <v>Uncle Sams Cider (04/04/2023)</v>
      </c>
      <c r="H1925" s="19"/>
    </row>
    <row r="1926">
      <c r="A1926" s="9"/>
      <c r="B1926" s="15"/>
      <c r="C1926" s="9">
        <f>IFERROR(__xludf.DUMMYFUNCTION("""COMPUTED_VALUE"""),45124.3921656018)</f>
        <v>45124.39217</v>
      </c>
      <c r="D1926" s="15">
        <f>IFERROR(__xludf.DUMMYFUNCTION("""COMPUTED_VALUE"""),0.999)</f>
        <v>0.999</v>
      </c>
      <c r="E1926" s="16">
        <f>IFERROR(__xludf.DUMMYFUNCTION("""COMPUTED_VALUE"""),71.0)</f>
        <v>71</v>
      </c>
      <c r="F1926" s="19" t="str">
        <f>IFERROR(__xludf.DUMMYFUNCTION("""COMPUTED_VALUE"""),"BLUE")</f>
        <v>BLUE</v>
      </c>
      <c r="G1926" s="20" t="str">
        <f>IFERROR(__xludf.DUMMYFUNCTION("""COMPUTED_VALUE"""),"Uncle Sams Cider (04/04/2023)")</f>
        <v>Uncle Sams Cider (04/04/2023)</v>
      </c>
      <c r="H1926" s="19"/>
    </row>
    <row r="1927">
      <c r="A1927" s="9"/>
      <c r="B1927" s="15"/>
      <c r="C1927" s="9">
        <f>IFERROR(__xludf.DUMMYFUNCTION("""COMPUTED_VALUE"""),45124.3817441435)</f>
        <v>45124.38174</v>
      </c>
      <c r="D1927" s="15">
        <f>IFERROR(__xludf.DUMMYFUNCTION("""COMPUTED_VALUE"""),0.999)</f>
        <v>0.999</v>
      </c>
      <c r="E1927" s="16">
        <f>IFERROR(__xludf.DUMMYFUNCTION("""COMPUTED_VALUE"""),71.0)</f>
        <v>71</v>
      </c>
      <c r="F1927" s="19" t="str">
        <f>IFERROR(__xludf.DUMMYFUNCTION("""COMPUTED_VALUE"""),"BLUE")</f>
        <v>BLUE</v>
      </c>
      <c r="G1927" s="20" t="str">
        <f>IFERROR(__xludf.DUMMYFUNCTION("""COMPUTED_VALUE"""),"Uncle Sams Cider (04/04/2023)")</f>
        <v>Uncle Sams Cider (04/04/2023)</v>
      </c>
      <c r="H1927" s="19"/>
    </row>
    <row r="1928">
      <c r="A1928" s="9"/>
      <c r="B1928" s="15"/>
      <c r="C1928" s="9">
        <f>IFERROR(__xludf.DUMMYFUNCTION("""COMPUTED_VALUE"""),45124.3713233333)</f>
        <v>45124.37132</v>
      </c>
      <c r="D1928" s="15">
        <f>IFERROR(__xludf.DUMMYFUNCTION("""COMPUTED_VALUE"""),0.999)</f>
        <v>0.999</v>
      </c>
      <c r="E1928" s="16">
        <f>IFERROR(__xludf.DUMMYFUNCTION("""COMPUTED_VALUE"""),71.0)</f>
        <v>71</v>
      </c>
      <c r="F1928" s="19" t="str">
        <f>IFERROR(__xludf.DUMMYFUNCTION("""COMPUTED_VALUE"""),"BLUE")</f>
        <v>BLUE</v>
      </c>
      <c r="G1928" s="20" t="str">
        <f>IFERROR(__xludf.DUMMYFUNCTION("""COMPUTED_VALUE"""),"Uncle Sams Cider (04/04/2023)")</f>
        <v>Uncle Sams Cider (04/04/2023)</v>
      </c>
      <c r="H1928" s="19"/>
    </row>
    <row r="1929">
      <c r="A1929" s="9"/>
      <c r="B1929" s="15"/>
      <c r="C1929" s="9">
        <f>IFERROR(__xludf.DUMMYFUNCTION("""COMPUTED_VALUE"""),45124.3608792013)</f>
        <v>45124.36088</v>
      </c>
      <c r="D1929" s="15">
        <f>IFERROR(__xludf.DUMMYFUNCTION("""COMPUTED_VALUE"""),0.999)</f>
        <v>0.999</v>
      </c>
      <c r="E1929" s="16">
        <f>IFERROR(__xludf.DUMMYFUNCTION("""COMPUTED_VALUE"""),71.0)</f>
        <v>71</v>
      </c>
      <c r="F1929" s="19" t="str">
        <f>IFERROR(__xludf.DUMMYFUNCTION("""COMPUTED_VALUE"""),"BLUE")</f>
        <v>BLUE</v>
      </c>
      <c r="G1929" s="20" t="str">
        <f>IFERROR(__xludf.DUMMYFUNCTION("""COMPUTED_VALUE"""),"Uncle Sams Cider (04/04/2023)")</f>
        <v>Uncle Sams Cider (04/04/2023)</v>
      </c>
      <c r="H1929" s="19"/>
    </row>
    <row r="1930">
      <c r="A1930" s="9"/>
      <c r="B1930" s="15"/>
      <c r="C1930" s="9">
        <f>IFERROR(__xludf.DUMMYFUNCTION("""COMPUTED_VALUE"""),45124.3504593171)</f>
        <v>45124.35046</v>
      </c>
      <c r="D1930" s="15">
        <f>IFERROR(__xludf.DUMMYFUNCTION("""COMPUTED_VALUE"""),0.999)</f>
        <v>0.999</v>
      </c>
      <c r="E1930" s="16">
        <f>IFERROR(__xludf.DUMMYFUNCTION("""COMPUTED_VALUE"""),71.0)</f>
        <v>71</v>
      </c>
      <c r="F1930" s="19" t="str">
        <f>IFERROR(__xludf.DUMMYFUNCTION("""COMPUTED_VALUE"""),"BLUE")</f>
        <v>BLUE</v>
      </c>
      <c r="G1930" s="20" t="str">
        <f>IFERROR(__xludf.DUMMYFUNCTION("""COMPUTED_VALUE"""),"Uncle Sams Cider (04/04/2023)")</f>
        <v>Uncle Sams Cider (04/04/2023)</v>
      </c>
      <c r="H1930" s="19"/>
    </row>
    <row r="1931">
      <c r="A1931" s="9"/>
      <c r="B1931" s="15"/>
      <c r="C1931" s="9">
        <f>IFERROR(__xludf.DUMMYFUNCTION("""COMPUTED_VALUE"""),45124.3400366898)</f>
        <v>45124.34004</v>
      </c>
      <c r="D1931" s="15">
        <f>IFERROR(__xludf.DUMMYFUNCTION("""COMPUTED_VALUE"""),0.999)</f>
        <v>0.999</v>
      </c>
      <c r="E1931" s="16">
        <f>IFERROR(__xludf.DUMMYFUNCTION("""COMPUTED_VALUE"""),71.0)</f>
        <v>71</v>
      </c>
      <c r="F1931" s="19" t="str">
        <f>IFERROR(__xludf.DUMMYFUNCTION("""COMPUTED_VALUE"""),"BLUE")</f>
        <v>BLUE</v>
      </c>
      <c r="G1931" s="20" t="str">
        <f>IFERROR(__xludf.DUMMYFUNCTION("""COMPUTED_VALUE"""),"Uncle Sams Cider (04/04/2023)")</f>
        <v>Uncle Sams Cider (04/04/2023)</v>
      </c>
      <c r="H1931" s="19"/>
    </row>
    <row r="1932">
      <c r="A1932" s="9"/>
      <c r="B1932" s="15"/>
      <c r="C1932" s="9">
        <f>IFERROR(__xludf.DUMMYFUNCTION("""COMPUTED_VALUE"""),45124.3296048032)</f>
        <v>45124.3296</v>
      </c>
      <c r="D1932" s="15">
        <f>IFERROR(__xludf.DUMMYFUNCTION("""COMPUTED_VALUE"""),0.999)</f>
        <v>0.999</v>
      </c>
      <c r="E1932" s="16">
        <f>IFERROR(__xludf.DUMMYFUNCTION("""COMPUTED_VALUE"""),71.0)</f>
        <v>71</v>
      </c>
      <c r="F1932" s="19" t="str">
        <f>IFERROR(__xludf.DUMMYFUNCTION("""COMPUTED_VALUE"""),"BLUE")</f>
        <v>BLUE</v>
      </c>
      <c r="G1932" s="20" t="str">
        <f>IFERROR(__xludf.DUMMYFUNCTION("""COMPUTED_VALUE"""),"Uncle Sams Cider (04/04/2023)")</f>
        <v>Uncle Sams Cider (04/04/2023)</v>
      </c>
      <c r="H1932" s="19"/>
    </row>
    <row r="1933">
      <c r="A1933" s="9"/>
      <c r="B1933" s="15"/>
      <c r="C1933" s="9">
        <f>IFERROR(__xludf.DUMMYFUNCTION("""COMPUTED_VALUE"""),45124.3191814236)</f>
        <v>45124.31918</v>
      </c>
      <c r="D1933" s="15">
        <f>IFERROR(__xludf.DUMMYFUNCTION("""COMPUTED_VALUE"""),0.999)</f>
        <v>0.999</v>
      </c>
      <c r="E1933" s="16">
        <f>IFERROR(__xludf.DUMMYFUNCTION("""COMPUTED_VALUE"""),71.0)</f>
        <v>71</v>
      </c>
      <c r="F1933" s="19" t="str">
        <f>IFERROR(__xludf.DUMMYFUNCTION("""COMPUTED_VALUE"""),"BLUE")</f>
        <v>BLUE</v>
      </c>
      <c r="G1933" s="20" t="str">
        <f>IFERROR(__xludf.DUMMYFUNCTION("""COMPUTED_VALUE"""),"Uncle Sams Cider (04/04/2023)")</f>
        <v>Uncle Sams Cider (04/04/2023)</v>
      </c>
      <c r="H1933" s="19"/>
    </row>
    <row r="1934">
      <c r="A1934" s="9"/>
      <c r="B1934" s="15"/>
      <c r="C1934" s="9">
        <f>IFERROR(__xludf.DUMMYFUNCTION("""COMPUTED_VALUE"""),45124.3087587152)</f>
        <v>45124.30876</v>
      </c>
      <c r="D1934" s="15">
        <f>IFERROR(__xludf.DUMMYFUNCTION("""COMPUTED_VALUE"""),0.999)</f>
        <v>0.999</v>
      </c>
      <c r="E1934" s="16">
        <f>IFERROR(__xludf.DUMMYFUNCTION("""COMPUTED_VALUE"""),71.0)</f>
        <v>71</v>
      </c>
      <c r="F1934" s="19" t="str">
        <f>IFERROR(__xludf.DUMMYFUNCTION("""COMPUTED_VALUE"""),"BLUE")</f>
        <v>BLUE</v>
      </c>
      <c r="G1934" s="20" t="str">
        <f>IFERROR(__xludf.DUMMYFUNCTION("""COMPUTED_VALUE"""),"Uncle Sams Cider (04/04/2023)")</f>
        <v>Uncle Sams Cider (04/04/2023)</v>
      </c>
      <c r="H1934" s="19"/>
    </row>
    <row r="1935">
      <c r="A1935" s="9"/>
      <c r="B1935" s="15"/>
      <c r="C1935" s="9">
        <f>IFERROR(__xludf.DUMMYFUNCTION("""COMPUTED_VALUE"""),45124.298338206)</f>
        <v>45124.29834</v>
      </c>
      <c r="D1935" s="15">
        <f>IFERROR(__xludf.DUMMYFUNCTION("""COMPUTED_VALUE"""),0.999)</f>
        <v>0.999</v>
      </c>
      <c r="E1935" s="16">
        <f>IFERROR(__xludf.DUMMYFUNCTION("""COMPUTED_VALUE"""),71.0)</f>
        <v>71</v>
      </c>
      <c r="F1935" s="19" t="str">
        <f>IFERROR(__xludf.DUMMYFUNCTION("""COMPUTED_VALUE"""),"BLUE")</f>
        <v>BLUE</v>
      </c>
      <c r="G1935" s="20" t="str">
        <f>IFERROR(__xludf.DUMMYFUNCTION("""COMPUTED_VALUE"""),"Uncle Sams Cider (04/04/2023)")</f>
        <v>Uncle Sams Cider (04/04/2023)</v>
      </c>
      <c r="H1935" s="19"/>
    </row>
    <row r="1936">
      <c r="A1936" s="9"/>
      <c r="B1936" s="15"/>
      <c r="C1936" s="9">
        <f>IFERROR(__xludf.DUMMYFUNCTION("""COMPUTED_VALUE"""),45124.2879200231)</f>
        <v>45124.28792</v>
      </c>
      <c r="D1936" s="15">
        <f>IFERROR(__xludf.DUMMYFUNCTION("""COMPUTED_VALUE"""),0.999)</f>
        <v>0.999</v>
      </c>
      <c r="E1936" s="16">
        <f>IFERROR(__xludf.DUMMYFUNCTION("""COMPUTED_VALUE"""),71.0)</f>
        <v>71</v>
      </c>
      <c r="F1936" s="19" t="str">
        <f>IFERROR(__xludf.DUMMYFUNCTION("""COMPUTED_VALUE"""),"BLUE")</f>
        <v>BLUE</v>
      </c>
      <c r="G1936" s="20" t="str">
        <f>IFERROR(__xludf.DUMMYFUNCTION("""COMPUTED_VALUE"""),"Uncle Sams Cider (04/04/2023)")</f>
        <v>Uncle Sams Cider (04/04/2023)</v>
      </c>
      <c r="H1936" s="19"/>
    </row>
    <row r="1937">
      <c r="A1937" s="9"/>
      <c r="B1937" s="15"/>
      <c r="C1937" s="9">
        <f>IFERROR(__xludf.DUMMYFUNCTION("""COMPUTED_VALUE"""),45124.2774988541)</f>
        <v>45124.2775</v>
      </c>
      <c r="D1937" s="15">
        <f>IFERROR(__xludf.DUMMYFUNCTION("""COMPUTED_VALUE"""),0.999)</f>
        <v>0.999</v>
      </c>
      <c r="E1937" s="16">
        <f>IFERROR(__xludf.DUMMYFUNCTION("""COMPUTED_VALUE"""),71.0)</f>
        <v>71</v>
      </c>
      <c r="F1937" s="19" t="str">
        <f>IFERROR(__xludf.DUMMYFUNCTION("""COMPUTED_VALUE"""),"BLUE")</f>
        <v>BLUE</v>
      </c>
      <c r="G1937" s="20" t="str">
        <f>IFERROR(__xludf.DUMMYFUNCTION("""COMPUTED_VALUE"""),"Uncle Sams Cider (04/04/2023)")</f>
        <v>Uncle Sams Cider (04/04/2023)</v>
      </c>
      <c r="H1937" s="19"/>
    </row>
    <row r="1938">
      <c r="A1938" s="9"/>
      <c r="B1938" s="15"/>
      <c r="C1938" s="9">
        <f>IFERROR(__xludf.DUMMYFUNCTION("""COMPUTED_VALUE"""),45124.2670771064)</f>
        <v>45124.26708</v>
      </c>
      <c r="D1938" s="15">
        <f>IFERROR(__xludf.DUMMYFUNCTION("""COMPUTED_VALUE"""),0.999)</f>
        <v>0.999</v>
      </c>
      <c r="E1938" s="16">
        <f>IFERROR(__xludf.DUMMYFUNCTION("""COMPUTED_VALUE"""),71.0)</f>
        <v>71</v>
      </c>
      <c r="F1938" s="19" t="str">
        <f>IFERROR(__xludf.DUMMYFUNCTION("""COMPUTED_VALUE"""),"BLUE")</f>
        <v>BLUE</v>
      </c>
      <c r="G1938" s="20" t="str">
        <f>IFERROR(__xludf.DUMMYFUNCTION("""COMPUTED_VALUE"""),"Uncle Sams Cider (04/04/2023)")</f>
        <v>Uncle Sams Cider (04/04/2023)</v>
      </c>
      <c r="H1938" s="19"/>
    </row>
    <row r="1939">
      <c r="A1939" s="9"/>
      <c r="B1939" s="15"/>
      <c r="C1939" s="9">
        <f>IFERROR(__xludf.DUMMYFUNCTION("""COMPUTED_VALUE"""),45124.2566442129)</f>
        <v>45124.25664</v>
      </c>
      <c r="D1939" s="15">
        <f>IFERROR(__xludf.DUMMYFUNCTION("""COMPUTED_VALUE"""),0.999)</f>
        <v>0.999</v>
      </c>
      <c r="E1939" s="16">
        <f>IFERROR(__xludf.DUMMYFUNCTION("""COMPUTED_VALUE"""),71.0)</f>
        <v>71</v>
      </c>
      <c r="F1939" s="19" t="str">
        <f>IFERROR(__xludf.DUMMYFUNCTION("""COMPUTED_VALUE"""),"BLUE")</f>
        <v>BLUE</v>
      </c>
      <c r="G1939" s="20" t="str">
        <f>IFERROR(__xludf.DUMMYFUNCTION("""COMPUTED_VALUE"""),"Uncle Sams Cider (04/04/2023)")</f>
        <v>Uncle Sams Cider (04/04/2023)</v>
      </c>
      <c r="H1939" s="19"/>
    </row>
    <row r="1940">
      <c r="A1940" s="9"/>
      <c r="B1940" s="15"/>
      <c r="C1940" s="9">
        <f>IFERROR(__xludf.DUMMYFUNCTION("""COMPUTED_VALUE"""),45124.2462231944)</f>
        <v>45124.24622</v>
      </c>
      <c r="D1940" s="15">
        <f>IFERROR(__xludf.DUMMYFUNCTION("""COMPUTED_VALUE"""),0.999)</f>
        <v>0.999</v>
      </c>
      <c r="E1940" s="16">
        <f>IFERROR(__xludf.DUMMYFUNCTION("""COMPUTED_VALUE"""),71.0)</f>
        <v>71</v>
      </c>
      <c r="F1940" s="19" t="str">
        <f>IFERROR(__xludf.DUMMYFUNCTION("""COMPUTED_VALUE"""),"BLUE")</f>
        <v>BLUE</v>
      </c>
      <c r="G1940" s="20" t="str">
        <f>IFERROR(__xludf.DUMMYFUNCTION("""COMPUTED_VALUE"""),"Uncle Sams Cider (04/04/2023)")</f>
        <v>Uncle Sams Cider (04/04/2023)</v>
      </c>
      <c r="H1940" s="19"/>
    </row>
    <row r="1941">
      <c r="A1941" s="9"/>
      <c r="B1941" s="15"/>
      <c r="C1941" s="9">
        <f>IFERROR(__xludf.DUMMYFUNCTION("""COMPUTED_VALUE"""),45124.2358021875)</f>
        <v>45124.2358</v>
      </c>
      <c r="D1941" s="15">
        <f>IFERROR(__xludf.DUMMYFUNCTION("""COMPUTED_VALUE"""),0.999)</f>
        <v>0.999</v>
      </c>
      <c r="E1941" s="16">
        <f>IFERROR(__xludf.DUMMYFUNCTION("""COMPUTED_VALUE"""),71.0)</f>
        <v>71</v>
      </c>
      <c r="F1941" s="19" t="str">
        <f>IFERROR(__xludf.DUMMYFUNCTION("""COMPUTED_VALUE"""),"BLUE")</f>
        <v>BLUE</v>
      </c>
      <c r="G1941" s="20" t="str">
        <f>IFERROR(__xludf.DUMMYFUNCTION("""COMPUTED_VALUE"""),"Uncle Sams Cider (04/04/2023)")</f>
        <v>Uncle Sams Cider (04/04/2023)</v>
      </c>
      <c r="H1941" s="19"/>
    </row>
    <row r="1942">
      <c r="A1942" s="9"/>
      <c r="B1942" s="15"/>
      <c r="C1942" s="9">
        <f>IFERROR(__xludf.DUMMYFUNCTION("""COMPUTED_VALUE"""),45124.2253818865)</f>
        <v>45124.22538</v>
      </c>
      <c r="D1942" s="15">
        <f>IFERROR(__xludf.DUMMYFUNCTION("""COMPUTED_VALUE"""),0.999)</f>
        <v>0.999</v>
      </c>
      <c r="E1942" s="16">
        <f>IFERROR(__xludf.DUMMYFUNCTION("""COMPUTED_VALUE"""),71.0)</f>
        <v>71</v>
      </c>
      <c r="F1942" s="19" t="str">
        <f>IFERROR(__xludf.DUMMYFUNCTION("""COMPUTED_VALUE"""),"BLUE")</f>
        <v>BLUE</v>
      </c>
      <c r="G1942" s="20" t="str">
        <f>IFERROR(__xludf.DUMMYFUNCTION("""COMPUTED_VALUE"""),"Uncle Sams Cider (04/04/2023)")</f>
        <v>Uncle Sams Cider (04/04/2023)</v>
      </c>
      <c r="H1942" s="19"/>
    </row>
    <row r="1943">
      <c r="A1943" s="9"/>
      <c r="B1943" s="15"/>
      <c r="C1943" s="9">
        <f>IFERROR(__xludf.DUMMYFUNCTION("""COMPUTED_VALUE"""),45124.2149601967)</f>
        <v>45124.21496</v>
      </c>
      <c r="D1943" s="15">
        <f>IFERROR(__xludf.DUMMYFUNCTION("""COMPUTED_VALUE"""),0.999)</f>
        <v>0.999</v>
      </c>
      <c r="E1943" s="16">
        <f>IFERROR(__xludf.DUMMYFUNCTION("""COMPUTED_VALUE"""),71.0)</f>
        <v>71</v>
      </c>
      <c r="F1943" s="19" t="str">
        <f>IFERROR(__xludf.DUMMYFUNCTION("""COMPUTED_VALUE"""),"BLUE")</f>
        <v>BLUE</v>
      </c>
      <c r="G1943" s="20" t="str">
        <f>IFERROR(__xludf.DUMMYFUNCTION("""COMPUTED_VALUE"""),"Uncle Sams Cider (04/04/2023)")</f>
        <v>Uncle Sams Cider (04/04/2023)</v>
      </c>
      <c r="H1943" s="19"/>
    </row>
    <row r="1944">
      <c r="A1944" s="9"/>
      <c r="B1944" s="15"/>
      <c r="C1944" s="9">
        <f>IFERROR(__xludf.DUMMYFUNCTION("""COMPUTED_VALUE"""),45124.204527905)</f>
        <v>45124.20453</v>
      </c>
      <c r="D1944" s="15">
        <f>IFERROR(__xludf.DUMMYFUNCTION("""COMPUTED_VALUE"""),0.999)</f>
        <v>0.999</v>
      </c>
      <c r="E1944" s="16">
        <f>IFERROR(__xludf.DUMMYFUNCTION("""COMPUTED_VALUE"""),71.0)</f>
        <v>71</v>
      </c>
      <c r="F1944" s="19" t="str">
        <f>IFERROR(__xludf.DUMMYFUNCTION("""COMPUTED_VALUE"""),"BLUE")</f>
        <v>BLUE</v>
      </c>
      <c r="G1944" s="20" t="str">
        <f>IFERROR(__xludf.DUMMYFUNCTION("""COMPUTED_VALUE"""),"Uncle Sams Cider (04/04/2023)")</f>
        <v>Uncle Sams Cider (04/04/2023)</v>
      </c>
      <c r="H1944" s="19"/>
    </row>
    <row r="1945">
      <c r="A1945" s="9"/>
      <c r="B1945" s="15"/>
      <c r="C1945" s="9">
        <f>IFERROR(__xludf.DUMMYFUNCTION("""COMPUTED_VALUE"""),45124.1941061458)</f>
        <v>45124.19411</v>
      </c>
      <c r="D1945" s="15">
        <f>IFERROR(__xludf.DUMMYFUNCTION("""COMPUTED_VALUE"""),0.999)</f>
        <v>0.999</v>
      </c>
      <c r="E1945" s="16">
        <f>IFERROR(__xludf.DUMMYFUNCTION("""COMPUTED_VALUE"""),71.0)</f>
        <v>71</v>
      </c>
      <c r="F1945" s="19" t="str">
        <f>IFERROR(__xludf.DUMMYFUNCTION("""COMPUTED_VALUE"""),"BLUE")</f>
        <v>BLUE</v>
      </c>
      <c r="G1945" s="20" t="str">
        <f>IFERROR(__xludf.DUMMYFUNCTION("""COMPUTED_VALUE"""),"Uncle Sams Cider (04/04/2023)")</f>
        <v>Uncle Sams Cider (04/04/2023)</v>
      </c>
      <c r="H1945" s="19"/>
    </row>
    <row r="1946">
      <c r="A1946" s="9"/>
      <c r="B1946" s="15"/>
      <c r="C1946" s="9">
        <f>IFERROR(__xludf.DUMMYFUNCTION("""COMPUTED_VALUE"""),45124.1836854051)</f>
        <v>45124.18369</v>
      </c>
      <c r="D1946" s="15">
        <f>IFERROR(__xludf.DUMMYFUNCTION("""COMPUTED_VALUE"""),0.999)</f>
        <v>0.999</v>
      </c>
      <c r="E1946" s="16">
        <f>IFERROR(__xludf.DUMMYFUNCTION("""COMPUTED_VALUE"""),71.0)</f>
        <v>71</v>
      </c>
      <c r="F1946" s="19" t="str">
        <f>IFERROR(__xludf.DUMMYFUNCTION("""COMPUTED_VALUE"""),"BLUE")</f>
        <v>BLUE</v>
      </c>
      <c r="G1946" s="20" t="str">
        <f>IFERROR(__xludf.DUMMYFUNCTION("""COMPUTED_VALUE"""),"Uncle Sams Cider (04/04/2023)")</f>
        <v>Uncle Sams Cider (04/04/2023)</v>
      </c>
      <c r="H1946" s="19"/>
    </row>
    <row r="1947">
      <c r="A1947" s="9"/>
      <c r="B1947" s="15"/>
      <c r="C1947" s="9">
        <f>IFERROR(__xludf.DUMMYFUNCTION("""COMPUTED_VALUE"""),45124.1732412962)</f>
        <v>45124.17324</v>
      </c>
      <c r="D1947" s="15">
        <f>IFERROR(__xludf.DUMMYFUNCTION("""COMPUTED_VALUE"""),0.999)</f>
        <v>0.999</v>
      </c>
      <c r="E1947" s="16">
        <f>IFERROR(__xludf.DUMMYFUNCTION("""COMPUTED_VALUE"""),71.0)</f>
        <v>71</v>
      </c>
      <c r="F1947" s="19" t="str">
        <f>IFERROR(__xludf.DUMMYFUNCTION("""COMPUTED_VALUE"""),"BLUE")</f>
        <v>BLUE</v>
      </c>
      <c r="G1947" s="20" t="str">
        <f>IFERROR(__xludf.DUMMYFUNCTION("""COMPUTED_VALUE"""),"Uncle Sams Cider (04/04/2023)")</f>
        <v>Uncle Sams Cider (04/04/2023)</v>
      </c>
      <c r="H1947" s="19"/>
    </row>
    <row r="1948">
      <c r="A1948" s="9"/>
      <c r="B1948" s="15"/>
      <c r="C1948" s="9">
        <f>IFERROR(__xludf.DUMMYFUNCTION("""COMPUTED_VALUE"""),45124.1628088541)</f>
        <v>45124.16281</v>
      </c>
      <c r="D1948" s="15">
        <f>IFERROR(__xludf.DUMMYFUNCTION("""COMPUTED_VALUE"""),0.999)</f>
        <v>0.999</v>
      </c>
      <c r="E1948" s="16">
        <f>IFERROR(__xludf.DUMMYFUNCTION("""COMPUTED_VALUE"""),71.0)</f>
        <v>71</v>
      </c>
      <c r="F1948" s="19" t="str">
        <f>IFERROR(__xludf.DUMMYFUNCTION("""COMPUTED_VALUE"""),"BLUE")</f>
        <v>BLUE</v>
      </c>
      <c r="G1948" s="20" t="str">
        <f>IFERROR(__xludf.DUMMYFUNCTION("""COMPUTED_VALUE"""),"Uncle Sams Cider (04/04/2023)")</f>
        <v>Uncle Sams Cider (04/04/2023)</v>
      </c>
      <c r="H1948" s="19"/>
    </row>
    <row r="1949">
      <c r="A1949" s="9"/>
      <c r="B1949" s="15"/>
      <c r="C1949" s="9">
        <f>IFERROR(__xludf.DUMMYFUNCTION("""COMPUTED_VALUE"""),45124.1523879976)</f>
        <v>45124.15239</v>
      </c>
      <c r="D1949" s="15">
        <f>IFERROR(__xludf.DUMMYFUNCTION("""COMPUTED_VALUE"""),0.998)</f>
        <v>0.998</v>
      </c>
      <c r="E1949" s="16">
        <f>IFERROR(__xludf.DUMMYFUNCTION("""COMPUTED_VALUE"""),71.0)</f>
        <v>71</v>
      </c>
      <c r="F1949" s="19" t="str">
        <f>IFERROR(__xludf.DUMMYFUNCTION("""COMPUTED_VALUE"""),"BLUE")</f>
        <v>BLUE</v>
      </c>
      <c r="G1949" s="20" t="str">
        <f>IFERROR(__xludf.DUMMYFUNCTION("""COMPUTED_VALUE"""),"Uncle Sams Cider (04/04/2023)")</f>
        <v>Uncle Sams Cider (04/04/2023)</v>
      </c>
      <c r="H1949" s="19"/>
    </row>
    <row r="1950">
      <c r="A1950" s="9"/>
      <c r="B1950" s="15"/>
      <c r="C1950" s="9">
        <f>IFERROR(__xludf.DUMMYFUNCTION("""COMPUTED_VALUE"""),45124.1419678703)</f>
        <v>45124.14197</v>
      </c>
      <c r="D1950" s="15">
        <f>IFERROR(__xludf.DUMMYFUNCTION("""COMPUTED_VALUE"""),0.999)</f>
        <v>0.999</v>
      </c>
      <c r="E1950" s="16">
        <f>IFERROR(__xludf.DUMMYFUNCTION("""COMPUTED_VALUE"""),71.0)</f>
        <v>71</v>
      </c>
      <c r="F1950" s="19" t="str">
        <f>IFERROR(__xludf.DUMMYFUNCTION("""COMPUTED_VALUE"""),"BLUE")</f>
        <v>BLUE</v>
      </c>
      <c r="G1950" s="20" t="str">
        <f>IFERROR(__xludf.DUMMYFUNCTION("""COMPUTED_VALUE"""),"Uncle Sams Cider (04/04/2023)")</f>
        <v>Uncle Sams Cider (04/04/2023)</v>
      </c>
      <c r="H1950" s="19"/>
    </row>
    <row r="1951">
      <c r="A1951" s="9"/>
      <c r="B1951" s="15"/>
      <c r="C1951" s="9">
        <f>IFERROR(__xludf.DUMMYFUNCTION("""COMPUTED_VALUE"""),45124.1315475578)</f>
        <v>45124.13155</v>
      </c>
      <c r="D1951" s="15">
        <f>IFERROR(__xludf.DUMMYFUNCTION("""COMPUTED_VALUE"""),0.999)</f>
        <v>0.999</v>
      </c>
      <c r="E1951" s="16">
        <f>IFERROR(__xludf.DUMMYFUNCTION("""COMPUTED_VALUE"""),71.0)</f>
        <v>71</v>
      </c>
      <c r="F1951" s="19" t="str">
        <f>IFERROR(__xludf.DUMMYFUNCTION("""COMPUTED_VALUE"""),"BLUE")</f>
        <v>BLUE</v>
      </c>
      <c r="G1951" s="20" t="str">
        <f>IFERROR(__xludf.DUMMYFUNCTION("""COMPUTED_VALUE"""),"Uncle Sams Cider (04/04/2023)")</f>
        <v>Uncle Sams Cider (04/04/2023)</v>
      </c>
      <c r="H1951" s="19"/>
    </row>
    <row r="1952">
      <c r="A1952" s="9"/>
      <c r="B1952" s="15"/>
      <c r="C1952" s="9">
        <f>IFERROR(__xludf.DUMMYFUNCTION("""COMPUTED_VALUE"""),45124.1211260301)</f>
        <v>45124.12113</v>
      </c>
      <c r="D1952" s="15">
        <f>IFERROR(__xludf.DUMMYFUNCTION("""COMPUTED_VALUE"""),0.999)</f>
        <v>0.999</v>
      </c>
      <c r="E1952" s="16">
        <f>IFERROR(__xludf.DUMMYFUNCTION("""COMPUTED_VALUE"""),71.0)</f>
        <v>71</v>
      </c>
      <c r="F1952" s="19" t="str">
        <f>IFERROR(__xludf.DUMMYFUNCTION("""COMPUTED_VALUE"""),"BLUE")</f>
        <v>BLUE</v>
      </c>
      <c r="G1952" s="20" t="str">
        <f>IFERROR(__xludf.DUMMYFUNCTION("""COMPUTED_VALUE"""),"Uncle Sams Cider (04/04/2023)")</f>
        <v>Uncle Sams Cider (04/04/2023)</v>
      </c>
      <c r="H1952" s="19"/>
    </row>
    <row r="1953">
      <c r="A1953" s="9"/>
      <c r="B1953" s="15"/>
      <c r="C1953" s="9">
        <f>IFERROR(__xludf.DUMMYFUNCTION("""COMPUTED_VALUE"""),45124.1106923032)</f>
        <v>45124.11069</v>
      </c>
      <c r="D1953" s="15">
        <f>IFERROR(__xludf.DUMMYFUNCTION("""COMPUTED_VALUE"""),0.999)</f>
        <v>0.999</v>
      </c>
      <c r="E1953" s="16">
        <f>IFERROR(__xludf.DUMMYFUNCTION("""COMPUTED_VALUE"""),71.0)</f>
        <v>71</v>
      </c>
      <c r="F1953" s="19" t="str">
        <f>IFERROR(__xludf.DUMMYFUNCTION("""COMPUTED_VALUE"""),"BLUE")</f>
        <v>BLUE</v>
      </c>
      <c r="G1953" s="20" t="str">
        <f>IFERROR(__xludf.DUMMYFUNCTION("""COMPUTED_VALUE"""),"Uncle Sams Cider (04/04/2023)")</f>
        <v>Uncle Sams Cider (04/04/2023)</v>
      </c>
      <c r="H1953" s="19"/>
    </row>
    <row r="1954">
      <c r="A1954" s="9"/>
      <c r="B1954" s="15"/>
      <c r="C1954" s="9">
        <f>IFERROR(__xludf.DUMMYFUNCTION("""COMPUTED_VALUE"""),45124.1002710995)</f>
        <v>45124.10027</v>
      </c>
      <c r="D1954" s="15">
        <f>IFERROR(__xludf.DUMMYFUNCTION("""COMPUTED_VALUE"""),0.999)</f>
        <v>0.999</v>
      </c>
      <c r="E1954" s="16">
        <f>IFERROR(__xludf.DUMMYFUNCTION("""COMPUTED_VALUE"""),71.0)</f>
        <v>71</v>
      </c>
      <c r="F1954" s="19" t="str">
        <f>IFERROR(__xludf.DUMMYFUNCTION("""COMPUTED_VALUE"""),"BLUE")</f>
        <v>BLUE</v>
      </c>
      <c r="G1954" s="20" t="str">
        <f>IFERROR(__xludf.DUMMYFUNCTION("""COMPUTED_VALUE"""),"Uncle Sams Cider (04/04/2023)")</f>
        <v>Uncle Sams Cider (04/04/2023)</v>
      </c>
      <c r="H1954" s="19"/>
    </row>
    <row r="1955">
      <c r="A1955" s="9"/>
      <c r="B1955" s="15"/>
      <c r="C1955" s="9">
        <f>IFERROR(__xludf.DUMMYFUNCTION("""COMPUTED_VALUE"""),45124.0898376736)</f>
        <v>45124.08984</v>
      </c>
      <c r="D1955" s="15">
        <f>IFERROR(__xludf.DUMMYFUNCTION("""COMPUTED_VALUE"""),0.999)</f>
        <v>0.999</v>
      </c>
      <c r="E1955" s="16">
        <f>IFERROR(__xludf.DUMMYFUNCTION("""COMPUTED_VALUE"""),71.0)</f>
        <v>71</v>
      </c>
      <c r="F1955" s="19" t="str">
        <f>IFERROR(__xludf.DUMMYFUNCTION("""COMPUTED_VALUE"""),"BLUE")</f>
        <v>BLUE</v>
      </c>
      <c r="G1955" s="20" t="str">
        <f>IFERROR(__xludf.DUMMYFUNCTION("""COMPUTED_VALUE"""),"Uncle Sams Cider (04/04/2023)")</f>
        <v>Uncle Sams Cider (04/04/2023)</v>
      </c>
      <c r="H1955" s="19"/>
    </row>
    <row r="1956">
      <c r="A1956" s="9"/>
      <c r="B1956" s="15"/>
      <c r="C1956" s="9">
        <f>IFERROR(__xludf.DUMMYFUNCTION("""COMPUTED_VALUE"""),45124.0794156597)</f>
        <v>45124.07942</v>
      </c>
      <c r="D1956" s="15">
        <f>IFERROR(__xludf.DUMMYFUNCTION("""COMPUTED_VALUE"""),0.999)</f>
        <v>0.999</v>
      </c>
      <c r="E1956" s="16">
        <f>IFERROR(__xludf.DUMMYFUNCTION("""COMPUTED_VALUE"""),71.0)</f>
        <v>71</v>
      </c>
      <c r="F1956" s="19" t="str">
        <f>IFERROR(__xludf.DUMMYFUNCTION("""COMPUTED_VALUE"""),"BLUE")</f>
        <v>BLUE</v>
      </c>
      <c r="G1956" s="20" t="str">
        <f>IFERROR(__xludf.DUMMYFUNCTION("""COMPUTED_VALUE"""),"Uncle Sams Cider (04/04/2023)")</f>
        <v>Uncle Sams Cider (04/04/2023)</v>
      </c>
      <c r="H1956" s="19"/>
    </row>
    <row r="1957">
      <c r="A1957" s="9"/>
      <c r="B1957" s="15"/>
      <c r="C1957" s="9">
        <f>IFERROR(__xludf.DUMMYFUNCTION("""COMPUTED_VALUE"""),45124.0689938773)</f>
        <v>45124.06899</v>
      </c>
      <c r="D1957" s="15">
        <f>IFERROR(__xludf.DUMMYFUNCTION("""COMPUTED_VALUE"""),0.999)</f>
        <v>0.999</v>
      </c>
      <c r="E1957" s="16">
        <f>IFERROR(__xludf.DUMMYFUNCTION("""COMPUTED_VALUE"""),71.0)</f>
        <v>71</v>
      </c>
      <c r="F1957" s="19" t="str">
        <f>IFERROR(__xludf.DUMMYFUNCTION("""COMPUTED_VALUE"""),"BLUE")</f>
        <v>BLUE</v>
      </c>
      <c r="G1957" s="20" t="str">
        <f>IFERROR(__xludf.DUMMYFUNCTION("""COMPUTED_VALUE"""),"Uncle Sams Cider (04/04/2023)")</f>
        <v>Uncle Sams Cider (04/04/2023)</v>
      </c>
      <c r="H1957" s="19"/>
    </row>
    <row r="1958">
      <c r="A1958" s="9"/>
      <c r="B1958" s="15"/>
      <c r="C1958" s="9">
        <f>IFERROR(__xludf.DUMMYFUNCTION("""COMPUTED_VALUE"""),45124.0585726041)</f>
        <v>45124.05857</v>
      </c>
      <c r="D1958" s="15">
        <f>IFERROR(__xludf.DUMMYFUNCTION("""COMPUTED_VALUE"""),0.999)</f>
        <v>0.999</v>
      </c>
      <c r="E1958" s="16">
        <f>IFERROR(__xludf.DUMMYFUNCTION("""COMPUTED_VALUE"""),71.0)</f>
        <v>71</v>
      </c>
      <c r="F1958" s="19" t="str">
        <f>IFERROR(__xludf.DUMMYFUNCTION("""COMPUTED_VALUE"""),"BLUE")</f>
        <v>BLUE</v>
      </c>
      <c r="G1958" s="20" t="str">
        <f>IFERROR(__xludf.DUMMYFUNCTION("""COMPUTED_VALUE"""),"Uncle Sams Cider (04/04/2023)")</f>
        <v>Uncle Sams Cider (04/04/2023)</v>
      </c>
      <c r="H1958" s="19"/>
    </row>
    <row r="1959">
      <c r="A1959" s="9"/>
      <c r="B1959" s="15"/>
      <c r="C1959" s="9">
        <f>IFERROR(__xludf.DUMMYFUNCTION("""COMPUTED_VALUE"""),45124.0481288541)</f>
        <v>45124.04813</v>
      </c>
      <c r="D1959" s="15">
        <f>IFERROR(__xludf.DUMMYFUNCTION("""COMPUTED_VALUE"""),0.999)</f>
        <v>0.999</v>
      </c>
      <c r="E1959" s="16">
        <f>IFERROR(__xludf.DUMMYFUNCTION("""COMPUTED_VALUE"""),71.0)</f>
        <v>71</v>
      </c>
      <c r="F1959" s="19" t="str">
        <f>IFERROR(__xludf.DUMMYFUNCTION("""COMPUTED_VALUE"""),"BLUE")</f>
        <v>BLUE</v>
      </c>
      <c r="G1959" s="20" t="str">
        <f>IFERROR(__xludf.DUMMYFUNCTION("""COMPUTED_VALUE"""),"Uncle Sams Cider (04/04/2023)")</f>
        <v>Uncle Sams Cider (04/04/2023)</v>
      </c>
      <c r="H1959" s="19"/>
    </row>
    <row r="1960">
      <c r="A1960" s="9"/>
      <c r="B1960" s="15"/>
      <c r="C1960" s="9">
        <f>IFERROR(__xludf.DUMMYFUNCTION("""COMPUTED_VALUE"""),45124.0377074305)</f>
        <v>45124.03771</v>
      </c>
      <c r="D1960" s="15">
        <f>IFERROR(__xludf.DUMMYFUNCTION("""COMPUTED_VALUE"""),0.999)</f>
        <v>0.999</v>
      </c>
      <c r="E1960" s="16">
        <f>IFERROR(__xludf.DUMMYFUNCTION("""COMPUTED_VALUE"""),70.0)</f>
        <v>70</v>
      </c>
      <c r="F1960" s="19" t="str">
        <f>IFERROR(__xludf.DUMMYFUNCTION("""COMPUTED_VALUE"""),"BLUE")</f>
        <v>BLUE</v>
      </c>
      <c r="G1960" s="20" t="str">
        <f>IFERROR(__xludf.DUMMYFUNCTION("""COMPUTED_VALUE"""),"Uncle Sams Cider (04/04/2023)")</f>
        <v>Uncle Sams Cider (04/04/2023)</v>
      </c>
      <c r="H1960" s="19"/>
    </row>
    <row r="1961">
      <c r="A1961" s="9"/>
      <c r="B1961" s="15"/>
      <c r="C1961" s="9">
        <f>IFERROR(__xludf.DUMMYFUNCTION("""COMPUTED_VALUE"""),45124.0272862615)</f>
        <v>45124.02729</v>
      </c>
      <c r="D1961" s="15">
        <f>IFERROR(__xludf.DUMMYFUNCTION("""COMPUTED_VALUE"""),0.999)</f>
        <v>0.999</v>
      </c>
      <c r="E1961" s="16">
        <f>IFERROR(__xludf.DUMMYFUNCTION("""COMPUTED_VALUE"""),70.0)</f>
        <v>70</v>
      </c>
      <c r="F1961" s="19" t="str">
        <f>IFERROR(__xludf.DUMMYFUNCTION("""COMPUTED_VALUE"""),"BLUE")</f>
        <v>BLUE</v>
      </c>
      <c r="G1961" s="20" t="str">
        <f>IFERROR(__xludf.DUMMYFUNCTION("""COMPUTED_VALUE"""),"Uncle Sams Cider (04/04/2023)")</f>
        <v>Uncle Sams Cider (04/04/2023)</v>
      </c>
      <c r="H1961" s="19"/>
    </row>
    <row r="1962">
      <c r="A1962" s="9"/>
      <c r="B1962" s="15"/>
      <c r="C1962" s="9">
        <f>IFERROR(__xludf.DUMMYFUNCTION("""COMPUTED_VALUE"""),45124.0168663078)</f>
        <v>45124.01687</v>
      </c>
      <c r="D1962" s="15">
        <f>IFERROR(__xludf.DUMMYFUNCTION("""COMPUTED_VALUE"""),0.999)</f>
        <v>0.999</v>
      </c>
      <c r="E1962" s="16">
        <f>IFERROR(__xludf.DUMMYFUNCTION("""COMPUTED_VALUE"""),71.0)</f>
        <v>71</v>
      </c>
      <c r="F1962" s="19" t="str">
        <f>IFERROR(__xludf.DUMMYFUNCTION("""COMPUTED_VALUE"""),"BLUE")</f>
        <v>BLUE</v>
      </c>
      <c r="G1962" s="20" t="str">
        <f>IFERROR(__xludf.DUMMYFUNCTION("""COMPUTED_VALUE"""),"Uncle Sams Cider (04/04/2023)")</f>
        <v>Uncle Sams Cider (04/04/2023)</v>
      </c>
      <c r="H1962" s="19"/>
    </row>
    <row r="1963">
      <c r="A1963" s="9"/>
      <c r="B1963" s="15"/>
      <c r="C1963" s="9">
        <f>IFERROR(__xludf.DUMMYFUNCTION("""COMPUTED_VALUE"""),45124.0064344791)</f>
        <v>45124.00643</v>
      </c>
      <c r="D1963" s="15">
        <f>IFERROR(__xludf.DUMMYFUNCTION("""COMPUTED_VALUE"""),0.999)</f>
        <v>0.999</v>
      </c>
      <c r="E1963" s="16">
        <f>IFERROR(__xludf.DUMMYFUNCTION("""COMPUTED_VALUE"""),71.0)</f>
        <v>71</v>
      </c>
      <c r="F1963" s="19" t="str">
        <f>IFERROR(__xludf.DUMMYFUNCTION("""COMPUTED_VALUE"""),"BLUE")</f>
        <v>BLUE</v>
      </c>
      <c r="G1963" s="20" t="str">
        <f>IFERROR(__xludf.DUMMYFUNCTION("""COMPUTED_VALUE"""),"Uncle Sams Cider (04/04/2023)")</f>
        <v>Uncle Sams Cider (04/04/2023)</v>
      </c>
      <c r="H1963" s="19"/>
    </row>
    <row r="1964">
      <c r="A1964" s="9"/>
      <c r="B1964" s="15"/>
      <c r="C1964" s="9">
        <f>IFERROR(__xludf.DUMMYFUNCTION("""COMPUTED_VALUE"""),45123.996013912)</f>
        <v>45123.99601</v>
      </c>
      <c r="D1964" s="15">
        <f>IFERROR(__xludf.DUMMYFUNCTION("""COMPUTED_VALUE"""),0.999)</f>
        <v>0.999</v>
      </c>
      <c r="E1964" s="16">
        <f>IFERROR(__xludf.DUMMYFUNCTION("""COMPUTED_VALUE"""),70.0)</f>
        <v>70</v>
      </c>
      <c r="F1964" s="19" t="str">
        <f>IFERROR(__xludf.DUMMYFUNCTION("""COMPUTED_VALUE"""),"BLUE")</f>
        <v>BLUE</v>
      </c>
      <c r="G1964" s="20" t="str">
        <f>IFERROR(__xludf.DUMMYFUNCTION("""COMPUTED_VALUE"""),"Uncle Sams Cider (04/04/2023)")</f>
        <v>Uncle Sams Cider (04/04/2023)</v>
      </c>
      <c r="H1964" s="19"/>
    </row>
    <row r="1965">
      <c r="A1965" s="9"/>
      <c r="B1965" s="15"/>
      <c r="C1965" s="9">
        <f>IFERROR(__xludf.DUMMYFUNCTION("""COMPUTED_VALUE"""),45123.9855935763)</f>
        <v>45123.98559</v>
      </c>
      <c r="D1965" s="15">
        <f>IFERROR(__xludf.DUMMYFUNCTION("""COMPUTED_VALUE"""),0.999)</f>
        <v>0.999</v>
      </c>
      <c r="E1965" s="16">
        <f>IFERROR(__xludf.DUMMYFUNCTION("""COMPUTED_VALUE"""),70.0)</f>
        <v>70</v>
      </c>
      <c r="F1965" s="19" t="str">
        <f>IFERROR(__xludf.DUMMYFUNCTION("""COMPUTED_VALUE"""),"BLUE")</f>
        <v>BLUE</v>
      </c>
      <c r="G1965" s="20" t="str">
        <f>IFERROR(__xludf.DUMMYFUNCTION("""COMPUTED_VALUE"""),"Uncle Sams Cider (04/04/2023)")</f>
        <v>Uncle Sams Cider (04/04/2023)</v>
      </c>
      <c r="H1965" s="19"/>
    </row>
    <row r="1966">
      <c r="A1966" s="9"/>
      <c r="B1966" s="15"/>
      <c r="C1966" s="9">
        <f>IFERROR(__xludf.DUMMYFUNCTION("""COMPUTED_VALUE"""),45123.9751723148)</f>
        <v>45123.97517</v>
      </c>
      <c r="D1966" s="15">
        <f>IFERROR(__xludf.DUMMYFUNCTION("""COMPUTED_VALUE"""),0.999)</f>
        <v>0.999</v>
      </c>
      <c r="E1966" s="16">
        <f>IFERROR(__xludf.DUMMYFUNCTION("""COMPUTED_VALUE"""),71.0)</f>
        <v>71</v>
      </c>
      <c r="F1966" s="19" t="str">
        <f>IFERROR(__xludf.DUMMYFUNCTION("""COMPUTED_VALUE"""),"BLUE")</f>
        <v>BLUE</v>
      </c>
      <c r="G1966" s="20" t="str">
        <f>IFERROR(__xludf.DUMMYFUNCTION("""COMPUTED_VALUE"""),"Uncle Sams Cider (04/04/2023)")</f>
        <v>Uncle Sams Cider (04/04/2023)</v>
      </c>
      <c r="H1966" s="19"/>
    </row>
    <row r="1967">
      <c r="A1967" s="9"/>
      <c r="B1967" s="15"/>
      <c r="C1967" s="9">
        <f>IFERROR(__xludf.DUMMYFUNCTION("""COMPUTED_VALUE"""),45123.9647519907)</f>
        <v>45123.96475</v>
      </c>
      <c r="D1967" s="15">
        <f>IFERROR(__xludf.DUMMYFUNCTION("""COMPUTED_VALUE"""),0.999)</f>
        <v>0.999</v>
      </c>
      <c r="E1967" s="16">
        <f>IFERROR(__xludf.DUMMYFUNCTION("""COMPUTED_VALUE"""),70.0)</f>
        <v>70</v>
      </c>
      <c r="F1967" s="19" t="str">
        <f>IFERROR(__xludf.DUMMYFUNCTION("""COMPUTED_VALUE"""),"BLUE")</f>
        <v>BLUE</v>
      </c>
      <c r="G1967" s="20" t="str">
        <f>IFERROR(__xludf.DUMMYFUNCTION("""COMPUTED_VALUE"""),"Uncle Sams Cider (04/04/2023)")</f>
        <v>Uncle Sams Cider (04/04/2023)</v>
      </c>
      <c r="H1967" s="19"/>
    </row>
    <row r="1968">
      <c r="A1968" s="9"/>
      <c r="B1968" s="15"/>
      <c r="C1968" s="9">
        <f>IFERROR(__xludf.DUMMYFUNCTION("""COMPUTED_VALUE"""),45123.9543295486)</f>
        <v>45123.95433</v>
      </c>
      <c r="D1968" s="15">
        <f>IFERROR(__xludf.DUMMYFUNCTION("""COMPUTED_VALUE"""),0.999)</f>
        <v>0.999</v>
      </c>
      <c r="E1968" s="16">
        <f>IFERROR(__xludf.DUMMYFUNCTION("""COMPUTED_VALUE"""),70.0)</f>
        <v>70</v>
      </c>
      <c r="F1968" s="19" t="str">
        <f>IFERROR(__xludf.DUMMYFUNCTION("""COMPUTED_VALUE"""),"BLUE")</f>
        <v>BLUE</v>
      </c>
      <c r="G1968" s="20" t="str">
        <f>IFERROR(__xludf.DUMMYFUNCTION("""COMPUTED_VALUE"""),"Uncle Sams Cider (04/04/2023)")</f>
        <v>Uncle Sams Cider (04/04/2023)</v>
      </c>
      <c r="H1968" s="19"/>
    </row>
    <row r="1969">
      <c r="A1969" s="9"/>
      <c r="B1969" s="15"/>
      <c r="C1969" s="9">
        <f>IFERROR(__xludf.DUMMYFUNCTION("""COMPUTED_VALUE"""),45123.9439099768)</f>
        <v>45123.94391</v>
      </c>
      <c r="D1969" s="15">
        <f>IFERROR(__xludf.DUMMYFUNCTION("""COMPUTED_VALUE"""),0.999)</f>
        <v>0.999</v>
      </c>
      <c r="E1969" s="16">
        <f>IFERROR(__xludf.DUMMYFUNCTION("""COMPUTED_VALUE"""),70.0)</f>
        <v>70</v>
      </c>
      <c r="F1969" s="19" t="str">
        <f>IFERROR(__xludf.DUMMYFUNCTION("""COMPUTED_VALUE"""),"BLUE")</f>
        <v>BLUE</v>
      </c>
      <c r="G1969" s="20" t="str">
        <f>IFERROR(__xludf.DUMMYFUNCTION("""COMPUTED_VALUE"""),"Uncle Sams Cider (04/04/2023)")</f>
        <v>Uncle Sams Cider (04/04/2023)</v>
      </c>
      <c r="H1969" s="19"/>
    </row>
    <row r="1970">
      <c r="A1970" s="9"/>
      <c r="B1970" s="15"/>
      <c r="C1970" s="9">
        <f>IFERROR(__xludf.DUMMYFUNCTION("""COMPUTED_VALUE"""),45123.9334883333)</f>
        <v>45123.93349</v>
      </c>
      <c r="D1970" s="15">
        <f>IFERROR(__xludf.DUMMYFUNCTION("""COMPUTED_VALUE"""),0.999)</f>
        <v>0.999</v>
      </c>
      <c r="E1970" s="16">
        <f>IFERROR(__xludf.DUMMYFUNCTION("""COMPUTED_VALUE"""),70.0)</f>
        <v>70</v>
      </c>
      <c r="F1970" s="19" t="str">
        <f>IFERROR(__xludf.DUMMYFUNCTION("""COMPUTED_VALUE"""),"BLUE")</f>
        <v>BLUE</v>
      </c>
      <c r="G1970" s="20" t="str">
        <f>IFERROR(__xludf.DUMMYFUNCTION("""COMPUTED_VALUE"""),"Uncle Sams Cider (04/04/2023)")</f>
        <v>Uncle Sams Cider (04/04/2023)</v>
      </c>
      <c r="H1970" s="19"/>
    </row>
    <row r="1971">
      <c r="A1971" s="9"/>
      <c r="B1971" s="15"/>
      <c r="C1971" s="9">
        <f>IFERROR(__xludf.DUMMYFUNCTION("""COMPUTED_VALUE"""),45123.9230653819)</f>
        <v>45123.92307</v>
      </c>
      <c r="D1971" s="15">
        <f>IFERROR(__xludf.DUMMYFUNCTION("""COMPUTED_VALUE"""),0.999)</f>
        <v>0.999</v>
      </c>
      <c r="E1971" s="16">
        <f>IFERROR(__xludf.DUMMYFUNCTION("""COMPUTED_VALUE"""),70.0)</f>
        <v>70</v>
      </c>
      <c r="F1971" s="19" t="str">
        <f>IFERROR(__xludf.DUMMYFUNCTION("""COMPUTED_VALUE"""),"BLUE")</f>
        <v>BLUE</v>
      </c>
      <c r="G1971" s="20" t="str">
        <f>IFERROR(__xludf.DUMMYFUNCTION("""COMPUTED_VALUE"""),"Uncle Sams Cider (04/04/2023)")</f>
        <v>Uncle Sams Cider (04/04/2023)</v>
      </c>
      <c r="H1971" s="19"/>
    </row>
    <row r="1972">
      <c r="A1972" s="9"/>
      <c r="B1972" s="15"/>
      <c r="C1972" s="9">
        <f>IFERROR(__xludf.DUMMYFUNCTION("""COMPUTED_VALUE"""),45123.9126447338)</f>
        <v>45123.91264</v>
      </c>
      <c r="D1972" s="15">
        <f>IFERROR(__xludf.DUMMYFUNCTION("""COMPUTED_VALUE"""),0.999)</f>
        <v>0.999</v>
      </c>
      <c r="E1972" s="16">
        <f>IFERROR(__xludf.DUMMYFUNCTION("""COMPUTED_VALUE"""),70.0)</f>
        <v>70</v>
      </c>
      <c r="F1972" s="19" t="str">
        <f>IFERROR(__xludf.DUMMYFUNCTION("""COMPUTED_VALUE"""),"BLUE")</f>
        <v>BLUE</v>
      </c>
      <c r="G1972" s="20" t="str">
        <f>IFERROR(__xludf.DUMMYFUNCTION("""COMPUTED_VALUE"""),"Uncle Sams Cider (04/04/2023)")</f>
        <v>Uncle Sams Cider (04/04/2023)</v>
      </c>
      <c r="H1972" s="19"/>
    </row>
    <row r="1973">
      <c r="A1973" s="9"/>
      <c r="B1973" s="15"/>
      <c r="C1973" s="9">
        <f>IFERROR(__xludf.DUMMYFUNCTION("""COMPUTED_VALUE"""),45123.902224155)</f>
        <v>45123.90222</v>
      </c>
      <c r="D1973" s="15">
        <f>IFERROR(__xludf.DUMMYFUNCTION("""COMPUTED_VALUE"""),0.999)</f>
        <v>0.999</v>
      </c>
      <c r="E1973" s="16">
        <f>IFERROR(__xludf.DUMMYFUNCTION("""COMPUTED_VALUE"""),70.0)</f>
        <v>70</v>
      </c>
      <c r="F1973" s="19" t="str">
        <f>IFERROR(__xludf.DUMMYFUNCTION("""COMPUTED_VALUE"""),"BLUE")</f>
        <v>BLUE</v>
      </c>
      <c r="G1973" s="20" t="str">
        <f>IFERROR(__xludf.DUMMYFUNCTION("""COMPUTED_VALUE"""),"Uncle Sams Cider (04/04/2023)")</f>
        <v>Uncle Sams Cider (04/04/2023)</v>
      </c>
      <c r="H1973" s="19"/>
    </row>
    <row r="1974">
      <c r="A1974" s="9"/>
      <c r="B1974" s="15"/>
      <c r="C1974" s="9">
        <f>IFERROR(__xludf.DUMMYFUNCTION("""COMPUTED_VALUE"""),45123.8917906944)</f>
        <v>45123.89179</v>
      </c>
      <c r="D1974" s="15">
        <f>IFERROR(__xludf.DUMMYFUNCTION("""COMPUTED_VALUE"""),0.999)</f>
        <v>0.999</v>
      </c>
      <c r="E1974" s="16">
        <f>IFERROR(__xludf.DUMMYFUNCTION("""COMPUTED_VALUE"""),71.0)</f>
        <v>71</v>
      </c>
      <c r="F1974" s="19" t="str">
        <f>IFERROR(__xludf.DUMMYFUNCTION("""COMPUTED_VALUE"""),"BLUE")</f>
        <v>BLUE</v>
      </c>
      <c r="G1974" s="20" t="str">
        <f>IFERROR(__xludf.DUMMYFUNCTION("""COMPUTED_VALUE"""),"Uncle Sams Cider (04/04/2023)")</f>
        <v>Uncle Sams Cider (04/04/2023)</v>
      </c>
      <c r="H1974" s="19"/>
    </row>
    <row r="1975">
      <c r="A1975" s="9"/>
      <c r="B1975" s="15"/>
      <c r="C1975" s="9">
        <f>IFERROR(__xludf.DUMMYFUNCTION("""COMPUTED_VALUE"""),45123.8813451157)</f>
        <v>45123.88135</v>
      </c>
      <c r="D1975" s="15">
        <f>IFERROR(__xludf.DUMMYFUNCTION("""COMPUTED_VALUE"""),0.999)</f>
        <v>0.999</v>
      </c>
      <c r="E1975" s="16">
        <f>IFERROR(__xludf.DUMMYFUNCTION("""COMPUTED_VALUE"""),70.0)</f>
        <v>70</v>
      </c>
      <c r="F1975" s="19" t="str">
        <f>IFERROR(__xludf.DUMMYFUNCTION("""COMPUTED_VALUE"""),"BLUE")</f>
        <v>BLUE</v>
      </c>
      <c r="G1975" s="20" t="str">
        <f>IFERROR(__xludf.DUMMYFUNCTION("""COMPUTED_VALUE"""),"Uncle Sams Cider (04/04/2023)")</f>
        <v>Uncle Sams Cider (04/04/2023)</v>
      </c>
      <c r="H1975" s="19"/>
    </row>
    <row r="1976">
      <c r="A1976" s="9"/>
      <c r="B1976" s="15"/>
      <c r="C1976" s="9">
        <f>IFERROR(__xludf.DUMMYFUNCTION("""COMPUTED_VALUE"""),45123.8709245486)</f>
        <v>45123.87092</v>
      </c>
      <c r="D1976" s="15">
        <f>IFERROR(__xludf.DUMMYFUNCTION("""COMPUTED_VALUE"""),0.999)</f>
        <v>0.999</v>
      </c>
      <c r="E1976" s="16">
        <f>IFERROR(__xludf.DUMMYFUNCTION("""COMPUTED_VALUE"""),70.0)</f>
        <v>70</v>
      </c>
      <c r="F1976" s="19" t="str">
        <f>IFERROR(__xludf.DUMMYFUNCTION("""COMPUTED_VALUE"""),"BLUE")</f>
        <v>BLUE</v>
      </c>
      <c r="G1976" s="20" t="str">
        <f>IFERROR(__xludf.DUMMYFUNCTION("""COMPUTED_VALUE"""),"Uncle Sams Cider (04/04/2023)")</f>
        <v>Uncle Sams Cider (04/04/2023)</v>
      </c>
      <c r="H1976" s="19"/>
    </row>
    <row r="1977">
      <c r="A1977" s="9"/>
      <c r="B1977" s="15"/>
      <c r="C1977" s="9">
        <f>IFERROR(__xludf.DUMMYFUNCTION("""COMPUTED_VALUE"""),45123.860490405)</f>
        <v>45123.86049</v>
      </c>
      <c r="D1977" s="15">
        <f>IFERROR(__xludf.DUMMYFUNCTION("""COMPUTED_VALUE"""),0.999)</f>
        <v>0.999</v>
      </c>
      <c r="E1977" s="16">
        <f>IFERROR(__xludf.DUMMYFUNCTION("""COMPUTED_VALUE"""),70.0)</f>
        <v>70</v>
      </c>
      <c r="F1977" s="19" t="str">
        <f>IFERROR(__xludf.DUMMYFUNCTION("""COMPUTED_VALUE"""),"BLUE")</f>
        <v>BLUE</v>
      </c>
      <c r="G1977" s="20" t="str">
        <f>IFERROR(__xludf.DUMMYFUNCTION("""COMPUTED_VALUE"""),"Uncle Sams Cider (04/04/2023)")</f>
        <v>Uncle Sams Cider (04/04/2023)</v>
      </c>
      <c r="H1977" s="19"/>
    </row>
    <row r="1978">
      <c r="A1978" s="9"/>
      <c r="B1978" s="15"/>
      <c r="C1978" s="9">
        <f>IFERROR(__xludf.DUMMYFUNCTION("""COMPUTED_VALUE"""),45123.850057743)</f>
        <v>45123.85006</v>
      </c>
      <c r="D1978" s="15">
        <f>IFERROR(__xludf.DUMMYFUNCTION("""COMPUTED_VALUE"""),0.999)</f>
        <v>0.999</v>
      </c>
      <c r="E1978" s="16">
        <f>IFERROR(__xludf.DUMMYFUNCTION("""COMPUTED_VALUE"""),70.0)</f>
        <v>70</v>
      </c>
      <c r="F1978" s="19" t="str">
        <f>IFERROR(__xludf.DUMMYFUNCTION("""COMPUTED_VALUE"""),"BLUE")</f>
        <v>BLUE</v>
      </c>
      <c r="G1978" s="20" t="str">
        <f>IFERROR(__xludf.DUMMYFUNCTION("""COMPUTED_VALUE"""),"Uncle Sams Cider (04/04/2023)")</f>
        <v>Uncle Sams Cider (04/04/2023)</v>
      </c>
      <c r="H1978" s="19"/>
    </row>
    <row r="1979">
      <c r="A1979" s="9"/>
      <c r="B1979" s="15"/>
      <c r="C1979" s="9">
        <f>IFERROR(__xludf.DUMMYFUNCTION("""COMPUTED_VALUE"""),45123.8396368287)</f>
        <v>45123.83964</v>
      </c>
      <c r="D1979" s="15">
        <f>IFERROR(__xludf.DUMMYFUNCTION("""COMPUTED_VALUE"""),0.999)</f>
        <v>0.999</v>
      </c>
      <c r="E1979" s="16">
        <f>IFERROR(__xludf.DUMMYFUNCTION("""COMPUTED_VALUE"""),70.0)</f>
        <v>70</v>
      </c>
      <c r="F1979" s="19" t="str">
        <f>IFERROR(__xludf.DUMMYFUNCTION("""COMPUTED_VALUE"""),"BLUE")</f>
        <v>BLUE</v>
      </c>
      <c r="G1979" s="20" t="str">
        <f>IFERROR(__xludf.DUMMYFUNCTION("""COMPUTED_VALUE"""),"Uncle Sams Cider (04/04/2023)")</f>
        <v>Uncle Sams Cider (04/04/2023)</v>
      </c>
      <c r="H1979" s="19"/>
    </row>
    <row r="1980">
      <c r="A1980" s="9"/>
      <c r="B1980" s="15"/>
      <c r="C1980" s="9">
        <f>IFERROR(__xludf.DUMMYFUNCTION("""COMPUTED_VALUE"""),45123.8292165277)</f>
        <v>45123.82922</v>
      </c>
      <c r="D1980" s="15">
        <f>IFERROR(__xludf.DUMMYFUNCTION("""COMPUTED_VALUE"""),0.999)</f>
        <v>0.999</v>
      </c>
      <c r="E1980" s="16">
        <f>IFERROR(__xludf.DUMMYFUNCTION("""COMPUTED_VALUE"""),70.0)</f>
        <v>70</v>
      </c>
      <c r="F1980" s="19" t="str">
        <f>IFERROR(__xludf.DUMMYFUNCTION("""COMPUTED_VALUE"""),"BLUE")</f>
        <v>BLUE</v>
      </c>
      <c r="G1980" s="20" t="str">
        <f>IFERROR(__xludf.DUMMYFUNCTION("""COMPUTED_VALUE"""),"Uncle Sams Cider (04/04/2023)")</f>
        <v>Uncle Sams Cider (04/04/2023)</v>
      </c>
      <c r="H1980" s="19"/>
    </row>
    <row r="1981">
      <c r="A1981" s="9"/>
      <c r="B1981" s="15"/>
      <c r="C1981" s="9">
        <f>IFERROR(__xludf.DUMMYFUNCTION("""COMPUTED_VALUE"""),45123.8187950462)</f>
        <v>45123.8188</v>
      </c>
      <c r="D1981" s="15">
        <f>IFERROR(__xludf.DUMMYFUNCTION("""COMPUTED_VALUE"""),0.999)</f>
        <v>0.999</v>
      </c>
      <c r="E1981" s="16">
        <f>IFERROR(__xludf.DUMMYFUNCTION("""COMPUTED_VALUE"""),70.0)</f>
        <v>70</v>
      </c>
      <c r="F1981" s="19" t="str">
        <f>IFERROR(__xludf.DUMMYFUNCTION("""COMPUTED_VALUE"""),"BLUE")</f>
        <v>BLUE</v>
      </c>
      <c r="G1981" s="20" t="str">
        <f>IFERROR(__xludf.DUMMYFUNCTION("""COMPUTED_VALUE"""),"Uncle Sams Cider (04/04/2023)")</f>
        <v>Uncle Sams Cider (04/04/2023)</v>
      </c>
      <c r="H1981" s="19"/>
    </row>
    <row r="1982">
      <c r="A1982" s="9"/>
      <c r="B1982" s="15"/>
      <c r="C1982" s="9">
        <f>IFERROR(__xludf.DUMMYFUNCTION("""COMPUTED_VALUE"""),45123.8083734606)</f>
        <v>45123.80837</v>
      </c>
      <c r="D1982" s="15">
        <f>IFERROR(__xludf.DUMMYFUNCTION("""COMPUTED_VALUE"""),0.999)</f>
        <v>0.999</v>
      </c>
      <c r="E1982" s="16">
        <f>IFERROR(__xludf.DUMMYFUNCTION("""COMPUTED_VALUE"""),70.0)</f>
        <v>70</v>
      </c>
      <c r="F1982" s="19" t="str">
        <f>IFERROR(__xludf.DUMMYFUNCTION("""COMPUTED_VALUE"""),"BLUE")</f>
        <v>BLUE</v>
      </c>
      <c r="G1982" s="20" t="str">
        <f>IFERROR(__xludf.DUMMYFUNCTION("""COMPUTED_VALUE"""),"Uncle Sams Cider (04/04/2023)")</f>
        <v>Uncle Sams Cider (04/04/2023)</v>
      </c>
      <c r="H1982" s="19"/>
    </row>
    <row r="1983">
      <c r="A1983" s="9"/>
      <c r="B1983" s="15"/>
      <c r="C1983" s="9">
        <f>IFERROR(__xludf.DUMMYFUNCTION("""COMPUTED_VALUE"""),45123.7979297222)</f>
        <v>45123.79793</v>
      </c>
      <c r="D1983" s="15">
        <f>IFERROR(__xludf.DUMMYFUNCTION("""COMPUTED_VALUE"""),0.999)</f>
        <v>0.999</v>
      </c>
      <c r="E1983" s="16">
        <f>IFERROR(__xludf.DUMMYFUNCTION("""COMPUTED_VALUE"""),71.0)</f>
        <v>71</v>
      </c>
      <c r="F1983" s="19" t="str">
        <f>IFERROR(__xludf.DUMMYFUNCTION("""COMPUTED_VALUE"""),"BLUE")</f>
        <v>BLUE</v>
      </c>
      <c r="G1983" s="20" t="str">
        <f>IFERROR(__xludf.DUMMYFUNCTION("""COMPUTED_VALUE"""),"Uncle Sams Cider (04/04/2023)")</f>
        <v>Uncle Sams Cider (04/04/2023)</v>
      </c>
      <c r="H1983" s="19"/>
    </row>
    <row r="1984">
      <c r="A1984" s="9"/>
      <c r="B1984" s="15"/>
      <c r="C1984" s="9">
        <f>IFERROR(__xludf.DUMMYFUNCTION("""COMPUTED_VALUE"""),45123.7874729166)</f>
        <v>45123.78747</v>
      </c>
      <c r="D1984" s="15">
        <f>IFERROR(__xludf.DUMMYFUNCTION("""COMPUTED_VALUE"""),0.999)</f>
        <v>0.999</v>
      </c>
      <c r="E1984" s="16">
        <f>IFERROR(__xludf.DUMMYFUNCTION("""COMPUTED_VALUE"""),70.0)</f>
        <v>70</v>
      </c>
      <c r="F1984" s="19" t="str">
        <f>IFERROR(__xludf.DUMMYFUNCTION("""COMPUTED_VALUE"""),"BLUE")</f>
        <v>BLUE</v>
      </c>
      <c r="G1984" s="20" t="str">
        <f>IFERROR(__xludf.DUMMYFUNCTION("""COMPUTED_VALUE"""),"Uncle Sams Cider (04/04/2023)")</f>
        <v>Uncle Sams Cider (04/04/2023)</v>
      </c>
      <c r="H1984" s="19"/>
    </row>
    <row r="1985">
      <c r="A1985" s="9"/>
      <c r="B1985" s="15"/>
      <c r="C1985" s="9">
        <f>IFERROR(__xludf.DUMMYFUNCTION("""COMPUTED_VALUE"""),45123.7770531944)</f>
        <v>45123.77705</v>
      </c>
      <c r="D1985" s="15">
        <f>IFERROR(__xludf.DUMMYFUNCTION("""COMPUTED_VALUE"""),0.999)</f>
        <v>0.999</v>
      </c>
      <c r="E1985" s="16">
        <f>IFERROR(__xludf.DUMMYFUNCTION("""COMPUTED_VALUE"""),70.0)</f>
        <v>70</v>
      </c>
      <c r="F1985" s="19" t="str">
        <f>IFERROR(__xludf.DUMMYFUNCTION("""COMPUTED_VALUE"""),"BLUE")</f>
        <v>BLUE</v>
      </c>
      <c r="G1985" s="20" t="str">
        <f>IFERROR(__xludf.DUMMYFUNCTION("""COMPUTED_VALUE"""),"Uncle Sams Cider (04/04/2023)")</f>
        <v>Uncle Sams Cider (04/04/2023)</v>
      </c>
      <c r="H1985" s="19"/>
    </row>
    <row r="1986">
      <c r="A1986" s="9"/>
      <c r="B1986" s="15"/>
      <c r="C1986" s="9">
        <f>IFERROR(__xludf.DUMMYFUNCTION("""COMPUTED_VALUE"""),45123.7666335648)</f>
        <v>45123.76663</v>
      </c>
      <c r="D1986" s="15">
        <f>IFERROR(__xludf.DUMMYFUNCTION("""COMPUTED_VALUE"""),0.999)</f>
        <v>0.999</v>
      </c>
      <c r="E1986" s="16">
        <f>IFERROR(__xludf.DUMMYFUNCTION("""COMPUTED_VALUE"""),71.0)</f>
        <v>71</v>
      </c>
      <c r="F1986" s="19" t="str">
        <f>IFERROR(__xludf.DUMMYFUNCTION("""COMPUTED_VALUE"""),"BLUE")</f>
        <v>BLUE</v>
      </c>
      <c r="G1986" s="20" t="str">
        <f>IFERROR(__xludf.DUMMYFUNCTION("""COMPUTED_VALUE"""),"Uncle Sams Cider (04/04/2023)")</f>
        <v>Uncle Sams Cider (04/04/2023)</v>
      </c>
      <c r="H1986" s="19"/>
    </row>
    <row r="1987">
      <c r="A1987" s="9"/>
      <c r="B1987" s="15"/>
      <c r="C1987" s="9">
        <f>IFERROR(__xludf.DUMMYFUNCTION("""COMPUTED_VALUE"""),45123.7562126736)</f>
        <v>45123.75621</v>
      </c>
      <c r="D1987" s="15">
        <f>IFERROR(__xludf.DUMMYFUNCTION("""COMPUTED_VALUE"""),0.999)</f>
        <v>0.999</v>
      </c>
      <c r="E1987" s="16">
        <f>IFERROR(__xludf.DUMMYFUNCTION("""COMPUTED_VALUE"""),71.0)</f>
        <v>71</v>
      </c>
      <c r="F1987" s="19" t="str">
        <f>IFERROR(__xludf.DUMMYFUNCTION("""COMPUTED_VALUE"""),"BLUE")</f>
        <v>BLUE</v>
      </c>
      <c r="G1987" s="20" t="str">
        <f>IFERROR(__xludf.DUMMYFUNCTION("""COMPUTED_VALUE"""),"Uncle Sams Cider (04/04/2023)")</f>
        <v>Uncle Sams Cider (04/04/2023)</v>
      </c>
      <c r="H1987" s="19"/>
    </row>
    <row r="1988">
      <c r="A1988" s="9"/>
      <c r="B1988" s="15"/>
      <c r="C1988" s="9">
        <f>IFERROR(__xludf.DUMMYFUNCTION("""COMPUTED_VALUE"""),45123.7457813425)</f>
        <v>45123.74578</v>
      </c>
      <c r="D1988" s="15">
        <f>IFERROR(__xludf.DUMMYFUNCTION("""COMPUTED_VALUE"""),0.999)</f>
        <v>0.999</v>
      </c>
      <c r="E1988" s="16">
        <f>IFERROR(__xludf.DUMMYFUNCTION("""COMPUTED_VALUE"""),71.0)</f>
        <v>71</v>
      </c>
      <c r="F1988" s="19" t="str">
        <f>IFERROR(__xludf.DUMMYFUNCTION("""COMPUTED_VALUE"""),"BLUE")</f>
        <v>BLUE</v>
      </c>
      <c r="G1988" s="20" t="str">
        <f>IFERROR(__xludf.DUMMYFUNCTION("""COMPUTED_VALUE"""),"Uncle Sams Cider (04/04/2023)")</f>
        <v>Uncle Sams Cider (04/04/2023)</v>
      </c>
      <c r="H1988" s="19"/>
    </row>
    <row r="1989">
      <c r="A1989" s="9"/>
      <c r="B1989" s="15"/>
      <c r="C1989" s="9">
        <f>IFERROR(__xludf.DUMMYFUNCTION("""COMPUTED_VALUE"""),45123.7353372569)</f>
        <v>45123.73534</v>
      </c>
      <c r="D1989" s="15">
        <f>IFERROR(__xludf.DUMMYFUNCTION("""COMPUTED_VALUE"""),0.999)</f>
        <v>0.999</v>
      </c>
      <c r="E1989" s="16">
        <f>IFERROR(__xludf.DUMMYFUNCTION("""COMPUTED_VALUE"""),70.0)</f>
        <v>70</v>
      </c>
      <c r="F1989" s="19" t="str">
        <f>IFERROR(__xludf.DUMMYFUNCTION("""COMPUTED_VALUE"""),"BLUE")</f>
        <v>BLUE</v>
      </c>
      <c r="G1989" s="20" t="str">
        <f>IFERROR(__xludf.DUMMYFUNCTION("""COMPUTED_VALUE"""),"Uncle Sams Cider (04/04/2023)")</f>
        <v>Uncle Sams Cider (04/04/2023)</v>
      </c>
      <c r="H1989" s="19"/>
    </row>
    <row r="1990">
      <c r="A1990" s="9"/>
      <c r="B1990" s="15"/>
      <c r="C1990" s="9">
        <f>IFERROR(__xludf.DUMMYFUNCTION("""COMPUTED_VALUE"""),45123.7249151273)</f>
        <v>45123.72492</v>
      </c>
      <c r="D1990" s="15">
        <f>IFERROR(__xludf.DUMMYFUNCTION("""COMPUTED_VALUE"""),0.999)</f>
        <v>0.999</v>
      </c>
      <c r="E1990" s="16">
        <f>IFERROR(__xludf.DUMMYFUNCTION("""COMPUTED_VALUE"""),70.0)</f>
        <v>70</v>
      </c>
      <c r="F1990" s="19" t="str">
        <f>IFERROR(__xludf.DUMMYFUNCTION("""COMPUTED_VALUE"""),"BLUE")</f>
        <v>BLUE</v>
      </c>
      <c r="G1990" s="20" t="str">
        <f>IFERROR(__xludf.DUMMYFUNCTION("""COMPUTED_VALUE"""),"Uncle Sams Cider (04/04/2023)")</f>
        <v>Uncle Sams Cider (04/04/2023)</v>
      </c>
      <c r="H1990" s="19"/>
    </row>
    <row r="1991">
      <c r="A1991" s="9"/>
      <c r="B1991" s="15"/>
      <c r="C1991" s="9">
        <f>IFERROR(__xludf.DUMMYFUNCTION("""COMPUTED_VALUE"""),45123.7144948263)</f>
        <v>45123.71449</v>
      </c>
      <c r="D1991" s="15">
        <f>IFERROR(__xludf.DUMMYFUNCTION("""COMPUTED_VALUE"""),0.999)</f>
        <v>0.999</v>
      </c>
      <c r="E1991" s="16">
        <f>IFERROR(__xludf.DUMMYFUNCTION("""COMPUTED_VALUE"""),71.0)</f>
        <v>71</v>
      </c>
      <c r="F1991" s="19" t="str">
        <f>IFERROR(__xludf.DUMMYFUNCTION("""COMPUTED_VALUE"""),"BLUE")</f>
        <v>BLUE</v>
      </c>
      <c r="G1991" s="20" t="str">
        <f>IFERROR(__xludf.DUMMYFUNCTION("""COMPUTED_VALUE"""),"Uncle Sams Cider (04/04/2023)")</f>
        <v>Uncle Sams Cider (04/04/2023)</v>
      </c>
      <c r="H1991" s="19"/>
    </row>
    <row r="1992">
      <c r="A1992" s="9"/>
      <c r="B1992" s="15"/>
      <c r="C1992" s="9">
        <f>IFERROR(__xludf.DUMMYFUNCTION("""COMPUTED_VALUE"""),45123.7040730787)</f>
        <v>45123.70407</v>
      </c>
      <c r="D1992" s="15">
        <f>IFERROR(__xludf.DUMMYFUNCTION("""COMPUTED_VALUE"""),0.999)</f>
        <v>0.999</v>
      </c>
      <c r="E1992" s="16">
        <f>IFERROR(__xludf.DUMMYFUNCTION("""COMPUTED_VALUE"""),71.0)</f>
        <v>71</v>
      </c>
      <c r="F1992" s="19" t="str">
        <f>IFERROR(__xludf.DUMMYFUNCTION("""COMPUTED_VALUE"""),"BLUE")</f>
        <v>BLUE</v>
      </c>
      <c r="G1992" s="20" t="str">
        <f>IFERROR(__xludf.DUMMYFUNCTION("""COMPUTED_VALUE"""),"Uncle Sams Cider (04/04/2023)")</f>
        <v>Uncle Sams Cider (04/04/2023)</v>
      </c>
      <c r="H1992" s="19"/>
    </row>
    <row r="1993">
      <c r="A1993" s="9"/>
      <c r="B1993" s="15"/>
      <c r="C1993" s="9">
        <f>IFERROR(__xludf.DUMMYFUNCTION("""COMPUTED_VALUE"""),45123.6936405208)</f>
        <v>45123.69364</v>
      </c>
      <c r="D1993" s="15">
        <f>IFERROR(__xludf.DUMMYFUNCTION("""COMPUTED_VALUE"""),0.999)</f>
        <v>0.999</v>
      </c>
      <c r="E1993" s="16">
        <f>IFERROR(__xludf.DUMMYFUNCTION("""COMPUTED_VALUE"""),71.0)</f>
        <v>71</v>
      </c>
      <c r="F1993" s="19" t="str">
        <f>IFERROR(__xludf.DUMMYFUNCTION("""COMPUTED_VALUE"""),"BLUE")</f>
        <v>BLUE</v>
      </c>
      <c r="G1993" s="20" t="str">
        <f>IFERROR(__xludf.DUMMYFUNCTION("""COMPUTED_VALUE"""),"Uncle Sams Cider (04/04/2023)")</f>
        <v>Uncle Sams Cider (04/04/2023)</v>
      </c>
      <c r="H1993" s="19"/>
    </row>
    <row r="1994">
      <c r="A1994" s="9"/>
      <c r="B1994" s="15"/>
      <c r="C1994" s="9">
        <f>IFERROR(__xludf.DUMMYFUNCTION("""COMPUTED_VALUE"""),45123.6832198148)</f>
        <v>45123.68322</v>
      </c>
      <c r="D1994" s="15">
        <f>IFERROR(__xludf.DUMMYFUNCTION("""COMPUTED_VALUE"""),0.999)</f>
        <v>0.999</v>
      </c>
      <c r="E1994" s="16">
        <f>IFERROR(__xludf.DUMMYFUNCTION("""COMPUTED_VALUE"""),71.0)</f>
        <v>71</v>
      </c>
      <c r="F1994" s="19" t="str">
        <f>IFERROR(__xludf.DUMMYFUNCTION("""COMPUTED_VALUE"""),"BLUE")</f>
        <v>BLUE</v>
      </c>
      <c r="G1994" s="20" t="str">
        <f>IFERROR(__xludf.DUMMYFUNCTION("""COMPUTED_VALUE"""),"Uncle Sams Cider (04/04/2023)")</f>
        <v>Uncle Sams Cider (04/04/2023)</v>
      </c>
      <c r="H1994" s="19"/>
    </row>
    <row r="1995">
      <c r="A1995" s="9"/>
      <c r="B1995" s="15"/>
      <c r="C1995" s="9">
        <f>IFERROR(__xludf.DUMMYFUNCTION("""COMPUTED_VALUE"""),45123.6727995949)</f>
        <v>45123.6728</v>
      </c>
      <c r="D1995" s="15">
        <f>IFERROR(__xludf.DUMMYFUNCTION("""COMPUTED_VALUE"""),0.999)</f>
        <v>0.999</v>
      </c>
      <c r="E1995" s="16">
        <f>IFERROR(__xludf.DUMMYFUNCTION("""COMPUTED_VALUE"""),71.0)</f>
        <v>71</v>
      </c>
      <c r="F1995" s="19" t="str">
        <f>IFERROR(__xludf.DUMMYFUNCTION("""COMPUTED_VALUE"""),"BLUE")</f>
        <v>BLUE</v>
      </c>
      <c r="G1995" s="20" t="str">
        <f>IFERROR(__xludf.DUMMYFUNCTION("""COMPUTED_VALUE"""),"Uncle Sams Cider (04/04/2023)")</f>
        <v>Uncle Sams Cider (04/04/2023)</v>
      </c>
      <c r="H1995" s="19"/>
    </row>
    <row r="1996">
      <c r="A1996" s="9"/>
      <c r="B1996" s="15"/>
      <c r="C1996" s="9">
        <f>IFERROR(__xludf.DUMMYFUNCTION("""COMPUTED_VALUE"""),45123.6623670601)</f>
        <v>45123.66237</v>
      </c>
      <c r="D1996" s="15">
        <f>IFERROR(__xludf.DUMMYFUNCTION("""COMPUTED_VALUE"""),0.999)</f>
        <v>0.999</v>
      </c>
      <c r="E1996" s="16">
        <f>IFERROR(__xludf.DUMMYFUNCTION("""COMPUTED_VALUE"""),71.0)</f>
        <v>71</v>
      </c>
      <c r="F1996" s="19" t="str">
        <f>IFERROR(__xludf.DUMMYFUNCTION("""COMPUTED_VALUE"""),"BLUE")</f>
        <v>BLUE</v>
      </c>
      <c r="G1996" s="20" t="str">
        <f>IFERROR(__xludf.DUMMYFUNCTION("""COMPUTED_VALUE"""),"Uncle Sams Cider (04/04/2023)")</f>
        <v>Uncle Sams Cider (04/04/2023)</v>
      </c>
      <c r="H1996" s="19"/>
    </row>
    <row r="1997">
      <c r="A1997" s="9"/>
      <c r="B1997" s="15"/>
      <c r="C1997" s="9">
        <f>IFERROR(__xludf.DUMMYFUNCTION("""COMPUTED_VALUE"""),45123.6519459606)</f>
        <v>45123.65195</v>
      </c>
      <c r="D1997" s="15">
        <f>IFERROR(__xludf.DUMMYFUNCTION("""COMPUTED_VALUE"""),0.999)</f>
        <v>0.999</v>
      </c>
      <c r="E1997" s="16">
        <f>IFERROR(__xludf.DUMMYFUNCTION("""COMPUTED_VALUE"""),71.0)</f>
        <v>71</v>
      </c>
      <c r="F1997" s="19" t="str">
        <f>IFERROR(__xludf.DUMMYFUNCTION("""COMPUTED_VALUE"""),"BLUE")</f>
        <v>BLUE</v>
      </c>
      <c r="G1997" s="20" t="str">
        <f>IFERROR(__xludf.DUMMYFUNCTION("""COMPUTED_VALUE"""),"Uncle Sams Cider (04/04/2023)")</f>
        <v>Uncle Sams Cider (04/04/2023)</v>
      </c>
      <c r="H1997" s="19"/>
    </row>
    <row r="1998">
      <c r="A1998" s="9"/>
      <c r="B1998" s="15"/>
      <c r="C1998" s="9">
        <f>IFERROR(__xludf.DUMMYFUNCTION("""COMPUTED_VALUE"""),45123.641523912)</f>
        <v>45123.64152</v>
      </c>
      <c r="D1998" s="15">
        <f>IFERROR(__xludf.DUMMYFUNCTION("""COMPUTED_VALUE"""),0.999)</f>
        <v>0.999</v>
      </c>
      <c r="E1998" s="16">
        <f>IFERROR(__xludf.DUMMYFUNCTION("""COMPUTED_VALUE"""),71.0)</f>
        <v>71</v>
      </c>
      <c r="F1998" s="19" t="str">
        <f>IFERROR(__xludf.DUMMYFUNCTION("""COMPUTED_VALUE"""),"BLUE")</f>
        <v>BLUE</v>
      </c>
      <c r="G1998" s="20" t="str">
        <f>IFERROR(__xludf.DUMMYFUNCTION("""COMPUTED_VALUE"""),"Uncle Sams Cider (04/04/2023)")</f>
        <v>Uncle Sams Cider (04/04/2023)</v>
      </c>
      <c r="H1998" s="19"/>
    </row>
    <row r="1999">
      <c r="A1999" s="9"/>
      <c r="B1999" s="15"/>
      <c r="C1999" s="9">
        <f>IFERROR(__xludf.DUMMYFUNCTION("""COMPUTED_VALUE"""),45123.6311022916)</f>
        <v>45123.6311</v>
      </c>
      <c r="D1999" s="15">
        <f>IFERROR(__xludf.DUMMYFUNCTION("""COMPUTED_VALUE"""),0.999)</f>
        <v>0.999</v>
      </c>
      <c r="E1999" s="16">
        <f>IFERROR(__xludf.DUMMYFUNCTION("""COMPUTED_VALUE"""),71.0)</f>
        <v>71</v>
      </c>
      <c r="F1999" s="19" t="str">
        <f>IFERROR(__xludf.DUMMYFUNCTION("""COMPUTED_VALUE"""),"BLUE")</f>
        <v>BLUE</v>
      </c>
      <c r="G1999" s="20" t="str">
        <f>IFERROR(__xludf.DUMMYFUNCTION("""COMPUTED_VALUE"""),"Uncle Sams Cider (04/04/2023)")</f>
        <v>Uncle Sams Cider (04/04/2023)</v>
      </c>
      <c r="H1999" s="19"/>
    </row>
    <row r="2000">
      <c r="A2000" s="9"/>
      <c r="B2000" s="15"/>
      <c r="C2000" s="9">
        <f>IFERROR(__xludf.DUMMYFUNCTION("""COMPUTED_VALUE"""),45123.6206690393)</f>
        <v>45123.62067</v>
      </c>
      <c r="D2000" s="15">
        <f>IFERROR(__xludf.DUMMYFUNCTION("""COMPUTED_VALUE"""),0.999)</f>
        <v>0.999</v>
      </c>
      <c r="E2000" s="16">
        <f>IFERROR(__xludf.DUMMYFUNCTION("""COMPUTED_VALUE"""),71.0)</f>
        <v>71</v>
      </c>
      <c r="F2000" s="19" t="str">
        <f>IFERROR(__xludf.DUMMYFUNCTION("""COMPUTED_VALUE"""),"BLUE")</f>
        <v>BLUE</v>
      </c>
      <c r="G2000" s="20" t="str">
        <f>IFERROR(__xludf.DUMMYFUNCTION("""COMPUTED_VALUE"""),"Uncle Sams Cider (04/04/2023)")</f>
        <v>Uncle Sams Cider (04/04/2023)</v>
      </c>
      <c r="H2000" s="19"/>
    </row>
    <row r="2001">
      <c r="A2001" s="9"/>
      <c r="B2001" s="15"/>
      <c r="C2001" s="9">
        <f>IFERROR(__xludf.DUMMYFUNCTION("""COMPUTED_VALUE"""),45123.6102491088)</f>
        <v>45123.61025</v>
      </c>
      <c r="D2001" s="15">
        <f>IFERROR(__xludf.DUMMYFUNCTION("""COMPUTED_VALUE"""),0.999)</f>
        <v>0.999</v>
      </c>
      <c r="E2001" s="16">
        <f>IFERROR(__xludf.DUMMYFUNCTION("""COMPUTED_VALUE"""),71.0)</f>
        <v>71</v>
      </c>
      <c r="F2001" s="19" t="str">
        <f>IFERROR(__xludf.DUMMYFUNCTION("""COMPUTED_VALUE"""),"BLUE")</f>
        <v>BLUE</v>
      </c>
      <c r="G2001" s="20" t="str">
        <f>IFERROR(__xludf.DUMMYFUNCTION("""COMPUTED_VALUE"""),"Uncle Sams Cider (04/04/2023)")</f>
        <v>Uncle Sams Cider (04/04/2023)</v>
      </c>
      <c r="H2001" s="19"/>
    </row>
    <row r="2002">
      <c r="A2002" s="9"/>
      <c r="B2002" s="15"/>
      <c r="C2002" s="9">
        <f>IFERROR(__xludf.DUMMYFUNCTION("""COMPUTED_VALUE"""),45123.5998275463)</f>
        <v>45123.59983</v>
      </c>
      <c r="D2002" s="15">
        <f>IFERROR(__xludf.DUMMYFUNCTION("""COMPUTED_VALUE"""),0.999)</f>
        <v>0.999</v>
      </c>
      <c r="E2002" s="16">
        <f>IFERROR(__xludf.DUMMYFUNCTION("""COMPUTED_VALUE"""),71.0)</f>
        <v>71</v>
      </c>
      <c r="F2002" s="19" t="str">
        <f>IFERROR(__xludf.DUMMYFUNCTION("""COMPUTED_VALUE"""),"BLUE")</f>
        <v>BLUE</v>
      </c>
      <c r="G2002" s="20" t="str">
        <f>IFERROR(__xludf.DUMMYFUNCTION("""COMPUTED_VALUE"""),"Uncle Sams Cider (04/04/2023)")</f>
        <v>Uncle Sams Cider (04/04/2023)</v>
      </c>
      <c r="H2002" s="19"/>
    </row>
    <row r="2003">
      <c r="A2003" s="9"/>
      <c r="B2003" s="15"/>
      <c r="C2003" s="9">
        <f>IFERROR(__xludf.DUMMYFUNCTION("""COMPUTED_VALUE"""),45123.5894062037)</f>
        <v>45123.58941</v>
      </c>
      <c r="D2003" s="15">
        <f>IFERROR(__xludf.DUMMYFUNCTION("""COMPUTED_VALUE"""),0.999)</f>
        <v>0.999</v>
      </c>
      <c r="E2003" s="16">
        <f>IFERROR(__xludf.DUMMYFUNCTION("""COMPUTED_VALUE"""),71.0)</f>
        <v>71</v>
      </c>
      <c r="F2003" s="19" t="str">
        <f>IFERROR(__xludf.DUMMYFUNCTION("""COMPUTED_VALUE"""),"BLUE")</f>
        <v>BLUE</v>
      </c>
      <c r="G2003" s="20" t="str">
        <f>IFERROR(__xludf.DUMMYFUNCTION("""COMPUTED_VALUE"""),"Uncle Sams Cider (04/04/2023)")</f>
        <v>Uncle Sams Cider (04/04/2023)</v>
      </c>
      <c r="H2003" s="19"/>
    </row>
    <row r="2004">
      <c r="A2004" s="9"/>
      <c r="B2004" s="15"/>
      <c r="C2004" s="9">
        <f>IFERROR(__xludf.DUMMYFUNCTION("""COMPUTED_VALUE"""),45123.5789739583)</f>
        <v>45123.57897</v>
      </c>
      <c r="D2004" s="15">
        <f>IFERROR(__xludf.DUMMYFUNCTION("""COMPUTED_VALUE"""),0.999)</f>
        <v>0.999</v>
      </c>
      <c r="E2004" s="16">
        <f>IFERROR(__xludf.DUMMYFUNCTION("""COMPUTED_VALUE"""),71.0)</f>
        <v>71</v>
      </c>
      <c r="F2004" s="19" t="str">
        <f>IFERROR(__xludf.DUMMYFUNCTION("""COMPUTED_VALUE"""),"BLUE")</f>
        <v>BLUE</v>
      </c>
      <c r="G2004" s="20" t="str">
        <f>IFERROR(__xludf.DUMMYFUNCTION("""COMPUTED_VALUE"""),"Uncle Sams Cider (04/04/2023)")</f>
        <v>Uncle Sams Cider (04/04/2023)</v>
      </c>
      <c r="H2004" s="19"/>
    </row>
    <row r="2005">
      <c r="A2005" s="9"/>
      <c r="B2005" s="15"/>
      <c r="C2005" s="9">
        <f>IFERROR(__xludf.DUMMYFUNCTION("""COMPUTED_VALUE"""),45123.5685528935)</f>
        <v>45123.56855</v>
      </c>
      <c r="D2005" s="15">
        <f>IFERROR(__xludf.DUMMYFUNCTION("""COMPUTED_VALUE"""),0.999)</f>
        <v>0.999</v>
      </c>
      <c r="E2005" s="16">
        <f>IFERROR(__xludf.DUMMYFUNCTION("""COMPUTED_VALUE"""),71.0)</f>
        <v>71</v>
      </c>
      <c r="F2005" s="19" t="str">
        <f>IFERROR(__xludf.DUMMYFUNCTION("""COMPUTED_VALUE"""),"BLUE")</f>
        <v>BLUE</v>
      </c>
      <c r="G2005" s="20" t="str">
        <f>IFERROR(__xludf.DUMMYFUNCTION("""COMPUTED_VALUE"""),"Uncle Sams Cider (04/04/2023)")</f>
        <v>Uncle Sams Cider (04/04/2023)</v>
      </c>
      <c r="H2005" s="19"/>
    </row>
    <row r="2006">
      <c r="A2006" s="9"/>
      <c r="B2006" s="15"/>
      <c r="C2006" s="9">
        <f>IFERROR(__xludf.DUMMYFUNCTION("""COMPUTED_VALUE"""),45123.5581312384)</f>
        <v>45123.55813</v>
      </c>
      <c r="D2006" s="15">
        <f>IFERROR(__xludf.DUMMYFUNCTION("""COMPUTED_VALUE"""),0.999)</f>
        <v>0.999</v>
      </c>
      <c r="E2006" s="16">
        <f>IFERROR(__xludf.DUMMYFUNCTION("""COMPUTED_VALUE"""),71.0)</f>
        <v>71</v>
      </c>
      <c r="F2006" s="19" t="str">
        <f>IFERROR(__xludf.DUMMYFUNCTION("""COMPUTED_VALUE"""),"BLUE")</f>
        <v>BLUE</v>
      </c>
      <c r="G2006" s="20" t="str">
        <f>IFERROR(__xludf.DUMMYFUNCTION("""COMPUTED_VALUE"""),"Uncle Sams Cider (04/04/2023)")</f>
        <v>Uncle Sams Cider (04/04/2023)</v>
      </c>
      <c r="H2006" s="19"/>
    </row>
    <row r="2007">
      <c r="A2007" s="9"/>
      <c r="B2007" s="15"/>
      <c r="C2007" s="9">
        <f>IFERROR(__xludf.DUMMYFUNCTION("""COMPUTED_VALUE"""),45123.5477097801)</f>
        <v>45123.54771</v>
      </c>
      <c r="D2007" s="15">
        <f>IFERROR(__xludf.DUMMYFUNCTION("""COMPUTED_VALUE"""),0.998)</f>
        <v>0.998</v>
      </c>
      <c r="E2007" s="16">
        <f>IFERROR(__xludf.DUMMYFUNCTION("""COMPUTED_VALUE"""),70.0)</f>
        <v>70</v>
      </c>
      <c r="F2007" s="19" t="str">
        <f>IFERROR(__xludf.DUMMYFUNCTION("""COMPUTED_VALUE"""),"BLUE")</f>
        <v>BLUE</v>
      </c>
      <c r="G2007" s="20" t="str">
        <f>IFERROR(__xludf.DUMMYFUNCTION("""COMPUTED_VALUE"""),"Uncle Sams Cider (04/04/2023)")</f>
        <v>Uncle Sams Cider (04/04/2023)</v>
      </c>
      <c r="H2007" s="19"/>
    </row>
    <row r="2008">
      <c r="A2008" s="9"/>
      <c r="B2008" s="15"/>
      <c r="C2008" s="9">
        <f>IFERROR(__xludf.DUMMYFUNCTION("""COMPUTED_VALUE"""),45123.5372781365)</f>
        <v>45123.53728</v>
      </c>
      <c r="D2008" s="15">
        <f>IFERROR(__xludf.DUMMYFUNCTION("""COMPUTED_VALUE"""),0.999)</f>
        <v>0.999</v>
      </c>
      <c r="E2008" s="16">
        <f>IFERROR(__xludf.DUMMYFUNCTION("""COMPUTED_VALUE"""),71.0)</f>
        <v>71</v>
      </c>
      <c r="F2008" s="19" t="str">
        <f>IFERROR(__xludf.DUMMYFUNCTION("""COMPUTED_VALUE"""),"BLUE")</f>
        <v>BLUE</v>
      </c>
      <c r="G2008" s="20" t="str">
        <f>IFERROR(__xludf.DUMMYFUNCTION("""COMPUTED_VALUE"""),"Uncle Sams Cider (04/04/2023)")</f>
        <v>Uncle Sams Cider (04/04/2023)</v>
      </c>
      <c r="H2008" s="19"/>
    </row>
    <row r="2009">
      <c r="A2009" s="9"/>
      <c r="B2009" s="15"/>
      <c r="C2009" s="9">
        <f>IFERROR(__xludf.DUMMYFUNCTION("""COMPUTED_VALUE"""),45123.5268442824)</f>
        <v>45123.52684</v>
      </c>
      <c r="D2009" s="15">
        <f>IFERROR(__xludf.DUMMYFUNCTION("""COMPUTED_VALUE"""),0.999)</f>
        <v>0.999</v>
      </c>
      <c r="E2009" s="16">
        <f>IFERROR(__xludf.DUMMYFUNCTION("""COMPUTED_VALUE"""),71.0)</f>
        <v>71</v>
      </c>
      <c r="F2009" s="19" t="str">
        <f>IFERROR(__xludf.DUMMYFUNCTION("""COMPUTED_VALUE"""),"BLUE")</f>
        <v>BLUE</v>
      </c>
      <c r="G2009" s="20" t="str">
        <f>IFERROR(__xludf.DUMMYFUNCTION("""COMPUTED_VALUE"""),"Uncle Sams Cider (04/04/2023)")</f>
        <v>Uncle Sams Cider (04/04/2023)</v>
      </c>
      <c r="H2009" s="19"/>
    </row>
    <row r="2010">
      <c r="A2010" s="9"/>
      <c r="B2010" s="15"/>
      <c r="C2010" s="9">
        <f>IFERROR(__xludf.DUMMYFUNCTION("""COMPUTED_VALUE"""),45123.5164105671)</f>
        <v>45123.51641</v>
      </c>
      <c r="D2010" s="15">
        <f>IFERROR(__xludf.DUMMYFUNCTION("""COMPUTED_VALUE"""),0.999)</f>
        <v>0.999</v>
      </c>
      <c r="E2010" s="16">
        <f>IFERROR(__xludf.DUMMYFUNCTION("""COMPUTED_VALUE"""),71.0)</f>
        <v>71</v>
      </c>
      <c r="F2010" s="19" t="str">
        <f>IFERROR(__xludf.DUMMYFUNCTION("""COMPUTED_VALUE"""),"BLUE")</f>
        <v>BLUE</v>
      </c>
      <c r="G2010" s="20" t="str">
        <f>IFERROR(__xludf.DUMMYFUNCTION("""COMPUTED_VALUE"""),"Uncle Sams Cider (04/04/2023)")</f>
        <v>Uncle Sams Cider (04/04/2023)</v>
      </c>
      <c r="H2010" s="19"/>
    </row>
    <row r="2011">
      <c r="A2011" s="9"/>
      <c r="B2011" s="15"/>
      <c r="C2011" s="9">
        <f>IFERROR(__xludf.DUMMYFUNCTION("""COMPUTED_VALUE"""),45123.5059785995)</f>
        <v>45123.50598</v>
      </c>
      <c r="D2011" s="15">
        <f>IFERROR(__xludf.DUMMYFUNCTION("""COMPUTED_VALUE"""),0.999)</f>
        <v>0.999</v>
      </c>
      <c r="E2011" s="16">
        <f>IFERROR(__xludf.DUMMYFUNCTION("""COMPUTED_VALUE"""),71.0)</f>
        <v>71</v>
      </c>
      <c r="F2011" s="19" t="str">
        <f>IFERROR(__xludf.DUMMYFUNCTION("""COMPUTED_VALUE"""),"BLUE")</f>
        <v>BLUE</v>
      </c>
      <c r="G2011" s="20" t="str">
        <f>IFERROR(__xludf.DUMMYFUNCTION("""COMPUTED_VALUE"""),"Uncle Sams Cider (04/04/2023)")</f>
        <v>Uncle Sams Cider (04/04/2023)</v>
      </c>
      <c r="H2011" s="19"/>
    </row>
    <row r="2012">
      <c r="A2012" s="9"/>
      <c r="B2012" s="15"/>
      <c r="C2012" s="9">
        <f>IFERROR(__xludf.DUMMYFUNCTION("""COMPUTED_VALUE"""),45123.4955548611)</f>
        <v>45123.49555</v>
      </c>
      <c r="D2012" s="15">
        <f>IFERROR(__xludf.DUMMYFUNCTION("""COMPUTED_VALUE"""),0.999)</f>
        <v>0.999</v>
      </c>
      <c r="E2012" s="16">
        <f>IFERROR(__xludf.DUMMYFUNCTION("""COMPUTED_VALUE"""),71.0)</f>
        <v>71</v>
      </c>
      <c r="F2012" s="19" t="str">
        <f>IFERROR(__xludf.DUMMYFUNCTION("""COMPUTED_VALUE"""),"BLUE")</f>
        <v>BLUE</v>
      </c>
      <c r="G2012" s="20" t="str">
        <f>IFERROR(__xludf.DUMMYFUNCTION("""COMPUTED_VALUE"""),"Uncle Sams Cider (04/04/2023)")</f>
        <v>Uncle Sams Cider (04/04/2023)</v>
      </c>
      <c r="H2012" s="19"/>
    </row>
    <row r="2013">
      <c r="A2013" s="9"/>
      <c r="B2013" s="15"/>
      <c r="C2013" s="9">
        <f>IFERROR(__xludf.DUMMYFUNCTION("""COMPUTED_VALUE"""),45123.4851343055)</f>
        <v>45123.48513</v>
      </c>
      <c r="D2013" s="15">
        <f>IFERROR(__xludf.DUMMYFUNCTION("""COMPUTED_VALUE"""),0.999)</f>
        <v>0.999</v>
      </c>
      <c r="E2013" s="16">
        <f>IFERROR(__xludf.DUMMYFUNCTION("""COMPUTED_VALUE"""),71.0)</f>
        <v>71</v>
      </c>
      <c r="F2013" s="19" t="str">
        <f>IFERROR(__xludf.DUMMYFUNCTION("""COMPUTED_VALUE"""),"BLUE")</f>
        <v>BLUE</v>
      </c>
      <c r="G2013" s="20" t="str">
        <f>IFERROR(__xludf.DUMMYFUNCTION("""COMPUTED_VALUE"""),"Uncle Sams Cider (04/04/2023)")</f>
        <v>Uncle Sams Cider (04/04/2023)</v>
      </c>
      <c r="H2013" s="19"/>
    </row>
    <row r="2014">
      <c r="A2014" s="9"/>
      <c r="B2014" s="15"/>
      <c r="C2014" s="9">
        <f>IFERROR(__xludf.DUMMYFUNCTION("""COMPUTED_VALUE"""),45123.4747149189)</f>
        <v>45123.47471</v>
      </c>
      <c r="D2014" s="15">
        <f>IFERROR(__xludf.DUMMYFUNCTION("""COMPUTED_VALUE"""),0.999)</f>
        <v>0.999</v>
      </c>
      <c r="E2014" s="16">
        <f>IFERROR(__xludf.DUMMYFUNCTION("""COMPUTED_VALUE"""),71.0)</f>
        <v>71</v>
      </c>
      <c r="F2014" s="19" t="str">
        <f>IFERROR(__xludf.DUMMYFUNCTION("""COMPUTED_VALUE"""),"BLUE")</f>
        <v>BLUE</v>
      </c>
      <c r="G2014" s="20" t="str">
        <f>IFERROR(__xludf.DUMMYFUNCTION("""COMPUTED_VALUE"""),"Uncle Sams Cider (04/04/2023)")</f>
        <v>Uncle Sams Cider (04/04/2023)</v>
      </c>
      <c r="H2014" s="19"/>
    </row>
    <row r="2015">
      <c r="A2015" s="9"/>
      <c r="B2015" s="15"/>
      <c r="C2015" s="9">
        <f>IFERROR(__xludf.DUMMYFUNCTION("""COMPUTED_VALUE"""),45123.4642939583)</f>
        <v>45123.46429</v>
      </c>
      <c r="D2015" s="15">
        <f>IFERROR(__xludf.DUMMYFUNCTION("""COMPUTED_VALUE"""),0.999)</f>
        <v>0.999</v>
      </c>
      <c r="E2015" s="16">
        <f>IFERROR(__xludf.DUMMYFUNCTION("""COMPUTED_VALUE"""),71.0)</f>
        <v>71</v>
      </c>
      <c r="F2015" s="19" t="str">
        <f>IFERROR(__xludf.DUMMYFUNCTION("""COMPUTED_VALUE"""),"BLUE")</f>
        <v>BLUE</v>
      </c>
      <c r="G2015" s="20" t="str">
        <f>IFERROR(__xludf.DUMMYFUNCTION("""COMPUTED_VALUE"""),"Uncle Sams Cider (04/04/2023)")</f>
        <v>Uncle Sams Cider (04/04/2023)</v>
      </c>
      <c r="H2015" s="19"/>
    </row>
    <row r="2016">
      <c r="A2016" s="9"/>
      <c r="B2016" s="15"/>
      <c r="C2016" s="9">
        <f>IFERROR(__xludf.DUMMYFUNCTION("""COMPUTED_VALUE"""),45123.4538721875)</f>
        <v>45123.45387</v>
      </c>
      <c r="D2016" s="15">
        <f>IFERROR(__xludf.DUMMYFUNCTION("""COMPUTED_VALUE"""),0.999)</f>
        <v>0.999</v>
      </c>
      <c r="E2016" s="16">
        <f>IFERROR(__xludf.DUMMYFUNCTION("""COMPUTED_VALUE"""),71.0)</f>
        <v>71</v>
      </c>
      <c r="F2016" s="19" t="str">
        <f>IFERROR(__xludf.DUMMYFUNCTION("""COMPUTED_VALUE"""),"BLUE")</f>
        <v>BLUE</v>
      </c>
      <c r="G2016" s="20" t="str">
        <f>IFERROR(__xludf.DUMMYFUNCTION("""COMPUTED_VALUE"""),"Uncle Sams Cider (04/04/2023)")</f>
        <v>Uncle Sams Cider (04/04/2023)</v>
      </c>
      <c r="H2016" s="19"/>
    </row>
    <row r="2017">
      <c r="A2017" s="9"/>
      <c r="B2017" s="15"/>
      <c r="C2017" s="9">
        <f>IFERROR(__xludf.DUMMYFUNCTION("""COMPUTED_VALUE"""),45123.4434408101)</f>
        <v>45123.44344</v>
      </c>
      <c r="D2017" s="15">
        <f>IFERROR(__xludf.DUMMYFUNCTION("""COMPUTED_VALUE"""),0.999)</f>
        <v>0.999</v>
      </c>
      <c r="E2017" s="16">
        <f>IFERROR(__xludf.DUMMYFUNCTION("""COMPUTED_VALUE"""),71.0)</f>
        <v>71</v>
      </c>
      <c r="F2017" s="19" t="str">
        <f>IFERROR(__xludf.DUMMYFUNCTION("""COMPUTED_VALUE"""),"BLUE")</f>
        <v>BLUE</v>
      </c>
      <c r="G2017" s="20" t="str">
        <f>IFERROR(__xludf.DUMMYFUNCTION("""COMPUTED_VALUE"""),"Uncle Sams Cider (04/04/2023)")</f>
        <v>Uncle Sams Cider (04/04/2023)</v>
      </c>
      <c r="H2017" s="19"/>
    </row>
    <row r="2018">
      <c r="A2018" s="9"/>
      <c r="B2018" s="15"/>
      <c r="C2018" s="9">
        <f>IFERROR(__xludf.DUMMYFUNCTION("""COMPUTED_VALUE"""),45123.4330194791)</f>
        <v>45123.43302</v>
      </c>
      <c r="D2018" s="15">
        <f>IFERROR(__xludf.DUMMYFUNCTION("""COMPUTED_VALUE"""),0.999)</f>
        <v>0.999</v>
      </c>
      <c r="E2018" s="16">
        <f>IFERROR(__xludf.DUMMYFUNCTION("""COMPUTED_VALUE"""),71.0)</f>
        <v>71</v>
      </c>
      <c r="F2018" s="19" t="str">
        <f>IFERROR(__xludf.DUMMYFUNCTION("""COMPUTED_VALUE"""),"BLUE")</f>
        <v>BLUE</v>
      </c>
      <c r="G2018" s="20" t="str">
        <f>IFERROR(__xludf.DUMMYFUNCTION("""COMPUTED_VALUE"""),"Uncle Sams Cider (04/04/2023)")</f>
        <v>Uncle Sams Cider (04/04/2023)</v>
      </c>
      <c r="H2018" s="19"/>
    </row>
    <row r="2019">
      <c r="A2019" s="9"/>
      <c r="B2019" s="15"/>
      <c r="C2019" s="9">
        <f>IFERROR(__xludf.DUMMYFUNCTION("""COMPUTED_VALUE"""),45123.4225971412)</f>
        <v>45123.4226</v>
      </c>
      <c r="D2019" s="15">
        <f>IFERROR(__xludf.DUMMYFUNCTION("""COMPUTED_VALUE"""),0.999)</f>
        <v>0.999</v>
      </c>
      <c r="E2019" s="16">
        <f>IFERROR(__xludf.DUMMYFUNCTION("""COMPUTED_VALUE"""),71.0)</f>
        <v>71</v>
      </c>
      <c r="F2019" s="19" t="str">
        <f>IFERROR(__xludf.DUMMYFUNCTION("""COMPUTED_VALUE"""),"BLUE")</f>
        <v>BLUE</v>
      </c>
      <c r="G2019" s="20" t="str">
        <f>IFERROR(__xludf.DUMMYFUNCTION("""COMPUTED_VALUE"""),"Uncle Sams Cider (04/04/2023)")</f>
        <v>Uncle Sams Cider (04/04/2023)</v>
      </c>
      <c r="H2019" s="19"/>
    </row>
    <row r="2020">
      <c r="A2020" s="9"/>
      <c r="B2020" s="15"/>
      <c r="C2020" s="9">
        <f>IFERROR(__xludf.DUMMYFUNCTION("""COMPUTED_VALUE"""),45123.4121769444)</f>
        <v>45123.41218</v>
      </c>
      <c r="D2020" s="15">
        <f>IFERROR(__xludf.DUMMYFUNCTION("""COMPUTED_VALUE"""),0.999)</f>
        <v>0.999</v>
      </c>
      <c r="E2020" s="16">
        <f>IFERROR(__xludf.DUMMYFUNCTION("""COMPUTED_VALUE"""),71.0)</f>
        <v>71</v>
      </c>
      <c r="F2020" s="19" t="str">
        <f>IFERROR(__xludf.DUMMYFUNCTION("""COMPUTED_VALUE"""),"BLUE")</f>
        <v>BLUE</v>
      </c>
      <c r="G2020" s="20" t="str">
        <f>IFERROR(__xludf.DUMMYFUNCTION("""COMPUTED_VALUE"""),"Uncle Sams Cider (04/04/2023)")</f>
        <v>Uncle Sams Cider (04/04/2023)</v>
      </c>
      <c r="H2020" s="19"/>
    </row>
    <row r="2021">
      <c r="A2021" s="9"/>
      <c r="B2021" s="15"/>
      <c r="C2021" s="9">
        <f>IFERROR(__xludf.DUMMYFUNCTION("""COMPUTED_VALUE"""),45123.4017536574)</f>
        <v>45123.40175</v>
      </c>
      <c r="D2021" s="15">
        <f>IFERROR(__xludf.DUMMYFUNCTION("""COMPUTED_VALUE"""),0.999)</f>
        <v>0.999</v>
      </c>
      <c r="E2021" s="16">
        <f>IFERROR(__xludf.DUMMYFUNCTION("""COMPUTED_VALUE"""),71.0)</f>
        <v>71</v>
      </c>
      <c r="F2021" s="19" t="str">
        <f>IFERROR(__xludf.DUMMYFUNCTION("""COMPUTED_VALUE"""),"BLUE")</f>
        <v>BLUE</v>
      </c>
      <c r="G2021" s="20" t="str">
        <f>IFERROR(__xludf.DUMMYFUNCTION("""COMPUTED_VALUE"""),"Uncle Sams Cider (04/04/2023)")</f>
        <v>Uncle Sams Cider (04/04/2023)</v>
      </c>
      <c r="H2021" s="19"/>
    </row>
    <row r="2022">
      <c r="A2022" s="9"/>
      <c r="B2022" s="15"/>
      <c r="C2022" s="9">
        <f>IFERROR(__xludf.DUMMYFUNCTION("""COMPUTED_VALUE"""),45123.3913336226)</f>
        <v>45123.39133</v>
      </c>
      <c r="D2022" s="15">
        <f>IFERROR(__xludf.DUMMYFUNCTION("""COMPUTED_VALUE"""),0.999)</f>
        <v>0.999</v>
      </c>
      <c r="E2022" s="16">
        <f>IFERROR(__xludf.DUMMYFUNCTION("""COMPUTED_VALUE"""),70.0)</f>
        <v>70</v>
      </c>
      <c r="F2022" s="19" t="str">
        <f>IFERROR(__xludf.DUMMYFUNCTION("""COMPUTED_VALUE"""),"BLUE")</f>
        <v>BLUE</v>
      </c>
      <c r="G2022" s="20" t="str">
        <f>IFERROR(__xludf.DUMMYFUNCTION("""COMPUTED_VALUE"""),"Uncle Sams Cider (04/04/2023)")</f>
        <v>Uncle Sams Cider (04/04/2023)</v>
      </c>
      <c r="H2022" s="19"/>
    </row>
    <row r="2023">
      <c r="A2023" s="9"/>
      <c r="B2023" s="15"/>
      <c r="C2023" s="9">
        <f>IFERROR(__xludf.DUMMYFUNCTION("""COMPUTED_VALUE"""),45123.38091125)</f>
        <v>45123.38091</v>
      </c>
      <c r="D2023" s="15">
        <f>IFERROR(__xludf.DUMMYFUNCTION("""COMPUTED_VALUE"""),0.999)</f>
        <v>0.999</v>
      </c>
      <c r="E2023" s="16">
        <f>IFERROR(__xludf.DUMMYFUNCTION("""COMPUTED_VALUE"""),71.0)</f>
        <v>71</v>
      </c>
      <c r="F2023" s="19" t="str">
        <f>IFERROR(__xludf.DUMMYFUNCTION("""COMPUTED_VALUE"""),"BLUE")</f>
        <v>BLUE</v>
      </c>
      <c r="G2023" s="20" t="str">
        <f>IFERROR(__xludf.DUMMYFUNCTION("""COMPUTED_VALUE"""),"Uncle Sams Cider (04/04/2023)")</f>
        <v>Uncle Sams Cider (04/04/2023)</v>
      </c>
      <c r="H2023" s="19"/>
    </row>
    <row r="2024">
      <c r="A2024" s="9"/>
      <c r="B2024" s="15"/>
      <c r="C2024" s="9">
        <f>IFERROR(__xludf.DUMMYFUNCTION("""COMPUTED_VALUE"""),45123.3704904745)</f>
        <v>45123.37049</v>
      </c>
      <c r="D2024" s="15">
        <f>IFERROR(__xludf.DUMMYFUNCTION("""COMPUTED_VALUE"""),0.999)</f>
        <v>0.999</v>
      </c>
      <c r="E2024" s="16">
        <f>IFERROR(__xludf.DUMMYFUNCTION("""COMPUTED_VALUE"""),71.0)</f>
        <v>71</v>
      </c>
      <c r="F2024" s="19" t="str">
        <f>IFERROR(__xludf.DUMMYFUNCTION("""COMPUTED_VALUE"""),"BLUE")</f>
        <v>BLUE</v>
      </c>
      <c r="G2024" s="20" t="str">
        <f>IFERROR(__xludf.DUMMYFUNCTION("""COMPUTED_VALUE"""),"Uncle Sams Cider (04/04/2023)")</f>
        <v>Uncle Sams Cider (04/04/2023)</v>
      </c>
      <c r="H2024" s="19"/>
    </row>
    <row r="2025">
      <c r="A2025" s="9"/>
      <c r="B2025" s="15"/>
      <c r="C2025" s="9">
        <f>IFERROR(__xludf.DUMMYFUNCTION("""COMPUTED_VALUE"""),45123.3600586805)</f>
        <v>45123.36006</v>
      </c>
      <c r="D2025" s="15">
        <f>IFERROR(__xludf.DUMMYFUNCTION("""COMPUTED_VALUE"""),0.999)</f>
        <v>0.999</v>
      </c>
      <c r="E2025" s="16">
        <f>IFERROR(__xludf.DUMMYFUNCTION("""COMPUTED_VALUE"""),71.0)</f>
        <v>71</v>
      </c>
      <c r="F2025" s="19" t="str">
        <f>IFERROR(__xludf.DUMMYFUNCTION("""COMPUTED_VALUE"""),"BLUE")</f>
        <v>BLUE</v>
      </c>
      <c r="G2025" s="20" t="str">
        <f>IFERROR(__xludf.DUMMYFUNCTION("""COMPUTED_VALUE"""),"Uncle Sams Cider (04/04/2023)")</f>
        <v>Uncle Sams Cider (04/04/2023)</v>
      </c>
      <c r="H2025" s="19"/>
    </row>
    <row r="2026">
      <c r="A2026" s="9"/>
      <c r="B2026" s="15"/>
      <c r="C2026" s="9">
        <f>IFERROR(__xludf.DUMMYFUNCTION("""COMPUTED_VALUE"""),45123.3496376967)</f>
        <v>45123.34964</v>
      </c>
      <c r="D2026" s="15">
        <f>IFERROR(__xludf.DUMMYFUNCTION("""COMPUTED_VALUE"""),0.999)</f>
        <v>0.999</v>
      </c>
      <c r="E2026" s="16">
        <f>IFERROR(__xludf.DUMMYFUNCTION("""COMPUTED_VALUE"""),70.0)</f>
        <v>70</v>
      </c>
      <c r="F2026" s="19" t="str">
        <f>IFERROR(__xludf.DUMMYFUNCTION("""COMPUTED_VALUE"""),"BLUE")</f>
        <v>BLUE</v>
      </c>
      <c r="G2026" s="20" t="str">
        <f>IFERROR(__xludf.DUMMYFUNCTION("""COMPUTED_VALUE"""),"Uncle Sams Cider (04/04/2023)")</f>
        <v>Uncle Sams Cider (04/04/2023)</v>
      </c>
      <c r="H2026" s="19"/>
    </row>
    <row r="2027">
      <c r="A2027" s="9"/>
      <c r="B2027" s="15"/>
      <c r="C2027" s="9">
        <f>IFERROR(__xludf.DUMMYFUNCTION("""COMPUTED_VALUE"""),45123.3392168865)</f>
        <v>45123.33922</v>
      </c>
      <c r="D2027" s="15">
        <f>IFERROR(__xludf.DUMMYFUNCTION("""COMPUTED_VALUE"""),0.999)</f>
        <v>0.999</v>
      </c>
      <c r="E2027" s="16">
        <f>IFERROR(__xludf.DUMMYFUNCTION("""COMPUTED_VALUE"""),71.0)</f>
        <v>71</v>
      </c>
      <c r="F2027" s="19" t="str">
        <f>IFERROR(__xludf.DUMMYFUNCTION("""COMPUTED_VALUE"""),"BLUE")</f>
        <v>BLUE</v>
      </c>
      <c r="G2027" s="20" t="str">
        <f>IFERROR(__xludf.DUMMYFUNCTION("""COMPUTED_VALUE"""),"Uncle Sams Cider (04/04/2023)")</f>
        <v>Uncle Sams Cider (04/04/2023)</v>
      </c>
      <c r="H2027" s="19"/>
    </row>
    <row r="2028">
      <c r="A2028" s="9"/>
      <c r="B2028" s="15"/>
      <c r="C2028" s="9">
        <f>IFERROR(__xludf.DUMMYFUNCTION("""COMPUTED_VALUE"""),45123.3287851041)</f>
        <v>45123.32879</v>
      </c>
      <c r="D2028" s="15">
        <f>IFERROR(__xludf.DUMMYFUNCTION("""COMPUTED_VALUE"""),0.999)</f>
        <v>0.999</v>
      </c>
      <c r="E2028" s="16">
        <f>IFERROR(__xludf.DUMMYFUNCTION("""COMPUTED_VALUE"""),71.0)</f>
        <v>71</v>
      </c>
      <c r="F2028" s="19" t="str">
        <f>IFERROR(__xludf.DUMMYFUNCTION("""COMPUTED_VALUE"""),"BLUE")</f>
        <v>BLUE</v>
      </c>
      <c r="G2028" s="20" t="str">
        <f>IFERROR(__xludf.DUMMYFUNCTION("""COMPUTED_VALUE"""),"Uncle Sams Cider (04/04/2023)")</f>
        <v>Uncle Sams Cider (04/04/2023)</v>
      </c>
      <c r="H2028" s="19"/>
    </row>
    <row r="2029">
      <c r="A2029" s="9"/>
      <c r="B2029" s="15"/>
      <c r="C2029" s="9">
        <f>IFERROR(__xludf.DUMMYFUNCTION("""COMPUTED_VALUE"""),45123.3183394213)</f>
        <v>45123.31834</v>
      </c>
      <c r="D2029" s="15">
        <f>IFERROR(__xludf.DUMMYFUNCTION("""COMPUTED_VALUE"""),0.999)</f>
        <v>0.999</v>
      </c>
      <c r="E2029" s="16">
        <f>IFERROR(__xludf.DUMMYFUNCTION("""COMPUTED_VALUE"""),71.0)</f>
        <v>71</v>
      </c>
      <c r="F2029" s="19" t="str">
        <f>IFERROR(__xludf.DUMMYFUNCTION("""COMPUTED_VALUE"""),"BLUE")</f>
        <v>BLUE</v>
      </c>
      <c r="G2029" s="20" t="str">
        <f>IFERROR(__xludf.DUMMYFUNCTION("""COMPUTED_VALUE"""),"Uncle Sams Cider (04/04/2023)")</f>
        <v>Uncle Sams Cider (04/04/2023)</v>
      </c>
      <c r="H2029" s="19"/>
    </row>
    <row r="2030">
      <c r="A2030" s="9"/>
      <c r="B2030" s="15"/>
      <c r="C2030" s="9">
        <f>IFERROR(__xludf.DUMMYFUNCTION("""COMPUTED_VALUE"""),45123.3078965393)</f>
        <v>45123.3079</v>
      </c>
      <c r="D2030" s="15">
        <f>IFERROR(__xludf.DUMMYFUNCTION("""COMPUTED_VALUE"""),0.999)</f>
        <v>0.999</v>
      </c>
      <c r="E2030" s="16">
        <f>IFERROR(__xludf.DUMMYFUNCTION("""COMPUTED_VALUE"""),70.0)</f>
        <v>70</v>
      </c>
      <c r="F2030" s="19" t="str">
        <f>IFERROR(__xludf.DUMMYFUNCTION("""COMPUTED_VALUE"""),"BLUE")</f>
        <v>BLUE</v>
      </c>
      <c r="G2030" s="20" t="str">
        <f>IFERROR(__xludf.DUMMYFUNCTION("""COMPUTED_VALUE"""),"Uncle Sams Cider (04/04/2023)")</f>
        <v>Uncle Sams Cider (04/04/2023)</v>
      </c>
      <c r="H2030" s="19"/>
    </row>
    <row r="2031">
      <c r="A2031" s="9"/>
      <c r="B2031" s="15"/>
      <c r="C2031" s="9">
        <f>IFERROR(__xludf.DUMMYFUNCTION("""COMPUTED_VALUE"""),45123.2974629513)</f>
        <v>45123.29746</v>
      </c>
      <c r="D2031" s="15">
        <f>IFERROR(__xludf.DUMMYFUNCTION("""COMPUTED_VALUE"""),0.999)</f>
        <v>0.999</v>
      </c>
      <c r="E2031" s="16">
        <f>IFERROR(__xludf.DUMMYFUNCTION("""COMPUTED_VALUE"""),70.0)</f>
        <v>70</v>
      </c>
      <c r="F2031" s="19" t="str">
        <f>IFERROR(__xludf.DUMMYFUNCTION("""COMPUTED_VALUE"""),"BLUE")</f>
        <v>BLUE</v>
      </c>
      <c r="G2031" s="20" t="str">
        <f>IFERROR(__xludf.DUMMYFUNCTION("""COMPUTED_VALUE"""),"Uncle Sams Cider (04/04/2023)")</f>
        <v>Uncle Sams Cider (04/04/2023)</v>
      </c>
      <c r="H2031" s="19"/>
    </row>
    <row r="2032">
      <c r="A2032" s="9"/>
      <c r="B2032" s="15"/>
      <c r="C2032" s="9">
        <f>IFERROR(__xludf.DUMMYFUNCTION("""COMPUTED_VALUE"""),45123.2870424884)</f>
        <v>45123.28704</v>
      </c>
      <c r="D2032" s="15">
        <f>IFERROR(__xludf.DUMMYFUNCTION("""COMPUTED_VALUE"""),0.999)</f>
        <v>0.999</v>
      </c>
      <c r="E2032" s="16">
        <f>IFERROR(__xludf.DUMMYFUNCTION("""COMPUTED_VALUE"""),71.0)</f>
        <v>71</v>
      </c>
      <c r="F2032" s="19" t="str">
        <f>IFERROR(__xludf.DUMMYFUNCTION("""COMPUTED_VALUE"""),"BLUE")</f>
        <v>BLUE</v>
      </c>
      <c r="G2032" s="20" t="str">
        <f>IFERROR(__xludf.DUMMYFUNCTION("""COMPUTED_VALUE"""),"Uncle Sams Cider (04/04/2023)")</f>
        <v>Uncle Sams Cider (04/04/2023)</v>
      </c>
      <c r="H2032" s="19"/>
    </row>
    <row r="2033">
      <c r="A2033" s="9"/>
      <c r="B2033" s="15"/>
      <c r="C2033" s="9">
        <f>IFERROR(__xludf.DUMMYFUNCTION("""COMPUTED_VALUE"""),45123.2766230092)</f>
        <v>45123.27662</v>
      </c>
      <c r="D2033" s="15">
        <f>IFERROR(__xludf.DUMMYFUNCTION("""COMPUTED_VALUE"""),0.999)</f>
        <v>0.999</v>
      </c>
      <c r="E2033" s="16">
        <f>IFERROR(__xludf.DUMMYFUNCTION("""COMPUTED_VALUE"""),71.0)</f>
        <v>71</v>
      </c>
      <c r="F2033" s="19" t="str">
        <f>IFERROR(__xludf.DUMMYFUNCTION("""COMPUTED_VALUE"""),"BLUE")</f>
        <v>BLUE</v>
      </c>
      <c r="G2033" s="20" t="str">
        <f>IFERROR(__xludf.DUMMYFUNCTION("""COMPUTED_VALUE"""),"Uncle Sams Cider (04/04/2023)")</f>
        <v>Uncle Sams Cider (04/04/2023)</v>
      </c>
      <c r="H2033" s="19"/>
    </row>
    <row r="2034">
      <c r="A2034" s="9"/>
      <c r="B2034" s="15"/>
      <c r="C2034" s="9">
        <f>IFERROR(__xludf.DUMMYFUNCTION("""COMPUTED_VALUE"""),45123.2661896296)</f>
        <v>45123.26619</v>
      </c>
      <c r="D2034" s="15">
        <f>IFERROR(__xludf.DUMMYFUNCTION("""COMPUTED_VALUE"""),0.999)</f>
        <v>0.999</v>
      </c>
      <c r="E2034" s="16">
        <f>IFERROR(__xludf.DUMMYFUNCTION("""COMPUTED_VALUE"""),70.0)</f>
        <v>70</v>
      </c>
      <c r="F2034" s="19" t="str">
        <f>IFERROR(__xludf.DUMMYFUNCTION("""COMPUTED_VALUE"""),"BLUE")</f>
        <v>BLUE</v>
      </c>
      <c r="G2034" s="20" t="str">
        <f>IFERROR(__xludf.DUMMYFUNCTION("""COMPUTED_VALUE"""),"Uncle Sams Cider (04/04/2023)")</f>
        <v>Uncle Sams Cider (04/04/2023)</v>
      </c>
      <c r="H2034" s="19"/>
    </row>
    <row r="2035">
      <c r="A2035" s="9"/>
      <c r="B2035" s="15"/>
      <c r="C2035" s="9">
        <f>IFERROR(__xludf.DUMMYFUNCTION("""COMPUTED_VALUE"""),45123.2557682523)</f>
        <v>45123.25577</v>
      </c>
      <c r="D2035" s="15">
        <f>IFERROR(__xludf.DUMMYFUNCTION("""COMPUTED_VALUE"""),0.999)</f>
        <v>0.999</v>
      </c>
      <c r="E2035" s="16">
        <f>IFERROR(__xludf.DUMMYFUNCTION("""COMPUTED_VALUE"""),70.0)</f>
        <v>70</v>
      </c>
      <c r="F2035" s="19" t="str">
        <f>IFERROR(__xludf.DUMMYFUNCTION("""COMPUTED_VALUE"""),"BLUE")</f>
        <v>BLUE</v>
      </c>
      <c r="G2035" s="20" t="str">
        <f>IFERROR(__xludf.DUMMYFUNCTION("""COMPUTED_VALUE"""),"Uncle Sams Cider (04/04/2023)")</f>
        <v>Uncle Sams Cider (04/04/2023)</v>
      </c>
      <c r="H2035" s="19"/>
    </row>
    <row r="2036">
      <c r="A2036" s="9"/>
      <c r="B2036" s="15"/>
      <c r="C2036" s="9">
        <f>IFERROR(__xludf.DUMMYFUNCTION("""COMPUTED_VALUE"""),45123.2453467708)</f>
        <v>45123.24535</v>
      </c>
      <c r="D2036" s="15">
        <f>IFERROR(__xludf.DUMMYFUNCTION("""COMPUTED_VALUE"""),0.999)</f>
        <v>0.999</v>
      </c>
      <c r="E2036" s="16">
        <f>IFERROR(__xludf.DUMMYFUNCTION("""COMPUTED_VALUE"""),70.0)</f>
        <v>70</v>
      </c>
      <c r="F2036" s="19" t="str">
        <f>IFERROR(__xludf.DUMMYFUNCTION("""COMPUTED_VALUE"""),"BLUE")</f>
        <v>BLUE</v>
      </c>
      <c r="G2036" s="20" t="str">
        <f>IFERROR(__xludf.DUMMYFUNCTION("""COMPUTED_VALUE"""),"Uncle Sams Cider (04/04/2023)")</f>
        <v>Uncle Sams Cider (04/04/2023)</v>
      </c>
      <c r="H2036" s="19"/>
    </row>
    <row r="2037">
      <c r="A2037" s="9"/>
      <c r="B2037" s="15"/>
      <c r="C2037" s="9">
        <f>IFERROR(__xludf.DUMMYFUNCTION("""COMPUTED_VALUE"""),45123.2349257291)</f>
        <v>45123.23493</v>
      </c>
      <c r="D2037" s="15">
        <f>IFERROR(__xludf.DUMMYFUNCTION("""COMPUTED_VALUE"""),0.999)</f>
        <v>0.999</v>
      </c>
      <c r="E2037" s="16">
        <f>IFERROR(__xludf.DUMMYFUNCTION("""COMPUTED_VALUE"""),70.0)</f>
        <v>70</v>
      </c>
      <c r="F2037" s="19" t="str">
        <f>IFERROR(__xludf.DUMMYFUNCTION("""COMPUTED_VALUE"""),"BLUE")</f>
        <v>BLUE</v>
      </c>
      <c r="G2037" s="20" t="str">
        <f>IFERROR(__xludf.DUMMYFUNCTION("""COMPUTED_VALUE"""),"Uncle Sams Cider (04/04/2023)")</f>
        <v>Uncle Sams Cider (04/04/2023)</v>
      </c>
      <c r="H2037" s="19"/>
    </row>
    <row r="2038">
      <c r="A2038" s="9"/>
      <c r="B2038" s="15"/>
      <c r="C2038" s="9">
        <f>IFERROR(__xludf.DUMMYFUNCTION("""COMPUTED_VALUE"""),45123.2245038078)</f>
        <v>45123.2245</v>
      </c>
      <c r="D2038" s="15">
        <f>IFERROR(__xludf.DUMMYFUNCTION("""COMPUTED_VALUE"""),0.999)</f>
        <v>0.999</v>
      </c>
      <c r="E2038" s="16">
        <f>IFERROR(__xludf.DUMMYFUNCTION("""COMPUTED_VALUE"""),70.0)</f>
        <v>70</v>
      </c>
      <c r="F2038" s="19" t="str">
        <f>IFERROR(__xludf.DUMMYFUNCTION("""COMPUTED_VALUE"""),"BLUE")</f>
        <v>BLUE</v>
      </c>
      <c r="G2038" s="20" t="str">
        <f>IFERROR(__xludf.DUMMYFUNCTION("""COMPUTED_VALUE"""),"Uncle Sams Cider (04/04/2023)")</f>
        <v>Uncle Sams Cider (04/04/2023)</v>
      </c>
      <c r="H2038" s="19"/>
    </row>
    <row r="2039">
      <c r="A2039" s="9"/>
      <c r="B2039" s="15"/>
      <c r="C2039" s="9">
        <f>IFERROR(__xludf.DUMMYFUNCTION("""COMPUTED_VALUE"""),45123.2140831828)</f>
        <v>45123.21408</v>
      </c>
      <c r="D2039" s="15">
        <f>IFERROR(__xludf.DUMMYFUNCTION("""COMPUTED_VALUE"""),0.999)</f>
        <v>0.999</v>
      </c>
      <c r="E2039" s="16">
        <f>IFERROR(__xludf.DUMMYFUNCTION("""COMPUTED_VALUE"""),70.0)</f>
        <v>70</v>
      </c>
      <c r="F2039" s="19" t="str">
        <f>IFERROR(__xludf.DUMMYFUNCTION("""COMPUTED_VALUE"""),"BLUE")</f>
        <v>BLUE</v>
      </c>
      <c r="G2039" s="20" t="str">
        <f>IFERROR(__xludf.DUMMYFUNCTION("""COMPUTED_VALUE"""),"Uncle Sams Cider (04/04/2023)")</f>
        <v>Uncle Sams Cider (04/04/2023)</v>
      </c>
      <c r="H2039" s="19"/>
    </row>
    <row r="2040">
      <c r="A2040" s="9"/>
      <c r="B2040" s="15"/>
      <c r="C2040" s="9">
        <f>IFERROR(__xludf.DUMMYFUNCTION("""COMPUTED_VALUE"""),45123.2036489467)</f>
        <v>45123.20365</v>
      </c>
      <c r="D2040" s="15">
        <f>IFERROR(__xludf.DUMMYFUNCTION("""COMPUTED_VALUE"""),0.999)</f>
        <v>0.999</v>
      </c>
      <c r="E2040" s="16">
        <f>IFERROR(__xludf.DUMMYFUNCTION("""COMPUTED_VALUE"""),70.0)</f>
        <v>70</v>
      </c>
      <c r="F2040" s="19" t="str">
        <f>IFERROR(__xludf.DUMMYFUNCTION("""COMPUTED_VALUE"""),"BLUE")</f>
        <v>BLUE</v>
      </c>
      <c r="G2040" s="20" t="str">
        <f>IFERROR(__xludf.DUMMYFUNCTION("""COMPUTED_VALUE"""),"Uncle Sams Cider (04/04/2023)")</f>
        <v>Uncle Sams Cider (04/04/2023)</v>
      </c>
      <c r="H2040" s="19"/>
    </row>
    <row r="2041">
      <c r="A2041" s="9"/>
      <c r="B2041" s="15"/>
      <c r="C2041" s="9">
        <f>IFERROR(__xludf.DUMMYFUNCTION("""COMPUTED_VALUE"""),45123.1932276157)</f>
        <v>45123.19323</v>
      </c>
      <c r="D2041" s="15">
        <f>IFERROR(__xludf.DUMMYFUNCTION("""COMPUTED_VALUE"""),0.999)</f>
        <v>0.999</v>
      </c>
      <c r="E2041" s="16">
        <f>IFERROR(__xludf.DUMMYFUNCTION("""COMPUTED_VALUE"""),70.0)</f>
        <v>70</v>
      </c>
      <c r="F2041" s="19" t="str">
        <f>IFERROR(__xludf.DUMMYFUNCTION("""COMPUTED_VALUE"""),"BLUE")</f>
        <v>BLUE</v>
      </c>
      <c r="G2041" s="20" t="str">
        <f>IFERROR(__xludf.DUMMYFUNCTION("""COMPUTED_VALUE"""),"Uncle Sams Cider (04/04/2023)")</f>
        <v>Uncle Sams Cider (04/04/2023)</v>
      </c>
      <c r="H2041" s="19"/>
    </row>
    <row r="2042">
      <c r="A2042" s="9"/>
      <c r="B2042" s="15"/>
      <c r="C2042" s="9">
        <f>IFERROR(__xludf.DUMMYFUNCTION("""COMPUTED_VALUE"""),45123.1828062847)</f>
        <v>45123.18281</v>
      </c>
      <c r="D2042" s="15">
        <f>IFERROR(__xludf.DUMMYFUNCTION("""COMPUTED_VALUE"""),0.999)</f>
        <v>0.999</v>
      </c>
      <c r="E2042" s="16">
        <f>IFERROR(__xludf.DUMMYFUNCTION("""COMPUTED_VALUE"""),70.0)</f>
        <v>70</v>
      </c>
      <c r="F2042" s="19" t="str">
        <f>IFERROR(__xludf.DUMMYFUNCTION("""COMPUTED_VALUE"""),"BLUE")</f>
        <v>BLUE</v>
      </c>
      <c r="G2042" s="20" t="str">
        <f>IFERROR(__xludf.DUMMYFUNCTION("""COMPUTED_VALUE"""),"Uncle Sams Cider (04/04/2023)")</f>
        <v>Uncle Sams Cider (04/04/2023)</v>
      </c>
      <c r="H2042" s="19"/>
    </row>
    <row r="2043">
      <c r="A2043" s="9"/>
      <c r="B2043" s="15"/>
      <c r="C2043" s="9">
        <f>IFERROR(__xludf.DUMMYFUNCTION("""COMPUTED_VALUE"""),45123.1723862847)</f>
        <v>45123.17239</v>
      </c>
      <c r="D2043" s="15">
        <f>IFERROR(__xludf.DUMMYFUNCTION("""COMPUTED_VALUE"""),0.998)</f>
        <v>0.998</v>
      </c>
      <c r="E2043" s="16">
        <f>IFERROR(__xludf.DUMMYFUNCTION("""COMPUTED_VALUE"""),70.0)</f>
        <v>70</v>
      </c>
      <c r="F2043" s="19" t="str">
        <f>IFERROR(__xludf.DUMMYFUNCTION("""COMPUTED_VALUE"""),"BLUE")</f>
        <v>BLUE</v>
      </c>
      <c r="G2043" s="20" t="str">
        <f>IFERROR(__xludf.DUMMYFUNCTION("""COMPUTED_VALUE"""),"Uncle Sams Cider (04/04/2023)")</f>
        <v>Uncle Sams Cider (04/04/2023)</v>
      </c>
      <c r="H2043" s="19"/>
    </row>
    <row r="2044">
      <c r="A2044" s="9"/>
      <c r="B2044" s="15"/>
      <c r="C2044" s="9">
        <f>IFERROR(__xludf.DUMMYFUNCTION("""COMPUTED_VALUE"""),45123.1619544675)</f>
        <v>45123.16195</v>
      </c>
      <c r="D2044" s="15">
        <f>IFERROR(__xludf.DUMMYFUNCTION("""COMPUTED_VALUE"""),0.999)</f>
        <v>0.999</v>
      </c>
      <c r="E2044" s="16">
        <f>IFERROR(__xludf.DUMMYFUNCTION("""COMPUTED_VALUE"""),70.0)</f>
        <v>70</v>
      </c>
      <c r="F2044" s="19" t="str">
        <f>IFERROR(__xludf.DUMMYFUNCTION("""COMPUTED_VALUE"""),"BLUE")</f>
        <v>BLUE</v>
      </c>
      <c r="G2044" s="20" t="str">
        <f>IFERROR(__xludf.DUMMYFUNCTION("""COMPUTED_VALUE"""),"Uncle Sams Cider (04/04/2023)")</f>
        <v>Uncle Sams Cider (04/04/2023)</v>
      </c>
      <c r="H2044" s="19"/>
    </row>
    <row r="2045">
      <c r="A2045" s="9"/>
      <c r="B2045" s="15"/>
      <c r="C2045" s="9">
        <f>IFERROR(__xludf.DUMMYFUNCTION("""COMPUTED_VALUE"""),45123.1515234953)</f>
        <v>45123.15152</v>
      </c>
      <c r="D2045" s="15">
        <f>IFERROR(__xludf.DUMMYFUNCTION("""COMPUTED_VALUE"""),0.999)</f>
        <v>0.999</v>
      </c>
      <c r="E2045" s="16">
        <f>IFERROR(__xludf.DUMMYFUNCTION("""COMPUTED_VALUE"""),70.0)</f>
        <v>70</v>
      </c>
      <c r="F2045" s="19" t="str">
        <f>IFERROR(__xludf.DUMMYFUNCTION("""COMPUTED_VALUE"""),"BLUE")</f>
        <v>BLUE</v>
      </c>
      <c r="G2045" s="20" t="str">
        <f>IFERROR(__xludf.DUMMYFUNCTION("""COMPUTED_VALUE"""),"Uncle Sams Cider (04/04/2023)")</f>
        <v>Uncle Sams Cider (04/04/2023)</v>
      </c>
      <c r="H2045" s="19"/>
    </row>
    <row r="2046">
      <c r="A2046" s="9"/>
      <c r="B2046" s="15"/>
      <c r="C2046" s="9">
        <f>IFERROR(__xludf.DUMMYFUNCTION("""COMPUTED_VALUE"""),45123.1410893402)</f>
        <v>45123.14109</v>
      </c>
      <c r="D2046" s="15">
        <f>IFERROR(__xludf.DUMMYFUNCTION("""COMPUTED_VALUE"""),0.999)</f>
        <v>0.999</v>
      </c>
      <c r="E2046" s="16">
        <f>IFERROR(__xludf.DUMMYFUNCTION("""COMPUTED_VALUE"""),70.0)</f>
        <v>70</v>
      </c>
      <c r="F2046" s="19" t="str">
        <f>IFERROR(__xludf.DUMMYFUNCTION("""COMPUTED_VALUE"""),"BLUE")</f>
        <v>BLUE</v>
      </c>
      <c r="G2046" s="20" t="str">
        <f>IFERROR(__xludf.DUMMYFUNCTION("""COMPUTED_VALUE"""),"Uncle Sams Cider (04/04/2023)")</f>
        <v>Uncle Sams Cider (04/04/2023)</v>
      </c>
      <c r="H2046" s="19"/>
    </row>
    <row r="2047">
      <c r="A2047" s="9"/>
      <c r="B2047" s="15"/>
      <c r="C2047" s="9">
        <f>IFERROR(__xludf.DUMMYFUNCTION("""COMPUTED_VALUE"""),45123.1306691666)</f>
        <v>45123.13067</v>
      </c>
      <c r="D2047" s="15">
        <f>IFERROR(__xludf.DUMMYFUNCTION("""COMPUTED_VALUE"""),0.999)</f>
        <v>0.999</v>
      </c>
      <c r="E2047" s="16">
        <f>IFERROR(__xludf.DUMMYFUNCTION("""COMPUTED_VALUE"""),71.0)</f>
        <v>71</v>
      </c>
      <c r="F2047" s="19" t="str">
        <f>IFERROR(__xludf.DUMMYFUNCTION("""COMPUTED_VALUE"""),"BLUE")</f>
        <v>BLUE</v>
      </c>
      <c r="G2047" s="20" t="str">
        <f>IFERROR(__xludf.DUMMYFUNCTION("""COMPUTED_VALUE"""),"Uncle Sams Cider (04/04/2023)")</f>
        <v>Uncle Sams Cider (04/04/2023)</v>
      </c>
      <c r="H2047" s="19"/>
    </row>
    <row r="2048">
      <c r="A2048" s="9"/>
      <c r="B2048" s="15"/>
      <c r="C2048" s="9">
        <f>IFERROR(__xludf.DUMMYFUNCTION("""COMPUTED_VALUE"""),45123.1202379629)</f>
        <v>45123.12024</v>
      </c>
      <c r="D2048" s="15">
        <f>IFERROR(__xludf.DUMMYFUNCTION("""COMPUTED_VALUE"""),0.999)</f>
        <v>0.999</v>
      </c>
      <c r="E2048" s="16">
        <f>IFERROR(__xludf.DUMMYFUNCTION("""COMPUTED_VALUE"""),70.0)</f>
        <v>70</v>
      </c>
      <c r="F2048" s="19" t="str">
        <f>IFERROR(__xludf.DUMMYFUNCTION("""COMPUTED_VALUE"""),"BLUE")</f>
        <v>BLUE</v>
      </c>
      <c r="G2048" s="20" t="str">
        <f>IFERROR(__xludf.DUMMYFUNCTION("""COMPUTED_VALUE"""),"Uncle Sams Cider (04/04/2023)")</f>
        <v>Uncle Sams Cider (04/04/2023)</v>
      </c>
      <c r="H2048" s="19"/>
    </row>
    <row r="2049">
      <c r="A2049" s="9"/>
      <c r="B2049" s="15"/>
      <c r="C2049" s="9">
        <f>IFERROR(__xludf.DUMMYFUNCTION("""COMPUTED_VALUE"""),45123.1098150231)</f>
        <v>45123.10982</v>
      </c>
      <c r="D2049" s="15">
        <f>IFERROR(__xludf.DUMMYFUNCTION("""COMPUTED_VALUE"""),0.999)</f>
        <v>0.999</v>
      </c>
      <c r="E2049" s="16">
        <f>IFERROR(__xludf.DUMMYFUNCTION("""COMPUTED_VALUE"""),70.0)</f>
        <v>70</v>
      </c>
      <c r="F2049" s="19" t="str">
        <f>IFERROR(__xludf.DUMMYFUNCTION("""COMPUTED_VALUE"""),"BLUE")</f>
        <v>BLUE</v>
      </c>
      <c r="G2049" s="20" t="str">
        <f>IFERROR(__xludf.DUMMYFUNCTION("""COMPUTED_VALUE"""),"Uncle Sams Cider (04/04/2023)")</f>
        <v>Uncle Sams Cider (04/04/2023)</v>
      </c>
      <c r="H2049" s="19"/>
    </row>
    <row r="2050">
      <c r="A2050" s="9"/>
      <c r="B2050" s="15"/>
      <c r="C2050" s="9">
        <f>IFERROR(__xludf.DUMMYFUNCTION("""COMPUTED_VALUE"""),45123.099391655)</f>
        <v>45123.09939</v>
      </c>
      <c r="D2050" s="15">
        <f>IFERROR(__xludf.DUMMYFUNCTION("""COMPUTED_VALUE"""),0.999)</f>
        <v>0.999</v>
      </c>
      <c r="E2050" s="16">
        <f>IFERROR(__xludf.DUMMYFUNCTION("""COMPUTED_VALUE"""),70.0)</f>
        <v>70</v>
      </c>
      <c r="F2050" s="19" t="str">
        <f>IFERROR(__xludf.DUMMYFUNCTION("""COMPUTED_VALUE"""),"BLUE")</f>
        <v>BLUE</v>
      </c>
      <c r="G2050" s="20" t="str">
        <f>IFERROR(__xludf.DUMMYFUNCTION("""COMPUTED_VALUE"""),"Uncle Sams Cider (04/04/2023)")</f>
        <v>Uncle Sams Cider (04/04/2023)</v>
      </c>
      <c r="H2050" s="19"/>
    </row>
    <row r="2051">
      <c r="A2051" s="9"/>
      <c r="B2051" s="15"/>
      <c r="C2051" s="9">
        <f>IFERROR(__xludf.DUMMYFUNCTION("""COMPUTED_VALUE"""),45123.08897103)</f>
        <v>45123.08897</v>
      </c>
      <c r="D2051" s="15">
        <f>IFERROR(__xludf.DUMMYFUNCTION("""COMPUTED_VALUE"""),0.999)</f>
        <v>0.999</v>
      </c>
      <c r="E2051" s="16">
        <f>IFERROR(__xludf.DUMMYFUNCTION("""COMPUTED_VALUE"""),70.0)</f>
        <v>70</v>
      </c>
      <c r="F2051" s="19" t="str">
        <f>IFERROR(__xludf.DUMMYFUNCTION("""COMPUTED_VALUE"""),"BLUE")</f>
        <v>BLUE</v>
      </c>
      <c r="G2051" s="20" t="str">
        <f>IFERROR(__xludf.DUMMYFUNCTION("""COMPUTED_VALUE"""),"Uncle Sams Cider (04/04/2023)")</f>
        <v>Uncle Sams Cider (04/04/2023)</v>
      </c>
      <c r="H2051" s="19"/>
    </row>
    <row r="2052">
      <c r="A2052" s="9"/>
      <c r="B2052" s="15"/>
      <c r="C2052" s="9">
        <f>IFERROR(__xludf.DUMMYFUNCTION("""COMPUTED_VALUE"""),45123.0785393055)</f>
        <v>45123.07854</v>
      </c>
      <c r="D2052" s="15">
        <f>IFERROR(__xludf.DUMMYFUNCTION("""COMPUTED_VALUE"""),0.999)</f>
        <v>0.999</v>
      </c>
      <c r="E2052" s="16">
        <f>IFERROR(__xludf.DUMMYFUNCTION("""COMPUTED_VALUE"""),70.0)</f>
        <v>70</v>
      </c>
      <c r="F2052" s="19" t="str">
        <f>IFERROR(__xludf.DUMMYFUNCTION("""COMPUTED_VALUE"""),"BLUE")</f>
        <v>BLUE</v>
      </c>
      <c r="G2052" s="20" t="str">
        <f>IFERROR(__xludf.DUMMYFUNCTION("""COMPUTED_VALUE"""),"Uncle Sams Cider (04/04/2023)")</f>
        <v>Uncle Sams Cider (04/04/2023)</v>
      </c>
      <c r="H2052" s="19"/>
    </row>
    <row r="2053">
      <c r="A2053" s="9"/>
      <c r="B2053" s="15"/>
      <c r="C2053" s="9">
        <f>IFERROR(__xludf.DUMMYFUNCTION("""COMPUTED_VALUE"""),45123.068119155)</f>
        <v>45123.06812</v>
      </c>
      <c r="D2053" s="15">
        <f>IFERROR(__xludf.DUMMYFUNCTION("""COMPUTED_VALUE"""),0.999)</f>
        <v>0.999</v>
      </c>
      <c r="E2053" s="16">
        <f>IFERROR(__xludf.DUMMYFUNCTION("""COMPUTED_VALUE"""),70.0)</f>
        <v>70</v>
      </c>
      <c r="F2053" s="19" t="str">
        <f>IFERROR(__xludf.DUMMYFUNCTION("""COMPUTED_VALUE"""),"BLUE")</f>
        <v>BLUE</v>
      </c>
      <c r="G2053" s="20" t="str">
        <f>IFERROR(__xludf.DUMMYFUNCTION("""COMPUTED_VALUE"""),"Uncle Sams Cider (04/04/2023)")</f>
        <v>Uncle Sams Cider (04/04/2023)</v>
      </c>
      <c r="H2053" s="19"/>
    </row>
    <row r="2054">
      <c r="A2054" s="9"/>
      <c r="B2054" s="15"/>
      <c r="C2054" s="9">
        <f>IFERROR(__xludf.DUMMYFUNCTION("""COMPUTED_VALUE"""),45123.0576977893)</f>
        <v>45123.0577</v>
      </c>
      <c r="D2054" s="15">
        <f>IFERROR(__xludf.DUMMYFUNCTION("""COMPUTED_VALUE"""),0.999)</f>
        <v>0.999</v>
      </c>
      <c r="E2054" s="16">
        <f>IFERROR(__xludf.DUMMYFUNCTION("""COMPUTED_VALUE"""),70.0)</f>
        <v>70</v>
      </c>
      <c r="F2054" s="19" t="str">
        <f>IFERROR(__xludf.DUMMYFUNCTION("""COMPUTED_VALUE"""),"BLUE")</f>
        <v>BLUE</v>
      </c>
      <c r="G2054" s="20" t="str">
        <f>IFERROR(__xludf.DUMMYFUNCTION("""COMPUTED_VALUE"""),"Uncle Sams Cider (04/04/2023)")</f>
        <v>Uncle Sams Cider (04/04/2023)</v>
      </c>
      <c r="H2054" s="19"/>
    </row>
    <row r="2055">
      <c r="A2055" s="9"/>
      <c r="B2055" s="15"/>
      <c r="C2055" s="9">
        <f>IFERROR(__xludf.DUMMYFUNCTION("""COMPUTED_VALUE"""),45123.0472634143)</f>
        <v>45123.04726</v>
      </c>
      <c r="D2055" s="15">
        <f>IFERROR(__xludf.DUMMYFUNCTION("""COMPUTED_VALUE"""),0.999)</f>
        <v>0.999</v>
      </c>
      <c r="E2055" s="16">
        <f>IFERROR(__xludf.DUMMYFUNCTION("""COMPUTED_VALUE"""),70.0)</f>
        <v>70</v>
      </c>
      <c r="F2055" s="19" t="str">
        <f>IFERROR(__xludf.DUMMYFUNCTION("""COMPUTED_VALUE"""),"BLUE")</f>
        <v>BLUE</v>
      </c>
      <c r="G2055" s="20" t="str">
        <f>IFERROR(__xludf.DUMMYFUNCTION("""COMPUTED_VALUE"""),"Uncle Sams Cider (04/04/2023)")</f>
        <v>Uncle Sams Cider (04/04/2023)</v>
      </c>
      <c r="H2055" s="19"/>
    </row>
    <row r="2056">
      <c r="A2056" s="9"/>
      <c r="B2056" s="15"/>
      <c r="C2056" s="9">
        <f>IFERROR(__xludf.DUMMYFUNCTION("""COMPUTED_VALUE"""),45123.0368402199)</f>
        <v>45123.03684</v>
      </c>
      <c r="D2056" s="15">
        <f>IFERROR(__xludf.DUMMYFUNCTION("""COMPUTED_VALUE"""),0.999)</f>
        <v>0.999</v>
      </c>
      <c r="E2056" s="16">
        <f>IFERROR(__xludf.DUMMYFUNCTION("""COMPUTED_VALUE"""),70.0)</f>
        <v>70</v>
      </c>
      <c r="F2056" s="19" t="str">
        <f>IFERROR(__xludf.DUMMYFUNCTION("""COMPUTED_VALUE"""),"BLUE")</f>
        <v>BLUE</v>
      </c>
      <c r="G2056" s="20" t="str">
        <f>IFERROR(__xludf.DUMMYFUNCTION("""COMPUTED_VALUE"""),"Uncle Sams Cider (04/04/2023)")</f>
        <v>Uncle Sams Cider (04/04/2023)</v>
      </c>
      <c r="H2056" s="19"/>
    </row>
    <row r="2057">
      <c r="A2057" s="9"/>
      <c r="B2057" s="15"/>
      <c r="C2057" s="9">
        <f>IFERROR(__xludf.DUMMYFUNCTION("""COMPUTED_VALUE"""),45123.026408831)</f>
        <v>45123.02641</v>
      </c>
      <c r="D2057" s="15">
        <f>IFERROR(__xludf.DUMMYFUNCTION("""COMPUTED_VALUE"""),0.999)</f>
        <v>0.999</v>
      </c>
      <c r="E2057" s="16">
        <f>IFERROR(__xludf.DUMMYFUNCTION("""COMPUTED_VALUE"""),70.0)</f>
        <v>70</v>
      </c>
      <c r="F2057" s="19" t="str">
        <f>IFERROR(__xludf.DUMMYFUNCTION("""COMPUTED_VALUE"""),"BLUE")</f>
        <v>BLUE</v>
      </c>
      <c r="G2057" s="20" t="str">
        <f>IFERROR(__xludf.DUMMYFUNCTION("""COMPUTED_VALUE"""),"Uncle Sams Cider (04/04/2023)")</f>
        <v>Uncle Sams Cider (04/04/2023)</v>
      </c>
      <c r="H2057" s="19"/>
    </row>
    <row r="2058">
      <c r="A2058" s="9"/>
      <c r="B2058" s="15"/>
      <c r="C2058" s="9">
        <f>IFERROR(__xludf.DUMMYFUNCTION("""COMPUTED_VALUE"""),45123.0159876967)</f>
        <v>45123.01599</v>
      </c>
      <c r="D2058" s="15">
        <f>IFERROR(__xludf.DUMMYFUNCTION("""COMPUTED_VALUE"""),0.999)</f>
        <v>0.999</v>
      </c>
      <c r="E2058" s="16">
        <f>IFERROR(__xludf.DUMMYFUNCTION("""COMPUTED_VALUE"""),70.0)</f>
        <v>70</v>
      </c>
      <c r="F2058" s="19" t="str">
        <f>IFERROR(__xludf.DUMMYFUNCTION("""COMPUTED_VALUE"""),"BLUE")</f>
        <v>BLUE</v>
      </c>
      <c r="G2058" s="20" t="str">
        <f>IFERROR(__xludf.DUMMYFUNCTION("""COMPUTED_VALUE"""),"Uncle Sams Cider (04/04/2023)")</f>
        <v>Uncle Sams Cider (04/04/2023)</v>
      </c>
      <c r="H2058" s="19"/>
    </row>
    <row r="2059">
      <c r="A2059" s="9"/>
      <c r="B2059" s="15"/>
      <c r="C2059" s="9">
        <f>IFERROR(__xludf.DUMMYFUNCTION("""COMPUTED_VALUE"""),45123.005567743)</f>
        <v>45123.00557</v>
      </c>
      <c r="D2059" s="15">
        <f>IFERROR(__xludf.DUMMYFUNCTION("""COMPUTED_VALUE"""),0.999)</f>
        <v>0.999</v>
      </c>
      <c r="E2059" s="16">
        <f>IFERROR(__xludf.DUMMYFUNCTION("""COMPUTED_VALUE"""),70.0)</f>
        <v>70</v>
      </c>
      <c r="F2059" s="19" t="str">
        <f>IFERROR(__xludf.DUMMYFUNCTION("""COMPUTED_VALUE"""),"BLUE")</f>
        <v>BLUE</v>
      </c>
      <c r="G2059" s="20" t="str">
        <f>IFERROR(__xludf.DUMMYFUNCTION("""COMPUTED_VALUE"""),"Uncle Sams Cider (04/04/2023)")</f>
        <v>Uncle Sams Cider (04/04/2023)</v>
      </c>
      <c r="H2059" s="19"/>
    </row>
    <row r="2060">
      <c r="A2060" s="9"/>
      <c r="B2060" s="15"/>
      <c r="C2060" s="9">
        <f>IFERROR(__xludf.DUMMYFUNCTION("""COMPUTED_VALUE"""),45122.9951440162)</f>
        <v>45122.99514</v>
      </c>
      <c r="D2060" s="15">
        <f>IFERROR(__xludf.DUMMYFUNCTION("""COMPUTED_VALUE"""),0.999)</f>
        <v>0.999</v>
      </c>
      <c r="E2060" s="16">
        <f>IFERROR(__xludf.DUMMYFUNCTION("""COMPUTED_VALUE"""),70.0)</f>
        <v>70</v>
      </c>
      <c r="F2060" s="19" t="str">
        <f>IFERROR(__xludf.DUMMYFUNCTION("""COMPUTED_VALUE"""),"BLUE")</f>
        <v>BLUE</v>
      </c>
      <c r="G2060" s="20" t="str">
        <f>IFERROR(__xludf.DUMMYFUNCTION("""COMPUTED_VALUE"""),"Uncle Sams Cider (04/04/2023)")</f>
        <v>Uncle Sams Cider (04/04/2023)</v>
      </c>
      <c r="H2060" s="19"/>
    </row>
    <row r="2061">
      <c r="A2061" s="9"/>
      <c r="B2061" s="15"/>
      <c r="C2061" s="9">
        <f>IFERROR(__xludf.DUMMYFUNCTION("""COMPUTED_VALUE"""),45122.984722743)</f>
        <v>45122.98472</v>
      </c>
      <c r="D2061" s="15">
        <f>IFERROR(__xludf.DUMMYFUNCTION("""COMPUTED_VALUE"""),0.999)</f>
        <v>0.999</v>
      </c>
      <c r="E2061" s="16">
        <f>IFERROR(__xludf.DUMMYFUNCTION("""COMPUTED_VALUE"""),70.0)</f>
        <v>70</v>
      </c>
      <c r="F2061" s="19" t="str">
        <f>IFERROR(__xludf.DUMMYFUNCTION("""COMPUTED_VALUE"""),"BLUE")</f>
        <v>BLUE</v>
      </c>
      <c r="G2061" s="20" t="str">
        <f>IFERROR(__xludf.DUMMYFUNCTION("""COMPUTED_VALUE"""),"Uncle Sams Cider (04/04/2023)")</f>
        <v>Uncle Sams Cider (04/04/2023)</v>
      </c>
      <c r="H2061" s="19"/>
    </row>
    <row r="2062">
      <c r="A2062" s="9"/>
      <c r="B2062" s="15"/>
      <c r="C2062" s="9">
        <f>IFERROR(__xludf.DUMMYFUNCTION("""COMPUTED_VALUE"""),45122.9743030787)</f>
        <v>45122.9743</v>
      </c>
      <c r="D2062" s="15">
        <f>IFERROR(__xludf.DUMMYFUNCTION("""COMPUTED_VALUE"""),0.999)</f>
        <v>0.999</v>
      </c>
      <c r="E2062" s="16">
        <f>IFERROR(__xludf.DUMMYFUNCTION("""COMPUTED_VALUE"""),70.0)</f>
        <v>70</v>
      </c>
      <c r="F2062" s="19" t="str">
        <f>IFERROR(__xludf.DUMMYFUNCTION("""COMPUTED_VALUE"""),"BLUE")</f>
        <v>BLUE</v>
      </c>
      <c r="G2062" s="20" t="str">
        <f>IFERROR(__xludf.DUMMYFUNCTION("""COMPUTED_VALUE"""),"Uncle Sams Cider (04/04/2023)")</f>
        <v>Uncle Sams Cider (04/04/2023)</v>
      </c>
      <c r="H2062" s="19"/>
    </row>
    <row r="2063">
      <c r="A2063" s="9"/>
      <c r="B2063" s="15"/>
      <c r="C2063" s="9">
        <f>IFERROR(__xludf.DUMMYFUNCTION("""COMPUTED_VALUE"""),45122.9638711458)</f>
        <v>45122.96387</v>
      </c>
      <c r="D2063" s="15">
        <f>IFERROR(__xludf.DUMMYFUNCTION("""COMPUTED_VALUE"""),0.999)</f>
        <v>0.999</v>
      </c>
      <c r="E2063" s="16">
        <f>IFERROR(__xludf.DUMMYFUNCTION("""COMPUTED_VALUE"""),70.0)</f>
        <v>70</v>
      </c>
      <c r="F2063" s="19" t="str">
        <f>IFERROR(__xludf.DUMMYFUNCTION("""COMPUTED_VALUE"""),"BLUE")</f>
        <v>BLUE</v>
      </c>
      <c r="G2063" s="20" t="str">
        <f>IFERROR(__xludf.DUMMYFUNCTION("""COMPUTED_VALUE"""),"Uncle Sams Cider (04/04/2023)")</f>
        <v>Uncle Sams Cider (04/04/2023)</v>
      </c>
      <c r="H2063" s="19"/>
    </row>
    <row r="2064">
      <c r="A2064" s="9"/>
      <c r="B2064" s="15"/>
      <c r="C2064" s="9">
        <f>IFERROR(__xludf.DUMMYFUNCTION("""COMPUTED_VALUE"""),45122.953450868)</f>
        <v>45122.95345</v>
      </c>
      <c r="D2064" s="15">
        <f>IFERROR(__xludf.DUMMYFUNCTION("""COMPUTED_VALUE"""),0.999)</f>
        <v>0.999</v>
      </c>
      <c r="E2064" s="16">
        <f>IFERROR(__xludf.DUMMYFUNCTION("""COMPUTED_VALUE"""),70.0)</f>
        <v>70</v>
      </c>
      <c r="F2064" s="19" t="str">
        <f>IFERROR(__xludf.DUMMYFUNCTION("""COMPUTED_VALUE"""),"BLUE")</f>
        <v>BLUE</v>
      </c>
      <c r="G2064" s="20" t="str">
        <f>IFERROR(__xludf.DUMMYFUNCTION("""COMPUTED_VALUE"""),"Uncle Sams Cider (04/04/2023)")</f>
        <v>Uncle Sams Cider (04/04/2023)</v>
      </c>
      <c r="H2064" s="19"/>
    </row>
    <row r="2065">
      <c r="A2065" s="9"/>
      <c r="B2065" s="15"/>
      <c r="C2065" s="9">
        <f>IFERROR(__xludf.DUMMYFUNCTION("""COMPUTED_VALUE"""),45122.9430308333)</f>
        <v>45122.94303</v>
      </c>
      <c r="D2065" s="15">
        <f>IFERROR(__xludf.DUMMYFUNCTION("""COMPUTED_VALUE"""),0.999)</f>
        <v>0.999</v>
      </c>
      <c r="E2065" s="16">
        <f>IFERROR(__xludf.DUMMYFUNCTION("""COMPUTED_VALUE"""),70.0)</f>
        <v>70</v>
      </c>
      <c r="F2065" s="19" t="str">
        <f>IFERROR(__xludf.DUMMYFUNCTION("""COMPUTED_VALUE"""),"BLUE")</f>
        <v>BLUE</v>
      </c>
      <c r="G2065" s="20" t="str">
        <f>IFERROR(__xludf.DUMMYFUNCTION("""COMPUTED_VALUE"""),"Uncle Sams Cider (04/04/2023)")</f>
        <v>Uncle Sams Cider (04/04/2023)</v>
      </c>
      <c r="H2065" s="19"/>
    </row>
    <row r="2066">
      <c r="A2066" s="9"/>
      <c r="B2066" s="15"/>
      <c r="C2066" s="9">
        <f>IFERROR(__xludf.DUMMYFUNCTION("""COMPUTED_VALUE"""),45122.9326102546)</f>
        <v>45122.93261</v>
      </c>
      <c r="D2066" s="15">
        <f>IFERROR(__xludf.DUMMYFUNCTION("""COMPUTED_VALUE"""),0.999)</f>
        <v>0.999</v>
      </c>
      <c r="E2066" s="16">
        <f>IFERROR(__xludf.DUMMYFUNCTION("""COMPUTED_VALUE"""),70.0)</f>
        <v>70</v>
      </c>
      <c r="F2066" s="19" t="str">
        <f>IFERROR(__xludf.DUMMYFUNCTION("""COMPUTED_VALUE"""),"BLUE")</f>
        <v>BLUE</v>
      </c>
      <c r="G2066" s="20" t="str">
        <f>IFERROR(__xludf.DUMMYFUNCTION("""COMPUTED_VALUE"""),"Uncle Sams Cider (04/04/2023)")</f>
        <v>Uncle Sams Cider (04/04/2023)</v>
      </c>
      <c r="H2066" s="19"/>
    </row>
    <row r="2067">
      <c r="A2067" s="9"/>
      <c r="B2067" s="15"/>
      <c r="C2067" s="9">
        <f>IFERROR(__xludf.DUMMYFUNCTION("""COMPUTED_VALUE"""),45122.9221778819)</f>
        <v>45122.92218</v>
      </c>
      <c r="D2067" s="15">
        <f>IFERROR(__xludf.DUMMYFUNCTION("""COMPUTED_VALUE"""),0.999)</f>
        <v>0.999</v>
      </c>
      <c r="E2067" s="16">
        <f>IFERROR(__xludf.DUMMYFUNCTION("""COMPUTED_VALUE"""),70.0)</f>
        <v>70</v>
      </c>
      <c r="F2067" s="19" t="str">
        <f>IFERROR(__xludf.DUMMYFUNCTION("""COMPUTED_VALUE"""),"BLUE")</f>
        <v>BLUE</v>
      </c>
      <c r="G2067" s="20" t="str">
        <f>IFERROR(__xludf.DUMMYFUNCTION("""COMPUTED_VALUE"""),"Uncle Sams Cider (04/04/2023)")</f>
        <v>Uncle Sams Cider (04/04/2023)</v>
      </c>
      <c r="H2067" s="19"/>
    </row>
    <row r="2068">
      <c r="A2068" s="9"/>
      <c r="B2068" s="15"/>
      <c r="C2068" s="9">
        <f>IFERROR(__xludf.DUMMYFUNCTION("""COMPUTED_VALUE"""),45122.9117455902)</f>
        <v>45122.91175</v>
      </c>
      <c r="D2068" s="15">
        <f>IFERROR(__xludf.DUMMYFUNCTION("""COMPUTED_VALUE"""),0.999)</f>
        <v>0.999</v>
      </c>
      <c r="E2068" s="16">
        <f>IFERROR(__xludf.DUMMYFUNCTION("""COMPUTED_VALUE"""),70.0)</f>
        <v>70</v>
      </c>
      <c r="F2068" s="19" t="str">
        <f>IFERROR(__xludf.DUMMYFUNCTION("""COMPUTED_VALUE"""),"BLUE")</f>
        <v>BLUE</v>
      </c>
      <c r="G2068" s="20" t="str">
        <f>IFERROR(__xludf.DUMMYFUNCTION("""COMPUTED_VALUE"""),"Uncle Sams Cider (04/04/2023)")</f>
        <v>Uncle Sams Cider (04/04/2023)</v>
      </c>
      <c r="H2068" s="19"/>
    </row>
    <row r="2069">
      <c r="A2069" s="9"/>
      <c r="B2069" s="15"/>
      <c r="C2069" s="9">
        <f>IFERROR(__xludf.DUMMYFUNCTION("""COMPUTED_VALUE"""),45122.9013250231)</f>
        <v>45122.90133</v>
      </c>
      <c r="D2069" s="15">
        <f>IFERROR(__xludf.DUMMYFUNCTION("""COMPUTED_VALUE"""),0.999)</f>
        <v>0.999</v>
      </c>
      <c r="E2069" s="16">
        <f>IFERROR(__xludf.DUMMYFUNCTION("""COMPUTED_VALUE"""),70.0)</f>
        <v>70</v>
      </c>
      <c r="F2069" s="19" t="str">
        <f>IFERROR(__xludf.DUMMYFUNCTION("""COMPUTED_VALUE"""),"BLUE")</f>
        <v>BLUE</v>
      </c>
      <c r="G2069" s="20" t="str">
        <f>IFERROR(__xludf.DUMMYFUNCTION("""COMPUTED_VALUE"""),"Uncle Sams Cider (04/04/2023)")</f>
        <v>Uncle Sams Cider (04/04/2023)</v>
      </c>
      <c r="H2069" s="19"/>
    </row>
    <row r="2070">
      <c r="A2070" s="9"/>
      <c r="B2070" s="15"/>
      <c r="C2070" s="9">
        <f>IFERROR(__xludf.DUMMYFUNCTION("""COMPUTED_VALUE"""),45122.8909027893)</f>
        <v>45122.8909</v>
      </c>
      <c r="D2070" s="15">
        <f>IFERROR(__xludf.DUMMYFUNCTION("""COMPUTED_VALUE"""),0.999)</f>
        <v>0.999</v>
      </c>
      <c r="E2070" s="16">
        <f>IFERROR(__xludf.DUMMYFUNCTION("""COMPUTED_VALUE"""),70.0)</f>
        <v>70</v>
      </c>
      <c r="F2070" s="19" t="str">
        <f>IFERROR(__xludf.DUMMYFUNCTION("""COMPUTED_VALUE"""),"BLUE")</f>
        <v>BLUE</v>
      </c>
      <c r="G2070" s="20" t="str">
        <f>IFERROR(__xludf.DUMMYFUNCTION("""COMPUTED_VALUE"""),"Uncle Sams Cider (04/04/2023)")</f>
        <v>Uncle Sams Cider (04/04/2023)</v>
      </c>
      <c r="H2070" s="19"/>
    </row>
    <row r="2071">
      <c r="A2071" s="9"/>
      <c r="B2071" s="15"/>
      <c r="C2071" s="9">
        <f>IFERROR(__xludf.DUMMYFUNCTION("""COMPUTED_VALUE"""),45122.8804807523)</f>
        <v>45122.88048</v>
      </c>
      <c r="D2071" s="15">
        <f>IFERROR(__xludf.DUMMYFUNCTION("""COMPUTED_VALUE"""),0.999)</f>
        <v>0.999</v>
      </c>
      <c r="E2071" s="16">
        <f>IFERROR(__xludf.DUMMYFUNCTION("""COMPUTED_VALUE"""),70.0)</f>
        <v>70</v>
      </c>
      <c r="F2071" s="19" t="str">
        <f>IFERROR(__xludf.DUMMYFUNCTION("""COMPUTED_VALUE"""),"BLUE")</f>
        <v>BLUE</v>
      </c>
      <c r="G2071" s="20" t="str">
        <f>IFERROR(__xludf.DUMMYFUNCTION("""COMPUTED_VALUE"""),"Uncle Sams Cider (04/04/2023)")</f>
        <v>Uncle Sams Cider (04/04/2023)</v>
      </c>
      <c r="H2071" s="19"/>
    </row>
    <row r="2072">
      <c r="A2072" s="9"/>
      <c r="B2072" s="15"/>
      <c r="C2072" s="9">
        <f>IFERROR(__xludf.DUMMYFUNCTION("""COMPUTED_VALUE"""),45122.870058206)</f>
        <v>45122.87006</v>
      </c>
      <c r="D2072" s="15">
        <f>IFERROR(__xludf.DUMMYFUNCTION("""COMPUTED_VALUE"""),0.999)</f>
        <v>0.999</v>
      </c>
      <c r="E2072" s="16">
        <f>IFERROR(__xludf.DUMMYFUNCTION("""COMPUTED_VALUE"""),70.0)</f>
        <v>70</v>
      </c>
      <c r="F2072" s="19" t="str">
        <f>IFERROR(__xludf.DUMMYFUNCTION("""COMPUTED_VALUE"""),"BLUE")</f>
        <v>BLUE</v>
      </c>
      <c r="G2072" s="20" t="str">
        <f>IFERROR(__xludf.DUMMYFUNCTION("""COMPUTED_VALUE"""),"Uncle Sams Cider (04/04/2023)")</f>
        <v>Uncle Sams Cider (04/04/2023)</v>
      </c>
      <c r="H2072" s="19"/>
    </row>
    <row r="2073">
      <c r="A2073" s="9"/>
      <c r="B2073" s="15"/>
      <c r="C2073" s="9">
        <f>IFERROR(__xludf.DUMMYFUNCTION("""COMPUTED_VALUE"""),45122.8596388657)</f>
        <v>45122.85964</v>
      </c>
      <c r="D2073" s="15">
        <f>IFERROR(__xludf.DUMMYFUNCTION("""COMPUTED_VALUE"""),0.999)</f>
        <v>0.999</v>
      </c>
      <c r="E2073" s="16">
        <f>IFERROR(__xludf.DUMMYFUNCTION("""COMPUTED_VALUE"""),70.0)</f>
        <v>70</v>
      </c>
      <c r="F2073" s="19" t="str">
        <f>IFERROR(__xludf.DUMMYFUNCTION("""COMPUTED_VALUE"""),"BLUE")</f>
        <v>BLUE</v>
      </c>
      <c r="G2073" s="20" t="str">
        <f>IFERROR(__xludf.DUMMYFUNCTION("""COMPUTED_VALUE"""),"Uncle Sams Cider (04/04/2023)")</f>
        <v>Uncle Sams Cider (04/04/2023)</v>
      </c>
      <c r="H2073" s="19"/>
    </row>
    <row r="2074">
      <c r="A2074" s="9"/>
      <c r="B2074" s="15"/>
      <c r="C2074" s="9">
        <f>IFERROR(__xludf.DUMMYFUNCTION("""COMPUTED_VALUE"""),45122.849218449)</f>
        <v>45122.84922</v>
      </c>
      <c r="D2074" s="15">
        <f>IFERROR(__xludf.DUMMYFUNCTION("""COMPUTED_VALUE"""),0.999)</f>
        <v>0.999</v>
      </c>
      <c r="E2074" s="16">
        <f>IFERROR(__xludf.DUMMYFUNCTION("""COMPUTED_VALUE"""),70.0)</f>
        <v>70</v>
      </c>
      <c r="F2074" s="19" t="str">
        <f>IFERROR(__xludf.DUMMYFUNCTION("""COMPUTED_VALUE"""),"BLUE")</f>
        <v>BLUE</v>
      </c>
      <c r="G2074" s="20" t="str">
        <f>IFERROR(__xludf.DUMMYFUNCTION("""COMPUTED_VALUE"""),"Uncle Sams Cider (04/04/2023)")</f>
        <v>Uncle Sams Cider (04/04/2023)</v>
      </c>
      <c r="H2074" s="19"/>
    </row>
    <row r="2075">
      <c r="A2075" s="9"/>
      <c r="B2075" s="15"/>
      <c r="C2075" s="9">
        <f>IFERROR(__xludf.DUMMYFUNCTION("""COMPUTED_VALUE"""),45122.838774155)</f>
        <v>45122.83877</v>
      </c>
      <c r="D2075" s="15">
        <f>IFERROR(__xludf.DUMMYFUNCTION("""COMPUTED_VALUE"""),0.999)</f>
        <v>0.999</v>
      </c>
      <c r="E2075" s="16">
        <f>IFERROR(__xludf.DUMMYFUNCTION("""COMPUTED_VALUE"""),70.0)</f>
        <v>70</v>
      </c>
      <c r="F2075" s="19" t="str">
        <f>IFERROR(__xludf.DUMMYFUNCTION("""COMPUTED_VALUE"""),"BLUE")</f>
        <v>BLUE</v>
      </c>
      <c r="G2075" s="20" t="str">
        <f>IFERROR(__xludf.DUMMYFUNCTION("""COMPUTED_VALUE"""),"Uncle Sams Cider (04/04/2023)")</f>
        <v>Uncle Sams Cider (04/04/2023)</v>
      </c>
      <c r="H2075" s="19"/>
    </row>
    <row r="2076">
      <c r="A2076" s="9"/>
      <c r="B2076" s="15"/>
      <c r="C2076" s="9">
        <f>IFERROR(__xludf.DUMMYFUNCTION("""COMPUTED_VALUE"""),45122.8283542361)</f>
        <v>45122.82835</v>
      </c>
      <c r="D2076" s="15">
        <f>IFERROR(__xludf.DUMMYFUNCTION("""COMPUTED_VALUE"""),0.999)</f>
        <v>0.999</v>
      </c>
      <c r="E2076" s="16">
        <f>IFERROR(__xludf.DUMMYFUNCTION("""COMPUTED_VALUE"""),70.0)</f>
        <v>70</v>
      </c>
      <c r="F2076" s="19" t="str">
        <f>IFERROR(__xludf.DUMMYFUNCTION("""COMPUTED_VALUE"""),"BLUE")</f>
        <v>BLUE</v>
      </c>
      <c r="G2076" s="20" t="str">
        <f>IFERROR(__xludf.DUMMYFUNCTION("""COMPUTED_VALUE"""),"Uncle Sams Cider (04/04/2023)")</f>
        <v>Uncle Sams Cider (04/04/2023)</v>
      </c>
      <c r="H2076" s="19"/>
    </row>
    <row r="2077">
      <c r="A2077" s="9"/>
      <c r="B2077" s="15"/>
      <c r="C2077" s="9">
        <f>IFERROR(__xludf.DUMMYFUNCTION("""COMPUTED_VALUE"""),45122.8179226273)</f>
        <v>45122.81792</v>
      </c>
      <c r="D2077" s="15">
        <f>IFERROR(__xludf.DUMMYFUNCTION("""COMPUTED_VALUE"""),0.999)</f>
        <v>0.999</v>
      </c>
      <c r="E2077" s="16">
        <f>IFERROR(__xludf.DUMMYFUNCTION("""COMPUTED_VALUE"""),70.0)</f>
        <v>70</v>
      </c>
      <c r="F2077" s="19" t="str">
        <f>IFERROR(__xludf.DUMMYFUNCTION("""COMPUTED_VALUE"""),"BLUE")</f>
        <v>BLUE</v>
      </c>
      <c r="G2077" s="20" t="str">
        <f>IFERROR(__xludf.DUMMYFUNCTION("""COMPUTED_VALUE"""),"Uncle Sams Cider (04/04/2023)")</f>
        <v>Uncle Sams Cider (04/04/2023)</v>
      </c>
      <c r="H2077" s="19"/>
    </row>
    <row r="2078">
      <c r="A2078" s="9"/>
      <c r="B2078" s="15"/>
      <c r="C2078" s="9">
        <f>IFERROR(__xludf.DUMMYFUNCTION("""COMPUTED_VALUE"""),45122.8075018402)</f>
        <v>45122.8075</v>
      </c>
      <c r="D2078" s="15">
        <f>IFERROR(__xludf.DUMMYFUNCTION("""COMPUTED_VALUE"""),0.999)</f>
        <v>0.999</v>
      </c>
      <c r="E2078" s="16">
        <f>IFERROR(__xludf.DUMMYFUNCTION("""COMPUTED_VALUE"""),70.0)</f>
        <v>70</v>
      </c>
      <c r="F2078" s="19" t="str">
        <f>IFERROR(__xludf.DUMMYFUNCTION("""COMPUTED_VALUE"""),"BLUE")</f>
        <v>BLUE</v>
      </c>
      <c r="G2078" s="20" t="str">
        <f>IFERROR(__xludf.DUMMYFUNCTION("""COMPUTED_VALUE"""),"Uncle Sams Cider (04/04/2023)")</f>
        <v>Uncle Sams Cider (04/04/2023)</v>
      </c>
      <c r="H2078" s="19"/>
    </row>
    <row r="2079">
      <c r="A2079" s="9"/>
      <c r="B2079" s="15"/>
      <c r="C2079" s="9">
        <f>IFERROR(__xludf.DUMMYFUNCTION("""COMPUTED_VALUE"""),45122.797080243)</f>
        <v>45122.79708</v>
      </c>
      <c r="D2079" s="15">
        <f>IFERROR(__xludf.DUMMYFUNCTION("""COMPUTED_VALUE"""),0.999)</f>
        <v>0.999</v>
      </c>
      <c r="E2079" s="16">
        <f>IFERROR(__xludf.DUMMYFUNCTION("""COMPUTED_VALUE"""),70.0)</f>
        <v>70</v>
      </c>
      <c r="F2079" s="19" t="str">
        <f>IFERROR(__xludf.DUMMYFUNCTION("""COMPUTED_VALUE"""),"BLUE")</f>
        <v>BLUE</v>
      </c>
      <c r="G2079" s="20" t="str">
        <f>IFERROR(__xludf.DUMMYFUNCTION("""COMPUTED_VALUE"""),"Uncle Sams Cider (04/04/2023)")</f>
        <v>Uncle Sams Cider (04/04/2023)</v>
      </c>
      <c r="H2079" s="19"/>
    </row>
    <row r="2080">
      <c r="A2080" s="9"/>
      <c r="B2080" s="15"/>
      <c r="C2080" s="9">
        <f>IFERROR(__xludf.DUMMYFUNCTION("""COMPUTED_VALUE"""),45122.7866468865)</f>
        <v>45122.78665</v>
      </c>
      <c r="D2080" s="15">
        <f>IFERROR(__xludf.DUMMYFUNCTION("""COMPUTED_VALUE"""),0.999)</f>
        <v>0.999</v>
      </c>
      <c r="E2080" s="16">
        <f>IFERROR(__xludf.DUMMYFUNCTION("""COMPUTED_VALUE"""),70.0)</f>
        <v>70</v>
      </c>
      <c r="F2080" s="19" t="str">
        <f>IFERROR(__xludf.DUMMYFUNCTION("""COMPUTED_VALUE"""),"BLUE")</f>
        <v>BLUE</v>
      </c>
      <c r="G2080" s="20" t="str">
        <f>IFERROR(__xludf.DUMMYFUNCTION("""COMPUTED_VALUE"""),"Uncle Sams Cider (04/04/2023)")</f>
        <v>Uncle Sams Cider (04/04/2023)</v>
      </c>
      <c r="H2080" s="19"/>
    </row>
    <row r="2081">
      <c r="A2081" s="9"/>
      <c r="B2081" s="15"/>
      <c r="C2081" s="9">
        <f>IFERROR(__xludf.DUMMYFUNCTION("""COMPUTED_VALUE"""),45122.7762237152)</f>
        <v>45122.77622</v>
      </c>
      <c r="D2081" s="15">
        <f>IFERROR(__xludf.DUMMYFUNCTION("""COMPUTED_VALUE"""),0.999)</f>
        <v>0.999</v>
      </c>
      <c r="E2081" s="16">
        <f>IFERROR(__xludf.DUMMYFUNCTION("""COMPUTED_VALUE"""),70.0)</f>
        <v>70</v>
      </c>
      <c r="F2081" s="19" t="str">
        <f>IFERROR(__xludf.DUMMYFUNCTION("""COMPUTED_VALUE"""),"BLUE")</f>
        <v>BLUE</v>
      </c>
      <c r="G2081" s="20" t="str">
        <f>IFERROR(__xludf.DUMMYFUNCTION("""COMPUTED_VALUE"""),"Uncle Sams Cider (04/04/2023)")</f>
        <v>Uncle Sams Cider (04/04/2023)</v>
      </c>
      <c r="H2081" s="19"/>
    </row>
    <row r="2082">
      <c r="A2082" s="9"/>
      <c r="B2082" s="15"/>
      <c r="C2082" s="9">
        <f>IFERROR(__xludf.DUMMYFUNCTION("""COMPUTED_VALUE"""),45122.7657899652)</f>
        <v>45122.76579</v>
      </c>
      <c r="D2082" s="15">
        <f>IFERROR(__xludf.DUMMYFUNCTION("""COMPUTED_VALUE"""),0.999)</f>
        <v>0.999</v>
      </c>
      <c r="E2082" s="16">
        <f>IFERROR(__xludf.DUMMYFUNCTION("""COMPUTED_VALUE"""),70.0)</f>
        <v>70</v>
      </c>
      <c r="F2082" s="19" t="str">
        <f>IFERROR(__xludf.DUMMYFUNCTION("""COMPUTED_VALUE"""),"BLUE")</f>
        <v>BLUE</v>
      </c>
      <c r="G2082" s="20" t="str">
        <f>IFERROR(__xludf.DUMMYFUNCTION("""COMPUTED_VALUE"""),"Uncle Sams Cider (04/04/2023)")</f>
        <v>Uncle Sams Cider (04/04/2023)</v>
      </c>
      <c r="H2082" s="19"/>
    </row>
    <row r="2083">
      <c r="A2083" s="9"/>
      <c r="B2083" s="15"/>
      <c r="C2083" s="9">
        <f>IFERROR(__xludf.DUMMYFUNCTION("""COMPUTED_VALUE"""),45122.7553683912)</f>
        <v>45122.75537</v>
      </c>
      <c r="D2083" s="15">
        <f>IFERROR(__xludf.DUMMYFUNCTION("""COMPUTED_VALUE"""),0.999)</f>
        <v>0.999</v>
      </c>
      <c r="E2083" s="16">
        <f>IFERROR(__xludf.DUMMYFUNCTION("""COMPUTED_VALUE"""),70.0)</f>
        <v>70</v>
      </c>
      <c r="F2083" s="19" t="str">
        <f>IFERROR(__xludf.DUMMYFUNCTION("""COMPUTED_VALUE"""),"BLUE")</f>
        <v>BLUE</v>
      </c>
      <c r="G2083" s="20" t="str">
        <f>IFERROR(__xludf.DUMMYFUNCTION("""COMPUTED_VALUE"""),"Uncle Sams Cider (04/04/2023)")</f>
        <v>Uncle Sams Cider (04/04/2023)</v>
      </c>
      <c r="H2083" s="19"/>
    </row>
    <row r="2084">
      <c r="A2084" s="9"/>
      <c r="B2084" s="15"/>
      <c r="C2084" s="9">
        <f>IFERROR(__xludf.DUMMYFUNCTION("""COMPUTED_VALUE"""),45122.7449370254)</f>
        <v>45122.74494</v>
      </c>
      <c r="D2084" s="15">
        <f>IFERROR(__xludf.DUMMYFUNCTION("""COMPUTED_VALUE"""),0.999)</f>
        <v>0.999</v>
      </c>
      <c r="E2084" s="16">
        <f>IFERROR(__xludf.DUMMYFUNCTION("""COMPUTED_VALUE"""),70.0)</f>
        <v>70</v>
      </c>
      <c r="F2084" s="19" t="str">
        <f>IFERROR(__xludf.DUMMYFUNCTION("""COMPUTED_VALUE"""),"BLUE")</f>
        <v>BLUE</v>
      </c>
      <c r="G2084" s="20" t="str">
        <f>IFERROR(__xludf.DUMMYFUNCTION("""COMPUTED_VALUE"""),"Uncle Sams Cider (04/04/2023)")</f>
        <v>Uncle Sams Cider (04/04/2023)</v>
      </c>
      <c r="H2084" s="19"/>
    </row>
    <row r="2085">
      <c r="A2085" s="9"/>
      <c r="B2085" s="15"/>
      <c r="C2085" s="9">
        <f>IFERROR(__xludf.DUMMYFUNCTION("""COMPUTED_VALUE"""),45122.7345166898)</f>
        <v>45122.73452</v>
      </c>
      <c r="D2085" s="15">
        <f>IFERROR(__xludf.DUMMYFUNCTION("""COMPUTED_VALUE"""),0.999)</f>
        <v>0.999</v>
      </c>
      <c r="E2085" s="16">
        <f>IFERROR(__xludf.DUMMYFUNCTION("""COMPUTED_VALUE"""),70.0)</f>
        <v>70</v>
      </c>
      <c r="F2085" s="19" t="str">
        <f>IFERROR(__xludf.DUMMYFUNCTION("""COMPUTED_VALUE"""),"BLUE")</f>
        <v>BLUE</v>
      </c>
      <c r="G2085" s="20" t="str">
        <f>IFERROR(__xludf.DUMMYFUNCTION("""COMPUTED_VALUE"""),"Uncle Sams Cider (04/04/2023)")</f>
        <v>Uncle Sams Cider (04/04/2023)</v>
      </c>
      <c r="H2085" s="19"/>
    </row>
    <row r="2086">
      <c r="A2086" s="9"/>
      <c r="B2086" s="15"/>
      <c r="C2086" s="9">
        <f>IFERROR(__xludf.DUMMYFUNCTION("""COMPUTED_VALUE"""),45122.7240955439)</f>
        <v>45122.7241</v>
      </c>
      <c r="D2086" s="15">
        <f>IFERROR(__xludf.DUMMYFUNCTION("""COMPUTED_VALUE"""),0.999)</f>
        <v>0.999</v>
      </c>
      <c r="E2086" s="16">
        <f>IFERROR(__xludf.DUMMYFUNCTION("""COMPUTED_VALUE"""),70.0)</f>
        <v>70</v>
      </c>
      <c r="F2086" s="19" t="str">
        <f>IFERROR(__xludf.DUMMYFUNCTION("""COMPUTED_VALUE"""),"BLUE")</f>
        <v>BLUE</v>
      </c>
      <c r="G2086" s="20" t="str">
        <f>IFERROR(__xludf.DUMMYFUNCTION("""COMPUTED_VALUE"""),"Uncle Sams Cider (04/04/2023)")</f>
        <v>Uncle Sams Cider (04/04/2023)</v>
      </c>
      <c r="H2086" s="19"/>
    </row>
    <row r="2087">
      <c r="A2087" s="9"/>
      <c r="B2087" s="15"/>
      <c r="C2087" s="9">
        <f>IFERROR(__xludf.DUMMYFUNCTION("""COMPUTED_VALUE"""),45122.7136736111)</f>
        <v>45122.71367</v>
      </c>
      <c r="D2087" s="15">
        <f>IFERROR(__xludf.DUMMYFUNCTION("""COMPUTED_VALUE"""),0.999)</f>
        <v>0.999</v>
      </c>
      <c r="E2087" s="16">
        <f>IFERROR(__xludf.DUMMYFUNCTION("""COMPUTED_VALUE"""),70.0)</f>
        <v>70</v>
      </c>
      <c r="F2087" s="19" t="str">
        <f>IFERROR(__xludf.DUMMYFUNCTION("""COMPUTED_VALUE"""),"BLUE")</f>
        <v>BLUE</v>
      </c>
      <c r="G2087" s="20" t="str">
        <f>IFERROR(__xludf.DUMMYFUNCTION("""COMPUTED_VALUE"""),"Uncle Sams Cider (04/04/2023)")</f>
        <v>Uncle Sams Cider (04/04/2023)</v>
      </c>
      <c r="H2087" s="19"/>
    </row>
    <row r="2088">
      <c r="A2088" s="9"/>
      <c r="B2088" s="15"/>
      <c r="C2088" s="9">
        <f>IFERROR(__xludf.DUMMYFUNCTION("""COMPUTED_VALUE"""),45122.7032529861)</f>
        <v>45122.70325</v>
      </c>
      <c r="D2088" s="15">
        <f>IFERROR(__xludf.DUMMYFUNCTION("""COMPUTED_VALUE"""),0.999)</f>
        <v>0.999</v>
      </c>
      <c r="E2088" s="16">
        <f>IFERROR(__xludf.DUMMYFUNCTION("""COMPUTED_VALUE"""),70.0)</f>
        <v>70</v>
      </c>
      <c r="F2088" s="19" t="str">
        <f>IFERROR(__xludf.DUMMYFUNCTION("""COMPUTED_VALUE"""),"BLUE")</f>
        <v>BLUE</v>
      </c>
      <c r="G2088" s="20" t="str">
        <f>IFERROR(__xludf.DUMMYFUNCTION("""COMPUTED_VALUE"""),"Uncle Sams Cider (04/04/2023)")</f>
        <v>Uncle Sams Cider (04/04/2023)</v>
      </c>
      <c r="H2088" s="19"/>
    </row>
    <row r="2089">
      <c r="A2089" s="9"/>
      <c r="B2089" s="15"/>
      <c r="C2089" s="9">
        <f>IFERROR(__xludf.DUMMYFUNCTION("""COMPUTED_VALUE"""),45122.6928312847)</f>
        <v>45122.69283</v>
      </c>
      <c r="D2089" s="15">
        <f>IFERROR(__xludf.DUMMYFUNCTION("""COMPUTED_VALUE"""),0.999)</f>
        <v>0.999</v>
      </c>
      <c r="E2089" s="16">
        <f>IFERROR(__xludf.DUMMYFUNCTION("""COMPUTED_VALUE"""),70.0)</f>
        <v>70</v>
      </c>
      <c r="F2089" s="19" t="str">
        <f>IFERROR(__xludf.DUMMYFUNCTION("""COMPUTED_VALUE"""),"BLUE")</f>
        <v>BLUE</v>
      </c>
      <c r="G2089" s="20" t="str">
        <f>IFERROR(__xludf.DUMMYFUNCTION("""COMPUTED_VALUE"""),"Uncle Sams Cider (04/04/2023)")</f>
        <v>Uncle Sams Cider (04/04/2023)</v>
      </c>
      <c r="H2089" s="19"/>
    </row>
    <row r="2090">
      <c r="A2090" s="9"/>
      <c r="B2090" s="15"/>
      <c r="C2090" s="9">
        <f>IFERROR(__xludf.DUMMYFUNCTION("""COMPUTED_VALUE"""),45122.6824079861)</f>
        <v>45122.68241</v>
      </c>
      <c r="D2090" s="15">
        <f>IFERROR(__xludf.DUMMYFUNCTION("""COMPUTED_VALUE"""),0.999)</f>
        <v>0.999</v>
      </c>
      <c r="E2090" s="16">
        <f>IFERROR(__xludf.DUMMYFUNCTION("""COMPUTED_VALUE"""),70.0)</f>
        <v>70</v>
      </c>
      <c r="F2090" s="19" t="str">
        <f>IFERROR(__xludf.DUMMYFUNCTION("""COMPUTED_VALUE"""),"BLUE")</f>
        <v>BLUE</v>
      </c>
      <c r="G2090" s="20" t="str">
        <f>IFERROR(__xludf.DUMMYFUNCTION("""COMPUTED_VALUE"""),"Uncle Sams Cider (04/04/2023)")</f>
        <v>Uncle Sams Cider (04/04/2023)</v>
      </c>
      <c r="H2090" s="19"/>
    </row>
    <row r="2091">
      <c r="A2091" s="9"/>
      <c r="B2091" s="15"/>
      <c r="C2091" s="9">
        <f>IFERROR(__xludf.DUMMYFUNCTION("""COMPUTED_VALUE"""),45122.6719869791)</f>
        <v>45122.67199</v>
      </c>
      <c r="D2091" s="15">
        <f>IFERROR(__xludf.DUMMYFUNCTION("""COMPUTED_VALUE"""),0.999)</f>
        <v>0.999</v>
      </c>
      <c r="E2091" s="16">
        <f>IFERROR(__xludf.DUMMYFUNCTION("""COMPUTED_VALUE"""),70.0)</f>
        <v>70</v>
      </c>
      <c r="F2091" s="19" t="str">
        <f>IFERROR(__xludf.DUMMYFUNCTION("""COMPUTED_VALUE"""),"BLUE")</f>
        <v>BLUE</v>
      </c>
      <c r="G2091" s="20" t="str">
        <f>IFERROR(__xludf.DUMMYFUNCTION("""COMPUTED_VALUE"""),"Uncle Sams Cider (04/04/2023)")</f>
        <v>Uncle Sams Cider (04/04/2023)</v>
      </c>
      <c r="H2091" s="19"/>
    </row>
    <row r="2092">
      <c r="A2092" s="9"/>
      <c r="B2092" s="15"/>
      <c r="C2092" s="9">
        <f>IFERROR(__xludf.DUMMYFUNCTION("""COMPUTED_VALUE"""),45122.661566574)</f>
        <v>45122.66157</v>
      </c>
      <c r="D2092" s="15">
        <f>IFERROR(__xludf.DUMMYFUNCTION("""COMPUTED_VALUE"""),0.999)</f>
        <v>0.999</v>
      </c>
      <c r="E2092" s="16">
        <f>IFERROR(__xludf.DUMMYFUNCTION("""COMPUTED_VALUE"""),71.0)</f>
        <v>71</v>
      </c>
      <c r="F2092" s="19" t="str">
        <f>IFERROR(__xludf.DUMMYFUNCTION("""COMPUTED_VALUE"""),"BLUE")</f>
        <v>BLUE</v>
      </c>
      <c r="G2092" s="20" t="str">
        <f>IFERROR(__xludf.DUMMYFUNCTION("""COMPUTED_VALUE"""),"Uncle Sams Cider (04/04/2023)")</f>
        <v>Uncle Sams Cider (04/04/2023)</v>
      </c>
      <c r="H2092" s="19"/>
    </row>
    <row r="2093">
      <c r="A2093" s="9"/>
      <c r="B2093" s="15"/>
      <c r="C2093" s="9">
        <f>IFERROR(__xludf.DUMMYFUNCTION("""COMPUTED_VALUE"""),45122.65114375)</f>
        <v>45122.65114</v>
      </c>
      <c r="D2093" s="15">
        <f>IFERROR(__xludf.DUMMYFUNCTION("""COMPUTED_VALUE"""),0.999)</f>
        <v>0.999</v>
      </c>
      <c r="E2093" s="16">
        <f>IFERROR(__xludf.DUMMYFUNCTION("""COMPUTED_VALUE"""),71.0)</f>
        <v>71</v>
      </c>
      <c r="F2093" s="19" t="str">
        <f>IFERROR(__xludf.DUMMYFUNCTION("""COMPUTED_VALUE"""),"BLUE")</f>
        <v>BLUE</v>
      </c>
      <c r="G2093" s="20" t="str">
        <f>IFERROR(__xludf.DUMMYFUNCTION("""COMPUTED_VALUE"""),"Uncle Sams Cider (04/04/2023)")</f>
        <v>Uncle Sams Cider (04/04/2023)</v>
      </c>
      <c r="H2093" s="19"/>
    </row>
    <row r="2094">
      <c r="A2094" s="9"/>
      <c r="B2094" s="15"/>
      <c r="C2094" s="9">
        <f>IFERROR(__xludf.DUMMYFUNCTION("""COMPUTED_VALUE"""),45122.6407109838)</f>
        <v>45122.64071</v>
      </c>
      <c r="D2094" s="15">
        <f>IFERROR(__xludf.DUMMYFUNCTION("""COMPUTED_VALUE"""),0.999)</f>
        <v>0.999</v>
      </c>
      <c r="E2094" s="16">
        <f>IFERROR(__xludf.DUMMYFUNCTION("""COMPUTED_VALUE"""),71.0)</f>
        <v>71</v>
      </c>
      <c r="F2094" s="19" t="str">
        <f>IFERROR(__xludf.DUMMYFUNCTION("""COMPUTED_VALUE"""),"BLUE")</f>
        <v>BLUE</v>
      </c>
      <c r="G2094" s="20" t="str">
        <f>IFERROR(__xludf.DUMMYFUNCTION("""COMPUTED_VALUE"""),"Uncle Sams Cider (04/04/2023)")</f>
        <v>Uncle Sams Cider (04/04/2023)</v>
      </c>
      <c r="H2094" s="19"/>
    </row>
    <row r="2095">
      <c r="A2095" s="9"/>
      <c r="B2095" s="15"/>
      <c r="C2095" s="9">
        <f>IFERROR(__xludf.DUMMYFUNCTION("""COMPUTED_VALUE"""),45122.6302903472)</f>
        <v>45122.63029</v>
      </c>
      <c r="D2095" s="15">
        <f>IFERROR(__xludf.DUMMYFUNCTION("""COMPUTED_VALUE"""),0.999)</f>
        <v>0.999</v>
      </c>
      <c r="E2095" s="16">
        <f>IFERROR(__xludf.DUMMYFUNCTION("""COMPUTED_VALUE"""),71.0)</f>
        <v>71</v>
      </c>
      <c r="F2095" s="19" t="str">
        <f>IFERROR(__xludf.DUMMYFUNCTION("""COMPUTED_VALUE"""),"BLUE")</f>
        <v>BLUE</v>
      </c>
      <c r="G2095" s="20" t="str">
        <f>IFERROR(__xludf.DUMMYFUNCTION("""COMPUTED_VALUE"""),"Uncle Sams Cider (04/04/2023)")</f>
        <v>Uncle Sams Cider (04/04/2023)</v>
      </c>
      <c r="H2095" s="19"/>
    </row>
    <row r="2096">
      <c r="A2096" s="9"/>
      <c r="B2096" s="15"/>
      <c r="C2096" s="9">
        <f>IFERROR(__xludf.DUMMYFUNCTION("""COMPUTED_VALUE"""),45122.6198697569)</f>
        <v>45122.61987</v>
      </c>
      <c r="D2096" s="15">
        <f>IFERROR(__xludf.DUMMYFUNCTION("""COMPUTED_VALUE"""),0.999)</f>
        <v>0.999</v>
      </c>
      <c r="E2096" s="16">
        <f>IFERROR(__xludf.DUMMYFUNCTION("""COMPUTED_VALUE"""),71.0)</f>
        <v>71</v>
      </c>
      <c r="F2096" s="19" t="str">
        <f>IFERROR(__xludf.DUMMYFUNCTION("""COMPUTED_VALUE"""),"BLUE")</f>
        <v>BLUE</v>
      </c>
      <c r="G2096" s="20" t="str">
        <f>IFERROR(__xludf.DUMMYFUNCTION("""COMPUTED_VALUE"""),"Uncle Sams Cider (04/04/2023)")</f>
        <v>Uncle Sams Cider (04/04/2023)</v>
      </c>
      <c r="H2096" s="19"/>
    </row>
    <row r="2097">
      <c r="A2097" s="9"/>
      <c r="B2097" s="15"/>
      <c r="C2097" s="9">
        <f>IFERROR(__xludf.DUMMYFUNCTION("""COMPUTED_VALUE"""),45122.6094472801)</f>
        <v>45122.60945</v>
      </c>
      <c r="D2097" s="15">
        <f>IFERROR(__xludf.DUMMYFUNCTION("""COMPUTED_VALUE"""),0.999)</f>
        <v>0.999</v>
      </c>
      <c r="E2097" s="16">
        <f>IFERROR(__xludf.DUMMYFUNCTION("""COMPUTED_VALUE"""),71.0)</f>
        <v>71</v>
      </c>
      <c r="F2097" s="19" t="str">
        <f>IFERROR(__xludf.DUMMYFUNCTION("""COMPUTED_VALUE"""),"BLUE")</f>
        <v>BLUE</v>
      </c>
      <c r="G2097" s="20" t="str">
        <f>IFERROR(__xludf.DUMMYFUNCTION("""COMPUTED_VALUE"""),"Uncle Sams Cider (04/04/2023)")</f>
        <v>Uncle Sams Cider (04/04/2023)</v>
      </c>
      <c r="H2097" s="19"/>
    </row>
    <row r="2098">
      <c r="A2098" s="9"/>
      <c r="B2098" s="15"/>
      <c r="C2098" s="9">
        <f>IFERROR(__xludf.DUMMYFUNCTION("""COMPUTED_VALUE"""),45122.5990276967)</f>
        <v>45122.59903</v>
      </c>
      <c r="D2098" s="15">
        <f>IFERROR(__xludf.DUMMYFUNCTION("""COMPUTED_VALUE"""),0.999)</f>
        <v>0.999</v>
      </c>
      <c r="E2098" s="16">
        <f>IFERROR(__xludf.DUMMYFUNCTION("""COMPUTED_VALUE"""),71.0)</f>
        <v>71</v>
      </c>
      <c r="F2098" s="19" t="str">
        <f>IFERROR(__xludf.DUMMYFUNCTION("""COMPUTED_VALUE"""),"BLUE")</f>
        <v>BLUE</v>
      </c>
      <c r="G2098" s="20" t="str">
        <f>IFERROR(__xludf.DUMMYFUNCTION("""COMPUTED_VALUE"""),"Uncle Sams Cider (04/04/2023)")</f>
        <v>Uncle Sams Cider (04/04/2023)</v>
      </c>
      <c r="H2098" s="19"/>
    </row>
    <row r="2099">
      <c r="A2099" s="9"/>
      <c r="B2099" s="15"/>
      <c r="C2099" s="9">
        <f>IFERROR(__xludf.DUMMYFUNCTION("""COMPUTED_VALUE"""),45122.5886061111)</f>
        <v>45122.58861</v>
      </c>
      <c r="D2099" s="15">
        <f>IFERROR(__xludf.DUMMYFUNCTION("""COMPUTED_VALUE"""),0.999)</f>
        <v>0.999</v>
      </c>
      <c r="E2099" s="16">
        <f>IFERROR(__xludf.DUMMYFUNCTION("""COMPUTED_VALUE"""),71.0)</f>
        <v>71</v>
      </c>
      <c r="F2099" s="19" t="str">
        <f>IFERROR(__xludf.DUMMYFUNCTION("""COMPUTED_VALUE"""),"BLUE")</f>
        <v>BLUE</v>
      </c>
      <c r="G2099" s="20" t="str">
        <f>IFERROR(__xludf.DUMMYFUNCTION("""COMPUTED_VALUE"""),"Uncle Sams Cider (04/04/2023)")</f>
        <v>Uncle Sams Cider (04/04/2023)</v>
      </c>
      <c r="H2099" s="19"/>
    </row>
    <row r="2100">
      <c r="A2100" s="9"/>
      <c r="B2100" s="15"/>
      <c r="C2100" s="9">
        <f>IFERROR(__xludf.DUMMYFUNCTION("""COMPUTED_VALUE"""),45122.5781872338)</f>
        <v>45122.57819</v>
      </c>
      <c r="D2100" s="15">
        <f>IFERROR(__xludf.DUMMYFUNCTION("""COMPUTED_VALUE"""),0.999)</f>
        <v>0.999</v>
      </c>
      <c r="E2100" s="16">
        <f>IFERROR(__xludf.DUMMYFUNCTION("""COMPUTED_VALUE"""),71.0)</f>
        <v>71</v>
      </c>
      <c r="F2100" s="19" t="str">
        <f>IFERROR(__xludf.DUMMYFUNCTION("""COMPUTED_VALUE"""),"BLUE")</f>
        <v>BLUE</v>
      </c>
      <c r="G2100" s="20" t="str">
        <f>IFERROR(__xludf.DUMMYFUNCTION("""COMPUTED_VALUE"""),"Uncle Sams Cider (04/04/2023)")</f>
        <v>Uncle Sams Cider (04/04/2023)</v>
      </c>
      <c r="H2100" s="19"/>
    </row>
    <row r="2101">
      <c r="A2101" s="9"/>
      <c r="B2101" s="15"/>
      <c r="C2101" s="9">
        <f>IFERROR(__xludf.DUMMYFUNCTION("""COMPUTED_VALUE"""),45122.5677650231)</f>
        <v>45122.56777</v>
      </c>
      <c r="D2101" s="15">
        <f>IFERROR(__xludf.DUMMYFUNCTION("""COMPUTED_VALUE"""),0.999)</f>
        <v>0.999</v>
      </c>
      <c r="E2101" s="16">
        <f>IFERROR(__xludf.DUMMYFUNCTION("""COMPUTED_VALUE"""),71.0)</f>
        <v>71</v>
      </c>
      <c r="F2101" s="19" t="str">
        <f>IFERROR(__xludf.DUMMYFUNCTION("""COMPUTED_VALUE"""),"BLUE")</f>
        <v>BLUE</v>
      </c>
      <c r="G2101" s="20" t="str">
        <f>IFERROR(__xludf.DUMMYFUNCTION("""COMPUTED_VALUE"""),"Uncle Sams Cider (04/04/2023)")</f>
        <v>Uncle Sams Cider (04/04/2023)</v>
      </c>
      <c r="H2101" s="19"/>
    </row>
    <row r="2102">
      <c r="A2102" s="9"/>
      <c r="B2102" s="15"/>
      <c r="C2102" s="9">
        <f>IFERROR(__xludf.DUMMYFUNCTION("""COMPUTED_VALUE"""),45122.5573460763)</f>
        <v>45122.55735</v>
      </c>
      <c r="D2102" s="15">
        <f>IFERROR(__xludf.DUMMYFUNCTION("""COMPUTED_VALUE"""),0.999)</f>
        <v>0.999</v>
      </c>
      <c r="E2102" s="16">
        <f>IFERROR(__xludf.DUMMYFUNCTION("""COMPUTED_VALUE"""),71.0)</f>
        <v>71</v>
      </c>
      <c r="F2102" s="19" t="str">
        <f>IFERROR(__xludf.DUMMYFUNCTION("""COMPUTED_VALUE"""),"BLUE")</f>
        <v>BLUE</v>
      </c>
      <c r="G2102" s="20" t="str">
        <f>IFERROR(__xludf.DUMMYFUNCTION("""COMPUTED_VALUE"""),"Uncle Sams Cider (04/04/2023)")</f>
        <v>Uncle Sams Cider (04/04/2023)</v>
      </c>
      <c r="H2102" s="19"/>
    </row>
    <row r="2103">
      <c r="A2103" s="9"/>
      <c r="B2103" s="15"/>
      <c r="C2103" s="9">
        <f>IFERROR(__xludf.DUMMYFUNCTION("""COMPUTED_VALUE"""),45122.5469243518)</f>
        <v>45122.54692</v>
      </c>
      <c r="D2103" s="15">
        <f>IFERROR(__xludf.DUMMYFUNCTION("""COMPUTED_VALUE"""),0.999)</f>
        <v>0.999</v>
      </c>
      <c r="E2103" s="16">
        <f>IFERROR(__xludf.DUMMYFUNCTION("""COMPUTED_VALUE"""),71.0)</f>
        <v>71</v>
      </c>
      <c r="F2103" s="19" t="str">
        <f>IFERROR(__xludf.DUMMYFUNCTION("""COMPUTED_VALUE"""),"BLUE")</f>
        <v>BLUE</v>
      </c>
      <c r="G2103" s="20" t="str">
        <f>IFERROR(__xludf.DUMMYFUNCTION("""COMPUTED_VALUE"""),"Uncle Sams Cider (04/04/2023)")</f>
        <v>Uncle Sams Cider (04/04/2023)</v>
      </c>
      <c r="H2103" s="19"/>
    </row>
    <row r="2104">
      <c r="A2104" s="9"/>
      <c r="B2104" s="15"/>
      <c r="C2104" s="9">
        <f>IFERROR(__xludf.DUMMYFUNCTION("""COMPUTED_VALUE"""),45122.5364919328)</f>
        <v>45122.53649</v>
      </c>
      <c r="D2104" s="15">
        <f>IFERROR(__xludf.DUMMYFUNCTION("""COMPUTED_VALUE"""),0.999)</f>
        <v>0.999</v>
      </c>
      <c r="E2104" s="16">
        <f>IFERROR(__xludf.DUMMYFUNCTION("""COMPUTED_VALUE"""),71.0)</f>
        <v>71</v>
      </c>
      <c r="F2104" s="19" t="str">
        <f>IFERROR(__xludf.DUMMYFUNCTION("""COMPUTED_VALUE"""),"BLUE")</f>
        <v>BLUE</v>
      </c>
      <c r="G2104" s="20" t="str">
        <f>IFERROR(__xludf.DUMMYFUNCTION("""COMPUTED_VALUE"""),"Uncle Sams Cider (04/04/2023)")</f>
        <v>Uncle Sams Cider (04/04/2023)</v>
      </c>
      <c r="H2104" s="19"/>
    </row>
    <row r="2105">
      <c r="A2105" s="9"/>
      <c r="B2105" s="15"/>
      <c r="C2105" s="9">
        <f>IFERROR(__xludf.DUMMYFUNCTION("""COMPUTED_VALUE"""),45122.5260578588)</f>
        <v>45122.52606</v>
      </c>
      <c r="D2105" s="15">
        <f>IFERROR(__xludf.DUMMYFUNCTION("""COMPUTED_VALUE"""),0.999)</f>
        <v>0.999</v>
      </c>
      <c r="E2105" s="16">
        <f>IFERROR(__xludf.DUMMYFUNCTION("""COMPUTED_VALUE"""),71.0)</f>
        <v>71</v>
      </c>
      <c r="F2105" s="19" t="str">
        <f>IFERROR(__xludf.DUMMYFUNCTION("""COMPUTED_VALUE"""),"BLUE")</f>
        <v>BLUE</v>
      </c>
      <c r="G2105" s="20" t="str">
        <f>IFERROR(__xludf.DUMMYFUNCTION("""COMPUTED_VALUE"""),"Uncle Sams Cider (04/04/2023)")</f>
        <v>Uncle Sams Cider (04/04/2023)</v>
      </c>
      <c r="H2105" s="19"/>
    </row>
    <row r="2106">
      <c r="A2106" s="9"/>
      <c r="B2106" s="15"/>
      <c r="C2106" s="9">
        <f>IFERROR(__xludf.DUMMYFUNCTION("""COMPUTED_VALUE"""),45122.5156372453)</f>
        <v>45122.51564</v>
      </c>
      <c r="D2106" s="15">
        <f>IFERROR(__xludf.DUMMYFUNCTION("""COMPUTED_VALUE"""),0.999)</f>
        <v>0.999</v>
      </c>
      <c r="E2106" s="16">
        <f>IFERROR(__xludf.DUMMYFUNCTION("""COMPUTED_VALUE"""),71.0)</f>
        <v>71</v>
      </c>
      <c r="F2106" s="19" t="str">
        <f>IFERROR(__xludf.DUMMYFUNCTION("""COMPUTED_VALUE"""),"BLUE")</f>
        <v>BLUE</v>
      </c>
      <c r="G2106" s="20" t="str">
        <f>IFERROR(__xludf.DUMMYFUNCTION("""COMPUTED_VALUE"""),"Uncle Sams Cider (04/04/2023)")</f>
        <v>Uncle Sams Cider (04/04/2023)</v>
      </c>
      <c r="H2106" s="19"/>
    </row>
    <row r="2107">
      <c r="A2107" s="9"/>
      <c r="B2107" s="15"/>
      <c r="C2107" s="9">
        <f>IFERROR(__xludf.DUMMYFUNCTION("""COMPUTED_VALUE"""),45122.5052068865)</f>
        <v>45122.50521</v>
      </c>
      <c r="D2107" s="15">
        <f>IFERROR(__xludf.DUMMYFUNCTION("""COMPUTED_VALUE"""),0.999)</f>
        <v>0.999</v>
      </c>
      <c r="E2107" s="16">
        <f>IFERROR(__xludf.DUMMYFUNCTION("""COMPUTED_VALUE"""),71.0)</f>
        <v>71</v>
      </c>
      <c r="F2107" s="19" t="str">
        <f>IFERROR(__xludf.DUMMYFUNCTION("""COMPUTED_VALUE"""),"BLUE")</f>
        <v>BLUE</v>
      </c>
      <c r="G2107" s="20" t="str">
        <f>IFERROR(__xludf.DUMMYFUNCTION("""COMPUTED_VALUE"""),"Uncle Sams Cider (04/04/2023)")</f>
        <v>Uncle Sams Cider (04/04/2023)</v>
      </c>
      <c r="H2107" s="19"/>
    </row>
    <row r="2108">
      <c r="A2108" s="9"/>
      <c r="B2108" s="15"/>
      <c r="C2108" s="9">
        <f>IFERROR(__xludf.DUMMYFUNCTION("""COMPUTED_VALUE"""),45122.494785405)</f>
        <v>45122.49479</v>
      </c>
      <c r="D2108" s="15">
        <f>IFERROR(__xludf.DUMMYFUNCTION("""COMPUTED_VALUE"""),0.999)</f>
        <v>0.999</v>
      </c>
      <c r="E2108" s="16">
        <f>IFERROR(__xludf.DUMMYFUNCTION("""COMPUTED_VALUE"""),71.0)</f>
        <v>71</v>
      </c>
      <c r="F2108" s="19" t="str">
        <f>IFERROR(__xludf.DUMMYFUNCTION("""COMPUTED_VALUE"""),"BLUE")</f>
        <v>BLUE</v>
      </c>
      <c r="G2108" s="20" t="str">
        <f>IFERROR(__xludf.DUMMYFUNCTION("""COMPUTED_VALUE"""),"Uncle Sams Cider (04/04/2023)")</f>
        <v>Uncle Sams Cider (04/04/2023)</v>
      </c>
      <c r="H2108" s="19"/>
    </row>
    <row r="2109">
      <c r="A2109" s="9"/>
      <c r="B2109" s="15"/>
      <c r="C2109" s="9">
        <f>IFERROR(__xludf.DUMMYFUNCTION("""COMPUTED_VALUE"""),45122.4843630324)</f>
        <v>45122.48436</v>
      </c>
      <c r="D2109" s="15">
        <f>IFERROR(__xludf.DUMMYFUNCTION("""COMPUTED_VALUE"""),0.999)</f>
        <v>0.999</v>
      </c>
      <c r="E2109" s="16">
        <f>IFERROR(__xludf.DUMMYFUNCTION("""COMPUTED_VALUE"""),71.0)</f>
        <v>71</v>
      </c>
      <c r="F2109" s="19" t="str">
        <f>IFERROR(__xludf.DUMMYFUNCTION("""COMPUTED_VALUE"""),"BLUE")</f>
        <v>BLUE</v>
      </c>
      <c r="G2109" s="20" t="str">
        <f>IFERROR(__xludf.DUMMYFUNCTION("""COMPUTED_VALUE"""),"Uncle Sams Cider (04/04/2023)")</f>
        <v>Uncle Sams Cider (04/04/2023)</v>
      </c>
      <c r="H2109" s="19"/>
    </row>
    <row r="2110">
      <c r="A2110" s="9"/>
      <c r="B2110" s="15"/>
      <c r="C2110" s="9">
        <f>IFERROR(__xludf.DUMMYFUNCTION("""COMPUTED_VALUE"""),45122.4739307754)</f>
        <v>45122.47393</v>
      </c>
      <c r="D2110" s="15">
        <f>IFERROR(__xludf.DUMMYFUNCTION("""COMPUTED_VALUE"""),0.999)</f>
        <v>0.999</v>
      </c>
      <c r="E2110" s="16">
        <f>IFERROR(__xludf.DUMMYFUNCTION("""COMPUTED_VALUE"""),71.0)</f>
        <v>71</v>
      </c>
      <c r="F2110" s="19" t="str">
        <f>IFERROR(__xludf.DUMMYFUNCTION("""COMPUTED_VALUE"""),"BLUE")</f>
        <v>BLUE</v>
      </c>
      <c r="G2110" s="20" t="str">
        <f>IFERROR(__xludf.DUMMYFUNCTION("""COMPUTED_VALUE"""),"Uncle Sams Cider (04/04/2023)")</f>
        <v>Uncle Sams Cider (04/04/2023)</v>
      </c>
      <c r="H2110" s="19"/>
    </row>
    <row r="2111">
      <c r="A2111" s="9"/>
      <c r="B2111" s="15"/>
      <c r="C2111" s="9">
        <f>IFERROR(__xludf.DUMMYFUNCTION("""COMPUTED_VALUE"""),45122.4634972453)</f>
        <v>45122.4635</v>
      </c>
      <c r="D2111" s="15">
        <f>IFERROR(__xludf.DUMMYFUNCTION("""COMPUTED_VALUE"""),0.999)</f>
        <v>0.999</v>
      </c>
      <c r="E2111" s="16">
        <f>IFERROR(__xludf.DUMMYFUNCTION("""COMPUTED_VALUE"""),71.0)</f>
        <v>71</v>
      </c>
      <c r="F2111" s="19" t="str">
        <f>IFERROR(__xludf.DUMMYFUNCTION("""COMPUTED_VALUE"""),"BLUE")</f>
        <v>BLUE</v>
      </c>
      <c r="G2111" s="20" t="str">
        <f>IFERROR(__xludf.DUMMYFUNCTION("""COMPUTED_VALUE"""),"Uncle Sams Cider (04/04/2023)")</f>
        <v>Uncle Sams Cider (04/04/2023)</v>
      </c>
      <c r="H2111" s="19"/>
    </row>
    <row r="2112">
      <c r="A2112" s="9"/>
      <c r="B2112" s="15"/>
      <c r="C2112" s="9">
        <f>IFERROR(__xludf.DUMMYFUNCTION("""COMPUTED_VALUE"""),45122.4530757291)</f>
        <v>45122.45308</v>
      </c>
      <c r="D2112" s="15">
        <f>IFERROR(__xludf.DUMMYFUNCTION("""COMPUTED_VALUE"""),0.999)</f>
        <v>0.999</v>
      </c>
      <c r="E2112" s="16">
        <f>IFERROR(__xludf.DUMMYFUNCTION("""COMPUTED_VALUE"""),71.0)</f>
        <v>71</v>
      </c>
      <c r="F2112" s="19" t="str">
        <f>IFERROR(__xludf.DUMMYFUNCTION("""COMPUTED_VALUE"""),"BLUE")</f>
        <v>BLUE</v>
      </c>
      <c r="G2112" s="20" t="str">
        <f>IFERROR(__xludf.DUMMYFUNCTION("""COMPUTED_VALUE"""),"Uncle Sams Cider (04/04/2023)")</f>
        <v>Uncle Sams Cider (04/04/2023)</v>
      </c>
      <c r="H2112" s="19"/>
    </row>
    <row r="2113">
      <c r="A2113" s="9"/>
      <c r="B2113" s="15"/>
      <c r="C2113" s="9">
        <f>IFERROR(__xludf.DUMMYFUNCTION("""COMPUTED_VALUE"""),45122.4426557638)</f>
        <v>45122.44266</v>
      </c>
      <c r="D2113" s="15">
        <f>IFERROR(__xludf.DUMMYFUNCTION("""COMPUTED_VALUE"""),0.999)</f>
        <v>0.999</v>
      </c>
      <c r="E2113" s="16">
        <f>IFERROR(__xludf.DUMMYFUNCTION("""COMPUTED_VALUE"""),71.0)</f>
        <v>71</v>
      </c>
      <c r="F2113" s="19" t="str">
        <f>IFERROR(__xludf.DUMMYFUNCTION("""COMPUTED_VALUE"""),"BLUE")</f>
        <v>BLUE</v>
      </c>
      <c r="G2113" s="20" t="str">
        <f>IFERROR(__xludf.DUMMYFUNCTION("""COMPUTED_VALUE"""),"Uncle Sams Cider (04/04/2023)")</f>
        <v>Uncle Sams Cider (04/04/2023)</v>
      </c>
      <c r="H2113" s="19"/>
    </row>
    <row r="2114">
      <c r="A2114" s="9"/>
      <c r="B2114" s="15"/>
      <c r="C2114" s="9">
        <f>IFERROR(__xludf.DUMMYFUNCTION("""COMPUTED_VALUE"""),45122.4322205787)</f>
        <v>45122.43222</v>
      </c>
      <c r="D2114" s="15">
        <f>IFERROR(__xludf.DUMMYFUNCTION("""COMPUTED_VALUE"""),0.999)</f>
        <v>0.999</v>
      </c>
      <c r="E2114" s="16">
        <f>IFERROR(__xludf.DUMMYFUNCTION("""COMPUTED_VALUE"""),71.0)</f>
        <v>71</v>
      </c>
      <c r="F2114" s="19" t="str">
        <f>IFERROR(__xludf.DUMMYFUNCTION("""COMPUTED_VALUE"""),"BLUE")</f>
        <v>BLUE</v>
      </c>
      <c r="G2114" s="20" t="str">
        <f>IFERROR(__xludf.DUMMYFUNCTION("""COMPUTED_VALUE"""),"Uncle Sams Cider (04/04/2023)")</f>
        <v>Uncle Sams Cider (04/04/2023)</v>
      </c>
      <c r="H2114" s="19"/>
    </row>
    <row r="2115">
      <c r="A2115" s="9"/>
      <c r="B2115" s="15"/>
      <c r="C2115" s="9">
        <f>IFERROR(__xludf.DUMMYFUNCTION("""COMPUTED_VALUE"""),45122.4217987847)</f>
        <v>45122.4218</v>
      </c>
      <c r="D2115" s="15">
        <f>IFERROR(__xludf.DUMMYFUNCTION("""COMPUTED_VALUE"""),0.999)</f>
        <v>0.999</v>
      </c>
      <c r="E2115" s="16">
        <f>IFERROR(__xludf.DUMMYFUNCTION("""COMPUTED_VALUE"""),71.0)</f>
        <v>71</v>
      </c>
      <c r="F2115" s="19" t="str">
        <f>IFERROR(__xludf.DUMMYFUNCTION("""COMPUTED_VALUE"""),"BLUE")</f>
        <v>BLUE</v>
      </c>
      <c r="G2115" s="20" t="str">
        <f>IFERROR(__xludf.DUMMYFUNCTION("""COMPUTED_VALUE"""),"Uncle Sams Cider (04/04/2023)")</f>
        <v>Uncle Sams Cider (04/04/2023)</v>
      </c>
      <c r="H2115" s="19"/>
    </row>
    <row r="2116">
      <c r="A2116" s="9"/>
      <c r="B2116" s="15"/>
      <c r="C2116" s="9">
        <f>IFERROR(__xludf.DUMMYFUNCTION("""COMPUTED_VALUE"""),45122.4113687268)</f>
        <v>45122.41137</v>
      </c>
      <c r="D2116" s="15">
        <f>IFERROR(__xludf.DUMMYFUNCTION("""COMPUTED_VALUE"""),0.999)</f>
        <v>0.999</v>
      </c>
      <c r="E2116" s="16">
        <f>IFERROR(__xludf.DUMMYFUNCTION("""COMPUTED_VALUE"""),71.0)</f>
        <v>71</v>
      </c>
      <c r="F2116" s="19" t="str">
        <f>IFERROR(__xludf.DUMMYFUNCTION("""COMPUTED_VALUE"""),"BLUE")</f>
        <v>BLUE</v>
      </c>
      <c r="G2116" s="20" t="str">
        <f>IFERROR(__xludf.DUMMYFUNCTION("""COMPUTED_VALUE"""),"Uncle Sams Cider (04/04/2023)")</f>
        <v>Uncle Sams Cider (04/04/2023)</v>
      </c>
      <c r="H2116" s="19"/>
    </row>
    <row r="2117">
      <c r="A2117" s="9"/>
      <c r="B2117" s="15"/>
      <c r="C2117" s="9">
        <f>IFERROR(__xludf.DUMMYFUNCTION("""COMPUTED_VALUE"""),45122.4009468518)</f>
        <v>45122.40095</v>
      </c>
      <c r="D2117" s="15">
        <f>IFERROR(__xludf.DUMMYFUNCTION("""COMPUTED_VALUE"""),0.998)</f>
        <v>0.998</v>
      </c>
      <c r="E2117" s="16">
        <f>IFERROR(__xludf.DUMMYFUNCTION("""COMPUTED_VALUE"""),71.0)</f>
        <v>71</v>
      </c>
      <c r="F2117" s="19" t="str">
        <f>IFERROR(__xludf.DUMMYFUNCTION("""COMPUTED_VALUE"""),"BLUE")</f>
        <v>BLUE</v>
      </c>
      <c r="G2117" s="20" t="str">
        <f>IFERROR(__xludf.DUMMYFUNCTION("""COMPUTED_VALUE"""),"Uncle Sams Cider (04/04/2023)")</f>
        <v>Uncle Sams Cider (04/04/2023)</v>
      </c>
      <c r="H2117" s="19"/>
    </row>
    <row r="2118">
      <c r="A2118" s="9"/>
      <c r="B2118" s="15"/>
      <c r="C2118" s="9">
        <f>IFERROR(__xludf.DUMMYFUNCTION("""COMPUTED_VALUE"""),45122.3905264467)</f>
        <v>45122.39053</v>
      </c>
      <c r="D2118" s="15">
        <f>IFERROR(__xludf.DUMMYFUNCTION("""COMPUTED_VALUE"""),0.999)</f>
        <v>0.999</v>
      </c>
      <c r="E2118" s="16">
        <f>IFERROR(__xludf.DUMMYFUNCTION("""COMPUTED_VALUE"""),71.0)</f>
        <v>71</v>
      </c>
      <c r="F2118" s="19" t="str">
        <f>IFERROR(__xludf.DUMMYFUNCTION("""COMPUTED_VALUE"""),"BLUE")</f>
        <v>BLUE</v>
      </c>
      <c r="G2118" s="20" t="str">
        <f>IFERROR(__xludf.DUMMYFUNCTION("""COMPUTED_VALUE"""),"Uncle Sams Cider (04/04/2023)")</f>
        <v>Uncle Sams Cider (04/04/2023)</v>
      </c>
      <c r="H2118" s="19"/>
    </row>
    <row r="2119">
      <c r="A2119" s="9"/>
      <c r="B2119" s="15"/>
      <c r="C2119" s="9">
        <f>IFERROR(__xludf.DUMMYFUNCTION("""COMPUTED_VALUE"""),45122.3801064004)</f>
        <v>45122.38011</v>
      </c>
      <c r="D2119" s="15">
        <f>IFERROR(__xludf.DUMMYFUNCTION("""COMPUTED_VALUE"""),0.999)</f>
        <v>0.999</v>
      </c>
      <c r="E2119" s="16">
        <f>IFERROR(__xludf.DUMMYFUNCTION("""COMPUTED_VALUE"""),71.0)</f>
        <v>71</v>
      </c>
      <c r="F2119" s="19" t="str">
        <f>IFERROR(__xludf.DUMMYFUNCTION("""COMPUTED_VALUE"""),"BLUE")</f>
        <v>BLUE</v>
      </c>
      <c r="G2119" s="20" t="str">
        <f>IFERROR(__xludf.DUMMYFUNCTION("""COMPUTED_VALUE"""),"Uncle Sams Cider (04/04/2023)")</f>
        <v>Uncle Sams Cider (04/04/2023)</v>
      </c>
      <c r="H2119" s="19"/>
    </row>
    <row r="2120">
      <c r="A2120" s="9"/>
      <c r="B2120" s="15"/>
      <c r="C2120" s="9">
        <f>IFERROR(__xludf.DUMMYFUNCTION("""COMPUTED_VALUE"""),45122.3696862384)</f>
        <v>45122.36969</v>
      </c>
      <c r="D2120" s="15">
        <f>IFERROR(__xludf.DUMMYFUNCTION("""COMPUTED_VALUE"""),0.999)</f>
        <v>0.999</v>
      </c>
      <c r="E2120" s="16">
        <f>IFERROR(__xludf.DUMMYFUNCTION("""COMPUTED_VALUE"""),71.0)</f>
        <v>71</v>
      </c>
      <c r="F2120" s="19" t="str">
        <f>IFERROR(__xludf.DUMMYFUNCTION("""COMPUTED_VALUE"""),"BLUE")</f>
        <v>BLUE</v>
      </c>
      <c r="G2120" s="20" t="str">
        <f>IFERROR(__xludf.DUMMYFUNCTION("""COMPUTED_VALUE"""),"Uncle Sams Cider (04/04/2023)")</f>
        <v>Uncle Sams Cider (04/04/2023)</v>
      </c>
      <c r="H2120" s="19"/>
    </row>
    <row r="2121">
      <c r="A2121" s="9"/>
      <c r="B2121" s="15"/>
      <c r="C2121" s="9">
        <f>IFERROR(__xludf.DUMMYFUNCTION("""COMPUTED_VALUE"""),45122.3592538078)</f>
        <v>45122.35925</v>
      </c>
      <c r="D2121" s="15">
        <f>IFERROR(__xludf.DUMMYFUNCTION("""COMPUTED_VALUE"""),0.999)</f>
        <v>0.999</v>
      </c>
      <c r="E2121" s="16">
        <f>IFERROR(__xludf.DUMMYFUNCTION("""COMPUTED_VALUE"""),71.0)</f>
        <v>71</v>
      </c>
      <c r="F2121" s="19" t="str">
        <f>IFERROR(__xludf.DUMMYFUNCTION("""COMPUTED_VALUE"""),"BLUE")</f>
        <v>BLUE</v>
      </c>
      <c r="G2121" s="20" t="str">
        <f>IFERROR(__xludf.DUMMYFUNCTION("""COMPUTED_VALUE"""),"Uncle Sams Cider (04/04/2023)")</f>
        <v>Uncle Sams Cider (04/04/2023)</v>
      </c>
      <c r="H2121" s="19"/>
    </row>
    <row r="2122">
      <c r="A2122" s="9"/>
      <c r="B2122" s="15"/>
      <c r="C2122" s="9">
        <f>IFERROR(__xludf.DUMMYFUNCTION("""COMPUTED_VALUE"""),45122.3488338194)</f>
        <v>45122.34883</v>
      </c>
      <c r="D2122" s="15">
        <f>IFERROR(__xludf.DUMMYFUNCTION("""COMPUTED_VALUE"""),0.999)</f>
        <v>0.999</v>
      </c>
      <c r="E2122" s="16">
        <f>IFERROR(__xludf.DUMMYFUNCTION("""COMPUTED_VALUE"""),71.0)</f>
        <v>71</v>
      </c>
      <c r="F2122" s="19" t="str">
        <f>IFERROR(__xludf.DUMMYFUNCTION("""COMPUTED_VALUE"""),"BLUE")</f>
        <v>BLUE</v>
      </c>
      <c r="G2122" s="20" t="str">
        <f>IFERROR(__xludf.DUMMYFUNCTION("""COMPUTED_VALUE"""),"Uncle Sams Cider (04/04/2023)")</f>
        <v>Uncle Sams Cider (04/04/2023)</v>
      </c>
      <c r="H2122" s="19"/>
    </row>
    <row r="2123">
      <c r="A2123" s="9"/>
      <c r="B2123" s="15"/>
      <c r="C2123" s="9">
        <f>IFERROR(__xludf.DUMMYFUNCTION("""COMPUTED_VALUE"""),45122.3384145949)</f>
        <v>45122.33841</v>
      </c>
      <c r="D2123" s="15">
        <f>IFERROR(__xludf.DUMMYFUNCTION("""COMPUTED_VALUE"""),0.999)</f>
        <v>0.999</v>
      </c>
      <c r="E2123" s="16">
        <f>IFERROR(__xludf.DUMMYFUNCTION("""COMPUTED_VALUE"""),70.0)</f>
        <v>70</v>
      </c>
      <c r="F2123" s="19" t="str">
        <f>IFERROR(__xludf.DUMMYFUNCTION("""COMPUTED_VALUE"""),"BLUE")</f>
        <v>BLUE</v>
      </c>
      <c r="G2123" s="20" t="str">
        <f>IFERROR(__xludf.DUMMYFUNCTION("""COMPUTED_VALUE"""),"Uncle Sams Cider (04/04/2023)")</f>
        <v>Uncle Sams Cider (04/04/2023)</v>
      </c>
      <c r="H2123" s="19"/>
    </row>
    <row r="2124">
      <c r="A2124" s="9"/>
      <c r="B2124" s="15"/>
      <c r="C2124" s="9">
        <f>IFERROR(__xludf.DUMMYFUNCTION("""COMPUTED_VALUE"""),45122.3279818287)</f>
        <v>45122.32798</v>
      </c>
      <c r="D2124" s="15">
        <f>IFERROR(__xludf.DUMMYFUNCTION("""COMPUTED_VALUE"""),0.999)</f>
        <v>0.999</v>
      </c>
      <c r="E2124" s="16">
        <f>IFERROR(__xludf.DUMMYFUNCTION("""COMPUTED_VALUE"""),71.0)</f>
        <v>71</v>
      </c>
      <c r="F2124" s="19" t="str">
        <f>IFERROR(__xludf.DUMMYFUNCTION("""COMPUTED_VALUE"""),"BLUE")</f>
        <v>BLUE</v>
      </c>
      <c r="G2124" s="20" t="str">
        <f>IFERROR(__xludf.DUMMYFUNCTION("""COMPUTED_VALUE"""),"Uncle Sams Cider (04/04/2023)")</f>
        <v>Uncle Sams Cider (04/04/2023)</v>
      </c>
      <c r="H2124" s="19"/>
    </row>
    <row r="2125">
      <c r="A2125" s="9"/>
      <c r="B2125" s="15"/>
      <c r="C2125" s="9">
        <f>IFERROR(__xludf.DUMMYFUNCTION("""COMPUTED_VALUE"""),45122.317535787)</f>
        <v>45122.31754</v>
      </c>
      <c r="D2125" s="15">
        <f>IFERROR(__xludf.DUMMYFUNCTION("""COMPUTED_VALUE"""),0.999)</f>
        <v>0.999</v>
      </c>
      <c r="E2125" s="16">
        <f>IFERROR(__xludf.DUMMYFUNCTION("""COMPUTED_VALUE"""),71.0)</f>
        <v>71</v>
      </c>
      <c r="F2125" s="19" t="str">
        <f>IFERROR(__xludf.DUMMYFUNCTION("""COMPUTED_VALUE"""),"BLUE")</f>
        <v>BLUE</v>
      </c>
      <c r="G2125" s="20" t="str">
        <f>IFERROR(__xludf.DUMMYFUNCTION("""COMPUTED_VALUE"""),"Uncle Sams Cider (04/04/2023)")</f>
        <v>Uncle Sams Cider (04/04/2023)</v>
      </c>
      <c r="H2125" s="19"/>
    </row>
    <row r="2126">
      <c r="A2126" s="9"/>
      <c r="B2126" s="15"/>
      <c r="C2126" s="9">
        <f>IFERROR(__xludf.DUMMYFUNCTION("""COMPUTED_VALUE"""),45122.3071143402)</f>
        <v>45122.30711</v>
      </c>
      <c r="D2126" s="15">
        <f>IFERROR(__xludf.DUMMYFUNCTION("""COMPUTED_VALUE"""),0.999)</f>
        <v>0.999</v>
      </c>
      <c r="E2126" s="16">
        <f>IFERROR(__xludf.DUMMYFUNCTION("""COMPUTED_VALUE"""),71.0)</f>
        <v>71</v>
      </c>
      <c r="F2126" s="19" t="str">
        <f>IFERROR(__xludf.DUMMYFUNCTION("""COMPUTED_VALUE"""),"BLUE")</f>
        <v>BLUE</v>
      </c>
      <c r="G2126" s="20" t="str">
        <f>IFERROR(__xludf.DUMMYFUNCTION("""COMPUTED_VALUE"""),"Uncle Sams Cider (04/04/2023)")</f>
        <v>Uncle Sams Cider (04/04/2023)</v>
      </c>
      <c r="H2126" s="19"/>
    </row>
    <row r="2127">
      <c r="A2127" s="9"/>
      <c r="B2127" s="15"/>
      <c r="C2127" s="9">
        <f>IFERROR(__xludf.DUMMYFUNCTION("""COMPUTED_VALUE"""),45122.2966932407)</f>
        <v>45122.29669</v>
      </c>
      <c r="D2127" s="15">
        <f>IFERROR(__xludf.DUMMYFUNCTION("""COMPUTED_VALUE"""),0.999)</f>
        <v>0.999</v>
      </c>
      <c r="E2127" s="16">
        <f>IFERROR(__xludf.DUMMYFUNCTION("""COMPUTED_VALUE"""),71.0)</f>
        <v>71</v>
      </c>
      <c r="F2127" s="19" t="str">
        <f>IFERROR(__xludf.DUMMYFUNCTION("""COMPUTED_VALUE"""),"BLUE")</f>
        <v>BLUE</v>
      </c>
      <c r="G2127" s="20" t="str">
        <f>IFERROR(__xludf.DUMMYFUNCTION("""COMPUTED_VALUE"""),"Uncle Sams Cider (04/04/2023)")</f>
        <v>Uncle Sams Cider (04/04/2023)</v>
      </c>
      <c r="H2127" s="19"/>
    </row>
    <row r="2128">
      <c r="A2128" s="9"/>
      <c r="B2128" s="15"/>
      <c r="C2128" s="9">
        <f>IFERROR(__xludf.DUMMYFUNCTION("""COMPUTED_VALUE"""),45122.2862713541)</f>
        <v>45122.28627</v>
      </c>
      <c r="D2128" s="15">
        <f>IFERROR(__xludf.DUMMYFUNCTION("""COMPUTED_VALUE"""),0.999)</f>
        <v>0.999</v>
      </c>
      <c r="E2128" s="16">
        <f>IFERROR(__xludf.DUMMYFUNCTION("""COMPUTED_VALUE"""),71.0)</f>
        <v>71</v>
      </c>
      <c r="F2128" s="19" t="str">
        <f>IFERROR(__xludf.DUMMYFUNCTION("""COMPUTED_VALUE"""),"BLUE")</f>
        <v>BLUE</v>
      </c>
      <c r="G2128" s="20" t="str">
        <f>IFERROR(__xludf.DUMMYFUNCTION("""COMPUTED_VALUE"""),"Uncle Sams Cider (04/04/2023)")</f>
        <v>Uncle Sams Cider (04/04/2023)</v>
      </c>
      <c r="H2128" s="19"/>
    </row>
    <row r="2129">
      <c r="A2129" s="9"/>
      <c r="B2129" s="15"/>
      <c r="C2129" s="9">
        <f>IFERROR(__xludf.DUMMYFUNCTION("""COMPUTED_VALUE"""),45122.2758492245)</f>
        <v>45122.27585</v>
      </c>
      <c r="D2129" s="15">
        <f>IFERROR(__xludf.DUMMYFUNCTION("""COMPUTED_VALUE"""),0.999)</f>
        <v>0.999</v>
      </c>
      <c r="E2129" s="16">
        <f>IFERROR(__xludf.DUMMYFUNCTION("""COMPUTED_VALUE"""),71.0)</f>
        <v>71</v>
      </c>
      <c r="F2129" s="19" t="str">
        <f>IFERROR(__xludf.DUMMYFUNCTION("""COMPUTED_VALUE"""),"BLUE")</f>
        <v>BLUE</v>
      </c>
      <c r="G2129" s="20" t="str">
        <f>IFERROR(__xludf.DUMMYFUNCTION("""COMPUTED_VALUE"""),"Uncle Sams Cider (04/04/2023)")</f>
        <v>Uncle Sams Cider (04/04/2023)</v>
      </c>
      <c r="H2129" s="19"/>
    </row>
    <row r="2130">
      <c r="A2130" s="9"/>
      <c r="B2130" s="15"/>
      <c r="C2130" s="9">
        <f>IFERROR(__xludf.DUMMYFUNCTION("""COMPUTED_VALUE"""),45122.2654172338)</f>
        <v>45122.26542</v>
      </c>
      <c r="D2130" s="15">
        <f>IFERROR(__xludf.DUMMYFUNCTION("""COMPUTED_VALUE"""),0.999)</f>
        <v>0.999</v>
      </c>
      <c r="E2130" s="16">
        <f>IFERROR(__xludf.DUMMYFUNCTION("""COMPUTED_VALUE"""),70.0)</f>
        <v>70</v>
      </c>
      <c r="F2130" s="19" t="str">
        <f>IFERROR(__xludf.DUMMYFUNCTION("""COMPUTED_VALUE"""),"BLUE")</f>
        <v>BLUE</v>
      </c>
      <c r="G2130" s="20" t="str">
        <f>IFERROR(__xludf.DUMMYFUNCTION("""COMPUTED_VALUE"""),"Uncle Sams Cider (04/04/2023)")</f>
        <v>Uncle Sams Cider (04/04/2023)</v>
      </c>
      <c r="H2130" s="19"/>
    </row>
    <row r="2131">
      <c r="A2131" s="9"/>
      <c r="B2131" s="15"/>
      <c r="C2131" s="9">
        <f>IFERROR(__xludf.DUMMYFUNCTION("""COMPUTED_VALUE"""),45122.2549956944)</f>
        <v>45122.255</v>
      </c>
      <c r="D2131" s="15">
        <f>IFERROR(__xludf.DUMMYFUNCTION("""COMPUTED_VALUE"""),0.999)</f>
        <v>0.999</v>
      </c>
      <c r="E2131" s="16">
        <f>IFERROR(__xludf.DUMMYFUNCTION("""COMPUTED_VALUE"""),71.0)</f>
        <v>71</v>
      </c>
      <c r="F2131" s="19" t="str">
        <f>IFERROR(__xludf.DUMMYFUNCTION("""COMPUTED_VALUE"""),"BLUE")</f>
        <v>BLUE</v>
      </c>
      <c r="G2131" s="20" t="str">
        <f>IFERROR(__xludf.DUMMYFUNCTION("""COMPUTED_VALUE"""),"Uncle Sams Cider (04/04/2023)")</f>
        <v>Uncle Sams Cider (04/04/2023)</v>
      </c>
      <c r="H2131" s="19"/>
    </row>
    <row r="2132">
      <c r="A2132" s="9"/>
      <c r="B2132" s="15"/>
      <c r="C2132" s="9">
        <f>IFERROR(__xludf.DUMMYFUNCTION("""COMPUTED_VALUE"""),45122.2445624189)</f>
        <v>45122.24456</v>
      </c>
      <c r="D2132" s="15">
        <f>IFERROR(__xludf.DUMMYFUNCTION("""COMPUTED_VALUE"""),0.999)</f>
        <v>0.999</v>
      </c>
      <c r="E2132" s="16">
        <f>IFERROR(__xludf.DUMMYFUNCTION("""COMPUTED_VALUE"""),71.0)</f>
        <v>71</v>
      </c>
      <c r="F2132" s="19" t="str">
        <f>IFERROR(__xludf.DUMMYFUNCTION("""COMPUTED_VALUE"""),"BLUE")</f>
        <v>BLUE</v>
      </c>
      <c r="G2132" s="20" t="str">
        <f>IFERROR(__xludf.DUMMYFUNCTION("""COMPUTED_VALUE"""),"Uncle Sams Cider (04/04/2023)")</f>
        <v>Uncle Sams Cider (04/04/2023)</v>
      </c>
      <c r="H2132" s="19"/>
    </row>
    <row r="2133">
      <c r="A2133" s="9"/>
      <c r="B2133" s="15"/>
      <c r="C2133" s="9">
        <f>IFERROR(__xludf.DUMMYFUNCTION("""COMPUTED_VALUE"""),45122.2341409606)</f>
        <v>45122.23414</v>
      </c>
      <c r="D2133" s="15">
        <f>IFERROR(__xludf.DUMMYFUNCTION("""COMPUTED_VALUE"""),0.999)</f>
        <v>0.999</v>
      </c>
      <c r="E2133" s="16">
        <f>IFERROR(__xludf.DUMMYFUNCTION("""COMPUTED_VALUE"""),71.0)</f>
        <v>71</v>
      </c>
      <c r="F2133" s="19" t="str">
        <f>IFERROR(__xludf.DUMMYFUNCTION("""COMPUTED_VALUE"""),"BLUE")</f>
        <v>BLUE</v>
      </c>
      <c r="G2133" s="20" t="str">
        <f>IFERROR(__xludf.DUMMYFUNCTION("""COMPUTED_VALUE"""),"Uncle Sams Cider (04/04/2023)")</f>
        <v>Uncle Sams Cider (04/04/2023)</v>
      </c>
      <c r="H2133" s="19"/>
    </row>
    <row r="2134">
      <c r="A2134" s="9"/>
      <c r="B2134" s="15"/>
      <c r="C2134" s="9">
        <f>IFERROR(__xludf.DUMMYFUNCTION("""COMPUTED_VALUE"""),45122.2237197453)</f>
        <v>45122.22372</v>
      </c>
      <c r="D2134" s="15">
        <f>IFERROR(__xludf.DUMMYFUNCTION("""COMPUTED_VALUE"""),0.999)</f>
        <v>0.999</v>
      </c>
      <c r="E2134" s="16">
        <f>IFERROR(__xludf.DUMMYFUNCTION("""COMPUTED_VALUE"""),71.0)</f>
        <v>71</v>
      </c>
      <c r="F2134" s="19" t="str">
        <f>IFERROR(__xludf.DUMMYFUNCTION("""COMPUTED_VALUE"""),"BLUE")</f>
        <v>BLUE</v>
      </c>
      <c r="G2134" s="20" t="str">
        <f>IFERROR(__xludf.DUMMYFUNCTION("""COMPUTED_VALUE"""),"Uncle Sams Cider (04/04/2023)")</f>
        <v>Uncle Sams Cider (04/04/2023)</v>
      </c>
      <c r="H2134" s="19"/>
    </row>
    <row r="2135">
      <c r="A2135" s="9"/>
      <c r="B2135" s="15"/>
      <c r="C2135" s="9">
        <f>IFERROR(__xludf.DUMMYFUNCTION("""COMPUTED_VALUE"""),45122.2132988194)</f>
        <v>45122.2133</v>
      </c>
      <c r="D2135" s="15">
        <f>IFERROR(__xludf.DUMMYFUNCTION("""COMPUTED_VALUE"""),0.999)</f>
        <v>0.999</v>
      </c>
      <c r="E2135" s="16">
        <f>IFERROR(__xludf.DUMMYFUNCTION("""COMPUTED_VALUE"""),71.0)</f>
        <v>71</v>
      </c>
      <c r="F2135" s="19" t="str">
        <f>IFERROR(__xludf.DUMMYFUNCTION("""COMPUTED_VALUE"""),"BLUE")</f>
        <v>BLUE</v>
      </c>
      <c r="G2135" s="20" t="str">
        <f>IFERROR(__xludf.DUMMYFUNCTION("""COMPUTED_VALUE"""),"Uncle Sams Cider (04/04/2023)")</f>
        <v>Uncle Sams Cider (04/04/2023)</v>
      </c>
      <c r="H2135" s="19"/>
    </row>
    <row r="2136">
      <c r="A2136" s="9"/>
      <c r="B2136" s="15"/>
      <c r="C2136" s="9">
        <f>IFERROR(__xludf.DUMMYFUNCTION("""COMPUTED_VALUE"""),45122.2028777662)</f>
        <v>45122.20288</v>
      </c>
      <c r="D2136" s="15">
        <f>IFERROR(__xludf.DUMMYFUNCTION("""COMPUTED_VALUE"""),0.999)</f>
        <v>0.999</v>
      </c>
      <c r="E2136" s="16">
        <f>IFERROR(__xludf.DUMMYFUNCTION("""COMPUTED_VALUE"""),71.0)</f>
        <v>71</v>
      </c>
      <c r="F2136" s="19" t="str">
        <f>IFERROR(__xludf.DUMMYFUNCTION("""COMPUTED_VALUE"""),"BLUE")</f>
        <v>BLUE</v>
      </c>
      <c r="G2136" s="20" t="str">
        <f>IFERROR(__xludf.DUMMYFUNCTION("""COMPUTED_VALUE"""),"Uncle Sams Cider (04/04/2023)")</f>
        <v>Uncle Sams Cider (04/04/2023)</v>
      </c>
      <c r="H2136" s="19"/>
    </row>
    <row r="2137">
      <c r="A2137" s="9"/>
      <c r="B2137" s="15"/>
      <c r="C2137" s="9">
        <f>IFERROR(__xludf.DUMMYFUNCTION("""COMPUTED_VALUE"""),45122.1924568981)</f>
        <v>45122.19246</v>
      </c>
      <c r="D2137" s="15">
        <f>IFERROR(__xludf.DUMMYFUNCTION("""COMPUTED_VALUE"""),0.999)</f>
        <v>0.999</v>
      </c>
      <c r="E2137" s="16">
        <f>IFERROR(__xludf.DUMMYFUNCTION("""COMPUTED_VALUE"""),71.0)</f>
        <v>71</v>
      </c>
      <c r="F2137" s="19" t="str">
        <f>IFERROR(__xludf.DUMMYFUNCTION("""COMPUTED_VALUE"""),"BLUE")</f>
        <v>BLUE</v>
      </c>
      <c r="G2137" s="20" t="str">
        <f>IFERROR(__xludf.DUMMYFUNCTION("""COMPUTED_VALUE"""),"Uncle Sams Cider (04/04/2023)")</f>
        <v>Uncle Sams Cider (04/04/2023)</v>
      </c>
      <c r="H2137" s="19"/>
    </row>
    <row r="2138">
      <c r="A2138" s="9"/>
      <c r="B2138" s="15"/>
      <c r="C2138" s="9">
        <f>IFERROR(__xludf.DUMMYFUNCTION("""COMPUTED_VALUE"""),45122.1820368287)</f>
        <v>45122.18204</v>
      </c>
      <c r="D2138" s="15">
        <f>IFERROR(__xludf.DUMMYFUNCTION("""COMPUTED_VALUE"""),0.999)</f>
        <v>0.999</v>
      </c>
      <c r="E2138" s="16">
        <f>IFERROR(__xludf.DUMMYFUNCTION("""COMPUTED_VALUE"""),71.0)</f>
        <v>71</v>
      </c>
      <c r="F2138" s="19" t="str">
        <f>IFERROR(__xludf.DUMMYFUNCTION("""COMPUTED_VALUE"""),"BLUE")</f>
        <v>BLUE</v>
      </c>
      <c r="G2138" s="20" t="str">
        <f>IFERROR(__xludf.DUMMYFUNCTION("""COMPUTED_VALUE"""),"Uncle Sams Cider (04/04/2023)")</f>
        <v>Uncle Sams Cider (04/04/2023)</v>
      </c>
      <c r="H2138" s="19"/>
    </row>
    <row r="2139">
      <c r="A2139" s="9"/>
      <c r="B2139" s="15"/>
      <c r="C2139" s="9">
        <f>IFERROR(__xludf.DUMMYFUNCTION("""COMPUTED_VALUE"""),45122.171605081)</f>
        <v>45122.17161</v>
      </c>
      <c r="D2139" s="15">
        <f>IFERROR(__xludf.DUMMYFUNCTION("""COMPUTED_VALUE"""),0.999)</f>
        <v>0.999</v>
      </c>
      <c r="E2139" s="16">
        <f>IFERROR(__xludf.DUMMYFUNCTION("""COMPUTED_VALUE"""),71.0)</f>
        <v>71</v>
      </c>
      <c r="F2139" s="19" t="str">
        <f>IFERROR(__xludf.DUMMYFUNCTION("""COMPUTED_VALUE"""),"BLUE")</f>
        <v>BLUE</v>
      </c>
      <c r="G2139" s="20" t="str">
        <f>IFERROR(__xludf.DUMMYFUNCTION("""COMPUTED_VALUE"""),"Uncle Sams Cider (04/04/2023)")</f>
        <v>Uncle Sams Cider (04/04/2023)</v>
      </c>
      <c r="H2139" s="19"/>
    </row>
    <row r="2140">
      <c r="A2140" s="9"/>
      <c r="B2140" s="15"/>
      <c r="C2140" s="9">
        <f>IFERROR(__xludf.DUMMYFUNCTION("""COMPUTED_VALUE"""),45122.1611840162)</f>
        <v>45122.16118</v>
      </c>
      <c r="D2140" s="15">
        <f>IFERROR(__xludf.DUMMYFUNCTION("""COMPUTED_VALUE"""),0.999)</f>
        <v>0.999</v>
      </c>
      <c r="E2140" s="16">
        <f>IFERROR(__xludf.DUMMYFUNCTION("""COMPUTED_VALUE"""),71.0)</f>
        <v>71</v>
      </c>
      <c r="F2140" s="19" t="str">
        <f>IFERROR(__xludf.DUMMYFUNCTION("""COMPUTED_VALUE"""),"BLUE")</f>
        <v>BLUE</v>
      </c>
      <c r="G2140" s="20" t="str">
        <f>IFERROR(__xludf.DUMMYFUNCTION("""COMPUTED_VALUE"""),"Uncle Sams Cider (04/04/2023)")</f>
        <v>Uncle Sams Cider (04/04/2023)</v>
      </c>
      <c r="H2140" s="19"/>
    </row>
    <row r="2141">
      <c r="A2141" s="9"/>
      <c r="B2141" s="15"/>
      <c r="C2141" s="9">
        <f>IFERROR(__xludf.DUMMYFUNCTION("""COMPUTED_VALUE"""),45122.1507630555)</f>
        <v>45122.15076</v>
      </c>
      <c r="D2141" s="15">
        <f>IFERROR(__xludf.DUMMYFUNCTION("""COMPUTED_VALUE"""),0.999)</f>
        <v>0.999</v>
      </c>
      <c r="E2141" s="16">
        <f>IFERROR(__xludf.DUMMYFUNCTION("""COMPUTED_VALUE"""),71.0)</f>
        <v>71</v>
      </c>
      <c r="F2141" s="19" t="str">
        <f>IFERROR(__xludf.DUMMYFUNCTION("""COMPUTED_VALUE"""),"BLUE")</f>
        <v>BLUE</v>
      </c>
      <c r="G2141" s="20" t="str">
        <f>IFERROR(__xludf.DUMMYFUNCTION("""COMPUTED_VALUE"""),"Uncle Sams Cider (04/04/2023)")</f>
        <v>Uncle Sams Cider (04/04/2023)</v>
      </c>
      <c r="H2141" s="19"/>
    </row>
    <row r="2142">
      <c r="A2142" s="9"/>
      <c r="B2142" s="15"/>
      <c r="C2142" s="9">
        <f>IFERROR(__xludf.DUMMYFUNCTION("""COMPUTED_VALUE"""),45122.1403435069)</f>
        <v>45122.14034</v>
      </c>
      <c r="D2142" s="15">
        <f>IFERROR(__xludf.DUMMYFUNCTION("""COMPUTED_VALUE"""),0.999)</f>
        <v>0.999</v>
      </c>
      <c r="E2142" s="16">
        <f>IFERROR(__xludf.DUMMYFUNCTION("""COMPUTED_VALUE"""),71.0)</f>
        <v>71</v>
      </c>
      <c r="F2142" s="19" t="str">
        <f>IFERROR(__xludf.DUMMYFUNCTION("""COMPUTED_VALUE"""),"BLUE")</f>
        <v>BLUE</v>
      </c>
      <c r="G2142" s="20" t="str">
        <f>IFERROR(__xludf.DUMMYFUNCTION("""COMPUTED_VALUE"""),"Uncle Sams Cider (04/04/2023)")</f>
        <v>Uncle Sams Cider (04/04/2023)</v>
      </c>
      <c r="H2142" s="19"/>
    </row>
    <row r="2143">
      <c r="A2143" s="9"/>
      <c r="B2143" s="15"/>
      <c r="C2143" s="9">
        <f>IFERROR(__xludf.DUMMYFUNCTION("""COMPUTED_VALUE"""),45122.1299119907)</f>
        <v>45122.12991</v>
      </c>
      <c r="D2143" s="15">
        <f>IFERROR(__xludf.DUMMYFUNCTION("""COMPUTED_VALUE"""),0.999)</f>
        <v>0.999</v>
      </c>
      <c r="E2143" s="16">
        <f>IFERROR(__xludf.DUMMYFUNCTION("""COMPUTED_VALUE"""),70.0)</f>
        <v>70</v>
      </c>
      <c r="F2143" s="19" t="str">
        <f>IFERROR(__xludf.DUMMYFUNCTION("""COMPUTED_VALUE"""),"BLUE")</f>
        <v>BLUE</v>
      </c>
      <c r="G2143" s="20" t="str">
        <f>IFERROR(__xludf.DUMMYFUNCTION("""COMPUTED_VALUE"""),"Uncle Sams Cider (04/04/2023)")</f>
        <v>Uncle Sams Cider (04/04/2023)</v>
      </c>
      <c r="H2143" s="19"/>
    </row>
    <row r="2144">
      <c r="A2144" s="9"/>
      <c r="B2144" s="15"/>
      <c r="C2144" s="9">
        <f>IFERROR(__xludf.DUMMYFUNCTION("""COMPUTED_VALUE"""),45122.119491956)</f>
        <v>45122.11949</v>
      </c>
      <c r="D2144" s="15">
        <f>IFERROR(__xludf.DUMMYFUNCTION("""COMPUTED_VALUE"""),0.999)</f>
        <v>0.999</v>
      </c>
      <c r="E2144" s="16">
        <f>IFERROR(__xludf.DUMMYFUNCTION("""COMPUTED_VALUE"""),71.0)</f>
        <v>71</v>
      </c>
      <c r="F2144" s="19" t="str">
        <f>IFERROR(__xludf.DUMMYFUNCTION("""COMPUTED_VALUE"""),"BLUE")</f>
        <v>BLUE</v>
      </c>
      <c r="G2144" s="20" t="str">
        <f>IFERROR(__xludf.DUMMYFUNCTION("""COMPUTED_VALUE"""),"Uncle Sams Cider (04/04/2023)")</f>
        <v>Uncle Sams Cider (04/04/2023)</v>
      </c>
      <c r="H2144" s="19"/>
    </row>
    <row r="2145">
      <c r="A2145" s="9"/>
      <c r="B2145" s="15"/>
      <c r="C2145" s="9">
        <f>IFERROR(__xludf.DUMMYFUNCTION("""COMPUTED_VALUE"""),45122.1090721875)</f>
        <v>45122.10907</v>
      </c>
      <c r="D2145" s="15">
        <f>IFERROR(__xludf.DUMMYFUNCTION("""COMPUTED_VALUE"""),0.999)</f>
        <v>0.999</v>
      </c>
      <c r="E2145" s="16">
        <f>IFERROR(__xludf.DUMMYFUNCTION("""COMPUTED_VALUE"""),71.0)</f>
        <v>71</v>
      </c>
      <c r="F2145" s="19" t="str">
        <f>IFERROR(__xludf.DUMMYFUNCTION("""COMPUTED_VALUE"""),"BLUE")</f>
        <v>BLUE</v>
      </c>
      <c r="G2145" s="20" t="str">
        <f>IFERROR(__xludf.DUMMYFUNCTION("""COMPUTED_VALUE"""),"Uncle Sams Cider (04/04/2023)")</f>
        <v>Uncle Sams Cider (04/04/2023)</v>
      </c>
      <c r="H2145" s="19"/>
    </row>
    <row r="2146">
      <c r="A2146" s="9"/>
      <c r="B2146" s="15"/>
      <c r="C2146" s="9">
        <f>IFERROR(__xludf.DUMMYFUNCTION("""COMPUTED_VALUE"""),45122.0986514699)</f>
        <v>45122.09865</v>
      </c>
      <c r="D2146" s="15">
        <f>IFERROR(__xludf.DUMMYFUNCTION("""COMPUTED_VALUE"""),0.999)</f>
        <v>0.999</v>
      </c>
      <c r="E2146" s="16">
        <f>IFERROR(__xludf.DUMMYFUNCTION("""COMPUTED_VALUE"""),70.0)</f>
        <v>70</v>
      </c>
      <c r="F2146" s="19" t="str">
        <f>IFERROR(__xludf.DUMMYFUNCTION("""COMPUTED_VALUE"""),"BLUE")</f>
        <v>BLUE</v>
      </c>
      <c r="G2146" s="20" t="str">
        <f>IFERROR(__xludf.DUMMYFUNCTION("""COMPUTED_VALUE"""),"Uncle Sams Cider (04/04/2023)")</f>
        <v>Uncle Sams Cider (04/04/2023)</v>
      </c>
      <c r="H2146" s="19"/>
    </row>
    <row r="2147">
      <c r="A2147" s="9"/>
      <c r="B2147" s="15"/>
      <c r="C2147" s="9">
        <f>IFERROR(__xludf.DUMMYFUNCTION("""COMPUTED_VALUE"""),45122.0882296759)</f>
        <v>45122.08823</v>
      </c>
      <c r="D2147" s="15">
        <f>IFERROR(__xludf.DUMMYFUNCTION("""COMPUTED_VALUE"""),0.999)</f>
        <v>0.999</v>
      </c>
      <c r="E2147" s="16">
        <f>IFERROR(__xludf.DUMMYFUNCTION("""COMPUTED_VALUE"""),70.0)</f>
        <v>70</v>
      </c>
      <c r="F2147" s="19" t="str">
        <f>IFERROR(__xludf.DUMMYFUNCTION("""COMPUTED_VALUE"""),"BLUE")</f>
        <v>BLUE</v>
      </c>
      <c r="G2147" s="20" t="str">
        <f>IFERROR(__xludf.DUMMYFUNCTION("""COMPUTED_VALUE"""),"Uncle Sams Cider (04/04/2023)")</f>
        <v>Uncle Sams Cider (04/04/2023)</v>
      </c>
      <c r="H2147" s="19"/>
    </row>
    <row r="2148">
      <c r="A2148" s="9"/>
      <c r="B2148" s="15"/>
      <c r="C2148" s="9">
        <f>IFERROR(__xludf.DUMMYFUNCTION("""COMPUTED_VALUE"""),45122.0778079513)</f>
        <v>45122.07781</v>
      </c>
      <c r="D2148" s="15">
        <f>IFERROR(__xludf.DUMMYFUNCTION("""COMPUTED_VALUE"""),0.999)</f>
        <v>0.999</v>
      </c>
      <c r="E2148" s="16">
        <f>IFERROR(__xludf.DUMMYFUNCTION("""COMPUTED_VALUE"""),70.0)</f>
        <v>70</v>
      </c>
      <c r="F2148" s="19" t="str">
        <f>IFERROR(__xludf.DUMMYFUNCTION("""COMPUTED_VALUE"""),"BLUE")</f>
        <v>BLUE</v>
      </c>
      <c r="G2148" s="20" t="str">
        <f>IFERROR(__xludf.DUMMYFUNCTION("""COMPUTED_VALUE"""),"Uncle Sams Cider (04/04/2023)")</f>
        <v>Uncle Sams Cider (04/04/2023)</v>
      </c>
      <c r="H2148" s="19"/>
    </row>
    <row r="2149">
      <c r="A2149" s="9"/>
      <c r="B2149" s="15"/>
      <c r="C2149" s="9">
        <f>IFERROR(__xludf.DUMMYFUNCTION("""COMPUTED_VALUE"""),45122.0673887963)</f>
        <v>45122.06739</v>
      </c>
      <c r="D2149" s="15">
        <f>IFERROR(__xludf.DUMMYFUNCTION("""COMPUTED_VALUE"""),0.999)</f>
        <v>0.999</v>
      </c>
      <c r="E2149" s="16">
        <f>IFERROR(__xludf.DUMMYFUNCTION("""COMPUTED_VALUE"""),71.0)</f>
        <v>71</v>
      </c>
      <c r="F2149" s="19" t="str">
        <f>IFERROR(__xludf.DUMMYFUNCTION("""COMPUTED_VALUE"""),"BLUE")</f>
        <v>BLUE</v>
      </c>
      <c r="G2149" s="20" t="str">
        <f>IFERROR(__xludf.DUMMYFUNCTION("""COMPUTED_VALUE"""),"Uncle Sams Cider (04/04/2023)")</f>
        <v>Uncle Sams Cider (04/04/2023)</v>
      </c>
      <c r="H2149" s="19"/>
    </row>
    <row r="2150">
      <c r="A2150" s="9"/>
      <c r="B2150" s="15"/>
      <c r="C2150" s="9">
        <f>IFERROR(__xludf.DUMMYFUNCTION("""COMPUTED_VALUE"""),45122.0569676504)</f>
        <v>45122.05697</v>
      </c>
      <c r="D2150" s="15">
        <f>IFERROR(__xludf.DUMMYFUNCTION("""COMPUTED_VALUE"""),0.999)</f>
        <v>0.999</v>
      </c>
      <c r="E2150" s="16">
        <f>IFERROR(__xludf.DUMMYFUNCTION("""COMPUTED_VALUE"""),70.0)</f>
        <v>70</v>
      </c>
      <c r="F2150" s="19" t="str">
        <f>IFERROR(__xludf.DUMMYFUNCTION("""COMPUTED_VALUE"""),"BLUE")</f>
        <v>BLUE</v>
      </c>
      <c r="G2150" s="20" t="str">
        <f>IFERROR(__xludf.DUMMYFUNCTION("""COMPUTED_VALUE"""),"Uncle Sams Cider (04/04/2023)")</f>
        <v>Uncle Sams Cider (04/04/2023)</v>
      </c>
      <c r="H2150" s="19"/>
    </row>
    <row r="2151">
      <c r="A2151" s="9"/>
      <c r="B2151" s="15"/>
      <c r="C2151" s="9">
        <f>IFERROR(__xludf.DUMMYFUNCTION("""COMPUTED_VALUE"""),45122.0465469444)</f>
        <v>45122.04655</v>
      </c>
      <c r="D2151" s="15">
        <f>IFERROR(__xludf.DUMMYFUNCTION("""COMPUTED_VALUE"""),0.999)</f>
        <v>0.999</v>
      </c>
      <c r="E2151" s="16">
        <f>IFERROR(__xludf.DUMMYFUNCTION("""COMPUTED_VALUE"""),71.0)</f>
        <v>71</v>
      </c>
      <c r="F2151" s="19" t="str">
        <f>IFERROR(__xludf.DUMMYFUNCTION("""COMPUTED_VALUE"""),"BLUE")</f>
        <v>BLUE</v>
      </c>
      <c r="G2151" s="20" t="str">
        <f>IFERROR(__xludf.DUMMYFUNCTION("""COMPUTED_VALUE"""),"Uncle Sams Cider (04/04/2023)")</f>
        <v>Uncle Sams Cider (04/04/2023)</v>
      </c>
      <c r="H2151" s="19"/>
    </row>
    <row r="2152">
      <c r="A2152" s="9"/>
      <c r="B2152" s="15"/>
      <c r="C2152" s="9">
        <f>IFERROR(__xludf.DUMMYFUNCTION("""COMPUTED_VALUE"""),45122.0361261342)</f>
        <v>45122.03613</v>
      </c>
      <c r="D2152" s="15">
        <f>IFERROR(__xludf.DUMMYFUNCTION("""COMPUTED_VALUE"""),0.998)</f>
        <v>0.998</v>
      </c>
      <c r="E2152" s="16">
        <f>IFERROR(__xludf.DUMMYFUNCTION("""COMPUTED_VALUE"""),71.0)</f>
        <v>71</v>
      </c>
      <c r="F2152" s="19" t="str">
        <f>IFERROR(__xludf.DUMMYFUNCTION("""COMPUTED_VALUE"""),"BLUE")</f>
        <v>BLUE</v>
      </c>
      <c r="G2152" s="20" t="str">
        <f>IFERROR(__xludf.DUMMYFUNCTION("""COMPUTED_VALUE"""),"Uncle Sams Cider (04/04/2023)")</f>
        <v>Uncle Sams Cider (04/04/2023)</v>
      </c>
      <c r="H2152" s="19"/>
    </row>
    <row r="2153">
      <c r="A2153" s="9"/>
      <c r="B2153" s="15"/>
      <c r="C2153" s="9">
        <f>IFERROR(__xludf.DUMMYFUNCTION("""COMPUTED_VALUE"""),45122.0257049074)</f>
        <v>45122.0257</v>
      </c>
      <c r="D2153" s="15">
        <f>IFERROR(__xludf.DUMMYFUNCTION("""COMPUTED_VALUE"""),0.999)</f>
        <v>0.999</v>
      </c>
      <c r="E2153" s="16">
        <f>IFERROR(__xludf.DUMMYFUNCTION("""COMPUTED_VALUE"""),70.0)</f>
        <v>70</v>
      </c>
      <c r="F2153" s="19" t="str">
        <f>IFERROR(__xludf.DUMMYFUNCTION("""COMPUTED_VALUE"""),"BLUE")</f>
        <v>BLUE</v>
      </c>
      <c r="G2153" s="20" t="str">
        <f>IFERROR(__xludf.DUMMYFUNCTION("""COMPUTED_VALUE"""),"Uncle Sams Cider (04/04/2023)")</f>
        <v>Uncle Sams Cider (04/04/2023)</v>
      </c>
      <c r="H2153" s="19"/>
    </row>
    <row r="2154">
      <c r="A2154" s="9"/>
      <c r="B2154" s="15"/>
      <c r="C2154" s="9">
        <f>IFERROR(__xludf.DUMMYFUNCTION("""COMPUTED_VALUE"""),45122.0152842245)</f>
        <v>45122.01528</v>
      </c>
      <c r="D2154" s="15">
        <f>IFERROR(__xludf.DUMMYFUNCTION("""COMPUTED_VALUE"""),0.999)</f>
        <v>0.999</v>
      </c>
      <c r="E2154" s="16">
        <f>IFERROR(__xludf.DUMMYFUNCTION("""COMPUTED_VALUE"""),71.0)</f>
        <v>71</v>
      </c>
      <c r="F2154" s="19" t="str">
        <f>IFERROR(__xludf.DUMMYFUNCTION("""COMPUTED_VALUE"""),"BLUE")</f>
        <v>BLUE</v>
      </c>
      <c r="G2154" s="20" t="str">
        <f>IFERROR(__xludf.DUMMYFUNCTION("""COMPUTED_VALUE"""),"Uncle Sams Cider (04/04/2023)")</f>
        <v>Uncle Sams Cider (04/04/2023)</v>
      </c>
      <c r="H2154" s="19"/>
    </row>
    <row r="2155">
      <c r="A2155" s="9"/>
      <c r="B2155" s="15"/>
      <c r="C2155" s="9">
        <f>IFERROR(__xludf.DUMMYFUNCTION("""COMPUTED_VALUE"""),45122.0048634027)</f>
        <v>45122.00486</v>
      </c>
      <c r="D2155" s="15">
        <f>IFERROR(__xludf.DUMMYFUNCTION("""COMPUTED_VALUE"""),0.999)</f>
        <v>0.999</v>
      </c>
      <c r="E2155" s="16">
        <f>IFERROR(__xludf.DUMMYFUNCTION("""COMPUTED_VALUE"""),70.0)</f>
        <v>70</v>
      </c>
      <c r="F2155" s="19" t="str">
        <f>IFERROR(__xludf.DUMMYFUNCTION("""COMPUTED_VALUE"""),"BLUE")</f>
        <v>BLUE</v>
      </c>
      <c r="G2155" s="20" t="str">
        <f>IFERROR(__xludf.DUMMYFUNCTION("""COMPUTED_VALUE"""),"Uncle Sams Cider (04/04/2023)")</f>
        <v>Uncle Sams Cider (04/04/2023)</v>
      </c>
      <c r="H2155" s="19"/>
    </row>
    <row r="2156">
      <c r="A2156" s="9"/>
      <c r="B2156" s="15"/>
      <c r="C2156" s="9">
        <f>IFERROR(__xludf.DUMMYFUNCTION("""COMPUTED_VALUE"""),45121.9944319097)</f>
        <v>45121.99443</v>
      </c>
      <c r="D2156" s="15">
        <f>IFERROR(__xludf.DUMMYFUNCTION("""COMPUTED_VALUE"""),0.999)</f>
        <v>0.999</v>
      </c>
      <c r="E2156" s="16">
        <f>IFERROR(__xludf.DUMMYFUNCTION("""COMPUTED_VALUE"""),70.0)</f>
        <v>70</v>
      </c>
      <c r="F2156" s="19" t="str">
        <f>IFERROR(__xludf.DUMMYFUNCTION("""COMPUTED_VALUE"""),"BLUE")</f>
        <v>BLUE</v>
      </c>
      <c r="G2156" s="20" t="str">
        <f>IFERROR(__xludf.DUMMYFUNCTION("""COMPUTED_VALUE"""),"Uncle Sams Cider (04/04/2023)")</f>
        <v>Uncle Sams Cider (04/04/2023)</v>
      </c>
      <c r="H2156" s="19"/>
    </row>
    <row r="2157">
      <c r="A2157" s="9"/>
      <c r="B2157" s="15"/>
      <c r="C2157" s="9">
        <f>IFERROR(__xludf.DUMMYFUNCTION("""COMPUTED_VALUE"""),45121.98401125)</f>
        <v>45121.98401</v>
      </c>
      <c r="D2157" s="15">
        <f>IFERROR(__xludf.DUMMYFUNCTION("""COMPUTED_VALUE"""),0.999)</f>
        <v>0.999</v>
      </c>
      <c r="E2157" s="16">
        <f>IFERROR(__xludf.DUMMYFUNCTION("""COMPUTED_VALUE"""),70.0)</f>
        <v>70</v>
      </c>
      <c r="F2157" s="19" t="str">
        <f>IFERROR(__xludf.DUMMYFUNCTION("""COMPUTED_VALUE"""),"BLUE")</f>
        <v>BLUE</v>
      </c>
      <c r="G2157" s="20" t="str">
        <f>IFERROR(__xludf.DUMMYFUNCTION("""COMPUTED_VALUE"""),"Uncle Sams Cider (04/04/2023)")</f>
        <v>Uncle Sams Cider (04/04/2023)</v>
      </c>
      <c r="H2157" s="19"/>
    </row>
    <row r="2158">
      <c r="A2158" s="9"/>
      <c r="B2158" s="15"/>
      <c r="C2158" s="9">
        <f>IFERROR(__xludf.DUMMYFUNCTION("""COMPUTED_VALUE"""),45121.9735892824)</f>
        <v>45121.97359</v>
      </c>
      <c r="D2158" s="15">
        <f>IFERROR(__xludf.DUMMYFUNCTION("""COMPUTED_VALUE"""),0.999)</f>
        <v>0.999</v>
      </c>
      <c r="E2158" s="16">
        <f>IFERROR(__xludf.DUMMYFUNCTION("""COMPUTED_VALUE"""),70.0)</f>
        <v>70</v>
      </c>
      <c r="F2158" s="19" t="str">
        <f>IFERROR(__xludf.DUMMYFUNCTION("""COMPUTED_VALUE"""),"BLUE")</f>
        <v>BLUE</v>
      </c>
      <c r="G2158" s="20" t="str">
        <f>IFERROR(__xludf.DUMMYFUNCTION("""COMPUTED_VALUE"""),"Uncle Sams Cider (04/04/2023)")</f>
        <v>Uncle Sams Cider (04/04/2023)</v>
      </c>
      <c r="H2158" s="19"/>
    </row>
    <row r="2159">
      <c r="A2159" s="9"/>
      <c r="B2159" s="15"/>
      <c r="C2159" s="9">
        <f>IFERROR(__xludf.DUMMYFUNCTION("""COMPUTED_VALUE"""),45121.9631562847)</f>
        <v>45121.96316</v>
      </c>
      <c r="D2159" s="15">
        <f>IFERROR(__xludf.DUMMYFUNCTION("""COMPUTED_VALUE"""),0.999)</f>
        <v>0.999</v>
      </c>
      <c r="E2159" s="16">
        <f>IFERROR(__xludf.DUMMYFUNCTION("""COMPUTED_VALUE"""),70.0)</f>
        <v>70</v>
      </c>
      <c r="F2159" s="19" t="str">
        <f>IFERROR(__xludf.DUMMYFUNCTION("""COMPUTED_VALUE"""),"BLUE")</f>
        <v>BLUE</v>
      </c>
      <c r="G2159" s="20" t="str">
        <f>IFERROR(__xludf.DUMMYFUNCTION("""COMPUTED_VALUE"""),"Uncle Sams Cider (04/04/2023)")</f>
        <v>Uncle Sams Cider (04/04/2023)</v>
      </c>
      <c r="H2159" s="19"/>
    </row>
    <row r="2160">
      <c r="A2160" s="9"/>
      <c r="B2160" s="15"/>
      <c r="C2160" s="9">
        <f>IFERROR(__xludf.DUMMYFUNCTION("""COMPUTED_VALUE"""),45121.9527357986)</f>
        <v>45121.95274</v>
      </c>
      <c r="D2160" s="15">
        <f>IFERROR(__xludf.DUMMYFUNCTION("""COMPUTED_VALUE"""),0.999)</f>
        <v>0.999</v>
      </c>
      <c r="E2160" s="16">
        <f>IFERROR(__xludf.DUMMYFUNCTION("""COMPUTED_VALUE"""),70.0)</f>
        <v>70</v>
      </c>
      <c r="F2160" s="19" t="str">
        <f>IFERROR(__xludf.DUMMYFUNCTION("""COMPUTED_VALUE"""),"BLUE")</f>
        <v>BLUE</v>
      </c>
      <c r="G2160" s="20" t="str">
        <f>IFERROR(__xludf.DUMMYFUNCTION("""COMPUTED_VALUE"""),"Uncle Sams Cider (04/04/2023)")</f>
        <v>Uncle Sams Cider (04/04/2023)</v>
      </c>
      <c r="H2160" s="19"/>
    </row>
    <row r="2161">
      <c r="A2161" s="9"/>
      <c r="B2161" s="15"/>
      <c r="C2161" s="9">
        <f>IFERROR(__xludf.DUMMYFUNCTION("""COMPUTED_VALUE"""),45121.9423153587)</f>
        <v>45121.94232</v>
      </c>
      <c r="D2161" s="15">
        <f>IFERROR(__xludf.DUMMYFUNCTION("""COMPUTED_VALUE"""),0.999)</f>
        <v>0.999</v>
      </c>
      <c r="E2161" s="16">
        <f>IFERROR(__xludf.DUMMYFUNCTION("""COMPUTED_VALUE"""),70.0)</f>
        <v>70</v>
      </c>
      <c r="F2161" s="19" t="str">
        <f>IFERROR(__xludf.DUMMYFUNCTION("""COMPUTED_VALUE"""),"BLUE")</f>
        <v>BLUE</v>
      </c>
      <c r="G2161" s="20" t="str">
        <f>IFERROR(__xludf.DUMMYFUNCTION("""COMPUTED_VALUE"""),"Uncle Sams Cider (04/04/2023)")</f>
        <v>Uncle Sams Cider (04/04/2023)</v>
      </c>
      <c r="H2161" s="19"/>
    </row>
    <row r="2162">
      <c r="A2162" s="9"/>
      <c r="B2162" s="15"/>
      <c r="C2162" s="9">
        <f>IFERROR(__xludf.DUMMYFUNCTION("""COMPUTED_VALUE"""),45121.9318934606)</f>
        <v>45121.93189</v>
      </c>
      <c r="D2162" s="15">
        <f>IFERROR(__xludf.DUMMYFUNCTION("""COMPUTED_VALUE"""),0.999)</f>
        <v>0.999</v>
      </c>
      <c r="E2162" s="16">
        <f>IFERROR(__xludf.DUMMYFUNCTION("""COMPUTED_VALUE"""),70.0)</f>
        <v>70</v>
      </c>
      <c r="F2162" s="19" t="str">
        <f>IFERROR(__xludf.DUMMYFUNCTION("""COMPUTED_VALUE"""),"BLUE")</f>
        <v>BLUE</v>
      </c>
      <c r="G2162" s="20" t="str">
        <f>IFERROR(__xludf.DUMMYFUNCTION("""COMPUTED_VALUE"""),"Uncle Sams Cider (04/04/2023)")</f>
        <v>Uncle Sams Cider (04/04/2023)</v>
      </c>
      <c r="H2162" s="19"/>
    </row>
    <row r="2163">
      <c r="A2163" s="9"/>
      <c r="B2163" s="15"/>
      <c r="C2163" s="9">
        <f>IFERROR(__xludf.DUMMYFUNCTION("""COMPUTED_VALUE"""),45121.9214490162)</f>
        <v>45121.92145</v>
      </c>
      <c r="D2163" s="15">
        <f>IFERROR(__xludf.DUMMYFUNCTION("""COMPUTED_VALUE"""),0.999)</f>
        <v>0.999</v>
      </c>
      <c r="E2163" s="16">
        <f>IFERROR(__xludf.DUMMYFUNCTION("""COMPUTED_VALUE"""),70.0)</f>
        <v>70</v>
      </c>
      <c r="F2163" s="19" t="str">
        <f>IFERROR(__xludf.DUMMYFUNCTION("""COMPUTED_VALUE"""),"BLUE")</f>
        <v>BLUE</v>
      </c>
      <c r="G2163" s="20" t="str">
        <f>IFERROR(__xludf.DUMMYFUNCTION("""COMPUTED_VALUE"""),"Uncle Sams Cider (04/04/2023)")</f>
        <v>Uncle Sams Cider (04/04/2023)</v>
      </c>
      <c r="H2163" s="19"/>
    </row>
    <row r="2164">
      <c r="A2164" s="9"/>
      <c r="B2164" s="15"/>
      <c r="C2164" s="9">
        <f>IFERROR(__xludf.DUMMYFUNCTION("""COMPUTED_VALUE"""),45121.9110051504)</f>
        <v>45121.91101</v>
      </c>
      <c r="D2164" s="15">
        <f>IFERROR(__xludf.DUMMYFUNCTION("""COMPUTED_VALUE"""),0.999)</f>
        <v>0.999</v>
      </c>
      <c r="E2164" s="16">
        <f>IFERROR(__xludf.DUMMYFUNCTION("""COMPUTED_VALUE"""),70.0)</f>
        <v>70</v>
      </c>
      <c r="F2164" s="19" t="str">
        <f>IFERROR(__xludf.DUMMYFUNCTION("""COMPUTED_VALUE"""),"BLUE")</f>
        <v>BLUE</v>
      </c>
      <c r="G2164" s="20" t="str">
        <f>IFERROR(__xludf.DUMMYFUNCTION("""COMPUTED_VALUE"""),"Uncle Sams Cider (04/04/2023)")</f>
        <v>Uncle Sams Cider (04/04/2023)</v>
      </c>
      <c r="H2164" s="19"/>
    </row>
    <row r="2165">
      <c r="A2165" s="9"/>
      <c r="B2165" s="15"/>
      <c r="C2165" s="9">
        <f>IFERROR(__xludf.DUMMYFUNCTION("""COMPUTED_VALUE"""),45121.9005842824)</f>
        <v>45121.90058</v>
      </c>
      <c r="D2165" s="15">
        <f>IFERROR(__xludf.DUMMYFUNCTION("""COMPUTED_VALUE"""),0.999)</f>
        <v>0.999</v>
      </c>
      <c r="E2165" s="16">
        <f>IFERROR(__xludf.DUMMYFUNCTION("""COMPUTED_VALUE"""),70.0)</f>
        <v>70</v>
      </c>
      <c r="F2165" s="19" t="str">
        <f>IFERROR(__xludf.DUMMYFUNCTION("""COMPUTED_VALUE"""),"BLUE")</f>
        <v>BLUE</v>
      </c>
      <c r="G2165" s="20" t="str">
        <f>IFERROR(__xludf.DUMMYFUNCTION("""COMPUTED_VALUE"""),"Uncle Sams Cider (04/04/2023)")</f>
        <v>Uncle Sams Cider (04/04/2023)</v>
      </c>
      <c r="H2165" s="19"/>
    </row>
    <row r="2166">
      <c r="A2166" s="9"/>
      <c r="B2166" s="15"/>
      <c r="C2166" s="9">
        <f>IFERROR(__xludf.DUMMYFUNCTION("""COMPUTED_VALUE"""),45121.8901628819)</f>
        <v>45121.89016</v>
      </c>
      <c r="D2166" s="15">
        <f>IFERROR(__xludf.DUMMYFUNCTION("""COMPUTED_VALUE"""),0.999)</f>
        <v>0.999</v>
      </c>
      <c r="E2166" s="16">
        <f>IFERROR(__xludf.DUMMYFUNCTION("""COMPUTED_VALUE"""),70.0)</f>
        <v>70</v>
      </c>
      <c r="F2166" s="19" t="str">
        <f>IFERROR(__xludf.DUMMYFUNCTION("""COMPUTED_VALUE"""),"BLUE")</f>
        <v>BLUE</v>
      </c>
      <c r="G2166" s="20" t="str">
        <f>IFERROR(__xludf.DUMMYFUNCTION("""COMPUTED_VALUE"""),"Uncle Sams Cider (04/04/2023)")</f>
        <v>Uncle Sams Cider (04/04/2023)</v>
      </c>
      <c r="H2166" s="19"/>
    </row>
    <row r="2167">
      <c r="A2167" s="9"/>
      <c r="B2167" s="15"/>
      <c r="C2167" s="9">
        <f>IFERROR(__xludf.DUMMYFUNCTION("""COMPUTED_VALUE"""),45121.8797411342)</f>
        <v>45121.87974</v>
      </c>
      <c r="D2167" s="15">
        <f>IFERROR(__xludf.DUMMYFUNCTION("""COMPUTED_VALUE"""),0.999)</f>
        <v>0.999</v>
      </c>
      <c r="E2167" s="16">
        <f>IFERROR(__xludf.DUMMYFUNCTION("""COMPUTED_VALUE"""),70.0)</f>
        <v>70</v>
      </c>
      <c r="F2167" s="19" t="str">
        <f>IFERROR(__xludf.DUMMYFUNCTION("""COMPUTED_VALUE"""),"BLUE")</f>
        <v>BLUE</v>
      </c>
      <c r="G2167" s="20" t="str">
        <f>IFERROR(__xludf.DUMMYFUNCTION("""COMPUTED_VALUE"""),"Uncle Sams Cider (04/04/2023)")</f>
        <v>Uncle Sams Cider (04/04/2023)</v>
      </c>
      <c r="H2167" s="19"/>
    </row>
    <row r="2168">
      <c r="A2168" s="9"/>
      <c r="B2168" s="15"/>
      <c r="C2168" s="9">
        <f>IFERROR(__xludf.DUMMYFUNCTION("""COMPUTED_VALUE"""),45121.8693080555)</f>
        <v>45121.86931</v>
      </c>
      <c r="D2168" s="15">
        <f>IFERROR(__xludf.DUMMYFUNCTION("""COMPUTED_VALUE"""),0.999)</f>
        <v>0.999</v>
      </c>
      <c r="E2168" s="16">
        <f>IFERROR(__xludf.DUMMYFUNCTION("""COMPUTED_VALUE"""),70.0)</f>
        <v>70</v>
      </c>
      <c r="F2168" s="19" t="str">
        <f>IFERROR(__xludf.DUMMYFUNCTION("""COMPUTED_VALUE"""),"BLUE")</f>
        <v>BLUE</v>
      </c>
      <c r="G2168" s="20" t="str">
        <f>IFERROR(__xludf.DUMMYFUNCTION("""COMPUTED_VALUE"""),"Uncle Sams Cider (04/04/2023)")</f>
        <v>Uncle Sams Cider (04/04/2023)</v>
      </c>
      <c r="H2168" s="19"/>
    </row>
    <row r="2169">
      <c r="A2169" s="9"/>
      <c r="B2169" s="15"/>
      <c r="C2169" s="9">
        <f>IFERROR(__xludf.DUMMYFUNCTION("""COMPUTED_VALUE"""),45121.8588845254)</f>
        <v>45121.85888</v>
      </c>
      <c r="D2169" s="15">
        <f>IFERROR(__xludf.DUMMYFUNCTION("""COMPUTED_VALUE"""),0.999)</f>
        <v>0.999</v>
      </c>
      <c r="E2169" s="16">
        <f>IFERROR(__xludf.DUMMYFUNCTION("""COMPUTED_VALUE"""),70.0)</f>
        <v>70</v>
      </c>
      <c r="F2169" s="19" t="str">
        <f>IFERROR(__xludf.DUMMYFUNCTION("""COMPUTED_VALUE"""),"BLUE")</f>
        <v>BLUE</v>
      </c>
      <c r="G2169" s="20" t="str">
        <f>IFERROR(__xludf.DUMMYFUNCTION("""COMPUTED_VALUE"""),"Uncle Sams Cider (04/04/2023)")</f>
        <v>Uncle Sams Cider (04/04/2023)</v>
      </c>
      <c r="H2169" s="19"/>
    </row>
    <row r="2170">
      <c r="A2170" s="9"/>
      <c r="B2170" s="15"/>
      <c r="C2170" s="9">
        <f>IFERROR(__xludf.DUMMYFUNCTION("""COMPUTED_VALUE"""),45121.8484633217)</f>
        <v>45121.84846</v>
      </c>
      <c r="D2170" s="15">
        <f>IFERROR(__xludf.DUMMYFUNCTION("""COMPUTED_VALUE"""),0.999)</f>
        <v>0.999</v>
      </c>
      <c r="E2170" s="16">
        <f>IFERROR(__xludf.DUMMYFUNCTION("""COMPUTED_VALUE"""),70.0)</f>
        <v>70</v>
      </c>
      <c r="F2170" s="19" t="str">
        <f>IFERROR(__xludf.DUMMYFUNCTION("""COMPUTED_VALUE"""),"BLUE")</f>
        <v>BLUE</v>
      </c>
      <c r="G2170" s="20" t="str">
        <f>IFERROR(__xludf.DUMMYFUNCTION("""COMPUTED_VALUE"""),"Uncle Sams Cider (04/04/2023)")</f>
        <v>Uncle Sams Cider (04/04/2023)</v>
      </c>
      <c r="H2170" s="19"/>
    </row>
    <row r="2171">
      <c r="A2171" s="9"/>
      <c r="B2171" s="15"/>
      <c r="C2171" s="9">
        <f>IFERROR(__xludf.DUMMYFUNCTION("""COMPUTED_VALUE"""),45121.8380406944)</f>
        <v>45121.83804</v>
      </c>
      <c r="D2171" s="15">
        <f>IFERROR(__xludf.DUMMYFUNCTION("""COMPUTED_VALUE"""),0.999)</f>
        <v>0.999</v>
      </c>
      <c r="E2171" s="16">
        <f>IFERROR(__xludf.DUMMYFUNCTION("""COMPUTED_VALUE"""),70.0)</f>
        <v>70</v>
      </c>
      <c r="F2171" s="19" t="str">
        <f>IFERROR(__xludf.DUMMYFUNCTION("""COMPUTED_VALUE"""),"BLUE")</f>
        <v>BLUE</v>
      </c>
      <c r="G2171" s="20" t="str">
        <f>IFERROR(__xludf.DUMMYFUNCTION("""COMPUTED_VALUE"""),"Uncle Sams Cider (04/04/2023)")</f>
        <v>Uncle Sams Cider (04/04/2023)</v>
      </c>
      <c r="H2171" s="19"/>
    </row>
    <row r="2172">
      <c r="A2172" s="9"/>
      <c r="B2172" s="15"/>
      <c r="C2172" s="9">
        <f>IFERROR(__xludf.DUMMYFUNCTION("""COMPUTED_VALUE"""),45121.8276187384)</f>
        <v>45121.82762</v>
      </c>
      <c r="D2172" s="15">
        <f>IFERROR(__xludf.DUMMYFUNCTION("""COMPUTED_VALUE"""),0.999)</f>
        <v>0.999</v>
      </c>
      <c r="E2172" s="16">
        <f>IFERROR(__xludf.DUMMYFUNCTION("""COMPUTED_VALUE"""),70.0)</f>
        <v>70</v>
      </c>
      <c r="F2172" s="19" t="str">
        <f>IFERROR(__xludf.DUMMYFUNCTION("""COMPUTED_VALUE"""),"BLUE")</f>
        <v>BLUE</v>
      </c>
      <c r="G2172" s="20" t="str">
        <f>IFERROR(__xludf.DUMMYFUNCTION("""COMPUTED_VALUE"""),"Uncle Sams Cider (04/04/2023)")</f>
        <v>Uncle Sams Cider (04/04/2023)</v>
      </c>
      <c r="H2172" s="19"/>
    </row>
    <row r="2173">
      <c r="A2173" s="9"/>
      <c r="B2173" s="15"/>
      <c r="C2173" s="9">
        <f>IFERROR(__xludf.DUMMYFUNCTION("""COMPUTED_VALUE"""),45121.8171383217)</f>
        <v>45121.81714</v>
      </c>
      <c r="D2173" s="15">
        <f>IFERROR(__xludf.DUMMYFUNCTION("""COMPUTED_VALUE"""),0.999)</f>
        <v>0.999</v>
      </c>
      <c r="E2173" s="16">
        <f>IFERROR(__xludf.DUMMYFUNCTION("""COMPUTED_VALUE"""),70.0)</f>
        <v>70</v>
      </c>
      <c r="F2173" s="19" t="str">
        <f>IFERROR(__xludf.DUMMYFUNCTION("""COMPUTED_VALUE"""),"BLUE")</f>
        <v>BLUE</v>
      </c>
      <c r="G2173" s="20" t="str">
        <f>IFERROR(__xludf.DUMMYFUNCTION("""COMPUTED_VALUE"""),"Uncle Sams Cider (04/04/2023)")</f>
        <v>Uncle Sams Cider (04/04/2023)</v>
      </c>
      <c r="H2173" s="19"/>
    </row>
    <row r="2174">
      <c r="A2174" s="9"/>
      <c r="B2174" s="15"/>
      <c r="C2174" s="9">
        <f>IFERROR(__xludf.DUMMYFUNCTION("""COMPUTED_VALUE"""),45121.806705081)</f>
        <v>45121.80671</v>
      </c>
      <c r="D2174" s="15">
        <f>IFERROR(__xludf.DUMMYFUNCTION("""COMPUTED_VALUE"""),0.999)</f>
        <v>0.999</v>
      </c>
      <c r="E2174" s="16">
        <f>IFERROR(__xludf.DUMMYFUNCTION("""COMPUTED_VALUE"""),70.0)</f>
        <v>70</v>
      </c>
      <c r="F2174" s="19" t="str">
        <f>IFERROR(__xludf.DUMMYFUNCTION("""COMPUTED_VALUE"""),"BLUE")</f>
        <v>BLUE</v>
      </c>
      <c r="G2174" s="20" t="str">
        <f>IFERROR(__xludf.DUMMYFUNCTION("""COMPUTED_VALUE"""),"Uncle Sams Cider (04/04/2023)")</f>
        <v>Uncle Sams Cider (04/04/2023)</v>
      </c>
      <c r="H2174" s="19"/>
    </row>
    <row r="2175">
      <c r="A2175" s="9"/>
      <c r="B2175" s="15"/>
      <c r="C2175" s="9">
        <f>IFERROR(__xludf.DUMMYFUNCTION("""COMPUTED_VALUE"""),45121.7962853703)</f>
        <v>45121.79629</v>
      </c>
      <c r="D2175" s="15">
        <f>IFERROR(__xludf.DUMMYFUNCTION("""COMPUTED_VALUE"""),0.999)</f>
        <v>0.999</v>
      </c>
      <c r="E2175" s="16">
        <f>IFERROR(__xludf.DUMMYFUNCTION("""COMPUTED_VALUE"""),70.0)</f>
        <v>70</v>
      </c>
      <c r="F2175" s="19" t="str">
        <f>IFERROR(__xludf.DUMMYFUNCTION("""COMPUTED_VALUE"""),"BLUE")</f>
        <v>BLUE</v>
      </c>
      <c r="G2175" s="20" t="str">
        <f>IFERROR(__xludf.DUMMYFUNCTION("""COMPUTED_VALUE"""),"Uncle Sams Cider (04/04/2023)")</f>
        <v>Uncle Sams Cider (04/04/2023)</v>
      </c>
      <c r="H2175" s="19"/>
    </row>
    <row r="2176">
      <c r="A2176" s="9"/>
      <c r="B2176" s="15"/>
      <c r="C2176" s="9">
        <f>IFERROR(__xludf.DUMMYFUNCTION("""COMPUTED_VALUE"""),45121.7858640277)</f>
        <v>45121.78586</v>
      </c>
      <c r="D2176" s="15">
        <f>IFERROR(__xludf.DUMMYFUNCTION("""COMPUTED_VALUE"""),0.999)</f>
        <v>0.999</v>
      </c>
      <c r="E2176" s="16">
        <f>IFERROR(__xludf.DUMMYFUNCTION("""COMPUTED_VALUE"""),70.0)</f>
        <v>70</v>
      </c>
      <c r="F2176" s="19" t="str">
        <f>IFERROR(__xludf.DUMMYFUNCTION("""COMPUTED_VALUE"""),"BLUE")</f>
        <v>BLUE</v>
      </c>
      <c r="G2176" s="20" t="str">
        <f>IFERROR(__xludf.DUMMYFUNCTION("""COMPUTED_VALUE"""),"Uncle Sams Cider (04/04/2023)")</f>
        <v>Uncle Sams Cider (04/04/2023)</v>
      </c>
      <c r="H2176" s="19"/>
    </row>
    <row r="2177">
      <c r="A2177" s="9"/>
      <c r="B2177" s="15"/>
      <c r="C2177" s="9">
        <f>IFERROR(__xludf.DUMMYFUNCTION("""COMPUTED_VALUE"""),45121.7754422801)</f>
        <v>45121.77544</v>
      </c>
      <c r="D2177" s="15">
        <f>IFERROR(__xludf.DUMMYFUNCTION("""COMPUTED_VALUE"""),0.999)</f>
        <v>0.999</v>
      </c>
      <c r="E2177" s="16">
        <f>IFERROR(__xludf.DUMMYFUNCTION("""COMPUTED_VALUE"""),70.0)</f>
        <v>70</v>
      </c>
      <c r="F2177" s="19" t="str">
        <f>IFERROR(__xludf.DUMMYFUNCTION("""COMPUTED_VALUE"""),"BLUE")</f>
        <v>BLUE</v>
      </c>
      <c r="G2177" s="20" t="str">
        <f>IFERROR(__xludf.DUMMYFUNCTION("""COMPUTED_VALUE"""),"Uncle Sams Cider (04/04/2023)")</f>
        <v>Uncle Sams Cider (04/04/2023)</v>
      </c>
      <c r="H2177" s="19"/>
    </row>
    <row r="2178">
      <c r="A2178" s="9"/>
      <c r="B2178" s="15"/>
      <c r="C2178" s="9">
        <f>IFERROR(__xludf.DUMMYFUNCTION("""COMPUTED_VALUE"""),45121.7650215277)</f>
        <v>45121.76502</v>
      </c>
      <c r="D2178" s="15">
        <f>IFERROR(__xludf.DUMMYFUNCTION("""COMPUTED_VALUE"""),0.999)</f>
        <v>0.999</v>
      </c>
      <c r="E2178" s="16">
        <f>IFERROR(__xludf.DUMMYFUNCTION("""COMPUTED_VALUE"""),70.0)</f>
        <v>70</v>
      </c>
      <c r="F2178" s="19" t="str">
        <f>IFERROR(__xludf.DUMMYFUNCTION("""COMPUTED_VALUE"""),"BLUE")</f>
        <v>BLUE</v>
      </c>
      <c r="G2178" s="20" t="str">
        <f>IFERROR(__xludf.DUMMYFUNCTION("""COMPUTED_VALUE"""),"Uncle Sams Cider (04/04/2023)")</f>
        <v>Uncle Sams Cider (04/04/2023)</v>
      </c>
      <c r="H2178" s="19"/>
    </row>
    <row r="2179">
      <c r="A2179" s="9"/>
      <c r="B2179" s="15"/>
      <c r="C2179" s="9">
        <f>IFERROR(__xludf.DUMMYFUNCTION("""COMPUTED_VALUE"""),45121.7545993865)</f>
        <v>45121.7546</v>
      </c>
      <c r="D2179" s="15">
        <f>IFERROR(__xludf.DUMMYFUNCTION("""COMPUTED_VALUE"""),0.999)</f>
        <v>0.999</v>
      </c>
      <c r="E2179" s="16">
        <f>IFERROR(__xludf.DUMMYFUNCTION("""COMPUTED_VALUE"""),70.0)</f>
        <v>70</v>
      </c>
      <c r="F2179" s="19" t="str">
        <f>IFERROR(__xludf.DUMMYFUNCTION("""COMPUTED_VALUE"""),"BLUE")</f>
        <v>BLUE</v>
      </c>
      <c r="G2179" s="20" t="str">
        <f>IFERROR(__xludf.DUMMYFUNCTION("""COMPUTED_VALUE"""),"Uncle Sams Cider (04/04/2023)")</f>
        <v>Uncle Sams Cider (04/04/2023)</v>
      </c>
      <c r="H2179" s="19"/>
    </row>
    <row r="2180">
      <c r="A2180" s="9"/>
      <c r="B2180" s="15"/>
      <c r="C2180" s="9">
        <f>IFERROR(__xludf.DUMMYFUNCTION("""COMPUTED_VALUE"""),45121.744166875)</f>
        <v>45121.74417</v>
      </c>
      <c r="D2180" s="15">
        <f>IFERROR(__xludf.DUMMYFUNCTION("""COMPUTED_VALUE"""),0.999)</f>
        <v>0.999</v>
      </c>
      <c r="E2180" s="16">
        <f>IFERROR(__xludf.DUMMYFUNCTION("""COMPUTED_VALUE"""),70.0)</f>
        <v>70</v>
      </c>
      <c r="F2180" s="19" t="str">
        <f>IFERROR(__xludf.DUMMYFUNCTION("""COMPUTED_VALUE"""),"BLUE")</f>
        <v>BLUE</v>
      </c>
      <c r="G2180" s="20" t="str">
        <f>IFERROR(__xludf.DUMMYFUNCTION("""COMPUTED_VALUE"""),"Uncle Sams Cider (04/04/2023)")</f>
        <v>Uncle Sams Cider (04/04/2023)</v>
      </c>
      <c r="H2180" s="19"/>
    </row>
    <row r="2181">
      <c r="A2181" s="9"/>
      <c r="B2181" s="15"/>
      <c r="C2181" s="9">
        <f>IFERROR(__xludf.DUMMYFUNCTION("""COMPUTED_VALUE"""),45121.7337465856)</f>
        <v>45121.73375</v>
      </c>
      <c r="D2181" s="15">
        <f>IFERROR(__xludf.DUMMYFUNCTION("""COMPUTED_VALUE"""),0.999)</f>
        <v>0.999</v>
      </c>
      <c r="E2181" s="16">
        <f>IFERROR(__xludf.DUMMYFUNCTION("""COMPUTED_VALUE"""),70.0)</f>
        <v>70</v>
      </c>
      <c r="F2181" s="19" t="str">
        <f>IFERROR(__xludf.DUMMYFUNCTION("""COMPUTED_VALUE"""),"BLUE")</f>
        <v>BLUE</v>
      </c>
      <c r="G2181" s="20" t="str">
        <f>IFERROR(__xludf.DUMMYFUNCTION("""COMPUTED_VALUE"""),"Uncle Sams Cider (04/04/2023)")</f>
        <v>Uncle Sams Cider (04/04/2023)</v>
      </c>
      <c r="H2181" s="19"/>
    </row>
    <row r="2182">
      <c r="A2182" s="9"/>
      <c r="B2182" s="15"/>
      <c r="C2182" s="9">
        <f>IFERROR(__xludf.DUMMYFUNCTION("""COMPUTED_VALUE"""),45121.7233251157)</f>
        <v>45121.72333</v>
      </c>
      <c r="D2182" s="15">
        <f>IFERROR(__xludf.DUMMYFUNCTION("""COMPUTED_VALUE"""),0.999)</f>
        <v>0.999</v>
      </c>
      <c r="E2182" s="16">
        <f>IFERROR(__xludf.DUMMYFUNCTION("""COMPUTED_VALUE"""),70.0)</f>
        <v>70</v>
      </c>
      <c r="F2182" s="19" t="str">
        <f>IFERROR(__xludf.DUMMYFUNCTION("""COMPUTED_VALUE"""),"BLUE")</f>
        <v>BLUE</v>
      </c>
      <c r="G2182" s="20" t="str">
        <f>IFERROR(__xludf.DUMMYFUNCTION("""COMPUTED_VALUE"""),"Uncle Sams Cider (04/04/2023)")</f>
        <v>Uncle Sams Cider (04/04/2023)</v>
      </c>
      <c r="H2182" s="19"/>
    </row>
    <row r="2183">
      <c r="A2183" s="9"/>
      <c r="B2183" s="15"/>
      <c r="C2183" s="9">
        <f>IFERROR(__xludf.DUMMYFUNCTION("""COMPUTED_VALUE"""),45121.7129032638)</f>
        <v>45121.7129</v>
      </c>
      <c r="D2183" s="15">
        <f>IFERROR(__xludf.DUMMYFUNCTION("""COMPUTED_VALUE"""),0.999)</f>
        <v>0.999</v>
      </c>
      <c r="E2183" s="16">
        <f>IFERROR(__xludf.DUMMYFUNCTION("""COMPUTED_VALUE"""),71.0)</f>
        <v>71</v>
      </c>
      <c r="F2183" s="19" t="str">
        <f>IFERROR(__xludf.DUMMYFUNCTION("""COMPUTED_VALUE"""),"BLUE")</f>
        <v>BLUE</v>
      </c>
      <c r="G2183" s="20" t="str">
        <f>IFERROR(__xludf.DUMMYFUNCTION("""COMPUTED_VALUE"""),"Uncle Sams Cider (04/04/2023)")</f>
        <v>Uncle Sams Cider (04/04/2023)</v>
      </c>
      <c r="H2183" s="19"/>
    </row>
    <row r="2184">
      <c r="A2184" s="9"/>
      <c r="B2184" s="15"/>
      <c r="C2184" s="9">
        <f>IFERROR(__xludf.DUMMYFUNCTION("""COMPUTED_VALUE"""),45121.7024811342)</f>
        <v>45121.70248</v>
      </c>
      <c r="D2184" s="15">
        <f>IFERROR(__xludf.DUMMYFUNCTION("""COMPUTED_VALUE"""),0.999)</f>
        <v>0.999</v>
      </c>
      <c r="E2184" s="16">
        <f>IFERROR(__xludf.DUMMYFUNCTION("""COMPUTED_VALUE"""),70.0)</f>
        <v>70</v>
      </c>
      <c r="F2184" s="19" t="str">
        <f>IFERROR(__xludf.DUMMYFUNCTION("""COMPUTED_VALUE"""),"BLUE")</f>
        <v>BLUE</v>
      </c>
      <c r="G2184" s="20" t="str">
        <f>IFERROR(__xludf.DUMMYFUNCTION("""COMPUTED_VALUE"""),"Uncle Sams Cider (04/04/2023)")</f>
        <v>Uncle Sams Cider (04/04/2023)</v>
      </c>
      <c r="H2184" s="19"/>
    </row>
    <row r="2185">
      <c r="A2185" s="9"/>
      <c r="B2185" s="15"/>
      <c r="C2185" s="9">
        <f>IFERROR(__xludf.DUMMYFUNCTION("""COMPUTED_VALUE"""),45121.6920606828)</f>
        <v>45121.69206</v>
      </c>
      <c r="D2185" s="15">
        <f>IFERROR(__xludf.DUMMYFUNCTION("""COMPUTED_VALUE"""),0.999)</f>
        <v>0.999</v>
      </c>
      <c r="E2185" s="16">
        <f>IFERROR(__xludf.DUMMYFUNCTION("""COMPUTED_VALUE"""),70.0)</f>
        <v>70</v>
      </c>
      <c r="F2185" s="19" t="str">
        <f>IFERROR(__xludf.DUMMYFUNCTION("""COMPUTED_VALUE"""),"BLUE")</f>
        <v>BLUE</v>
      </c>
      <c r="G2185" s="20" t="str">
        <f>IFERROR(__xludf.DUMMYFUNCTION("""COMPUTED_VALUE"""),"Uncle Sams Cider (04/04/2023)")</f>
        <v>Uncle Sams Cider (04/04/2023)</v>
      </c>
      <c r="H2185" s="19"/>
    </row>
    <row r="2186">
      <c r="A2186" s="9"/>
      <c r="B2186" s="15"/>
      <c r="C2186" s="9">
        <f>IFERROR(__xludf.DUMMYFUNCTION("""COMPUTED_VALUE"""),45121.6816281828)</f>
        <v>45121.68163</v>
      </c>
      <c r="D2186" s="15">
        <f>IFERROR(__xludf.DUMMYFUNCTION("""COMPUTED_VALUE"""),0.999)</f>
        <v>0.999</v>
      </c>
      <c r="E2186" s="16">
        <f>IFERROR(__xludf.DUMMYFUNCTION("""COMPUTED_VALUE"""),70.0)</f>
        <v>70</v>
      </c>
      <c r="F2186" s="19" t="str">
        <f>IFERROR(__xludf.DUMMYFUNCTION("""COMPUTED_VALUE"""),"BLUE")</f>
        <v>BLUE</v>
      </c>
      <c r="G2186" s="20" t="str">
        <f>IFERROR(__xludf.DUMMYFUNCTION("""COMPUTED_VALUE"""),"Uncle Sams Cider (04/04/2023)")</f>
        <v>Uncle Sams Cider (04/04/2023)</v>
      </c>
      <c r="H2186" s="19"/>
    </row>
    <row r="2187">
      <c r="A2187" s="9"/>
      <c r="B2187" s="15"/>
      <c r="C2187" s="9">
        <f>IFERROR(__xludf.DUMMYFUNCTION("""COMPUTED_VALUE"""),45121.6712075)</f>
        <v>45121.67121</v>
      </c>
      <c r="D2187" s="15">
        <f>IFERROR(__xludf.DUMMYFUNCTION("""COMPUTED_VALUE"""),0.999)</f>
        <v>0.999</v>
      </c>
      <c r="E2187" s="16">
        <f>IFERROR(__xludf.DUMMYFUNCTION("""COMPUTED_VALUE"""),70.0)</f>
        <v>70</v>
      </c>
      <c r="F2187" s="19" t="str">
        <f>IFERROR(__xludf.DUMMYFUNCTION("""COMPUTED_VALUE"""),"BLUE")</f>
        <v>BLUE</v>
      </c>
      <c r="G2187" s="20" t="str">
        <f>IFERROR(__xludf.DUMMYFUNCTION("""COMPUTED_VALUE"""),"Uncle Sams Cider (04/04/2023)")</f>
        <v>Uncle Sams Cider (04/04/2023)</v>
      </c>
      <c r="H2187" s="19"/>
    </row>
    <row r="2188">
      <c r="A2188" s="9"/>
      <c r="B2188" s="15"/>
      <c r="C2188" s="9">
        <f>IFERROR(__xludf.DUMMYFUNCTION("""COMPUTED_VALUE"""),45121.6607861689)</f>
        <v>45121.66079</v>
      </c>
      <c r="D2188" s="15">
        <f>IFERROR(__xludf.DUMMYFUNCTION("""COMPUTED_VALUE"""),0.999)</f>
        <v>0.999</v>
      </c>
      <c r="E2188" s="16">
        <f>IFERROR(__xludf.DUMMYFUNCTION("""COMPUTED_VALUE"""),71.0)</f>
        <v>71</v>
      </c>
      <c r="F2188" s="19" t="str">
        <f>IFERROR(__xludf.DUMMYFUNCTION("""COMPUTED_VALUE"""),"BLUE")</f>
        <v>BLUE</v>
      </c>
      <c r="G2188" s="20" t="str">
        <f>IFERROR(__xludf.DUMMYFUNCTION("""COMPUTED_VALUE"""),"Uncle Sams Cider (04/04/2023)")</f>
        <v>Uncle Sams Cider (04/04/2023)</v>
      </c>
      <c r="H2188" s="19"/>
    </row>
    <row r="2189">
      <c r="A2189" s="9"/>
      <c r="B2189" s="15"/>
      <c r="C2189" s="9">
        <f>IFERROR(__xludf.DUMMYFUNCTION("""COMPUTED_VALUE"""),45121.6503313194)</f>
        <v>45121.65033</v>
      </c>
      <c r="D2189" s="15">
        <f>IFERROR(__xludf.DUMMYFUNCTION("""COMPUTED_VALUE"""),0.999)</f>
        <v>0.999</v>
      </c>
      <c r="E2189" s="16">
        <f>IFERROR(__xludf.DUMMYFUNCTION("""COMPUTED_VALUE"""),71.0)</f>
        <v>71</v>
      </c>
      <c r="F2189" s="19" t="str">
        <f>IFERROR(__xludf.DUMMYFUNCTION("""COMPUTED_VALUE"""),"BLUE")</f>
        <v>BLUE</v>
      </c>
      <c r="G2189" s="20" t="str">
        <f>IFERROR(__xludf.DUMMYFUNCTION("""COMPUTED_VALUE"""),"Uncle Sams Cider (04/04/2023)")</f>
        <v>Uncle Sams Cider (04/04/2023)</v>
      </c>
      <c r="H2189" s="19"/>
    </row>
    <row r="2190">
      <c r="A2190" s="9"/>
      <c r="B2190" s="15"/>
      <c r="C2190" s="9">
        <f>IFERROR(__xludf.DUMMYFUNCTION("""COMPUTED_VALUE"""),45121.6399101157)</f>
        <v>45121.63991</v>
      </c>
      <c r="D2190" s="15">
        <f>IFERROR(__xludf.DUMMYFUNCTION("""COMPUTED_VALUE"""),0.999)</f>
        <v>0.999</v>
      </c>
      <c r="E2190" s="16">
        <f>IFERROR(__xludf.DUMMYFUNCTION("""COMPUTED_VALUE"""),71.0)</f>
        <v>71</v>
      </c>
      <c r="F2190" s="19" t="str">
        <f>IFERROR(__xludf.DUMMYFUNCTION("""COMPUTED_VALUE"""),"BLUE")</f>
        <v>BLUE</v>
      </c>
      <c r="G2190" s="20" t="str">
        <f>IFERROR(__xludf.DUMMYFUNCTION("""COMPUTED_VALUE"""),"Uncle Sams Cider (04/04/2023)")</f>
        <v>Uncle Sams Cider (04/04/2023)</v>
      </c>
      <c r="H2190" s="19"/>
    </row>
    <row r="2191">
      <c r="A2191" s="9"/>
      <c r="B2191" s="15"/>
      <c r="C2191" s="9">
        <f>IFERROR(__xludf.DUMMYFUNCTION("""COMPUTED_VALUE"""),45121.6294905324)</f>
        <v>45121.62949</v>
      </c>
      <c r="D2191" s="15">
        <f>IFERROR(__xludf.DUMMYFUNCTION("""COMPUTED_VALUE"""),0.999)</f>
        <v>0.999</v>
      </c>
      <c r="E2191" s="16">
        <f>IFERROR(__xludf.DUMMYFUNCTION("""COMPUTED_VALUE"""),71.0)</f>
        <v>71</v>
      </c>
      <c r="F2191" s="19" t="str">
        <f>IFERROR(__xludf.DUMMYFUNCTION("""COMPUTED_VALUE"""),"BLUE")</f>
        <v>BLUE</v>
      </c>
      <c r="G2191" s="20" t="str">
        <f>IFERROR(__xludf.DUMMYFUNCTION("""COMPUTED_VALUE"""),"Uncle Sams Cider (04/04/2023)")</f>
        <v>Uncle Sams Cider (04/04/2023)</v>
      </c>
      <c r="H2191" s="19"/>
    </row>
    <row r="2192">
      <c r="A2192" s="9"/>
      <c r="B2192" s="15"/>
      <c r="C2192" s="9">
        <f>IFERROR(__xludf.DUMMYFUNCTION("""COMPUTED_VALUE"""),45121.6190698263)</f>
        <v>45121.61907</v>
      </c>
      <c r="D2192" s="15">
        <f>IFERROR(__xludf.DUMMYFUNCTION("""COMPUTED_VALUE"""),0.999)</f>
        <v>0.999</v>
      </c>
      <c r="E2192" s="16">
        <f>IFERROR(__xludf.DUMMYFUNCTION("""COMPUTED_VALUE"""),71.0)</f>
        <v>71</v>
      </c>
      <c r="F2192" s="19" t="str">
        <f>IFERROR(__xludf.DUMMYFUNCTION("""COMPUTED_VALUE"""),"BLUE")</f>
        <v>BLUE</v>
      </c>
      <c r="G2192" s="20" t="str">
        <f>IFERROR(__xludf.DUMMYFUNCTION("""COMPUTED_VALUE"""),"Uncle Sams Cider (04/04/2023)")</f>
        <v>Uncle Sams Cider (04/04/2023)</v>
      </c>
      <c r="H2192" s="19"/>
    </row>
    <row r="2193">
      <c r="A2193" s="9"/>
      <c r="B2193" s="15"/>
      <c r="C2193" s="9">
        <f>IFERROR(__xludf.DUMMYFUNCTION("""COMPUTED_VALUE"""),45121.6086509259)</f>
        <v>45121.60865</v>
      </c>
      <c r="D2193" s="15">
        <f>IFERROR(__xludf.DUMMYFUNCTION("""COMPUTED_VALUE"""),0.999)</f>
        <v>0.999</v>
      </c>
      <c r="E2193" s="16">
        <f>IFERROR(__xludf.DUMMYFUNCTION("""COMPUTED_VALUE"""),71.0)</f>
        <v>71</v>
      </c>
      <c r="F2193" s="19" t="str">
        <f>IFERROR(__xludf.DUMMYFUNCTION("""COMPUTED_VALUE"""),"BLUE")</f>
        <v>BLUE</v>
      </c>
      <c r="G2193" s="20" t="str">
        <f>IFERROR(__xludf.DUMMYFUNCTION("""COMPUTED_VALUE"""),"Uncle Sams Cider (04/04/2023)")</f>
        <v>Uncle Sams Cider (04/04/2023)</v>
      </c>
      <c r="H2193" s="19"/>
    </row>
    <row r="2194">
      <c r="A2194" s="9"/>
      <c r="B2194" s="15"/>
      <c r="C2194" s="9">
        <f>IFERROR(__xludf.DUMMYFUNCTION("""COMPUTED_VALUE"""),45121.5982292824)</f>
        <v>45121.59823</v>
      </c>
      <c r="D2194" s="15">
        <f>IFERROR(__xludf.DUMMYFUNCTION("""COMPUTED_VALUE"""),0.999)</f>
        <v>0.999</v>
      </c>
      <c r="E2194" s="16">
        <f>IFERROR(__xludf.DUMMYFUNCTION("""COMPUTED_VALUE"""),71.0)</f>
        <v>71</v>
      </c>
      <c r="F2194" s="19" t="str">
        <f>IFERROR(__xludf.DUMMYFUNCTION("""COMPUTED_VALUE"""),"BLUE")</f>
        <v>BLUE</v>
      </c>
      <c r="G2194" s="20" t="str">
        <f>IFERROR(__xludf.DUMMYFUNCTION("""COMPUTED_VALUE"""),"Uncle Sams Cider (04/04/2023)")</f>
        <v>Uncle Sams Cider (04/04/2023)</v>
      </c>
      <c r="H2194" s="19"/>
    </row>
    <row r="2195">
      <c r="A2195" s="9"/>
      <c r="B2195" s="15"/>
      <c r="C2195" s="9">
        <f>IFERROR(__xludf.DUMMYFUNCTION("""COMPUTED_VALUE"""),45121.5877991203)</f>
        <v>45121.5878</v>
      </c>
      <c r="D2195" s="15">
        <f>IFERROR(__xludf.DUMMYFUNCTION("""COMPUTED_VALUE"""),0.999)</f>
        <v>0.999</v>
      </c>
      <c r="E2195" s="16">
        <f>IFERROR(__xludf.DUMMYFUNCTION("""COMPUTED_VALUE"""),71.0)</f>
        <v>71</v>
      </c>
      <c r="F2195" s="19" t="str">
        <f>IFERROR(__xludf.DUMMYFUNCTION("""COMPUTED_VALUE"""),"BLUE")</f>
        <v>BLUE</v>
      </c>
      <c r="G2195" s="20" t="str">
        <f>IFERROR(__xludf.DUMMYFUNCTION("""COMPUTED_VALUE"""),"Uncle Sams Cider (04/04/2023)")</f>
        <v>Uncle Sams Cider (04/04/2023)</v>
      </c>
      <c r="H2195" s="19"/>
    </row>
    <row r="2196">
      <c r="A2196" s="9"/>
      <c r="B2196" s="15"/>
      <c r="C2196" s="9">
        <f>IFERROR(__xludf.DUMMYFUNCTION("""COMPUTED_VALUE"""),45121.5773787963)</f>
        <v>45121.57738</v>
      </c>
      <c r="D2196" s="15">
        <f>IFERROR(__xludf.DUMMYFUNCTION("""COMPUTED_VALUE"""),0.999)</f>
        <v>0.999</v>
      </c>
      <c r="E2196" s="16">
        <f>IFERROR(__xludf.DUMMYFUNCTION("""COMPUTED_VALUE"""),71.0)</f>
        <v>71</v>
      </c>
      <c r="F2196" s="19" t="str">
        <f>IFERROR(__xludf.DUMMYFUNCTION("""COMPUTED_VALUE"""),"BLUE")</f>
        <v>BLUE</v>
      </c>
      <c r="G2196" s="20" t="str">
        <f>IFERROR(__xludf.DUMMYFUNCTION("""COMPUTED_VALUE"""),"Uncle Sams Cider (04/04/2023)")</f>
        <v>Uncle Sams Cider (04/04/2023)</v>
      </c>
      <c r="H2196" s="19"/>
    </row>
    <row r="2197">
      <c r="A2197" s="9"/>
      <c r="B2197" s="15"/>
      <c r="C2197" s="9">
        <f>IFERROR(__xludf.DUMMYFUNCTION("""COMPUTED_VALUE"""),45121.5669578935)</f>
        <v>45121.56696</v>
      </c>
      <c r="D2197" s="15">
        <f>IFERROR(__xludf.DUMMYFUNCTION("""COMPUTED_VALUE"""),0.999)</f>
        <v>0.999</v>
      </c>
      <c r="E2197" s="16">
        <f>IFERROR(__xludf.DUMMYFUNCTION("""COMPUTED_VALUE"""),71.0)</f>
        <v>71</v>
      </c>
      <c r="F2197" s="19" t="str">
        <f>IFERROR(__xludf.DUMMYFUNCTION("""COMPUTED_VALUE"""),"BLUE")</f>
        <v>BLUE</v>
      </c>
      <c r="G2197" s="20" t="str">
        <f>IFERROR(__xludf.DUMMYFUNCTION("""COMPUTED_VALUE"""),"Uncle Sams Cider (04/04/2023)")</f>
        <v>Uncle Sams Cider (04/04/2023)</v>
      </c>
      <c r="H2197" s="19"/>
    </row>
    <row r="2198">
      <c r="A2198" s="9"/>
      <c r="B2198" s="15"/>
      <c r="C2198" s="9">
        <f>IFERROR(__xludf.DUMMYFUNCTION("""COMPUTED_VALUE"""),45121.5565375578)</f>
        <v>45121.55654</v>
      </c>
      <c r="D2198" s="15">
        <f>IFERROR(__xludf.DUMMYFUNCTION("""COMPUTED_VALUE"""),0.999)</f>
        <v>0.999</v>
      </c>
      <c r="E2198" s="16">
        <f>IFERROR(__xludf.DUMMYFUNCTION("""COMPUTED_VALUE"""),71.0)</f>
        <v>71</v>
      </c>
      <c r="F2198" s="19" t="str">
        <f>IFERROR(__xludf.DUMMYFUNCTION("""COMPUTED_VALUE"""),"BLUE")</f>
        <v>BLUE</v>
      </c>
      <c r="G2198" s="20" t="str">
        <f>IFERROR(__xludf.DUMMYFUNCTION("""COMPUTED_VALUE"""),"Uncle Sams Cider (04/04/2023)")</f>
        <v>Uncle Sams Cider (04/04/2023)</v>
      </c>
      <c r="H2198" s="19"/>
    </row>
    <row r="2199">
      <c r="A2199" s="9"/>
      <c r="B2199" s="15"/>
      <c r="C2199" s="9">
        <f>IFERROR(__xludf.DUMMYFUNCTION("""COMPUTED_VALUE"""),45121.5461164699)</f>
        <v>45121.54612</v>
      </c>
      <c r="D2199" s="15">
        <f>IFERROR(__xludf.DUMMYFUNCTION("""COMPUTED_VALUE"""),0.999)</f>
        <v>0.999</v>
      </c>
      <c r="E2199" s="16">
        <f>IFERROR(__xludf.DUMMYFUNCTION("""COMPUTED_VALUE"""),71.0)</f>
        <v>71</v>
      </c>
      <c r="F2199" s="19" t="str">
        <f>IFERROR(__xludf.DUMMYFUNCTION("""COMPUTED_VALUE"""),"BLUE")</f>
        <v>BLUE</v>
      </c>
      <c r="G2199" s="20" t="str">
        <f>IFERROR(__xludf.DUMMYFUNCTION("""COMPUTED_VALUE"""),"Uncle Sams Cider (04/04/2023)")</f>
        <v>Uncle Sams Cider (04/04/2023)</v>
      </c>
      <c r="H2199" s="19"/>
    </row>
    <row r="2200">
      <c r="A2200" s="9"/>
      <c r="B2200" s="15"/>
      <c r="C2200" s="9">
        <f>IFERROR(__xludf.DUMMYFUNCTION("""COMPUTED_VALUE"""),45121.5356938541)</f>
        <v>45121.53569</v>
      </c>
      <c r="D2200" s="15">
        <f>IFERROR(__xludf.DUMMYFUNCTION("""COMPUTED_VALUE"""),0.999)</f>
        <v>0.999</v>
      </c>
      <c r="E2200" s="16">
        <f>IFERROR(__xludf.DUMMYFUNCTION("""COMPUTED_VALUE"""),71.0)</f>
        <v>71</v>
      </c>
      <c r="F2200" s="19" t="str">
        <f>IFERROR(__xludf.DUMMYFUNCTION("""COMPUTED_VALUE"""),"BLUE")</f>
        <v>BLUE</v>
      </c>
      <c r="G2200" s="20" t="str">
        <f>IFERROR(__xludf.DUMMYFUNCTION("""COMPUTED_VALUE"""),"Uncle Sams Cider (04/04/2023)")</f>
        <v>Uncle Sams Cider (04/04/2023)</v>
      </c>
      <c r="H2200" s="19"/>
    </row>
    <row r="2201">
      <c r="A2201" s="9"/>
      <c r="B2201" s="15"/>
      <c r="C2201" s="9">
        <f>IFERROR(__xludf.DUMMYFUNCTION("""COMPUTED_VALUE"""),45121.5252733449)</f>
        <v>45121.52527</v>
      </c>
      <c r="D2201" s="15">
        <f>IFERROR(__xludf.DUMMYFUNCTION("""COMPUTED_VALUE"""),0.999)</f>
        <v>0.999</v>
      </c>
      <c r="E2201" s="16">
        <f>IFERROR(__xludf.DUMMYFUNCTION("""COMPUTED_VALUE"""),71.0)</f>
        <v>71</v>
      </c>
      <c r="F2201" s="19" t="str">
        <f>IFERROR(__xludf.DUMMYFUNCTION("""COMPUTED_VALUE"""),"BLUE")</f>
        <v>BLUE</v>
      </c>
      <c r="G2201" s="20" t="str">
        <f>IFERROR(__xludf.DUMMYFUNCTION("""COMPUTED_VALUE"""),"Uncle Sams Cider (04/04/2023)")</f>
        <v>Uncle Sams Cider (04/04/2023)</v>
      </c>
      <c r="H2201" s="19"/>
    </row>
    <row r="2202">
      <c r="A2202" s="9"/>
      <c r="B2202" s="15"/>
      <c r="C2202" s="9">
        <f>IFERROR(__xludf.DUMMYFUNCTION("""COMPUTED_VALUE"""),45121.5148522106)</f>
        <v>45121.51485</v>
      </c>
      <c r="D2202" s="15">
        <f>IFERROR(__xludf.DUMMYFUNCTION("""COMPUTED_VALUE"""),0.999)</f>
        <v>0.999</v>
      </c>
      <c r="E2202" s="16">
        <f>IFERROR(__xludf.DUMMYFUNCTION("""COMPUTED_VALUE"""),71.0)</f>
        <v>71</v>
      </c>
      <c r="F2202" s="19" t="str">
        <f>IFERROR(__xludf.DUMMYFUNCTION("""COMPUTED_VALUE"""),"BLUE")</f>
        <v>BLUE</v>
      </c>
      <c r="G2202" s="20" t="str">
        <f>IFERROR(__xludf.DUMMYFUNCTION("""COMPUTED_VALUE"""),"Uncle Sams Cider (04/04/2023)")</f>
        <v>Uncle Sams Cider (04/04/2023)</v>
      </c>
      <c r="H2202" s="19"/>
    </row>
    <row r="2203">
      <c r="A2203" s="9"/>
      <c r="B2203" s="15"/>
      <c r="C2203" s="9">
        <f>IFERROR(__xludf.DUMMYFUNCTION("""COMPUTED_VALUE"""),45121.5044306713)</f>
        <v>45121.50443</v>
      </c>
      <c r="D2203" s="15">
        <f>IFERROR(__xludf.DUMMYFUNCTION("""COMPUTED_VALUE"""),0.999)</f>
        <v>0.999</v>
      </c>
      <c r="E2203" s="16">
        <f>IFERROR(__xludf.DUMMYFUNCTION("""COMPUTED_VALUE"""),71.0)</f>
        <v>71</v>
      </c>
      <c r="F2203" s="19" t="str">
        <f>IFERROR(__xludf.DUMMYFUNCTION("""COMPUTED_VALUE"""),"BLUE")</f>
        <v>BLUE</v>
      </c>
      <c r="G2203" s="20" t="str">
        <f>IFERROR(__xludf.DUMMYFUNCTION("""COMPUTED_VALUE"""),"Uncle Sams Cider (04/04/2023)")</f>
        <v>Uncle Sams Cider (04/04/2023)</v>
      </c>
      <c r="H2203" s="19"/>
    </row>
    <row r="2204">
      <c r="A2204" s="9"/>
      <c r="B2204" s="15"/>
      <c r="C2204" s="9">
        <f>IFERROR(__xludf.DUMMYFUNCTION("""COMPUTED_VALUE"""),45121.494010324)</f>
        <v>45121.49401</v>
      </c>
      <c r="D2204" s="15">
        <f>IFERROR(__xludf.DUMMYFUNCTION("""COMPUTED_VALUE"""),0.999)</f>
        <v>0.999</v>
      </c>
      <c r="E2204" s="16">
        <f>IFERROR(__xludf.DUMMYFUNCTION("""COMPUTED_VALUE"""),71.0)</f>
        <v>71</v>
      </c>
      <c r="F2204" s="19" t="str">
        <f>IFERROR(__xludf.DUMMYFUNCTION("""COMPUTED_VALUE"""),"BLUE")</f>
        <v>BLUE</v>
      </c>
      <c r="G2204" s="20" t="str">
        <f>IFERROR(__xludf.DUMMYFUNCTION("""COMPUTED_VALUE"""),"Uncle Sams Cider (04/04/2023)")</f>
        <v>Uncle Sams Cider (04/04/2023)</v>
      </c>
      <c r="H2204" s="19"/>
    </row>
    <row r="2205">
      <c r="A2205" s="9"/>
      <c r="B2205" s="15"/>
      <c r="C2205" s="9">
        <f>IFERROR(__xludf.DUMMYFUNCTION("""COMPUTED_VALUE"""),45121.4835911458)</f>
        <v>45121.48359</v>
      </c>
      <c r="D2205" s="15">
        <f>IFERROR(__xludf.DUMMYFUNCTION("""COMPUTED_VALUE"""),0.999)</f>
        <v>0.999</v>
      </c>
      <c r="E2205" s="16">
        <f>IFERROR(__xludf.DUMMYFUNCTION("""COMPUTED_VALUE"""),71.0)</f>
        <v>71</v>
      </c>
      <c r="F2205" s="19" t="str">
        <f>IFERROR(__xludf.DUMMYFUNCTION("""COMPUTED_VALUE"""),"BLUE")</f>
        <v>BLUE</v>
      </c>
      <c r="G2205" s="20" t="str">
        <f>IFERROR(__xludf.DUMMYFUNCTION("""COMPUTED_VALUE"""),"Uncle Sams Cider (04/04/2023)")</f>
        <v>Uncle Sams Cider (04/04/2023)</v>
      </c>
      <c r="H2205" s="19"/>
    </row>
    <row r="2206">
      <c r="A2206" s="9"/>
      <c r="B2206" s="15"/>
      <c r="C2206" s="9">
        <f>IFERROR(__xludf.DUMMYFUNCTION("""COMPUTED_VALUE"""),45121.4731720833)</f>
        <v>45121.47317</v>
      </c>
      <c r="D2206" s="15">
        <f>IFERROR(__xludf.DUMMYFUNCTION("""COMPUTED_VALUE"""),0.999)</f>
        <v>0.999</v>
      </c>
      <c r="E2206" s="16">
        <f>IFERROR(__xludf.DUMMYFUNCTION("""COMPUTED_VALUE"""),71.0)</f>
        <v>71</v>
      </c>
      <c r="F2206" s="19" t="str">
        <f>IFERROR(__xludf.DUMMYFUNCTION("""COMPUTED_VALUE"""),"BLUE")</f>
        <v>BLUE</v>
      </c>
      <c r="G2206" s="20" t="str">
        <f>IFERROR(__xludf.DUMMYFUNCTION("""COMPUTED_VALUE"""),"Uncle Sams Cider (04/04/2023)")</f>
        <v>Uncle Sams Cider (04/04/2023)</v>
      </c>
      <c r="H2206" s="19"/>
    </row>
    <row r="2207">
      <c r="A2207" s="9"/>
      <c r="B2207" s="15"/>
      <c r="C2207" s="9">
        <f>IFERROR(__xludf.DUMMYFUNCTION("""COMPUTED_VALUE"""),45121.4627270023)</f>
        <v>45121.46273</v>
      </c>
      <c r="D2207" s="15">
        <f>IFERROR(__xludf.DUMMYFUNCTION("""COMPUTED_VALUE"""),0.999)</f>
        <v>0.999</v>
      </c>
      <c r="E2207" s="16">
        <f>IFERROR(__xludf.DUMMYFUNCTION("""COMPUTED_VALUE"""),71.0)</f>
        <v>71</v>
      </c>
      <c r="F2207" s="19" t="str">
        <f>IFERROR(__xludf.DUMMYFUNCTION("""COMPUTED_VALUE"""),"BLUE")</f>
        <v>BLUE</v>
      </c>
      <c r="G2207" s="20" t="str">
        <f>IFERROR(__xludf.DUMMYFUNCTION("""COMPUTED_VALUE"""),"Uncle Sams Cider (04/04/2023)")</f>
        <v>Uncle Sams Cider (04/04/2023)</v>
      </c>
      <c r="H2207" s="19"/>
    </row>
    <row r="2208">
      <c r="A2208" s="9"/>
      <c r="B2208" s="15"/>
      <c r="C2208" s="9">
        <f>IFERROR(__xludf.DUMMYFUNCTION("""COMPUTED_VALUE"""),45121.4522942824)</f>
        <v>45121.45229</v>
      </c>
      <c r="D2208" s="15">
        <f>IFERROR(__xludf.DUMMYFUNCTION("""COMPUTED_VALUE"""),0.999)</f>
        <v>0.999</v>
      </c>
      <c r="E2208" s="16">
        <f>IFERROR(__xludf.DUMMYFUNCTION("""COMPUTED_VALUE"""),71.0)</f>
        <v>71</v>
      </c>
      <c r="F2208" s="19" t="str">
        <f>IFERROR(__xludf.DUMMYFUNCTION("""COMPUTED_VALUE"""),"BLUE")</f>
        <v>BLUE</v>
      </c>
      <c r="G2208" s="20" t="str">
        <f>IFERROR(__xludf.DUMMYFUNCTION("""COMPUTED_VALUE"""),"Uncle Sams Cider (04/04/2023)")</f>
        <v>Uncle Sams Cider (04/04/2023)</v>
      </c>
      <c r="H2208" s="19"/>
    </row>
    <row r="2209">
      <c r="A2209" s="9"/>
      <c r="B2209" s="15"/>
      <c r="C2209" s="9">
        <f>IFERROR(__xludf.DUMMYFUNCTION("""COMPUTED_VALUE"""),45121.4418721064)</f>
        <v>45121.44187</v>
      </c>
      <c r="D2209" s="15">
        <f>IFERROR(__xludf.DUMMYFUNCTION("""COMPUTED_VALUE"""),0.999)</f>
        <v>0.999</v>
      </c>
      <c r="E2209" s="16">
        <f>IFERROR(__xludf.DUMMYFUNCTION("""COMPUTED_VALUE"""),71.0)</f>
        <v>71</v>
      </c>
      <c r="F2209" s="19" t="str">
        <f>IFERROR(__xludf.DUMMYFUNCTION("""COMPUTED_VALUE"""),"BLUE")</f>
        <v>BLUE</v>
      </c>
      <c r="G2209" s="20" t="str">
        <f>IFERROR(__xludf.DUMMYFUNCTION("""COMPUTED_VALUE"""),"Uncle Sams Cider (04/04/2023)")</f>
        <v>Uncle Sams Cider (04/04/2023)</v>
      </c>
      <c r="H2209" s="19"/>
    </row>
    <row r="2210">
      <c r="A2210" s="9"/>
      <c r="B2210" s="15"/>
      <c r="C2210" s="9">
        <f>IFERROR(__xludf.DUMMYFUNCTION("""COMPUTED_VALUE"""),45121.4314515046)</f>
        <v>45121.43145</v>
      </c>
      <c r="D2210" s="15">
        <f>IFERROR(__xludf.DUMMYFUNCTION("""COMPUTED_VALUE"""),0.999)</f>
        <v>0.999</v>
      </c>
      <c r="E2210" s="16">
        <f>IFERROR(__xludf.DUMMYFUNCTION("""COMPUTED_VALUE"""),71.0)</f>
        <v>71</v>
      </c>
      <c r="F2210" s="19" t="str">
        <f>IFERROR(__xludf.DUMMYFUNCTION("""COMPUTED_VALUE"""),"BLUE")</f>
        <v>BLUE</v>
      </c>
      <c r="G2210" s="20" t="str">
        <f>IFERROR(__xludf.DUMMYFUNCTION("""COMPUTED_VALUE"""),"Uncle Sams Cider (04/04/2023)")</f>
        <v>Uncle Sams Cider (04/04/2023)</v>
      </c>
      <c r="H2210" s="19"/>
    </row>
    <row r="2211">
      <c r="A2211" s="9"/>
      <c r="B2211" s="15"/>
      <c r="C2211" s="9">
        <f>IFERROR(__xludf.DUMMYFUNCTION("""COMPUTED_VALUE"""),45121.4210310763)</f>
        <v>45121.42103</v>
      </c>
      <c r="D2211" s="15">
        <f>IFERROR(__xludf.DUMMYFUNCTION("""COMPUTED_VALUE"""),0.999)</f>
        <v>0.999</v>
      </c>
      <c r="E2211" s="16">
        <f>IFERROR(__xludf.DUMMYFUNCTION("""COMPUTED_VALUE"""),71.0)</f>
        <v>71</v>
      </c>
      <c r="F2211" s="19" t="str">
        <f>IFERROR(__xludf.DUMMYFUNCTION("""COMPUTED_VALUE"""),"BLUE")</f>
        <v>BLUE</v>
      </c>
      <c r="G2211" s="20" t="str">
        <f>IFERROR(__xludf.DUMMYFUNCTION("""COMPUTED_VALUE"""),"Uncle Sams Cider (04/04/2023)")</f>
        <v>Uncle Sams Cider (04/04/2023)</v>
      </c>
      <c r="H2211" s="19"/>
    </row>
    <row r="2212">
      <c r="A2212" s="9"/>
      <c r="B2212" s="15"/>
      <c r="C2212" s="9">
        <f>IFERROR(__xludf.DUMMYFUNCTION("""COMPUTED_VALUE"""),45121.4106102199)</f>
        <v>45121.41061</v>
      </c>
      <c r="D2212" s="15">
        <f>IFERROR(__xludf.DUMMYFUNCTION("""COMPUTED_VALUE"""),0.999)</f>
        <v>0.999</v>
      </c>
      <c r="E2212" s="16">
        <f>IFERROR(__xludf.DUMMYFUNCTION("""COMPUTED_VALUE"""),71.0)</f>
        <v>71</v>
      </c>
      <c r="F2212" s="19" t="str">
        <f>IFERROR(__xludf.DUMMYFUNCTION("""COMPUTED_VALUE"""),"BLUE")</f>
        <v>BLUE</v>
      </c>
      <c r="G2212" s="20" t="str">
        <f>IFERROR(__xludf.DUMMYFUNCTION("""COMPUTED_VALUE"""),"Uncle Sams Cider (04/04/2023)")</f>
        <v>Uncle Sams Cider (04/04/2023)</v>
      </c>
      <c r="H2212" s="19"/>
    </row>
    <row r="2213">
      <c r="A2213" s="9"/>
      <c r="B2213" s="15"/>
      <c r="C2213" s="9">
        <f>IFERROR(__xludf.DUMMYFUNCTION("""COMPUTED_VALUE"""),45121.4001785185)</f>
        <v>45121.40018</v>
      </c>
      <c r="D2213" s="15">
        <f>IFERROR(__xludf.DUMMYFUNCTION("""COMPUTED_VALUE"""),0.999)</f>
        <v>0.999</v>
      </c>
      <c r="E2213" s="16">
        <f>IFERROR(__xludf.DUMMYFUNCTION("""COMPUTED_VALUE"""),71.0)</f>
        <v>71</v>
      </c>
      <c r="F2213" s="19" t="str">
        <f>IFERROR(__xludf.DUMMYFUNCTION("""COMPUTED_VALUE"""),"BLUE")</f>
        <v>BLUE</v>
      </c>
      <c r="G2213" s="20" t="str">
        <f>IFERROR(__xludf.DUMMYFUNCTION("""COMPUTED_VALUE"""),"Uncle Sams Cider (04/04/2023)")</f>
        <v>Uncle Sams Cider (04/04/2023)</v>
      </c>
      <c r="H2213" s="19"/>
    </row>
    <row r="2214">
      <c r="A2214" s="9"/>
      <c r="B2214" s="15"/>
      <c r="C2214" s="9">
        <f>IFERROR(__xludf.DUMMYFUNCTION("""COMPUTED_VALUE"""),45121.3897589467)</f>
        <v>45121.38976</v>
      </c>
      <c r="D2214" s="15">
        <f>IFERROR(__xludf.DUMMYFUNCTION("""COMPUTED_VALUE"""),0.999)</f>
        <v>0.999</v>
      </c>
      <c r="E2214" s="16">
        <f>IFERROR(__xludf.DUMMYFUNCTION("""COMPUTED_VALUE"""),71.0)</f>
        <v>71</v>
      </c>
      <c r="F2214" s="19" t="str">
        <f>IFERROR(__xludf.DUMMYFUNCTION("""COMPUTED_VALUE"""),"BLUE")</f>
        <v>BLUE</v>
      </c>
      <c r="G2214" s="20" t="str">
        <f>IFERROR(__xludf.DUMMYFUNCTION("""COMPUTED_VALUE"""),"Uncle Sams Cider (04/04/2023)")</f>
        <v>Uncle Sams Cider (04/04/2023)</v>
      </c>
      <c r="H2214" s="19"/>
    </row>
    <row r="2215">
      <c r="A2215" s="9"/>
      <c r="B2215" s="15"/>
      <c r="C2215" s="9">
        <f>IFERROR(__xludf.DUMMYFUNCTION("""COMPUTED_VALUE"""),45121.3793377546)</f>
        <v>45121.37934</v>
      </c>
      <c r="D2215" s="15">
        <f>IFERROR(__xludf.DUMMYFUNCTION("""COMPUTED_VALUE"""),0.999)</f>
        <v>0.999</v>
      </c>
      <c r="E2215" s="16">
        <f>IFERROR(__xludf.DUMMYFUNCTION("""COMPUTED_VALUE"""),70.0)</f>
        <v>70</v>
      </c>
      <c r="F2215" s="19" t="str">
        <f>IFERROR(__xludf.DUMMYFUNCTION("""COMPUTED_VALUE"""),"BLUE")</f>
        <v>BLUE</v>
      </c>
      <c r="G2215" s="20" t="str">
        <f>IFERROR(__xludf.DUMMYFUNCTION("""COMPUTED_VALUE"""),"Uncle Sams Cider (04/04/2023)")</f>
        <v>Uncle Sams Cider (04/04/2023)</v>
      </c>
      <c r="H2215" s="19"/>
    </row>
    <row r="2216">
      <c r="A2216" s="9"/>
      <c r="B2216" s="15"/>
      <c r="C2216" s="9">
        <f>IFERROR(__xludf.DUMMYFUNCTION("""COMPUTED_VALUE"""),45121.3689187615)</f>
        <v>45121.36892</v>
      </c>
      <c r="D2216" s="15">
        <f>IFERROR(__xludf.DUMMYFUNCTION("""COMPUTED_VALUE"""),0.999)</f>
        <v>0.999</v>
      </c>
      <c r="E2216" s="16">
        <f>IFERROR(__xludf.DUMMYFUNCTION("""COMPUTED_VALUE"""),70.0)</f>
        <v>70</v>
      </c>
      <c r="F2216" s="19" t="str">
        <f>IFERROR(__xludf.DUMMYFUNCTION("""COMPUTED_VALUE"""),"BLUE")</f>
        <v>BLUE</v>
      </c>
      <c r="G2216" s="20" t="str">
        <f>IFERROR(__xludf.DUMMYFUNCTION("""COMPUTED_VALUE"""),"Uncle Sams Cider (04/04/2023)")</f>
        <v>Uncle Sams Cider (04/04/2023)</v>
      </c>
      <c r="H2216" s="19"/>
    </row>
    <row r="2217">
      <c r="A2217" s="9"/>
      <c r="B2217" s="15"/>
      <c r="C2217" s="9">
        <f>IFERROR(__xludf.DUMMYFUNCTION("""COMPUTED_VALUE"""),45121.3584990277)</f>
        <v>45121.3585</v>
      </c>
      <c r="D2217" s="15">
        <f>IFERROR(__xludf.DUMMYFUNCTION("""COMPUTED_VALUE"""),0.999)</f>
        <v>0.999</v>
      </c>
      <c r="E2217" s="16">
        <f>IFERROR(__xludf.DUMMYFUNCTION("""COMPUTED_VALUE"""),71.0)</f>
        <v>71</v>
      </c>
      <c r="F2217" s="19" t="str">
        <f>IFERROR(__xludf.DUMMYFUNCTION("""COMPUTED_VALUE"""),"BLUE")</f>
        <v>BLUE</v>
      </c>
      <c r="G2217" s="20" t="str">
        <f>IFERROR(__xludf.DUMMYFUNCTION("""COMPUTED_VALUE"""),"Uncle Sams Cider (04/04/2023)")</f>
        <v>Uncle Sams Cider (04/04/2023)</v>
      </c>
      <c r="H2217" s="19"/>
    </row>
    <row r="2218">
      <c r="A2218" s="9"/>
      <c r="B2218" s="15"/>
      <c r="C2218" s="9">
        <f>IFERROR(__xludf.DUMMYFUNCTION("""COMPUTED_VALUE"""),45121.3480666551)</f>
        <v>45121.34807</v>
      </c>
      <c r="D2218" s="15">
        <f>IFERROR(__xludf.DUMMYFUNCTION("""COMPUTED_VALUE"""),0.999)</f>
        <v>0.999</v>
      </c>
      <c r="E2218" s="16">
        <f>IFERROR(__xludf.DUMMYFUNCTION("""COMPUTED_VALUE"""),71.0)</f>
        <v>71</v>
      </c>
      <c r="F2218" s="19" t="str">
        <f>IFERROR(__xludf.DUMMYFUNCTION("""COMPUTED_VALUE"""),"BLUE")</f>
        <v>BLUE</v>
      </c>
      <c r="G2218" s="20" t="str">
        <f>IFERROR(__xludf.DUMMYFUNCTION("""COMPUTED_VALUE"""),"Uncle Sams Cider (04/04/2023)")</f>
        <v>Uncle Sams Cider (04/04/2023)</v>
      </c>
      <c r="H2218" s="19"/>
    </row>
    <row r="2219">
      <c r="A2219" s="9"/>
      <c r="B2219" s="15"/>
      <c r="C2219" s="9">
        <f>IFERROR(__xludf.DUMMYFUNCTION("""COMPUTED_VALUE"""),45121.3376335763)</f>
        <v>45121.33763</v>
      </c>
      <c r="D2219" s="15">
        <f>IFERROR(__xludf.DUMMYFUNCTION("""COMPUTED_VALUE"""),0.999)</f>
        <v>0.999</v>
      </c>
      <c r="E2219" s="16">
        <f>IFERROR(__xludf.DUMMYFUNCTION("""COMPUTED_VALUE"""),71.0)</f>
        <v>71</v>
      </c>
      <c r="F2219" s="19" t="str">
        <f>IFERROR(__xludf.DUMMYFUNCTION("""COMPUTED_VALUE"""),"BLUE")</f>
        <v>BLUE</v>
      </c>
      <c r="G2219" s="20" t="str">
        <f>IFERROR(__xludf.DUMMYFUNCTION("""COMPUTED_VALUE"""),"Uncle Sams Cider (04/04/2023)")</f>
        <v>Uncle Sams Cider (04/04/2023)</v>
      </c>
      <c r="H2219" s="19"/>
    </row>
    <row r="2220">
      <c r="A2220" s="9"/>
      <c r="B2220" s="15"/>
      <c r="C2220" s="9">
        <f>IFERROR(__xludf.DUMMYFUNCTION("""COMPUTED_VALUE"""),45121.32721125)</f>
        <v>45121.32721</v>
      </c>
      <c r="D2220" s="15">
        <f>IFERROR(__xludf.DUMMYFUNCTION("""COMPUTED_VALUE"""),0.999)</f>
        <v>0.999</v>
      </c>
      <c r="E2220" s="16">
        <f>IFERROR(__xludf.DUMMYFUNCTION("""COMPUTED_VALUE"""),70.0)</f>
        <v>70</v>
      </c>
      <c r="F2220" s="19" t="str">
        <f>IFERROR(__xludf.DUMMYFUNCTION("""COMPUTED_VALUE"""),"BLUE")</f>
        <v>BLUE</v>
      </c>
      <c r="G2220" s="20" t="str">
        <f>IFERROR(__xludf.DUMMYFUNCTION("""COMPUTED_VALUE"""),"Uncle Sams Cider (04/04/2023)")</f>
        <v>Uncle Sams Cider (04/04/2023)</v>
      </c>
      <c r="H2220" s="19"/>
    </row>
    <row r="2221">
      <c r="A2221" s="9"/>
      <c r="B2221" s="15"/>
      <c r="C2221" s="9">
        <f>IFERROR(__xludf.DUMMYFUNCTION("""COMPUTED_VALUE"""),45121.316792037)</f>
        <v>45121.31679</v>
      </c>
      <c r="D2221" s="15">
        <f>IFERROR(__xludf.DUMMYFUNCTION("""COMPUTED_VALUE"""),0.999)</f>
        <v>0.999</v>
      </c>
      <c r="E2221" s="16">
        <f>IFERROR(__xludf.DUMMYFUNCTION("""COMPUTED_VALUE"""),71.0)</f>
        <v>71</v>
      </c>
      <c r="F2221" s="19" t="str">
        <f>IFERROR(__xludf.DUMMYFUNCTION("""COMPUTED_VALUE"""),"BLUE")</f>
        <v>BLUE</v>
      </c>
      <c r="G2221" s="20" t="str">
        <f>IFERROR(__xludf.DUMMYFUNCTION("""COMPUTED_VALUE"""),"Uncle Sams Cider (04/04/2023)")</f>
        <v>Uncle Sams Cider (04/04/2023)</v>
      </c>
      <c r="H2221" s="19"/>
    </row>
    <row r="2222">
      <c r="A2222" s="9"/>
      <c r="B2222" s="15"/>
      <c r="C2222" s="9">
        <f>IFERROR(__xludf.DUMMYFUNCTION("""COMPUTED_VALUE"""),45121.3063581944)</f>
        <v>45121.30636</v>
      </c>
      <c r="D2222" s="15">
        <f>IFERROR(__xludf.DUMMYFUNCTION("""COMPUTED_VALUE"""),0.999)</f>
        <v>0.999</v>
      </c>
      <c r="E2222" s="16">
        <f>IFERROR(__xludf.DUMMYFUNCTION("""COMPUTED_VALUE"""),71.0)</f>
        <v>71</v>
      </c>
      <c r="F2222" s="19" t="str">
        <f>IFERROR(__xludf.DUMMYFUNCTION("""COMPUTED_VALUE"""),"BLUE")</f>
        <v>BLUE</v>
      </c>
      <c r="G2222" s="20" t="str">
        <f>IFERROR(__xludf.DUMMYFUNCTION("""COMPUTED_VALUE"""),"Uncle Sams Cider (04/04/2023)")</f>
        <v>Uncle Sams Cider (04/04/2023)</v>
      </c>
      <c r="H2222" s="19"/>
    </row>
    <row r="2223">
      <c r="A2223" s="9"/>
      <c r="B2223" s="15"/>
      <c r="C2223" s="9">
        <f>IFERROR(__xludf.DUMMYFUNCTION("""COMPUTED_VALUE"""),45121.2959375347)</f>
        <v>45121.29594</v>
      </c>
      <c r="D2223" s="15">
        <f>IFERROR(__xludf.DUMMYFUNCTION("""COMPUTED_VALUE"""),0.999)</f>
        <v>0.999</v>
      </c>
      <c r="E2223" s="16">
        <f>IFERROR(__xludf.DUMMYFUNCTION("""COMPUTED_VALUE"""),71.0)</f>
        <v>71</v>
      </c>
      <c r="F2223" s="19" t="str">
        <f>IFERROR(__xludf.DUMMYFUNCTION("""COMPUTED_VALUE"""),"BLUE")</f>
        <v>BLUE</v>
      </c>
      <c r="G2223" s="20" t="str">
        <f>IFERROR(__xludf.DUMMYFUNCTION("""COMPUTED_VALUE"""),"Uncle Sams Cider (04/04/2023)")</f>
        <v>Uncle Sams Cider (04/04/2023)</v>
      </c>
      <c r="H2223" s="19"/>
    </row>
    <row r="2224">
      <c r="A2224" s="9"/>
      <c r="B2224" s="15"/>
      <c r="C2224" s="9">
        <f>IFERROR(__xludf.DUMMYFUNCTION("""COMPUTED_VALUE"""),45121.2854684606)</f>
        <v>45121.28547</v>
      </c>
      <c r="D2224" s="15">
        <f>IFERROR(__xludf.DUMMYFUNCTION("""COMPUTED_VALUE"""),0.999)</f>
        <v>0.999</v>
      </c>
      <c r="E2224" s="16">
        <f>IFERROR(__xludf.DUMMYFUNCTION("""COMPUTED_VALUE"""),71.0)</f>
        <v>71</v>
      </c>
      <c r="F2224" s="19" t="str">
        <f>IFERROR(__xludf.DUMMYFUNCTION("""COMPUTED_VALUE"""),"BLUE")</f>
        <v>BLUE</v>
      </c>
      <c r="G2224" s="20" t="str">
        <f>IFERROR(__xludf.DUMMYFUNCTION("""COMPUTED_VALUE"""),"Uncle Sams Cider (04/04/2023)")</f>
        <v>Uncle Sams Cider (04/04/2023)</v>
      </c>
      <c r="H2224" s="19"/>
    </row>
    <row r="2225">
      <c r="A2225" s="9"/>
      <c r="B2225" s="15"/>
      <c r="C2225" s="9">
        <f>IFERROR(__xludf.DUMMYFUNCTION("""COMPUTED_VALUE"""),45121.2750475347)</f>
        <v>45121.27505</v>
      </c>
      <c r="D2225" s="15">
        <f>IFERROR(__xludf.DUMMYFUNCTION("""COMPUTED_VALUE"""),0.999)</f>
        <v>0.999</v>
      </c>
      <c r="E2225" s="16">
        <f>IFERROR(__xludf.DUMMYFUNCTION("""COMPUTED_VALUE"""),70.0)</f>
        <v>70</v>
      </c>
      <c r="F2225" s="19" t="str">
        <f>IFERROR(__xludf.DUMMYFUNCTION("""COMPUTED_VALUE"""),"BLUE")</f>
        <v>BLUE</v>
      </c>
      <c r="G2225" s="20" t="str">
        <f>IFERROR(__xludf.DUMMYFUNCTION("""COMPUTED_VALUE"""),"Uncle Sams Cider (04/04/2023)")</f>
        <v>Uncle Sams Cider (04/04/2023)</v>
      </c>
      <c r="H2225" s="19"/>
    </row>
    <row r="2226">
      <c r="A2226" s="9"/>
      <c r="B2226" s="15"/>
      <c r="C2226" s="9">
        <f>IFERROR(__xludf.DUMMYFUNCTION("""COMPUTED_VALUE"""),45121.2646248726)</f>
        <v>45121.26462</v>
      </c>
      <c r="D2226" s="15">
        <f>IFERROR(__xludf.DUMMYFUNCTION("""COMPUTED_VALUE"""),0.999)</f>
        <v>0.999</v>
      </c>
      <c r="E2226" s="16">
        <f>IFERROR(__xludf.DUMMYFUNCTION("""COMPUTED_VALUE"""),70.0)</f>
        <v>70</v>
      </c>
      <c r="F2226" s="19" t="str">
        <f>IFERROR(__xludf.DUMMYFUNCTION("""COMPUTED_VALUE"""),"BLUE")</f>
        <v>BLUE</v>
      </c>
      <c r="G2226" s="20" t="str">
        <f>IFERROR(__xludf.DUMMYFUNCTION("""COMPUTED_VALUE"""),"Uncle Sams Cider (04/04/2023)")</f>
        <v>Uncle Sams Cider (04/04/2023)</v>
      </c>
      <c r="H2226" s="19"/>
    </row>
    <row r="2227">
      <c r="A2227" s="9"/>
      <c r="B2227" s="15"/>
      <c r="C2227" s="9">
        <f>IFERROR(__xludf.DUMMYFUNCTION("""COMPUTED_VALUE"""),45121.254203206)</f>
        <v>45121.2542</v>
      </c>
      <c r="D2227" s="15">
        <f>IFERROR(__xludf.DUMMYFUNCTION("""COMPUTED_VALUE"""),0.999)</f>
        <v>0.999</v>
      </c>
      <c r="E2227" s="16">
        <f>IFERROR(__xludf.DUMMYFUNCTION("""COMPUTED_VALUE"""),71.0)</f>
        <v>71</v>
      </c>
      <c r="F2227" s="19" t="str">
        <f>IFERROR(__xludf.DUMMYFUNCTION("""COMPUTED_VALUE"""),"BLUE")</f>
        <v>BLUE</v>
      </c>
      <c r="G2227" s="20" t="str">
        <f>IFERROR(__xludf.DUMMYFUNCTION("""COMPUTED_VALUE"""),"Uncle Sams Cider (04/04/2023)")</f>
        <v>Uncle Sams Cider (04/04/2023)</v>
      </c>
      <c r="H2227" s="19"/>
    </row>
    <row r="2228">
      <c r="A2228" s="9"/>
      <c r="B2228" s="15"/>
      <c r="C2228" s="9">
        <f>IFERROR(__xludf.DUMMYFUNCTION("""COMPUTED_VALUE"""),45121.2437826736)</f>
        <v>45121.24378</v>
      </c>
      <c r="D2228" s="15">
        <f>IFERROR(__xludf.DUMMYFUNCTION("""COMPUTED_VALUE"""),0.999)</f>
        <v>0.999</v>
      </c>
      <c r="E2228" s="16">
        <f>IFERROR(__xludf.DUMMYFUNCTION("""COMPUTED_VALUE"""),71.0)</f>
        <v>71</v>
      </c>
      <c r="F2228" s="19" t="str">
        <f>IFERROR(__xludf.DUMMYFUNCTION("""COMPUTED_VALUE"""),"BLUE")</f>
        <v>BLUE</v>
      </c>
      <c r="G2228" s="20" t="str">
        <f>IFERROR(__xludf.DUMMYFUNCTION("""COMPUTED_VALUE"""),"Uncle Sams Cider (04/04/2023)")</f>
        <v>Uncle Sams Cider (04/04/2023)</v>
      </c>
      <c r="H2228" s="19"/>
    </row>
    <row r="2229">
      <c r="A2229" s="9"/>
      <c r="B2229" s="15"/>
      <c r="C2229" s="9">
        <f>IFERROR(__xludf.DUMMYFUNCTION("""COMPUTED_VALUE"""),45121.2333640046)</f>
        <v>45121.23336</v>
      </c>
      <c r="D2229" s="15">
        <f>IFERROR(__xludf.DUMMYFUNCTION("""COMPUTED_VALUE"""),0.999)</f>
        <v>0.999</v>
      </c>
      <c r="E2229" s="16">
        <f>IFERROR(__xludf.DUMMYFUNCTION("""COMPUTED_VALUE"""),70.0)</f>
        <v>70</v>
      </c>
      <c r="F2229" s="19" t="str">
        <f>IFERROR(__xludf.DUMMYFUNCTION("""COMPUTED_VALUE"""),"BLUE")</f>
        <v>BLUE</v>
      </c>
      <c r="G2229" s="20" t="str">
        <f>IFERROR(__xludf.DUMMYFUNCTION("""COMPUTED_VALUE"""),"Uncle Sams Cider (04/04/2023)")</f>
        <v>Uncle Sams Cider (04/04/2023)</v>
      </c>
      <c r="H2229" s="19"/>
    </row>
    <row r="2230">
      <c r="A2230" s="9"/>
      <c r="B2230" s="15"/>
      <c r="C2230" s="9">
        <f>IFERROR(__xludf.DUMMYFUNCTION("""COMPUTED_VALUE"""),45121.2229422453)</f>
        <v>45121.22294</v>
      </c>
      <c r="D2230" s="15">
        <f>IFERROR(__xludf.DUMMYFUNCTION("""COMPUTED_VALUE"""),0.999)</f>
        <v>0.999</v>
      </c>
      <c r="E2230" s="16">
        <f>IFERROR(__xludf.DUMMYFUNCTION("""COMPUTED_VALUE"""),71.0)</f>
        <v>71</v>
      </c>
      <c r="F2230" s="19" t="str">
        <f>IFERROR(__xludf.DUMMYFUNCTION("""COMPUTED_VALUE"""),"BLUE")</f>
        <v>BLUE</v>
      </c>
      <c r="G2230" s="20" t="str">
        <f>IFERROR(__xludf.DUMMYFUNCTION("""COMPUTED_VALUE"""),"Uncle Sams Cider (04/04/2023)")</f>
        <v>Uncle Sams Cider (04/04/2023)</v>
      </c>
      <c r="H2230" s="19"/>
    </row>
    <row r="2231">
      <c r="A2231" s="9"/>
      <c r="B2231" s="15"/>
      <c r="C2231" s="9">
        <f>IFERROR(__xludf.DUMMYFUNCTION("""COMPUTED_VALUE"""),45121.2125203703)</f>
        <v>45121.21252</v>
      </c>
      <c r="D2231" s="15">
        <f>IFERROR(__xludf.DUMMYFUNCTION("""COMPUTED_VALUE"""),0.999)</f>
        <v>0.999</v>
      </c>
      <c r="E2231" s="16">
        <f>IFERROR(__xludf.DUMMYFUNCTION("""COMPUTED_VALUE"""),70.0)</f>
        <v>70</v>
      </c>
      <c r="F2231" s="19" t="str">
        <f>IFERROR(__xludf.DUMMYFUNCTION("""COMPUTED_VALUE"""),"BLUE")</f>
        <v>BLUE</v>
      </c>
      <c r="G2231" s="20" t="str">
        <f>IFERROR(__xludf.DUMMYFUNCTION("""COMPUTED_VALUE"""),"Uncle Sams Cider (04/04/2023)")</f>
        <v>Uncle Sams Cider (04/04/2023)</v>
      </c>
      <c r="H2231" s="19"/>
    </row>
    <row r="2232">
      <c r="A2232" s="9"/>
      <c r="B2232" s="15"/>
      <c r="C2232" s="9">
        <f>IFERROR(__xludf.DUMMYFUNCTION("""COMPUTED_VALUE"""),45121.2021000694)</f>
        <v>45121.2021</v>
      </c>
      <c r="D2232" s="15">
        <f>IFERROR(__xludf.DUMMYFUNCTION("""COMPUTED_VALUE"""),0.999)</f>
        <v>0.999</v>
      </c>
      <c r="E2232" s="16">
        <f>IFERROR(__xludf.DUMMYFUNCTION("""COMPUTED_VALUE"""),71.0)</f>
        <v>71</v>
      </c>
      <c r="F2232" s="19" t="str">
        <f>IFERROR(__xludf.DUMMYFUNCTION("""COMPUTED_VALUE"""),"BLUE")</f>
        <v>BLUE</v>
      </c>
      <c r="G2232" s="20" t="str">
        <f>IFERROR(__xludf.DUMMYFUNCTION("""COMPUTED_VALUE"""),"Uncle Sams Cider (04/04/2023)")</f>
        <v>Uncle Sams Cider (04/04/2023)</v>
      </c>
      <c r="H2232" s="19"/>
    </row>
    <row r="2233">
      <c r="A2233" s="9"/>
      <c r="B2233" s="15"/>
      <c r="C2233" s="9">
        <f>IFERROR(__xludf.DUMMYFUNCTION("""COMPUTED_VALUE"""),45121.1916784027)</f>
        <v>45121.19168</v>
      </c>
      <c r="D2233" s="15">
        <f>IFERROR(__xludf.DUMMYFUNCTION("""COMPUTED_VALUE"""),0.999)</f>
        <v>0.999</v>
      </c>
      <c r="E2233" s="16">
        <f>IFERROR(__xludf.DUMMYFUNCTION("""COMPUTED_VALUE"""),70.0)</f>
        <v>70</v>
      </c>
      <c r="F2233" s="19" t="str">
        <f>IFERROR(__xludf.DUMMYFUNCTION("""COMPUTED_VALUE"""),"BLUE")</f>
        <v>BLUE</v>
      </c>
      <c r="G2233" s="20" t="str">
        <f>IFERROR(__xludf.DUMMYFUNCTION("""COMPUTED_VALUE"""),"Uncle Sams Cider (04/04/2023)")</f>
        <v>Uncle Sams Cider (04/04/2023)</v>
      </c>
      <c r="H2233" s="19"/>
    </row>
    <row r="2234">
      <c r="A2234" s="9"/>
      <c r="B2234" s="15"/>
      <c r="C2234" s="9">
        <f>IFERROR(__xludf.DUMMYFUNCTION("""COMPUTED_VALUE"""),45121.1812561805)</f>
        <v>45121.18126</v>
      </c>
      <c r="D2234" s="15">
        <f>IFERROR(__xludf.DUMMYFUNCTION("""COMPUTED_VALUE"""),0.999)</f>
        <v>0.999</v>
      </c>
      <c r="E2234" s="16">
        <f>IFERROR(__xludf.DUMMYFUNCTION("""COMPUTED_VALUE"""),70.0)</f>
        <v>70</v>
      </c>
      <c r="F2234" s="19" t="str">
        <f>IFERROR(__xludf.DUMMYFUNCTION("""COMPUTED_VALUE"""),"BLUE")</f>
        <v>BLUE</v>
      </c>
      <c r="G2234" s="20" t="str">
        <f>IFERROR(__xludf.DUMMYFUNCTION("""COMPUTED_VALUE"""),"Uncle Sams Cider (04/04/2023)")</f>
        <v>Uncle Sams Cider (04/04/2023)</v>
      </c>
      <c r="H2234" s="19"/>
    </row>
    <row r="2235">
      <c r="A2235" s="9"/>
      <c r="B2235" s="15"/>
      <c r="C2235" s="9">
        <f>IFERROR(__xludf.DUMMYFUNCTION("""COMPUTED_VALUE"""),45121.1708346643)</f>
        <v>45121.17083</v>
      </c>
      <c r="D2235" s="15">
        <f>IFERROR(__xludf.DUMMYFUNCTION("""COMPUTED_VALUE"""),0.999)</f>
        <v>0.999</v>
      </c>
      <c r="E2235" s="16">
        <f>IFERROR(__xludf.DUMMYFUNCTION("""COMPUTED_VALUE"""),70.0)</f>
        <v>70</v>
      </c>
      <c r="F2235" s="19" t="str">
        <f>IFERROR(__xludf.DUMMYFUNCTION("""COMPUTED_VALUE"""),"BLUE")</f>
        <v>BLUE</v>
      </c>
      <c r="G2235" s="20" t="str">
        <f>IFERROR(__xludf.DUMMYFUNCTION("""COMPUTED_VALUE"""),"Uncle Sams Cider (04/04/2023)")</f>
        <v>Uncle Sams Cider (04/04/2023)</v>
      </c>
      <c r="H2235" s="19"/>
    </row>
    <row r="2236">
      <c r="A2236" s="9"/>
      <c r="B2236" s="15"/>
      <c r="C2236" s="9">
        <f>IFERROR(__xludf.DUMMYFUNCTION("""COMPUTED_VALUE"""),45121.1604130902)</f>
        <v>45121.16041</v>
      </c>
      <c r="D2236" s="15">
        <f>IFERROR(__xludf.DUMMYFUNCTION("""COMPUTED_VALUE"""),0.999)</f>
        <v>0.999</v>
      </c>
      <c r="E2236" s="16">
        <f>IFERROR(__xludf.DUMMYFUNCTION("""COMPUTED_VALUE"""),70.0)</f>
        <v>70</v>
      </c>
      <c r="F2236" s="19" t="str">
        <f>IFERROR(__xludf.DUMMYFUNCTION("""COMPUTED_VALUE"""),"BLUE")</f>
        <v>BLUE</v>
      </c>
      <c r="G2236" s="20" t="str">
        <f>IFERROR(__xludf.DUMMYFUNCTION("""COMPUTED_VALUE"""),"Uncle Sams Cider (04/04/2023)")</f>
        <v>Uncle Sams Cider (04/04/2023)</v>
      </c>
      <c r="H2236" s="19"/>
    </row>
    <row r="2237">
      <c r="A2237" s="9"/>
      <c r="B2237" s="15"/>
      <c r="C2237" s="9">
        <f>IFERROR(__xludf.DUMMYFUNCTION("""COMPUTED_VALUE"""),45121.1499679513)</f>
        <v>45121.14997</v>
      </c>
      <c r="D2237" s="15">
        <f>IFERROR(__xludf.DUMMYFUNCTION("""COMPUTED_VALUE"""),0.999)</f>
        <v>0.999</v>
      </c>
      <c r="E2237" s="16">
        <f>IFERROR(__xludf.DUMMYFUNCTION("""COMPUTED_VALUE"""),70.0)</f>
        <v>70</v>
      </c>
      <c r="F2237" s="19" t="str">
        <f>IFERROR(__xludf.DUMMYFUNCTION("""COMPUTED_VALUE"""),"BLUE")</f>
        <v>BLUE</v>
      </c>
      <c r="G2237" s="20" t="str">
        <f>IFERROR(__xludf.DUMMYFUNCTION("""COMPUTED_VALUE"""),"Uncle Sams Cider (04/04/2023)")</f>
        <v>Uncle Sams Cider (04/04/2023)</v>
      </c>
      <c r="H2237" s="19"/>
    </row>
    <row r="2238">
      <c r="A2238" s="9"/>
      <c r="B2238" s="15"/>
      <c r="C2238" s="9">
        <f>IFERROR(__xludf.DUMMYFUNCTION("""COMPUTED_VALUE"""),45121.1395455787)</f>
        <v>45121.13955</v>
      </c>
      <c r="D2238" s="15">
        <f>IFERROR(__xludf.DUMMYFUNCTION("""COMPUTED_VALUE"""),0.999)</f>
        <v>0.999</v>
      </c>
      <c r="E2238" s="16">
        <f>IFERROR(__xludf.DUMMYFUNCTION("""COMPUTED_VALUE"""),70.0)</f>
        <v>70</v>
      </c>
      <c r="F2238" s="19" t="str">
        <f>IFERROR(__xludf.DUMMYFUNCTION("""COMPUTED_VALUE"""),"BLUE")</f>
        <v>BLUE</v>
      </c>
      <c r="G2238" s="20" t="str">
        <f>IFERROR(__xludf.DUMMYFUNCTION("""COMPUTED_VALUE"""),"Uncle Sams Cider (04/04/2023)")</f>
        <v>Uncle Sams Cider (04/04/2023)</v>
      </c>
      <c r="H2238" s="19"/>
    </row>
    <row r="2239">
      <c r="A2239" s="9"/>
      <c r="B2239" s="15"/>
      <c r="C2239" s="9">
        <f>IFERROR(__xludf.DUMMYFUNCTION("""COMPUTED_VALUE"""),45121.1291260301)</f>
        <v>45121.12913</v>
      </c>
      <c r="D2239" s="15">
        <f>IFERROR(__xludf.DUMMYFUNCTION("""COMPUTED_VALUE"""),0.999)</f>
        <v>0.999</v>
      </c>
      <c r="E2239" s="16">
        <f>IFERROR(__xludf.DUMMYFUNCTION("""COMPUTED_VALUE"""),70.0)</f>
        <v>70</v>
      </c>
      <c r="F2239" s="19" t="str">
        <f>IFERROR(__xludf.DUMMYFUNCTION("""COMPUTED_VALUE"""),"BLUE")</f>
        <v>BLUE</v>
      </c>
      <c r="G2239" s="20" t="str">
        <f>IFERROR(__xludf.DUMMYFUNCTION("""COMPUTED_VALUE"""),"Uncle Sams Cider (04/04/2023)")</f>
        <v>Uncle Sams Cider (04/04/2023)</v>
      </c>
      <c r="H2239" s="19"/>
    </row>
    <row r="2240">
      <c r="A2240" s="9"/>
      <c r="B2240" s="15"/>
      <c r="C2240" s="9">
        <f>IFERROR(__xludf.DUMMYFUNCTION("""COMPUTED_VALUE"""),45121.1187047106)</f>
        <v>45121.1187</v>
      </c>
      <c r="D2240" s="15">
        <f>IFERROR(__xludf.DUMMYFUNCTION("""COMPUTED_VALUE"""),0.999)</f>
        <v>0.999</v>
      </c>
      <c r="E2240" s="16">
        <f>IFERROR(__xludf.DUMMYFUNCTION("""COMPUTED_VALUE"""),70.0)</f>
        <v>70</v>
      </c>
      <c r="F2240" s="19" t="str">
        <f>IFERROR(__xludf.DUMMYFUNCTION("""COMPUTED_VALUE"""),"BLUE")</f>
        <v>BLUE</v>
      </c>
      <c r="G2240" s="20" t="str">
        <f>IFERROR(__xludf.DUMMYFUNCTION("""COMPUTED_VALUE"""),"Uncle Sams Cider (04/04/2023)")</f>
        <v>Uncle Sams Cider (04/04/2023)</v>
      </c>
      <c r="H2240" s="19"/>
    </row>
    <row r="2241">
      <c r="A2241" s="9"/>
      <c r="B2241" s="15"/>
      <c r="C2241" s="9">
        <f>IFERROR(__xludf.DUMMYFUNCTION("""COMPUTED_VALUE"""),45121.1082846643)</f>
        <v>45121.10828</v>
      </c>
      <c r="D2241" s="15">
        <f>IFERROR(__xludf.DUMMYFUNCTION("""COMPUTED_VALUE"""),0.999)</f>
        <v>0.999</v>
      </c>
      <c r="E2241" s="16">
        <f>IFERROR(__xludf.DUMMYFUNCTION("""COMPUTED_VALUE"""),70.0)</f>
        <v>70</v>
      </c>
      <c r="F2241" s="19" t="str">
        <f>IFERROR(__xludf.DUMMYFUNCTION("""COMPUTED_VALUE"""),"BLUE")</f>
        <v>BLUE</v>
      </c>
      <c r="G2241" s="20" t="str">
        <f>IFERROR(__xludf.DUMMYFUNCTION("""COMPUTED_VALUE"""),"Uncle Sams Cider (04/04/2023)")</f>
        <v>Uncle Sams Cider (04/04/2023)</v>
      </c>
      <c r="H2241" s="19"/>
    </row>
    <row r="2242">
      <c r="A2242" s="9"/>
      <c r="B2242" s="15"/>
      <c r="C2242" s="9">
        <f>IFERROR(__xludf.DUMMYFUNCTION("""COMPUTED_VALUE"""),45121.0978643634)</f>
        <v>45121.09786</v>
      </c>
      <c r="D2242" s="15">
        <f>IFERROR(__xludf.DUMMYFUNCTION("""COMPUTED_VALUE"""),0.999)</f>
        <v>0.999</v>
      </c>
      <c r="E2242" s="16">
        <f>IFERROR(__xludf.DUMMYFUNCTION("""COMPUTED_VALUE"""),70.0)</f>
        <v>70</v>
      </c>
      <c r="F2242" s="19" t="str">
        <f>IFERROR(__xludf.DUMMYFUNCTION("""COMPUTED_VALUE"""),"BLUE")</f>
        <v>BLUE</v>
      </c>
      <c r="G2242" s="20" t="str">
        <f>IFERROR(__xludf.DUMMYFUNCTION("""COMPUTED_VALUE"""),"Uncle Sams Cider (04/04/2023)")</f>
        <v>Uncle Sams Cider (04/04/2023)</v>
      </c>
      <c r="H2242" s="19"/>
    </row>
    <row r="2243">
      <c r="A2243" s="9"/>
      <c r="B2243" s="15"/>
      <c r="C2243" s="9">
        <f>IFERROR(__xludf.DUMMYFUNCTION("""COMPUTED_VALUE"""),45121.0874428125)</f>
        <v>45121.08744</v>
      </c>
      <c r="D2243" s="15">
        <f>IFERROR(__xludf.DUMMYFUNCTION("""COMPUTED_VALUE"""),0.999)</f>
        <v>0.999</v>
      </c>
      <c r="E2243" s="16">
        <f>IFERROR(__xludf.DUMMYFUNCTION("""COMPUTED_VALUE"""),70.0)</f>
        <v>70</v>
      </c>
      <c r="F2243" s="19" t="str">
        <f>IFERROR(__xludf.DUMMYFUNCTION("""COMPUTED_VALUE"""),"BLUE")</f>
        <v>BLUE</v>
      </c>
      <c r="G2243" s="20" t="str">
        <f>IFERROR(__xludf.DUMMYFUNCTION("""COMPUTED_VALUE"""),"Uncle Sams Cider (04/04/2023)")</f>
        <v>Uncle Sams Cider (04/04/2023)</v>
      </c>
      <c r="H2243" s="19"/>
    </row>
    <row r="2244">
      <c r="A2244" s="9"/>
      <c r="B2244" s="15"/>
      <c r="C2244" s="9">
        <f>IFERROR(__xludf.DUMMYFUNCTION("""COMPUTED_VALUE"""),45121.0770225231)</f>
        <v>45121.07702</v>
      </c>
      <c r="D2244" s="15">
        <f>IFERROR(__xludf.DUMMYFUNCTION("""COMPUTED_VALUE"""),0.999)</f>
        <v>0.999</v>
      </c>
      <c r="E2244" s="16">
        <f>IFERROR(__xludf.DUMMYFUNCTION("""COMPUTED_VALUE"""),70.0)</f>
        <v>70</v>
      </c>
      <c r="F2244" s="19" t="str">
        <f>IFERROR(__xludf.DUMMYFUNCTION("""COMPUTED_VALUE"""),"BLUE")</f>
        <v>BLUE</v>
      </c>
      <c r="G2244" s="20" t="str">
        <f>IFERROR(__xludf.DUMMYFUNCTION("""COMPUTED_VALUE"""),"Uncle Sams Cider (04/04/2023)")</f>
        <v>Uncle Sams Cider (04/04/2023)</v>
      </c>
      <c r="H2244" s="19"/>
    </row>
    <row r="2245">
      <c r="A2245" s="9"/>
      <c r="B2245" s="15"/>
      <c r="C2245" s="9">
        <f>IFERROR(__xludf.DUMMYFUNCTION("""COMPUTED_VALUE"""),45121.0665899421)</f>
        <v>45121.06659</v>
      </c>
      <c r="D2245" s="15">
        <f>IFERROR(__xludf.DUMMYFUNCTION("""COMPUTED_VALUE"""),0.999)</f>
        <v>0.999</v>
      </c>
      <c r="E2245" s="16">
        <f>IFERROR(__xludf.DUMMYFUNCTION("""COMPUTED_VALUE"""),70.0)</f>
        <v>70</v>
      </c>
      <c r="F2245" s="19" t="str">
        <f>IFERROR(__xludf.DUMMYFUNCTION("""COMPUTED_VALUE"""),"BLUE")</f>
        <v>BLUE</v>
      </c>
      <c r="G2245" s="20" t="str">
        <f>IFERROR(__xludf.DUMMYFUNCTION("""COMPUTED_VALUE"""),"Uncle Sams Cider (04/04/2023)")</f>
        <v>Uncle Sams Cider (04/04/2023)</v>
      </c>
      <c r="H2245" s="19"/>
    </row>
    <row r="2246">
      <c r="A2246" s="9"/>
      <c r="B2246" s="15"/>
      <c r="C2246" s="9">
        <f>IFERROR(__xludf.DUMMYFUNCTION("""COMPUTED_VALUE"""),45121.0561687963)</f>
        <v>45121.05617</v>
      </c>
      <c r="D2246" s="15">
        <f>IFERROR(__xludf.DUMMYFUNCTION("""COMPUTED_VALUE"""),0.999)</f>
        <v>0.999</v>
      </c>
      <c r="E2246" s="16">
        <f>IFERROR(__xludf.DUMMYFUNCTION("""COMPUTED_VALUE"""),70.0)</f>
        <v>70</v>
      </c>
      <c r="F2246" s="19" t="str">
        <f>IFERROR(__xludf.DUMMYFUNCTION("""COMPUTED_VALUE"""),"BLUE")</f>
        <v>BLUE</v>
      </c>
      <c r="G2246" s="20" t="str">
        <f>IFERROR(__xludf.DUMMYFUNCTION("""COMPUTED_VALUE"""),"Uncle Sams Cider (04/04/2023)")</f>
        <v>Uncle Sams Cider (04/04/2023)</v>
      </c>
      <c r="H2246" s="19"/>
    </row>
    <row r="2247">
      <c r="A2247" s="9"/>
      <c r="B2247" s="15"/>
      <c r="C2247" s="9">
        <f>IFERROR(__xludf.DUMMYFUNCTION("""COMPUTED_VALUE"""),45121.0457470486)</f>
        <v>45121.04575</v>
      </c>
      <c r="D2247" s="15">
        <f>IFERROR(__xludf.DUMMYFUNCTION("""COMPUTED_VALUE"""),0.999)</f>
        <v>0.999</v>
      </c>
      <c r="E2247" s="16">
        <f>IFERROR(__xludf.DUMMYFUNCTION("""COMPUTED_VALUE"""),70.0)</f>
        <v>70</v>
      </c>
      <c r="F2247" s="19" t="str">
        <f>IFERROR(__xludf.DUMMYFUNCTION("""COMPUTED_VALUE"""),"BLUE")</f>
        <v>BLUE</v>
      </c>
      <c r="G2247" s="20" t="str">
        <f>IFERROR(__xludf.DUMMYFUNCTION("""COMPUTED_VALUE"""),"Uncle Sams Cider (04/04/2023)")</f>
        <v>Uncle Sams Cider (04/04/2023)</v>
      </c>
      <c r="H2247" s="19"/>
    </row>
    <row r="2248">
      <c r="A2248" s="9"/>
      <c r="B2248" s="15"/>
      <c r="C2248" s="9">
        <f>IFERROR(__xludf.DUMMYFUNCTION("""COMPUTED_VALUE"""),45121.0353245717)</f>
        <v>45121.03532</v>
      </c>
      <c r="D2248" s="15">
        <f>IFERROR(__xludf.DUMMYFUNCTION("""COMPUTED_VALUE"""),0.999)</f>
        <v>0.999</v>
      </c>
      <c r="E2248" s="16">
        <f>IFERROR(__xludf.DUMMYFUNCTION("""COMPUTED_VALUE"""),70.0)</f>
        <v>70</v>
      </c>
      <c r="F2248" s="19" t="str">
        <f>IFERROR(__xludf.DUMMYFUNCTION("""COMPUTED_VALUE"""),"BLUE")</f>
        <v>BLUE</v>
      </c>
      <c r="G2248" s="20" t="str">
        <f>IFERROR(__xludf.DUMMYFUNCTION("""COMPUTED_VALUE"""),"Uncle Sams Cider (04/04/2023)")</f>
        <v>Uncle Sams Cider (04/04/2023)</v>
      </c>
      <c r="H2248" s="19"/>
    </row>
    <row r="2249">
      <c r="A2249" s="9"/>
      <c r="B2249" s="15"/>
      <c r="C2249" s="9">
        <f>IFERROR(__xludf.DUMMYFUNCTION("""COMPUTED_VALUE"""),45121.0248932176)</f>
        <v>45121.02489</v>
      </c>
      <c r="D2249" s="15">
        <f>IFERROR(__xludf.DUMMYFUNCTION("""COMPUTED_VALUE"""),0.999)</f>
        <v>0.999</v>
      </c>
      <c r="E2249" s="16">
        <f>IFERROR(__xludf.DUMMYFUNCTION("""COMPUTED_VALUE"""),70.0)</f>
        <v>70</v>
      </c>
      <c r="F2249" s="19" t="str">
        <f>IFERROR(__xludf.DUMMYFUNCTION("""COMPUTED_VALUE"""),"BLUE")</f>
        <v>BLUE</v>
      </c>
      <c r="G2249" s="20" t="str">
        <f>IFERROR(__xludf.DUMMYFUNCTION("""COMPUTED_VALUE"""),"Uncle Sams Cider (04/04/2023)")</f>
        <v>Uncle Sams Cider (04/04/2023)</v>
      </c>
      <c r="H2249" s="19"/>
    </row>
    <row r="2250">
      <c r="A2250" s="9"/>
      <c r="B2250" s="15"/>
      <c r="C2250" s="9">
        <f>IFERROR(__xludf.DUMMYFUNCTION("""COMPUTED_VALUE"""),45121.0144600231)</f>
        <v>45121.01446</v>
      </c>
      <c r="D2250" s="15">
        <f>IFERROR(__xludf.DUMMYFUNCTION("""COMPUTED_VALUE"""),0.999)</f>
        <v>0.999</v>
      </c>
      <c r="E2250" s="16">
        <f>IFERROR(__xludf.DUMMYFUNCTION("""COMPUTED_VALUE"""),70.0)</f>
        <v>70</v>
      </c>
      <c r="F2250" s="19" t="str">
        <f>IFERROR(__xludf.DUMMYFUNCTION("""COMPUTED_VALUE"""),"BLUE")</f>
        <v>BLUE</v>
      </c>
      <c r="G2250" s="20" t="str">
        <f>IFERROR(__xludf.DUMMYFUNCTION("""COMPUTED_VALUE"""),"Uncle Sams Cider (04/04/2023)")</f>
        <v>Uncle Sams Cider (04/04/2023)</v>
      </c>
      <c r="H2250" s="19"/>
    </row>
    <row r="2251">
      <c r="A2251" s="9"/>
      <c r="B2251" s="15"/>
      <c r="C2251" s="9">
        <f>IFERROR(__xludf.DUMMYFUNCTION("""COMPUTED_VALUE"""),45121.0040413541)</f>
        <v>45121.00404</v>
      </c>
      <c r="D2251" s="15">
        <f>IFERROR(__xludf.DUMMYFUNCTION("""COMPUTED_VALUE"""),0.999)</f>
        <v>0.999</v>
      </c>
      <c r="E2251" s="16">
        <f>IFERROR(__xludf.DUMMYFUNCTION("""COMPUTED_VALUE"""),70.0)</f>
        <v>70</v>
      </c>
      <c r="F2251" s="19" t="str">
        <f>IFERROR(__xludf.DUMMYFUNCTION("""COMPUTED_VALUE"""),"BLUE")</f>
        <v>BLUE</v>
      </c>
      <c r="G2251" s="20" t="str">
        <f>IFERROR(__xludf.DUMMYFUNCTION("""COMPUTED_VALUE"""),"Uncle Sams Cider (04/04/2023)")</f>
        <v>Uncle Sams Cider (04/04/2023)</v>
      </c>
      <c r="H2251" s="19"/>
    </row>
    <row r="2252">
      <c r="A2252" s="9"/>
      <c r="B2252" s="15"/>
      <c r="C2252" s="9">
        <f>IFERROR(__xludf.DUMMYFUNCTION("""COMPUTED_VALUE"""),45120.9936214004)</f>
        <v>45120.99362</v>
      </c>
      <c r="D2252" s="15">
        <f>IFERROR(__xludf.DUMMYFUNCTION("""COMPUTED_VALUE"""),0.999)</f>
        <v>0.999</v>
      </c>
      <c r="E2252" s="16">
        <f>IFERROR(__xludf.DUMMYFUNCTION("""COMPUTED_VALUE"""),70.0)</f>
        <v>70</v>
      </c>
      <c r="F2252" s="19" t="str">
        <f>IFERROR(__xludf.DUMMYFUNCTION("""COMPUTED_VALUE"""),"BLUE")</f>
        <v>BLUE</v>
      </c>
      <c r="G2252" s="20" t="str">
        <f>IFERROR(__xludf.DUMMYFUNCTION("""COMPUTED_VALUE"""),"Uncle Sams Cider (04/04/2023)")</f>
        <v>Uncle Sams Cider (04/04/2023)</v>
      </c>
      <c r="H2252" s="19"/>
    </row>
    <row r="2253">
      <c r="A2253" s="9"/>
      <c r="B2253" s="15"/>
      <c r="C2253" s="9">
        <f>IFERROR(__xludf.DUMMYFUNCTION("""COMPUTED_VALUE"""),45120.9832000347)</f>
        <v>45120.9832</v>
      </c>
      <c r="D2253" s="15">
        <f>IFERROR(__xludf.DUMMYFUNCTION("""COMPUTED_VALUE"""),0.999)</f>
        <v>0.999</v>
      </c>
      <c r="E2253" s="16">
        <f>IFERROR(__xludf.DUMMYFUNCTION("""COMPUTED_VALUE"""),70.0)</f>
        <v>70</v>
      </c>
      <c r="F2253" s="19" t="str">
        <f>IFERROR(__xludf.DUMMYFUNCTION("""COMPUTED_VALUE"""),"BLUE")</f>
        <v>BLUE</v>
      </c>
      <c r="G2253" s="20" t="str">
        <f>IFERROR(__xludf.DUMMYFUNCTION("""COMPUTED_VALUE"""),"Uncle Sams Cider (04/04/2023)")</f>
        <v>Uncle Sams Cider (04/04/2023)</v>
      </c>
      <c r="H2253" s="19"/>
    </row>
    <row r="2254">
      <c r="A2254" s="9"/>
      <c r="B2254" s="15"/>
      <c r="C2254" s="9">
        <f>IFERROR(__xludf.DUMMYFUNCTION("""COMPUTED_VALUE"""),45120.9727777893)</f>
        <v>45120.97278</v>
      </c>
      <c r="D2254" s="15">
        <f>IFERROR(__xludf.DUMMYFUNCTION("""COMPUTED_VALUE"""),0.999)</f>
        <v>0.999</v>
      </c>
      <c r="E2254" s="16">
        <f>IFERROR(__xludf.DUMMYFUNCTION("""COMPUTED_VALUE"""),70.0)</f>
        <v>70</v>
      </c>
      <c r="F2254" s="19" t="str">
        <f>IFERROR(__xludf.DUMMYFUNCTION("""COMPUTED_VALUE"""),"BLUE")</f>
        <v>BLUE</v>
      </c>
      <c r="G2254" s="20" t="str">
        <f>IFERROR(__xludf.DUMMYFUNCTION("""COMPUTED_VALUE"""),"Uncle Sams Cider (04/04/2023)")</f>
        <v>Uncle Sams Cider (04/04/2023)</v>
      </c>
      <c r="H2254" s="19"/>
    </row>
    <row r="2255">
      <c r="A2255" s="9"/>
      <c r="B2255" s="15"/>
      <c r="C2255" s="9">
        <f>IFERROR(__xludf.DUMMYFUNCTION("""COMPUTED_VALUE"""),45120.962357581)</f>
        <v>45120.96236</v>
      </c>
      <c r="D2255" s="15">
        <f>IFERROR(__xludf.DUMMYFUNCTION("""COMPUTED_VALUE"""),0.999)</f>
        <v>0.999</v>
      </c>
      <c r="E2255" s="16">
        <f>IFERROR(__xludf.DUMMYFUNCTION("""COMPUTED_VALUE"""),70.0)</f>
        <v>70</v>
      </c>
      <c r="F2255" s="19" t="str">
        <f>IFERROR(__xludf.DUMMYFUNCTION("""COMPUTED_VALUE"""),"BLUE")</f>
        <v>BLUE</v>
      </c>
      <c r="G2255" s="20" t="str">
        <f>IFERROR(__xludf.DUMMYFUNCTION("""COMPUTED_VALUE"""),"Uncle Sams Cider (04/04/2023)")</f>
        <v>Uncle Sams Cider (04/04/2023)</v>
      </c>
      <c r="H2255" s="19"/>
    </row>
    <row r="2256">
      <c r="A2256" s="9"/>
      <c r="B2256" s="15"/>
      <c r="C2256" s="9">
        <f>IFERROR(__xludf.DUMMYFUNCTION("""COMPUTED_VALUE"""),45120.9519361689)</f>
        <v>45120.95194</v>
      </c>
      <c r="D2256" s="15">
        <f>IFERROR(__xludf.DUMMYFUNCTION("""COMPUTED_VALUE"""),0.999)</f>
        <v>0.999</v>
      </c>
      <c r="E2256" s="16">
        <f>IFERROR(__xludf.DUMMYFUNCTION("""COMPUTED_VALUE"""),70.0)</f>
        <v>70</v>
      </c>
      <c r="F2256" s="19" t="str">
        <f>IFERROR(__xludf.DUMMYFUNCTION("""COMPUTED_VALUE"""),"BLUE")</f>
        <v>BLUE</v>
      </c>
      <c r="G2256" s="20" t="str">
        <f>IFERROR(__xludf.DUMMYFUNCTION("""COMPUTED_VALUE"""),"Uncle Sams Cider (04/04/2023)")</f>
        <v>Uncle Sams Cider (04/04/2023)</v>
      </c>
      <c r="H2256" s="19"/>
    </row>
    <row r="2257">
      <c r="A2257" s="9"/>
      <c r="B2257" s="15"/>
      <c r="C2257" s="9">
        <f>IFERROR(__xludf.DUMMYFUNCTION("""COMPUTED_VALUE"""),45120.941502743)</f>
        <v>45120.9415</v>
      </c>
      <c r="D2257" s="15">
        <f>IFERROR(__xludf.DUMMYFUNCTION("""COMPUTED_VALUE"""),0.999)</f>
        <v>0.999</v>
      </c>
      <c r="E2257" s="16">
        <f>IFERROR(__xludf.DUMMYFUNCTION("""COMPUTED_VALUE"""),70.0)</f>
        <v>70</v>
      </c>
      <c r="F2257" s="19" t="str">
        <f>IFERROR(__xludf.DUMMYFUNCTION("""COMPUTED_VALUE"""),"BLUE")</f>
        <v>BLUE</v>
      </c>
      <c r="G2257" s="20" t="str">
        <f>IFERROR(__xludf.DUMMYFUNCTION("""COMPUTED_VALUE"""),"Uncle Sams Cider (04/04/2023)")</f>
        <v>Uncle Sams Cider (04/04/2023)</v>
      </c>
      <c r="H2257" s="19"/>
    </row>
    <row r="2258">
      <c r="A2258" s="9"/>
      <c r="B2258" s="15"/>
      <c r="C2258" s="9">
        <f>IFERROR(__xludf.DUMMYFUNCTION("""COMPUTED_VALUE"""),45120.9310806365)</f>
        <v>45120.93108</v>
      </c>
      <c r="D2258" s="15">
        <f>IFERROR(__xludf.DUMMYFUNCTION("""COMPUTED_VALUE"""),0.999)</f>
        <v>0.999</v>
      </c>
      <c r="E2258" s="16">
        <f>IFERROR(__xludf.DUMMYFUNCTION("""COMPUTED_VALUE"""),70.0)</f>
        <v>70</v>
      </c>
      <c r="F2258" s="19" t="str">
        <f>IFERROR(__xludf.DUMMYFUNCTION("""COMPUTED_VALUE"""),"BLUE")</f>
        <v>BLUE</v>
      </c>
      <c r="G2258" s="20" t="str">
        <f>IFERROR(__xludf.DUMMYFUNCTION("""COMPUTED_VALUE"""),"Uncle Sams Cider (04/04/2023)")</f>
        <v>Uncle Sams Cider (04/04/2023)</v>
      </c>
      <c r="H2258" s="19"/>
    </row>
    <row r="2259">
      <c r="A2259" s="9"/>
      <c r="B2259" s="15"/>
      <c r="C2259" s="9">
        <f>IFERROR(__xludf.DUMMYFUNCTION("""COMPUTED_VALUE"""),45120.9206585764)</f>
        <v>45120.92066</v>
      </c>
      <c r="D2259" s="15">
        <f>IFERROR(__xludf.DUMMYFUNCTION("""COMPUTED_VALUE"""),0.999)</f>
        <v>0.999</v>
      </c>
      <c r="E2259" s="16">
        <f>IFERROR(__xludf.DUMMYFUNCTION("""COMPUTED_VALUE"""),70.0)</f>
        <v>70</v>
      </c>
      <c r="F2259" s="19" t="str">
        <f>IFERROR(__xludf.DUMMYFUNCTION("""COMPUTED_VALUE"""),"BLUE")</f>
        <v>BLUE</v>
      </c>
      <c r="G2259" s="20" t="str">
        <f>IFERROR(__xludf.DUMMYFUNCTION("""COMPUTED_VALUE"""),"Uncle Sams Cider (04/04/2023)")</f>
        <v>Uncle Sams Cider (04/04/2023)</v>
      </c>
      <c r="H2259" s="19"/>
    </row>
    <row r="2260">
      <c r="A2260" s="9"/>
      <c r="B2260" s="15"/>
      <c r="C2260" s="9">
        <f>IFERROR(__xludf.DUMMYFUNCTION("""COMPUTED_VALUE"""),45120.910236655)</f>
        <v>45120.91024</v>
      </c>
      <c r="D2260" s="15">
        <f>IFERROR(__xludf.DUMMYFUNCTION("""COMPUTED_VALUE"""),0.999)</f>
        <v>0.999</v>
      </c>
      <c r="E2260" s="16">
        <f>IFERROR(__xludf.DUMMYFUNCTION("""COMPUTED_VALUE"""),70.0)</f>
        <v>70</v>
      </c>
      <c r="F2260" s="19" t="str">
        <f>IFERROR(__xludf.DUMMYFUNCTION("""COMPUTED_VALUE"""),"BLUE")</f>
        <v>BLUE</v>
      </c>
      <c r="G2260" s="20" t="str">
        <f>IFERROR(__xludf.DUMMYFUNCTION("""COMPUTED_VALUE"""),"Uncle Sams Cider (04/04/2023)")</f>
        <v>Uncle Sams Cider (04/04/2023)</v>
      </c>
      <c r="H2260" s="19"/>
    </row>
    <row r="2261">
      <c r="A2261" s="9"/>
      <c r="B2261" s="15"/>
      <c r="C2261" s="9">
        <f>IFERROR(__xludf.DUMMYFUNCTION("""COMPUTED_VALUE"""),45120.8997932407)</f>
        <v>45120.89979</v>
      </c>
      <c r="D2261" s="15">
        <f>IFERROR(__xludf.DUMMYFUNCTION("""COMPUTED_VALUE"""),0.999)</f>
        <v>0.999</v>
      </c>
      <c r="E2261" s="16">
        <f>IFERROR(__xludf.DUMMYFUNCTION("""COMPUTED_VALUE"""),70.0)</f>
        <v>70</v>
      </c>
      <c r="F2261" s="19" t="str">
        <f>IFERROR(__xludf.DUMMYFUNCTION("""COMPUTED_VALUE"""),"BLUE")</f>
        <v>BLUE</v>
      </c>
      <c r="G2261" s="20" t="str">
        <f>IFERROR(__xludf.DUMMYFUNCTION("""COMPUTED_VALUE"""),"Uncle Sams Cider (04/04/2023)")</f>
        <v>Uncle Sams Cider (04/04/2023)</v>
      </c>
      <c r="H2261" s="19"/>
    </row>
    <row r="2262">
      <c r="A2262" s="9"/>
      <c r="B2262" s="15"/>
      <c r="C2262" s="9">
        <f>IFERROR(__xludf.DUMMYFUNCTION("""COMPUTED_VALUE"""),45120.8893719907)</f>
        <v>45120.88937</v>
      </c>
      <c r="D2262" s="15">
        <f>IFERROR(__xludf.DUMMYFUNCTION("""COMPUTED_VALUE"""),0.999)</f>
        <v>0.999</v>
      </c>
      <c r="E2262" s="16">
        <f>IFERROR(__xludf.DUMMYFUNCTION("""COMPUTED_VALUE"""),70.0)</f>
        <v>70</v>
      </c>
      <c r="F2262" s="19" t="str">
        <f>IFERROR(__xludf.DUMMYFUNCTION("""COMPUTED_VALUE"""),"BLUE")</f>
        <v>BLUE</v>
      </c>
      <c r="G2262" s="20" t="str">
        <f>IFERROR(__xludf.DUMMYFUNCTION("""COMPUTED_VALUE"""),"Uncle Sams Cider (04/04/2023)")</f>
        <v>Uncle Sams Cider (04/04/2023)</v>
      </c>
      <c r="H2262" s="19"/>
    </row>
    <row r="2263">
      <c r="A2263" s="9"/>
      <c r="B2263" s="15"/>
      <c r="C2263" s="9">
        <f>IFERROR(__xludf.DUMMYFUNCTION("""COMPUTED_VALUE"""),45120.8789513657)</f>
        <v>45120.87895</v>
      </c>
      <c r="D2263" s="15">
        <f>IFERROR(__xludf.DUMMYFUNCTION("""COMPUTED_VALUE"""),0.999)</f>
        <v>0.999</v>
      </c>
      <c r="E2263" s="16">
        <f>IFERROR(__xludf.DUMMYFUNCTION("""COMPUTED_VALUE"""),70.0)</f>
        <v>70</v>
      </c>
      <c r="F2263" s="19" t="str">
        <f>IFERROR(__xludf.DUMMYFUNCTION("""COMPUTED_VALUE"""),"BLUE")</f>
        <v>BLUE</v>
      </c>
      <c r="G2263" s="20" t="str">
        <f>IFERROR(__xludf.DUMMYFUNCTION("""COMPUTED_VALUE"""),"Uncle Sams Cider (04/04/2023)")</f>
        <v>Uncle Sams Cider (04/04/2023)</v>
      </c>
      <c r="H2263" s="19"/>
    </row>
    <row r="2264">
      <c r="A2264" s="9"/>
      <c r="B2264" s="15"/>
      <c r="C2264" s="9">
        <f>IFERROR(__xludf.DUMMYFUNCTION("""COMPUTED_VALUE"""),45120.8685173495)</f>
        <v>45120.86852</v>
      </c>
      <c r="D2264" s="15">
        <f>IFERROR(__xludf.DUMMYFUNCTION("""COMPUTED_VALUE"""),0.999)</f>
        <v>0.999</v>
      </c>
      <c r="E2264" s="16">
        <f>IFERROR(__xludf.DUMMYFUNCTION("""COMPUTED_VALUE"""),70.0)</f>
        <v>70</v>
      </c>
      <c r="F2264" s="19" t="str">
        <f>IFERROR(__xludf.DUMMYFUNCTION("""COMPUTED_VALUE"""),"BLUE")</f>
        <v>BLUE</v>
      </c>
      <c r="G2264" s="20" t="str">
        <f>IFERROR(__xludf.DUMMYFUNCTION("""COMPUTED_VALUE"""),"Uncle Sams Cider (04/04/2023)")</f>
        <v>Uncle Sams Cider (04/04/2023)</v>
      </c>
      <c r="H2264" s="19"/>
    </row>
    <row r="2265">
      <c r="A2265" s="9"/>
      <c r="B2265" s="15"/>
      <c r="C2265" s="9">
        <f>IFERROR(__xludf.DUMMYFUNCTION("""COMPUTED_VALUE"""),45120.8580969907)</f>
        <v>45120.8581</v>
      </c>
      <c r="D2265" s="15">
        <f>IFERROR(__xludf.DUMMYFUNCTION("""COMPUTED_VALUE"""),0.999)</f>
        <v>0.999</v>
      </c>
      <c r="E2265" s="16">
        <f>IFERROR(__xludf.DUMMYFUNCTION("""COMPUTED_VALUE"""),70.0)</f>
        <v>70</v>
      </c>
      <c r="F2265" s="19" t="str">
        <f>IFERROR(__xludf.DUMMYFUNCTION("""COMPUTED_VALUE"""),"BLUE")</f>
        <v>BLUE</v>
      </c>
      <c r="G2265" s="20" t="str">
        <f>IFERROR(__xludf.DUMMYFUNCTION("""COMPUTED_VALUE"""),"Uncle Sams Cider (04/04/2023)")</f>
        <v>Uncle Sams Cider (04/04/2023)</v>
      </c>
      <c r="H2265" s="19"/>
    </row>
    <row r="2266">
      <c r="A2266" s="9"/>
      <c r="B2266" s="15"/>
      <c r="C2266" s="9">
        <f>IFERROR(__xludf.DUMMYFUNCTION("""COMPUTED_VALUE"""),45120.8476752662)</f>
        <v>45120.84768</v>
      </c>
      <c r="D2266" s="15">
        <f>IFERROR(__xludf.DUMMYFUNCTION("""COMPUTED_VALUE"""),0.999)</f>
        <v>0.999</v>
      </c>
      <c r="E2266" s="16">
        <f>IFERROR(__xludf.DUMMYFUNCTION("""COMPUTED_VALUE"""),70.0)</f>
        <v>70</v>
      </c>
      <c r="F2266" s="19" t="str">
        <f>IFERROR(__xludf.DUMMYFUNCTION("""COMPUTED_VALUE"""),"BLUE")</f>
        <v>BLUE</v>
      </c>
      <c r="G2266" s="20" t="str">
        <f>IFERROR(__xludf.DUMMYFUNCTION("""COMPUTED_VALUE"""),"Uncle Sams Cider (04/04/2023)")</f>
        <v>Uncle Sams Cider (04/04/2023)</v>
      </c>
      <c r="H2266" s="19"/>
    </row>
    <row r="2267">
      <c r="A2267" s="9"/>
      <c r="B2267" s="15"/>
      <c r="C2267" s="9">
        <f>IFERROR(__xludf.DUMMYFUNCTION("""COMPUTED_VALUE"""),45120.8372313078)</f>
        <v>45120.83723</v>
      </c>
      <c r="D2267" s="15">
        <f>IFERROR(__xludf.DUMMYFUNCTION("""COMPUTED_VALUE"""),0.999)</f>
        <v>0.999</v>
      </c>
      <c r="E2267" s="16">
        <f>IFERROR(__xludf.DUMMYFUNCTION("""COMPUTED_VALUE"""),70.0)</f>
        <v>70</v>
      </c>
      <c r="F2267" s="19" t="str">
        <f>IFERROR(__xludf.DUMMYFUNCTION("""COMPUTED_VALUE"""),"BLUE")</f>
        <v>BLUE</v>
      </c>
      <c r="G2267" s="20" t="str">
        <f>IFERROR(__xludf.DUMMYFUNCTION("""COMPUTED_VALUE"""),"Uncle Sams Cider (04/04/2023)")</f>
        <v>Uncle Sams Cider (04/04/2023)</v>
      </c>
      <c r="H2267" s="19"/>
    </row>
    <row r="2268">
      <c r="A2268" s="9"/>
      <c r="B2268" s="15"/>
      <c r="C2268" s="9">
        <f>IFERROR(__xludf.DUMMYFUNCTION("""COMPUTED_VALUE"""),45120.8268091319)</f>
        <v>45120.82681</v>
      </c>
      <c r="D2268" s="15">
        <f>IFERROR(__xludf.DUMMYFUNCTION("""COMPUTED_VALUE"""),0.999)</f>
        <v>0.999</v>
      </c>
      <c r="E2268" s="16">
        <f>IFERROR(__xludf.DUMMYFUNCTION("""COMPUTED_VALUE"""),70.0)</f>
        <v>70</v>
      </c>
      <c r="F2268" s="19" t="str">
        <f>IFERROR(__xludf.DUMMYFUNCTION("""COMPUTED_VALUE"""),"BLUE")</f>
        <v>BLUE</v>
      </c>
      <c r="G2268" s="20" t="str">
        <f>IFERROR(__xludf.DUMMYFUNCTION("""COMPUTED_VALUE"""),"Uncle Sams Cider (04/04/2023)")</f>
        <v>Uncle Sams Cider (04/04/2023)</v>
      </c>
      <c r="H2268" s="19"/>
    </row>
    <row r="2269">
      <c r="A2269" s="9"/>
      <c r="B2269" s="15"/>
      <c r="C2269" s="9">
        <f>IFERROR(__xludf.DUMMYFUNCTION("""COMPUTED_VALUE"""),45120.816386956)</f>
        <v>45120.81639</v>
      </c>
      <c r="D2269" s="15">
        <f>IFERROR(__xludf.DUMMYFUNCTION("""COMPUTED_VALUE"""),0.999)</f>
        <v>0.999</v>
      </c>
      <c r="E2269" s="16">
        <f>IFERROR(__xludf.DUMMYFUNCTION("""COMPUTED_VALUE"""),70.0)</f>
        <v>70</v>
      </c>
      <c r="F2269" s="19" t="str">
        <f>IFERROR(__xludf.DUMMYFUNCTION("""COMPUTED_VALUE"""),"BLUE")</f>
        <v>BLUE</v>
      </c>
      <c r="G2269" s="20" t="str">
        <f>IFERROR(__xludf.DUMMYFUNCTION("""COMPUTED_VALUE"""),"Uncle Sams Cider (04/04/2023)")</f>
        <v>Uncle Sams Cider (04/04/2023)</v>
      </c>
      <c r="H2269" s="19"/>
    </row>
    <row r="2270">
      <c r="A2270" s="9"/>
      <c r="B2270" s="15"/>
      <c r="C2270" s="9">
        <f>IFERROR(__xludf.DUMMYFUNCTION("""COMPUTED_VALUE"""),45120.8059661342)</f>
        <v>45120.80597</v>
      </c>
      <c r="D2270" s="15">
        <f>IFERROR(__xludf.DUMMYFUNCTION("""COMPUTED_VALUE"""),0.999)</f>
        <v>0.999</v>
      </c>
      <c r="E2270" s="16">
        <f>IFERROR(__xludf.DUMMYFUNCTION("""COMPUTED_VALUE"""),70.0)</f>
        <v>70</v>
      </c>
      <c r="F2270" s="19" t="str">
        <f>IFERROR(__xludf.DUMMYFUNCTION("""COMPUTED_VALUE"""),"BLUE")</f>
        <v>BLUE</v>
      </c>
      <c r="G2270" s="20" t="str">
        <f>IFERROR(__xludf.DUMMYFUNCTION("""COMPUTED_VALUE"""),"Uncle Sams Cider (04/04/2023)")</f>
        <v>Uncle Sams Cider (04/04/2023)</v>
      </c>
      <c r="H2270" s="19"/>
    </row>
    <row r="2271">
      <c r="A2271" s="9"/>
      <c r="B2271" s="15"/>
      <c r="C2271" s="9">
        <f>IFERROR(__xludf.DUMMYFUNCTION("""COMPUTED_VALUE"""),45120.7955440972)</f>
        <v>45120.79554</v>
      </c>
      <c r="D2271" s="15">
        <f>IFERROR(__xludf.DUMMYFUNCTION("""COMPUTED_VALUE"""),0.999)</f>
        <v>0.999</v>
      </c>
      <c r="E2271" s="16">
        <f>IFERROR(__xludf.DUMMYFUNCTION("""COMPUTED_VALUE"""),70.0)</f>
        <v>70</v>
      </c>
      <c r="F2271" s="19" t="str">
        <f>IFERROR(__xludf.DUMMYFUNCTION("""COMPUTED_VALUE"""),"BLUE")</f>
        <v>BLUE</v>
      </c>
      <c r="G2271" s="20" t="str">
        <f>IFERROR(__xludf.DUMMYFUNCTION("""COMPUTED_VALUE"""),"Uncle Sams Cider (04/04/2023)")</f>
        <v>Uncle Sams Cider (04/04/2023)</v>
      </c>
      <c r="H2271" s="19"/>
    </row>
    <row r="2272">
      <c r="A2272" s="9"/>
      <c r="B2272" s="15"/>
      <c r="C2272" s="9">
        <f>IFERROR(__xludf.DUMMYFUNCTION("""COMPUTED_VALUE"""),45120.7851234259)</f>
        <v>45120.78512</v>
      </c>
      <c r="D2272" s="15">
        <f>IFERROR(__xludf.DUMMYFUNCTION("""COMPUTED_VALUE"""),0.999)</f>
        <v>0.999</v>
      </c>
      <c r="E2272" s="16">
        <f>IFERROR(__xludf.DUMMYFUNCTION("""COMPUTED_VALUE"""),70.0)</f>
        <v>70</v>
      </c>
      <c r="F2272" s="19" t="str">
        <f>IFERROR(__xludf.DUMMYFUNCTION("""COMPUTED_VALUE"""),"BLUE")</f>
        <v>BLUE</v>
      </c>
      <c r="G2272" s="20" t="str">
        <f>IFERROR(__xludf.DUMMYFUNCTION("""COMPUTED_VALUE"""),"Uncle Sams Cider (04/04/2023)")</f>
        <v>Uncle Sams Cider (04/04/2023)</v>
      </c>
      <c r="H2272" s="19"/>
    </row>
    <row r="2273">
      <c r="A2273" s="9"/>
      <c r="B2273" s="15"/>
      <c r="C2273" s="9">
        <f>IFERROR(__xludf.DUMMYFUNCTION("""COMPUTED_VALUE"""),45120.774702581)</f>
        <v>45120.7747</v>
      </c>
      <c r="D2273" s="15">
        <f>IFERROR(__xludf.DUMMYFUNCTION("""COMPUTED_VALUE"""),0.999)</f>
        <v>0.999</v>
      </c>
      <c r="E2273" s="16">
        <f>IFERROR(__xludf.DUMMYFUNCTION("""COMPUTED_VALUE"""),70.0)</f>
        <v>70</v>
      </c>
      <c r="F2273" s="19" t="str">
        <f>IFERROR(__xludf.DUMMYFUNCTION("""COMPUTED_VALUE"""),"BLUE")</f>
        <v>BLUE</v>
      </c>
      <c r="G2273" s="20" t="str">
        <f>IFERROR(__xludf.DUMMYFUNCTION("""COMPUTED_VALUE"""),"Uncle Sams Cider (04/04/2023)")</f>
        <v>Uncle Sams Cider (04/04/2023)</v>
      </c>
      <c r="H2273" s="19"/>
    </row>
    <row r="2274">
      <c r="A2274" s="9"/>
      <c r="B2274" s="15"/>
      <c r="C2274" s="9">
        <f>IFERROR(__xludf.DUMMYFUNCTION("""COMPUTED_VALUE"""),45120.7642704745)</f>
        <v>45120.76427</v>
      </c>
      <c r="D2274" s="15">
        <f>IFERROR(__xludf.DUMMYFUNCTION("""COMPUTED_VALUE"""),0.999)</f>
        <v>0.999</v>
      </c>
      <c r="E2274" s="16">
        <f>IFERROR(__xludf.DUMMYFUNCTION("""COMPUTED_VALUE"""),70.0)</f>
        <v>70</v>
      </c>
      <c r="F2274" s="19" t="str">
        <f>IFERROR(__xludf.DUMMYFUNCTION("""COMPUTED_VALUE"""),"BLUE")</f>
        <v>BLUE</v>
      </c>
      <c r="G2274" s="20" t="str">
        <f>IFERROR(__xludf.DUMMYFUNCTION("""COMPUTED_VALUE"""),"Uncle Sams Cider (04/04/2023)")</f>
        <v>Uncle Sams Cider (04/04/2023)</v>
      </c>
      <c r="H2274" s="19"/>
    </row>
    <row r="2275">
      <c r="A2275" s="9"/>
      <c r="B2275" s="15"/>
      <c r="C2275" s="9">
        <f>IFERROR(__xludf.DUMMYFUNCTION("""COMPUTED_VALUE"""),45120.7538493171)</f>
        <v>45120.75385</v>
      </c>
      <c r="D2275" s="15">
        <f>IFERROR(__xludf.DUMMYFUNCTION("""COMPUTED_VALUE"""),0.999)</f>
        <v>0.999</v>
      </c>
      <c r="E2275" s="16">
        <f>IFERROR(__xludf.DUMMYFUNCTION("""COMPUTED_VALUE"""),70.0)</f>
        <v>70</v>
      </c>
      <c r="F2275" s="19" t="str">
        <f>IFERROR(__xludf.DUMMYFUNCTION("""COMPUTED_VALUE"""),"BLUE")</f>
        <v>BLUE</v>
      </c>
      <c r="G2275" s="20" t="str">
        <f>IFERROR(__xludf.DUMMYFUNCTION("""COMPUTED_VALUE"""),"Uncle Sams Cider (04/04/2023)")</f>
        <v>Uncle Sams Cider (04/04/2023)</v>
      </c>
      <c r="H2275" s="19"/>
    </row>
    <row r="2276">
      <c r="A2276" s="9"/>
      <c r="B2276" s="15"/>
      <c r="C2276" s="9">
        <f>IFERROR(__xludf.DUMMYFUNCTION("""COMPUTED_VALUE"""),45120.7434286689)</f>
        <v>45120.74343</v>
      </c>
      <c r="D2276" s="15">
        <f>IFERROR(__xludf.DUMMYFUNCTION("""COMPUTED_VALUE"""),0.999)</f>
        <v>0.999</v>
      </c>
      <c r="E2276" s="16">
        <f>IFERROR(__xludf.DUMMYFUNCTION("""COMPUTED_VALUE"""),70.0)</f>
        <v>70</v>
      </c>
      <c r="F2276" s="19" t="str">
        <f>IFERROR(__xludf.DUMMYFUNCTION("""COMPUTED_VALUE"""),"BLUE")</f>
        <v>BLUE</v>
      </c>
      <c r="G2276" s="20" t="str">
        <f>IFERROR(__xludf.DUMMYFUNCTION("""COMPUTED_VALUE"""),"Uncle Sams Cider (04/04/2023)")</f>
        <v>Uncle Sams Cider (04/04/2023)</v>
      </c>
      <c r="H2276" s="19"/>
    </row>
    <row r="2277">
      <c r="A2277" s="9"/>
      <c r="B2277" s="15"/>
      <c r="C2277" s="9">
        <f>IFERROR(__xludf.DUMMYFUNCTION("""COMPUTED_VALUE"""),45120.7330091088)</f>
        <v>45120.73301</v>
      </c>
      <c r="D2277" s="15">
        <f>IFERROR(__xludf.DUMMYFUNCTION("""COMPUTED_VALUE"""),0.999)</f>
        <v>0.999</v>
      </c>
      <c r="E2277" s="16">
        <f>IFERROR(__xludf.DUMMYFUNCTION("""COMPUTED_VALUE"""),70.0)</f>
        <v>70</v>
      </c>
      <c r="F2277" s="19" t="str">
        <f>IFERROR(__xludf.DUMMYFUNCTION("""COMPUTED_VALUE"""),"BLUE")</f>
        <v>BLUE</v>
      </c>
      <c r="G2277" s="20" t="str">
        <f>IFERROR(__xludf.DUMMYFUNCTION("""COMPUTED_VALUE"""),"Uncle Sams Cider (04/04/2023)")</f>
        <v>Uncle Sams Cider (04/04/2023)</v>
      </c>
      <c r="H2277" s="19"/>
    </row>
    <row r="2278">
      <c r="A2278" s="9"/>
      <c r="B2278" s="15"/>
      <c r="C2278" s="9">
        <f>IFERROR(__xludf.DUMMYFUNCTION("""COMPUTED_VALUE"""),45120.7225654861)</f>
        <v>45120.72257</v>
      </c>
      <c r="D2278" s="15">
        <f>IFERROR(__xludf.DUMMYFUNCTION("""COMPUTED_VALUE"""),0.999)</f>
        <v>0.999</v>
      </c>
      <c r="E2278" s="16">
        <f>IFERROR(__xludf.DUMMYFUNCTION("""COMPUTED_VALUE"""),70.0)</f>
        <v>70</v>
      </c>
      <c r="F2278" s="19" t="str">
        <f>IFERROR(__xludf.DUMMYFUNCTION("""COMPUTED_VALUE"""),"BLUE")</f>
        <v>BLUE</v>
      </c>
      <c r="G2278" s="20" t="str">
        <f>IFERROR(__xludf.DUMMYFUNCTION("""COMPUTED_VALUE"""),"Uncle Sams Cider (04/04/2023)")</f>
        <v>Uncle Sams Cider (04/04/2023)</v>
      </c>
      <c r="H2278" s="19"/>
    </row>
    <row r="2279">
      <c r="A2279" s="9"/>
      <c r="B2279" s="15"/>
      <c r="C2279" s="9">
        <f>IFERROR(__xludf.DUMMYFUNCTION("""COMPUTED_VALUE"""),45120.7121438657)</f>
        <v>45120.71214</v>
      </c>
      <c r="D2279" s="15">
        <f>IFERROR(__xludf.DUMMYFUNCTION("""COMPUTED_VALUE"""),0.999)</f>
        <v>0.999</v>
      </c>
      <c r="E2279" s="16">
        <f>IFERROR(__xludf.DUMMYFUNCTION("""COMPUTED_VALUE"""),70.0)</f>
        <v>70</v>
      </c>
      <c r="F2279" s="19" t="str">
        <f>IFERROR(__xludf.DUMMYFUNCTION("""COMPUTED_VALUE"""),"BLUE")</f>
        <v>BLUE</v>
      </c>
      <c r="G2279" s="20" t="str">
        <f>IFERROR(__xludf.DUMMYFUNCTION("""COMPUTED_VALUE"""),"Uncle Sams Cider (04/04/2023)")</f>
        <v>Uncle Sams Cider (04/04/2023)</v>
      </c>
      <c r="H2279" s="19"/>
    </row>
    <row r="2280">
      <c r="A2280" s="9"/>
      <c r="B2280" s="15"/>
      <c r="C2280" s="9">
        <f>IFERROR(__xludf.DUMMYFUNCTION("""COMPUTED_VALUE"""),45120.7017235879)</f>
        <v>45120.70172</v>
      </c>
      <c r="D2280" s="15">
        <f>IFERROR(__xludf.DUMMYFUNCTION("""COMPUTED_VALUE"""),0.999)</f>
        <v>0.999</v>
      </c>
      <c r="E2280" s="16">
        <f>IFERROR(__xludf.DUMMYFUNCTION("""COMPUTED_VALUE"""),70.0)</f>
        <v>70</v>
      </c>
      <c r="F2280" s="19" t="str">
        <f>IFERROR(__xludf.DUMMYFUNCTION("""COMPUTED_VALUE"""),"BLUE")</f>
        <v>BLUE</v>
      </c>
      <c r="G2280" s="20" t="str">
        <f>IFERROR(__xludf.DUMMYFUNCTION("""COMPUTED_VALUE"""),"Uncle Sams Cider (04/04/2023)")</f>
        <v>Uncle Sams Cider (04/04/2023)</v>
      </c>
      <c r="H2280" s="19"/>
    </row>
    <row r="2281">
      <c r="A2281" s="9"/>
      <c r="B2281" s="15"/>
      <c r="C2281" s="9">
        <f>IFERROR(__xludf.DUMMYFUNCTION("""COMPUTED_VALUE"""),45120.6912786921)</f>
        <v>45120.69128</v>
      </c>
      <c r="D2281" s="15">
        <f>IFERROR(__xludf.DUMMYFUNCTION("""COMPUTED_VALUE"""),0.999)</f>
        <v>0.999</v>
      </c>
      <c r="E2281" s="16">
        <f>IFERROR(__xludf.DUMMYFUNCTION("""COMPUTED_VALUE"""),70.0)</f>
        <v>70</v>
      </c>
      <c r="F2281" s="19" t="str">
        <f>IFERROR(__xludf.DUMMYFUNCTION("""COMPUTED_VALUE"""),"BLUE")</f>
        <v>BLUE</v>
      </c>
      <c r="G2281" s="20" t="str">
        <f>IFERROR(__xludf.DUMMYFUNCTION("""COMPUTED_VALUE"""),"Uncle Sams Cider (04/04/2023)")</f>
        <v>Uncle Sams Cider (04/04/2023)</v>
      </c>
      <c r="H2281" s="19"/>
    </row>
    <row r="2282">
      <c r="A2282" s="9"/>
      <c r="B2282" s="15"/>
      <c r="C2282" s="9">
        <f>IFERROR(__xludf.DUMMYFUNCTION("""COMPUTED_VALUE"""),45120.6808570833)</f>
        <v>45120.68086</v>
      </c>
      <c r="D2282" s="15">
        <f>IFERROR(__xludf.DUMMYFUNCTION("""COMPUTED_VALUE"""),0.999)</f>
        <v>0.999</v>
      </c>
      <c r="E2282" s="16">
        <f>IFERROR(__xludf.DUMMYFUNCTION("""COMPUTED_VALUE"""),70.0)</f>
        <v>70</v>
      </c>
      <c r="F2282" s="19" t="str">
        <f>IFERROR(__xludf.DUMMYFUNCTION("""COMPUTED_VALUE"""),"BLUE")</f>
        <v>BLUE</v>
      </c>
      <c r="G2282" s="20" t="str">
        <f>IFERROR(__xludf.DUMMYFUNCTION("""COMPUTED_VALUE"""),"Uncle Sams Cider (04/04/2023)")</f>
        <v>Uncle Sams Cider (04/04/2023)</v>
      </c>
      <c r="H2282" s="19"/>
    </row>
    <row r="2283">
      <c r="A2283" s="9"/>
      <c r="B2283" s="15"/>
      <c r="C2283" s="9">
        <f>IFERROR(__xludf.DUMMYFUNCTION("""COMPUTED_VALUE"""),45120.6704345138)</f>
        <v>45120.67043</v>
      </c>
      <c r="D2283" s="15">
        <f>IFERROR(__xludf.DUMMYFUNCTION("""COMPUTED_VALUE"""),0.999)</f>
        <v>0.999</v>
      </c>
      <c r="E2283" s="16">
        <f>IFERROR(__xludf.DUMMYFUNCTION("""COMPUTED_VALUE"""),70.0)</f>
        <v>70</v>
      </c>
      <c r="F2283" s="19" t="str">
        <f>IFERROR(__xludf.DUMMYFUNCTION("""COMPUTED_VALUE"""),"BLUE")</f>
        <v>BLUE</v>
      </c>
      <c r="G2283" s="20" t="str">
        <f>IFERROR(__xludf.DUMMYFUNCTION("""COMPUTED_VALUE"""),"Uncle Sams Cider (04/04/2023)")</f>
        <v>Uncle Sams Cider (04/04/2023)</v>
      </c>
      <c r="H2283" s="19"/>
    </row>
    <row r="2284">
      <c r="A2284" s="9"/>
      <c r="B2284" s="15"/>
      <c r="C2284" s="9">
        <f>IFERROR(__xludf.DUMMYFUNCTION("""COMPUTED_VALUE"""),45120.6600142245)</f>
        <v>45120.66001</v>
      </c>
      <c r="D2284" s="15">
        <f>IFERROR(__xludf.DUMMYFUNCTION("""COMPUTED_VALUE"""),0.999)</f>
        <v>0.999</v>
      </c>
      <c r="E2284" s="16">
        <f>IFERROR(__xludf.DUMMYFUNCTION("""COMPUTED_VALUE"""),70.0)</f>
        <v>70</v>
      </c>
      <c r="F2284" s="19" t="str">
        <f>IFERROR(__xludf.DUMMYFUNCTION("""COMPUTED_VALUE"""),"BLUE")</f>
        <v>BLUE</v>
      </c>
      <c r="G2284" s="20" t="str">
        <f>IFERROR(__xludf.DUMMYFUNCTION("""COMPUTED_VALUE"""),"Uncle Sams Cider (04/04/2023)")</f>
        <v>Uncle Sams Cider (04/04/2023)</v>
      </c>
      <c r="H2284" s="19"/>
    </row>
    <row r="2285">
      <c r="A2285" s="9"/>
      <c r="B2285" s="15"/>
      <c r="C2285" s="9">
        <f>IFERROR(__xludf.DUMMYFUNCTION("""COMPUTED_VALUE"""),45120.649580625)</f>
        <v>45120.64958</v>
      </c>
      <c r="D2285" s="15">
        <f>IFERROR(__xludf.DUMMYFUNCTION("""COMPUTED_VALUE"""),0.999)</f>
        <v>0.999</v>
      </c>
      <c r="E2285" s="16">
        <f>IFERROR(__xludf.DUMMYFUNCTION("""COMPUTED_VALUE"""),70.0)</f>
        <v>70</v>
      </c>
      <c r="F2285" s="19" t="str">
        <f>IFERROR(__xludf.DUMMYFUNCTION("""COMPUTED_VALUE"""),"BLUE")</f>
        <v>BLUE</v>
      </c>
      <c r="G2285" s="20" t="str">
        <f>IFERROR(__xludf.DUMMYFUNCTION("""COMPUTED_VALUE"""),"Uncle Sams Cider (04/04/2023)")</f>
        <v>Uncle Sams Cider (04/04/2023)</v>
      </c>
      <c r="H2285" s="19"/>
    </row>
    <row r="2286">
      <c r="A2286" s="9"/>
      <c r="B2286" s="15"/>
      <c r="C2286" s="9">
        <f>IFERROR(__xludf.DUMMYFUNCTION("""COMPUTED_VALUE"""),45120.6391598726)</f>
        <v>45120.63916</v>
      </c>
      <c r="D2286" s="15">
        <f>IFERROR(__xludf.DUMMYFUNCTION("""COMPUTED_VALUE"""),0.999)</f>
        <v>0.999</v>
      </c>
      <c r="E2286" s="16">
        <f>IFERROR(__xludf.DUMMYFUNCTION("""COMPUTED_VALUE"""),70.0)</f>
        <v>70</v>
      </c>
      <c r="F2286" s="19" t="str">
        <f>IFERROR(__xludf.DUMMYFUNCTION("""COMPUTED_VALUE"""),"BLUE")</f>
        <v>BLUE</v>
      </c>
      <c r="G2286" s="20" t="str">
        <f>IFERROR(__xludf.DUMMYFUNCTION("""COMPUTED_VALUE"""),"Uncle Sams Cider (04/04/2023)")</f>
        <v>Uncle Sams Cider (04/04/2023)</v>
      </c>
      <c r="H2286" s="19"/>
    </row>
    <row r="2287">
      <c r="A2287" s="9"/>
      <c r="B2287" s="15"/>
      <c r="C2287" s="9">
        <f>IFERROR(__xludf.DUMMYFUNCTION("""COMPUTED_VALUE"""),45120.628738368)</f>
        <v>45120.62874</v>
      </c>
      <c r="D2287" s="15">
        <f>IFERROR(__xludf.DUMMYFUNCTION("""COMPUTED_VALUE"""),0.999)</f>
        <v>0.999</v>
      </c>
      <c r="E2287" s="16">
        <f>IFERROR(__xludf.DUMMYFUNCTION("""COMPUTED_VALUE"""),70.0)</f>
        <v>70</v>
      </c>
      <c r="F2287" s="19" t="str">
        <f>IFERROR(__xludf.DUMMYFUNCTION("""COMPUTED_VALUE"""),"BLUE")</f>
        <v>BLUE</v>
      </c>
      <c r="G2287" s="20" t="str">
        <f>IFERROR(__xludf.DUMMYFUNCTION("""COMPUTED_VALUE"""),"Uncle Sams Cider (04/04/2023)")</f>
        <v>Uncle Sams Cider (04/04/2023)</v>
      </c>
      <c r="H2287" s="19"/>
    </row>
    <row r="2288">
      <c r="A2288" s="9"/>
      <c r="B2288" s="15"/>
      <c r="C2288" s="9">
        <f>IFERROR(__xludf.DUMMYFUNCTION("""COMPUTED_VALUE"""),45120.6183181018)</f>
        <v>45120.61832</v>
      </c>
      <c r="D2288" s="15">
        <f>IFERROR(__xludf.DUMMYFUNCTION("""COMPUTED_VALUE"""),0.999)</f>
        <v>0.999</v>
      </c>
      <c r="E2288" s="16">
        <f>IFERROR(__xludf.DUMMYFUNCTION("""COMPUTED_VALUE"""),70.0)</f>
        <v>70</v>
      </c>
      <c r="F2288" s="19" t="str">
        <f>IFERROR(__xludf.DUMMYFUNCTION("""COMPUTED_VALUE"""),"BLUE")</f>
        <v>BLUE</v>
      </c>
      <c r="G2288" s="20" t="str">
        <f>IFERROR(__xludf.DUMMYFUNCTION("""COMPUTED_VALUE"""),"Uncle Sams Cider (04/04/2023)")</f>
        <v>Uncle Sams Cider (04/04/2023)</v>
      </c>
      <c r="H2288" s="19"/>
    </row>
    <row r="2289">
      <c r="A2289" s="9"/>
      <c r="B2289" s="15"/>
      <c r="C2289" s="9">
        <f>IFERROR(__xludf.DUMMYFUNCTION("""COMPUTED_VALUE"""),45120.607896493)</f>
        <v>45120.6079</v>
      </c>
      <c r="D2289" s="15">
        <f>IFERROR(__xludf.DUMMYFUNCTION("""COMPUTED_VALUE"""),0.999)</f>
        <v>0.999</v>
      </c>
      <c r="E2289" s="16">
        <f>IFERROR(__xludf.DUMMYFUNCTION("""COMPUTED_VALUE"""),70.0)</f>
        <v>70</v>
      </c>
      <c r="F2289" s="19" t="str">
        <f>IFERROR(__xludf.DUMMYFUNCTION("""COMPUTED_VALUE"""),"BLUE")</f>
        <v>BLUE</v>
      </c>
      <c r="G2289" s="20" t="str">
        <f>IFERROR(__xludf.DUMMYFUNCTION("""COMPUTED_VALUE"""),"Uncle Sams Cider (04/04/2023)")</f>
        <v>Uncle Sams Cider (04/04/2023)</v>
      </c>
      <c r="H2289" s="19"/>
    </row>
    <row r="2290">
      <c r="A2290" s="9"/>
      <c r="B2290" s="15"/>
      <c r="C2290" s="9">
        <f>IFERROR(__xludf.DUMMYFUNCTION("""COMPUTED_VALUE"""),45120.5974748263)</f>
        <v>45120.59747</v>
      </c>
      <c r="D2290" s="15">
        <f>IFERROR(__xludf.DUMMYFUNCTION("""COMPUTED_VALUE"""),0.999)</f>
        <v>0.999</v>
      </c>
      <c r="E2290" s="16">
        <f>IFERROR(__xludf.DUMMYFUNCTION("""COMPUTED_VALUE"""),70.0)</f>
        <v>70</v>
      </c>
      <c r="F2290" s="19" t="str">
        <f>IFERROR(__xludf.DUMMYFUNCTION("""COMPUTED_VALUE"""),"BLUE")</f>
        <v>BLUE</v>
      </c>
      <c r="G2290" s="20" t="str">
        <f>IFERROR(__xludf.DUMMYFUNCTION("""COMPUTED_VALUE"""),"Uncle Sams Cider (04/04/2023)")</f>
        <v>Uncle Sams Cider (04/04/2023)</v>
      </c>
      <c r="H2290" s="19"/>
    </row>
    <row r="2291">
      <c r="A2291" s="9"/>
      <c r="B2291" s="15"/>
      <c r="C2291" s="9">
        <f>IFERROR(__xludf.DUMMYFUNCTION("""COMPUTED_VALUE"""),45120.5870411805)</f>
        <v>45120.58704</v>
      </c>
      <c r="D2291" s="15">
        <f>IFERROR(__xludf.DUMMYFUNCTION("""COMPUTED_VALUE"""),0.999)</f>
        <v>0.999</v>
      </c>
      <c r="E2291" s="16">
        <f>IFERROR(__xludf.DUMMYFUNCTION("""COMPUTED_VALUE"""),70.0)</f>
        <v>70</v>
      </c>
      <c r="F2291" s="19" t="str">
        <f>IFERROR(__xludf.DUMMYFUNCTION("""COMPUTED_VALUE"""),"BLUE")</f>
        <v>BLUE</v>
      </c>
      <c r="G2291" s="20" t="str">
        <f>IFERROR(__xludf.DUMMYFUNCTION("""COMPUTED_VALUE"""),"Uncle Sams Cider (04/04/2023)")</f>
        <v>Uncle Sams Cider (04/04/2023)</v>
      </c>
      <c r="H2291" s="19"/>
    </row>
    <row r="2292">
      <c r="A2292" s="9"/>
      <c r="B2292" s="15"/>
      <c r="C2292" s="9">
        <f>IFERROR(__xludf.DUMMYFUNCTION("""COMPUTED_VALUE"""),45120.5766217939)</f>
        <v>45120.57662</v>
      </c>
      <c r="D2292" s="15">
        <f>IFERROR(__xludf.DUMMYFUNCTION("""COMPUTED_VALUE"""),0.999)</f>
        <v>0.999</v>
      </c>
      <c r="E2292" s="16">
        <f>IFERROR(__xludf.DUMMYFUNCTION("""COMPUTED_VALUE"""),70.0)</f>
        <v>70</v>
      </c>
      <c r="F2292" s="19" t="str">
        <f>IFERROR(__xludf.DUMMYFUNCTION("""COMPUTED_VALUE"""),"BLUE")</f>
        <v>BLUE</v>
      </c>
      <c r="G2292" s="20" t="str">
        <f>IFERROR(__xludf.DUMMYFUNCTION("""COMPUTED_VALUE"""),"Uncle Sams Cider (04/04/2023)")</f>
        <v>Uncle Sams Cider (04/04/2023)</v>
      </c>
      <c r="H2292" s="19"/>
    </row>
    <row r="2293">
      <c r="A2293" s="9"/>
      <c r="B2293" s="15"/>
      <c r="C2293" s="9">
        <f>IFERROR(__xludf.DUMMYFUNCTION("""COMPUTED_VALUE"""),45120.5662025231)</f>
        <v>45120.5662</v>
      </c>
      <c r="D2293" s="15">
        <f>IFERROR(__xludf.DUMMYFUNCTION("""COMPUTED_VALUE"""),0.999)</f>
        <v>0.999</v>
      </c>
      <c r="E2293" s="16">
        <f>IFERROR(__xludf.DUMMYFUNCTION("""COMPUTED_VALUE"""),70.0)</f>
        <v>70</v>
      </c>
      <c r="F2293" s="19" t="str">
        <f>IFERROR(__xludf.DUMMYFUNCTION("""COMPUTED_VALUE"""),"BLUE")</f>
        <v>BLUE</v>
      </c>
      <c r="G2293" s="20" t="str">
        <f>IFERROR(__xludf.DUMMYFUNCTION("""COMPUTED_VALUE"""),"Uncle Sams Cider (04/04/2023)")</f>
        <v>Uncle Sams Cider (04/04/2023)</v>
      </c>
      <c r="H2293" s="19"/>
    </row>
    <row r="2294">
      <c r="A2294" s="9"/>
      <c r="B2294" s="15"/>
      <c r="C2294" s="9">
        <f>IFERROR(__xludf.DUMMYFUNCTION("""COMPUTED_VALUE"""),45120.5557694097)</f>
        <v>45120.55577</v>
      </c>
      <c r="D2294" s="15">
        <f>IFERROR(__xludf.DUMMYFUNCTION("""COMPUTED_VALUE"""),0.999)</f>
        <v>0.999</v>
      </c>
      <c r="E2294" s="16">
        <f>IFERROR(__xludf.DUMMYFUNCTION("""COMPUTED_VALUE"""),70.0)</f>
        <v>70</v>
      </c>
      <c r="F2294" s="19" t="str">
        <f>IFERROR(__xludf.DUMMYFUNCTION("""COMPUTED_VALUE"""),"BLUE")</f>
        <v>BLUE</v>
      </c>
      <c r="G2294" s="20" t="str">
        <f>IFERROR(__xludf.DUMMYFUNCTION("""COMPUTED_VALUE"""),"Uncle Sams Cider (04/04/2023)")</f>
        <v>Uncle Sams Cider (04/04/2023)</v>
      </c>
      <c r="H2294" s="19"/>
    </row>
    <row r="2295">
      <c r="A2295" s="9"/>
      <c r="B2295" s="15"/>
      <c r="C2295" s="9">
        <f>IFERROR(__xludf.DUMMYFUNCTION("""COMPUTED_VALUE"""),45120.5453368287)</f>
        <v>45120.54534</v>
      </c>
      <c r="D2295" s="15">
        <f>IFERROR(__xludf.DUMMYFUNCTION("""COMPUTED_VALUE"""),0.999)</f>
        <v>0.999</v>
      </c>
      <c r="E2295" s="16">
        <f>IFERROR(__xludf.DUMMYFUNCTION("""COMPUTED_VALUE"""),70.0)</f>
        <v>70</v>
      </c>
      <c r="F2295" s="19" t="str">
        <f>IFERROR(__xludf.DUMMYFUNCTION("""COMPUTED_VALUE"""),"BLUE")</f>
        <v>BLUE</v>
      </c>
      <c r="G2295" s="20" t="str">
        <f>IFERROR(__xludf.DUMMYFUNCTION("""COMPUTED_VALUE"""),"Uncle Sams Cider (04/04/2023)")</f>
        <v>Uncle Sams Cider (04/04/2023)</v>
      </c>
      <c r="H2295" s="19"/>
    </row>
    <row r="2296">
      <c r="A2296" s="9"/>
      <c r="B2296" s="15"/>
      <c r="C2296" s="9">
        <f>IFERROR(__xludf.DUMMYFUNCTION("""COMPUTED_VALUE"""),45120.5349161342)</f>
        <v>45120.53492</v>
      </c>
      <c r="D2296" s="15">
        <f>IFERROR(__xludf.DUMMYFUNCTION("""COMPUTED_VALUE"""),0.999)</f>
        <v>0.999</v>
      </c>
      <c r="E2296" s="16">
        <f>IFERROR(__xludf.DUMMYFUNCTION("""COMPUTED_VALUE"""),70.0)</f>
        <v>70</v>
      </c>
      <c r="F2296" s="19" t="str">
        <f>IFERROR(__xludf.DUMMYFUNCTION("""COMPUTED_VALUE"""),"BLUE")</f>
        <v>BLUE</v>
      </c>
      <c r="G2296" s="20" t="str">
        <f>IFERROR(__xludf.DUMMYFUNCTION("""COMPUTED_VALUE"""),"Uncle Sams Cider (04/04/2023)")</f>
        <v>Uncle Sams Cider (04/04/2023)</v>
      </c>
      <c r="H2296" s="19"/>
    </row>
    <row r="2297">
      <c r="A2297" s="9"/>
      <c r="B2297" s="15"/>
      <c r="C2297" s="9">
        <f>IFERROR(__xludf.DUMMYFUNCTION("""COMPUTED_VALUE"""),45120.5244947222)</f>
        <v>45120.52449</v>
      </c>
      <c r="D2297" s="15">
        <f>IFERROR(__xludf.DUMMYFUNCTION("""COMPUTED_VALUE"""),0.999)</f>
        <v>0.999</v>
      </c>
      <c r="E2297" s="16">
        <f>IFERROR(__xludf.DUMMYFUNCTION("""COMPUTED_VALUE"""),70.0)</f>
        <v>70</v>
      </c>
      <c r="F2297" s="19" t="str">
        <f>IFERROR(__xludf.DUMMYFUNCTION("""COMPUTED_VALUE"""),"BLUE")</f>
        <v>BLUE</v>
      </c>
      <c r="G2297" s="20" t="str">
        <f>IFERROR(__xludf.DUMMYFUNCTION("""COMPUTED_VALUE"""),"Uncle Sams Cider (04/04/2023)")</f>
        <v>Uncle Sams Cider (04/04/2023)</v>
      </c>
      <c r="H2297" s="19"/>
    </row>
    <row r="2298">
      <c r="A2298" s="9"/>
      <c r="B2298" s="15"/>
      <c r="C2298" s="9">
        <f>IFERROR(__xludf.DUMMYFUNCTION("""COMPUTED_VALUE"""),45120.5140605902)</f>
        <v>45120.51406</v>
      </c>
      <c r="D2298" s="15">
        <f>IFERROR(__xludf.DUMMYFUNCTION("""COMPUTED_VALUE"""),0.999)</f>
        <v>0.999</v>
      </c>
      <c r="E2298" s="16">
        <f>IFERROR(__xludf.DUMMYFUNCTION("""COMPUTED_VALUE"""),70.0)</f>
        <v>70</v>
      </c>
      <c r="F2298" s="19" t="str">
        <f>IFERROR(__xludf.DUMMYFUNCTION("""COMPUTED_VALUE"""),"BLUE")</f>
        <v>BLUE</v>
      </c>
      <c r="G2298" s="20" t="str">
        <f>IFERROR(__xludf.DUMMYFUNCTION("""COMPUTED_VALUE"""),"Uncle Sams Cider (04/04/2023)")</f>
        <v>Uncle Sams Cider (04/04/2023)</v>
      </c>
      <c r="H2298" s="19"/>
    </row>
    <row r="2299">
      <c r="A2299" s="9"/>
      <c r="B2299" s="15"/>
      <c r="C2299" s="9">
        <f>IFERROR(__xludf.DUMMYFUNCTION("""COMPUTED_VALUE"""),45120.5036388541)</f>
        <v>45120.50364</v>
      </c>
      <c r="D2299" s="15">
        <f>IFERROR(__xludf.DUMMYFUNCTION("""COMPUTED_VALUE"""),0.999)</f>
        <v>0.999</v>
      </c>
      <c r="E2299" s="16">
        <f>IFERROR(__xludf.DUMMYFUNCTION("""COMPUTED_VALUE"""),70.0)</f>
        <v>70</v>
      </c>
      <c r="F2299" s="19" t="str">
        <f>IFERROR(__xludf.DUMMYFUNCTION("""COMPUTED_VALUE"""),"BLUE")</f>
        <v>BLUE</v>
      </c>
      <c r="G2299" s="20" t="str">
        <f>IFERROR(__xludf.DUMMYFUNCTION("""COMPUTED_VALUE"""),"Uncle Sams Cider (04/04/2023)")</f>
        <v>Uncle Sams Cider (04/04/2023)</v>
      </c>
      <c r="H2299" s="19"/>
    </row>
    <row r="2300">
      <c r="A2300" s="9"/>
      <c r="B2300" s="15"/>
      <c r="C2300" s="9">
        <f>IFERROR(__xludf.DUMMYFUNCTION("""COMPUTED_VALUE"""),45120.4932179166)</f>
        <v>45120.49322</v>
      </c>
      <c r="D2300" s="15">
        <f>IFERROR(__xludf.DUMMYFUNCTION("""COMPUTED_VALUE"""),0.999)</f>
        <v>0.999</v>
      </c>
      <c r="E2300" s="16">
        <f>IFERROR(__xludf.DUMMYFUNCTION("""COMPUTED_VALUE"""),70.0)</f>
        <v>70</v>
      </c>
      <c r="F2300" s="19" t="str">
        <f>IFERROR(__xludf.DUMMYFUNCTION("""COMPUTED_VALUE"""),"BLUE")</f>
        <v>BLUE</v>
      </c>
      <c r="G2300" s="20" t="str">
        <f>IFERROR(__xludf.DUMMYFUNCTION("""COMPUTED_VALUE"""),"Uncle Sams Cider (04/04/2023)")</f>
        <v>Uncle Sams Cider (04/04/2023)</v>
      </c>
      <c r="H2300" s="19"/>
    </row>
    <row r="2301">
      <c r="A2301" s="9"/>
      <c r="B2301" s="15"/>
      <c r="C2301" s="9">
        <f>IFERROR(__xludf.DUMMYFUNCTION("""COMPUTED_VALUE"""),45120.4827955208)</f>
        <v>45120.4828</v>
      </c>
      <c r="D2301" s="15">
        <f>IFERROR(__xludf.DUMMYFUNCTION("""COMPUTED_VALUE"""),0.999)</f>
        <v>0.999</v>
      </c>
      <c r="E2301" s="16">
        <f>IFERROR(__xludf.DUMMYFUNCTION("""COMPUTED_VALUE"""),70.0)</f>
        <v>70</v>
      </c>
      <c r="F2301" s="19" t="str">
        <f>IFERROR(__xludf.DUMMYFUNCTION("""COMPUTED_VALUE"""),"BLUE")</f>
        <v>BLUE</v>
      </c>
      <c r="G2301" s="20" t="str">
        <f>IFERROR(__xludf.DUMMYFUNCTION("""COMPUTED_VALUE"""),"Uncle Sams Cider (04/04/2023)")</f>
        <v>Uncle Sams Cider (04/04/2023)</v>
      </c>
      <c r="H2301" s="19"/>
    </row>
    <row r="2302">
      <c r="A2302" s="9"/>
      <c r="B2302" s="15"/>
      <c r="C2302" s="9">
        <f>IFERROR(__xludf.DUMMYFUNCTION("""COMPUTED_VALUE"""),45120.472373993)</f>
        <v>45120.47237</v>
      </c>
      <c r="D2302" s="15">
        <f>IFERROR(__xludf.DUMMYFUNCTION("""COMPUTED_VALUE"""),0.999)</f>
        <v>0.999</v>
      </c>
      <c r="E2302" s="16">
        <f>IFERROR(__xludf.DUMMYFUNCTION("""COMPUTED_VALUE"""),70.0)</f>
        <v>70</v>
      </c>
      <c r="F2302" s="19" t="str">
        <f>IFERROR(__xludf.DUMMYFUNCTION("""COMPUTED_VALUE"""),"BLUE")</f>
        <v>BLUE</v>
      </c>
      <c r="G2302" s="20" t="str">
        <f>IFERROR(__xludf.DUMMYFUNCTION("""COMPUTED_VALUE"""),"Uncle Sams Cider (04/04/2023)")</f>
        <v>Uncle Sams Cider (04/04/2023)</v>
      </c>
      <c r="H2302" s="19"/>
    </row>
    <row r="2303">
      <c r="A2303" s="9"/>
      <c r="B2303" s="15"/>
      <c r="C2303" s="9">
        <f>IFERROR(__xludf.DUMMYFUNCTION("""COMPUTED_VALUE"""),45120.4619409953)</f>
        <v>45120.46194</v>
      </c>
      <c r="D2303" s="15">
        <f>IFERROR(__xludf.DUMMYFUNCTION("""COMPUTED_VALUE"""),0.999)</f>
        <v>0.999</v>
      </c>
      <c r="E2303" s="16">
        <f>IFERROR(__xludf.DUMMYFUNCTION("""COMPUTED_VALUE"""),70.0)</f>
        <v>70</v>
      </c>
      <c r="F2303" s="19" t="str">
        <f>IFERROR(__xludf.DUMMYFUNCTION("""COMPUTED_VALUE"""),"BLUE")</f>
        <v>BLUE</v>
      </c>
      <c r="G2303" s="20" t="str">
        <f>IFERROR(__xludf.DUMMYFUNCTION("""COMPUTED_VALUE"""),"Uncle Sams Cider (04/04/2023)")</f>
        <v>Uncle Sams Cider (04/04/2023)</v>
      </c>
      <c r="H2303" s="19"/>
    </row>
    <row r="2304">
      <c r="A2304" s="9"/>
      <c r="B2304" s="15"/>
      <c r="C2304" s="9">
        <f>IFERROR(__xludf.DUMMYFUNCTION("""COMPUTED_VALUE"""),45120.4515089583)</f>
        <v>45120.45151</v>
      </c>
      <c r="D2304" s="15">
        <f>IFERROR(__xludf.DUMMYFUNCTION("""COMPUTED_VALUE"""),0.998)</f>
        <v>0.998</v>
      </c>
      <c r="E2304" s="16">
        <f>IFERROR(__xludf.DUMMYFUNCTION("""COMPUTED_VALUE"""),70.0)</f>
        <v>70</v>
      </c>
      <c r="F2304" s="19" t="str">
        <f>IFERROR(__xludf.DUMMYFUNCTION("""COMPUTED_VALUE"""),"BLUE")</f>
        <v>BLUE</v>
      </c>
      <c r="G2304" s="20" t="str">
        <f>IFERROR(__xludf.DUMMYFUNCTION("""COMPUTED_VALUE"""),"Uncle Sams Cider (04/04/2023)")</f>
        <v>Uncle Sams Cider (04/04/2023)</v>
      </c>
      <c r="H2304" s="19"/>
    </row>
    <row r="2305">
      <c r="A2305" s="9"/>
      <c r="B2305" s="15"/>
      <c r="C2305" s="9">
        <f>IFERROR(__xludf.DUMMYFUNCTION("""COMPUTED_VALUE"""),45120.4410891782)</f>
        <v>45120.44109</v>
      </c>
      <c r="D2305" s="15">
        <f>IFERROR(__xludf.DUMMYFUNCTION("""COMPUTED_VALUE"""),0.999)</f>
        <v>0.999</v>
      </c>
      <c r="E2305" s="16">
        <f>IFERROR(__xludf.DUMMYFUNCTION("""COMPUTED_VALUE"""),70.0)</f>
        <v>70</v>
      </c>
      <c r="F2305" s="19" t="str">
        <f>IFERROR(__xludf.DUMMYFUNCTION("""COMPUTED_VALUE"""),"BLUE")</f>
        <v>BLUE</v>
      </c>
      <c r="G2305" s="20" t="str">
        <f>IFERROR(__xludf.DUMMYFUNCTION("""COMPUTED_VALUE"""),"Uncle Sams Cider (04/04/2023)")</f>
        <v>Uncle Sams Cider (04/04/2023)</v>
      </c>
      <c r="H2305" s="19"/>
    </row>
    <row r="2306">
      <c r="A2306" s="9"/>
      <c r="B2306" s="15"/>
      <c r="C2306" s="9">
        <f>IFERROR(__xludf.DUMMYFUNCTION("""COMPUTED_VALUE"""),45120.4306684838)</f>
        <v>45120.43067</v>
      </c>
      <c r="D2306" s="15">
        <f>IFERROR(__xludf.DUMMYFUNCTION("""COMPUTED_VALUE"""),0.999)</f>
        <v>0.999</v>
      </c>
      <c r="E2306" s="16">
        <f>IFERROR(__xludf.DUMMYFUNCTION("""COMPUTED_VALUE"""),70.0)</f>
        <v>70</v>
      </c>
      <c r="F2306" s="19" t="str">
        <f>IFERROR(__xludf.DUMMYFUNCTION("""COMPUTED_VALUE"""),"BLUE")</f>
        <v>BLUE</v>
      </c>
      <c r="G2306" s="20" t="str">
        <f>IFERROR(__xludf.DUMMYFUNCTION("""COMPUTED_VALUE"""),"Uncle Sams Cider (04/04/2023)")</f>
        <v>Uncle Sams Cider (04/04/2023)</v>
      </c>
      <c r="H2306" s="19"/>
    </row>
    <row r="2307">
      <c r="A2307" s="9"/>
      <c r="B2307" s="15"/>
      <c r="C2307" s="9">
        <f>IFERROR(__xludf.DUMMYFUNCTION("""COMPUTED_VALUE"""),45120.4202478356)</f>
        <v>45120.42025</v>
      </c>
      <c r="D2307" s="15">
        <f>IFERROR(__xludf.DUMMYFUNCTION("""COMPUTED_VALUE"""),0.999)</f>
        <v>0.999</v>
      </c>
      <c r="E2307" s="16">
        <f>IFERROR(__xludf.DUMMYFUNCTION("""COMPUTED_VALUE"""),70.0)</f>
        <v>70</v>
      </c>
      <c r="F2307" s="19" t="str">
        <f>IFERROR(__xludf.DUMMYFUNCTION("""COMPUTED_VALUE"""),"BLUE")</f>
        <v>BLUE</v>
      </c>
      <c r="G2307" s="20" t="str">
        <f>IFERROR(__xludf.DUMMYFUNCTION("""COMPUTED_VALUE"""),"Uncle Sams Cider (04/04/2023)")</f>
        <v>Uncle Sams Cider (04/04/2023)</v>
      </c>
      <c r="H2307" s="19"/>
    </row>
    <row r="2308">
      <c r="A2308" s="9"/>
      <c r="B2308" s="15"/>
      <c r="C2308" s="9">
        <f>IFERROR(__xludf.DUMMYFUNCTION("""COMPUTED_VALUE"""),45120.409815949)</f>
        <v>45120.40982</v>
      </c>
      <c r="D2308" s="15">
        <f>IFERROR(__xludf.DUMMYFUNCTION("""COMPUTED_VALUE"""),0.999)</f>
        <v>0.999</v>
      </c>
      <c r="E2308" s="16">
        <f>IFERROR(__xludf.DUMMYFUNCTION("""COMPUTED_VALUE"""),70.0)</f>
        <v>70</v>
      </c>
      <c r="F2308" s="19" t="str">
        <f>IFERROR(__xludf.DUMMYFUNCTION("""COMPUTED_VALUE"""),"BLUE")</f>
        <v>BLUE</v>
      </c>
      <c r="G2308" s="20" t="str">
        <f>IFERROR(__xludf.DUMMYFUNCTION("""COMPUTED_VALUE"""),"Uncle Sams Cider (04/04/2023)")</f>
        <v>Uncle Sams Cider (04/04/2023)</v>
      </c>
      <c r="H2308" s="19"/>
    </row>
    <row r="2309">
      <c r="A2309" s="9"/>
      <c r="B2309" s="15"/>
      <c r="C2309" s="9">
        <f>IFERROR(__xludf.DUMMYFUNCTION("""COMPUTED_VALUE"""),45120.3993827662)</f>
        <v>45120.39938</v>
      </c>
      <c r="D2309" s="15">
        <f>IFERROR(__xludf.DUMMYFUNCTION("""COMPUTED_VALUE"""),0.999)</f>
        <v>0.999</v>
      </c>
      <c r="E2309" s="16">
        <f>IFERROR(__xludf.DUMMYFUNCTION("""COMPUTED_VALUE"""),70.0)</f>
        <v>70</v>
      </c>
      <c r="F2309" s="19" t="str">
        <f>IFERROR(__xludf.DUMMYFUNCTION("""COMPUTED_VALUE"""),"BLUE")</f>
        <v>BLUE</v>
      </c>
      <c r="G2309" s="20" t="str">
        <f>IFERROR(__xludf.DUMMYFUNCTION("""COMPUTED_VALUE"""),"Uncle Sams Cider (04/04/2023)")</f>
        <v>Uncle Sams Cider (04/04/2023)</v>
      </c>
      <c r="H2309" s="19"/>
    </row>
    <row r="2310">
      <c r="A2310" s="9"/>
      <c r="B2310" s="15"/>
      <c r="C2310" s="9">
        <f>IFERROR(__xludf.DUMMYFUNCTION("""COMPUTED_VALUE"""),45120.3889500694)</f>
        <v>45120.38895</v>
      </c>
      <c r="D2310" s="15">
        <f>IFERROR(__xludf.DUMMYFUNCTION("""COMPUTED_VALUE"""),0.999)</f>
        <v>0.999</v>
      </c>
      <c r="E2310" s="16">
        <f>IFERROR(__xludf.DUMMYFUNCTION("""COMPUTED_VALUE"""),70.0)</f>
        <v>70</v>
      </c>
      <c r="F2310" s="19" t="str">
        <f>IFERROR(__xludf.DUMMYFUNCTION("""COMPUTED_VALUE"""),"BLUE")</f>
        <v>BLUE</v>
      </c>
      <c r="G2310" s="20" t="str">
        <f>IFERROR(__xludf.DUMMYFUNCTION("""COMPUTED_VALUE"""),"Uncle Sams Cider (04/04/2023)")</f>
        <v>Uncle Sams Cider (04/04/2023)</v>
      </c>
      <c r="H2310" s="19"/>
    </row>
    <row r="2311">
      <c r="A2311" s="9"/>
      <c r="B2311" s="15"/>
      <c r="C2311" s="9">
        <f>IFERROR(__xludf.DUMMYFUNCTION("""COMPUTED_VALUE"""),45120.3785170254)</f>
        <v>45120.37852</v>
      </c>
      <c r="D2311" s="15">
        <f>IFERROR(__xludf.DUMMYFUNCTION("""COMPUTED_VALUE"""),0.999)</f>
        <v>0.999</v>
      </c>
      <c r="E2311" s="16">
        <f>IFERROR(__xludf.DUMMYFUNCTION("""COMPUTED_VALUE"""),70.0)</f>
        <v>70</v>
      </c>
      <c r="F2311" s="19" t="str">
        <f>IFERROR(__xludf.DUMMYFUNCTION("""COMPUTED_VALUE"""),"BLUE")</f>
        <v>BLUE</v>
      </c>
      <c r="G2311" s="20" t="str">
        <f>IFERROR(__xludf.DUMMYFUNCTION("""COMPUTED_VALUE"""),"Uncle Sams Cider (04/04/2023)")</f>
        <v>Uncle Sams Cider (04/04/2023)</v>
      </c>
      <c r="H2311" s="19"/>
    </row>
    <row r="2312">
      <c r="A2312" s="9"/>
      <c r="B2312" s="15"/>
      <c r="C2312" s="9">
        <f>IFERROR(__xludf.DUMMYFUNCTION("""COMPUTED_VALUE"""),45120.3680849074)</f>
        <v>45120.36808</v>
      </c>
      <c r="D2312" s="15">
        <f>IFERROR(__xludf.DUMMYFUNCTION("""COMPUTED_VALUE"""),0.999)</f>
        <v>0.999</v>
      </c>
      <c r="E2312" s="16">
        <f>IFERROR(__xludf.DUMMYFUNCTION("""COMPUTED_VALUE"""),70.0)</f>
        <v>70</v>
      </c>
      <c r="F2312" s="19" t="str">
        <f>IFERROR(__xludf.DUMMYFUNCTION("""COMPUTED_VALUE"""),"BLUE")</f>
        <v>BLUE</v>
      </c>
      <c r="G2312" s="20" t="str">
        <f>IFERROR(__xludf.DUMMYFUNCTION("""COMPUTED_VALUE"""),"Uncle Sams Cider (04/04/2023)")</f>
        <v>Uncle Sams Cider (04/04/2023)</v>
      </c>
      <c r="H2312" s="19"/>
    </row>
    <row r="2313">
      <c r="A2313" s="9"/>
      <c r="B2313" s="15"/>
      <c r="C2313" s="9">
        <f>IFERROR(__xludf.DUMMYFUNCTION("""COMPUTED_VALUE"""),45120.35766375)</f>
        <v>45120.35766</v>
      </c>
      <c r="D2313" s="15">
        <f>IFERROR(__xludf.DUMMYFUNCTION("""COMPUTED_VALUE"""),0.999)</f>
        <v>0.999</v>
      </c>
      <c r="E2313" s="16">
        <f>IFERROR(__xludf.DUMMYFUNCTION("""COMPUTED_VALUE"""),70.0)</f>
        <v>70</v>
      </c>
      <c r="F2313" s="19" t="str">
        <f>IFERROR(__xludf.DUMMYFUNCTION("""COMPUTED_VALUE"""),"BLUE")</f>
        <v>BLUE</v>
      </c>
      <c r="G2313" s="20" t="str">
        <f>IFERROR(__xludf.DUMMYFUNCTION("""COMPUTED_VALUE"""),"Uncle Sams Cider (04/04/2023)")</f>
        <v>Uncle Sams Cider (04/04/2023)</v>
      </c>
      <c r="H2313" s="19"/>
    </row>
    <row r="2314">
      <c r="A2314" s="9"/>
      <c r="B2314" s="15"/>
      <c r="C2314" s="9">
        <f>IFERROR(__xludf.DUMMYFUNCTION("""COMPUTED_VALUE"""),45120.3472425694)</f>
        <v>45120.34724</v>
      </c>
      <c r="D2314" s="15">
        <f>IFERROR(__xludf.DUMMYFUNCTION("""COMPUTED_VALUE"""),0.999)</f>
        <v>0.999</v>
      </c>
      <c r="E2314" s="16">
        <f>IFERROR(__xludf.DUMMYFUNCTION("""COMPUTED_VALUE"""),70.0)</f>
        <v>70</v>
      </c>
      <c r="F2314" s="19" t="str">
        <f>IFERROR(__xludf.DUMMYFUNCTION("""COMPUTED_VALUE"""),"BLUE")</f>
        <v>BLUE</v>
      </c>
      <c r="G2314" s="20" t="str">
        <f>IFERROR(__xludf.DUMMYFUNCTION("""COMPUTED_VALUE"""),"Uncle Sams Cider (04/04/2023)")</f>
        <v>Uncle Sams Cider (04/04/2023)</v>
      </c>
      <c r="H2314" s="19"/>
    </row>
    <row r="2315">
      <c r="A2315" s="9"/>
      <c r="B2315" s="15"/>
      <c r="C2315" s="9">
        <f>IFERROR(__xludf.DUMMYFUNCTION("""COMPUTED_VALUE"""),45120.3368094676)</f>
        <v>45120.33681</v>
      </c>
      <c r="D2315" s="15">
        <f>IFERROR(__xludf.DUMMYFUNCTION("""COMPUTED_VALUE"""),0.999)</f>
        <v>0.999</v>
      </c>
      <c r="E2315" s="16">
        <f>IFERROR(__xludf.DUMMYFUNCTION("""COMPUTED_VALUE"""),70.0)</f>
        <v>70</v>
      </c>
      <c r="F2315" s="19" t="str">
        <f>IFERROR(__xludf.DUMMYFUNCTION("""COMPUTED_VALUE"""),"BLUE")</f>
        <v>BLUE</v>
      </c>
      <c r="G2315" s="20" t="str">
        <f>IFERROR(__xludf.DUMMYFUNCTION("""COMPUTED_VALUE"""),"Uncle Sams Cider (04/04/2023)")</f>
        <v>Uncle Sams Cider (04/04/2023)</v>
      </c>
      <c r="H2315" s="19"/>
    </row>
    <row r="2316">
      <c r="A2316" s="9"/>
      <c r="B2316" s="15"/>
      <c r="C2316" s="9">
        <f>IFERROR(__xludf.DUMMYFUNCTION("""COMPUTED_VALUE"""),45120.3263768981)</f>
        <v>45120.32638</v>
      </c>
      <c r="D2316" s="15">
        <f>IFERROR(__xludf.DUMMYFUNCTION("""COMPUTED_VALUE"""),0.999)</f>
        <v>0.999</v>
      </c>
      <c r="E2316" s="16">
        <f>IFERROR(__xludf.DUMMYFUNCTION("""COMPUTED_VALUE"""),70.0)</f>
        <v>70</v>
      </c>
      <c r="F2316" s="19" t="str">
        <f>IFERROR(__xludf.DUMMYFUNCTION("""COMPUTED_VALUE"""),"BLUE")</f>
        <v>BLUE</v>
      </c>
      <c r="G2316" s="20" t="str">
        <f>IFERROR(__xludf.DUMMYFUNCTION("""COMPUTED_VALUE"""),"Uncle Sams Cider (04/04/2023)")</f>
        <v>Uncle Sams Cider (04/04/2023)</v>
      </c>
      <c r="H2316" s="19"/>
    </row>
    <row r="2317">
      <c r="A2317" s="9"/>
      <c r="B2317" s="15"/>
      <c r="C2317" s="9">
        <f>IFERROR(__xludf.DUMMYFUNCTION("""COMPUTED_VALUE"""),45120.3159552662)</f>
        <v>45120.31596</v>
      </c>
      <c r="D2317" s="15">
        <f>IFERROR(__xludf.DUMMYFUNCTION("""COMPUTED_VALUE"""),0.999)</f>
        <v>0.999</v>
      </c>
      <c r="E2317" s="16">
        <f>IFERROR(__xludf.DUMMYFUNCTION("""COMPUTED_VALUE"""),70.0)</f>
        <v>70</v>
      </c>
      <c r="F2317" s="19" t="str">
        <f>IFERROR(__xludf.DUMMYFUNCTION("""COMPUTED_VALUE"""),"BLUE")</f>
        <v>BLUE</v>
      </c>
      <c r="G2317" s="20" t="str">
        <f>IFERROR(__xludf.DUMMYFUNCTION("""COMPUTED_VALUE"""),"Uncle Sams Cider (04/04/2023)")</f>
        <v>Uncle Sams Cider (04/04/2023)</v>
      </c>
      <c r="H2317" s="19"/>
    </row>
    <row r="2318">
      <c r="A2318" s="9"/>
      <c r="B2318" s="15"/>
      <c r="C2318" s="9">
        <f>IFERROR(__xludf.DUMMYFUNCTION("""COMPUTED_VALUE"""),45120.3055334606)</f>
        <v>45120.30553</v>
      </c>
      <c r="D2318" s="15">
        <f>IFERROR(__xludf.DUMMYFUNCTION("""COMPUTED_VALUE"""),0.999)</f>
        <v>0.999</v>
      </c>
      <c r="E2318" s="16">
        <f>IFERROR(__xludf.DUMMYFUNCTION("""COMPUTED_VALUE"""),70.0)</f>
        <v>70</v>
      </c>
      <c r="F2318" s="19" t="str">
        <f>IFERROR(__xludf.DUMMYFUNCTION("""COMPUTED_VALUE"""),"BLUE")</f>
        <v>BLUE</v>
      </c>
      <c r="G2318" s="20" t="str">
        <f>IFERROR(__xludf.DUMMYFUNCTION("""COMPUTED_VALUE"""),"Uncle Sams Cider (04/04/2023)")</f>
        <v>Uncle Sams Cider (04/04/2023)</v>
      </c>
      <c r="H2318" s="19"/>
    </row>
    <row r="2319">
      <c r="A2319" s="9"/>
      <c r="B2319" s="15"/>
      <c r="C2319" s="9">
        <f>IFERROR(__xludf.DUMMYFUNCTION("""COMPUTED_VALUE"""),45120.2951120601)</f>
        <v>45120.29511</v>
      </c>
      <c r="D2319" s="15">
        <f>IFERROR(__xludf.DUMMYFUNCTION("""COMPUTED_VALUE"""),0.999)</f>
        <v>0.999</v>
      </c>
      <c r="E2319" s="16">
        <f>IFERROR(__xludf.DUMMYFUNCTION("""COMPUTED_VALUE"""),70.0)</f>
        <v>70</v>
      </c>
      <c r="F2319" s="19" t="str">
        <f>IFERROR(__xludf.DUMMYFUNCTION("""COMPUTED_VALUE"""),"BLUE")</f>
        <v>BLUE</v>
      </c>
      <c r="G2319" s="20" t="str">
        <f>IFERROR(__xludf.DUMMYFUNCTION("""COMPUTED_VALUE"""),"Uncle Sams Cider (04/04/2023)")</f>
        <v>Uncle Sams Cider (04/04/2023)</v>
      </c>
      <c r="H2319" s="19"/>
    </row>
    <row r="2320">
      <c r="A2320" s="9"/>
      <c r="B2320" s="15"/>
      <c r="C2320" s="9">
        <f>IFERROR(__xludf.DUMMYFUNCTION("""COMPUTED_VALUE"""),45120.2846905208)</f>
        <v>45120.28469</v>
      </c>
      <c r="D2320" s="15">
        <f>IFERROR(__xludf.DUMMYFUNCTION("""COMPUTED_VALUE"""),0.999)</f>
        <v>0.999</v>
      </c>
      <c r="E2320" s="16">
        <f>IFERROR(__xludf.DUMMYFUNCTION("""COMPUTED_VALUE"""),70.0)</f>
        <v>70</v>
      </c>
      <c r="F2320" s="19" t="str">
        <f>IFERROR(__xludf.DUMMYFUNCTION("""COMPUTED_VALUE"""),"BLUE")</f>
        <v>BLUE</v>
      </c>
      <c r="G2320" s="20" t="str">
        <f>IFERROR(__xludf.DUMMYFUNCTION("""COMPUTED_VALUE"""),"Uncle Sams Cider (04/04/2023)")</f>
        <v>Uncle Sams Cider (04/04/2023)</v>
      </c>
      <c r="H2320" s="19"/>
    </row>
    <row r="2321">
      <c r="A2321" s="9"/>
      <c r="B2321" s="15"/>
      <c r="C2321" s="9">
        <f>IFERROR(__xludf.DUMMYFUNCTION("""COMPUTED_VALUE"""),45120.2742687847)</f>
        <v>45120.27427</v>
      </c>
      <c r="D2321" s="15">
        <f>IFERROR(__xludf.DUMMYFUNCTION("""COMPUTED_VALUE"""),0.999)</f>
        <v>0.999</v>
      </c>
      <c r="E2321" s="16">
        <f>IFERROR(__xludf.DUMMYFUNCTION("""COMPUTED_VALUE"""),70.0)</f>
        <v>70</v>
      </c>
      <c r="F2321" s="19" t="str">
        <f>IFERROR(__xludf.DUMMYFUNCTION("""COMPUTED_VALUE"""),"BLUE")</f>
        <v>BLUE</v>
      </c>
      <c r="G2321" s="20" t="str">
        <f>IFERROR(__xludf.DUMMYFUNCTION("""COMPUTED_VALUE"""),"Uncle Sams Cider (04/04/2023)")</f>
        <v>Uncle Sams Cider (04/04/2023)</v>
      </c>
      <c r="H2321" s="19"/>
    </row>
    <row r="2322">
      <c r="A2322" s="9"/>
      <c r="B2322" s="15"/>
      <c r="C2322" s="9">
        <f>IFERROR(__xludf.DUMMYFUNCTION("""COMPUTED_VALUE"""),45120.2638350463)</f>
        <v>45120.26384</v>
      </c>
      <c r="D2322" s="15">
        <f>IFERROR(__xludf.DUMMYFUNCTION("""COMPUTED_VALUE"""),0.999)</f>
        <v>0.999</v>
      </c>
      <c r="E2322" s="16">
        <f>IFERROR(__xludf.DUMMYFUNCTION("""COMPUTED_VALUE"""),70.0)</f>
        <v>70</v>
      </c>
      <c r="F2322" s="19" t="str">
        <f>IFERROR(__xludf.DUMMYFUNCTION("""COMPUTED_VALUE"""),"BLUE")</f>
        <v>BLUE</v>
      </c>
      <c r="G2322" s="20" t="str">
        <f>IFERROR(__xludf.DUMMYFUNCTION("""COMPUTED_VALUE"""),"Uncle Sams Cider (04/04/2023)")</f>
        <v>Uncle Sams Cider (04/04/2023)</v>
      </c>
      <c r="H2322" s="19"/>
    </row>
    <row r="2323">
      <c r="A2323" s="9"/>
      <c r="B2323" s="15"/>
      <c r="C2323" s="9">
        <f>IFERROR(__xludf.DUMMYFUNCTION("""COMPUTED_VALUE"""),45120.2534144328)</f>
        <v>45120.25341</v>
      </c>
      <c r="D2323" s="15">
        <f>IFERROR(__xludf.DUMMYFUNCTION("""COMPUTED_VALUE"""),0.999)</f>
        <v>0.999</v>
      </c>
      <c r="E2323" s="16">
        <f>IFERROR(__xludf.DUMMYFUNCTION("""COMPUTED_VALUE"""),70.0)</f>
        <v>70</v>
      </c>
      <c r="F2323" s="19" t="str">
        <f>IFERROR(__xludf.DUMMYFUNCTION("""COMPUTED_VALUE"""),"BLUE")</f>
        <v>BLUE</v>
      </c>
      <c r="G2323" s="20" t="str">
        <f>IFERROR(__xludf.DUMMYFUNCTION("""COMPUTED_VALUE"""),"Uncle Sams Cider (04/04/2023)")</f>
        <v>Uncle Sams Cider (04/04/2023)</v>
      </c>
      <c r="H2323" s="19"/>
    </row>
    <row r="2324">
      <c r="A2324" s="9"/>
      <c r="B2324" s="15"/>
      <c r="C2324" s="9">
        <f>IFERROR(__xludf.DUMMYFUNCTION("""COMPUTED_VALUE"""),45120.2429821296)</f>
        <v>45120.24298</v>
      </c>
      <c r="D2324" s="15">
        <f>IFERROR(__xludf.DUMMYFUNCTION("""COMPUTED_VALUE"""),0.999)</f>
        <v>0.999</v>
      </c>
      <c r="E2324" s="16">
        <f>IFERROR(__xludf.DUMMYFUNCTION("""COMPUTED_VALUE"""),70.0)</f>
        <v>70</v>
      </c>
      <c r="F2324" s="19" t="str">
        <f>IFERROR(__xludf.DUMMYFUNCTION("""COMPUTED_VALUE"""),"BLUE")</f>
        <v>BLUE</v>
      </c>
      <c r="G2324" s="20" t="str">
        <f>IFERROR(__xludf.DUMMYFUNCTION("""COMPUTED_VALUE"""),"Uncle Sams Cider (04/04/2023)")</f>
        <v>Uncle Sams Cider (04/04/2023)</v>
      </c>
      <c r="H2324" s="19"/>
    </row>
    <row r="2325">
      <c r="A2325" s="9"/>
      <c r="B2325" s="15"/>
      <c r="C2325" s="9">
        <f>IFERROR(__xludf.DUMMYFUNCTION("""COMPUTED_VALUE"""),45120.2325612731)</f>
        <v>45120.23256</v>
      </c>
      <c r="D2325" s="15">
        <f>IFERROR(__xludf.DUMMYFUNCTION("""COMPUTED_VALUE"""),0.999)</f>
        <v>0.999</v>
      </c>
      <c r="E2325" s="16">
        <f>IFERROR(__xludf.DUMMYFUNCTION("""COMPUTED_VALUE"""),70.0)</f>
        <v>70</v>
      </c>
      <c r="F2325" s="19" t="str">
        <f>IFERROR(__xludf.DUMMYFUNCTION("""COMPUTED_VALUE"""),"BLUE")</f>
        <v>BLUE</v>
      </c>
      <c r="G2325" s="20" t="str">
        <f>IFERROR(__xludf.DUMMYFUNCTION("""COMPUTED_VALUE"""),"Uncle Sams Cider (04/04/2023)")</f>
        <v>Uncle Sams Cider (04/04/2023)</v>
      </c>
      <c r="H2325" s="19"/>
    </row>
    <row r="2326">
      <c r="A2326" s="9"/>
      <c r="B2326" s="15"/>
      <c r="C2326" s="9">
        <f>IFERROR(__xludf.DUMMYFUNCTION("""COMPUTED_VALUE"""),45120.2221411342)</f>
        <v>45120.22214</v>
      </c>
      <c r="D2326" s="15">
        <f>IFERROR(__xludf.DUMMYFUNCTION("""COMPUTED_VALUE"""),0.999)</f>
        <v>0.999</v>
      </c>
      <c r="E2326" s="16">
        <f>IFERROR(__xludf.DUMMYFUNCTION("""COMPUTED_VALUE"""),70.0)</f>
        <v>70</v>
      </c>
      <c r="F2326" s="19" t="str">
        <f>IFERROR(__xludf.DUMMYFUNCTION("""COMPUTED_VALUE"""),"BLUE")</f>
        <v>BLUE</v>
      </c>
      <c r="G2326" s="20" t="str">
        <f>IFERROR(__xludf.DUMMYFUNCTION("""COMPUTED_VALUE"""),"Uncle Sams Cider (04/04/2023)")</f>
        <v>Uncle Sams Cider (04/04/2023)</v>
      </c>
      <c r="H2326" s="19"/>
    </row>
    <row r="2327">
      <c r="A2327" s="9"/>
      <c r="B2327" s="15"/>
      <c r="C2327" s="9">
        <f>IFERROR(__xludf.DUMMYFUNCTION("""COMPUTED_VALUE"""),45120.21171978)</f>
        <v>45120.21172</v>
      </c>
      <c r="D2327" s="15">
        <f>IFERROR(__xludf.DUMMYFUNCTION("""COMPUTED_VALUE"""),0.999)</f>
        <v>0.999</v>
      </c>
      <c r="E2327" s="16">
        <f>IFERROR(__xludf.DUMMYFUNCTION("""COMPUTED_VALUE"""),70.0)</f>
        <v>70</v>
      </c>
      <c r="F2327" s="19" t="str">
        <f>IFERROR(__xludf.DUMMYFUNCTION("""COMPUTED_VALUE"""),"BLUE")</f>
        <v>BLUE</v>
      </c>
      <c r="G2327" s="20" t="str">
        <f>IFERROR(__xludf.DUMMYFUNCTION("""COMPUTED_VALUE"""),"Uncle Sams Cider (04/04/2023)")</f>
        <v>Uncle Sams Cider (04/04/2023)</v>
      </c>
      <c r="H2327" s="19"/>
    </row>
    <row r="2328">
      <c r="A2328" s="9"/>
      <c r="B2328" s="15"/>
      <c r="C2328" s="9">
        <f>IFERROR(__xludf.DUMMYFUNCTION("""COMPUTED_VALUE"""),45120.2012969907)</f>
        <v>45120.2013</v>
      </c>
      <c r="D2328" s="15">
        <f>IFERROR(__xludf.DUMMYFUNCTION("""COMPUTED_VALUE"""),0.999)</f>
        <v>0.999</v>
      </c>
      <c r="E2328" s="16">
        <f>IFERROR(__xludf.DUMMYFUNCTION("""COMPUTED_VALUE"""),70.0)</f>
        <v>70</v>
      </c>
      <c r="F2328" s="19" t="str">
        <f>IFERROR(__xludf.DUMMYFUNCTION("""COMPUTED_VALUE"""),"BLUE")</f>
        <v>BLUE</v>
      </c>
      <c r="G2328" s="20" t="str">
        <f>IFERROR(__xludf.DUMMYFUNCTION("""COMPUTED_VALUE"""),"Uncle Sams Cider (04/04/2023)")</f>
        <v>Uncle Sams Cider (04/04/2023)</v>
      </c>
      <c r="H2328" s="19"/>
    </row>
    <row r="2329">
      <c r="A2329" s="9"/>
      <c r="B2329" s="15"/>
      <c r="C2329" s="9">
        <f>IFERROR(__xludf.DUMMYFUNCTION("""COMPUTED_VALUE"""),45120.1908758564)</f>
        <v>45120.19088</v>
      </c>
      <c r="D2329" s="15">
        <f>IFERROR(__xludf.DUMMYFUNCTION("""COMPUTED_VALUE"""),0.999)</f>
        <v>0.999</v>
      </c>
      <c r="E2329" s="16">
        <f>IFERROR(__xludf.DUMMYFUNCTION("""COMPUTED_VALUE"""),70.0)</f>
        <v>70</v>
      </c>
      <c r="F2329" s="19" t="str">
        <f>IFERROR(__xludf.DUMMYFUNCTION("""COMPUTED_VALUE"""),"BLUE")</f>
        <v>BLUE</v>
      </c>
      <c r="G2329" s="20" t="str">
        <f>IFERROR(__xludf.DUMMYFUNCTION("""COMPUTED_VALUE"""),"Uncle Sams Cider (04/04/2023)")</f>
        <v>Uncle Sams Cider (04/04/2023)</v>
      </c>
      <c r="H2329" s="19"/>
    </row>
    <row r="2330">
      <c r="A2330" s="9"/>
      <c r="B2330" s="15"/>
      <c r="C2330" s="9">
        <f>IFERROR(__xludf.DUMMYFUNCTION("""COMPUTED_VALUE"""),45120.1804423379)</f>
        <v>45120.18044</v>
      </c>
      <c r="D2330" s="15">
        <f>IFERROR(__xludf.DUMMYFUNCTION("""COMPUTED_VALUE"""),0.999)</f>
        <v>0.999</v>
      </c>
      <c r="E2330" s="16">
        <f>IFERROR(__xludf.DUMMYFUNCTION("""COMPUTED_VALUE"""),70.0)</f>
        <v>70</v>
      </c>
      <c r="F2330" s="19" t="str">
        <f>IFERROR(__xludf.DUMMYFUNCTION("""COMPUTED_VALUE"""),"BLUE")</f>
        <v>BLUE</v>
      </c>
      <c r="G2330" s="20" t="str">
        <f>IFERROR(__xludf.DUMMYFUNCTION("""COMPUTED_VALUE"""),"Uncle Sams Cider (04/04/2023)")</f>
        <v>Uncle Sams Cider (04/04/2023)</v>
      </c>
      <c r="H2330" s="19"/>
    </row>
    <row r="2331">
      <c r="A2331" s="9"/>
      <c r="B2331" s="15"/>
      <c r="C2331" s="9">
        <f>IFERROR(__xludf.DUMMYFUNCTION("""COMPUTED_VALUE"""),45120.1700093171)</f>
        <v>45120.17001</v>
      </c>
      <c r="D2331" s="15">
        <f>IFERROR(__xludf.DUMMYFUNCTION("""COMPUTED_VALUE"""),0.999)</f>
        <v>0.999</v>
      </c>
      <c r="E2331" s="16">
        <f>IFERROR(__xludf.DUMMYFUNCTION("""COMPUTED_VALUE"""),70.0)</f>
        <v>70</v>
      </c>
      <c r="F2331" s="19" t="str">
        <f>IFERROR(__xludf.DUMMYFUNCTION("""COMPUTED_VALUE"""),"BLUE")</f>
        <v>BLUE</v>
      </c>
      <c r="G2331" s="20" t="str">
        <f>IFERROR(__xludf.DUMMYFUNCTION("""COMPUTED_VALUE"""),"Uncle Sams Cider (04/04/2023)")</f>
        <v>Uncle Sams Cider (04/04/2023)</v>
      </c>
      <c r="H2331" s="19"/>
    </row>
    <row r="2332">
      <c r="A2332" s="9"/>
      <c r="B2332" s="15"/>
      <c r="C2332" s="9">
        <f>IFERROR(__xludf.DUMMYFUNCTION("""COMPUTED_VALUE"""),45120.159587824)</f>
        <v>45120.15959</v>
      </c>
      <c r="D2332" s="15">
        <f>IFERROR(__xludf.DUMMYFUNCTION("""COMPUTED_VALUE"""),0.999)</f>
        <v>0.999</v>
      </c>
      <c r="E2332" s="16">
        <f>IFERROR(__xludf.DUMMYFUNCTION("""COMPUTED_VALUE"""),70.0)</f>
        <v>70</v>
      </c>
      <c r="F2332" s="19" t="str">
        <f>IFERROR(__xludf.DUMMYFUNCTION("""COMPUTED_VALUE"""),"BLUE")</f>
        <v>BLUE</v>
      </c>
      <c r="G2332" s="20" t="str">
        <f>IFERROR(__xludf.DUMMYFUNCTION("""COMPUTED_VALUE"""),"Uncle Sams Cider (04/04/2023)")</f>
        <v>Uncle Sams Cider (04/04/2023)</v>
      </c>
      <c r="H2332" s="19"/>
    </row>
    <row r="2333">
      <c r="A2333" s="9"/>
      <c r="B2333" s="15"/>
      <c r="C2333" s="9">
        <f>IFERROR(__xludf.DUMMYFUNCTION("""COMPUTED_VALUE"""),45120.1491663657)</f>
        <v>45120.14917</v>
      </c>
      <c r="D2333" s="15">
        <f>IFERROR(__xludf.DUMMYFUNCTION("""COMPUTED_VALUE"""),0.999)</f>
        <v>0.999</v>
      </c>
      <c r="E2333" s="16">
        <f>IFERROR(__xludf.DUMMYFUNCTION("""COMPUTED_VALUE"""),70.0)</f>
        <v>70</v>
      </c>
      <c r="F2333" s="19" t="str">
        <f>IFERROR(__xludf.DUMMYFUNCTION("""COMPUTED_VALUE"""),"BLUE")</f>
        <v>BLUE</v>
      </c>
      <c r="G2333" s="20" t="str">
        <f>IFERROR(__xludf.DUMMYFUNCTION("""COMPUTED_VALUE"""),"Uncle Sams Cider (04/04/2023)")</f>
        <v>Uncle Sams Cider (04/04/2023)</v>
      </c>
      <c r="H2333" s="19"/>
    </row>
    <row r="2334">
      <c r="A2334" s="9"/>
      <c r="B2334" s="15"/>
      <c r="C2334" s="9">
        <f>IFERROR(__xludf.DUMMYFUNCTION("""COMPUTED_VALUE"""),45120.1387453819)</f>
        <v>45120.13875</v>
      </c>
      <c r="D2334" s="15">
        <f>IFERROR(__xludf.DUMMYFUNCTION("""COMPUTED_VALUE"""),0.999)</f>
        <v>0.999</v>
      </c>
      <c r="E2334" s="16">
        <f>IFERROR(__xludf.DUMMYFUNCTION("""COMPUTED_VALUE"""),70.0)</f>
        <v>70</v>
      </c>
      <c r="F2334" s="19" t="str">
        <f>IFERROR(__xludf.DUMMYFUNCTION("""COMPUTED_VALUE"""),"BLUE")</f>
        <v>BLUE</v>
      </c>
      <c r="G2334" s="20" t="str">
        <f>IFERROR(__xludf.DUMMYFUNCTION("""COMPUTED_VALUE"""),"Uncle Sams Cider (04/04/2023)")</f>
        <v>Uncle Sams Cider (04/04/2023)</v>
      </c>
      <c r="H2334" s="19"/>
    </row>
    <row r="2335">
      <c r="A2335" s="9"/>
      <c r="B2335" s="15"/>
      <c r="C2335" s="9">
        <f>IFERROR(__xludf.DUMMYFUNCTION("""COMPUTED_VALUE"""),45120.1283243634)</f>
        <v>45120.12832</v>
      </c>
      <c r="D2335" s="15">
        <f>IFERROR(__xludf.DUMMYFUNCTION("""COMPUTED_VALUE"""),0.999)</f>
        <v>0.999</v>
      </c>
      <c r="E2335" s="16">
        <f>IFERROR(__xludf.DUMMYFUNCTION("""COMPUTED_VALUE"""),70.0)</f>
        <v>70</v>
      </c>
      <c r="F2335" s="19" t="str">
        <f>IFERROR(__xludf.DUMMYFUNCTION("""COMPUTED_VALUE"""),"BLUE")</f>
        <v>BLUE</v>
      </c>
      <c r="G2335" s="20" t="str">
        <f>IFERROR(__xludf.DUMMYFUNCTION("""COMPUTED_VALUE"""),"Uncle Sams Cider (04/04/2023)")</f>
        <v>Uncle Sams Cider (04/04/2023)</v>
      </c>
      <c r="H2335" s="19"/>
    </row>
    <row r="2336">
      <c r="A2336" s="9"/>
      <c r="B2336" s="15"/>
      <c r="C2336" s="9">
        <f>IFERROR(__xludf.DUMMYFUNCTION("""COMPUTED_VALUE"""),45120.1179022338)</f>
        <v>45120.1179</v>
      </c>
      <c r="D2336" s="15">
        <f>IFERROR(__xludf.DUMMYFUNCTION("""COMPUTED_VALUE"""),0.999)</f>
        <v>0.999</v>
      </c>
      <c r="E2336" s="16">
        <f>IFERROR(__xludf.DUMMYFUNCTION("""COMPUTED_VALUE"""),70.0)</f>
        <v>70</v>
      </c>
      <c r="F2336" s="19" t="str">
        <f>IFERROR(__xludf.DUMMYFUNCTION("""COMPUTED_VALUE"""),"BLUE")</f>
        <v>BLUE</v>
      </c>
      <c r="G2336" s="20" t="str">
        <f>IFERROR(__xludf.DUMMYFUNCTION("""COMPUTED_VALUE"""),"Uncle Sams Cider (04/04/2023)")</f>
        <v>Uncle Sams Cider (04/04/2023)</v>
      </c>
      <c r="H2336" s="19"/>
    </row>
    <row r="2337">
      <c r="A2337" s="9"/>
      <c r="B2337" s="15"/>
      <c r="C2337" s="9">
        <f>IFERROR(__xludf.DUMMYFUNCTION("""COMPUTED_VALUE"""),45120.1074688194)</f>
        <v>45120.10747</v>
      </c>
      <c r="D2337" s="15">
        <f>IFERROR(__xludf.DUMMYFUNCTION("""COMPUTED_VALUE"""),0.999)</f>
        <v>0.999</v>
      </c>
      <c r="E2337" s="16">
        <f>IFERROR(__xludf.DUMMYFUNCTION("""COMPUTED_VALUE"""),70.0)</f>
        <v>70</v>
      </c>
      <c r="F2337" s="19" t="str">
        <f>IFERROR(__xludf.DUMMYFUNCTION("""COMPUTED_VALUE"""),"BLUE")</f>
        <v>BLUE</v>
      </c>
      <c r="G2337" s="20" t="str">
        <f>IFERROR(__xludf.DUMMYFUNCTION("""COMPUTED_VALUE"""),"Uncle Sams Cider (04/04/2023)")</f>
        <v>Uncle Sams Cider (04/04/2023)</v>
      </c>
      <c r="H2337" s="19"/>
    </row>
    <row r="2338">
      <c r="A2338" s="9"/>
      <c r="B2338" s="15"/>
      <c r="C2338" s="9">
        <f>IFERROR(__xludf.DUMMYFUNCTION("""COMPUTED_VALUE"""),45120.0970112268)</f>
        <v>45120.09701</v>
      </c>
      <c r="D2338" s="15">
        <f>IFERROR(__xludf.DUMMYFUNCTION("""COMPUTED_VALUE"""),0.999)</f>
        <v>0.999</v>
      </c>
      <c r="E2338" s="16">
        <f>IFERROR(__xludf.DUMMYFUNCTION("""COMPUTED_VALUE"""),70.0)</f>
        <v>70</v>
      </c>
      <c r="F2338" s="19" t="str">
        <f>IFERROR(__xludf.DUMMYFUNCTION("""COMPUTED_VALUE"""),"BLUE")</f>
        <v>BLUE</v>
      </c>
      <c r="G2338" s="20" t="str">
        <f>IFERROR(__xludf.DUMMYFUNCTION("""COMPUTED_VALUE"""),"Uncle Sams Cider (04/04/2023)")</f>
        <v>Uncle Sams Cider (04/04/2023)</v>
      </c>
      <c r="H2338" s="19"/>
    </row>
    <row r="2339">
      <c r="A2339" s="9"/>
      <c r="B2339" s="15"/>
      <c r="C2339" s="9">
        <f>IFERROR(__xludf.DUMMYFUNCTION("""COMPUTED_VALUE"""),45120.0865918055)</f>
        <v>45120.08659</v>
      </c>
      <c r="D2339" s="15">
        <f>IFERROR(__xludf.DUMMYFUNCTION("""COMPUTED_VALUE"""),0.999)</f>
        <v>0.999</v>
      </c>
      <c r="E2339" s="16">
        <f>IFERROR(__xludf.DUMMYFUNCTION("""COMPUTED_VALUE"""),70.0)</f>
        <v>70</v>
      </c>
      <c r="F2339" s="19" t="str">
        <f>IFERROR(__xludf.DUMMYFUNCTION("""COMPUTED_VALUE"""),"BLUE")</f>
        <v>BLUE</v>
      </c>
      <c r="G2339" s="20" t="str">
        <f>IFERROR(__xludf.DUMMYFUNCTION("""COMPUTED_VALUE"""),"Uncle Sams Cider (04/04/2023)")</f>
        <v>Uncle Sams Cider (04/04/2023)</v>
      </c>
      <c r="H2339" s="19"/>
    </row>
    <row r="2340">
      <c r="A2340" s="9"/>
      <c r="B2340" s="15"/>
      <c r="C2340" s="9">
        <f>IFERROR(__xludf.DUMMYFUNCTION("""COMPUTED_VALUE"""),45120.0761710185)</f>
        <v>45120.07617</v>
      </c>
      <c r="D2340" s="15">
        <f>IFERROR(__xludf.DUMMYFUNCTION("""COMPUTED_VALUE"""),0.999)</f>
        <v>0.999</v>
      </c>
      <c r="E2340" s="16">
        <f>IFERROR(__xludf.DUMMYFUNCTION("""COMPUTED_VALUE"""),70.0)</f>
        <v>70</v>
      </c>
      <c r="F2340" s="19" t="str">
        <f>IFERROR(__xludf.DUMMYFUNCTION("""COMPUTED_VALUE"""),"BLUE")</f>
        <v>BLUE</v>
      </c>
      <c r="G2340" s="20" t="str">
        <f>IFERROR(__xludf.DUMMYFUNCTION("""COMPUTED_VALUE"""),"Uncle Sams Cider (04/04/2023)")</f>
        <v>Uncle Sams Cider (04/04/2023)</v>
      </c>
      <c r="H2340" s="19"/>
    </row>
    <row r="2341">
      <c r="A2341" s="9"/>
      <c r="B2341" s="15"/>
      <c r="C2341" s="9">
        <f>IFERROR(__xludf.DUMMYFUNCTION("""COMPUTED_VALUE"""),45120.0657522222)</f>
        <v>45120.06575</v>
      </c>
      <c r="D2341" s="15">
        <f>IFERROR(__xludf.DUMMYFUNCTION("""COMPUTED_VALUE"""),0.999)</f>
        <v>0.999</v>
      </c>
      <c r="E2341" s="16">
        <f>IFERROR(__xludf.DUMMYFUNCTION("""COMPUTED_VALUE"""),70.0)</f>
        <v>70</v>
      </c>
      <c r="F2341" s="19" t="str">
        <f>IFERROR(__xludf.DUMMYFUNCTION("""COMPUTED_VALUE"""),"BLUE")</f>
        <v>BLUE</v>
      </c>
      <c r="G2341" s="20" t="str">
        <f>IFERROR(__xludf.DUMMYFUNCTION("""COMPUTED_VALUE"""),"Uncle Sams Cider (04/04/2023)")</f>
        <v>Uncle Sams Cider (04/04/2023)</v>
      </c>
      <c r="H2341" s="19"/>
    </row>
    <row r="2342">
      <c r="A2342" s="9"/>
      <c r="B2342" s="15"/>
      <c r="C2342" s="9">
        <f>IFERROR(__xludf.DUMMYFUNCTION("""COMPUTED_VALUE"""),45120.0553184606)</f>
        <v>45120.05532</v>
      </c>
      <c r="D2342" s="15">
        <f>IFERROR(__xludf.DUMMYFUNCTION("""COMPUTED_VALUE"""),0.999)</f>
        <v>0.999</v>
      </c>
      <c r="E2342" s="16">
        <f>IFERROR(__xludf.DUMMYFUNCTION("""COMPUTED_VALUE"""),70.0)</f>
        <v>70</v>
      </c>
      <c r="F2342" s="19" t="str">
        <f>IFERROR(__xludf.DUMMYFUNCTION("""COMPUTED_VALUE"""),"BLUE")</f>
        <v>BLUE</v>
      </c>
      <c r="G2342" s="20" t="str">
        <f>IFERROR(__xludf.DUMMYFUNCTION("""COMPUTED_VALUE"""),"Uncle Sams Cider (04/04/2023)")</f>
        <v>Uncle Sams Cider (04/04/2023)</v>
      </c>
      <c r="H2342" s="19"/>
    </row>
    <row r="2343">
      <c r="A2343" s="9"/>
      <c r="B2343" s="15"/>
      <c r="C2343" s="9">
        <f>IFERROR(__xludf.DUMMYFUNCTION("""COMPUTED_VALUE"""),45120.0448986921)</f>
        <v>45120.0449</v>
      </c>
      <c r="D2343" s="15">
        <f>IFERROR(__xludf.DUMMYFUNCTION("""COMPUTED_VALUE"""),0.999)</f>
        <v>0.999</v>
      </c>
      <c r="E2343" s="16">
        <f>IFERROR(__xludf.DUMMYFUNCTION("""COMPUTED_VALUE"""),70.0)</f>
        <v>70</v>
      </c>
      <c r="F2343" s="19" t="str">
        <f>IFERROR(__xludf.DUMMYFUNCTION("""COMPUTED_VALUE"""),"BLUE")</f>
        <v>BLUE</v>
      </c>
      <c r="G2343" s="20" t="str">
        <f>IFERROR(__xludf.DUMMYFUNCTION("""COMPUTED_VALUE"""),"Uncle Sams Cider (04/04/2023)")</f>
        <v>Uncle Sams Cider (04/04/2023)</v>
      </c>
      <c r="H2343" s="19"/>
    </row>
    <row r="2344">
      <c r="A2344" s="9"/>
      <c r="B2344" s="15"/>
      <c r="C2344" s="9">
        <f>IFERROR(__xludf.DUMMYFUNCTION("""COMPUTED_VALUE"""),45120.0344779976)</f>
        <v>45120.03448</v>
      </c>
      <c r="D2344" s="15">
        <f>IFERROR(__xludf.DUMMYFUNCTION("""COMPUTED_VALUE"""),0.999)</f>
        <v>0.999</v>
      </c>
      <c r="E2344" s="16">
        <f>IFERROR(__xludf.DUMMYFUNCTION("""COMPUTED_VALUE"""),70.0)</f>
        <v>70</v>
      </c>
      <c r="F2344" s="19" t="str">
        <f>IFERROR(__xludf.DUMMYFUNCTION("""COMPUTED_VALUE"""),"BLUE")</f>
        <v>BLUE</v>
      </c>
      <c r="G2344" s="20" t="str">
        <f>IFERROR(__xludf.DUMMYFUNCTION("""COMPUTED_VALUE"""),"Uncle Sams Cider (04/04/2023)")</f>
        <v>Uncle Sams Cider (04/04/2023)</v>
      </c>
      <c r="H2344" s="19"/>
    </row>
    <row r="2345">
      <c r="A2345" s="9"/>
      <c r="B2345" s="15"/>
      <c r="C2345" s="9">
        <f>IFERROR(__xludf.DUMMYFUNCTION("""COMPUTED_VALUE"""),45120.0240592245)</f>
        <v>45120.02406</v>
      </c>
      <c r="D2345" s="15">
        <f>IFERROR(__xludf.DUMMYFUNCTION("""COMPUTED_VALUE"""),0.999)</f>
        <v>0.999</v>
      </c>
      <c r="E2345" s="16">
        <f>IFERROR(__xludf.DUMMYFUNCTION("""COMPUTED_VALUE"""),70.0)</f>
        <v>70</v>
      </c>
      <c r="F2345" s="19" t="str">
        <f>IFERROR(__xludf.DUMMYFUNCTION("""COMPUTED_VALUE"""),"BLUE")</f>
        <v>BLUE</v>
      </c>
      <c r="G2345" s="20" t="str">
        <f>IFERROR(__xludf.DUMMYFUNCTION("""COMPUTED_VALUE"""),"Uncle Sams Cider (04/04/2023)")</f>
        <v>Uncle Sams Cider (04/04/2023)</v>
      </c>
      <c r="H2345" s="19"/>
    </row>
    <row r="2346">
      <c r="A2346" s="9"/>
      <c r="B2346" s="15"/>
      <c r="C2346" s="9">
        <f>IFERROR(__xludf.DUMMYFUNCTION("""COMPUTED_VALUE"""),45120.0136394097)</f>
        <v>45120.01364</v>
      </c>
      <c r="D2346" s="15">
        <f>IFERROR(__xludf.DUMMYFUNCTION("""COMPUTED_VALUE"""),0.999)</f>
        <v>0.999</v>
      </c>
      <c r="E2346" s="16">
        <f>IFERROR(__xludf.DUMMYFUNCTION("""COMPUTED_VALUE"""),70.0)</f>
        <v>70</v>
      </c>
      <c r="F2346" s="19" t="str">
        <f>IFERROR(__xludf.DUMMYFUNCTION("""COMPUTED_VALUE"""),"BLUE")</f>
        <v>BLUE</v>
      </c>
      <c r="G2346" s="20" t="str">
        <f>IFERROR(__xludf.DUMMYFUNCTION("""COMPUTED_VALUE"""),"Uncle Sams Cider (04/04/2023)")</f>
        <v>Uncle Sams Cider (04/04/2023)</v>
      </c>
      <c r="H2346" s="19"/>
    </row>
    <row r="2347">
      <c r="A2347" s="9"/>
      <c r="B2347" s="15"/>
      <c r="C2347" s="9">
        <f>IFERROR(__xludf.DUMMYFUNCTION("""COMPUTED_VALUE"""),45120.0032050694)</f>
        <v>45120.00321</v>
      </c>
      <c r="D2347" s="15">
        <f>IFERROR(__xludf.DUMMYFUNCTION("""COMPUTED_VALUE"""),0.999)</f>
        <v>0.999</v>
      </c>
      <c r="E2347" s="16">
        <f>IFERROR(__xludf.DUMMYFUNCTION("""COMPUTED_VALUE"""),70.0)</f>
        <v>70</v>
      </c>
      <c r="F2347" s="19" t="str">
        <f>IFERROR(__xludf.DUMMYFUNCTION("""COMPUTED_VALUE"""),"BLUE")</f>
        <v>BLUE</v>
      </c>
      <c r="G2347" s="20" t="str">
        <f>IFERROR(__xludf.DUMMYFUNCTION("""COMPUTED_VALUE"""),"Uncle Sams Cider (04/04/2023)")</f>
        <v>Uncle Sams Cider (04/04/2023)</v>
      </c>
      <c r="H2347" s="19"/>
    </row>
    <row r="2348">
      <c r="A2348" s="9"/>
      <c r="B2348" s="15"/>
      <c r="C2348" s="9">
        <f>IFERROR(__xludf.DUMMYFUNCTION("""COMPUTED_VALUE"""),45119.9927727777)</f>
        <v>45119.99277</v>
      </c>
      <c r="D2348" s="15">
        <f>IFERROR(__xludf.DUMMYFUNCTION("""COMPUTED_VALUE"""),0.999)</f>
        <v>0.999</v>
      </c>
      <c r="E2348" s="16">
        <f>IFERROR(__xludf.DUMMYFUNCTION("""COMPUTED_VALUE"""),70.0)</f>
        <v>70</v>
      </c>
      <c r="F2348" s="19" t="str">
        <f>IFERROR(__xludf.DUMMYFUNCTION("""COMPUTED_VALUE"""),"BLUE")</f>
        <v>BLUE</v>
      </c>
      <c r="G2348" s="20" t="str">
        <f>IFERROR(__xludf.DUMMYFUNCTION("""COMPUTED_VALUE"""),"Uncle Sams Cider (04/04/2023)")</f>
        <v>Uncle Sams Cider (04/04/2023)</v>
      </c>
      <c r="H2348" s="19"/>
    </row>
    <row r="2349">
      <c r="A2349" s="9"/>
      <c r="B2349" s="15"/>
      <c r="C2349" s="9">
        <f>IFERROR(__xludf.DUMMYFUNCTION("""COMPUTED_VALUE"""),45119.9823495833)</f>
        <v>45119.98235</v>
      </c>
      <c r="D2349" s="15">
        <f>IFERROR(__xludf.DUMMYFUNCTION("""COMPUTED_VALUE"""),0.999)</f>
        <v>0.999</v>
      </c>
      <c r="E2349" s="16">
        <f>IFERROR(__xludf.DUMMYFUNCTION("""COMPUTED_VALUE"""),70.0)</f>
        <v>70</v>
      </c>
      <c r="F2349" s="19" t="str">
        <f>IFERROR(__xludf.DUMMYFUNCTION("""COMPUTED_VALUE"""),"BLUE")</f>
        <v>BLUE</v>
      </c>
      <c r="G2349" s="20" t="str">
        <f>IFERROR(__xludf.DUMMYFUNCTION("""COMPUTED_VALUE"""),"Uncle Sams Cider (04/04/2023)")</f>
        <v>Uncle Sams Cider (04/04/2023)</v>
      </c>
      <c r="H2349" s="19"/>
    </row>
    <row r="2350">
      <c r="A2350" s="9"/>
      <c r="B2350" s="15"/>
      <c r="C2350" s="9">
        <f>IFERROR(__xludf.DUMMYFUNCTION("""COMPUTED_VALUE"""),45119.9719294097)</f>
        <v>45119.97193</v>
      </c>
      <c r="D2350" s="15">
        <f>IFERROR(__xludf.DUMMYFUNCTION("""COMPUTED_VALUE"""),0.999)</f>
        <v>0.999</v>
      </c>
      <c r="E2350" s="16">
        <f>IFERROR(__xludf.DUMMYFUNCTION("""COMPUTED_VALUE"""),70.0)</f>
        <v>70</v>
      </c>
      <c r="F2350" s="19" t="str">
        <f>IFERROR(__xludf.DUMMYFUNCTION("""COMPUTED_VALUE"""),"BLUE")</f>
        <v>BLUE</v>
      </c>
      <c r="G2350" s="20" t="str">
        <f>IFERROR(__xludf.DUMMYFUNCTION("""COMPUTED_VALUE"""),"Uncle Sams Cider (04/04/2023)")</f>
        <v>Uncle Sams Cider (04/04/2023)</v>
      </c>
      <c r="H2350" s="19"/>
    </row>
    <row r="2351">
      <c r="A2351" s="9"/>
      <c r="B2351" s="15"/>
      <c r="C2351" s="9">
        <f>IFERROR(__xludf.DUMMYFUNCTION("""COMPUTED_VALUE"""),45119.9614962963)</f>
        <v>45119.9615</v>
      </c>
      <c r="D2351" s="15">
        <f>IFERROR(__xludf.DUMMYFUNCTION("""COMPUTED_VALUE"""),0.999)</f>
        <v>0.999</v>
      </c>
      <c r="E2351" s="16">
        <f>IFERROR(__xludf.DUMMYFUNCTION("""COMPUTED_VALUE"""),70.0)</f>
        <v>70</v>
      </c>
      <c r="F2351" s="19" t="str">
        <f>IFERROR(__xludf.DUMMYFUNCTION("""COMPUTED_VALUE"""),"BLUE")</f>
        <v>BLUE</v>
      </c>
      <c r="G2351" s="20" t="str">
        <f>IFERROR(__xludf.DUMMYFUNCTION("""COMPUTED_VALUE"""),"Uncle Sams Cider (04/04/2023)")</f>
        <v>Uncle Sams Cider (04/04/2023)</v>
      </c>
      <c r="H2351" s="19"/>
    </row>
    <row r="2352">
      <c r="A2352" s="9"/>
      <c r="B2352" s="15"/>
      <c r="C2352" s="9">
        <f>IFERROR(__xludf.DUMMYFUNCTION("""COMPUTED_VALUE"""),45119.9510747338)</f>
        <v>45119.95107</v>
      </c>
      <c r="D2352" s="15">
        <f>IFERROR(__xludf.DUMMYFUNCTION("""COMPUTED_VALUE"""),0.999)</f>
        <v>0.999</v>
      </c>
      <c r="E2352" s="16">
        <f>IFERROR(__xludf.DUMMYFUNCTION("""COMPUTED_VALUE"""),70.0)</f>
        <v>70</v>
      </c>
      <c r="F2352" s="19" t="str">
        <f>IFERROR(__xludf.DUMMYFUNCTION("""COMPUTED_VALUE"""),"BLUE")</f>
        <v>BLUE</v>
      </c>
      <c r="G2352" s="20" t="str">
        <f>IFERROR(__xludf.DUMMYFUNCTION("""COMPUTED_VALUE"""),"Uncle Sams Cider (04/04/2023)")</f>
        <v>Uncle Sams Cider (04/04/2023)</v>
      </c>
      <c r="H2352" s="19"/>
    </row>
    <row r="2353">
      <c r="A2353" s="9"/>
      <c r="B2353" s="15"/>
      <c r="C2353" s="9">
        <f>IFERROR(__xludf.DUMMYFUNCTION("""COMPUTED_VALUE"""),45119.9406536574)</f>
        <v>45119.94065</v>
      </c>
      <c r="D2353" s="15">
        <f>IFERROR(__xludf.DUMMYFUNCTION("""COMPUTED_VALUE"""),0.999)</f>
        <v>0.999</v>
      </c>
      <c r="E2353" s="16">
        <f>IFERROR(__xludf.DUMMYFUNCTION("""COMPUTED_VALUE"""),70.0)</f>
        <v>70</v>
      </c>
      <c r="F2353" s="19" t="str">
        <f>IFERROR(__xludf.DUMMYFUNCTION("""COMPUTED_VALUE"""),"BLUE")</f>
        <v>BLUE</v>
      </c>
      <c r="G2353" s="20" t="str">
        <f>IFERROR(__xludf.DUMMYFUNCTION("""COMPUTED_VALUE"""),"Uncle Sams Cider (04/04/2023)")</f>
        <v>Uncle Sams Cider (04/04/2023)</v>
      </c>
      <c r="H2353" s="19"/>
    </row>
    <row r="2354">
      <c r="A2354" s="9"/>
      <c r="B2354" s="15"/>
      <c r="C2354" s="9">
        <f>IFERROR(__xludf.DUMMYFUNCTION("""COMPUTED_VALUE"""),45119.9302308449)</f>
        <v>45119.93023</v>
      </c>
      <c r="D2354" s="15">
        <f>IFERROR(__xludf.DUMMYFUNCTION("""COMPUTED_VALUE"""),0.999)</f>
        <v>0.999</v>
      </c>
      <c r="E2354" s="16">
        <f>IFERROR(__xludf.DUMMYFUNCTION("""COMPUTED_VALUE"""),70.0)</f>
        <v>70</v>
      </c>
      <c r="F2354" s="19" t="str">
        <f>IFERROR(__xludf.DUMMYFUNCTION("""COMPUTED_VALUE"""),"BLUE")</f>
        <v>BLUE</v>
      </c>
      <c r="G2354" s="20" t="str">
        <f>IFERROR(__xludf.DUMMYFUNCTION("""COMPUTED_VALUE"""),"Uncle Sams Cider (04/04/2023)")</f>
        <v>Uncle Sams Cider (04/04/2023)</v>
      </c>
      <c r="H2354" s="19"/>
    </row>
    <row r="2355">
      <c r="A2355" s="9"/>
      <c r="B2355" s="15"/>
      <c r="C2355" s="9">
        <f>IFERROR(__xludf.DUMMYFUNCTION("""COMPUTED_VALUE"""),45119.9198103703)</f>
        <v>45119.91981</v>
      </c>
      <c r="D2355" s="15">
        <f>IFERROR(__xludf.DUMMYFUNCTION("""COMPUTED_VALUE"""),0.999)</f>
        <v>0.999</v>
      </c>
      <c r="E2355" s="16">
        <f>IFERROR(__xludf.DUMMYFUNCTION("""COMPUTED_VALUE"""),70.0)</f>
        <v>70</v>
      </c>
      <c r="F2355" s="19" t="str">
        <f>IFERROR(__xludf.DUMMYFUNCTION("""COMPUTED_VALUE"""),"BLUE")</f>
        <v>BLUE</v>
      </c>
      <c r="G2355" s="20" t="str">
        <f>IFERROR(__xludf.DUMMYFUNCTION("""COMPUTED_VALUE"""),"Uncle Sams Cider (04/04/2023)")</f>
        <v>Uncle Sams Cider (04/04/2023)</v>
      </c>
      <c r="H2355" s="19"/>
    </row>
    <row r="2356">
      <c r="A2356" s="9"/>
      <c r="B2356" s="15"/>
      <c r="C2356" s="9">
        <f>IFERROR(__xludf.DUMMYFUNCTION("""COMPUTED_VALUE"""),45119.9093884722)</f>
        <v>45119.90939</v>
      </c>
      <c r="D2356" s="15">
        <f>IFERROR(__xludf.DUMMYFUNCTION("""COMPUTED_VALUE"""),0.999)</f>
        <v>0.999</v>
      </c>
      <c r="E2356" s="16">
        <f>IFERROR(__xludf.DUMMYFUNCTION("""COMPUTED_VALUE"""),70.0)</f>
        <v>70</v>
      </c>
      <c r="F2356" s="19" t="str">
        <f>IFERROR(__xludf.DUMMYFUNCTION("""COMPUTED_VALUE"""),"BLUE")</f>
        <v>BLUE</v>
      </c>
      <c r="G2356" s="20" t="str">
        <f>IFERROR(__xludf.DUMMYFUNCTION("""COMPUTED_VALUE"""),"Uncle Sams Cider (04/04/2023)")</f>
        <v>Uncle Sams Cider (04/04/2023)</v>
      </c>
      <c r="H2356" s="19"/>
    </row>
    <row r="2357">
      <c r="A2357" s="9"/>
      <c r="B2357" s="15"/>
      <c r="C2357" s="9">
        <f>IFERROR(__xludf.DUMMYFUNCTION("""COMPUTED_VALUE"""),45119.8989659143)</f>
        <v>45119.89897</v>
      </c>
      <c r="D2357" s="15">
        <f>IFERROR(__xludf.DUMMYFUNCTION("""COMPUTED_VALUE"""),0.999)</f>
        <v>0.999</v>
      </c>
      <c r="E2357" s="16">
        <f>IFERROR(__xludf.DUMMYFUNCTION("""COMPUTED_VALUE"""),70.0)</f>
        <v>70</v>
      </c>
      <c r="F2357" s="19" t="str">
        <f>IFERROR(__xludf.DUMMYFUNCTION("""COMPUTED_VALUE"""),"BLUE")</f>
        <v>BLUE</v>
      </c>
      <c r="G2357" s="20" t="str">
        <f>IFERROR(__xludf.DUMMYFUNCTION("""COMPUTED_VALUE"""),"Uncle Sams Cider (04/04/2023)")</f>
        <v>Uncle Sams Cider (04/04/2023)</v>
      </c>
      <c r="H2357" s="19"/>
    </row>
    <row r="2358">
      <c r="A2358" s="9"/>
      <c r="B2358" s="15"/>
      <c r="C2358" s="9">
        <f>IFERROR(__xludf.DUMMYFUNCTION("""COMPUTED_VALUE"""),45119.8885449652)</f>
        <v>45119.88854</v>
      </c>
      <c r="D2358" s="15">
        <f>IFERROR(__xludf.DUMMYFUNCTION("""COMPUTED_VALUE"""),0.999)</f>
        <v>0.999</v>
      </c>
      <c r="E2358" s="16">
        <f>IFERROR(__xludf.DUMMYFUNCTION("""COMPUTED_VALUE"""),70.0)</f>
        <v>70</v>
      </c>
      <c r="F2358" s="19" t="str">
        <f>IFERROR(__xludf.DUMMYFUNCTION("""COMPUTED_VALUE"""),"BLUE")</f>
        <v>BLUE</v>
      </c>
      <c r="G2358" s="20" t="str">
        <f>IFERROR(__xludf.DUMMYFUNCTION("""COMPUTED_VALUE"""),"Uncle Sams Cider (04/04/2023)")</f>
        <v>Uncle Sams Cider (04/04/2023)</v>
      </c>
      <c r="H2358" s="19"/>
    </row>
    <row r="2359">
      <c r="A2359" s="9"/>
      <c r="B2359" s="15"/>
      <c r="C2359" s="9">
        <f>IFERROR(__xludf.DUMMYFUNCTION("""COMPUTED_VALUE"""),45119.8781236342)</f>
        <v>45119.87812</v>
      </c>
      <c r="D2359" s="15">
        <f>IFERROR(__xludf.DUMMYFUNCTION("""COMPUTED_VALUE"""),0.999)</f>
        <v>0.999</v>
      </c>
      <c r="E2359" s="16">
        <f>IFERROR(__xludf.DUMMYFUNCTION("""COMPUTED_VALUE"""),70.0)</f>
        <v>70</v>
      </c>
      <c r="F2359" s="19" t="str">
        <f>IFERROR(__xludf.DUMMYFUNCTION("""COMPUTED_VALUE"""),"BLUE")</f>
        <v>BLUE</v>
      </c>
      <c r="G2359" s="20" t="str">
        <f>IFERROR(__xludf.DUMMYFUNCTION("""COMPUTED_VALUE"""),"Uncle Sams Cider (04/04/2023)")</f>
        <v>Uncle Sams Cider (04/04/2023)</v>
      </c>
      <c r="H2359" s="19"/>
    </row>
    <row r="2360">
      <c r="A2360" s="9"/>
      <c r="B2360" s="15"/>
      <c r="C2360" s="9">
        <f>IFERROR(__xludf.DUMMYFUNCTION("""COMPUTED_VALUE"""),45119.8677018402)</f>
        <v>45119.8677</v>
      </c>
      <c r="D2360" s="15">
        <f>IFERROR(__xludf.DUMMYFUNCTION("""COMPUTED_VALUE"""),0.999)</f>
        <v>0.999</v>
      </c>
      <c r="E2360" s="16">
        <f>IFERROR(__xludf.DUMMYFUNCTION("""COMPUTED_VALUE"""),70.0)</f>
        <v>70</v>
      </c>
      <c r="F2360" s="19" t="str">
        <f>IFERROR(__xludf.DUMMYFUNCTION("""COMPUTED_VALUE"""),"BLUE")</f>
        <v>BLUE</v>
      </c>
      <c r="G2360" s="20" t="str">
        <f>IFERROR(__xludf.DUMMYFUNCTION("""COMPUTED_VALUE"""),"Uncle Sams Cider (04/04/2023)")</f>
        <v>Uncle Sams Cider (04/04/2023)</v>
      </c>
      <c r="H2360" s="19"/>
    </row>
    <row r="2361">
      <c r="A2361" s="9"/>
      <c r="B2361" s="15"/>
      <c r="C2361" s="9">
        <f>IFERROR(__xludf.DUMMYFUNCTION("""COMPUTED_VALUE"""),45119.8572685763)</f>
        <v>45119.85727</v>
      </c>
      <c r="D2361" s="15">
        <f>IFERROR(__xludf.DUMMYFUNCTION("""COMPUTED_VALUE"""),0.999)</f>
        <v>0.999</v>
      </c>
      <c r="E2361" s="16">
        <f>IFERROR(__xludf.DUMMYFUNCTION("""COMPUTED_VALUE"""),70.0)</f>
        <v>70</v>
      </c>
      <c r="F2361" s="19" t="str">
        <f>IFERROR(__xludf.DUMMYFUNCTION("""COMPUTED_VALUE"""),"BLUE")</f>
        <v>BLUE</v>
      </c>
      <c r="G2361" s="20" t="str">
        <f>IFERROR(__xludf.DUMMYFUNCTION("""COMPUTED_VALUE"""),"Uncle Sams Cider (04/04/2023)")</f>
        <v>Uncle Sams Cider (04/04/2023)</v>
      </c>
      <c r="H2361" s="19"/>
    </row>
    <row r="2362">
      <c r="A2362" s="9"/>
      <c r="B2362" s="15"/>
      <c r="C2362" s="9">
        <f>IFERROR(__xludf.DUMMYFUNCTION("""COMPUTED_VALUE"""),45119.8468472222)</f>
        <v>45119.84685</v>
      </c>
      <c r="D2362" s="15">
        <f>IFERROR(__xludf.DUMMYFUNCTION("""COMPUTED_VALUE"""),0.999)</f>
        <v>0.999</v>
      </c>
      <c r="E2362" s="16">
        <f>IFERROR(__xludf.DUMMYFUNCTION("""COMPUTED_VALUE"""),70.0)</f>
        <v>70</v>
      </c>
      <c r="F2362" s="19" t="str">
        <f>IFERROR(__xludf.DUMMYFUNCTION("""COMPUTED_VALUE"""),"BLUE")</f>
        <v>BLUE</v>
      </c>
      <c r="G2362" s="20" t="str">
        <f>IFERROR(__xludf.DUMMYFUNCTION("""COMPUTED_VALUE"""),"Uncle Sams Cider (04/04/2023)")</f>
        <v>Uncle Sams Cider (04/04/2023)</v>
      </c>
      <c r="H2362" s="19"/>
    </row>
    <row r="2363">
      <c r="A2363" s="9"/>
      <c r="B2363" s="15"/>
      <c r="C2363" s="9">
        <f>IFERROR(__xludf.DUMMYFUNCTION("""COMPUTED_VALUE"""),45119.8364267476)</f>
        <v>45119.83643</v>
      </c>
      <c r="D2363" s="15">
        <f>IFERROR(__xludf.DUMMYFUNCTION("""COMPUTED_VALUE"""),0.999)</f>
        <v>0.999</v>
      </c>
      <c r="E2363" s="16">
        <f>IFERROR(__xludf.DUMMYFUNCTION("""COMPUTED_VALUE"""),70.0)</f>
        <v>70</v>
      </c>
      <c r="F2363" s="19" t="str">
        <f>IFERROR(__xludf.DUMMYFUNCTION("""COMPUTED_VALUE"""),"BLUE")</f>
        <v>BLUE</v>
      </c>
      <c r="G2363" s="20" t="str">
        <f>IFERROR(__xludf.DUMMYFUNCTION("""COMPUTED_VALUE"""),"Uncle Sams Cider (04/04/2023)")</f>
        <v>Uncle Sams Cider (04/04/2023)</v>
      </c>
      <c r="H2363" s="19"/>
    </row>
    <row r="2364">
      <c r="A2364" s="9"/>
      <c r="B2364" s="15"/>
      <c r="C2364" s="9">
        <f>IFERROR(__xludf.DUMMYFUNCTION("""COMPUTED_VALUE"""),45119.8260047338)</f>
        <v>45119.826</v>
      </c>
      <c r="D2364" s="15">
        <f>IFERROR(__xludf.DUMMYFUNCTION("""COMPUTED_VALUE"""),0.999)</f>
        <v>0.999</v>
      </c>
      <c r="E2364" s="16">
        <f>IFERROR(__xludf.DUMMYFUNCTION("""COMPUTED_VALUE"""),70.0)</f>
        <v>70</v>
      </c>
      <c r="F2364" s="19" t="str">
        <f>IFERROR(__xludf.DUMMYFUNCTION("""COMPUTED_VALUE"""),"BLUE")</f>
        <v>BLUE</v>
      </c>
      <c r="G2364" s="20" t="str">
        <f>IFERROR(__xludf.DUMMYFUNCTION("""COMPUTED_VALUE"""),"Uncle Sams Cider (04/04/2023)")</f>
        <v>Uncle Sams Cider (04/04/2023)</v>
      </c>
      <c r="H2364" s="19"/>
    </row>
    <row r="2365">
      <c r="A2365" s="9"/>
      <c r="B2365" s="15"/>
      <c r="C2365" s="9">
        <f>IFERROR(__xludf.DUMMYFUNCTION("""COMPUTED_VALUE"""),45119.8155824189)</f>
        <v>45119.81558</v>
      </c>
      <c r="D2365" s="15">
        <f>IFERROR(__xludf.DUMMYFUNCTION("""COMPUTED_VALUE"""),0.999)</f>
        <v>0.999</v>
      </c>
      <c r="E2365" s="16">
        <f>IFERROR(__xludf.DUMMYFUNCTION("""COMPUTED_VALUE"""),70.0)</f>
        <v>70</v>
      </c>
      <c r="F2365" s="19" t="str">
        <f>IFERROR(__xludf.DUMMYFUNCTION("""COMPUTED_VALUE"""),"BLUE")</f>
        <v>BLUE</v>
      </c>
      <c r="G2365" s="20" t="str">
        <f>IFERROR(__xludf.DUMMYFUNCTION("""COMPUTED_VALUE"""),"Uncle Sams Cider (04/04/2023)")</f>
        <v>Uncle Sams Cider (04/04/2023)</v>
      </c>
      <c r="H2365" s="19"/>
    </row>
    <row r="2366">
      <c r="A2366" s="9"/>
      <c r="B2366" s="15"/>
      <c r="C2366" s="9">
        <f>IFERROR(__xludf.DUMMYFUNCTION("""COMPUTED_VALUE"""),45119.8051635763)</f>
        <v>45119.80516</v>
      </c>
      <c r="D2366" s="15">
        <f>IFERROR(__xludf.DUMMYFUNCTION("""COMPUTED_VALUE"""),0.999)</f>
        <v>0.999</v>
      </c>
      <c r="E2366" s="16">
        <f>IFERROR(__xludf.DUMMYFUNCTION("""COMPUTED_VALUE"""),70.0)</f>
        <v>70</v>
      </c>
      <c r="F2366" s="19" t="str">
        <f>IFERROR(__xludf.DUMMYFUNCTION("""COMPUTED_VALUE"""),"BLUE")</f>
        <v>BLUE</v>
      </c>
      <c r="G2366" s="20" t="str">
        <f>IFERROR(__xludf.DUMMYFUNCTION("""COMPUTED_VALUE"""),"Uncle Sams Cider (04/04/2023)")</f>
        <v>Uncle Sams Cider (04/04/2023)</v>
      </c>
      <c r="H2366" s="19"/>
    </row>
    <row r="2367">
      <c r="A2367" s="9"/>
      <c r="B2367" s="15"/>
      <c r="C2367" s="9">
        <f>IFERROR(__xludf.DUMMYFUNCTION("""COMPUTED_VALUE"""),45119.7947411921)</f>
        <v>45119.79474</v>
      </c>
      <c r="D2367" s="15">
        <f>IFERROR(__xludf.DUMMYFUNCTION("""COMPUTED_VALUE"""),0.999)</f>
        <v>0.999</v>
      </c>
      <c r="E2367" s="16">
        <f>IFERROR(__xludf.DUMMYFUNCTION("""COMPUTED_VALUE"""),70.0)</f>
        <v>70</v>
      </c>
      <c r="F2367" s="19" t="str">
        <f>IFERROR(__xludf.DUMMYFUNCTION("""COMPUTED_VALUE"""),"BLUE")</f>
        <v>BLUE</v>
      </c>
      <c r="G2367" s="20" t="str">
        <f>IFERROR(__xludf.DUMMYFUNCTION("""COMPUTED_VALUE"""),"Uncle Sams Cider (04/04/2023)")</f>
        <v>Uncle Sams Cider (04/04/2023)</v>
      </c>
      <c r="H2367" s="19"/>
    </row>
    <row r="2368">
      <c r="A2368" s="9"/>
      <c r="B2368" s="15"/>
      <c r="C2368" s="9">
        <f>IFERROR(__xludf.DUMMYFUNCTION("""COMPUTED_VALUE"""),45119.784319375)</f>
        <v>45119.78432</v>
      </c>
      <c r="D2368" s="15">
        <f>IFERROR(__xludf.DUMMYFUNCTION("""COMPUTED_VALUE"""),0.999)</f>
        <v>0.999</v>
      </c>
      <c r="E2368" s="16">
        <f>IFERROR(__xludf.DUMMYFUNCTION("""COMPUTED_VALUE"""),70.0)</f>
        <v>70</v>
      </c>
      <c r="F2368" s="19" t="str">
        <f>IFERROR(__xludf.DUMMYFUNCTION("""COMPUTED_VALUE"""),"BLUE")</f>
        <v>BLUE</v>
      </c>
      <c r="G2368" s="20" t="str">
        <f>IFERROR(__xludf.DUMMYFUNCTION("""COMPUTED_VALUE"""),"Uncle Sams Cider (04/04/2023)")</f>
        <v>Uncle Sams Cider (04/04/2023)</v>
      </c>
      <c r="H2368" s="19"/>
    </row>
    <row r="2369">
      <c r="A2369" s="9"/>
      <c r="B2369" s="15"/>
      <c r="C2369" s="9">
        <f>IFERROR(__xludf.DUMMYFUNCTION("""COMPUTED_VALUE"""),45119.7738977893)</f>
        <v>45119.7739</v>
      </c>
      <c r="D2369" s="15">
        <f>IFERROR(__xludf.DUMMYFUNCTION("""COMPUTED_VALUE"""),0.999)</f>
        <v>0.999</v>
      </c>
      <c r="E2369" s="16">
        <f>IFERROR(__xludf.DUMMYFUNCTION("""COMPUTED_VALUE"""),70.0)</f>
        <v>70</v>
      </c>
      <c r="F2369" s="19" t="str">
        <f>IFERROR(__xludf.DUMMYFUNCTION("""COMPUTED_VALUE"""),"BLUE")</f>
        <v>BLUE</v>
      </c>
      <c r="G2369" s="20" t="str">
        <f>IFERROR(__xludf.DUMMYFUNCTION("""COMPUTED_VALUE"""),"Uncle Sams Cider (04/04/2023)")</f>
        <v>Uncle Sams Cider (04/04/2023)</v>
      </c>
      <c r="H2369" s="19"/>
    </row>
    <row r="2370">
      <c r="A2370" s="9"/>
      <c r="B2370" s="15"/>
      <c r="C2370" s="9">
        <f>IFERROR(__xludf.DUMMYFUNCTION("""COMPUTED_VALUE"""),45119.7634764236)</f>
        <v>45119.76348</v>
      </c>
      <c r="D2370" s="15">
        <f>IFERROR(__xludf.DUMMYFUNCTION("""COMPUTED_VALUE"""),0.999)</f>
        <v>0.999</v>
      </c>
      <c r="E2370" s="16">
        <f>IFERROR(__xludf.DUMMYFUNCTION("""COMPUTED_VALUE"""),70.0)</f>
        <v>70</v>
      </c>
      <c r="F2370" s="19" t="str">
        <f>IFERROR(__xludf.DUMMYFUNCTION("""COMPUTED_VALUE"""),"BLUE")</f>
        <v>BLUE</v>
      </c>
      <c r="G2370" s="20" t="str">
        <f>IFERROR(__xludf.DUMMYFUNCTION("""COMPUTED_VALUE"""),"Uncle Sams Cider (04/04/2023)")</f>
        <v>Uncle Sams Cider (04/04/2023)</v>
      </c>
      <c r="H2370" s="19"/>
    </row>
    <row r="2371">
      <c r="A2371" s="9"/>
      <c r="B2371" s="15"/>
      <c r="C2371" s="9">
        <f>IFERROR(__xludf.DUMMYFUNCTION("""COMPUTED_VALUE"""),45119.7530554166)</f>
        <v>45119.75306</v>
      </c>
      <c r="D2371" s="15">
        <f>IFERROR(__xludf.DUMMYFUNCTION("""COMPUTED_VALUE"""),0.999)</f>
        <v>0.999</v>
      </c>
      <c r="E2371" s="16">
        <f>IFERROR(__xludf.DUMMYFUNCTION("""COMPUTED_VALUE"""),70.0)</f>
        <v>70</v>
      </c>
      <c r="F2371" s="19" t="str">
        <f>IFERROR(__xludf.DUMMYFUNCTION("""COMPUTED_VALUE"""),"BLUE")</f>
        <v>BLUE</v>
      </c>
      <c r="G2371" s="20" t="str">
        <f>IFERROR(__xludf.DUMMYFUNCTION("""COMPUTED_VALUE"""),"Uncle Sams Cider (04/04/2023)")</f>
        <v>Uncle Sams Cider (04/04/2023)</v>
      </c>
      <c r="H2371" s="19"/>
    </row>
    <row r="2372">
      <c r="A2372" s="9"/>
      <c r="B2372" s="15"/>
      <c r="C2372" s="9">
        <f>IFERROR(__xludf.DUMMYFUNCTION("""COMPUTED_VALUE"""),45119.7426331365)</f>
        <v>45119.74263</v>
      </c>
      <c r="D2372" s="15">
        <f>IFERROR(__xludf.DUMMYFUNCTION("""COMPUTED_VALUE"""),0.999)</f>
        <v>0.999</v>
      </c>
      <c r="E2372" s="16">
        <f>IFERROR(__xludf.DUMMYFUNCTION("""COMPUTED_VALUE"""),70.0)</f>
        <v>70</v>
      </c>
      <c r="F2372" s="19" t="str">
        <f>IFERROR(__xludf.DUMMYFUNCTION("""COMPUTED_VALUE"""),"BLUE")</f>
        <v>BLUE</v>
      </c>
      <c r="G2372" s="20" t="str">
        <f>IFERROR(__xludf.DUMMYFUNCTION("""COMPUTED_VALUE"""),"Uncle Sams Cider (04/04/2023)")</f>
        <v>Uncle Sams Cider (04/04/2023)</v>
      </c>
      <c r="H2372" s="19"/>
    </row>
    <row r="2373">
      <c r="A2373" s="9"/>
      <c r="B2373" s="15"/>
      <c r="C2373" s="9">
        <f>IFERROR(__xludf.DUMMYFUNCTION("""COMPUTED_VALUE"""),45119.7322134953)</f>
        <v>45119.73221</v>
      </c>
      <c r="D2373" s="15">
        <f>IFERROR(__xludf.DUMMYFUNCTION("""COMPUTED_VALUE"""),0.999)</f>
        <v>0.999</v>
      </c>
      <c r="E2373" s="16">
        <f>IFERROR(__xludf.DUMMYFUNCTION("""COMPUTED_VALUE"""),70.0)</f>
        <v>70</v>
      </c>
      <c r="F2373" s="19" t="str">
        <f>IFERROR(__xludf.DUMMYFUNCTION("""COMPUTED_VALUE"""),"BLUE")</f>
        <v>BLUE</v>
      </c>
      <c r="G2373" s="20" t="str">
        <f>IFERROR(__xludf.DUMMYFUNCTION("""COMPUTED_VALUE"""),"Uncle Sams Cider (04/04/2023)")</f>
        <v>Uncle Sams Cider (04/04/2023)</v>
      </c>
      <c r="H2373" s="19"/>
    </row>
    <row r="2374">
      <c r="A2374" s="9"/>
      <c r="B2374" s="15"/>
      <c r="C2374" s="9">
        <f>IFERROR(__xludf.DUMMYFUNCTION("""COMPUTED_VALUE"""),45119.7217919791)</f>
        <v>45119.72179</v>
      </c>
      <c r="D2374" s="15">
        <f>IFERROR(__xludf.DUMMYFUNCTION("""COMPUTED_VALUE"""),0.999)</f>
        <v>0.999</v>
      </c>
      <c r="E2374" s="16">
        <f>IFERROR(__xludf.DUMMYFUNCTION("""COMPUTED_VALUE"""),70.0)</f>
        <v>70</v>
      </c>
      <c r="F2374" s="19" t="str">
        <f>IFERROR(__xludf.DUMMYFUNCTION("""COMPUTED_VALUE"""),"BLUE")</f>
        <v>BLUE</v>
      </c>
      <c r="G2374" s="20" t="str">
        <f>IFERROR(__xludf.DUMMYFUNCTION("""COMPUTED_VALUE"""),"Uncle Sams Cider (04/04/2023)")</f>
        <v>Uncle Sams Cider (04/04/2023)</v>
      </c>
      <c r="H2374" s="19"/>
    </row>
    <row r="2375">
      <c r="A2375" s="9"/>
      <c r="B2375" s="15"/>
      <c r="C2375" s="9">
        <f>IFERROR(__xludf.DUMMYFUNCTION("""COMPUTED_VALUE"""),45119.7113596412)</f>
        <v>45119.71136</v>
      </c>
      <c r="D2375" s="15">
        <f>IFERROR(__xludf.DUMMYFUNCTION("""COMPUTED_VALUE"""),0.999)</f>
        <v>0.999</v>
      </c>
      <c r="E2375" s="16">
        <f>IFERROR(__xludf.DUMMYFUNCTION("""COMPUTED_VALUE"""),70.0)</f>
        <v>70</v>
      </c>
      <c r="F2375" s="19" t="str">
        <f>IFERROR(__xludf.DUMMYFUNCTION("""COMPUTED_VALUE"""),"BLUE")</f>
        <v>BLUE</v>
      </c>
      <c r="G2375" s="20" t="str">
        <f>IFERROR(__xludf.DUMMYFUNCTION("""COMPUTED_VALUE"""),"Uncle Sams Cider (04/04/2023)")</f>
        <v>Uncle Sams Cider (04/04/2023)</v>
      </c>
      <c r="H2375" s="19"/>
    </row>
    <row r="2376">
      <c r="A2376" s="9"/>
      <c r="B2376" s="15"/>
      <c r="C2376" s="9">
        <f>IFERROR(__xludf.DUMMYFUNCTION("""COMPUTED_VALUE"""),45119.7009407176)</f>
        <v>45119.70094</v>
      </c>
      <c r="D2376" s="15">
        <f>IFERROR(__xludf.DUMMYFUNCTION("""COMPUTED_VALUE"""),0.999)</f>
        <v>0.999</v>
      </c>
      <c r="E2376" s="16">
        <f>IFERROR(__xludf.DUMMYFUNCTION("""COMPUTED_VALUE"""),70.0)</f>
        <v>70</v>
      </c>
      <c r="F2376" s="19" t="str">
        <f>IFERROR(__xludf.DUMMYFUNCTION("""COMPUTED_VALUE"""),"BLUE")</f>
        <v>BLUE</v>
      </c>
      <c r="G2376" s="20" t="str">
        <f>IFERROR(__xludf.DUMMYFUNCTION("""COMPUTED_VALUE"""),"Uncle Sams Cider (04/04/2023)")</f>
        <v>Uncle Sams Cider (04/04/2023)</v>
      </c>
      <c r="H2376" s="19"/>
    </row>
    <row r="2377">
      <c r="A2377" s="9"/>
      <c r="B2377" s="15"/>
      <c r="C2377" s="9">
        <f>IFERROR(__xludf.DUMMYFUNCTION("""COMPUTED_VALUE"""),45119.6905197916)</f>
        <v>45119.69052</v>
      </c>
      <c r="D2377" s="15">
        <f>IFERROR(__xludf.DUMMYFUNCTION("""COMPUTED_VALUE"""),0.999)</f>
        <v>0.999</v>
      </c>
      <c r="E2377" s="16">
        <f>IFERROR(__xludf.DUMMYFUNCTION("""COMPUTED_VALUE"""),70.0)</f>
        <v>70</v>
      </c>
      <c r="F2377" s="19" t="str">
        <f>IFERROR(__xludf.DUMMYFUNCTION("""COMPUTED_VALUE"""),"BLUE")</f>
        <v>BLUE</v>
      </c>
      <c r="G2377" s="20" t="str">
        <f>IFERROR(__xludf.DUMMYFUNCTION("""COMPUTED_VALUE"""),"Uncle Sams Cider (04/04/2023)")</f>
        <v>Uncle Sams Cider (04/04/2023)</v>
      </c>
      <c r="H2377" s="19"/>
    </row>
    <row r="2378">
      <c r="A2378" s="9"/>
      <c r="B2378" s="15"/>
      <c r="C2378" s="9">
        <f>IFERROR(__xludf.DUMMYFUNCTION("""COMPUTED_VALUE"""),45119.6800863194)</f>
        <v>45119.68009</v>
      </c>
      <c r="D2378" s="15">
        <f>IFERROR(__xludf.DUMMYFUNCTION("""COMPUTED_VALUE"""),0.999)</f>
        <v>0.999</v>
      </c>
      <c r="E2378" s="16">
        <f>IFERROR(__xludf.DUMMYFUNCTION("""COMPUTED_VALUE"""),70.0)</f>
        <v>70</v>
      </c>
      <c r="F2378" s="19" t="str">
        <f>IFERROR(__xludf.DUMMYFUNCTION("""COMPUTED_VALUE"""),"BLUE")</f>
        <v>BLUE</v>
      </c>
      <c r="G2378" s="20" t="str">
        <f>IFERROR(__xludf.DUMMYFUNCTION("""COMPUTED_VALUE"""),"Uncle Sams Cider (04/04/2023)")</f>
        <v>Uncle Sams Cider (04/04/2023)</v>
      </c>
      <c r="H2378" s="19"/>
    </row>
    <row r="2379">
      <c r="A2379" s="9"/>
      <c r="B2379" s="15"/>
      <c r="C2379" s="9">
        <f>IFERROR(__xludf.DUMMYFUNCTION("""COMPUTED_VALUE"""),45119.6696671412)</f>
        <v>45119.66967</v>
      </c>
      <c r="D2379" s="15">
        <f>IFERROR(__xludf.DUMMYFUNCTION("""COMPUTED_VALUE"""),0.999)</f>
        <v>0.999</v>
      </c>
      <c r="E2379" s="16">
        <f>IFERROR(__xludf.DUMMYFUNCTION("""COMPUTED_VALUE"""),70.0)</f>
        <v>70</v>
      </c>
      <c r="F2379" s="19" t="str">
        <f>IFERROR(__xludf.DUMMYFUNCTION("""COMPUTED_VALUE"""),"BLUE")</f>
        <v>BLUE</v>
      </c>
      <c r="G2379" s="20" t="str">
        <f>IFERROR(__xludf.DUMMYFUNCTION("""COMPUTED_VALUE"""),"Uncle Sams Cider (04/04/2023)")</f>
        <v>Uncle Sams Cider (04/04/2023)</v>
      </c>
      <c r="H2379" s="19"/>
    </row>
    <row r="2380">
      <c r="A2380" s="9"/>
      <c r="B2380" s="15"/>
      <c r="C2380" s="9">
        <f>IFERROR(__xludf.DUMMYFUNCTION("""COMPUTED_VALUE"""),45119.6592354976)</f>
        <v>45119.65924</v>
      </c>
      <c r="D2380" s="15">
        <f>IFERROR(__xludf.DUMMYFUNCTION("""COMPUTED_VALUE"""),0.999)</f>
        <v>0.999</v>
      </c>
      <c r="E2380" s="16">
        <f>IFERROR(__xludf.DUMMYFUNCTION("""COMPUTED_VALUE"""),70.0)</f>
        <v>70</v>
      </c>
      <c r="F2380" s="19" t="str">
        <f>IFERROR(__xludf.DUMMYFUNCTION("""COMPUTED_VALUE"""),"BLUE")</f>
        <v>BLUE</v>
      </c>
      <c r="G2380" s="20" t="str">
        <f>IFERROR(__xludf.DUMMYFUNCTION("""COMPUTED_VALUE"""),"Uncle Sams Cider (04/04/2023)")</f>
        <v>Uncle Sams Cider (04/04/2023)</v>
      </c>
      <c r="H2380" s="19"/>
    </row>
    <row r="2381">
      <c r="A2381" s="9"/>
      <c r="B2381" s="15"/>
      <c r="C2381" s="9">
        <f>IFERROR(__xludf.DUMMYFUNCTION("""COMPUTED_VALUE"""),45119.6488133912)</f>
        <v>45119.64881</v>
      </c>
      <c r="D2381" s="15">
        <f>IFERROR(__xludf.DUMMYFUNCTION("""COMPUTED_VALUE"""),0.999)</f>
        <v>0.999</v>
      </c>
      <c r="E2381" s="16">
        <f>IFERROR(__xludf.DUMMYFUNCTION("""COMPUTED_VALUE"""),70.0)</f>
        <v>70</v>
      </c>
      <c r="F2381" s="19" t="str">
        <f>IFERROR(__xludf.DUMMYFUNCTION("""COMPUTED_VALUE"""),"BLUE")</f>
        <v>BLUE</v>
      </c>
      <c r="G2381" s="20" t="str">
        <f>IFERROR(__xludf.DUMMYFUNCTION("""COMPUTED_VALUE"""),"Uncle Sams Cider (04/04/2023)")</f>
        <v>Uncle Sams Cider (04/04/2023)</v>
      </c>
      <c r="H2381" s="19"/>
    </row>
    <row r="2382">
      <c r="A2382" s="9"/>
      <c r="B2382" s="15"/>
      <c r="C2382" s="9">
        <f>IFERROR(__xludf.DUMMYFUNCTION("""COMPUTED_VALUE"""),45119.6383934838)</f>
        <v>45119.63839</v>
      </c>
      <c r="D2382" s="15">
        <f>IFERROR(__xludf.DUMMYFUNCTION("""COMPUTED_VALUE"""),0.999)</f>
        <v>0.999</v>
      </c>
      <c r="E2382" s="16">
        <f>IFERROR(__xludf.DUMMYFUNCTION("""COMPUTED_VALUE"""),70.0)</f>
        <v>70</v>
      </c>
      <c r="F2382" s="19" t="str">
        <f>IFERROR(__xludf.DUMMYFUNCTION("""COMPUTED_VALUE"""),"BLUE")</f>
        <v>BLUE</v>
      </c>
      <c r="G2382" s="20" t="str">
        <f>IFERROR(__xludf.DUMMYFUNCTION("""COMPUTED_VALUE"""),"Uncle Sams Cider (04/04/2023)")</f>
        <v>Uncle Sams Cider (04/04/2023)</v>
      </c>
      <c r="H2382" s="19"/>
    </row>
    <row r="2383">
      <c r="A2383" s="9"/>
      <c r="B2383" s="15"/>
      <c r="C2383" s="9">
        <f>IFERROR(__xludf.DUMMYFUNCTION("""COMPUTED_VALUE"""),45119.6279726504)</f>
        <v>45119.62797</v>
      </c>
      <c r="D2383" s="15">
        <f>IFERROR(__xludf.DUMMYFUNCTION("""COMPUTED_VALUE"""),0.999)</f>
        <v>0.999</v>
      </c>
      <c r="E2383" s="16">
        <f>IFERROR(__xludf.DUMMYFUNCTION("""COMPUTED_VALUE"""),70.0)</f>
        <v>70</v>
      </c>
      <c r="F2383" s="19" t="str">
        <f>IFERROR(__xludf.DUMMYFUNCTION("""COMPUTED_VALUE"""),"BLUE")</f>
        <v>BLUE</v>
      </c>
      <c r="G2383" s="20" t="str">
        <f>IFERROR(__xludf.DUMMYFUNCTION("""COMPUTED_VALUE"""),"Uncle Sams Cider (04/04/2023)")</f>
        <v>Uncle Sams Cider (04/04/2023)</v>
      </c>
      <c r="H2383" s="19"/>
    </row>
    <row r="2384">
      <c r="A2384" s="9"/>
      <c r="B2384" s="15"/>
      <c r="C2384" s="9">
        <f>IFERROR(__xludf.DUMMYFUNCTION("""COMPUTED_VALUE"""),45119.6175394444)</f>
        <v>45119.61754</v>
      </c>
      <c r="D2384" s="15">
        <f>IFERROR(__xludf.DUMMYFUNCTION("""COMPUTED_VALUE"""),0.999)</f>
        <v>0.999</v>
      </c>
      <c r="E2384" s="16">
        <f>IFERROR(__xludf.DUMMYFUNCTION("""COMPUTED_VALUE"""),70.0)</f>
        <v>70</v>
      </c>
      <c r="F2384" s="19" t="str">
        <f>IFERROR(__xludf.DUMMYFUNCTION("""COMPUTED_VALUE"""),"BLUE")</f>
        <v>BLUE</v>
      </c>
      <c r="G2384" s="20" t="str">
        <f>IFERROR(__xludf.DUMMYFUNCTION("""COMPUTED_VALUE"""),"Uncle Sams Cider (04/04/2023)")</f>
        <v>Uncle Sams Cider (04/04/2023)</v>
      </c>
      <c r="H2384" s="19"/>
    </row>
    <row r="2385">
      <c r="A2385" s="9"/>
      <c r="B2385" s="15"/>
      <c r="C2385" s="9">
        <f>IFERROR(__xludf.DUMMYFUNCTION("""COMPUTED_VALUE"""),45119.6071185879)</f>
        <v>45119.60712</v>
      </c>
      <c r="D2385" s="15">
        <f>IFERROR(__xludf.DUMMYFUNCTION("""COMPUTED_VALUE"""),0.999)</f>
        <v>0.999</v>
      </c>
      <c r="E2385" s="16">
        <f>IFERROR(__xludf.DUMMYFUNCTION("""COMPUTED_VALUE"""),70.0)</f>
        <v>70</v>
      </c>
      <c r="F2385" s="19" t="str">
        <f>IFERROR(__xludf.DUMMYFUNCTION("""COMPUTED_VALUE"""),"BLUE")</f>
        <v>BLUE</v>
      </c>
      <c r="G2385" s="20" t="str">
        <f>IFERROR(__xludf.DUMMYFUNCTION("""COMPUTED_VALUE"""),"Uncle Sams Cider (04/04/2023)")</f>
        <v>Uncle Sams Cider (04/04/2023)</v>
      </c>
      <c r="H2385" s="19"/>
    </row>
    <row r="2386">
      <c r="A2386" s="9"/>
      <c r="B2386" s="15"/>
      <c r="C2386" s="9">
        <f>IFERROR(__xludf.DUMMYFUNCTION("""COMPUTED_VALUE"""),45119.5966973379)</f>
        <v>45119.5967</v>
      </c>
      <c r="D2386" s="15">
        <f>IFERROR(__xludf.DUMMYFUNCTION("""COMPUTED_VALUE"""),0.999)</f>
        <v>0.999</v>
      </c>
      <c r="E2386" s="16">
        <f>IFERROR(__xludf.DUMMYFUNCTION("""COMPUTED_VALUE"""),70.0)</f>
        <v>70</v>
      </c>
      <c r="F2386" s="19" t="str">
        <f>IFERROR(__xludf.DUMMYFUNCTION("""COMPUTED_VALUE"""),"BLUE")</f>
        <v>BLUE</v>
      </c>
      <c r="G2386" s="20" t="str">
        <f>IFERROR(__xludf.DUMMYFUNCTION("""COMPUTED_VALUE"""),"Uncle Sams Cider (04/04/2023)")</f>
        <v>Uncle Sams Cider (04/04/2023)</v>
      </c>
      <c r="H2386" s="19"/>
    </row>
    <row r="2387">
      <c r="A2387" s="9"/>
      <c r="B2387" s="15"/>
      <c r="C2387" s="9">
        <f>IFERROR(__xludf.DUMMYFUNCTION("""COMPUTED_VALUE"""),45119.5862772801)</f>
        <v>45119.58628</v>
      </c>
      <c r="D2387" s="15">
        <f>IFERROR(__xludf.DUMMYFUNCTION("""COMPUTED_VALUE"""),0.999)</f>
        <v>0.999</v>
      </c>
      <c r="E2387" s="16">
        <f>IFERROR(__xludf.DUMMYFUNCTION("""COMPUTED_VALUE"""),70.0)</f>
        <v>70</v>
      </c>
      <c r="F2387" s="19" t="str">
        <f>IFERROR(__xludf.DUMMYFUNCTION("""COMPUTED_VALUE"""),"BLUE")</f>
        <v>BLUE</v>
      </c>
      <c r="G2387" s="20" t="str">
        <f>IFERROR(__xludf.DUMMYFUNCTION("""COMPUTED_VALUE"""),"Uncle Sams Cider (04/04/2023)")</f>
        <v>Uncle Sams Cider (04/04/2023)</v>
      </c>
      <c r="H2387" s="19"/>
    </row>
    <row r="2388">
      <c r="A2388" s="9"/>
      <c r="B2388" s="15"/>
      <c r="C2388" s="9">
        <f>IFERROR(__xludf.DUMMYFUNCTION("""COMPUTED_VALUE"""),45119.5758560416)</f>
        <v>45119.57586</v>
      </c>
      <c r="D2388" s="15">
        <f>IFERROR(__xludf.DUMMYFUNCTION("""COMPUTED_VALUE"""),0.999)</f>
        <v>0.999</v>
      </c>
      <c r="E2388" s="16">
        <f>IFERROR(__xludf.DUMMYFUNCTION("""COMPUTED_VALUE"""),70.0)</f>
        <v>70</v>
      </c>
      <c r="F2388" s="19" t="str">
        <f>IFERROR(__xludf.DUMMYFUNCTION("""COMPUTED_VALUE"""),"BLUE")</f>
        <v>BLUE</v>
      </c>
      <c r="G2388" s="20" t="str">
        <f>IFERROR(__xludf.DUMMYFUNCTION("""COMPUTED_VALUE"""),"Uncle Sams Cider (04/04/2023)")</f>
        <v>Uncle Sams Cider (04/04/2023)</v>
      </c>
      <c r="H2388" s="19"/>
    </row>
    <row r="2389">
      <c r="A2389" s="9"/>
      <c r="B2389" s="15"/>
      <c r="C2389" s="9">
        <f>IFERROR(__xludf.DUMMYFUNCTION("""COMPUTED_VALUE"""),45119.5654370138)</f>
        <v>45119.56544</v>
      </c>
      <c r="D2389" s="15">
        <f>IFERROR(__xludf.DUMMYFUNCTION("""COMPUTED_VALUE"""),0.999)</f>
        <v>0.999</v>
      </c>
      <c r="E2389" s="16">
        <f>IFERROR(__xludf.DUMMYFUNCTION("""COMPUTED_VALUE"""),70.0)</f>
        <v>70</v>
      </c>
      <c r="F2389" s="19" t="str">
        <f>IFERROR(__xludf.DUMMYFUNCTION("""COMPUTED_VALUE"""),"BLUE")</f>
        <v>BLUE</v>
      </c>
      <c r="G2389" s="20" t="str">
        <f>IFERROR(__xludf.DUMMYFUNCTION("""COMPUTED_VALUE"""),"Uncle Sams Cider (04/04/2023)")</f>
        <v>Uncle Sams Cider (04/04/2023)</v>
      </c>
      <c r="H2389" s="19"/>
    </row>
    <row r="2390">
      <c r="A2390" s="9"/>
      <c r="B2390" s="15"/>
      <c r="C2390" s="9">
        <f>IFERROR(__xludf.DUMMYFUNCTION("""COMPUTED_VALUE"""),45119.5550046643)</f>
        <v>45119.555</v>
      </c>
      <c r="D2390" s="15">
        <f>IFERROR(__xludf.DUMMYFUNCTION("""COMPUTED_VALUE"""),0.999)</f>
        <v>0.999</v>
      </c>
      <c r="E2390" s="16">
        <f>IFERROR(__xludf.DUMMYFUNCTION("""COMPUTED_VALUE"""),70.0)</f>
        <v>70</v>
      </c>
      <c r="F2390" s="19" t="str">
        <f>IFERROR(__xludf.DUMMYFUNCTION("""COMPUTED_VALUE"""),"BLUE")</f>
        <v>BLUE</v>
      </c>
      <c r="G2390" s="20" t="str">
        <f>IFERROR(__xludf.DUMMYFUNCTION("""COMPUTED_VALUE"""),"Uncle Sams Cider (04/04/2023)")</f>
        <v>Uncle Sams Cider (04/04/2023)</v>
      </c>
      <c r="H2390" s="19"/>
    </row>
    <row r="2391">
      <c r="A2391" s="9"/>
      <c r="B2391" s="15"/>
      <c r="C2391" s="9">
        <f>IFERROR(__xludf.DUMMYFUNCTION("""COMPUTED_VALUE"""),45119.5445829629)</f>
        <v>45119.54458</v>
      </c>
      <c r="D2391" s="15">
        <f>IFERROR(__xludf.DUMMYFUNCTION("""COMPUTED_VALUE"""),0.999)</f>
        <v>0.999</v>
      </c>
      <c r="E2391" s="16">
        <f>IFERROR(__xludf.DUMMYFUNCTION("""COMPUTED_VALUE"""),70.0)</f>
        <v>70</v>
      </c>
      <c r="F2391" s="19" t="str">
        <f>IFERROR(__xludf.DUMMYFUNCTION("""COMPUTED_VALUE"""),"BLUE")</f>
        <v>BLUE</v>
      </c>
      <c r="G2391" s="20" t="str">
        <f>IFERROR(__xludf.DUMMYFUNCTION("""COMPUTED_VALUE"""),"Uncle Sams Cider (04/04/2023)")</f>
        <v>Uncle Sams Cider (04/04/2023)</v>
      </c>
      <c r="H2391" s="19"/>
    </row>
    <row r="2392">
      <c r="A2392" s="9"/>
      <c r="B2392" s="15"/>
      <c r="C2392" s="9">
        <f>IFERROR(__xludf.DUMMYFUNCTION("""COMPUTED_VALUE"""),45119.5341496875)</f>
        <v>45119.53415</v>
      </c>
      <c r="D2392" s="15">
        <f>IFERROR(__xludf.DUMMYFUNCTION("""COMPUTED_VALUE"""),0.999)</f>
        <v>0.999</v>
      </c>
      <c r="E2392" s="16">
        <f>IFERROR(__xludf.DUMMYFUNCTION("""COMPUTED_VALUE"""),70.0)</f>
        <v>70</v>
      </c>
      <c r="F2392" s="19" t="str">
        <f>IFERROR(__xludf.DUMMYFUNCTION("""COMPUTED_VALUE"""),"BLUE")</f>
        <v>BLUE</v>
      </c>
      <c r="G2392" s="20" t="str">
        <f>IFERROR(__xludf.DUMMYFUNCTION("""COMPUTED_VALUE"""),"Uncle Sams Cider (04/04/2023)")</f>
        <v>Uncle Sams Cider (04/04/2023)</v>
      </c>
      <c r="H2392" s="19"/>
    </row>
    <row r="2393">
      <c r="A2393" s="9"/>
      <c r="B2393" s="15"/>
      <c r="C2393" s="9">
        <f>IFERROR(__xludf.DUMMYFUNCTION("""COMPUTED_VALUE"""),45119.5237301041)</f>
        <v>45119.52373</v>
      </c>
      <c r="D2393" s="15">
        <f>IFERROR(__xludf.DUMMYFUNCTION("""COMPUTED_VALUE"""),0.999)</f>
        <v>0.999</v>
      </c>
      <c r="E2393" s="16">
        <f>IFERROR(__xludf.DUMMYFUNCTION("""COMPUTED_VALUE"""),70.0)</f>
        <v>70</v>
      </c>
      <c r="F2393" s="19" t="str">
        <f>IFERROR(__xludf.DUMMYFUNCTION("""COMPUTED_VALUE"""),"BLUE")</f>
        <v>BLUE</v>
      </c>
      <c r="G2393" s="20" t="str">
        <f>IFERROR(__xludf.DUMMYFUNCTION("""COMPUTED_VALUE"""),"Uncle Sams Cider (04/04/2023)")</f>
        <v>Uncle Sams Cider (04/04/2023)</v>
      </c>
      <c r="H2393" s="19"/>
    </row>
    <row r="2394">
      <c r="A2394" s="9"/>
      <c r="B2394" s="15"/>
      <c r="C2394" s="9">
        <f>IFERROR(__xludf.DUMMYFUNCTION("""COMPUTED_VALUE"""),45119.5133073379)</f>
        <v>45119.51331</v>
      </c>
      <c r="D2394" s="15">
        <f>IFERROR(__xludf.DUMMYFUNCTION("""COMPUTED_VALUE"""),0.999)</f>
        <v>0.999</v>
      </c>
      <c r="E2394" s="16">
        <f>IFERROR(__xludf.DUMMYFUNCTION("""COMPUTED_VALUE"""),70.0)</f>
        <v>70</v>
      </c>
      <c r="F2394" s="19" t="str">
        <f>IFERROR(__xludf.DUMMYFUNCTION("""COMPUTED_VALUE"""),"BLUE")</f>
        <v>BLUE</v>
      </c>
      <c r="G2394" s="20" t="str">
        <f>IFERROR(__xludf.DUMMYFUNCTION("""COMPUTED_VALUE"""),"Uncle Sams Cider (04/04/2023)")</f>
        <v>Uncle Sams Cider (04/04/2023)</v>
      </c>
      <c r="H2394" s="19"/>
    </row>
    <row r="2395">
      <c r="A2395" s="9"/>
      <c r="B2395" s="15"/>
      <c r="C2395" s="9">
        <f>IFERROR(__xludf.DUMMYFUNCTION("""COMPUTED_VALUE"""),45119.5028866898)</f>
        <v>45119.50289</v>
      </c>
      <c r="D2395" s="15">
        <f>IFERROR(__xludf.DUMMYFUNCTION("""COMPUTED_VALUE"""),0.999)</f>
        <v>0.999</v>
      </c>
      <c r="E2395" s="16">
        <f>IFERROR(__xludf.DUMMYFUNCTION("""COMPUTED_VALUE"""),70.0)</f>
        <v>70</v>
      </c>
      <c r="F2395" s="19" t="str">
        <f>IFERROR(__xludf.DUMMYFUNCTION("""COMPUTED_VALUE"""),"BLUE")</f>
        <v>BLUE</v>
      </c>
      <c r="G2395" s="20" t="str">
        <f>IFERROR(__xludf.DUMMYFUNCTION("""COMPUTED_VALUE"""),"Uncle Sams Cider (04/04/2023)")</f>
        <v>Uncle Sams Cider (04/04/2023)</v>
      </c>
      <c r="H2395" s="19"/>
    </row>
    <row r="2396">
      <c r="A2396" s="9"/>
      <c r="B2396" s="15"/>
      <c r="C2396" s="9">
        <f>IFERROR(__xludf.DUMMYFUNCTION("""COMPUTED_VALUE"""),45119.4924664583)</f>
        <v>45119.49247</v>
      </c>
      <c r="D2396" s="15">
        <f>IFERROR(__xludf.DUMMYFUNCTION("""COMPUTED_VALUE"""),0.999)</f>
        <v>0.999</v>
      </c>
      <c r="E2396" s="16">
        <f>IFERROR(__xludf.DUMMYFUNCTION("""COMPUTED_VALUE"""),70.0)</f>
        <v>70</v>
      </c>
      <c r="F2396" s="19" t="str">
        <f>IFERROR(__xludf.DUMMYFUNCTION("""COMPUTED_VALUE"""),"BLUE")</f>
        <v>BLUE</v>
      </c>
      <c r="G2396" s="20" t="str">
        <f>IFERROR(__xludf.DUMMYFUNCTION("""COMPUTED_VALUE"""),"Uncle Sams Cider (04/04/2023)")</f>
        <v>Uncle Sams Cider (04/04/2023)</v>
      </c>
      <c r="H2396" s="19"/>
    </row>
    <row r="2397">
      <c r="A2397" s="9"/>
      <c r="B2397" s="15"/>
      <c r="C2397" s="9">
        <f>IFERROR(__xludf.DUMMYFUNCTION("""COMPUTED_VALUE"""),45119.4820334375)</f>
        <v>45119.48203</v>
      </c>
      <c r="D2397" s="15">
        <f>IFERROR(__xludf.DUMMYFUNCTION("""COMPUTED_VALUE"""),0.999)</f>
        <v>0.999</v>
      </c>
      <c r="E2397" s="16">
        <f>IFERROR(__xludf.DUMMYFUNCTION("""COMPUTED_VALUE"""),70.0)</f>
        <v>70</v>
      </c>
      <c r="F2397" s="19" t="str">
        <f>IFERROR(__xludf.DUMMYFUNCTION("""COMPUTED_VALUE"""),"BLUE")</f>
        <v>BLUE</v>
      </c>
      <c r="G2397" s="20" t="str">
        <f>IFERROR(__xludf.DUMMYFUNCTION("""COMPUTED_VALUE"""),"Uncle Sams Cider (04/04/2023)")</f>
        <v>Uncle Sams Cider (04/04/2023)</v>
      </c>
      <c r="H2397" s="19"/>
    </row>
    <row r="2398">
      <c r="A2398" s="9"/>
      <c r="B2398" s="15"/>
      <c r="C2398" s="9">
        <f>IFERROR(__xludf.DUMMYFUNCTION("""COMPUTED_VALUE"""),45119.4716109606)</f>
        <v>45119.47161</v>
      </c>
      <c r="D2398" s="15">
        <f>IFERROR(__xludf.DUMMYFUNCTION("""COMPUTED_VALUE"""),0.999)</f>
        <v>0.999</v>
      </c>
      <c r="E2398" s="16">
        <f>IFERROR(__xludf.DUMMYFUNCTION("""COMPUTED_VALUE"""),70.0)</f>
        <v>70</v>
      </c>
      <c r="F2398" s="19" t="str">
        <f>IFERROR(__xludf.DUMMYFUNCTION("""COMPUTED_VALUE"""),"BLUE")</f>
        <v>BLUE</v>
      </c>
      <c r="G2398" s="20" t="str">
        <f>IFERROR(__xludf.DUMMYFUNCTION("""COMPUTED_VALUE"""),"Uncle Sams Cider (04/04/2023)")</f>
        <v>Uncle Sams Cider (04/04/2023)</v>
      </c>
      <c r="H2398" s="19"/>
    </row>
    <row r="2399">
      <c r="A2399" s="9"/>
      <c r="B2399" s="15"/>
      <c r="C2399" s="9">
        <f>IFERROR(__xludf.DUMMYFUNCTION("""COMPUTED_VALUE"""),45119.4611789236)</f>
        <v>45119.46118</v>
      </c>
      <c r="D2399" s="15">
        <f>IFERROR(__xludf.DUMMYFUNCTION("""COMPUTED_VALUE"""),0.999)</f>
        <v>0.999</v>
      </c>
      <c r="E2399" s="16">
        <f>IFERROR(__xludf.DUMMYFUNCTION("""COMPUTED_VALUE"""),70.0)</f>
        <v>70</v>
      </c>
      <c r="F2399" s="19" t="str">
        <f>IFERROR(__xludf.DUMMYFUNCTION("""COMPUTED_VALUE"""),"BLUE")</f>
        <v>BLUE</v>
      </c>
      <c r="G2399" s="20" t="str">
        <f>IFERROR(__xludf.DUMMYFUNCTION("""COMPUTED_VALUE"""),"Uncle Sams Cider (04/04/2023)")</f>
        <v>Uncle Sams Cider (04/04/2023)</v>
      </c>
      <c r="H2399" s="19"/>
    </row>
    <row r="2400">
      <c r="A2400" s="9"/>
      <c r="B2400" s="15"/>
      <c r="C2400" s="9">
        <f>IFERROR(__xludf.DUMMYFUNCTION("""COMPUTED_VALUE"""),45119.4507571527)</f>
        <v>45119.45076</v>
      </c>
      <c r="D2400" s="15">
        <f>IFERROR(__xludf.DUMMYFUNCTION("""COMPUTED_VALUE"""),0.999)</f>
        <v>0.999</v>
      </c>
      <c r="E2400" s="16">
        <f>IFERROR(__xludf.DUMMYFUNCTION("""COMPUTED_VALUE"""),70.0)</f>
        <v>70</v>
      </c>
      <c r="F2400" s="19" t="str">
        <f>IFERROR(__xludf.DUMMYFUNCTION("""COMPUTED_VALUE"""),"BLUE")</f>
        <v>BLUE</v>
      </c>
      <c r="G2400" s="20" t="str">
        <f>IFERROR(__xludf.DUMMYFUNCTION("""COMPUTED_VALUE"""),"Uncle Sams Cider (04/04/2023)")</f>
        <v>Uncle Sams Cider (04/04/2023)</v>
      </c>
      <c r="H2400" s="19"/>
    </row>
    <row r="2401">
      <c r="A2401" s="9"/>
      <c r="B2401" s="15"/>
      <c r="C2401" s="9">
        <f>IFERROR(__xludf.DUMMYFUNCTION("""COMPUTED_VALUE"""),45119.4403372569)</f>
        <v>45119.44034</v>
      </c>
      <c r="D2401" s="15">
        <f>IFERROR(__xludf.DUMMYFUNCTION("""COMPUTED_VALUE"""),0.999)</f>
        <v>0.999</v>
      </c>
      <c r="E2401" s="16">
        <f>IFERROR(__xludf.DUMMYFUNCTION("""COMPUTED_VALUE"""),70.0)</f>
        <v>70</v>
      </c>
      <c r="F2401" s="19" t="str">
        <f>IFERROR(__xludf.DUMMYFUNCTION("""COMPUTED_VALUE"""),"BLUE")</f>
        <v>BLUE</v>
      </c>
      <c r="G2401" s="20" t="str">
        <f>IFERROR(__xludf.DUMMYFUNCTION("""COMPUTED_VALUE"""),"Uncle Sams Cider (04/04/2023)")</f>
        <v>Uncle Sams Cider (04/04/2023)</v>
      </c>
      <c r="H2401" s="19"/>
    </row>
    <row r="2402">
      <c r="A2402" s="9"/>
      <c r="B2402" s="15"/>
      <c r="C2402" s="9">
        <f>IFERROR(__xludf.DUMMYFUNCTION("""COMPUTED_VALUE"""),45119.42989375)</f>
        <v>45119.42989</v>
      </c>
      <c r="D2402" s="15">
        <f>IFERROR(__xludf.DUMMYFUNCTION("""COMPUTED_VALUE"""),0.999)</f>
        <v>0.999</v>
      </c>
      <c r="E2402" s="16">
        <f>IFERROR(__xludf.DUMMYFUNCTION("""COMPUTED_VALUE"""),70.0)</f>
        <v>70</v>
      </c>
      <c r="F2402" s="19" t="str">
        <f>IFERROR(__xludf.DUMMYFUNCTION("""COMPUTED_VALUE"""),"BLUE")</f>
        <v>BLUE</v>
      </c>
      <c r="G2402" s="20" t="str">
        <f>IFERROR(__xludf.DUMMYFUNCTION("""COMPUTED_VALUE"""),"Uncle Sams Cider (04/04/2023)")</f>
        <v>Uncle Sams Cider (04/04/2023)</v>
      </c>
      <c r="H2402" s="19"/>
    </row>
    <row r="2403">
      <c r="A2403" s="9"/>
      <c r="B2403" s="15"/>
      <c r="C2403" s="9">
        <f>IFERROR(__xludf.DUMMYFUNCTION("""COMPUTED_VALUE"""),45119.4194746296)</f>
        <v>45119.41947</v>
      </c>
      <c r="D2403" s="15">
        <f>IFERROR(__xludf.DUMMYFUNCTION("""COMPUTED_VALUE"""),0.999)</f>
        <v>0.999</v>
      </c>
      <c r="E2403" s="16">
        <f>IFERROR(__xludf.DUMMYFUNCTION("""COMPUTED_VALUE"""),70.0)</f>
        <v>70</v>
      </c>
      <c r="F2403" s="19" t="str">
        <f>IFERROR(__xludf.DUMMYFUNCTION("""COMPUTED_VALUE"""),"BLUE")</f>
        <v>BLUE</v>
      </c>
      <c r="G2403" s="20" t="str">
        <f>IFERROR(__xludf.DUMMYFUNCTION("""COMPUTED_VALUE"""),"Uncle Sams Cider (04/04/2023)")</f>
        <v>Uncle Sams Cider (04/04/2023)</v>
      </c>
      <c r="H2403" s="19"/>
    </row>
    <row r="2404">
      <c r="A2404" s="9"/>
      <c r="B2404" s="15"/>
      <c r="C2404" s="9">
        <f>IFERROR(__xludf.DUMMYFUNCTION("""COMPUTED_VALUE"""),45119.4090426157)</f>
        <v>45119.40904</v>
      </c>
      <c r="D2404" s="15">
        <f>IFERROR(__xludf.DUMMYFUNCTION("""COMPUTED_VALUE"""),0.999)</f>
        <v>0.999</v>
      </c>
      <c r="E2404" s="16">
        <f>IFERROR(__xludf.DUMMYFUNCTION("""COMPUTED_VALUE"""),70.0)</f>
        <v>70</v>
      </c>
      <c r="F2404" s="19" t="str">
        <f>IFERROR(__xludf.DUMMYFUNCTION("""COMPUTED_VALUE"""),"BLUE")</f>
        <v>BLUE</v>
      </c>
      <c r="G2404" s="20" t="str">
        <f>IFERROR(__xludf.DUMMYFUNCTION("""COMPUTED_VALUE"""),"Uncle Sams Cider (04/04/2023)")</f>
        <v>Uncle Sams Cider (04/04/2023)</v>
      </c>
      <c r="H2404" s="19"/>
    </row>
    <row r="2405">
      <c r="A2405" s="9"/>
      <c r="B2405" s="15"/>
      <c r="C2405" s="9">
        <f>IFERROR(__xludf.DUMMYFUNCTION("""COMPUTED_VALUE"""),45119.3986103703)</f>
        <v>45119.39861</v>
      </c>
      <c r="D2405" s="15">
        <f>IFERROR(__xludf.DUMMYFUNCTION("""COMPUTED_VALUE"""),0.999)</f>
        <v>0.999</v>
      </c>
      <c r="E2405" s="16">
        <f>IFERROR(__xludf.DUMMYFUNCTION("""COMPUTED_VALUE"""),70.0)</f>
        <v>70</v>
      </c>
      <c r="F2405" s="19" t="str">
        <f>IFERROR(__xludf.DUMMYFUNCTION("""COMPUTED_VALUE"""),"BLUE")</f>
        <v>BLUE</v>
      </c>
      <c r="G2405" s="20" t="str">
        <f>IFERROR(__xludf.DUMMYFUNCTION("""COMPUTED_VALUE"""),"Uncle Sams Cider (04/04/2023)")</f>
        <v>Uncle Sams Cider (04/04/2023)</v>
      </c>
      <c r="H2405" s="19"/>
    </row>
    <row r="2406">
      <c r="A2406" s="9"/>
      <c r="B2406" s="15"/>
      <c r="C2406" s="9">
        <f>IFERROR(__xludf.DUMMYFUNCTION("""COMPUTED_VALUE"""),45119.3881882754)</f>
        <v>45119.38819</v>
      </c>
      <c r="D2406" s="15">
        <f>IFERROR(__xludf.DUMMYFUNCTION("""COMPUTED_VALUE"""),0.999)</f>
        <v>0.999</v>
      </c>
      <c r="E2406" s="16">
        <f>IFERROR(__xludf.DUMMYFUNCTION("""COMPUTED_VALUE"""),70.0)</f>
        <v>70</v>
      </c>
      <c r="F2406" s="19" t="str">
        <f>IFERROR(__xludf.DUMMYFUNCTION("""COMPUTED_VALUE"""),"BLUE")</f>
        <v>BLUE</v>
      </c>
      <c r="G2406" s="20" t="str">
        <f>IFERROR(__xludf.DUMMYFUNCTION("""COMPUTED_VALUE"""),"Uncle Sams Cider (04/04/2023)")</f>
        <v>Uncle Sams Cider (04/04/2023)</v>
      </c>
      <c r="H2406" s="19"/>
    </row>
    <row r="2407">
      <c r="A2407" s="9"/>
      <c r="B2407" s="15"/>
      <c r="C2407" s="9">
        <f>IFERROR(__xludf.DUMMYFUNCTION("""COMPUTED_VALUE"""),45119.3777532291)</f>
        <v>45119.37775</v>
      </c>
      <c r="D2407" s="15">
        <f>IFERROR(__xludf.DUMMYFUNCTION("""COMPUTED_VALUE"""),0.999)</f>
        <v>0.999</v>
      </c>
      <c r="E2407" s="16">
        <f>IFERROR(__xludf.DUMMYFUNCTION("""COMPUTED_VALUE"""),70.0)</f>
        <v>70</v>
      </c>
      <c r="F2407" s="19" t="str">
        <f>IFERROR(__xludf.DUMMYFUNCTION("""COMPUTED_VALUE"""),"BLUE")</f>
        <v>BLUE</v>
      </c>
      <c r="G2407" s="20" t="str">
        <f>IFERROR(__xludf.DUMMYFUNCTION("""COMPUTED_VALUE"""),"Uncle Sams Cider (04/04/2023)")</f>
        <v>Uncle Sams Cider (04/04/2023)</v>
      </c>
      <c r="H2407" s="19"/>
    </row>
    <row r="2408">
      <c r="A2408" s="9"/>
      <c r="B2408" s="15"/>
      <c r="C2408" s="9">
        <f>IFERROR(__xludf.DUMMYFUNCTION("""COMPUTED_VALUE"""),45119.3673204861)</f>
        <v>45119.36732</v>
      </c>
      <c r="D2408" s="15">
        <f>IFERROR(__xludf.DUMMYFUNCTION("""COMPUTED_VALUE"""),0.999)</f>
        <v>0.999</v>
      </c>
      <c r="E2408" s="16">
        <f>IFERROR(__xludf.DUMMYFUNCTION("""COMPUTED_VALUE"""),70.0)</f>
        <v>70</v>
      </c>
      <c r="F2408" s="19" t="str">
        <f>IFERROR(__xludf.DUMMYFUNCTION("""COMPUTED_VALUE"""),"BLUE")</f>
        <v>BLUE</v>
      </c>
      <c r="G2408" s="20" t="str">
        <f>IFERROR(__xludf.DUMMYFUNCTION("""COMPUTED_VALUE"""),"Uncle Sams Cider (04/04/2023)")</f>
        <v>Uncle Sams Cider (04/04/2023)</v>
      </c>
      <c r="H2408" s="19"/>
    </row>
    <row r="2409">
      <c r="A2409" s="9"/>
      <c r="B2409" s="15"/>
      <c r="C2409" s="9">
        <f>IFERROR(__xludf.DUMMYFUNCTION("""COMPUTED_VALUE"""),45119.3568982754)</f>
        <v>45119.3569</v>
      </c>
      <c r="D2409" s="15">
        <f>IFERROR(__xludf.DUMMYFUNCTION("""COMPUTED_VALUE"""),0.999)</f>
        <v>0.999</v>
      </c>
      <c r="E2409" s="16">
        <f>IFERROR(__xludf.DUMMYFUNCTION("""COMPUTED_VALUE"""),70.0)</f>
        <v>70</v>
      </c>
      <c r="F2409" s="19" t="str">
        <f>IFERROR(__xludf.DUMMYFUNCTION("""COMPUTED_VALUE"""),"BLUE")</f>
        <v>BLUE</v>
      </c>
      <c r="G2409" s="20" t="str">
        <f>IFERROR(__xludf.DUMMYFUNCTION("""COMPUTED_VALUE"""),"Uncle Sams Cider (04/04/2023)")</f>
        <v>Uncle Sams Cider (04/04/2023)</v>
      </c>
      <c r="H2409" s="19"/>
    </row>
    <row r="2410">
      <c r="A2410" s="9"/>
      <c r="B2410" s="15"/>
      <c r="C2410" s="9">
        <f>IFERROR(__xludf.DUMMYFUNCTION("""COMPUTED_VALUE"""),45119.3464776851)</f>
        <v>45119.34648</v>
      </c>
      <c r="D2410" s="15">
        <f>IFERROR(__xludf.DUMMYFUNCTION("""COMPUTED_VALUE"""),0.999)</f>
        <v>0.999</v>
      </c>
      <c r="E2410" s="16">
        <f>IFERROR(__xludf.DUMMYFUNCTION("""COMPUTED_VALUE"""),70.0)</f>
        <v>70</v>
      </c>
      <c r="F2410" s="19" t="str">
        <f>IFERROR(__xludf.DUMMYFUNCTION("""COMPUTED_VALUE"""),"BLUE")</f>
        <v>BLUE</v>
      </c>
      <c r="G2410" s="20" t="str">
        <f>IFERROR(__xludf.DUMMYFUNCTION("""COMPUTED_VALUE"""),"Uncle Sams Cider (04/04/2023)")</f>
        <v>Uncle Sams Cider (04/04/2023)</v>
      </c>
      <c r="H2410" s="19"/>
    </row>
    <row r="2411">
      <c r="A2411" s="9"/>
      <c r="B2411" s="15"/>
      <c r="C2411" s="9">
        <f>IFERROR(__xludf.DUMMYFUNCTION("""COMPUTED_VALUE"""),45119.3360556712)</f>
        <v>45119.33606</v>
      </c>
      <c r="D2411" s="15">
        <f>IFERROR(__xludf.DUMMYFUNCTION("""COMPUTED_VALUE"""),0.999)</f>
        <v>0.999</v>
      </c>
      <c r="E2411" s="16">
        <f>IFERROR(__xludf.DUMMYFUNCTION("""COMPUTED_VALUE"""),70.0)</f>
        <v>70</v>
      </c>
      <c r="F2411" s="19" t="str">
        <f>IFERROR(__xludf.DUMMYFUNCTION("""COMPUTED_VALUE"""),"BLUE")</f>
        <v>BLUE</v>
      </c>
      <c r="G2411" s="20" t="str">
        <f>IFERROR(__xludf.DUMMYFUNCTION("""COMPUTED_VALUE"""),"Uncle Sams Cider (04/04/2023)")</f>
        <v>Uncle Sams Cider (04/04/2023)</v>
      </c>
      <c r="H2411" s="19"/>
    </row>
    <row r="2412">
      <c r="A2412" s="9"/>
      <c r="B2412" s="15"/>
      <c r="C2412" s="9">
        <f>IFERROR(__xludf.DUMMYFUNCTION("""COMPUTED_VALUE"""),45119.3256348842)</f>
        <v>45119.32563</v>
      </c>
      <c r="D2412" s="15">
        <f>IFERROR(__xludf.DUMMYFUNCTION("""COMPUTED_VALUE"""),0.999)</f>
        <v>0.999</v>
      </c>
      <c r="E2412" s="16">
        <f>IFERROR(__xludf.DUMMYFUNCTION("""COMPUTED_VALUE"""),70.0)</f>
        <v>70</v>
      </c>
      <c r="F2412" s="19" t="str">
        <f>IFERROR(__xludf.DUMMYFUNCTION("""COMPUTED_VALUE"""),"BLUE")</f>
        <v>BLUE</v>
      </c>
      <c r="G2412" s="20" t="str">
        <f>IFERROR(__xludf.DUMMYFUNCTION("""COMPUTED_VALUE"""),"Uncle Sams Cider (04/04/2023)")</f>
        <v>Uncle Sams Cider (04/04/2023)</v>
      </c>
      <c r="H2412" s="19"/>
    </row>
    <row r="2413">
      <c r="A2413" s="9"/>
      <c r="B2413" s="15"/>
      <c r="C2413" s="9">
        <f>IFERROR(__xludf.DUMMYFUNCTION("""COMPUTED_VALUE"""),45119.3152129976)</f>
        <v>45119.31521</v>
      </c>
      <c r="D2413" s="15">
        <f>IFERROR(__xludf.DUMMYFUNCTION("""COMPUTED_VALUE"""),0.999)</f>
        <v>0.999</v>
      </c>
      <c r="E2413" s="16">
        <f>IFERROR(__xludf.DUMMYFUNCTION("""COMPUTED_VALUE"""),70.0)</f>
        <v>70</v>
      </c>
      <c r="F2413" s="19" t="str">
        <f>IFERROR(__xludf.DUMMYFUNCTION("""COMPUTED_VALUE"""),"BLUE")</f>
        <v>BLUE</v>
      </c>
      <c r="G2413" s="20" t="str">
        <f>IFERROR(__xludf.DUMMYFUNCTION("""COMPUTED_VALUE"""),"Uncle Sams Cider (04/04/2023)")</f>
        <v>Uncle Sams Cider (04/04/2023)</v>
      </c>
      <c r="H2413" s="19"/>
    </row>
    <row r="2414">
      <c r="A2414" s="9"/>
      <c r="B2414" s="15"/>
      <c r="C2414" s="9">
        <f>IFERROR(__xludf.DUMMYFUNCTION("""COMPUTED_VALUE"""),45119.3047678472)</f>
        <v>45119.30477</v>
      </c>
      <c r="D2414" s="15">
        <f>IFERROR(__xludf.DUMMYFUNCTION("""COMPUTED_VALUE"""),0.999)</f>
        <v>0.999</v>
      </c>
      <c r="E2414" s="16">
        <f>IFERROR(__xludf.DUMMYFUNCTION("""COMPUTED_VALUE"""),70.0)</f>
        <v>70</v>
      </c>
      <c r="F2414" s="19" t="str">
        <f>IFERROR(__xludf.DUMMYFUNCTION("""COMPUTED_VALUE"""),"BLUE")</f>
        <v>BLUE</v>
      </c>
      <c r="G2414" s="20" t="str">
        <f>IFERROR(__xludf.DUMMYFUNCTION("""COMPUTED_VALUE"""),"Uncle Sams Cider (04/04/2023)")</f>
        <v>Uncle Sams Cider (04/04/2023)</v>
      </c>
      <c r="H2414" s="19"/>
    </row>
    <row r="2415">
      <c r="A2415" s="9"/>
      <c r="B2415" s="15"/>
      <c r="C2415" s="9">
        <f>IFERROR(__xludf.DUMMYFUNCTION("""COMPUTED_VALUE"""),45119.2943461342)</f>
        <v>45119.29435</v>
      </c>
      <c r="D2415" s="15">
        <f>IFERROR(__xludf.DUMMYFUNCTION("""COMPUTED_VALUE"""),0.999)</f>
        <v>0.999</v>
      </c>
      <c r="E2415" s="16">
        <f>IFERROR(__xludf.DUMMYFUNCTION("""COMPUTED_VALUE"""),70.0)</f>
        <v>70</v>
      </c>
      <c r="F2415" s="19" t="str">
        <f>IFERROR(__xludf.DUMMYFUNCTION("""COMPUTED_VALUE"""),"BLUE")</f>
        <v>BLUE</v>
      </c>
      <c r="G2415" s="20" t="str">
        <f>IFERROR(__xludf.DUMMYFUNCTION("""COMPUTED_VALUE"""),"Uncle Sams Cider (04/04/2023)")</f>
        <v>Uncle Sams Cider (04/04/2023)</v>
      </c>
      <c r="H2415" s="19"/>
    </row>
    <row r="2416">
      <c r="A2416" s="9"/>
      <c r="B2416" s="15"/>
      <c r="C2416" s="9">
        <f>IFERROR(__xludf.DUMMYFUNCTION("""COMPUTED_VALUE"""),45119.2839226967)</f>
        <v>45119.28392</v>
      </c>
      <c r="D2416" s="15">
        <f>IFERROR(__xludf.DUMMYFUNCTION("""COMPUTED_VALUE"""),0.999)</f>
        <v>0.999</v>
      </c>
      <c r="E2416" s="16">
        <f>IFERROR(__xludf.DUMMYFUNCTION("""COMPUTED_VALUE"""),70.0)</f>
        <v>70</v>
      </c>
      <c r="F2416" s="19" t="str">
        <f>IFERROR(__xludf.DUMMYFUNCTION("""COMPUTED_VALUE"""),"BLUE")</f>
        <v>BLUE</v>
      </c>
      <c r="G2416" s="20" t="str">
        <f>IFERROR(__xludf.DUMMYFUNCTION("""COMPUTED_VALUE"""),"Uncle Sams Cider (04/04/2023)")</f>
        <v>Uncle Sams Cider (04/04/2023)</v>
      </c>
      <c r="H2416" s="19"/>
    </row>
    <row r="2417">
      <c r="A2417" s="9"/>
      <c r="B2417" s="15"/>
      <c r="C2417" s="9">
        <f>IFERROR(__xludf.DUMMYFUNCTION("""COMPUTED_VALUE"""),45119.2734904629)</f>
        <v>45119.27349</v>
      </c>
      <c r="D2417" s="15">
        <f>IFERROR(__xludf.DUMMYFUNCTION("""COMPUTED_VALUE"""),0.999)</f>
        <v>0.999</v>
      </c>
      <c r="E2417" s="16">
        <f>IFERROR(__xludf.DUMMYFUNCTION("""COMPUTED_VALUE"""),70.0)</f>
        <v>70</v>
      </c>
      <c r="F2417" s="19" t="str">
        <f>IFERROR(__xludf.DUMMYFUNCTION("""COMPUTED_VALUE"""),"BLUE")</f>
        <v>BLUE</v>
      </c>
      <c r="G2417" s="20" t="str">
        <f>IFERROR(__xludf.DUMMYFUNCTION("""COMPUTED_VALUE"""),"Uncle Sams Cider (04/04/2023)")</f>
        <v>Uncle Sams Cider (04/04/2023)</v>
      </c>
      <c r="H2417" s="19"/>
    </row>
    <row r="2418">
      <c r="A2418" s="9"/>
      <c r="B2418" s="15"/>
      <c r="C2418" s="9">
        <f>IFERROR(__xludf.DUMMYFUNCTION("""COMPUTED_VALUE"""),45119.2630570023)</f>
        <v>45119.26306</v>
      </c>
      <c r="D2418" s="15">
        <f>IFERROR(__xludf.DUMMYFUNCTION("""COMPUTED_VALUE"""),0.999)</f>
        <v>0.999</v>
      </c>
      <c r="E2418" s="16">
        <f>IFERROR(__xludf.DUMMYFUNCTION("""COMPUTED_VALUE"""),70.0)</f>
        <v>70</v>
      </c>
      <c r="F2418" s="19" t="str">
        <f>IFERROR(__xludf.DUMMYFUNCTION("""COMPUTED_VALUE"""),"BLUE")</f>
        <v>BLUE</v>
      </c>
      <c r="G2418" s="20" t="str">
        <f>IFERROR(__xludf.DUMMYFUNCTION("""COMPUTED_VALUE"""),"Uncle Sams Cider (04/04/2023)")</f>
        <v>Uncle Sams Cider (04/04/2023)</v>
      </c>
      <c r="H2418" s="19"/>
    </row>
    <row r="2419">
      <c r="A2419" s="9"/>
      <c r="B2419" s="15"/>
      <c r="C2419" s="9">
        <f>IFERROR(__xludf.DUMMYFUNCTION("""COMPUTED_VALUE"""),45119.2526360416)</f>
        <v>45119.25264</v>
      </c>
      <c r="D2419" s="15">
        <f>IFERROR(__xludf.DUMMYFUNCTION("""COMPUTED_VALUE"""),0.999)</f>
        <v>0.999</v>
      </c>
      <c r="E2419" s="16">
        <f>IFERROR(__xludf.DUMMYFUNCTION("""COMPUTED_VALUE"""),70.0)</f>
        <v>70</v>
      </c>
      <c r="F2419" s="19" t="str">
        <f>IFERROR(__xludf.DUMMYFUNCTION("""COMPUTED_VALUE"""),"BLUE")</f>
        <v>BLUE</v>
      </c>
      <c r="G2419" s="20" t="str">
        <f>IFERROR(__xludf.DUMMYFUNCTION("""COMPUTED_VALUE"""),"Uncle Sams Cider (04/04/2023)")</f>
        <v>Uncle Sams Cider (04/04/2023)</v>
      </c>
      <c r="H2419" s="19"/>
    </row>
    <row r="2420">
      <c r="A2420" s="9"/>
      <c r="B2420" s="15"/>
      <c r="C2420" s="9">
        <f>IFERROR(__xludf.DUMMYFUNCTION("""COMPUTED_VALUE"""),45119.2422168171)</f>
        <v>45119.24222</v>
      </c>
      <c r="D2420" s="15">
        <f>IFERROR(__xludf.DUMMYFUNCTION("""COMPUTED_VALUE"""),0.999)</f>
        <v>0.999</v>
      </c>
      <c r="E2420" s="16">
        <f>IFERROR(__xludf.DUMMYFUNCTION("""COMPUTED_VALUE"""),70.0)</f>
        <v>70</v>
      </c>
      <c r="F2420" s="19" t="str">
        <f>IFERROR(__xludf.DUMMYFUNCTION("""COMPUTED_VALUE"""),"BLUE")</f>
        <v>BLUE</v>
      </c>
      <c r="G2420" s="20" t="str">
        <f>IFERROR(__xludf.DUMMYFUNCTION("""COMPUTED_VALUE"""),"Uncle Sams Cider (04/04/2023)")</f>
        <v>Uncle Sams Cider (04/04/2023)</v>
      </c>
      <c r="H2420" s="19"/>
    </row>
    <row r="2421">
      <c r="A2421" s="9"/>
      <c r="B2421" s="15"/>
      <c r="C2421" s="9">
        <f>IFERROR(__xludf.DUMMYFUNCTION("""COMPUTED_VALUE"""),45119.2317940277)</f>
        <v>45119.23179</v>
      </c>
      <c r="D2421" s="15">
        <f>IFERROR(__xludf.DUMMYFUNCTION("""COMPUTED_VALUE"""),0.999)</f>
        <v>0.999</v>
      </c>
      <c r="E2421" s="16">
        <f>IFERROR(__xludf.DUMMYFUNCTION("""COMPUTED_VALUE"""),70.0)</f>
        <v>70</v>
      </c>
      <c r="F2421" s="19" t="str">
        <f>IFERROR(__xludf.DUMMYFUNCTION("""COMPUTED_VALUE"""),"BLUE")</f>
        <v>BLUE</v>
      </c>
      <c r="G2421" s="20" t="str">
        <f>IFERROR(__xludf.DUMMYFUNCTION("""COMPUTED_VALUE"""),"Uncle Sams Cider (04/04/2023)")</f>
        <v>Uncle Sams Cider (04/04/2023)</v>
      </c>
      <c r="H2421" s="19"/>
    </row>
    <row r="2422">
      <c r="A2422" s="9"/>
      <c r="B2422" s="15"/>
      <c r="C2422" s="9">
        <f>IFERROR(__xludf.DUMMYFUNCTION("""COMPUTED_VALUE"""),45119.2213734606)</f>
        <v>45119.22137</v>
      </c>
      <c r="D2422" s="15">
        <f>IFERROR(__xludf.DUMMYFUNCTION("""COMPUTED_VALUE"""),0.999)</f>
        <v>0.999</v>
      </c>
      <c r="E2422" s="16">
        <f>IFERROR(__xludf.DUMMYFUNCTION("""COMPUTED_VALUE"""),70.0)</f>
        <v>70</v>
      </c>
      <c r="F2422" s="19" t="str">
        <f>IFERROR(__xludf.DUMMYFUNCTION("""COMPUTED_VALUE"""),"BLUE")</f>
        <v>BLUE</v>
      </c>
      <c r="G2422" s="20" t="str">
        <f>IFERROR(__xludf.DUMMYFUNCTION("""COMPUTED_VALUE"""),"Uncle Sams Cider (04/04/2023)")</f>
        <v>Uncle Sams Cider (04/04/2023)</v>
      </c>
      <c r="H2422" s="19"/>
    </row>
    <row r="2423">
      <c r="A2423" s="9"/>
      <c r="B2423" s="15"/>
      <c r="C2423" s="9">
        <f>IFERROR(__xludf.DUMMYFUNCTION("""COMPUTED_VALUE"""),45119.210952824)</f>
        <v>45119.21095</v>
      </c>
      <c r="D2423" s="15">
        <f>IFERROR(__xludf.DUMMYFUNCTION("""COMPUTED_VALUE"""),0.999)</f>
        <v>0.999</v>
      </c>
      <c r="E2423" s="16">
        <f>IFERROR(__xludf.DUMMYFUNCTION("""COMPUTED_VALUE"""),70.0)</f>
        <v>70</v>
      </c>
      <c r="F2423" s="19" t="str">
        <f>IFERROR(__xludf.DUMMYFUNCTION("""COMPUTED_VALUE"""),"BLUE")</f>
        <v>BLUE</v>
      </c>
      <c r="G2423" s="20" t="str">
        <f>IFERROR(__xludf.DUMMYFUNCTION("""COMPUTED_VALUE"""),"Uncle Sams Cider (04/04/2023)")</f>
        <v>Uncle Sams Cider (04/04/2023)</v>
      </c>
      <c r="H2423" s="19"/>
    </row>
    <row r="2424">
      <c r="A2424" s="9"/>
      <c r="B2424" s="15"/>
      <c r="C2424" s="9">
        <f>IFERROR(__xludf.DUMMYFUNCTION("""COMPUTED_VALUE"""),45119.2005305439)</f>
        <v>45119.20053</v>
      </c>
      <c r="D2424" s="15">
        <f>IFERROR(__xludf.DUMMYFUNCTION("""COMPUTED_VALUE"""),0.999)</f>
        <v>0.999</v>
      </c>
      <c r="E2424" s="16">
        <f>IFERROR(__xludf.DUMMYFUNCTION("""COMPUTED_VALUE"""),70.0)</f>
        <v>70</v>
      </c>
      <c r="F2424" s="19" t="str">
        <f>IFERROR(__xludf.DUMMYFUNCTION("""COMPUTED_VALUE"""),"BLUE")</f>
        <v>BLUE</v>
      </c>
      <c r="G2424" s="20" t="str">
        <f>IFERROR(__xludf.DUMMYFUNCTION("""COMPUTED_VALUE"""),"Uncle Sams Cider (04/04/2023)")</f>
        <v>Uncle Sams Cider (04/04/2023)</v>
      </c>
      <c r="H2424" s="19"/>
    </row>
    <row r="2425">
      <c r="A2425" s="9"/>
      <c r="B2425" s="15"/>
      <c r="C2425" s="9">
        <f>IFERROR(__xludf.DUMMYFUNCTION("""COMPUTED_VALUE"""),45119.190085868)</f>
        <v>45119.19009</v>
      </c>
      <c r="D2425" s="15">
        <f>IFERROR(__xludf.DUMMYFUNCTION("""COMPUTED_VALUE"""),0.999)</f>
        <v>0.999</v>
      </c>
      <c r="E2425" s="16">
        <f>IFERROR(__xludf.DUMMYFUNCTION("""COMPUTED_VALUE"""),70.0)</f>
        <v>70</v>
      </c>
      <c r="F2425" s="19" t="str">
        <f>IFERROR(__xludf.DUMMYFUNCTION("""COMPUTED_VALUE"""),"BLUE")</f>
        <v>BLUE</v>
      </c>
      <c r="G2425" s="20" t="str">
        <f>IFERROR(__xludf.DUMMYFUNCTION("""COMPUTED_VALUE"""),"Uncle Sams Cider (04/04/2023)")</f>
        <v>Uncle Sams Cider (04/04/2023)</v>
      </c>
      <c r="H2425" s="19"/>
    </row>
    <row r="2426">
      <c r="A2426" s="9"/>
      <c r="B2426" s="15"/>
      <c r="C2426" s="9">
        <f>IFERROR(__xludf.DUMMYFUNCTION("""COMPUTED_VALUE"""),45119.1796664351)</f>
        <v>45119.17967</v>
      </c>
      <c r="D2426" s="15">
        <f>IFERROR(__xludf.DUMMYFUNCTION("""COMPUTED_VALUE"""),0.999)</f>
        <v>0.999</v>
      </c>
      <c r="E2426" s="16">
        <f>IFERROR(__xludf.DUMMYFUNCTION("""COMPUTED_VALUE"""),70.0)</f>
        <v>70</v>
      </c>
      <c r="F2426" s="19" t="str">
        <f>IFERROR(__xludf.DUMMYFUNCTION("""COMPUTED_VALUE"""),"BLUE")</f>
        <v>BLUE</v>
      </c>
      <c r="G2426" s="20" t="str">
        <f>IFERROR(__xludf.DUMMYFUNCTION("""COMPUTED_VALUE"""),"Uncle Sams Cider (04/04/2023)")</f>
        <v>Uncle Sams Cider (04/04/2023)</v>
      </c>
      <c r="H2426" s="19"/>
    </row>
    <row r="2427">
      <c r="A2427" s="9"/>
      <c r="B2427" s="15"/>
      <c r="C2427" s="9">
        <f>IFERROR(__xludf.DUMMYFUNCTION("""COMPUTED_VALUE"""),45119.1692463078)</f>
        <v>45119.16925</v>
      </c>
      <c r="D2427" s="15">
        <f>IFERROR(__xludf.DUMMYFUNCTION("""COMPUTED_VALUE"""),0.999)</f>
        <v>0.999</v>
      </c>
      <c r="E2427" s="16">
        <f>IFERROR(__xludf.DUMMYFUNCTION("""COMPUTED_VALUE"""),70.0)</f>
        <v>70</v>
      </c>
      <c r="F2427" s="19" t="str">
        <f>IFERROR(__xludf.DUMMYFUNCTION("""COMPUTED_VALUE"""),"BLUE")</f>
        <v>BLUE</v>
      </c>
      <c r="G2427" s="20" t="str">
        <f>IFERROR(__xludf.DUMMYFUNCTION("""COMPUTED_VALUE"""),"Uncle Sams Cider (04/04/2023)")</f>
        <v>Uncle Sams Cider (04/04/2023)</v>
      </c>
      <c r="H2427" s="19"/>
    </row>
    <row r="2428">
      <c r="A2428" s="9"/>
      <c r="B2428" s="15"/>
      <c r="C2428" s="9">
        <f>IFERROR(__xludf.DUMMYFUNCTION("""COMPUTED_VALUE"""),45119.1588259259)</f>
        <v>45119.15883</v>
      </c>
      <c r="D2428" s="15">
        <f>IFERROR(__xludf.DUMMYFUNCTION("""COMPUTED_VALUE"""),0.999)</f>
        <v>0.999</v>
      </c>
      <c r="E2428" s="16">
        <f>IFERROR(__xludf.DUMMYFUNCTION("""COMPUTED_VALUE"""),70.0)</f>
        <v>70</v>
      </c>
      <c r="F2428" s="19" t="str">
        <f>IFERROR(__xludf.DUMMYFUNCTION("""COMPUTED_VALUE"""),"BLUE")</f>
        <v>BLUE</v>
      </c>
      <c r="G2428" s="20" t="str">
        <f>IFERROR(__xludf.DUMMYFUNCTION("""COMPUTED_VALUE"""),"Uncle Sams Cider (04/04/2023)")</f>
        <v>Uncle Sams Cider (04/04/2023)</v>
      </c>
      <c r="H2428" s="19"/>
    </row>
    <row r="2429">
      <c r="A2429" s="9"/>
      <c r="B2429" s="15"/>
      <c r="C2429" s="9">
        <f>IFERROR(__xludf.DUMMYFUNCTION("""COMPUTED_VALUE"""),45119.1484038425)</f>
        <v>45119.1484</v>
      </c>
      <c r="D2429" s="15">
        <f>IFERROR(__xludf.DUMMYFUNCTION("""COMPUTED_VALUE"""),0.999)</f>
        <v>0.999</v>
      </c>
      <c r="E2429" s="16">
        <f>IFERROR(__xludf.DUMMYFUNCTION("""COMPUTED_VALUE"""),70.0)</f>
        <v>70</v>
      </c>
      <c r="F2429" s="19" t="str">
        <f>IFERROR(__xludf.DUMMYFUNCTION("""COMPUTED_VALUE"""),"BLUE")</f>
        <v>BLUE</v>
      </c>
      <c r="G2429" s="20" t="str">
        <f>IFERROR(__xludf.DUMMYFUNCTION("""COMPUTED_VALUE"""),"Uncle Sams Cider (04/04/2023)")</f>
        <v>Uncle Sams Cider (04/04/2023)</v>
      </c>
      <c r="H2429" s="19"/>
    </row>
    <row r="2430">
      <c r="A2430" s="9"/>
      <c r="B2430" s="15"/>
      <c r="C2430" s="9">
        <f>IFERROR(__xludf.DUMMYFUNCTION("""COMPUTED_VALUE"""),45119.1379848726)</f>
        <v>45119.13798</v>
      </c>
      <c r="D2430" s="15">
        <f>IFERROR(__xludf.DUMMYFUNCTION("""COMPUTED_VALUE"""),0.999)</f>
        <v>0.999</v>
      </c>
      <c r="E2430" s="16">
        <f>IFERROR(__xludf.DUMMYFUNCTION("""COMPUTED_VALUE"""),70.0)</f>
        <v>70</v>
      </c>
      <c r="F2430" s="19" t="str">
        <f>IFERROR(__xludf.DUMMYFUNCTION("""COMPUTED_VALUE"""),"BLUE")</f>
        <v>BLUE</v>
      </c>
      <c r="G2430" s="20" t="str">
        <f>IFERROR(__xludf.DUMMYFUNCTION("""COMPUTED_VALUE"""),"Uncle Sams Cider (04/04/2023)")</f>
        <v>Uncle Sams Cider (04/04/2023)</v>
      </c>
      <c r="H2430" s="19"/>
    </row>
    <row r="2431">
      <c r="A2431" s="9"/>
      <c r="B2431" s="15"/>
      <c r="C2431" s="9">
        <f>IFERROR(__xludf.DUMMYFUNCTION("""COMPUTED_VALUE"""),45119.1275640625)</f>
        <v>45119.12756</v>
      </c>
      <c r="D2431" s="15">
        <f>IFERROR(__xludf.DUMMYFUNCTION("""COMPUTED_VALUE"""),0.999)</f>
        <v>0.999</v>
      </c>
      <c r="E2431" s="16">
        <f>IFERROR(__xludf.DUMMYFUNCTION("""COMPUTED_VALUE"""),70.0)</f>
        <v>70</v>
      </c>
      <c r="F2431" s="19" t="str">
        <f>IFERROR(__xludf.DUMMYFUNCTION("""COMPUTED_VALUE"""),"BLUE")</f>
        <v>BLUE</v>
      </c>
      <c r="G2431" s="20" t="str">
        <f>IFERROR(__xludf.DUMMYFUNCTION("""COMPUTED_VALUE"""),"Uncle Sams Cider (04/04/2023)")</f>
        <v>Uncle Sams Cider (04/04/2023)</v>
      </c>
      <c r="H2431" s="19"/>
    </row>
    <row r="2432">
      <c r="A2432" s="9"/>
      <c r="B2432" s="15"/>
      <c r="C2432" s="9">
        <f>IFERROR(__xludf.DUMMYFUNCTION("""COMPUTED_VALUE"""),45119.1171431828)</f>
        <v>45119.11714</v>
      </c>
      <c r="D2432" s="15">
        <f>IFERROR(__xludf.DUMMYFUNCTION("""COMPUTED_VALUE"""),0.999)</f>
        <v>0.999</v>
      </c>
      <c r="E2432" s="16">
        <f>IFERROR(__xludf.DUMMYFUNCTION("""COMPUTED_VALUE"""),70.0)</f>
        <v>70</v>
      </c>
      <c r="F2432" s="19" t="str">
        <f>IFERROR(__xludf.DUMMYFUNCTION("""COMPUTED_VALUE"""),"BLUE")</f>
        <v>BLUE</v>
      </c>
      <c r="G2432" s="20" t="str">
        <f>IFERROR(__xludf.DUMMYFUNCTION("""COMPUTED_VALUE"""),"Uncle Sams Cider (04/04/2023)")</f>
        <v>Uncle Sams Cider (04/04/2023)</v>
      </c>
      <c r="H2432" s="19"/>
    </row>
    <row r="2433">
      <c r="A2433" s="9"/>
      <c r="B2433" s="15"/>
      <c r="C2433" s="9">
        <f>IFERROR(__xludf.DUMMYFUNCTION("""COMPUTED_VALUE"""),45119.1067227546)</f>
        <v>45119.10672</v>
      </c>
      <c r="D2433" s="15">
        <f>IFERROR(__xludf.DUMMYFUNCTION("""COMPUTED_VALUE"""),0.999)</f>
        <v>0.999</v>
      </c>
      <c r="E2433" s="16">
        <f>IFERROR(__xludf.DUMMYFUNCTION("""COMPUTED_VALUE"""),70.0)</f>
        <v>70</v>
      </c>
      <c r="F2433" s="19" t="str">
        <f>IFERROR(__xludf.DUMMYFUNCTION("""COMPUTED_VALUE"""),"BLUE")</f>
        <v>BLUE</v>
      </c>
      <c r="G2433" s="20" t="str">
        <f>IFERROR(__xludf.DUMMYFUNCTION("""COMPUTED_VALUE"""),"Uncle Sams Cider (04/04/2023)")</f>
        <v>Uncle Sams Cider (04/04/2023)</v>
      </c>
      <c r="H2433" s="19"/>
    </row>
    <row r="2434">
      <c r="A2434" s="9"/>
      <c r="B2434" s="15"/>
      <c r="C2434" s="9">
        <f>IFERROR(__xludf.DUMMYFUNCTION("""COMPUTED_VALUE"""),45119.0963029629)</f>
        <v>45119.0963</v>
      </c>
      <c r="D2434" s="15">
        <f>IFERROR(__xludf.DUMMYFUNCTION("""COMPUTED_VALUE"""),0.999)</f>
        <v>0.999</v>
      </c>
      <c r="E2434" s="16">
        <f>IFERROR(__xludf.DUMMYFUNCTION("""COMPUTED_VALUE"""),70.0)</f>
        <v>70</v>
      </c>
      <c r="F2434" s="19" t="str">
        <f>IFERROR(__xludf.DUMMYFUNCTION("""COMPUTED_VALUE"""),"BLUE")</f>
        <v>BLUE</v>
      </c>
      <c r="G2434" s="20" t="str">
        <f>IFERROR(__xludf.DUMMYFUNCTION("""COMPUTED_VALUE"""),"Uncle Sams Cider (04/04/2023)")</f>
        <v>Uncle Sams Cider (04/04/2023)</v>
      </c>
      <c r="H2434" s="19"/>
    </row>
    <row r="2435">
      <c r="A2435" s="9"/>
      <c r="B2435" s="15"/>
      <c r="C2435" s="9">
        <f>IFERROR(__xludf.DUMMYFUNCTION("""COMPUTED_VALUE"""),45119.0858827777)</f>
        <v>45119.08588</v>
      </c>
      <c r="D2435" s="15">
        <f>IFERROR(__xludf.DUMMYFUNCTION("""COMPUTED_VALUE"""),0.999)</f>
        <v>0.999</v>
      </c>
      <c r="E2435" s="16">
        <f>IFERROR(__xludf.DUMMYFUNCTION("""COMPUTED_VALUE"""),70.0)</f>
        <v>70</v>
      </c>
      <c r="F2435" s="19" t="str">
        <f>IFERROR(__xludf.DUMMYFUNCTION("""COMPUTED_VALUE"""),"BLUE")</f>
        <v>BLUE</v>
      </c>
      <c r="G2435" s="20" t="str">
        <f>IFERROR(__xludf.DUMMYFUNCTION("""COMPUTED_VALUE"""),"Uncle Sams Cider (04/04/2023)")</f>
        <v>Uncle Sams Cider (04/04/2023)</v>
      </c>
      <c r="H2435" s="19"/>
    </row>
    <row r="2436">
      <c r="A2436" s="9"/>
      <c r="B2436" s="15"/>
      <c r="C2436" s="9">
        <f>IFERROR(__xludf.DUMMYFUNCTION("""COMPUTED_VALUE"""),45119.0754607291)</f>
        <v>45119.07546</v>
      </c>
      <c r="D2436" s="15">
        <f>IFERROR(__xludf.DUMMYFUNCTION("""COMPUTED_VALUE"""),0.999)</f>
        <v>0.999</v>
      </c>
      <c r="E2436" s="16">
        <f>IFERROR(__xludf.DUMMYFUNCTION("""COMPUTED_VALUE"""),70.0)</f>
        <v>70</v>
      </c>
      <c r="F2436" s="19" t="str">
        <f>IFERROR(__xludf.DUMMYFUNCTION("""COMPUTED_VALUE"""),"BLUE")</f>
        <v>BLUE</v>
      </c>
      <c r="G2436" s="20" t="str">
        <f>IFERROR(__xludf.DUMMYFUNCTION("""COMPUTED_VALUE"""),"Uncle Sams Cider (04/04/2023)")</f>
        <v>Uncle Sams Cider (04/04/2023)</v>
      </c>
      <c r="H2436" s="19"/>
    </row>
    <row r="2437">
      <c r="A2437" s="9"/>
      <c r="B2437" s="15"/>
      <c r="C2437" s="9">
        <f>IFERROR(__xludf.DUMMYFUNCTION("""COMPUTED_VALUE"""),45119.0650392939)</f>
        <v>45119.06504</v>
      </c>
      <c r="D2437" s="15">
        <f>IFERROR(__xludf.DUMMYFUNCTION("""COMPUTED_VALUE"""),0.999)</f>
        <v>0.999</v>
      </c>
      <c r="E2437" s="16">
        <f>IFERROR(__xludf.DUMMYFUNCTION("""COMPUTED_VALUE"""),70.0)</f>
        <v>70</v>
      </c>
      <c r="F2437" s="19" t="str">
        <f>IFERROR(__xludf.DUMMYFUNCTION("""COMPUTED_VALUE"""),"BLUE")</f>
        <v>BLUE</v>
      </c>
      <c r="G2437" s="20" t="str">
        <f>IFERROR(__xludf.DUMMYFUNCTION("""COMPUTED_VALUE"""),"Uncle Sams Cider (04/04/2023)")</f>
        <v>Uncle Sams Cider (04/04/2023)</v>
      </c>
      <c r="H2437" s="19"/>
    </row>
    <row r="2438">
      <c r="A2438" s="9"/>
      <c r="B2438" s="15"/>
      <c r="C2438" s="9">
        <f>IFERROR(__xludf.DUMMYFUNCTION("""COMPUTED_VALUE"""),45119.0546183449)</f>
        <v>45119.05462</v>
      </c>
      <c r="D2438" s="15">
        <f>IFERROR(__xludf.DUMMYFUNCTION("""COMPUTED_VALUE"""),0.999)</f>
        <v>0.999</v>
      </c>
      <c r="E2438" s="16">
        <f>IFERROR(__xludf.DUMMYFUNCTION("""COMPUTED_VALUE"""),70.0)</f>
        <v>70</v>
      </c>
      <c r="F2438" s="19" t="str">
        <f>IFERROR(__xludf.DUMMYFUNCTION("""COMPUTED_VALUE"""),"BLUE")</f>
        <v>BLUE</v>
      </c>
      <c r="G2438" s="20" t="str">
        <f>IFERROR(__xludf.DUMMYFUNCTION("""COMPUTED_VALUE"""),"Uncle Sams Cider (04/04/2023)")</f>
        <v>Uncle Sams Cider (04/04/2023)</v>
      </c>
      <c r="H2438" s="19"/>
    </row>
    <row r="2439">
      <c r="A2439" s="9"/>
      <c r="B2439" s="15"/>
      <c r="C2439" s="9">
        <f>IFERROR(__xludf.DUMMYFUNCTION("""COMPUTED_VALUE"""),45119.0441952083)</f>
        <v>45119.0442</v>
      </c>
      <c r="D2439" s="15">
        <f>IFERROR(__xludf.DUMMYFUNCTION("""COMPUTED_VALUE"""),0.999)</f>
        <v>0.999</v>
      </c>
      <c r="E2439" s="16">
        <f>IFERROR(__xludf.DUMMYFUNCTION("""COMPUTED_VALUE"""),70.0)</f>
        <v>70</v>
      </c>
      <c r="F2439" s="19" t="str">
        <f>IFERROR(__xludf.DUMMYFUNCTION("""COMPUTED_VALUE"""),"BLUE")</f>
        <v>BLUE</v>
      </c>
      <c r="G2439" s="20" t="str">
        <f>IFERROR(__xludf.DUMMYFUNCTION("""COMPUTED_VALUE"""),"Uncle Sams Cider (04/04/2023)")</f>
        <v>Uncle Sams Cider (04/04/2023)</v>
      </c>
      <c r="H2439" s="19"/>
    </row>
    <row r="2440">
      <c r="A2440" s="9"/>
      <c r="B2440" s="15"/>
      <c r="C2440" s="9">
        <f>IFERROR(__xludf.DUMMYFUNCTION("""COMPUTED_VALUE"""),45119.0337640277)</f>
        <v>45119.03376</v>
      </c>
      <c r="D2440" s="15">
        <f>IFERROR(__xludf.DUMMYFUNCTION("""COMPUTED_VALUE"""),0.999)</f>
        <v>0.999</v>
      </c>
      <c r="E2440" s="16">
        <f>IFERROR(__xludf.DUMMYFUNCTION("""COMPUTED_VALUE"""),70.0)</f>
        <v>70</v>
      </c>
      <c r="F2440" s="19" t="str">
        <f>IFERROR(__xludf.DUMMYFUNCTION("""COMPUTED_VALUE"""),"BLUE")</f>
        <v>BLUE</v>
      </c>
      <c r="G2440" s="20" t="str">
        <f>IFERROR(__xludf.DUMMYFUNCTION("""COMPUTED_VALUE"""),"Uncle Sams Cider (04/04/2023)")</f>
        <v>Uncle Sams Cider (04/04/2023)</v>
      </c>
      <c r="H2440" s="19"/>
    </row>
    <row r="2441">
      <c r="A2441" s="9"/>
      <c r="B2441" s="15"/>
      <c r="C2441" s="9">
        <f>IFERROR(__xludf.DUMMYFUNCTION("""COMPUTED_VALUE"""),45119.0233305787)</f>
        <v>45119.02333</v>
      </c>
      <c r="D2441" s="15">
        <f>IFERROR(__xludf.DUMMYFUNCTION("""COMPUTED_VALUE"""),0.999)</f>
        <v>0.999</v>
      </c>
      <c r="E2441" s="16">
        <f>IFERROR(__xludf.DUMMYFUNCTION("""COMPUTED_VALUE"""),70.0)</f>
        <v>70</v>
      </c>
      <c r="F2441" s="19" t="str">
        <f>IFERROR(__xludf.DUMMYFUNCTION("""COMPUTED_VALUE"""),"BLUE")</f>
        <v>BLUE</v>
      </c>
      <c r="G2441" s="20" t="str">
        <f>IFERROR(__xludf.DUMMYFUNCTION("""COMPUTED_VALUE"""),"Uncle Sams Cider (04/04/2023)")</f>
        <v>Uncle Sams Cider (04/04/2023)</v>
      </c>
      <c r="H2441" s="19"/>
    </row>
    <row r="2442">
      <c r="A2442" s="9"/>
      <c r="B2442" s="15"/>
      <c r="C2442" s="9">
        <f>IFERROR(__xludf.DUMMYFUNCTION("""COMPUTED_VALUE"""),45119.0128868518)</f>
        <v>45119.01289</v>
      </c>
      <c r="D2442" s="15">
        <f>IFERROR(__xludf.DUMMYFUNCTION("""COMPUTED_VALUE"""),0.999)</f>
        <v>0.999</v>
      </c>
      <c r="E2442" s="16">
        <f>IFERROR(__xludf.DUMMYFUNCTION("""COMPUTED_VALUE"""),70.0)</f>
        <v>70</v>
      </c>
      <c r="F2442" s="19" t="str">
        <f>IFERROR(__xludf.DUMMYFUNCTION("""COMPUTED_VALUE"""),"BLUE")</f>
        <v>BLUE</v>
      </c>
      <c r="G2442" s="20" t="str">
        <f>IFERROR(__xludf.DUMMYFUNCTION("""COMPUTED_VALUE"""),"Uncle Sams Cider (04/04/2023)")</f>
        <v>Uncle Sams Cider (04/04/2023)</v>
      </c>
      <c r="H2442" s="19"/>
    </row>
    <row r="2443">
      <c r="A2443" s="9"/>
      <c r="B2443" s="15"/>
      <c r="C2443" s="9">
        <f>IFERROR(__xludf.DUMMYFUNCTION("""COMPUTED_VALUE"""),45119.0024653009)</f>
        <v>45119.00247</v>
      </c>
      <c r="D2443" s="15">
        <f>IFERROR(__xludf.DUMMYFUNCTION("""COMPUTED_VALUE"""),0.999)</f>
        <v>0.999</v>
      </c>
      <c r="E2443" s="16">
        <f>IFERROR(__xludf.DUMMYFUNCTION("""COMPUTED_VALUE"""),70.0)</f>
        <v>70</v>
      </c>
      <c r="F2443" s="19" t="str">
        <f>IFERROR(__xludf.DUMMYFUNCTION("""COMPUTED_VALUE"""),"BLUE")</f>
        <v>BLUE</v>
      </c>
      <c r="G2443" s="20" t="str">
        <f>IFERROR(__xludf.DUMMYFUNCTION("""COMPUTED_VALUE"""),"Uncle Sams Cider (04/04/2023)")</f>
        <v>Uncle Sams Cider (04/04/2023)</v>
      </c>
      <c r="H2443" s="19"/>
    </row>
    <row r="2444">
      <c r="A2444" s="9"/>
      <c r="B2444" s="15"/>
      <c r="C2444" s="9">
        <f>IFERROR(__xludf.DUMMYFUNCTION("""COMPUTED_VALUE"""),45118.9920426273)</f>
        <v>45118.99204</v>
      </c>
      <c r="D2444" s="15">
        <f>IFERROR(__xludf.DUMMYFUNCTION("""COMPUTED_VALUE"""),0.999)</f>
        <v>0.999</v>
      </c>
      <c r="E2444" s="16">
        <f>IFERROR(__xludf.DUMMYFUNCTION("""COMPUTED_VALUE"""),70.0)</f>
        <v>70</v>
      </c>
      <c r="F2444" s="19" t="str">
        <f>IFERROR(__xludf.DUMMYFUNCTION("""COMPUTED_VALUE"""),"BLUE")</f>
        <v>BLUE</v>
      </c>
      <c r="G2444" s="20" t="str">
        <f>IFERROR(__xludf.DUMMYFUNCTION("""COMPUTED_VALUE"""),"Uncle Sams Cider (04/04/2023)")</f>
        <v>Uncle Sams Cider (04/04/2023)</v>
      </c>
      <c r="H2444" s="19"/>
    </row>
    <row r="2445">
      <c r="A2445" s="9"/>
      <c r="B2445" s="15"/>
      <c r="C2445" s="9">
        <f>IFERROR(__xludf.DUMMYFUNCTION("""COMPUTED_VALUE"""),45118.9816219328)</f>
        <v>45118.98162</v>
      </c>
      <c r="D2445" s="15">
        <f>IFERROR(__xludf.DUMMYFUNCTION("""COMPUTED_VALUE"""),0.999)</f>
        <v>0.999</v>
      </c>
      <c r="E2445" s="16">
        <f>IFERROR(__xludf.DUMMYFUNCTION("""COMPUTED_VALUE"""),70.0)</f>
        <v>70</v>
      </c>
      <c r="F2445" s="19" t="str">
        <f>IFERROR(__xludf.DUMMYFUNCTION("""COMPUTED_VALUE"""),"BLUE")</f>
        <v>BLUE</v>
      </c>
      <c r="G2445" s="20" t="str">
        <f>IFERROR(__xludf.DUMMYFUNCTION("""COMPUTED_VALUE"""),"Uncle Sams Cider (04/04/2023)")</f>
        <v>Uncle Sams Cider (04/04/2023)</v>
      </c>
      <c r="H2445" s="19"/>
    </row>
    <row r="2446">
      <c r="A2446" s="9"/>
      <c r="B2446" s="15"/>
      <c r="C2446" s="9">
        <f>IFERROR(__xludf.DUMMYFUNCTION("""COMPUTED_VALUE"""),45118.971199618)</f>
        <v>45118.9712</v>
      </c>
      <c r="D2446" s="15">
        <f>IFERROR(__xludf.DUMMYFUNCTION("""COMPUTED_VALUE"""),0.999)</f>
        <v>0.999</v>
      </c>
      <c r="E2446" s="16">
        <f>IFERROR(__xludf.DUMMYFUNCTION("""COMPUTED_VALUE"""),70.0)</f>
        <v>70</v>
      </c>
      <c r="F2446" s="19" t="str">
        <f>IFERROR(__xludf.DUMMYFUNCTION("""COMPUTED_VALUE"""),"BLUE")</f>
        <v>BLUE</v>
      </c>
      <c r="G2446" s="20" t="str">
        <f>IFERROR(__xludf.DUMMYFUNCTION("""COMPUTED_VALUE"""),"Uncle Sams Cider (04/04/2023)")</f>
        <v>Uncle Sams Cider (04/04/2023)</v>
      </c>
      <c r="H2446" s="19"/>
    </row>
    <row r="2447">
      <c r="A2447" s="9"/>
      <c r="B2447" s="15"/>
      <c r="C2447" s="9">
        <f>IFERROR(__xludf.DUMMYFUNCTION("""COMPUTED_VALUE"""),45118.9607774189)</f>
        <v>45118.96078</v>
      </c>
      <c r="D2447" s="15">
        <f>IFERROR(__xludf.DUMMYFUNCTION("""COMPUTED_VALUE"""),0.999)</f>
        <v>0.999</v>
      </c>
      <c r="E2447" s="16">
        <f>IFERROR(__xludf.DUMMYFUNCTION("""COMPUTED_VALUE"""),70.0)</f>
        <v>70</v>
      </c>
      <c r="F2447" s="19" t="str">
        <f>IFERROR(__xludf.DUMMYFUNCTION("""COMPUTED_VALUE"""),"BLUE")</f>
        <v>BLUE</v>
      </c>
      <c r="G2447" s="20" t="str">
        <f>IFERROR(__xludf.DUMMYFUNCTION("""COMPUTED_VALUE"""),"Uncle Sams Cider (04/04/2023)")</f>
        <v>Uncle Sams Cider (04/04/2023)</v>
      </c>
      <c r="H2447" s="19"/>
    </row>
    <row r="2448">
      <c r="A2448" s="9"/>
      <c r="B2448" s="15"/>
      <c r="C2448" s="9">
        <f>IFERROR(__xludf.DUMMYFUNCTION("""COMPUTED_VALUE"""),45118.9503340046)</f>
        <v>45118.95033</v>
      </c>
      <c r="D2448" s="15">
        <f>IFERROR(__xludf.DUMMYFUNCTION("""COMPUTED_VALUE"""),0.999)</f>
        <v>0.999</v>
      </c>
      <c r="E2448" s="16">
        <f>IFERROR(__xludf.DUMMYFUNCTION("""COMPUTED_VALUE"""),70.0)</f>
        <v>70</v>
      </c>
      <c r="F2448" s="19" t="str">
        <f>IFERROR(__xludf.DUMMYFUNCTION("""COMPUTED_VALUE"""),"BLUE")</f>
        <v>BLUE</v>
      </c>
      <c r="G2448" s="20" t="str">
        <f>IFERROR(__xludf.DUMMYFUNCTION("""COMPUTED_VALUE"""),"Uncle Sams Cider (04/04/2023)")</f>
        <v>Uncle Sams Cider (04/04/2023)</v>
      </c>
      <c r="H2448" s="19"/>
    </row>
    <row r="2449">
      <c r="A2449" s="9"/>
      <c r="B2449" s="15"/>
      <c r="C2449" s="9">
        <f>IFERROR(__xludf.DUMMYFUNCTION("""COMPUTED_VALUE"""),45118.9399127662)</f>
        <v>45118.93991</v>
      </c>
      <c r="D2449" s="15">
        <f>IFERROR(__xludf.DUMMYFUNCTION("""COMPUTED_VALUE"""),0.999)</f>
        <v>0.999</v>
      </c>
      <c r="E2449" s="16">
        <f>IFERROR(__xludf.DUMMYFUNCTION("""COMPUTED_VALUE"""),70.0)</f>
        <v>70</v>
      </c>
      <c r="F2449" s="19" t="str">
        <f>IFERROR(__xludf.DUMMYFUNCTION("""COMPUTED_VALUE"""),"BLUE")</f>
        <v>BLUE</v>
      </c>
      <c r="G2449" s="20" t="str">
        <f>IFERROR(__xludf.DUMMYFUNCTION("""COMPUTED_VALUE"""),"Uncle Sams Cider (04/04/2023)")</f>
        <v>Uncle Sams Cider (04/04/2023)</v>
      </c>
      <c r="H2449" s="19"/>
    </row>
    <row r="2450">
      <c r="A2450" s="9"/>
      <c r="B2450" s="15"/>
      <c r="C2450" s="9">
        <f>IFERROR(__xludf.DUMMYFUNCTION("""COMPUTED_VALUE"""),45118.9294928009)</f>
        <v>45118.92949</v>
      </c>
      <c r="D2450" s="15">
        <f>IFERROR(__xludf.DUMMYFUNCTION("""COMPUTED_VALUE"""),0.999)</f>
        <v>0.999</v>
      </c>
      <c r="E2450" s="16">
        <f>IFERROR(__xludf.DUMMYFUNCTION("""COMPUTED_VALUE"""),70.0)</f>
        <v>70</v>
      </c>
      <c r="F2450" s="19" t="str">
        <f>IFERROR(__xludf.DUMMYFUNCTION("""COMPUTED_VALUE"""),"BLUE")</f>
        <v>BLUE</v>
      </c>
      <c r="G2450" s="20" t="str">
        <f>IFERROR(__xludf.DUMMYFUNCTION("""COMPUTED_VALUE"""),"Uncle Sams Cider (04/04/2023)")</f>
        <v>Uncle Sams Cider (04/04/2023)</v>
      </c>
      <c r="H2450" s="19"/>
    </row>
    <row r="2451">
      <c r="A2451" s="9"/>
      <c r="B2451" s="15"/>
      <c r="C2451" s="9">
        <f>IFERROR(__xludf.DUMMYFUNCTION("""COMPUTED_VALUE"""),45118.9190699999)</f>
        <v>45118.91907</v>
      </c>
      <c r="D2451" s="15">
        <f>IFERROR(__xludf.DUMMYFUNCTION("""COMPUTED_VALUE"""),0.999)</f>
        <v>0.999</v>
      </c>
      <c r="E2451" s="16">
        <f>IFERROR(__xludf.DUMMYFUNCTION("""COMPUTED_VALUE"""),70.0)</f>
        <v>70</v>
      </c>
      <c r="F2451" s="19" t="str">
        <f>IFERROR(__xludf.DUMMYFUNCTION("""COMPUTED_VALUE"""),"BLUE")</f>
        <v>BLUE</v>
      </c>
      <c r="G2451" s="20" t="str">
        <f>IFERROR(__xludf.DUMMYFUNCTION("""COMPUTED_VALUE"""),"Uncle Sams Cider (04/04/2023)")</f>
        <v>Uncle Sams Cider (04/04/2023)</v>
      </c>
      <c r="H2451" s="19"/>
    </row>
    <row r="2452">
      <c r="A2452" s="9"/>
      <c r="B2452" s="15"/>
      <c r="C2452" s="9">
        <f>IFERROR(__xludf.DUMMYFUNCTION("""COMPUTED_VALUE"""),45118.908651412)</f>
        <v>45118.90865</v>
      </c>
      <c r="D2452" s="15">
        <f>IFERROR(__xludf.DUMMYFUNCTION("""COMPUTED_VALUE"""),0.999)</f>
        <v>0.999</v>
      </c>
      <c r="E2452" s="16">
        <f>IFERROR(__xludf.DUMMYFUNCTION("""COMPUTED_VALUE"""),70.0)</f>
        <v>70</v>
      </c>
      <c r="F2452" s="19" t="str">
        <f>IFERROR(__xludf.DUMMYFUNCTION("""COMPUTED_VALUE"""),"BLUE")</f>
        <v>BLUE</v>
      </c>
      <c r="G2452" s="20" t="str">
        <f>IFERROR(__xludf.DUMMYFUNCTION("""COMPUTED_VALUE"""),"Uncle Sams Cider (04/04/2023)")</f>
        <v>Uncle Sams Cider (04/04/2023)</v>
      </c>
      <c r="H2452" s="19"/>
    </row>
    <row r="2453">
      <c r="A2453" s="9"/>
      <c r="B2453" s="15"/>
      <c r="C2453" s="9">
        <f>IFERROR(__xludf.DUMMYFUNCTION("""COMPUTED_VALUE"""),45118.8982310648)</f>
        <v>45118.89823</v>
      </c>
      <c r="D2453" s="15">
        <f>IFERROR(__xludf.DUMMYFUNCTION("""COMPUTED_VALUE"""),0.999)</f>
        <v>0.999</v>
      </c>
      <c r="E2453" s="16">
        <f>IFERROR(__xludf.DUMMYFUNCTION("""COMPUTED_VALUE"""),70.0)</f>
        <v>70</v>
      </c>
      <c r="F2453" s="19" t="str">
        <f>IFERROR(__xludf.DUMMYFUNCTION("""COMPUTED_VALUE"""),"BLUE")</f>
        <v>BLUE</v>
      </c>
      <c r="G2453" s="20" t="str">
        <f>IFERROR(__xludf.DUMMYFUNCTION("""COMPUTED_VALUE"""),"Uncle Sams Cider (04/04/2023)")</f>
        <v>Uncle Sams Cider (04/04/2023)</v>
      </c>
      <c r="H2453" s="19"/>
    </row>
    <row r="2454">
      <c r="A2454" s="9"/>
      <c r="B2454" s="15"/>
      <c r="C2454" s="9">
        <f>IFERROR(__xludf.DUMMYFUNCTION("""COMPUTED_VALUE"""),45118.8878111689)</f>
        <v>45118.88781</v>
      </c>
      <c r="D2454" s="15">
        <f>IFERROR(__xludf.DUMMYFUNCTION("""COMPUTED_VALUE"""),0.999)</f>
        <v>0.999</v>
      </c>
      <c r="E2454" s="16">
        <f>IFERROR(__xludf.DUMMYFUNCTION("""COMPUTED_VALUE"""),70.0)</f>
        <v>70</v>
      </c>
      <c r="F2454" s="19" t="str">
        <f>IFERROR(__xludf.DUMMYFUNCTION("""COMPUTED_VALUE"""),"BLUE")</f>
        <v>BLUE</v>
      </c>
      <c r="G2454" s="20" t="str">
        <f>IFERROR(__xludf.DUMMYFUNCTION("""COMPUTED_VALUE"""),"Uncle Sams Cider (04/04/2023)")</f>
        <v>Uncle Sams Cider (04/04/2023)</v>
      </c>
      <c r="H2454" s="19"/>
    </row>
    <row r="2455">
      <c r="A2455" s="9"/>
      <c r="B2455" s="15"/>
      <c r="C2455" s="9">
        <f>IFERROR(__xludf.DUMMYFUNCTION("""COMPUTED_VALUE"""),45118.8773917824)</f>
        <v>45118.87739</v>
      </c>
      <c r="D2455" s="15">
        <f>IFERROR(__xludf.DUMMYFUNCTION("""COMPUTED_VALUE"""),0.999)</f>
        <v>0.999</v>
      </c>
      <c r="E2455" s="16">
        <f>IFERROR(__xludf.DUMMYFUNCTION("""COMPUTED_VALUE"""),70.0)</f>
        <v>70</v>
      </c>
      <c r="F2455" s="19" t="str">
        <f>IFERROR(__xludf.DUMMYFUNCTION("""COMPUTED_VALUE"""),"BLUE")</f>
        <v>BLUE</v>
      </c>
      <c r="G2455" s="20" t="str">
        <f>IFERROR(__xludf.DUMMYFUNCTION("""COMPUTED_VALUE"""),"Uncle Sams Cider (04/04/2023)")</f>
        <v>Uncle Sams Cider (04/04/2023)</v>
      </c>
      <c r="H2455" s="19"/>
    </row>
    <row r="2456">
      <c r="A2456" s="9"/>
      <c r="B2456" s="15"/>
      <c r="C2456" s="9">
        <f>IFERROR(__xludf.DUMMYFUNCTION("""COMPUTED_VALUE"""),45118.8669585532)</f>
        <v>45118.86696</v>
      </c>
      <c r="D2456" s="15">
        <f>IFERROR(__xludf.DUMMYFUNCTION("""COMPUTED_VALUE"""),0.999)</f>
        <v>0.999</v>
      </c>
      <c r="E2456" s="16">
        <f>IFERROR(__xludf.DUMMYFUNCTION("""COMPUTED_VALUE"""),70.0)</f>
        <v>70</v>
      </c>
      <c r="F2456" s="19" t="str">
        <f>IFERROR(__xludf.DUMMYFUNCTION("""COMPUTED_VALUE"""),"BLUE")</f>
        <v>BLUE</v>
      </c>
      <c r="G2456" s="20" t="str">
        <f>IFERROR(__xludf.DUMMYFUNCTION("""COMPUTED_VALUE"""),"Uncle Sams Cider (04/04/2023)")</f>
        <v>Uncle Sams Cider (04/04/2023)</v>
      </c>
      <c r="H2456" s="19"/>
    </row>
    <row r="2457">
      <c r="A2457" s="9"/>
      <c r="B2457" s="15"/>
      <c r="C2457" s="9">
        <f>IFERROR(__xludf.DUMMYFUNCTION("""COMPUTED_VALUE"""),45118.8565380787)</f>
        <v>45118.85654</v>
      </c>
      <c r="D2457" s="15">
        <f>IFERROR(__xludf.DUMMYFUNCTION("""COMPUTED_VALUE"""),0.999)</f>
        <v>0.999</v>
      </c>
      <c r="E2457" s="16">
        <f>IFERROR(__xludf.DUMMYFUNCTION("""COMPUTED_VALUE"""),70.0)</f>
        <v>70</v>
      </c>
      <c r="F2457" s="19" t="str">
        <f>IFERROR(__xludf.DUMMYFUNCTION("""COMPUTED_VALUE"""),"BLUE")</f>
        <v>BLUE</v>
      </c>
      <c r="G2457" s="20" t="str">
        <f>IFERROR(__xludf.DUMMYFUNCTION("""COMPUTED_VALUE"""),"Uncle Sams Cider (04/04/2023)")</f>
        <v>Uncle Sams Cider (04/04/2023)</v>
      </c>
      <c r="H2457" s="19"/>
    </row>
    <row r="2458">
      <c r="A2458" s="9"/>
      <c r="B2458" s="15"/>
      <c r="C2458" s="9">
        <f>IFERROR(__xludf.DUMMYFUNCTION("""COMPUTED_VALUE"""),45118.846117662)</f>
        <v>45118.84612</v>
      </c>
      <c r="D2458" s="15">
        <f>IFERROR(__xludf.DUMMYFUNCTION("""COMPUTED_VALUE"""),0.999)</f>
        <v>0.999</v>
      </c>
      <c r="E2458" s="16">
        <f>IFERROR(__xludf.DUMMYFUNCTION("""COMPUTED_VALUE"""),70.0)</f>
        <v>70</v>
      </c>
      <c r="F2458" s="19" t="str">
        <f>IFERROR(__xludf.DUMMYFUNCTION("""COMPUTED_VALUE"""),"BLUE")</f>
        <v>BLUE</v>
      </c>
      <c r="G2458" s="20" t="str">
        <f>IFERROR(__xludf.DUMMYFUNCTION("""COMPUTED_VALUE"""),"Uncle Sams Cider (04/04/2023)")</f>
        <v>Uncle Sams Cider (04/04/2023)</v>
      </c>
      <c r="H2458" s="19"/>
    </row>
    <row r="2459">
      <c r="A2459" s="9"/>
      <c r="B2459" s="15"/>
      <c r="C2459" s="9">
        <f>IFERROR(__xludf.DUMMYFUNCTION("""COMPUTED_VALUE"""),45118.83569625)</f>
        <v>45118.8357</v>
      </c>
      <c r="D2459" s="15">
        <f>IFERROR(__xludf.DUMMYFUNCTION("""COMPUTED_VALUE"""),0.999)</f>
        <v>0.999</v>
      </c>
      <c r="E2459" s="16">
        <f>IFERROR(__xludf.DUMMYFUNCTION("""COMPUTED_VALUE"""),70.0)</f>
        <v>70</v>
      </c>
      <c r="F2459" s="19" t="str">
        <f>IFERROR(__xludf.DUMMYFUNCTION("""COMPUTED_VALUE"""),"BLUE")</f>
        <v>BLUE</v>
      </c>
      <c r="G2459" s="20" t="str">
        <f>IFERROR(__xludf.DUMMYFUNCTION("""COMPUTED_VALUE"""),"Uncle Sams Cider (04/04/2023)")</f>
        <v>Uncle Sams Cider (04/04/2023)</v>
      </c>
      <c r="H2459" s="19"/>
    </row>
    <row r="2460">
      <c r="A2460" s="9"/>
      <c r="B2460" s="15"/>
      <c r="C2460" s="9">
        <f>IFERROR(__xludf.DUMMYFUNCTION("""COMPUTED_VALUE"""),45118.8252761458)</f>
        <v>45118.82528</v>
      </c>
      <c r="D2460" s="15">
        <f>IFERROR(__xludf.DUMMYFUNCTION("""COMPUTED_VALUE"""),0.999)</f>
        <v>0.999</v>
      </c>
      <c r="E2460" s="16">
        <f>IFERROR(__xludf.DUMMYFUNCTION("""COMPUTED_VALUE"""),70.0)</f>
        <v>70</v>
      </c>
      <c r="F2460" s="19" t="str">
        <f>IFERROR(__xludf.DUMMYFUNCTION("""COMPUTED_VALUE"""),"BLUE")</f>
        <v>BLUE</v>
      </c>
      <c r="G2460" s="20" t="str">
        <f>IFERROR(__xludf.DUMMYFUNCTION("""COMPUTED_VALUE"""),"Uncle Sams Cider (04/04/2023)")</f>
        <v>Uncle Sams Cider (04/04/2023)</v>
      </c>
      <c r="H2460" s="19"/>
    </row>
    <row r="2461">
      <c r="A2461" s="9"/>
      <c r="B2461" s="15"/>
      <c r="C2461" s="9">
        <f>IFERROR(__xludf.DUMMYFUNCTION("""COMPUTED_VALUE"""),45118.8148550578)</f>
        <v>45118.81486</v>
      </c>
      <c r="D2461" s="15">
        <f>IFERROR(__xludf.DUMMYFUNCTION("""COMPUTED_VALUE"""),0.999)</f>
        <v>0.999</v>
      </c>
      <c r="E2461" s="16">
        <f>IFERROR(__xludf.DUMMYFUNCTION("""COMPUTED_VALUE"""),70.0)</f>
        <v>70</v>
      </c>
      <c r="F2461" s="19" t="str">
        <f>IFERROR(__xludf.DUMMYFUNCTION("""COMPUTED_VALUE"""),"BLUE")</f>
        <v>BLUE</v>
      </c>
      <c r="G2461" s="20" t="str">
        <f>IFERROR(__xludf.DUMMYFUNCTION("""COMPUTED_VALUE"""),"Uncle Sams Cider (04/04/2023)")</f>
        <v>Uncle Sams Cider (04/04/2023)</v>
      </c>
      <c r="H2461" s="19"/>
    </row>
    <row r="2462">
      <c r="A2462" s="9"/>
      <c r="B2462" s="15"/>
      <c r="C2462" s="9">
        <f>IFERROR(__xludf.DUMMYFUNCTION("""COMPUTED_VALUE"""),45118.8044230324)</f>
        <v>45118.80442</v>
      </c>
      <c r="D2462" s="15">
        <f>IFERROR(__xludf.DUMMYFUNCTION("""COMPUTED_VALUE"""),0.999)</f>
        <v>0.999</v>
      </c>
      <c r="E2462" s="16">
        <f>IFERROR(__xludf.DUMMYFUNCTION("""COMPUTED_VALUE"""),70.0)</f>
        <v>70</v>
      </c>
      <c r="F2462" s="19" t="str">
        <f>IFERROR(__xludf.DUMMYFUNCTION("""COMPUTED_VALUE"""),"BLUE")</f>
        <v>BLUE</v>
      </c>
      <c r="G2462" s="20" t="str">
        <f>IFERROR(__xludf.DUMMYFUNCTION("""COMPUTED_VALUE"""),"Uncle Sams Cider (04/04/2023)")</f>
        <v>Uncle Sams Cider (04/04/2023)</v>
      </c>
      <c r="H2462" s="19"/>
    </row>
    <row r="2463">
      <c r="A2463" s="9"/>
      <c r="B2463" s="15"/>
      <c r="C2463" s="9">
        <f>IFERROR(__xludf.DUMMYFUNCTION("""COMPUTED_VALUE"""),45118.7940023842)</f>
        <v>45118.794</v>
      </c>
      <c r="D2463" s="15">
        <f>IFERROR(__xludf.DUMMYFUNCTION("""COMPUTED_VALUE"""),0.999)</f>
        <v>0.999</v>
      </c>
      <c r="E2463" s="16">
        <f>IFERROR(__xludf.DUMMYFUNCTION("""COMPUTED_VALUE"""),70.0)</f>
        <v>70</v>
      </c>
      <c r="F2463" s="19" t="str">
        <f>IFERROR(__xludf.DUMMYFUNCTION("""COMPUTED_VALUE"""),"BLUE")</f>
        <v>BLUE</v>
      </c>
      <c r="G2463" s="20" t="str">
        <f>IFERROR(__xludf.DUMMYFUNCTION("""COMPUTED_VALUE"""),"Uncle Sams Cider (04/04/2023)")</f>
        <v>Uncle Sams Cider (04/04/2023)</v>
      </c>
      <c r="H2463" s="19"/>
    </row>
    <row r="2464">
      <c r="A2464" s="9"/>
      <c r="B2464" s="15"/>
      <c r="C2464" s="9">
        <f>IFERROR(__xludf.DUMMYFUNCTION("""COMPUTED_VALUE"""),45118.7835830902)</f>
        <v>45118.78358</v>
      </c>
      <c r="D2464" s="15">
        <f>IFERROR(__xludf.DUMMYFUNCTION("""COMPUTED_VALUE"""),0.999)</f>
        <v>0.999</v>
      </c>
      <c r="E2464" s="16">
        <f>IFERROR(__xludf.DUMMYFUNCTION("""COMPUTED_VALUE"""),70.0)</f>
        <v>70</v>
      </c>
      <c r="F2464" s="19" t="str">
        <f>IFERROR(__xludf.DUMMYFUNCTION("""COMPUTED_VALUE"""),"BLUE")</f>
        <v>BLUE</v>
      </c>
      <c r="G2464" s="20" t="str">
        <f>IFERROR(__xludf.DUMMYFUNCTION("""COMPUTED_VALUE"""),"Uncle Sams Cider (04/04/2023)")</f>
        <v>Uncle Sams Cider (04/04/2023)</v>
      </c>
      <c r="H2464" s="19"/>
    </row>
    <row r="2465">
      <c r="A2465" s="9"/>
      <c r="B2465" s="15"/>
      <c r="C2465" s="9">
        <f>IFERROR(__xludf.DUMMYFUNCTION("""COMPUTED_VALUE"""),45118.7731513426)</f>
        <v>45118.77315</v>
      </c>
      <c r="D2465" s="15">
        <f>IFERROR(__xludf.DUMMYFUNCTION("""COMPUTED_VALUE"""),0.999)</f>
        <v>0.999</v>
      </c>
      <c r="E2465" s="16">
        <f>IFERROR(__xludf.DUMMYFUNCTION("""COMPUTED_VALUE"""),70.0)</f>
        <v>70</v>
      </c>
      <c r="F2465" s="19" t="str">
        <f>IFERROR(__xludf.DUMMYFUNCTION("""COMPUTED_VALUE"""),"BLUE")</f>
        <v>BLUE</v>
      </c>
      <c r="G2465" s="20" t="str">
        <f>IFERROR(__xludf.DUMMYFUNCTION("""COMPUTED_VALUE"""),"Uncle Sams Cider (04/04/2023)")</f>
        <v>Uncle Sams Cider (04/04/2023)</v>
      </c>
      <c r="H2465" s="19"/>
    </row>
    <row r="2466">
      <c r="A2466" s="9"/>
      <c r="B2466" s="15"/>
      <c r="C2466" s="9">
        <f>IFERROR(__xludf.DUMMYFUNCTION("""COMPUTED_VALUE"""),45118.7627303009)</f>
        <v>45118.76273</v>
      </c>
      <c r="D2466" s="15">
        <f>IFERROR(__xludf.DUMMYFUNCTION("""COMPUTED_VALUE"""),0.999)</f>
        <v>0.999</v>
      </c>
      <c r="E2466" s="16">
        <f>IFERROR(__xludf.DUMMYFUNCTION("""COMPUTED_VALUE"""),70.0)</f>
        <v>70</v>
      </c>
      <c r="F2466" s="19" t="str">
        <f>IFERROR(__xludf.DUMMYFUNCTION("""COMPUTED_VALUE"""),"BLUE")</f>
        <v>BLUE</v>
      </c>
      <c r="G2466" s="20" t="str">
        <f>IFERROR(__xludf.DUMMYFUNCTION("""COMPUTED_VALUE"""),"Uncle Sams Cider (04/04/2023)")</f>
        <v>Uncle Sams Cider (04/04/2023)</v>
      </c>
      <c r="H2466" s="19"/>
    </row>
    <row r="2467">
      <c r="A2467" s="9"/>
      <c r="B2467" s="15"/>
      <c r="C2467" s="9">
        <f>IFERROR(__xludf.DUMMYFUNCTION("""COMPUTED_VALUE"""),45118.7522868055)</f>
        <v>45118.75229</v>
      </c>
      <c r="D2467" s="15">
        <f>IFERROR(__xludf.DUMMYFUNCTION("""COMPUTED_VALUE"""),0.999)</f>
        <v>0.999</v>
      </c>
      <c r="E2467" s="16">
        <f>IFERROR(__xludf.DUMMYFUNCTION("""COMPUTED_VALUE"""),70.0)</f>
        <v>70</v>
      </c>
      <c r="F2467" s="19" t="str">
        <f>IFERROR(__xludf.DUMMYFUNCTION("""COMPUTED_VALUE"""),"BLUE")</f>
        <v>BLUE</v>
      </c>
      <c r="G2467" s="20" t="str">
        <f>IFERROR(__xludf.DUMMYFUNCTION("""COMPUTED_VALUE"""),"Uncle Sams Cider (04/04/2023)")</f>
        <v>Uncle Sams Cider (04/04/2023)</v>
      </c>
      <c r="H2467" s="19"/>
    </row>
    <row r="2468">
      <c r="A2468" s="9"/>
      <c r="B2468" s="15"/>
      <c r="C2468" s="9">
        <f>IFERROR(__xludf.DUMMYFUNCTION("""COMPUTED_VALUE"""),45118.7418653819)</f>
        <v>45118.74187</v>
      </c>
      <c r="D2468" s="15">
        <f>IFERROR(__xludf.DUMMYFUNCTION("""COMPUTED_VALUE"""),0.999)</f>
        <v>0.999</v>
      </c>
      <c r="E2468" s="16">
        <f>IFERROR(__xludf.DUMMYFUNCTION("""COMPUTED_VALUE"""),70.0)</f>
        <v>70</v>
      </c>
      <c r="F2468" s="19" t="str">
        <f>IFERROR(__xludf.DUMMYFUNCTION("""COMPUTED_VALUE"""),"BLUE")</f>
        <v>BLUE</v>
      </c>
      <c r="G2468" s="20" t="str">
        <f>IFERROR(__xludf.DUMMYFUNCTION("""COMPUTED_VALUE"""),"Uncle Sams Cider (04/04/2023)")</f>
        <v>Uncle Sams Cider (04/04/2023)</v>
      </c>
      <c r="H2468" s="19"/>
    </row>
    <row r="2469">
      <c r="A2469" s="9"/>
      <c r="B2469" s="15"/>
      <c r="C2469" s="9">
        <f>IFERROR(__xludf.DUMMYFUNCTION("""COMPUTED_VALUE"""),45118.731444074)</f>
        <v>45118.73144</v>
      </c>
      <c r="D2469" s="15">
        <f>IFERROR(__xludf.DUMMYFUNCTION("""COMPUTED_VALUE"""),0.999)</f>
        <v>0.999</v>
      </c>
      <c r="E2469" s="16">
        <f>IFERROR(__xludf.DUMMYFUNCTION("""COMPUTED_VALUE"""),70.0)</f>
        <v>70</v>
      </c>
      <c r="F2469" s="19" t="str">
        <f>IFERROR(__xludf.DUMMYFUNCTION("""COMPUTED_VALUE"""),"BLUE")</f>
        <v>BLUE</v>
      </c>
      <c r="G2469" s="20" t="str">
        <f>IFERROR(__xludf.DUMMYFUNCTION("""COMPUTED_VALUE"""),"Uncle Sams Cider (04/04/2023)")</f>
        <v>Uncle Sams Cider (04/04/2023)</v>
      </c>
      <c r="H2469" s="19"/>
    </row>
    <row r="2470">
      <c r="A2470" s="9"/>
      <c r="B2470" s="15"/>
      <c r="C2470" s="9">
        <f>IFERROR(__xludf.DUMMYFUNCTION("""COMPUTED_VALUE"""),45118.7210108912)</f>
        <v>45118.72101</v>
      </c>
      <c r="D2470" s="15">
        <f>IFERROR(__xludf.DUMMYFUNCTION("""COMPUTED_VALUE"""),0.999)</f>
        <v>0.999</v>
      </c>
      <c r="E2470" s="16">
        <f>IFERROR(__xludf.DUMMYFUNCTION("""COMPUTED_VALUE"""),70.0)</f>
        <v>70</v>
      </c>
      <c r="F2470" s="19" t="str">
        <f>IFERROR(__xludf.DUMMYFUNCTION("""COMPUTED_VALUE"""),"BLUE")</f>
        <v>BLUE</v>
      </c>
      <c r="G2470" s="20" t="str">
        <f>IFERROR(__xludf.DUMMYFUNCTION("""COMPUTED_VALUE"""),"Uncle Sams Cider (04/04/2023)")</f>
        <v>Uncle Sams Cider (04/04/2023)</v>
      </c>
      <c r="H2470" s="19"/>
    </row>
    <row r="2471">
      <c r="A2471" s="9"/>
      <c r="B2471" s="15"/>
      <c r="C2471" s="9">
        <f>IFERROR(__xludf.DUMMYFUNCTION("""COMPUTED_VALUE"""),45118.7105779745)</f>
        <v>45118.71058</v>
      </c>
      <c r="D2471" s="15">
        <f>IFERROR(__xludf.DUMMYFUNCTION("""COMPUTED_VALUE"""),0.999)</f>
        <v>0.999</v>
      </c>
      <c r="E2471" s="16">
        <f>IFERROR(__xludf.DUMMYFUNCTION("""COMPUTED_VALUE"""),70.0)</f>
        <v>70</v>
      </c>
      <c r="F2471" s="19" t="str">
        <f>IFERROR(__xludf.DUMMYFUNCTION("""COMPUTED_VALUE"""),"BLUE")</f>
        <v>BLUE</v>
      </c>
      <c r="G2471" s="20" t="str">
        <f>IFERROR(__xludf.DUMMYFUNCTION("""COMPUTED_VALUE"""),"Uncle Sams Cider (04/04/2023)")</f>
        <v>Uncle Sams Cider (04/04/2023)</v>
      </c>
      <c r="H2471" s="19"/>
    </row>
    <row r="2472">
      <c r="A2472" s="9"/>
      <c r="B2472" s="15"/>
      <c r="C2472" s="9">
        <f>IFERROR(__xludf.DUMMYFUNCTION("""COMPUTED_VALUE"""),45118.7001587037)</f>
        <v>45118.70016</v>
      </c>
      <c r="D2472" s="15">
        <f>IFERROR(__xludf.DUMMYFUNCTION("""COMPUTED_VALUE"""),0.999)</f>
        <v>0.999</v>
      </c>
      <c r="E2472" s="16">
        <f>IFERROR(__xludf.DUMMYFUNCTION("""COMPUTED_VALUE"""),70.0)</f>
        <v>70</v>
      </c>
      <c r="F2472" s="19" t="str">
        <f>IFERROR(__xludf.DUMMYFUNCTION("""COMPUTED_VALUE"""),"BLUE")</f>
        <v>BLUE</v>
      </c>
      <c r="G2472" s="20" t="str">
        <f>IFERROR(__xludf.DUMMYFUNCTION("""COMPUTED_VALUE"""),"Uncle Sams Cider (04/04/2023)")</f>
        <v>Uncle Sams Cider (04/04/2023)</v>
      </c>
      <c r="H2472" s="19"/>
    </row>
    <row r="2473">
      <c r="A2473" s="9"/>
      <c r="B2473" s="15"/>
      <c r="C2473" s="9">
        <f>IFERROR(__xludf.DUMMYFUNCTION("""COMPUTED_VALUE"""),45118.6897385879)</f>
        <v>45118.68974</v>
      </c>
      <c r="D2473" s="15">
        <f>IFERROR(__xludf.DUMMYFUNCTION("""COMPUTED_VALUE"""),0.999)</f>
        <v>0.999</v>
      </c>
      <c r="E2473" s="16">
        <f>IFERROR(__xludf.DUMMYFUNCTION("""COMPUTED_VALUE"""),70.0)</f>
        <v>70</v>
      </c>
      <c r="F2473" s="19" t="str">
        <f>IFERROR(__xludf.DUMMYFUNCTION("""COMPUTED_VALUE"""),"BLUE")</f>
        <v>BLUE</v>
      </c>
      <c r="G2473" s="20" t="str">
        <f>IFERROR(__xludf.DUMMYFUNCTION("""COMPUTED_VALUE"""),"Uncle Sams Cider (04/04/2023)")</f>
        <v>Uncle Sams Cider (04/04/2023)</v>
      </c>
      <c r="H2473" s="19"/>
    </row>
    <row r="2474">
      <c r="A2474" s="9"/>
      <c r="B2474" s="15"/>
      <c r="C2474" s="9">
        <f>IFERROR(__xludf.DUMMYFUNCTION("""COMPUTED_VALUE"""),45118.6793178935)</f>
        <v>45118.67932</v>
      </c>
      <c r="D2474" s="15">
        <f>IFERROR(__xludf.DUMMYFUNCTION("""COMPUTED_VALUE"""),0.999)</f>
        <v>0.999</v>
      </c>
      <c r="E2474" s="16">
        <f>IFERROR(__xludf.DUMMYFUNCTION("""COMPUTED_VALUE"""),70.0)</f>
        <v>70</v>
      </c>
      <c r="F2474" s="19" t="str">
        <f>IFERROR(__xludf.DUMMYFUNCTION("""COMPUTED_VALUE"""),"BLUE")</f>
        <v>BLUE</v>
      </c>
      <c r="G2474" s="20" t="str">
        <f>IFERROR(__xludf.DUMMYFUNCTION("""COMPUTED_VALUE"""),"Uncle Sams Cider (04/04/2023)")</f>
        <v>Uncle Sams Cider (04/04/2023)</v>
      </c>
      <c r="H2474" s="19"/>
    </row>
    <row r="2475">
      <c r="A2475" s="9"/>
      <c r="B2475" s="15"/>
      <c r="C2475" s="9">
        <f>IFERROR(__xludf.DUMMYFUNCTION("""COMPUTED_VALUE"""),45118.6688951041)</f>
        <v>45118.6689</v>
      </c>
      <c r="D2475" s="15">
        <f>IFERROR(__xludf.DUMMYFUNCTION("""COMPUTED_VALUE"""),0.999)</f>
        <v>0.999</v>
      </c>
      <c r="E2475" s="16">
        <f>IFERROR(__xludf.DUMMYFUNCTION("""COMPUTED_VALUE"""),70.0)</f>
        <v>70</v>
      </c>
      <c r="F2475" s="19" t="str">
        <f>IFERROR(__xludf.DUMMYFUNCTION("""COMPUTED_VALUE"""),"BLUE")</f>
        <v>BLUE</v>
      </c>
      <c r="G2475" s="20" t="str">
        <f>IFERROR(__xludf.DUMMYFUNCTION("""COMPUTED_VALUE"""),"Uncle Sams Cider (04/04/2023)")</f>
        <v>Uncle Sams Cider (04/04/2023)</v>
      </c>
      <c r="H2475" s="19"/>
    </row>
    <row r="2476">
      <c r="A2476" s="9"/>
      <c r="B2476" s="15"/>
      <c r="C2476" s="9">
        <f>IFERROR(__xludf.DUMMYFUNCTION("""COMPUTED_VALUE"""),45118.6584727199)</f>
        <v>45118.65847</v>
      </c>
      <c r="D2476" s="15">
        <f>IFERROR(__xludf.DUMMYFUNCTION("""COMPUTED_VALUE"""),0.999)</f>
        <v>0.999</v>
      </c>
      <c r="E2476" s="16">
        <f>IFERROR(__xludf.DUMMYFUNCTION("""COMPUTED_VALUE"""),70.0)</f>
        <v>70</v>
      </c>
      <c r="F2476" s="19" t="str">
        <f>IFERROR(__xludf.DUMMYFUNCTION("""COMPUTED_VALUE"""),"BLUE")</f>
        <v>BLUE</v>
      </c>
      <c r="G2476" s="20" t="str">
        <f>IFERROR(__xludf.DUMMYFUNCTION("""COMPUTED_VALUE"""),"Uncle Sams Cider (04/04/2023)")</f>
        <v>Uncle Sams Cider (04/04/2023)</v>
      </c>
      <c r="H2476" s="19"/>
    </row>
    <row r="2477">
      <c r="A2477" s="9"/>
      <c r="B2477" s="15"/>
      <c r="C2477" s="9">
        <f>IFERROR(__xludf.DUMMYFUNCTION("""COMPUTED_VALUE"""),45118.6480277662)</f>
        <v>45118.64803</v>
      </c>
      <c r="D2477" s="15">
        <f>IFERROR(__xludf.DUMMYFUNCTION("""COMPUTED_VALUE"""),0.999)</f>
        <v>0.999</v>
      </c>
      <c r="E2477" s="16">
        <f>IFERROR(__xludf.DUMMYFUNCTION("""COMPUTED_VALUE"""),70.0)</f>
        <v>70</v>
      </c>
      <c r="F2477" s="19" t="str">
        <f>IFERROR(__xludf.DUMMYFUNCTION("""COMPUTED_VALUE"""),"BLUE")</f>
        <v>BLUE</v>
      </c>
      <c r="G2477" s="20" t="str">
        <f>IFERROR(__xludf.DUMMYFUNCTION("""COMPUTED_VALUE"""),"Uncle Sams Cider (04/04/2023)")</f>
        <v>Uncle Sams Cider (04/04/2023)</v>
      </c>
      <c r="H2477" s="19"/>
    </row>
    <row r="2478">
      <c r="A2478" s="9"/>
      <c r="B2478" s="15"/>
      <c r="C2478" s="9">
        <f>IFERROR(__xludf.DUMMYFUNCTION("""COMPUTED_VALUE"""),45118.6375966088)</f>
        <v>45118.6376</v>
      </c>
      <c r="D2478" s="15">
        <f>IFERROR(__xludf.DUMMYFUNCTION("""COMPUTED_VALUE"""),0.999)</f>
        <v>0.999</v>
      </c>
      <c r="E2478" s="16">
        <f>IFERROR(__xludf.DUMMYFUNCTION("""COMPUTED_VALUE"""),70.0)</f>
        <v>70</v>
      </c>
      <c r="F2478" s="19" t="str">
        <f>IFERROR(__xludf.DUMMYFUNCTION("""COMPUTED_VALUE"""),"BLUE")</f>
        <v>BLUE</v>
      </c>
      <c r="G2478" s="20" t="str">
        <f>IFERROR(__xludf.DUMMYFUNCTION("""COMPUTED_VALUE"""),"Uncle Sams Cider (04/04/2023)")</f>
        <v>Uncle Sams Cider (04/04/2023)</v>
      </c>
      <c r="H2478" s="19"/>
    </row>
    <row r="2479">
      <c r="A2479" s="9"/>
      <c r="B2479" s="15"/>
      <c r="C2479" s="9">
        <f>IFERROR(__xludf.DUMMYFUNCTION("""COMPUTED_VALUE"""),45118.6271648379)</f>
        <v>45118.62716</v>
      </c>
      <c r="D2479" s="15">
        <f>IFERROR(__xludf.DUMMYFUNCTION("""COMPUTED_VALUE"""),0.999)</f>
        <v>0.999</v>
      </c>
      <c r="E2479" s="16">
        <f>IFERROR(__xludf.DUMMYFUNCTION("""COMPUTED_VALUE"""),70.0)</f>
        <v>70</v>
      </c>
      <c r="F2479" s="19" t="str">
        <f>IFERROR(__xludf.DUMMYFUNCTION("""COMPUTED_VALUE"""),"BLUE")</f>
        <v>BLUE</v>
      </c>
      <c r="G2479" s="20" t="str">
        <f>IFERROR(__xludf.DUMMYFUNCTION("""COMPUTED_VALUE"""),"Uncle Sams Cider (04/04/2023)")</f>
        <v>Uncle Sams Cider (04/04/2023)</v>
      </c>
      <c r="H2479" s="19"/>
    </row>
    <row r="2480">
      <c r="A2480" s="9"/>
      <c r="B2480" s="15"/>
      <c r="C2480" s="9">
        <f>IFERROR(__xludf.DUMMYFUNCTION("""COMPUTED_VALUE"""),45118.6167445601)</f>
        <v>45118.61674</v>
      </c>
      <c r="D2480" s="15">
        <f>IFERROR(__xludf.DUMMYFUNCTION("""COMPUTED_VALUE"""),0.999)</f>
        <v>0.999</v>
      </c>
      <c r="E2480" s="16">
        <f>IFERROR(__xludf.DUMMYFUNCTION("""COMPUTED_VALUE"""),70.0)</f>
        <v>70</v>
      </c>
      <c r="F2480" s="19" t="str">
        <f>IFERROR(__xludf.DUMMYFUNCTION("""COMPUTED_VALUE"""),"BLUE")</f>
        <v>BLUE</v>
      </c>
      <c r="G2480" s="20" t="str">
        <f>IFERROR(__xludf.DUMMYFUNCTION("""COMPUTED_VALUE"""),"Uncle Sams Cider (04/04/2023)")</f>
        <v>Uncle Sams Cider (04/04/2023)</v>
      </c>
      <c r="H2480" s="19"/>
    </row>
    <row r="2481">
      <c r="A2481" s="9"/>
      <c r="B2481" s="15"/>
      <c r="C2481" s="9">
        <f>IFERROR(__xludf.DUMMYFUNCTION("""COMPUTED_VALUE"""),45118.6063240277)</f>
        <v>45118.60632</v>
      </c>
      <c r="D2481" s="15">
        <f>IFERROR(__xludf.DUMMYFUNCTION("""COMPUTED_VALUE"""),0.999)</f>
        <v>0.999</v>
      </c>
      <c r="E2481" s="16">
        <f>IFERROR(__xludf.DUMMYFUNCTION("""COMPUTED_VALUE"""),70.0)</f>
        <v>70</v>
      </c>
      <c r="F2481" s="19" t="str">
        <f>IFERROR(__xludf.DUMMYFUNCTION("""COMPUTED_VALUE"""),"BLUE")</f>
        <v>BLUE</v>
      </c>
      <c r="G2481" s="20" t="str">
        <f>IFERROR(__xludf.DUMMYFUNCTION("""COMPUTED_VALUE"""),"Uncle Sams Cider (04/04/2023)")</f>
        <v>Uncle Sams Cider (04/04/2023)</v>
      </c>
      <c r="H2481" s="19"/>
    </row>
    <row r="2482">
      <c r="A2482" s="9"/>
      <c r="B2482" s="15"/>
      <c r="C2482" s="9">
        <f>IFERROR(__xludf.DUMMYFUNCTION("""COMPUTED_VALUE"""),45118.5959017013)</f>
        <v>45118.5959</v>
      </c>
      <c r="D2482" s="15">
        <f>IFERROR(__xludf.DUMMYFUNCTION("""COMPUTED_VALUE"""),0.999)</f>
        <v>0.999</v>
      </c>
      <c r="E2482" s="16">
        <f>IFERROR(__xludf.DUMMYFUNCTION("""COMPUTED_VALUE"""),70.0)</f>
        <v>70</v>
      </c>
      <c r="F2482" s="19" t="str">
        <f>IFERROR(__xludf.DUMMYFUNCTION("""COMPUTED_VALUE"""),"BLUE")</f>
        <v>BLUE</v>
      </c>
      <c r="G2482" s="20" t="str">
        <f>IFERROR(__xludf.DUMMYFUNCTION("""COMPUTED_VALUE"""),"Uncle Sams Cider (04/04/2023)")</f>
        <v>Uncle Sams Cider (04/04/2023)</v>
      </c>
      <c r="H2482" s="19"/>
    </row>
    <row r="2483">
      <c r="A2483" s="9"/>
      <c r="B2483" s="15"/>
      <c r="C2483" s="9">
        <f>IFERROR(__xludf.DUMMYFUNCTION("""COMPUTED_VALUE"""),45118.5854805902)</f>
        <v>45118.58548</v>
      </c>
      <c r="D2483" s="15">
        <f>IFERROR(__xludf.DUMMYFUNCTION("""COMPUTED_VALUE"""),0.999)</f>
        <v>0.999</v>
      </c>
      <c r="E2483" s="16">
        <f>IFERROR(__xludf.DUMMYFUNCTION("""COMPUTED_VALUE"""),70.0)</f>
        <v>70</v>
      </c>
      <c r="F2483" s="19" t="str">
        <f>IFERROR(__xludf.DUMMYFUNCTION("""COMPUTED_VALUE"""),"BLUE")</f>
        <v>BLUE</v>
      </c>
      <c r="G2483" s="20" t="str">
        <f>IFERROR(__xludf.DUMMYFUNCTION("""COMPUTED_VALUE"""),"Uncle Sams Cider (04/04/2023)")</f>
        <v>Uncle Sams Cider (04/04/2023)</v>
      </c>
      <c r="H2483" s="19"/>
    </row>
    <row r="2484">
      <c r="A2484" s="9"/>
      <c r="B2484" s="15"/>
      <c r="C2484" s="9">
        <f>IFERROR(__xludf.DUMMYFUNCTION("""COMPUTED_VALUE"""),45118.5750483217)</f>
        <v>45118.57505</v>
      </c>
      <c r="D2484" s="15">
        <f>IFERROR(__xludf.DUMMYFUNCTION("""COMPUTED_VALUE"""),0.999)</f>
        <v>0.999</v>
      </c>
      <c r="E2484" s="16">
        <f>IFERROR(__xludf.DUMMYFUNCTION("""COMPUTED_VALUE"""),70.0)</f>
        <v>70</v>
      </c>
      <c r="F2484" s="19" t="str">
        <f>IFERROR(__xludf.DUMMYFUNCTION("""COMPUTED_VALUE"""),"BLUE")</f>
        <v>BLUE</v>
      </c>
      <c r="G2484" s="20" t="str">
        <f>IFERROR(__xludf.DUMMYFUNCTION("""COMPUTED_VALUE"""),"Uncle Sams Cider (04/04/2023)")</f>
        <v>Uncle Sams Cider (04/04/2023)</v>
      </c>
      <c r="H2484" s="19"/>
    </row>
    <row r="2485">
      <c r="A2485" s="9"/>
      <c r="B2485" s="15"/>
      <c r="C2485" s="9">
        <f>IFERROR(__xludf.DUMMYFUNCTION("""COMPUTED_VALUE"""),45118.5646267129)</f>
        <v>45118.56463</v>
      </c>
      <c r="D2485" s="15">
        <f>IFERROR(__xludf.DUMMYFUNCTION("""COMPUTED_VALUE"""),0.999)</f>
        <v>0.999</v>
      </c>
      <c r="E2485" s="16">
        <f>IFERROR(__xludf.DUMMYFUNCTION("""COMPUTED_VALUE"""),70.0)</f>
        <v>70</v>
      </c>
      <c r="F2485" s="19" t="str">
        <f>IFERROR(__xludf.DUMMYFUNCTION("""COMPUTED_VALUE"""),"BLUE")</f>
        <v>BLUE</v>
      </c>
      <c r="G2485" s="20" t="str">
        <f>IFERROR(__xludf.DUMMYFUNCTION("""COMPUTED_VALUE"""),"Uncle Sams Cider (04/04/2023)")</f>
        <v>Uncle Sams Cider (04/04/2023)</v>
      </c>
      <c r="H2485" s="19"/>
    </row>
    <row r="2486">
      <c r="A2486" s="9"/>
      <c r="B2486" s="15"/>
      <c r="C2486" s="9">
        <f>IFERROR(__xludf.DUMMYFUNCTION("""COMPUTED_VALUE"""),45118.5542058564)</f>
        <v>45118.55421</v>
      </c>
      <c r="D2486" s="15">
        <f>IFERROR(__xludf.DUMMYFUNCTION("""COMPUTED_VALUE"""),0.999)</f>
        <v>0.999</v>
      </c>
      <c r="E2486" s="16">
        <f>IFERROR(__xludf.DUMMYFUNCTION("""COMPUTED_VALUE"""),70.0)</f>
        <v>70</v>
      </c>
      <c r="F2486" s="19" t="str">
        <f>IFERROR(__xludf.DUMMYFUNCTION("""COMPUTED_VALUE"""),"BLUE")</f>
        <v>BLUE</v>
      </c>
      <c r="G2486" s="20" t="str">
        <f>IFERROR(__xludf.DUMMYFUNCTION("""COMPUTED_VALUE"""),"Uncle Sams Cider (04/04/2023)")</f>
        <v>Uncle Sams Cider (04/04/2023)</v>
      </c>
      <c r="H2486" s="19"/>
    </row>
    <row r="2487">
      <c r="A2487" s="9"/>
      <c r="B2487" s="15"/>
      <c r="C2487" s="9">
        <f>IFERROR(__xludf.DUMMYFUNCTION("""COMPUTED_VALUE"""),45118.543785706)</f>
        <v>45118.54379</v>
      </c>
      <c r="D2487" s="15">
        <f>IFERROR(__xludf.DUMMYFUNCTION("""COMPUTED_VALUE"""),0.999)</f>
        <v>0.999</v>
      </c>
      <c r="E2487" s="16">
        <f>IFERROR(__xludf.DUMMYFUNCTION("""COMPUTED_VALUE"""),70.0)</f>
        <v>70</v>
      </c>
      <c r="F2487" s="19" t="str">
        <f>IFERROR(__xludf.DUMMYFUNCTION("""COMPUTED_VALUE"""),"BLUE")</f>
        <v>BLUE</v>
      </c>
      <c r="G2487" s="20" t="str">
        <f>IFERROR(__xludf.DUMMYFUNCTION("""COMPUTED_VALUE"""),"Uncle Sams Cider (04/04/2023)")</f>
        <v>Uncle Sams Cider (04/04/2023)</v>
      </c>
      <c r="H2487" s="19"/>
    </row>
    <row r="2488">
      <c r="A2488" s="9"/>
      <c r="B2488" s="15"/>
      <c r="C2488" s="9">
        <f>IFERROR(__xludf.DUMMYFUNCTION("""COMPUTED_VALUE"""),45118.533353449)</f>
        <v>45118.53335</v>
      </c>
      <c r="D2488" s="15">
        <f>IFERROR(__xludf.DUMMYFUNCTION("""COMPUTED_VALUE"""),0.999)</f>
        <v>0.999</v>
      </c>
      <c r="E2488" s="16">
        <f>IFERROR(__xludf.DUMMYFUNCTION("""COMPUTED_VALUE"""),70.0)</f>
        <v>70</v>
      </c>
      <c r="F2488" s="19" t="str">
        <f>IFERROR(__xludf.DUMMYFUNCTION("""COMPUTED_VALUE"""),"BLUE")</f>
        <v>BLUE</v>
      </c>
      <c r="G2488" s="20" t="str">
        <f>IFERROR(__xludf.DUMMYFUNCTION("""COMPUTED_VALUE"""),"Uncle Sams Cider (04/04/2023)")</f>
        <v>Uncle Sams Cider (04/04/2023)</v>
      </c>
      <c r="H2488" s="19"/>
    </row>
    <row r="2489">
      <c r="A2489" s="9"/>
      <c r="B2489" s="15"/>
      <c r="C2489" s="9">
        <f>IFERROR(__xludf.DUMMYFUNCTION("""COMPUTED_VALUE"""),45118.5229332291)</f>
        <v>45118.52293</v>
      </c>
      <c r="D2489" s="15">
        <f>IFERROR(__xludf.DUMMYFUNCTION("""COMPUTED_VALUE"""),0.999)</f>
        <v>0.999</v>
      </c>
      <c r="E2489" s="16">
        <f>IFERROR(__xludf.DUMMYFUNCTION("""COMPUTED_VALUE"""),70.0)</f>
        <v>70</v>
      </c>
      <c r="F2489" s="19" t="str">
        <f>IFERROR(__xludf.DUMMYFUNCTION("""COMPUTED_VALUE"""),"BLUE")</f>
        <v>BLUE</v>
      </c>
      <c r="G2489" s="20" t="str">
        <f>IFERROR(__xludf.DUMMYFUNCTION("""COMPUTED_VALUE"""),"Uncle Sams Cider (04/04/2023)")</f>
        <v>Uncle Sams Cider (04/04/2023)</v>
      </c>
      <c r="H2489" s="19"/>
    </row>
    <row r="2490">
      <c r="A2490" s="9"/>
      <c r="B2490" s="15"/>
      <c r="C2490" s="9">
        <f>IFERROR(__xludf.DUMMYFUNCTION("""COMPUTED_VALUE"""),45118.5125110764)</f>
        <v>45118.51251</v>
      </c>
      <c r="D2490" s="15">
        <f>IFERROR(__xludf.DUMMYFUNCTION("""COMPUTED_VALUE"""),0.999)</f>
        <v>0.999</v>
      </c>
      <c r="E2490" s="16">
        <f>IFERROR(__xludf.DUMMYFUNCTION("""COMPUTED_VALUE"""),70.0)</f>
        <v>70</v>
      </c>
      <c r="F2490" s="19" t="str">
        <f>IFERROR(__xludf.DUMMYFUNCTION("""COMPUTED_VALUE"""),"BLUE")</f>
        <v>BLUE</v>
      </c>
      <c r="G2490" s="20" t="str">
        <f>IFERROR(__xludf.DUMMYFUNCTION("""COMPUTED_VALUE"""),"Uncle Sams Cider (04/04/2023)")</f>
        <v>Uncle Sams Cider (04/04/2023)</v>
      </c>
      <c r="H2490" s="19"/>
    </row>
    <row r="2491">
      <c r="A2491" s="9"/>
      <c r="B2491" s="15"/>
      <c r="C2491" s="9">
        <f>IFERROR(__xludf.DUMMYFUNCTION("""COMPUTED_VALUE"""),45118.5020888888)</f>
        <v>45118.50209</v>
      </c>
      <c r="D2491" s="15">
        <f>IFERROR(__xludf.DUMMYFUNCTION("""COMPUTED_VALUE"""),0.999)</f>
        <v>0.999</v>
      </c>
      <c r="E2491" s="16">
        <f>IFERROR(__xludf.DUMMYFUNCTION("""COMPUTED_VALUE"""),70.0)</f>
        <v>70</v>
      </c>
      <c r="F2491" s="19" t="str">
        <f>IFERROR(__xludf.DUMMYFUNCTION("""COMPUTED_VALUE"""),"BLUE")</f>
        <v>BLUE</v>
      </c>
      <c r="G2491" s="20" t="str">
        <f>IFERROR(__xludf.DUMMYFUNCTION("""COMPUTED_VALUE"""),"Uncle Sams Cider (04/04/2023)")</f>
        <v>Uncle Sams Cider (04/04/2023)</v>
      </c>
      <c r="H2491" s="19"/>
    </row>
    <row r="2492">
      <c r="A2492" s="9"/>
      <c r="B2492" s="15"/>
      <c r="C2492" s="9">
        <f>IFERROR(__xludf.DUMMYFUNCTION("""COMPUTED_VALUE"""),45118.4916446296)</f>
        <v>45118.49164</v>
      </c>
      <c r="D2492" s="15">
        <f>IFERROR(__xludf.DUMMYFUNCTION("""COMPUTED_VALUE"""),0.999)</f>
        <v>0.999</v>
      </c>
      <c r="E2492" s="16">
        <f>IFERROR(__xludf.DUMMYFUNCTION("""COMPUTED_VALUE"""),70.0)</f>
        <v>70</v>
      </c>
      <c r="F2492" s="19" t="str">
        <f>IFERROR(__xludf.DUMMYFUNCTION("""COMPUTED_VALUE"""),"BLUE")</f>
        <v>BLUE</v>
      </c>
      <c r="G2492" s="20" t="str">
        <f>IFERROR(__xludf.DUMMYFUNCTION("""COMPUTED_VALUE"""),"Uncle Sams Cider (04/04/2023)")</f>
        <v>Uncle Sams Cider (04/04/2023)</v>
      </c>
      <c r="H2492" s="19"/>
    </row>
    <row r="2493">
      <c r="A2493" s="9"/>
      <c r="B2493" s="15"/>
      <c r="C2493" s="9">
        <f>IFERROR(__xludf.DUMMYFUNCTION("""COMPUTED_VALUE"""),45118.4812117476)</f>
        <v>45118.48121</v>
      </c>
      <c r="D2493" s="15">
        <f>IFERROR(__xludf.DUMMYFUNCTION("""COMPUTED_VALUE"""),0.999)</f>
        <v>0.999</v>
      </c>
      <c r="E2493" s="16">
        <f>IFERROR(__xludf.DUMMYFUNCTION("""COMPUTED_VALUE"""),70.0)</f>
        <v>70</v>
      </c>
      <c r="F2493" s="19" t="str">
        <f>IFERROR(__xludf.DUMMYFUNCTION("""COMPUTED_VALUE"""),"BLUE")</f>
        <v>BLUE</v>
      </c>
      <c r="G2493" s="20" t="str">
        <f>IFERROR(__xludf.DUMMYFUNCTION("""COMPUTED_VALUE"""),"Uncle Sams Cider (04/04/2023)")</f>
        <v>Uncle Sams Cider (04/04/2023)</v>
      </c>
      <c r="H2493" s="19"/>
    </row>
    <row r="2494">
      <c r="A2494" s="9"/>
      <c r="B2494" s="15"/>
      <c r="C2494" s="9">
        <f>IFERROR(__xludf.DUMMYFUNCTION("""COMPUTED_VALUE"""),45118.4707913773)</f>
        <v>45118.47079</v>
      </c>
      <c r="D2494" s="15">
        <f>IFERROR(__xludf.DUMMYFUNCTION("""COMPUTED_VALUE"""),0.999)</f>
        <v>0.999</v>
      </c>
      <c r="E2494" s="16">
        <f>IFERROR(__xludf.DUMMYFUNCTION("""COMPUTED_VALUE"""),70.0)</f>
        <v>70</v>
      </c>
      <c r="F2494" s="19" t="str">
        <f>IFERROR(__xludf.DUMMYFUNCTION("""COMPUTED_VALUE"""),"BLUE")</f>
        <v>BLUE</v>
      </c>
      <c r="G2494" s="20" t="str">
        <f>IFERROR(__xludf.DUMMYFUNCTION("""COMPUTED_VALUE"""),"Uncle Sams Cider (04/04/2023)")</f>
        <v>Uncle Sams Cider (04/04/2023)</v>
      </c>
      <c r="H2494" s="19"/>
    </row>
    <row r="2495">
      <c r="A2495" s="9"/>
      <c r="B2495" s="15"/>
      <c r="C2495" s="9">
        <f>IFERROR(__xludf.DUMMYFUNCTION("""COMPUTED_VALUE"""),45118.4603578125)</f>
        <v>45118.46036</v>
      </c>
      <c r="D2495" s="15">
        <f>IFERROR(__xludf.DUMMYFUNCTION("""COMPUTED_VALUE"""),0.999)</f>
        <v>0.999</v>
      </c>
      <c r="E2495" s="16">
        <f>IFERROR(__xludf.DUMMYFUNCTION("""COMPUTED_VALUE"""),70.0)</f>
        <v>70</v>
      </c>
      <c r="F2495" s="19" t="str">
        <f>IFERROR(__xludf.DUMMYFUNCTION("""COMPUTED_VALUE"""),"BLUE")</f>
        <v>BLUE</v>
      </c>
      <c r="G2495" s="20" t="str">
        <f>IFERROR(__xludf.DUMMYFUNCTION("""COMPUTED_VALUE"""),"Uncle Sams Cider (04/04/2023)")</f>
        <v>Uncle Sams Cider (04/04/2023)</v>
      </c>
      <c r="H2495" s="19"/>
    </row>
    <row r="2496">
      <c r="A2496" s="9"/>
      <c r="B2496" s="15"/>
      <c r="C2496" s="9">
        <f>IFERROR(__xludf.DUMMYFUNCTION("""COMPUTED_VALUE"""),45118.4499383564)</f>
        <v>45118.44994</v>
      </c>
      <c r="D2496" s="15">
        <f>IFERROR(__xludf.DUMMYFUNCTION("""COMPUTED_VALUE"""),0.999)</f>
        <v>0.999</v>
      </c>
      <c r="E2496" s="16">
        <f>IFERROR(__xludf.DUMMYFUNCTION("""COMPUTED_VALUE"""),70.0)</f>
        <v>70</v>
      </c>
      <c r="F2496" s="19" t="str">
        <f>IFERROR(__xludf.DUMMYFUNCTION("""COMPUTED_VALUE"""),"BLUE")</f>
        <v>BLUE</v>
      </c>
      <c r="G2496" s="20" t="str">
        <f>IFERROR(__xludf.DUMMYFUNCTION("""COMPUTED_VALUE"""),"Uncle Sams Cider (04/04/2023)")</f>
        <v>Uncle Sams Cider (04/04/2023)</v>
      </c>
      <c r="H2496" s="19"/>
    </row>
    <row r="2497">
      <c r="A2497" s="9"/>
      <c r="B2497" s="15"/>
      <c r="C2497" s="9">
        <f>IFERROR(__xludf.DUMMYFUNCTION("""COMPUTED_VALUE"""),45118.43951728)</f>
        <v>45118.43952</v>
      </c>
      <c r="D2497" s="15">
        <f>IFERROR(__xludf.DUMMYFUNCTION("""COMPUTED_VALUE"""),0.999)</f>
        <v>0.999</v>
      </c>
      <c r="E2497" s="16">
        <f>IFERROR(__xludf.DUMMYFUNCTION("""COMPUTED_VALUE"""),70.0)</f>
        <v>70</v>
      </c>
      <c r="F2497" s="19" t="str">
        <f>IFERROR(__xludf.DUMMYFUNCTION("""COMPUTED_VALUE"""),"BLUE")</f>
        <v>BLUE</v>
      </c>
      <c r="G2497" s="20" t="str">
        <f>IFERROR(__xludf.DUMMYFUNCTION("""COMPUTED_VALUE"""),"Uncle Sams Cider (04/04/2023)")</f>
        <v>Uncle Sams Cider (04/04/2023)</v>
      </c>
      <c r="H2497" s="19"/>
    </row>
    <row r="2498">
      <c r="A2498" s="9"/>
      <c r="B2498" s="15"/>
      <c r="C2498" s="9">
        <f>IFERROR(__xludf.DUMMYFUNCTION("""COMPUTED_VALUE"""),45118.4290966898)</f>
        <v>45118.4291</v>
      </c>
      <c r="D2498" s="15">
        <f>IFERROR(__xludf.DUMMYFUNCTION("""COMPUTED_VALUE"""),0.999)</f>
        <v>0.999</v>
      </c>
      <c r="E2498" s="16">
        <f>IFERROR(__xludf.DUMMYFUNCTION("""COMPUTED_VALUE"""),70.0)</f>
        <v>70</v>
      </c>
      <c r="F2498" s="19" t="str">
        <f>IFERROR(__xludf.DUMMYFUNCTION("""COMPUTED_VALUE"""),"BLUE")</f>
        <v>BLUE</v>
      </c>
      <c r="G2498" s="20" t="str">
        <f>IFERROR(__xludf.DUMMYFUNCTION("""COMPUTED_VALUE"""),"Uncle Sams Cider (04/04/2023)")</f>
        <v>Uncle Sams Cider (04/04/2023)</v>
      </c>
      <c r="H2498" s="19"/>
    </row>
    <row r="2499">
      <c r="A2499" s="9"/>
      <c r="B2499" s="15"/>
      <c r="C2499" s="9">
        <f>IFERROR(__xludf.DUMMYFUNCTION("""COMPUTED_VALUE"""),45118.4186658796)</f>
        <v>45118.41867</v>
      </c>
      <c r="D2499" s="15">
        <f>IFERROR(__xludf.DUMMYFUNCTION("""COMPUTED_VALUE"""),0.999)</f>
        <v>0.999</v>
      </c>
      <c r="E2499" s="16">
        <f>IFERROR(__xludf.DUMMYFUNCTION("""COMPUTED_VALUE"""),70.0)</f>
        <v>70</v>
      </c>
      <c r="F2499" s="19" t="str">
        <f>IFERROR(__xludf.DUMMYFUNCTION("""COMPUTED_VALUE"""),"BLUE")</f>
        <v>BLUE</v>
      </c>
      <c r="G2499" s="20" t="str">
        <f>IFERROR(__xludf.DUMMYFUNCTION("""COMPUTED_VALUE"""),"Uncle Sams Cider (04/04/2023)")</f>
        <v>Uncle Sams Cider (04/04/2023)</v>
      </c>
      <c r="H2499" s="19"/>
    </row>
    <row r="2500">
      <c r="A2500" s="9"/>
      <c r="B2500" s="15"/>
      <c r="C2500" s="9">
        <f>IFERROR(__xludf.DUMMYFUNCTION("""COMPUTED_VALUE"""),45118.408231875)</f>
        <v>45118.40823</v>
      </c>
      <c r="D2500" s="15">
        <f>IFERROR(__xludf.DUMMYFUNCTION("""COMPUTED_VALUE"""),0.999)</f>
        <v>0.999</v>
      </c>
      <c r="E2500" s="16">
        <f>IFERROR(__xludf.DUMMYFUNCTION("""COMPUTED_VALUE"""),70.0)</f>
        <v>70</v>
      </c>
      <c r="F2500" s="19" t="str">
        <f>IFERROR(__xludf.DUMMYFUNCTION("""COMPUTED_VALUE"""),"BLUE")</f>
        <v>BLUE</v>
      </c>
      <c r="G2500" s="20" t="str">
        <f>IFERROR(__xludf.DUMMYFUNCTION("""COMPUTED_VALUE"""),"Uncle Sams Cider (04/04/2023)")</f>
        <v>Uncle Sams Cider (04/04/2023)</v>
      </c>
      <c r="H2500" s="19"/>
    </row>
    <row r="2501">
      <c r="A2501" s="9"/>
      <c r="B2501" s="15"/>
      <c r="C2501" s="9">
        <f>IFERROR(__xludf.DUMMYFUNCTION("""COMPUTED_VALUE"""),45118.3978020139)</f>
        <v>45118.3978</v>
      </c>
      <c r="D2501" s="15">
        <f>IFERROR(__xludf.DUMMYFUNCTION("""COMPUTED_VALUE"""),0.999)</f>
        <v>0.999</v>
      </c>
      <c r="E2501" s="16">
        <f>IFERROR(__xludf.DUMMYFUNCTION("""COMPUTED_VALUE"""),70.0)</f>
        <v>70</v>
      </c>
      <c r="F2501" s="19" t="str">
        <f>IFERROR(__xludf.DUMMYFUNCTION("""COMPUTED_VALUE"""),"BLUE")</f>
        <v>BLUE</v>
      </c>
      <c r="G2501" s="20" t="str">
        <f>IFERROR(__xludf.DUMMYFUNCTION("""COMPUTED_VALUE"""),"Uncle Sams Cider (04/04/2023)")</f>
        <v>Uncle Sams Cider (04/04/2023)</v>
      </c>
      <c r="H2501" s="19"/>
    </row>
    <row r="2502">
      <c r="A2502" s="9"/>
      <c r="B2502" s="15"/>
      <c r="C2502" s="9">
        <f>IFERROR(__xludf.DUMMYFUNCTION("""COMPUTED_VALUE"""),45118.3873817824)</f>
        <v>45118.38738</v>
      </c>
      <c r="D2502" s="15">
        <f>IFERROR(__xludf.DUMMYFUNCTION("""COMPUTED_VALUE"""),0.999)</f>
        <v>0.999</v>
      </c>
      <c r="E2502" s="16">
        <f>IFERROR(__xludf.DUMMYFUNCTION("""COMPUTED_VALUE"""),70.0)</f>
        <v>70</v>
      </c>
      <c r="F2502" s="19" t="str">
        <f>IFERROR(__xludf.DUMMYFUNCTION("""COMPUTED_VALUE"""),"BLUE")</f>
        <v>BLUE</v>
      </c>
      <c r="G2502" s="20" t="str">
        <f>IFERROR(__xludf.DUMMYFUNCTION("""COMPUTED_VALUE"""),"Uncle Sams Cider (04/04/2023)")</f>
        <v>Uncle Sams Cider (04/04/2023)</v>
      </c>
      <c r="H2502" s="19"/>
    </row>
    <row r="2503">
      <c r="A2503" s="9"/>
      <c r="B2503" s="15"/>
      <c r="C2503" s="9">
        <f>IFERROR(__xludf.DUMMYFUNCTION("""COMPUTED_VALUE"""),45118.3769595254)</f>
        <v>45118.37696</v>
      </c>
      <c r="D2503" s="15">
        <f>IFERROR(__xludf.DUMMYFUNCTION("""COMPUTED_VALUE"""),0.999)</f>
        <v>0.999</v>
      </c>
      <c r="E2503" s="16">
        <f>IFERROR(__xludf.DUMMYFUNCTION("""COMPUTED_VALUE"""),70.0)</f>
        <v>70</v>
      </c>
      <c r="F2503" s="19" t="str">
        <f>IFERROR(__xludf.DUMMYFUNCTION("""COMPUTED_VALUE"""),"BLUE")</f>
        <v>BLUE</v>
      </c>
      <c r="G2503" s="20" t="str">
        <f>IFERROR(__xludf.DUMMYFUNCTION("""COMPUTED_VALUE"""),"Uncle Sams Cider (04/04/2023)")</f>
        <v>Uncle Sams Cider (04/04/2023)</v>
      </c>
      <c r="H2503" s="19"/>
    </row>
    <row r="2504">
      <c r="A2504" s="9"/>
      <c r="B2504" s="15"/>
      <c r="C2504" s="9">
        <f>IFERROR(__xludf.DUMMYFUNCTION("""COMPUTED_VALUE"""),45118.3665376736)</f>
        <v>45118.36654</v>
      </c>
      <c r="D2504" s="15">
        <f>IFERROR(__xludf.DUMMYFUNCTION("""COMPUTED_VALUE"""),0.999)</f>
        <v>0.999</v>
      </c>
      <c r="E2504" s="16">
        <f>IFERROR(__xludf.DUMMYFUNCTION("""COMPUTED_VALUE"""),70.0)</f>
        <v>70</v>
      </c>
      <c r="F2504" s="19" t="str">
        <f>IFERROR(__xludf.DUMMYFUNCTION("""COMPUTED_VALUE"""),"BLUE")</f>
        <v>BLUE</v>
      </c>
      <c r="G2504" s="20" t="str">
        <f>IFERROR(__xludf.DUMMYFUNCTION("""COMPUTED_VALUE"""),"Uncle Sams Cider (04/04/2023)")</f>
        <v>Uncle Sams Cider (04/04/2023)</v>
      </c>
      <c r="H2504" s="19"/>
    </row>
    <row r="2505">
      <c r="A2505" s="9"/>
      <c r="B2505" s="15"/>
      <c r="C2505" s="9">
        <f>IFERROR(__xludf.DUMMYFUNCTION("""COMPUTED_VALUE"""),45118.3561170717)</f>
        <v>45118.35612</v>
      </c>
      <c r="D2505" s="15">
        <f>IFERROR(__xludf.DUMMYFUNCTION("""COMPUTED_VALUE"""),0.999)</f>
        <v>0.999</v>
      </c>
      <c r="E2505" s="16">
        <f>IFERROR(__xludf.DUMMYFUNCTION("""COMPUTED_VALUE"""),70.0)</f>
        <v>70</v>
      </c>
      <c r="F2505" s="19" t="str">
        <f>IFERROR(__xludf.DUMMYFUNCTION("""COMPUTED_VALUE"""),"BLUE")</f>
        <v>BLUE</v>
      </c>
      <c r="G2505" s="20" t="str">
        <f>IFERROR(__xludf.DUMMYFUNCTION("""COMPUTED_VALUE"""),"Uncle Sams Cider (04/04/2023)")</f>
        <v>Uncle Sams Cider (04/04/2023)</v>
      </c>
      <c r="H2505" s="19"/>
    </row>
    <row r="2506">
      <c r="A2506" s="9"/>
      <c r="B2506" s="15"/>
      <c r="C2506" s="9">
        <f>IFERROR(__xludf.DUMMYFUNCTION("""COMPUTED_VALUE"""),45118.3456851388)</f>
        <v>45118.34569</v>
      </c>
      <c r="D2506" s="15">
        <f>IFERROR(__xludf.DUMMYFUNCTION("""COMPUTED_VALUE"""),0.999)</f>
        <v>0.999</v>
      </c>
      <c r="E2506" s="16">
        <f>IFERROR(__xludf.DUMMYFUNCTION("""COMPUTED_VALUE"""),70.0)</f>
        <v>70</v>
      </c>
      <c r="F2506" s="19" t="str">
        <f>IFERROR(__xludf.DUMMYFUNCTION("""COMPUTED_VALUE"""),"BLUE")</f>
        <v>BLUE</v>
      </c>
      <c r="G2506" s="20" t="str">
        <f>IFERROR(__xludf.DUMMYFUNCTION("""COMPUTED_VALUE"""),"Uncle Sams Cider (04/04/2023)")</f>
        <v>Uncle Sams Cider (04/04/2023)</v>
      </c>
      <c r="H2506" s="19"/>
    </row>
    <row r="2507">
      <c r="A2507" s="9"/>
      <c r="B2507" s="15"/>
      <c r="C2507" s="9">
        <f>IFERROR(__xludf.DUMMYFUNCTION("""COMPUTED_VALUE"""),45118.3352643865)</f>
        <v>45118.33526</v>
      </c>
      <c r="D2507" s="15">
        <f>IFERROR(__xludf.DUMMYFUNCTION("""COMPUTED_VALUE"""),0.999)</f>
        <v>0.999</v>
      </c>
      <c r="E2507" s="16">
        <f>IFERROR(__xludf.DUMMYFUNCTION("""COMPUTED_VALUE"""),70.0)</f>
        <v>70</v>
      </c>
      <c r="F2507" s="19" t="str">
        <f>IFERROR(__xludf.DUMMYFUNCTION("""COMPUTED_VALUE"""),"BLUE")</f>
        <v>BLUE</v>
      </c>
      <c r="G2507" s="20" t="str">
        <f>IFERROR(__xludf.DUMMYFUNCTION("""COMPUTED_VALUE"""),"Uncle Sams Cider (04/04/2023)")</f>
        <v>Uncle Sams Cider (04/04/2023)</v>
      </c>
      <c r="H2507" s="19"/>
    </row>
    <row r="2508">
      <c r="A2508" s="9"/>
      <c r="B2508" s="15"/>
      <c r="C2508" s="9">
        <f>IFERROR(__xludf.DUMMYFUNCTION("""COMPUTED_VALUE"""),45118.3248435301)</f>
        <v>45118.32484</v>
      </c>
      <c r="D2508" s="15">
        <f>IFERROR(__xludf.DUMMYFUNCTION("""COMPUTED_VALUE"""),0.999)</f>
        <v>0.999</v>
      </c>
      <c r="E2508" s="16">
        <f>IFERROR(__xludf.DUMMYFUNCTION("""COMPUTED_VALUE"""),70.0)</f>
        <v>70</v>
      </c>
      <c r="F2508" s="19" t="str">
        <f>IFERROR(__xludf.DUMMYFUNCTION("""COMPUTED_VALUE"""),"BLUE")</f>
        <v>BLUE</v>
      </c>
      <c r="G2508" s="20" t="str">
        <f>IFERROR(__xludf.DUMMYFUNCTION("""COMPUTED_VALUE"""),"Uncle Sams Cider (04/04/2023)")</f>
        <v>Uncle Sams Cider (04/04/2023)</v>
      </c>
      <c r="H2508" s="19"/>
    </row>
    <row r="2509">
      <c r="A2509" s="9"/>
      <c r="B2509" s="15"/>
      <c r="C2509" s="9">
        <f>IFERROR(__xludf.DUMMYFUNCTION("""COMPUTED_VALUE"""),45118.3144211226)</f>
        <v>45118.31442</v>
      </c>
      <c r="D2509" s="15">
        <f>IFERROR(__xludf.DUMMYFUNCTION("""COMPUTED_VALUE"""),0.999)</f>
        <v>0.999</v>
      </c>
      <c r="E2509" s="16">
        <f>IFERROR(__xludf.DUMMYFUNCTION("""COMPUTED_VALUE"""),70.0)</f>
        <v>70</v>
      </c>
      <c r="F2509" s="19" t="str">
        <f>IFERROR(__xludf.DUMMYFUNCTION("""COMPUTED_VALUE"""),"BLUE")</f>
        <v>BLUE</v>
      </c>
      <c r="G2509" s="20" t="str">
        <f>IFERROR(__xludf.DUMMYFUNCTION("""COMPUTED_VALUE"""),"Uncle Sams Cider (04/04/2023)")</f>
        <v>Uncle Sams Cider (04/04/2023)</v>
      </c>
      <c r="H2509" s="19"/>
    </row>
    <row r="2510">
      <c r="A2510" s="9"/>
      <c r="B2510" s="15"/>
      <c r="C2510" s="9">
        <f>IFERROR(__xludf.DUMMYFUNCTION("""COMPUTED_VALUE"""),45118.3039898842)</f>
        <v>45118.30399</v>
      </c>
      <c r="D2510" s="15">
        <f>IFERROR(__xludf.DUMMYFUNCTION("""COMPUTED_VALUE"""),0.999)</f>
        <v>0.999</v>
      </c>
      <c r="E2510" s="16">
        <f>IFERROR(__xludf.DUMMYFUNCTION("""COMPUTED_VALUE"""),70.0)</f>
        <v>70</v>
      </c>
      <c r="F2510" s="19" t="str">
        <f>IFERROR(__xludf.DUMMYFUNCTION("""COMPUTED_VALUE"""),"BLUE")</f>
        <v>BLUE</v>
      </c>
      <c r="G2510" s="20" t="str">
        <f>IFERROR(__xludf.DUMMYFUNCTION("""COMPUTED_VALUE"""),"Uncle Sams Cider (04/04/2023)")</f>
        <v>Uncle Sams Cider (04/04/2023)</v>
      </c>
      <c r="H2510" s="19"/>
    </row>
    <row r="2511">
      <c r="A2511" s="9"/>
      <c r="B2511" s="15"/>
      <c r="C2511" s="9">
        <f>IFERROR(__xludf.DUMMYFUNCTION("""COMPUTED_VALUE"""),45118.2935690856)</f>
        <v>45118.29357</v>
      </c>
      <c r="D2511" s="15">
        <f>IFERROR(__xludf.DUMMYFUNCTION("""COMPUTED_VALUE"""),0.999)</f>
        <v>0.999</v>
      </c>
      <c r="E2511" s="16">
        <f>IFERROR(__xludf.DUMMYFUNCTION("""COMPUTED_VALUE"""),70.0)</f>
        <v>70</v>
      </c>
      <c r="F2511" s="19" t="str">
        <f>IFERROR(__xludf.DUMMYFUNCTION("""COMPUTED_VALUE"""),"BLUE")</f>
        <v>BLUE</v>
      </c>
      <c r="G2511" s="20" t="str">
        <f>IFERROR(__xludf.DUMMYFUNCTION("""COMPUTED_VALUE"""),"Uncle Sams Cider (04/04/2023)")</f>
        <v>Uncle Sams Cider (04/04/2023)</v>
      </c>
      <c r="H2511" s="19"/>
    </row>
    <row r="2512">
      <c r="A2512" s="9"/>
      <c r="B2512" s="15"/>
      <c r="C2512" s="9">
        <f>IFERROR(__xludf.DUMMYFUNCTION("""COMPUTED_VALUE"""),45118.283148912)</f>
        <v>45118.28315</v>
      </c>
      <c r="D2512" s="15">
        <f>IFERROR(__xludf.DUMMYFUNCTION("""COMPUTED_VALUE"""),0.999)</f>
        <v>0.999</v>
      </c>
      <c r="E2512" s="16">
        <f>IFERROR(__xludf.DUMMYFUNCTION("""COMPUTED_VALUE"""),70.0)</f>
        <v>70</v>
      </c>
      <c r="F2512" s="19" t="str">
        <f>IFERROR(__xludf.DUMMYFUNCTION("""COMPUTED_VALUE"""),"BLUE")</f>
        <v>BLUE</v>
      </c>
      <c r="G2512" s="20" t="str">
        <f>IFERROR(__xludf.DUMMYFUNCTION("""COMPUTED_VALUE"""),"Uncle Sams Cider (04/04/2023)")</f>
        <v>Uncle Sams Cider (04/04/2023)</v>
      </c>
      <c r="H2512" s="19"/>
    </row>
    <row r="2513">
      <c r="A2513" s="9"/>
      <c r="B2513" s="15"/>
      <c r="C2513" s="9">
        <f>IFERROR(__xludf.DUMMYFUNCTION("""COMPUTED_VALUE"""),45118.2727287731)</f>
        <v>45118.27273</v>
      </c>
      <c r="D2513" s="15">
        <f>IFERROR(__xludf.DUMMYFUNCTION("""COMPUTED_VALUE"""),0.999)</f>
        <v>0.999</v>
      </c>
      <c r="E2513" s="16">
        <f>IFERROR(__xludf.DUMMYFUNCTION("""COMPUTED_VALUE"""),70.0)</f>
        <v>70</v>
      </c>
      <c r="F2513" s="19" t="str">
        <f>IFERROR(__xludf.DUMMYFUNCTION("""COMPUTED_VALUE"""),"BLUE")</f>
        <v>BLUE</v>
      </c>
      <c r="G2513" s="20" t="str">
        <f>IFERROR(__xludf.DUMMYFUNCTION("""COMPUTED_VALUE"""),"Uncle Sams Cider (04/04/2023)")</f>
        <v>Uncle Sams Cider (04/04/2023)</v>
      </c>
      <c r="H2513" s="19"/>
    </row>
    <row r="2514">
      <c r="A2514" s="9"/>
      <c r="B2514" s="15"/>
      <c r="C2514" s="9">
        <f>IFERROR(__xludf.DUMMYFUNCTION("""COMPUTED_VALUE"""),45118.2622960879)</f>
        <v>45118.2623</v>
      </c>
      <c r="D2514" s="15">
        <f>IFERROR(__xludf.DUMMYFUNCTION("""COMPUTED_VALUE"""),0.999)</f>
        <v>0.999</v>
      </c>
      <c r="E2514" s="16">
        <f>IFERROR(__xludf.DUMMYFUNCTION("""COMPUTED_VALUE"""),70.0)</f>
        <v>70</v>
      </c>
      <c r="F2514" s="19" t="str">
        <f>IFERROR(__xludf.DUMMYFUNCTION("""COMPUTED_VALUE"""),"BLUE")</f>
        <v>BLUE</v>
      </c>
      <c r="G2514" s="20" t="str">
        <f>IFERROR(__xludf.DUMMYFUNCTION("""COMPUTED_VALUE"""),"Uncle Sams Cider (04/04/2023)")</f>
        <v>Uncle Sams Cider (04/04/2023)</v>
      </c>
      <c r="H2514" s="19"/>
    </row>
    <row r="2515">
      <c r="A2515" s="9"/>
      <c r="B2515" s="15"/>
      <c r="C2515" s="9">
        <f>IFERROR(__xludf.DUMMYFUNCTION("""COMPUTED_VALUE"""),45118.251863912)</f>
        <v>45118.25186</v>
      </c>
      <c r="D2515" s="15">
        <f>IFERROR(__xludf.DUMMYFUNCTION("""COMPUTED_VALUE"""),0.999)</f>
        <v>0.999</v>
      </c>
      <c r="E2515" s="16">
        <f>IFERROR(__xludf.DUMMYFUNCTION("""COMPUTED_VALUE"""),70.0)</f>
        <v>70</v>
      </c>
      <c r="F2515" s="19" t="str">
        <f>IFERROR(__xludf.DUMMYFUNCTION("""COMPUTED_VALUE"""),"BLUE")</f>
        <v>BLUE</v>
      </c>
      <c r="G2515" s="20" t="str">
        <f>IFERROR(__xludf.DUMMYFUNCTION("""COMPUTED_VALUE"""),"Uncle Sams Cider (04/04/2023)")</f>
        <v>Uncle Sams Cider (04/04/2023)</v>
      </c>
      <c r="H2515" s="19"/>
    </row>
    <row r="2516">
      <c r="A2516" s="9"/>
      <c r="B2516" s="15"/>
      <c r="C2516" s="9">
        <f>IFERROR(__xludf.DUMMYFUNCTION("""COMPUTED_VALUE"""),45118.2414309953)</f>
        <v>45118.24143</v>
      </c>
      <c r="D2516" s="15">
        <f>IFERROR(__xludf.DUMMYFUNCTION("""COMPUTED_VALUE"""),0.999)</f>
        <v>0.999</v>
      </c>
      <c r="E2516" s="16">
        <f>IFERROR(__xludf.DUMMYFUNCTION("""COMPUTED_VALUE"""),70.0)</f>
        <v>70</v>
      </c>
      <c r="F2516" s="19" t="str">
        <f>IFERROR(__xludf.DUMMYFUNCTION("""COMPUTED_VALUE"""),"BLUE")</f>
        <v>BLUE</v>
      </c>
      <c r="G2516" s="20" t="str">
        <f>IFERROR(__xludf.DUMMYFUNCTION("""COMPUTED_VALUE"""),"Uncle Sams Cider (04/04/2023)")</f>
        <v>Uncle Sams Cider (04/04/2023)</v>
      </c>
      <c r="H2516" s="19"/>
    </row>
    <row r="2517">
      <c r="A2517" s="9"/>
      <c r="B2517" s="15"/>
      <c r="C2517" s="9">
        <f>IFERROR(__xludf.DUMMYFUNCTION("""COMPUTED_VALUE"""),45118.2309861574)</f>
        <v>45118.23099</v>
      </c>
      <c r="D2517" s="15">
        <f>IFERROR(__xludf.DUMMYFUNCTION("""COMPUTED_VALUE"""),0.999)</f>
        <v>0.999</v>
      </c>
      <c r="E2517" s="16">
        <f>IFERROR(__xludf.DUMMYFUNCTION("""COMPUTED_VALUE"""),70.0)</f>
        <v>70</v>
      </c>
      <c r="F2517" s="19" t="str">
        <f>IFERROR(__xludf.DUMMYFUNCTION("""COMPUTED_VALUE"""),"BLUE")</f>
        <v>BLUE</v>
      </c>
      <c r="G2517" s="20" t="str">
        <f>IFERROR(__xludf.DUMMYFUNCTION("""COMPUTED_VALUE"""),"Uncle Sams Cider (04/04/2023)")</f>
        <v>Uncle Sams Cider (04/04/2023)</v>
      </c>
      <c r="H2517" s="19"/>
    </row>
    <row r="2518">
      <c r="A2518" s="9"/>
      <c r="B2518" s="15"/>
      <c r="C2518" s="9">
        <f>IFERROR(__xludf.DUMMYFUNCTION("""COMPUTED_VALUE"""),45118.2205645601)</f>
        <v>45118.22056</v>
      </c>
      <c r="D2518" s="15">
        <f>IFERROR(__xludf.DUMMYFUNCTION("""COMPUTED_VALUE"""),0.999)</f>
        <v>0.999</v>
      </c>
      <c r="E2518" s="16">
        <f>IFERROR(__xludf.DUMMYFUNCTION("""COMPUTED_VALUE"""),70.0)</f>
        <v>70</v>
      </c>
      <c r="F2518" s="19" t="str">
        <f>IFERROR(__xludf.DUMMYFUNCTION("""COMPUTED_VALUE"""),"BLUE")</f>
        <v>BLUE</v>
      </c>
      <c r="G2518" s="20" t="str">
        <f>IFERROR(__xludf.DUMMYFUNCTION("""COMPUTED_VALUE"""),"Uncle Sams Cider (04/04/2023)")</f>
        <v>Uncle Sams Cider (04/04/2023)</v>
      </c>
      <c r="H2518" s="19"/>
    </row>
    <row r="2519">
      <c r="A2519" s="9"/>
      <c r="B2519" s="15"/>
      <c r="C2519" s="9">
        <f>IFERROR(__xludf.DUMMYFUNCTION("""COMPUTED_VALUE"""),45118.2101438194)</f>
        <v>45118.21014</v>
      </c>
      <c r="D2519" s="15">
        <f>IFERROR(__xludf.DUMMYFUNCTION("""COMPUTED_VALUE"""),0.999)</f>
        <v>0.999</v>
      </c>
      <c r="E2519" s="16">
        <f>IFERROR(__xludf.DUMMYFUNCTION("""COMPUTED_VALUE"""),70.0)</f>
        <v>70</v>
      </c>
      <c r="F2519" s="19" t="str">
        <f>IFERROR(__xludf.DUMMYFUNCTION("""COMPUTED_VALUE"""),"BLUE")</f>
        <v>BLUE</v>
      </c>
      <c r="G2519" s="20" t="str">
        <f>IFERROR(__xludf.DUMMYFUNCTION("""COMPUTED_VALUE"""),"Uncle Sams Cider (04/04/2023)")</f>
        <v>Uncle Sams Cider (04/04/2023)</v>
      </c>
      <c r="H2519" s="19"/>
    </row>
    <row r="2520">
      <c r="A2520" s="9"/>
      <c r="B2520" s="15"/>
      <c r="C2520" s="9">
        <f>IFERROR(__xludf.DUMMYFUNCTION("""COMPUTED_VALUE"""),45118.1997126388)</f>
        <v>45118.19971</v>
      </c>
      <c r="D2520" s="15">
        <f>IFERROR(__xludf.DUMMYFUNCTION("""COMPUTED_VALUE"""),0.999)</f>
        <v>0.999</v>
      </c>
      <c r="E2520" s="16">
        <f>IFERROR(__xludf.DUMMYFUNCTION("""COMPUTED_VALUE"""),70.0)</f>
        <v>70</v>
      </c>
      <c r="F2520" s="19" t="str">
        <f>IFERROR(__xludf.DUMMYFUNCTION("""COMPUTED_VALUE"""),"BLUE")</f>
        <v>BLUE</v>
      </c>
      <c r="G2520" s="20" t="str">
        <f>IFERROR(__xludf.DUMMYFUNCTION("""COMPUTED_VALUE"""),"Uncle Sams Cider (04/04/2023)")</f>
        <v>Uncle Sams Cider (04/04/2023)</v>
      </c>
      <c r="H2520" s="19"/>
    </row>
    <row r="2521">
      <c r="A2521" s="9"/>
      <c r="B2521" s="15"/>
      <c r="C2521" s="9">
        <f>IFERROR(__xludf.DUMMYFUNCTION("""COMPUTED_VALUE"""),45118.1892908912)</f>
        <v>45118.18929</v>
      </c>
      <c r="D2521" s="15">
        <f>IFERROR(__xludf.DUMMYFUNCTION("""COMPUTED_VALUE"""),0.999)</f>
        <v>0.999</v>
      </c>
      <c r="E2521" s="16">
        <f>IFERROR(__xludf.DUMMYFUNCTION("""COMPUTED_VALUE"""),70.0)</f>
        <v>70</v>
      </c>
      <c r="F2521" s="19" t="str">
        <f>IFERROR(__xludf.DUMMYFUNCTION("""COMPUTED_VALUE"""),"BLUE")</f>
        <v>BLUE</v>
      </c>
      <c r="G2521" s="20" t="str">
        <f>IFERROR(__xludf.DUMMYFUNCTION("""COMPUTED_VALUE"""),"Uncle Sams Cider (04/04/2023)")</f>
        <v>Uncle Sams Cider (04/04/2023)</v>
      </c>
      <c r="H2521" s="19"/>
    </row>
    <row r="2522">
      <c r="A2522" s="9"/>
      <c r="B2522" s="15"/>
      <c r="C2522" s="9">
        <f>IFERROR(__xludf.DUMMYFUNCTION("""COMPUTED_VALUE"""),45118.1788710069)</f>
        <v>45118.17887</v>
      </c>
      <c r="D2522" s="15">
        <f>IFERROR(__xludf.DUMMYFUNCTION("""COMPUTED_VALUE"""),0.999)</f>
        <v>0.999</v>
      </c>
      <c r="E2522" s="16">
        <f>IFERROR(__xludf.DUMMYFUNCTION("""COMPUTED_VALUE"""),70.0)</f>
        <v>70</v>
      </c>
      <c r="F2522" s="19" t="str">
        <f>IFERROR(__xludf.DUMMYFUNCTION("""COMPUTED_VALUE"""),"BLUE")</f>
        <v>BLUE</v>
      </c>
      <c r="G2522" s="20" t="str">
        <f>IFERROR(__xludf.DUMMYFUNCTION("""COMPUTED_VALUE"""),"Uncle Sams Cider (04/04/2023)")</f>
        <v>Uncle Sams Cider (04/04/2023)</v>
      </c>
      <c r="H2522" s="19"/>
    </row>
    <row r="2523">
      <c r="A2523" s="9"/>
      <c r="B2523" s="15"/>
      <c r="C2523" s="9">
        <f>IFERROR(__xludf.DUMMYFUNCTION("""COMPUTED_VALUE"""),45118.1684517476)</f>
        <v>45118.16845</v>
      </c>
      <c r="D2523" s="15">
        <f>IFERROR(__xludf.DUMMYFUNCTION("""COMPUTED_VALUE"""),0.999)</f>
        <v>0.999</v>
      </c>
      <c r="E2523" s="16">
        <f>IFERROR(__xludf.DUMMYFUNCTION("""COMPUTED_VALUE"""),70.0)</f>
        <v>70</v>
      </c>
      <c r="F2523" s="19" t="str">
        <f>IFERROR(__xludf.DUMMYFUNCTION("""COMPUTED_VALUE"""),"BLUE")</f>
        <v>BLUE</v>
      </c>
      <c r="G2523" s="20" t="str">
        <f>IFERROR(__xludf.DUMMYFUNCTION("""COMPUTED_VALUE"""),"Uncle Sams Cider (04/04/2023)")</f>
        <v>Uncle Sams Cider (04/04/2023)</v>
      </c>
      <c r="H2523" s="19"/>
    </row>
    <row r="2524">
      <c r="A2524" s="9"/>
      <c r="B2524" s="15"/>
      <c r="C2524" s="9">
        <f>IFERROR(__xludf.DUMMYFUNCTION("""COMPUTED_VALUE"""),45118.1580314583)</f>
        <v>45118.15803</v>
      </c>
      <c r="D2524" s="15">
        <f>IFERROR(__xludf.DUMMYFUNCTION("""COMPUTED_VALUE"""),0.999)</f>
        <v>0.999</v>
      </c>
      <c r="E2524" s="16">
        <f>IFERROR(__xludf.DUMMYFUNCTION("""COMPUTED_VALUE"""),70.0)</f>
        <v>70</v>
      </c>
      <c r="F2524" s="19" t="str">
        <f>IFERROR(__xludf.DUMMYFUNCTION("""COMPUTED_VALUE"""),"BLUE")</f>
        <v>BLUE</v>
      </c>
      <c r="G2524" s="20" t="str">
        <f>IFERROR(__xludf.DUMMYFUNCTION("""COMPUTED_VALUE"""),"Uncle Sams Cider (04/04/2023)")</f>
        <v>Uncle Sams Cider (04/04/2023)</v>
      </c>
      <c r="H2524" s="19"/>
    </row>
    <row r="2525">
      <c r="A2525" s="9"/>
      <c r="B2525" s="15"/>
      <c r="C2525" s="9">
        <f>IFERROR(__xludf.DUMMYFUNCTION("""COMPUTED_VALUE"""),45118.147609699)</f>
        <v>45118.14761</v>
      </c>
      <c r="D2525" s="15">
        <f>IFERROR(__xludf.DUMMYFUNCTION("""COMPUTED_VALUE"""),0.999)</f>
        <v>0.999</v>
      </c>
      <c r="E2525" s="16">
        <f>IFERROR(__xludf.DUMMYFUNCTION("""COMPUTED_VALUE"""),70.0)</f>
        <v>70</v>
      </c>
      <c r="F2525" s="19" t="str">
        <f>IFERROR(__xludf.DUMMYFUNCTION("""COMPUTED_VALUE"""),"BLUE")</f>
        <v>BLUE</v>
      </c>
      <c r="G2525" s="20" t="str">
        <f>IFERROR(__xludf.DUMMYFUNCTION("""COMPUTED_VALUE"""),"Uncle Sams Cider (04/04/2023)")</f>
        <v>Uncle Sams Cider (04/04/2023)</v>
      </c>
      <c r="H2525" s="19"/>
    </row>
    <row r="2526">
      <c r="A2526" s="9"/>
      <c r="B2526" s="15"/>
      <c r="C2526" s="9">
        <f>IFERROR(__xludf.DUMMYFUNCTION("""COMPUTED_VALUE"""),45118.1371864236)</f>
        <v>45118.13719</v>
      </c>
      <c r="D2526" s="15">
        <f>IFERROR(__xludf.DUMMYFUNCTION("""COMPUTED_VALUE"""),0.999)</f>
        <v>0.999</v>
      </c>
      <c r="E2526" s="16">
        <f>IFERROR(__xludf.DUMMYFUNCTION("""COMPUTED_VALUE"""),70.0)</f>
        <v>70</v>
      </c>
      <c r="F2526" s="19" t="str">
        <f>IFERROR(__xludf.DUMMYFUNCTION("""COMPUTED_VALUE"""),"BLUE")</f>
        <v>BLUE</v>
      </c>
      <c r="G2526" s="20" t="str">
        <f>IFERROR(__xludf.DUMMYFUNCTION("""COMPUTED_VALUE"""),"Uncle Sams Cider (04/04/2023)")</f>
        <v>Uncle Sams Cider (04/04/2023)</v>
      </c>
      <c r="H2526" s="19"/>
    </row>
    <row r="2527">
      <c r="A2527" s="9"/>
      <c r="B2527" s="15"/>
      <c r="C2527" s="9">
        <f>IFERROR(__xludf.DUMMYFUNCTION("""COMPUTED_VALUE"""),45118.126765625)</f>
        <v>45118.12677</v>
      </c>
      <c r="D2527" s="15">
        <f>IFERROR(__xludf.DUMMYFUNCTION("""COMPUTED_VALUE"""),0.999)</f>
        <v>0.999</v>
      </c>
      <c r="E2527" s="16">
        <f>IFERROR(__xludf.DUMMYFUNCTION("""COMPUTED_VALUE"""),70.0)</f>
        <v>70</v>
      </c>
      <c r="F2527" s="19" t="str">
        <f>IFERROR(__xludf.DUMMYFUNCTION("""COMPUTED_VALUE"""),"BLUE")</f>
        <v>BLUE</v>
      </c>
      <c r="G2527" s="20" t="str">
        <f>IFERROR(__xludf.DUMMYFUNCTION("""COMPUTED_VALUE"""),"Uncle Sams Cider (04/04/2023)")</f>
        <v>Uncle Sams Cider (04/04/2023)</v>
      </c>
      <c r="H2527" s="19"/>
    </row>
    <row r="2528">
      <c r="A2528" s="9"/>
      <c r="B2528" s="15"/>
      <c r="C2528" s="9">
        <f>IFERROR(__xludf.DUMMYFUNCTION("""COMPUTED_VALUE"""),45118.1163343287)</f>
        <v>45118.11633</v>
      </c>
      <c r="D2528" s="15">
        <f>IFERROR(__xludf.DUMMYFUNCTION("""COMPUTED_VALUE"""),0.999)</f>
        <v>0.999</v>
      </c>
      <c r="E2528" s="16">
        <f>IFERROR(__xludf.DUMMYFUNCTION("""COMPUTED_VALUE"""),70.0)</f>
        <v>70</v>
      </c>
      <c r="F2528" s="19" t="str">
        <f>IFERROR(__xludf.DUMMYFUNCTION("""COMPUTED_VALUE"""),"BLUE")</f>
        <v>BLUE</v>
      </c>
      <c r="G2528" s="20" t="str">
        <f>IFERROR(__xludf.DUMMYFUNCTION("""COMPUTED_VALUE"""),"Uncle Sams Cider (04/04/2023)")</f>
        <v>Uncle Sams Cider (04/04/2023)</v>
      </c>
      <c r="H2528" s="19"/>
    </row>
    <row r="2529">
      <c r="A2529" s="9"/>
      <c r="B2529" s="15"/>
      <c r="C2529" s="9">
        <f>IFERROR(__xludf.DUMMYFUNCTION("""COMPUTED_VALUE"""),45118.1059127314)</f>
        <v>45118.10591</v>
      </c>
      <c r="D2529" s="15">
        <f>IFERROR(__xludf.DUMMYFUNCTION("""COMPUTED_VALUE"""),0.999)</f>
        <v>0.999</v>
      </c>
      <c r="E2529" s="16">
        <f>IFERROR(__xludf.DUMMYFUNCTION("""COMPUTED_VALUE"""),70.0)</f>
        <v>70</v>
      </c>
      <c r="F2529" s="19" t="str">
        <f>IFERROR(__xludf.DUMMYFUNCTION("""COMPUTED_VALUE"""),"BLUE")</f>
        <v>BLUE</v>
      </c>
      <c r="G2529" s="20" t="str">
        <f>IFERROR(__xludf.DUMMYFUNCTION("""COMPUTED_VALUE"""),"Uncle Sams Cider (04/04/2023)")</f>
        <v>Uncle Sams Cider (04/04/2023)</v>
      </c>
      <c r="H2529" s="19"/>
    </row>
    <row r="2530">
      <c r="A2530" s="9"/>
      <c r="B2530" s="15"/>
      <c r="C2530" s="9">
        <f>IFERROR(__xludf.DUMMYFUNCTION("""COMPUTED_VALUE"""),45118.0954575463)</f>
        <v>45118.09546</v>
      </c>
      <c r="D2530" s="15">
        <f>IFERROR(__xludf.DUMMYFUNCTION("""COMPUTED_VALUE"""),0.999)</f>
        <v>0.999</v>
      </c>
      <c r="E2530" s="16">
        <f>IFERROR(__xludf.DUMMYFUNCTION("""COMPUTED_VALUE"""),70.0)</f>
        <v>70</v>
      </c>
      <c r="F2530" s="19" t="str">
        <f>IFERROR(__xludf.DUMMYFUNCTION("""COMPUTED_VALUE"""),"BLUE")</f>
        <v>BLUE</v>
      </c>
      <c r="G2530" s="20" t="str">
        <f>IFERROR(__xludf.DUMMYFUNCTION("""COMPUTED_VALUE"""),"Uncle Sams Cider (04/04/2023)")</f>
        <v>Uncle Sams Cider (04/04/2023)</v>
      </c>
      <c r="H2530" s="19"/>
    </row>
    <row r="2531">
      <c r="A2531" s="9"/>
      <c r="B2531" s="15"/>
      <c r="C2531" s="9">
        <f>IFERROR(__xludf.DUMMYFUNCTION("""COMPUTED_VALUE"""),45118.0850354976)</f>
        <v>45118.08504</v>
      </c>
      <c r="D2531" s="15">
        <f>IFERROR(__xludf.DUMMYFUNCTION("""COMPUTED_VALUE"""),0.999)</f>
        <v>0.999</v>
      </c>
      <c r="E2531" s="16">
        <f>IFERROR(__xludf.DUMMYFUNCTION("""COMPUTED_VALUE"""),70.0)</f>
        <v>70</v>
      </c>
      <c r="F2531" s="19" t="str">
        <f>IFERROR(__xludf.DUMMYFUNCTION("""COMPUTED_VALUE"""),"BLUE")</f>
        <v>BLUE</v>
      </c>
      <c r="G2531" s="20" t="str">
        <f>IFERROR(__xludf.DUMMYFUNCTION("""COMPUTED_VALUE"""),"Uncle Sams Cider (04/04/2023)")</f>
        <v>Uncle Sams Cider (04/04/2023)</v>
      </c>
      <c r="H2531" s="19"/>
    </row>
    <row r="2532">
      <c r="A2532" s="9"/>
      <c r="B2532" s="15"/>
      <c r="C2532" s="9">
        <f>IFERROR(__xludf.DUMMYFUNCTION("""COMPUTED_VALUE"""),45118.0746144097)</f>
        <v>45118.07461</v>
      </c>
      <c r="D2532" s="15">
        <f>IFERROR(__xludf.DUMMYFUNCTION("""COMPUTED_VALUE"""),0.999)</f>
        <v>0.999</v>
      </c>
      <c r="E2532" s="16">
        <f>IFERROR(__xludf.DUMMYFUNCTION("""COMPUTED_VALUE"""),70.0)</f>
        <v>70</v>
      </c>
      <c r="F2532" s="19" t="str">
        <f>IFERROR(__xludf.DUMMYFUNCTION("""COMPUTED_VALUE"""),"BLUE")</f>
        <v>BLUE</v>
      </c>
      <c r="G2532" s="20" t="str">
        <f>IFERROR(__xludf.DUMMYFUNCTION("""COMPUTED_VALUE"""),"Uncle Sams Cider (04/04/2023)")</f>
        <v>Uncle Sams Cider (04/04/2023)</v>
      </c>
      <c r="H2532" s="19"/>
    </row>
    <row r="2533">
      <c r="A2533" s="9"/>
      <c r="B2533" s="15"/>
      <c r="C2533" s="9">
        <f>IFERROR(__xludf.DUMMYFUNCTION("""COMPUTED_VALUE"""),45118.0641927314)</f>
        <v>45118.06419</v>
      </c>
      <c r="D2533" s="15">
        <f>IFERROR(__xludf.DUMMYFUNCTION("""COMPUTED_VALUE"""),0.999)</f>
        <v>0.999</v>
      </c>
      <c r="E2533" s="16">
        <f>IFERROR(__xludf.DUMMYFUNCTION("""COMPUTED_VALUE"""),70.0)</f>
        <v>70</v>
      </c>
      <c r="F2533" s="19" t="str">
        <f>IFERROR(__xludf.DUMMYFUNCTION("""COMPUTED_VALUE"""),"BLUE")</f>
        <v>BLUE</v>
      </c>
      <c r="G2533" s="20" t="str">
        <f>IFERROR(__xludf.DUMMYFUNCTION("""COMPUTED_VALUE"""),"Uncle Sams Cider (04/04/2023)")</f>
        <v>Uncle Sams Cider (04/04/2023)</v>
      </c>
      <c r="H2533" s="19"/>
    </row>
    <row r="2534">
      <c r="A2534" s="9"/>
      <c r="B2534" s="15"/>
      <c r="C2534" s="9">
        <f>IFERROR(__xludf.DUMMYFUNCTION("""COMPUTED_VALUE"""),45118.0537606365)</f>
        <v>45118.05376</v>
      </c>
      <c r="D2534" s="15">
        <f>IFERROR(__xludf.DUMMYFUNCTION("""COMPUTED_VALUE"""),0.999)</f>
        <v>0.999</v>
      </c>
      <c r="E2534" s="16">
        <f>IFERROR(__xludf.DUMMYFUNCTION("""COMPUTED_VALUE"""),70.0)</f>
        <v>70</v>
      </c>
      <c r="F2534" s="19" t="str">
        <f>IFERROR(__xludf.DUMMYFUNCTION("""COMPUTED_VALUE"""),"BLUE")</f>
        <v>BLUE</v>
      </c>
      <c r="G2534" s="20" t="str">
        <f>IFERROR(__xludf.DUMMYFUNCTION("""COMPUTED_VALUE"""),"Uncle Sams Cider (04/04/2023)")</f>
        <v>Uncle Sams Cider (04/04/2023)</v>
      </c>
      <c r="H2534" s="19"/>
    </row>
    <row r="2535">
      <c r="A2535" s="9"/>
      <c r="B2535" s="15"/>
      <c r="C2535" s="9">
        <f>IFERROR(__xludf.DUMMYFUNCTION("""COMPUTED_VALUE"""),45118.0433396296)</f>
        <v>45118.04334</v>
      </c>
      <c r="D2535" s="15">
        <f>IFERROR(__xludf.DUMMYFUNCTION("""COMPUTED_VALUE"""),0.999)</f>
        <v>0.999</v>
      </c>
      <c r="E2535" s="16">
        <f>IFERROR(__xludf.DUMMYFUNCTION("""COMPUTED_VALUE"""),70.0)</f>
        <v>70</v>
      </c>
      <c r="F2535" s="19" t="str">
        <f>IFERROR(__xludf.DUMMYFUNCTION("""COMPUTED_VALUE"""),"BLUE")</f>
        <v>BLUE</v>
      </c>
      <c r="G2535" s="20" t="str">
        <f>IFERROR(__xludf.DUMMYFUNCTION("""COMPUTED_VALUE"""),"Uncle Sams Cider (04/04/2023)")</f>
        <v>Uncle Sams Cider (04/04/2023)</v>
      </c>
      <c r="H2535" s="19"/>
    </row>
    <row r="2536">
      <c r="A2536" s="9"/>
      <c r="B2536" s="15"/>
      <c r="C2536" s="9">
        <f>IFERROR(__xludf.DUMMYFUNCTION("""COMPUTED_VALUE"""),45118.0329084259)</f>
        <v>45118.03291</v>
      </c>
      <c r="D2536" s="15">
        <f>IFERROR(__xludf.DUMMYFUNCTION("""COMPUTED_VALUE"""),0.999)</f>
        <v>0.999</v>
      </c>
      <c r="E2536" s="16">
        <f>IFERROR(__xludf.DUMMYFUNCTION("""COMPUTED_VALUE"""),70.0)</f>
        <v>70</v>
      </c>
      <c r="F2536" s="19" t="str">
        <f>IFERROR(__xludf.DUMMYFUNCTION("""COMPUTED_VALUE"""),"BLUE")</f>
        <v>BLUE</v>
      </c>
      <c r="G2536" s="20" t="str">
        <f>IFERROR(__xludf.DUMMYFUNCTION("""COMPUTED_VALUE"""),"Uncle Sams Cider (04/04/2023)")</f>
        <v>Uncle Sams Cider (04/04/2023)</v>
      </c>
      <c r="H2536" s="19"/>
    </row>
    <row r="2537">
      <c r="A2537" s="9"/>
      <c r="B2537" s="15"/>
      <c r="C2537" s="9">
        <f>IFERROR(__xludf.DUMMYFUNCTION("""COMPUTED_VALUE"""),45118.0224870138)</f>
        <v>45118.02249</v>
      </c>
      <c r="D2537" s="15">
        <f>IFERROR(__xludf.DUMMYFUNCTION("""COMPUTED_VALUE"""),0.999)</f>
        <v>0.999</v>
      </c>
      <c r="E2537" s="16">
        <f>IFERROR(__xludf.DUMMYFUNCTION("""COMPUTED_VALUE"""),70.0)</f>
        <v>70</v>
      </c>
      <c r="F2537" s="19" t="str">
        <f>IFERROR(__xludf.DUMMYFUNCTION("""COMPUTED_VALUE"""),"BLUE")</f>
        <v>BLUE</v>
      </c>
      <c r="G2537" s="20" t="str">
        <f>IFERROR(__xludf.DUMMYFUNCTION("""COMPUTED_VALUE"""),"Uncle Sams Cider (04/04/2023)")</f>
        <v>Uncle Sams Cider (04/04/2023)</v>
      </c>
      <c r="H2537" s="19"/>
    </row>
    <row r="2538">
      <c r="A2538" s="9"/>
      <c r="B2538" s="15"/>
      <c r="C2538" s="9">
        <f>IFERROR(__xludf.DUMMYFUNCTION("""COMPUTED_VALUE"""),45118.012053449)</f>
        <v>45118.01205</v>
      </c>
      <c r="D2538" s="15">
        <f>IFERROR(__xludf.DUMMYFUNCTION("""COMPUTED_VALUE"""),0.999)</f>
        <v>0.999</v>
      </c>
      <c r="E2538" s="16">
        <f>IFERROR(__xludf.DUMMYFUNCTION("""COMPUTED_VALUE"""),70.0)</f>
        <v>70</v>
      </c>
      <c r="F2538" s="19" t="str">
        <f>IFERROR(__xludf.DUMMYFUNCTION("""COMPUTED_VALUE"""),"BLUE")</f>
        <v>BLUE</v>
      </c>
      <c r="G2538" s="20" t="str">
        <f>IFERROR(__xludf.DUMMYFUNCTION("""COMPUTED_VALUE"""),"Uncle Sams Cider (04/04/2023)")</f>
        <v>Uncle Sams Cider (04/04/2023)</v>
      </c>
      <c r="H2538" s="19"/>
    </row>
    <row r="2539">
      <c r="A2539" s="9"/>
      <c r="B2539" s="15"/>
      <c r="C2539" s="9">
        <f>IFERROR(__xludf.DUMMYFUNCTION("""COMPUTED_VALUE"""),45118.0016090972)</f>
        <v>45118.00161</v>
      </c>
      <c r="D2539" s="15">
        <f>IFERROR(__xludf.DUMMYFUNCTION("""COMPUTED_VALUE"""),0.999)</f>
        <v>0.999</v>
      </c>
      <c r="E2539" s="16">
        <f>IFERROR(__xludf.DUMMYFUNCTION("""COMPUTED_VALUE"""),70.0)</f>
        <v>70</v>
      </c>
      <c r="F2539" s="19" t="str">
        <f>IFERROR(__xludf.DUMMYFUNCTION("""COMPUTED_VALUE"""),"BLUE")</f>
        <v>BLUE</v>
      </c>
      <c r="G2539" s="20" t="str">
        <f>IFERROR(__xludf.DUMMYFUNCTION("""COMPUTED_VALUE"""),"Uncle Sams Cider (04/04/2023)")</f>
        <v>Uncle Sams Cider (04/04/2023)</v>
      </c>
      <c r="H2539" s="19"/>
    </row>
    <row r="2540">
      <c r="A2540" s="9"/>
      <c r="B2540" s="15"/>
      <c r="C2540" s="9">
        <f>IFERROR(__xludf.DUMMYFUNCTION("""COMPUTED_VALUE"""),45117.9911880787)</f>
        <v>45117.99119</v>
      </c>
      <c r="D2540" s="15">
        <f>IFERROR(__xludf.DUMMYFUNCTION("""COMPUTED_VALUE"""),0.999)</f>
        <v>0.999</v>
      </c>
      <c r="E2540" s="16">
        <f>IFERROR(__xludf.DUMMYFUNCTION("""COMPUTED_VALUE"""),70.0)</f>
        <v>70</v>
      </c>
      <c r="F2540" s="19" t="str">
        <f>IFERROR(__xludf.DUMMYFUNCTION("""COMPUTED_VALUE"""),"BLUE")</f>
        <v>BLUE</v>
      </c>
      <c r="G2540" s="20" t="str">
        <f>IFERROR(__xludf.DUMMYFUNCTION("""COMPUTED_VALUE"""),"Uncle Sams Cider (04/04/2023)")</f>
        <v>Uncle Sams Cider (04/04/2023)</v>
      </c>
      <c r="H2540" s="19"/>
    </row>
    <row r="2541">
      <c r="A2541" s="9"/>
      <c r="B2541" s="15"/>
      <c r="C2541" s="9">
        <f>IFERROR(__xludf.DUMMYFUNCTION("""COMPUTED_VALUE"""),45117.9807550231)</f>
        <v>45117.98076</v>
      </c>
      <c r="D2541" s="15">
        <f>IFERROR(__xludf.DUMMYFUNCTION("""COMPUTED_VALUE"""),0.999)</f>
        <v>0.999</v>
      </c>
      <c r="E2541" s="16">
        <f>IFERROR(__xludf.DUMMYFUNCTION("""COMPUTED_VALUE"""),70.0)</f>
        <v>70</v>
      </c>
      <c r="F2541" s="19" t="str">
        <f>IFERROR(__xludf.DUMMYFUNCTION("""COMPUTED_VALUE"""),"BLUE")</f>
        <v>BLUE</v>
      </c>
      <c r="G2541" s="20" t="str">
        <f>IFERROR(__xludf.DUMMYFUNCTION("""COMPUTED_VALUE"""),"Uncle Sams Cider (04/04/2023)")</f>
        <v>Uncle Sams Cider (04/04/2023)</v>
      </c>
      <c r="H2541" s="19"/>
    </row>
    <row r="2542">
      <c r="A2542" s="9"/>
      <c r="B2542" s="15"/>
      <c r="C2542" s="9">
        <f>IFERROR(__xludf.DUMMYFUNCTION("""COMPUTED_VALUE"""),45117.9703330787)</f>
        <v>45117.97033</v>
      </c>
      <c r="D2542" s="15">
        <f>IFERROR(__xludf.DUMMYFUNCTION("""COMPUTED_VALUE"""),0.999)</f>
        <v>0.999</v>
      </c>
      <c r="E2542" s="16">
        <f>IFERROR(__xludf.DUMMYFUNCTION("""COMPUTED_VALUE"""),70.0)</f>
        <v>70</v>
      </c>
      <c r="F2542" s="19" t="str">
        <f>IFERROR(__xludf.DUMMYFUNCTION("""COMPUTED_VALUE"""),"BLUE")</f>
        <v>BLUE</v>
      </c>
      <c r="G2542" s="20" t="str">
        <f>IFERROR(__xludf.DUMMYFUNCTION("""COMPUTED_VALUE"""),"Uncle Sams Cider (04/04/2023)")</f>
        <v>Uncle Sams Cider (04/04/2023)</v>
      </c>
      <c r="H2542" s="19"/>
    </row>
    <row r="2543">
      <c r="A2543" s="9"/>
      <c r="B2543" s="15"/>
      <c r="C2543" s="9">
        <f>IFERROR(__xludf.DUMMYFUNCTION("""COMPUTED_VALUE"""),45117.9599127199)</f>
        <v>45117.95991</v>
      </c>
      <c r="D2543" s="15">
        <f>IFERROR(__xludf.DUMMYFUNCTION("""COMPUTED_VALUE"""),0.999)</f>
        <v>0.999</v>
      </c>
      <c r="E2543" s="16">
        <f>IFERROR(__xludf.DUMMYFUNCTION("""COMPUTED_VALUE"""),70.0)</f>
        <v>70</v>
      </c>
      <c r="F2543" s="19" t="str">
        <f>IFERROR(__xludf.DUMMYFUNCTION("""COMPUTED_VALUE"""),"BLUE")</f>
        <v>BLUE</v>
      </c>
      <c r="G2543" s="20" t="str">
        <f>IFERROR(__xludf.DUMMYFUNCTION("""COMPUTED_VALUE"""),"Uncle Sams Cider (04/04/2023)")</f>
        <v>Uncle Sams Cider (04/04/2023)</v>
      </c>
      <c r="H2543" s="19"/>
    </row>
    <row r="2544">
      <c r="A2544" s="9"/>
      <c r="B2544" s="15"/>
      <c r="C2544" s="9">
        <f>IFERROR(__xludf.DUMMYFUNCTION("""COMPUTED_VALUE"""),45117.949480949)</f>
        <v>45117.94948</v>
      </c>
      <c r="D2544" s="15">
        <f>IFERROR(__xludf.DUMMYFUNCTION("""COMPUTED_VALUE"""),0.999)</f>
        <v>0.999</v>
      </c>
      <c r="E2544" s="16">
        <f>IFERROR(__xludf.DUMMYFUNCTION("""COMPUTED_VALUE"""),70.0)</f>
        <v>70</v>
      </c>
      <c r="F2544" s="19" t="str">
        <f>IFERROR(__xludf.DUMMYFUNCTION("""COMPUTED_VALUE"""),"BLUE")</f>
        <v>BLUE</v>
      </c>
      <c r="G2544" s="20" t="str">
        <f>IFERROR(__xludf.DUMMYFUNCTION("""COMPUTED_VALUE"""),"Uncle Sams Cider (04/04/2023)")</f>
        <v>Uncle Sams Cider (04/04/2023)</v>
      </c>
      <c r="H2544" s="19"/>
    </row>
    <row r="2545">
      <c r="A2545" s="9"/>
      <c r="B2545" s="15"/>
      <c r="C2545" s="9">
        <f>IFERROR(__xludf.DUMMYFUNCTION("""COMPUTED_VALUE"""),45117.9390606713)</f>
        <v>45117.93906</v>
      </c>
      <c r="D2545" s="15">
        <f>IFERROR(__xludf.DUMMYFUNCTION("""COMPUTED_VALUE"""),0.999)</f>
        <v>0.999</v>
      </c>
      <c r="E2545" s="16">
        <f>IFERROR(__xludf.DUMMYFUNCTION("""COMPUTED_VALUE"""),70.0)</f>
        <v>70</v>
      </c>
      <c r="F2545" s="19" t="str">
        <f>IFERROR(__xludf.DUMMYFUNCTION("""COMPUTED_VALUE"""),"BLUE")</f>
        <v>BLUE</v>
      </c>
      <c r="G2545" s="20" t="str">
        <f>IFERROR(__xludf.DUMMYFUNCTION("""COMPUTED_VALUE"""),"Uncle Sams Cider (04/04/2023)")</f>
        <v>Uncle Sams Cider (04/04/2023)</v>
      </c>
      <c r="H2545" s="19"/>
    </row>
    <row r="2546">
      <c r="A2546" s="9"/>
      <c r="B2546" s="15"/>
      <c r="C2546" s="9">
        <f>IFERROR(__xludf.DUMMYFUNCTION("""COMPUTED_VALUE"""),45117.92864)</f>
        <v>45117.92864</v>
      </c>
      <c r="D2546" s="15">
        <f>IFERROR(__xludf.DUMMYFUNCTION("""COMPUTED_VALUE"""),0.999)</f>
        <v>0.999</v>
      </c>
      <c r="E2546" s="16">
        <f>IFERROR(__xludf.DUMMYFUNCTION("""COMPUTED_VALUE"""),70.0)</f>
        <v>70</v>
      </c>
      <c r="F2546" s="19" t="str">
        <f>IFERROR(__xludf.DUMMYFUNCTION("""COMPUTED_VALUE"""),"BLUE")</f>
        <v>BLUE</v>
      </c>
      <c r="G2546" s="20" t="str">
        <f>IFERROR(__xludf.DUMMYFUNCTION("""COMPUTED_VALUE"""),"Uncle Sams Cider (04/04/2023)")</f>
        <v>Uncle Sams Cider (04/04/2023)</v>
      </c>
      <c r="H2546" s="19"/>
    </row>
    <row r="2547">
      <c r="A2547" s="9"/>
      <c r="B2547" s="15"/>
      <c r="C2547" s="9">
        <f>IFERROR(__xludf.DUMMYFUNCTION("""COMPUTED_VALUE"""),45117.91821978)</f>
        <v>45117.91822</v>
      </c>
      <c r="D2547" s="15">
        <f>IFERROR(__xludf.DUMMYFUNCTION("""COMPUTED_VALUE"""),0.999)</f>
        <v>0.999</v>
      </c>
      <c r="E2547" s="16">
        <f>IFERROR(__xludf.DUMMYFUNCTION("""COMPUTED_VALUE"""),70.0)</f>
        <v>70</v>
      </c>
      <c r="F2547" s="19" t="str">
        <f>IFERROR(__xludf.DUMMYFUNCTION("""COMPUTED_VALUE"""),"BLUE")</f>
        <v>BLUE</v>
      </c>
      <c r="G2547" s="20" t="str">
        <f>IFERROR(__xludf.DUMMYFUNCTION("""COMPUTED_VALUE"""),"Uncle Sams Cider (04/04/2023)")</f>
        <v>Uncle Sams Cider (04/04/2023)</v>
      </c>
      <c r="H2547" s="19"/>
    </row>
    <row r="2548">
      <c r="A2548" s="9"/>
      <c r="B2548" s="15"/>
      <c r="C2548" s="9">
        <f>IFERROR(__xludf.DUMMYFUNCTION("""COMPUTED_VALUE"""),45117.9077992939)</f>
        <v>45117.9078</v>
      </c>
      <c r="D2548" s="15">
        <f>IFERROR(__xludf.DUMMYFUNCTION("""COMPUTED_VALUE"""),0.999)</f>
        <v>0.999</v>
      </c>
      <c r="E2548" s="16">
        <f>IFERROR(__xludf.DUMMYFUNCTION("""COMPUTED_VALUE"""),70.0)</f>
        <v>70</v>
      </c>
      <c r="F2548" s="19" t="str">
        <f>IFERROR(__xludf.DUMMYFUNCTION("""COMPUTED_VALUE"""),"BLUE")</f>
        <v>BLUE</v>
      </c>
      <c r="G2548" s="20" t="str">
        <f>IFERROR(__xludf.DUMMYFUNCTION("""COMPUTED_VALUE"""),"Uncle Sams Cider (04/04/2023)")</f>
        <v>Uncle Sams Cider (04/04/2023)</v>
      </c>
      <c r="H2548" s="19"/>
    </row>
    <row r="2549">
      <c r="A2549" s="9"/>
      <c r="B2549" s="15"/>
      <c r="C2549" s="9">
        <f>IFERROR(__xludf.DUMMYFUNCTION("""COMPUTED_VALUE"""),45117.8973807407)</f>
        <v>45117.89738</v>
      </c>
      <c r="D2549" s="15">
        <f>IFERROR(__xludf.DUMMYFUNCTION("""COMPUTED_VALUE"""),0.999)</f>
        <v>0.999</v>
      </c>
      <c r="E2549" s="16">
        <f>IFERROR(__xludf.DUMMYFUNCTION("""COMPUTED_VALUE"""),70.0)</f>
        <v>70</v>
      </c>
      <c r="F2549" s="19" t="str">
        <f>IFERROR(__xludf.DUMMYFUNCTION("""COMPUTED_VALUE"""),"BLUE")</f>
        <v>BLUE</v>
      </c>
      <c r="G2549" s="20" t="str">
        <f>IFERROR(__xludf.DUMMYFUNCTION("""COMPUTED_VALUE"""),"Uncle Sams Cider (04/04/2023)")</f>
        <v>Uncle Sams Cider (04/04/2023)</v>
      </c>
      <c r="H2549" s="19"/>
    </row>
    <row r="2550">
      <c r="A2550" s="9"/>
      <c r="B2550" s="15"/>
      <c r="C2550" s="9">
        <f>IFERROR(__xludf.DUMMYFUNCTION("""COMPUTED_VALUE"""),45117.8869588657)</f>
        <v>45117.88696</v>
      </c>
      <c r="D2550" s="15">
        <f>IFERROR(__xludf.DUMMYFUNCTION("""COMPUTED_VALUE"""),0.999)</f>
        <v>0.999</v>
      </c>
      <c r="E2550" s="16">
        <f>IFERROR(__xludf.DUMMYFUNCTION("""COMPUTED_VALUE"""),70.0)</f>
        <v>70</v>
      </c>
      <c r="F2550" s="19" t="str">
        <f>IFERROR(__xludf.DUMMYFUNCTION("""COMPUTED_VALUE"""),"BLUE")</f>
        <v>BLUE</v>
      </c>
      <c r="G2550" s="20" t="str">
        <f>IFERROR(__xludf.DUMMYFUNCTION("""COMPUTED_VALUE"""),"Uncle Sams Cider (04/04/2023)")</f>
        <v>Uncle Sams Cider (04/04/2023)</v>
      </c>
      <c r="H2550" s="19"/>
    </row>
    <row r="2551">
      <c r="A2551" s="9"/>
      <c r="B2551" s="15"/>
      <c r="C2551" s="9">
        <f>IFERROR(__xludf.DUMMYFUNCTION("""COMPUTED_VALUE"""),45117.8765370717)</f>
        <v>45117.87654</v>
      </c>
      <c r="D2551" s="15">
        <f>IFERROR(__xludf.DUMMYFUNCTION("""COMPUTED_VALUE"""),0.999)</f>
        <v>0.999</v>
      </c>
      <c r="E2551" s="16">
        <f>IFERROR(__xludf.DUMMYFUNCTION("""COMPUTED_VALUE"""),70.0)</f>
        <v>70</v>
      </c>
      <c r="F2551" s="19" t="str">
        <f>IFERROR(__xludf.DUMMYFUNCTION("""COMPUTED_VALUE"""),"BLUE")</f>
        <v>BLUE</v>
      </c>
      <c r="G2551" s="20" t="str">
        <f>IFERROR(__xludf.DUMMYFUNCTION("""COMPUTED_VALUE"""),"Uncle Sams Cider (04/04/2023)")</f>
        <v>Uncle Sams Cider (04/04/2023)</v>
      </c>
      <c r="H2551" s="19"/>
    </row>
    <row r="2552">
      <c r="A2552" s="9"/>
      <c r="B2552" s="15"/>
      <c r="C2552" s="9">
        <f>IFERROR(__xludf.DUMMYFUNCTION("""COMPUTED_VALUE"""),45117.8661154976)</f>
        <v>45117.86612</v>
      </c>
      <c r="D2552" s="15">
        <f>IFERROR(__xludf.DUMMYFUNCTION("""COMPUTED_VALUE"""),0.999)</f>
        <v>0.999</v>
      </c>
      <c r="E2552" s="16">
        <f>IFERROR(__xludf.DUMMYFUNCTION("""COMPUTED_VALUE"""),70.0)</f>
        <v>70</v>
      </c>
      <c r="F2552" s="19" t="str">
        <f>IFERROR(__xludf.DUMMYFUNCTION("""COMPUTED_VALUE"""),"BLUE")</f>
        <v>BLUE</v>
      </c>
      <c r="G2552" s="20" t="str">
        <f>IFERROR(__xludf.DUMMYFUNCTION("""COMPUTED_VALUE"""),"Uncle Sams Cider (04/04/2023)")</f>
        <v>Uncle Sams Cider (04/04/2023)</v>
      </c>
      <c r="H2552" s="19"/>
    </row>
    <row r="2553">
      <c r="A2553" s="9"/>
      <c r="B2553" s="15"/>
      <c r="C2553" s="9">
        <f>IFERROR(__xludf.DUMMYFUNCTION("""COMPUTED_VALUE"""),45117.8556945833)</f>
        <v>45117.85569</v>
      </c>
      <c r="D2553" s="15">
        <f>IFERROR(__xludf.DUMMYFUNCTION("""COMPUTED_VALUE"""),0.999)</f>
        <v>0.999</v>
      </c>
      <c r="E2553" s="16">
        <f>IFERROR(__xludf.DUMMYFUNCTION("""COMPUTED_VALUE"""),70.0)</f>
        <v>70</v>
      </c>
      <c r="F2553" s="19" t="str">
        <f>IFERROR(__xludf.DUMMYFUNCTION("""COMPUTED_VALUE"""),"BLUE")</f>
        <v>BLUE</v>
      </c>
      <c r="G2553" s="20" t="str">
        <f>IFERROR(__xludf.DUMMYFUNCTION("""COMPUTED_VALUE"""),"Uncle Sams Cider (04/04/2023)")</f>
        <v>Uncle Sams Cider (04/04/2023)</v>
      </c>
      <c r="H2553" s="19"/>
    </row>
    <row r="2554">
      <c r="A2554" s="9"/>
      <c r="B2554" s="15"/>
      <c r="C2554" s="9">
        <f>IFERROR(__xludf.DUMMYFUNCTION("""COMPUTED_VALUE"""),45117.845272581)</f>
        <v>45117.84527</v>
      </c>
      <c r="D2554" s="15">
        <f>IFERROR(__xludf.DUMMYFUNCTION("""COMPUTED_VALUE"""),0.999)</f>
        <v>0.999</v>
      </c>
      <c r="E2554" s="16">
        <f>IFERROR(__xludf.DUMMYFUNCTION("""COMPUTED_VALUE"""),70.0)</f>
        <v>70</v>
      </c>
      <c r="F2554" s="19" t="str">
        <f>IFERROR(__xludf.DUMMYFUNCTION("""COMPUTED_VALUE"""),"BLUE")</f>
        <v>BLUE</v>
      </c>
      <c r="G2554" s="20" t="str">
        <f>IFERROR(__xludf.DUMMYFUNCTION("""COMPUTED_VALUE"""),"Uncle Sams Cider (04/04/2023)")</f>
        <v>Uncle Sams Cider (04/04/2023)</v>
      </c>
      <c r="H2554" s="19"/>
    </row>
    <row r="2555">
      <c r="A2555" s="9"/>
      <c r="B2555" s="15"/>
      <c r="C2555" s="9">
        <f>IFERROR(__xludf.DUMMYFUNCTION("""COMPUTED_VALUE"""),45117.8348509027)</f>
        <v>45117.83485</v>
      </c>
      <c r="D2555" s="15">
        <f>IFERROR(__xludf.DUMMYFUNCTION("""COMPUTED_VALUE"""),0.999)</f>
        <v>0.999</v>
      </c>
      <c r="E2555" s="16">
        <f>IFERROR(__xludf.DUMMYFUNCTION("""COMPUTED_VALUE"""),70.0)</f>
        <v>70</v>
      </c>
      <c r="F2555" s="19" t="str">
        <f>IFERROR(__xludf.DUMMYFUNCTION("""COMPUTED_VALUE"""),"BLUE")</f>
        <v>BLUE</v>
      </c>
      <c r="G2555" s="20" t="str">
        <f>IFERROR(__xludf.DUMMYFUNCTION("""COMPUTED_VALUE"""),"Uncle Sams Cider (04/04/2023)")</f>
        <v>Uncle Sams Cider (04/04/2023)</v>
      </c>
      <c r="H2555" s="19"/>
    </row>
    <row r="2556">
      <c r="A2556" s="9"/>
      <c r="B2556" s="15"/>
      <c r="C2556" s="9">
        <f>IFERROR(__xludf.DUMMYFUNCTION("""COMPUTED_VALUE"""),45117.8244304513)</f>
        <v>45117.82443</v>
      </c>
      <c r="D2556" s="15">
        <f>IFERROR(__xludf.DUMMYFUNCTION("""COMPUTED_VALUE"""),0.999)</f>
        <v>0.999</v>
      </c>
      <c r="E2556" s="16">
        <f>IFERROR(__xludf.DUMMYFUNCTION("""COMPUTED_VALUE"""),70.0)</f>
        <v>70</v>
      </c>
      <c r="F2556" s="19" t="str">
        <f>IFERROR(__xludf.DUMMYFUNCTION("""COMPUTED_VALUE"""),"BLUE")</f>
        <v>BLUE</v>
      </c>
      <c r="G2556" s="20" t="str">
        <f>IFERROR(__xludf.DUMMYFUNCTION("""COMPUTED_VALUE"""),"Uncle Sams Cider (04/04/2023)")</f>
        <v>Uncle Sams Cider (04/04/2023)</v>
      </c>
      <c r="H2556" s="19"/>
    </row>
    <row r="2557">
      <c r="A2557" s="9"/>
      <c r="B2557" s="15"/>
      <c r="C2557" s="9">
        <f>IFERROR(__xludf.DUMMYFUNCTION("""COMPUTED_VALUE"""),45117.813998206)</f>
        <v>45117.814</v>
      </c>
      <c r="D2557" s="15">
        <f>IFERROR(__xludf.DUMMYFUNCTION("""COMPUTED_VALUE"""),0.999)</f>
        <v>0.999</v>
      </c>
      <c r="E2557" s="16">
        <f>IFERROR(__xludf.DUMMYFUNCTION("""COMPUTED_VALUE"""),70.0)</f>
        <v>70</v>
      </c>
      <c r="F2557" s="19" t="str">
        <f>IFERROR(__xludf.DUMMYFUNCTION("""COMPUTED_VALUE"""),"BLUE")</f>
        <v>BLUE</v>
      </c>
      <c r="G2557" s="20" t="str">
        <f>IFERROR(__xludf.DUMMYFUNCTION("""COMPUTED_VALUE"""),"Uncle Sams Cider (04/04/2023)")</f>
        <v>Uncle Sams Cider (04/04/2023)</v>
      </c>
      <c r="H2557" s="19"/>
    </row>
    <row r="2558">
      <c r="A2558" s="9"/>
      <c r="B2558" s="15"/>
      <c r="C2558" s="9">
        <f>IFERROR(__xludf.DUMMYFUNCTION("""COMPUTED_VALUE"""),45117.803575405)</f>
        <v>45117.80358</v>
      </c>
      <c r="D2558" s="15">
        <f>IFERROR(__xludf.DUMMYFUNCTION("""COMPUTED_VALUE"""),0.999)</f>
        <v>0.999</v>
      </c>
      <c r="E2558" s="16">
        <f>IFERROR(__xludf.DUMMYFUNCTION("""COMPUTED_VALUE"""),70.0)</f>
        <v>70</v>
      </c>
      <c r="F2558" s="19" t="str">
        <f>IFERROR(__xludf.DUMMYFUNCTION("""COMPUTED_VALUE"""),"BLUE")</f>
        <v>BLUE</v>
      </c>
      <c r="G2558" s="20" t="str">
        <f>IFERROR(__xludf.DUMMYFUNCTION("""COMPUTED_VALUE"""),"Uncle Sams Cider (04/04/2023)")</f>
        <v>Uncle Sams Cider (04/04/2023)</v>
      </c>
      <c r="H2558" s="19"/>
    </row>
    <row r="2559">
      <c r="A2559" s="9"/>
      <c r="B2559" s="15"/>
      <c r="C2559" s="9">
        <f>IFERROR(__xludf.DUMMYFUNCTION("""COMPUTED_VALUE"""),45117.7931304282)</f>
        <v>45117.79313</v>
      </c>
      <c r="D2559" s="15">
        <f>IFERROR(__xludf.DUMMYFUNCTION("""COMPUTED_VALUE"""),0.999)</f>
        <v>0.999</v>
      </c>
      <c r="E2559" s="16">
        <f>IFERROR(__xludf.DUMMYFUNCTION("""COMPUTED_VALUE"""),70.0)</f>
        <v>70</v>
      </c>
      <c r="F2559" s="19" t="str">
        <f>IFERROR(__xludf.DUMMYFUNCTION("""COMPUTED_VALUE"""),"BLUE")</f>
        <v>BLUE</v>
      </c>
      <c r="G2559" s="20" t="str">
        <f>IFERROR(__xludf.DUMMYFUNCTION("""COMPUTED_VALUE"""),"Uncle Sams Cider (04/04/2023)")</f>
        <v>Uncle Sams Cider (04/04/2023)</v>
      </c>
      <c r="H2559" s="19"/>
    </row>
    <row r="2560">
      <c r="A2560" s="9"/>
      <c r="B2560" s="15"/>
      <c r="C2560" s="9">
        <f>IFERROR(__xludf.DUMMYFUNCTION("""COMPUTED_VALUE"""),45117.7827078703)</f>
        <v>45117.78271</v>
      </c>
      <c r="D2560" s="15">
        <f>IFERROR(__xludf.DUMMYFUNCTION("""COMPUTED_VALUE"""),0.999)</f>
        <v>0.999</v>
      </c>
      <c r="E2560" s="16">
        <f>IFERROR(__xludf.DUMMYFUNCTION("""COMPUTED_VALUE"""),70.0)</f>
        <v>70</v>
      </c>
      <c r="F2560" s="19" t="str">
        <f>IFERROR(__xludf.DUMMYFUNCTION("""COMPUTED_VALUE"""),"BLUE")</f>
        <v>BLUE</v>
      </c>
      <c r="G2560" s="20" t="str">
        <f>IFERROR(__xludf.DUMMYFUNCTION("""COMPUTED_VALUE"""),"Uncle Sams Cider (04/04/2023)")</f>
        <v>Uncle Sams Cider (04/04/2023)</v>
      </c>
      <c r="H2560" s="19"/>
    </row>
    <row r="2561">
      <c r="A2561" s="9"/>
      <c r="B2561" s="15"/>
      <c r="C2561" s="9">
        <f>IFERROR(__xludf.DUMMYFUNCTION("""COMPUTED_VALUE"""),45117.7722871064)</f>
        <v>45117.77229</v>
      </c>
      <c r="D2561" s="15">
        <f>IFERROR(__xludf.DUMMYFUNCTION("""COMPUTED_VALUE"""),0.999)</f>
        <v>0.999</v>
      </c>
      <c r="E2561" s="16">
        <f>IFERROR(__xludf.DUMMYFUNCTION("""COMPUTED_VALUE"""),70.0)</f>
        <v>70</v>
      </c>
      <c r="F2561" s="19" t="str">
        <f>IFERROR(__xludf.DUMMYFUNCTION("""COMPUTED_VALUE"""),"BLUE")</f>
        <v>BLUE</v>
      </c>
      <c r="G2561" s="20" t="str">
        <f>IFERROR(__xludf.DUMMYFUNCTION("""COMPUTED_VALUE"""),"Uncle Sams Cider (04/04/2023)")</f>
        <v>Uncle Sams Cider (04/04/2023)</v>
      </c>
      <c r="H2561" s="19"/>
    </row>
    <row r="2562">
      <c r="A2562" s="9"/>
      <c r="B2562" s="15"/>
      <c r="C2562" s="9">
        <f>IFERROR(__xludf.DUMMYFUNCTION("""COMPUTED_VALUE"""),45117.7618565856)</f>
        <v>45117.76186</v>
      </c>
      <c r="D2562" s="15">
        <f>IFERROR(__xludf.DUMMYFUNCTION("""COMPUTED_VALUE"""),0.999)</f>
        <v>0.999</v>
      </c>
      <c r="E2562" s="16">
        <f>IFERROR(__xludf.DUMMYFUNCTION("""COMPUTED_VALUE"""),70.0)</f>
        <v>70</v>
      </c>
      <c r="F2562" s="19" t="str">
        <f>IFERROR(__xludf.DUMMYFUNCTION("""COMPUTED_VALUE"""),"BLUE")</f>
        <v>BLUE</v>
      </c>
      <c r="G2562" s="20" t="str">
        <f>IFERROR(__xludf.DUMMYFUNCTION("""COMPUTED_VALUE"""),"Uncle Sams Cider (04/04/2023)")</f>
        <v>Uncle Sams Cider (04/04/2023)</v>
      </c>
      <c r="H2562" s="19"/>
    </row>
    <row r="2563">
      <c r="A2563" s="9"/>
      <c r="B2563" s="15"/>
      <c r="C2563" s="9">
        <f>IFERROR(__xludf.DUMMYFUNCTION("""COMPUTED_VALUE"""),45117.7514347685)</f>
        <v>45117.75143</v>
      </c>
      <c r="D2563" s="15">
        <f>IFERROR(__xludf.DUMMYFUNCTION("""COMPUTED_VALUE"""),0.999)</f>
        <v>0.999</v>
      </c>
      <c r="E2563" s="16">
        <f>IFERROR(__xludf.DUMMYFUNCTION("""COMPUTED_VALUE"""),70.0)</f>
        <v>70</v>
      </c>
      <c r="F2563" s="19" t="str">
        <f>IFERROR(__xludf.DUMMYFUNCTION("""COMPUTED_VALUE"""),"BLUE")</f>
        <v>BLUE</v>
      </c>
      <c r="G2563" s="20" t="str">
        <f>IFERROR(__xludf.DUMMYFUNCTION("""COMPUTED_VALUE"""),"Uncle Sams Cider (04/04/2023)")</f>
        <v>Uncle Sams Cider (04/04/2023)</v>
      </c>
      <c r="H2563" s="19"/>
    </row>
    <row r="2564">
      <c r="A2564" s="9"/>
      <c r="B2564" s="15"/>
      <c r="C2564" s="9">
        <f>IFERROR(__xludf.DUMMYFUNCTION("""COMPUTED_VALUE"""),45117.7410144907)</f>
        <v>45117.74101</v>
      </c>
      <c r="D2564" s="15">
        <f>IFERROR(__xludf.DUMMYFUNCTION("""COMPUTED_VALUE"""),0.999)</f>
        <v>0.999</v>
      </c>
      <c r="E2564" s="16">
        <f>IFERROR(__xludf.DUMMYFUNCTION("""COMPUTED_VALUE"""),70.0)</f>
        <v>70</v>
      </c>
      <c r="F2564" s="19" t="str">
        <f>IFERROR(__xludf.DUMMYFUNCTION("""COMPUTED_VALUE"""),"BLUE")</f>
        <v>BLUE</v>
      </c>
      <c r="G2564" s="20" t="str">
        <f>IFERROR(__xludf.DUMMYFUNCTION("""COMPUTED_VALUE"""),"Uncle Sams Cider (04/04/2023)")</f>
        <v>Uncle Sams Cider (04/04/2023)</v>
      </c>
      <c r="H2564" s="19"/>
    </row>
    <row r="2565">
      <c r="A2565" s="9"/>
      <c r="B2565" s="15"/>
      <c r="C2565" s="9">
        <f>IFERROR(__xludf.DUMMYFUNCTION("""COMPUTED_VALUE"""),45117.7201492824)</f>
        <v>45117.72015</v>
      </c>
      <c r="D2565" s="15">
        <f>IFERROR(__xludf.DUMMYFUNCTION("""COMPUTED_VALUE"""),0.999)</f>
        <v>0.999</v>
      </c>
      <c r="E2565" s="16">
        <f>IFERROR(__xludf.DUMMYFUNCTION("""COMPUTED_VALUE"""),70.0)</f>
        <v>70</v>
      </c>
      <c r="F2565" s="19" t="str">
        <f>IFERROR(__xludf.DUMMYFUNCTION("""COMPUTED_VALUE"""),"BLUE")</f>
        <v>BLUE</v>
      </c>
      <c r="G2565" s="20" t="str">
        <f>IFERROR(__xludf.DUMMYFUNCTION("""COMPUTED_VALUE"""),"Uncle Sams Cider (04/04/2023)")</f>
        <v>Uncle Sams Cider (04/04/2023)</v>
      </c>
      <c r="H2565" s="19"/>
    </row>
    <row r="2566">
      <c r="A2566" s="9"/>
      <c r="B2566" s="15"/>
      <c r="C2566" s="9">
        <f>IFERROR(__xludf.DUMMYFUNCTION("""COMPUTED_VALUE"""),45117.709727037)</f>
        <v>45117.70973</v>
      </c>
      <c r="D2566" s="15">
        <f>IFERROR(__xludf.DUMMYFUNCTION("""COMPUTED_VALUE"""),0.999)</f>
        <v>0.999</v>
      </c>
      <c r="E2566" s="16">
        <f>IFERROR(__xludf.DUMMYFUNCTION("""COMPUTED_VALUE"""),70.0)</f>
        <v>70</v>
      </c>
      <c r="F2566" s="19" t="str">
        <f>IFERROR(__xludf.DUMMYFUNCTION("""COMPUTED_VALUE"""),"BLUE")</f>
        <v>BLUE</v>
      </c>
      <c r="G2566" s="20" t="str">
        <f>IFERROR(__xludf.DUMMYFUNCTION("""COMPUTED_VALUE"""),"Uncle Sams Cider (04/04/2023)")</f>
        <v>Uncle Sams Cider (04/04/2023)</v>
      </c>
      <c r="H2566" s="19"/>
    </row>
    <row r="2567">
      <c r="A2567" s="9"/>
      <c r="B2567" s="15"/>
      <c r="C2567" s="9">
        <f>IFERROR(__xludf.DUMMYFUNCTION("""COMPUTED_VALUE"""),45117.6993056713)</f>
        <v>45117.69931</v>
      </c>
      <c r="D2567" s="15">
        <f>IFERROR(__xludf.DUMMYFUNCTION("""COMPUTED_VALUE"""),0.999)</f>
        <v>0.999</v>
      </c>
      <c r="E2567" s="16">
        <f>IFERROR(__xludf.DUMMYFUNCTION("""COMPUTED_VALUE"""),70.0)</f>
        <v>70</v>
      </c>
      <c r="F2567" s="19" t="str">
        <f>IFERROR(__xludf.DUMMYFUNCTION("""COMPUTED_VALUE"""),"BLUE")</f>
        <v>BLUE</v>
      </c>
      <c r="G2567" s="20" t="str">
        <f>IFERROR(__xludf.DUMMYFUNCTION("""COMPUTED_VALUE"""),"Uncle Sams Cider (04/04/2023)")</f>
        <v>Uncle Sams Cider (04/04/2023)</v>
      </c>
      <c r="H2567" s="19"/>
    </row>
    <row r="2568">
      <c r="A2568" s="9"/>
      <c r="B2568" s="15"/>
      <c r="C2568" s="9">
        <f>IFERROR(__xludf.DUMMYFUNCTION("""COMPUTED_VALUE"""),45117.6888628125)</f>
        <v>45117.68886</v>
      </c>
      <c r="D2568" s="15">
        <f>IFERROR(__xludf.DUMMYFUNCTION("""COMPUTED_VALUE"""),0.999)</f>
        <v>0.999</v>
      </c>
      <c r="E2568" s="16">
        <f>IFERROR(__xludf.DUMMYFUNCTION("""COMPUTED_VALUE"""),70.0)</f>
        <v>70</v>
      </c>
      <c r="F2568" s="19" t="str">
        <f>IFERROR(__xludf.DUMMYFUNCTION("""COMPUTED_VALUE"""),"BLUE")</f>
        <v>BLUE</v>
      </c>
      <c r="G2568" s="20" t="str">
        <f>IFERROR(__xludf.DUMMYFUNCTION("""COMPUTED_VALUE"""),"Uncle Sams Cider (04/04/2023)")</f>
        <v>Uncle Sams Cider (04/04/2023)</v>
      </c>
      <c r="H2568" s="19"/>
    </row>
    <row r="2569">
      <c r="A2569" s="9"/>
      <c r="B2569" s="15"/>
      <c r="C2569" s="9">
        <f>IFERROR(__xludf.DUMMYFUNCTION("""COMPUTED_VALUE"""),45117.678430787)</f>
        <v>45117.67843</v>
      </c>
      <c r="D2569" s="15">
        <f>IFERROR(__xludf.DUMMYFUNCTION("""COMPUTED_VALUE"""),0.999)</f>
        <v>0.999</v>
      </c>
      <c r="E2569" s="16">
        <f>IFERROR(__xludf.DUMMYFUNCTION("""COMPUTED_VALUE"""),70.0)</f>
        <v>70</v>
      </c>
      <c r="F2569" s="19" t="str">
        <f>IFERROR(__xludf.DUMMYFUNCTION("""COMPUTED_VALUE"""),"BLUE")</f>
        <v>BLUE</v>
      </c>
      <c r="G2569" s="20" t="str">
        <f>IFERROR(__xludf.DUMMYFUNCTION("""COMPUTED_VALUE"""),"Uncle Sams Cider (04/04/2023)")</f>
        <v>Uncle Sams Cider (04/04/2023)</v>
      </c>
      <c r="H2569" s="19"/>
    </row>
    <row r="2570">
      <c r="A2570" s="9"/>
      <c r="B2570" s="15"/>
      <c r="C2570" s="9">
        <f>IFERROR(__xludf.DUMMYFUNCTION("""COMPUTED_VALUE"""),45117.6680110995)</f>
        <v>45117.66801</v>
      </c>
      <c r="D2570" s="15">
        <f>IFERROR(__xludf.DUMMYFUNCTION("""COMPUTED_VALUE"""),0.999)</f>
        <v>0.999</v>
      </c>
      <c r="E2570" s="16">
        <f>IFERROR(__xludf.DUMMYFUNCTION("""COMPUTED_VALUE"""),70.0)</f>
        <v>70</v>
      </c>
      <c r="F2570" s="19" t="str">
        <f>IFERROR(__xludf.DUMMYFUNCTION("""COMPUTED_VALUE"""),"BLUE")</f>
        <v>BLUE</v>
      </c>
      <c r="G2570" s="20" t="str">
        <f>IFERROR(__xludf.DUMMYFUNCTION("""COMPUTED_VALUE"""),"Uncle Sams Cider (04/04/2023)")</f>
        <v>Uncle Sams Cider (04/04/2023)</v>
      </c>
      <c r="H2570" s="19"/>
    </row>
    <row r="2571">
      <c r="A2571" s="9"/>
      <c r="B2571" s="15"/>
      <c r="C2571" s="9">
        <f>IFERROR(__xludf.DUMMYFUNCTION("""COMPUTED_VALUE"""),45117.6575916666)</f>
        <v>45117.65759</v>
      </c>
      <c r="D2571" s="15">
        <f>IFERROR(__xludf.DUMMYFUNCTION("""COMPUTED_VALUE"""),0.999)</f>
        <v>0.999</v>
      </c>
      <c r="E2571" s="16">
        <f>IFERROR(__xludf.DUMMYFUNCTION("""COMPUTED_VALUE"""),70.0)</f>
        <v>70</v>
      </c>
      <c r="F2571" s="19" t="str">
        <f>IFERROR(__xludf.DUMMYFUNCTION("""COMPUTED_VALUE"""),"BLUE")</f>
        <v>BLUE</v>
      </c>
      <c r="G2571" s="20" t="str">
        <f>IFERROR(__xludf.DUMMYFUNCTION("""COMPUTED_VALUE"""),"Uncle Sams Cider (04/04/2023)")</f>
        <v>Uncle Sams Cider (04/04/2023)</v>
      </c>
      <c r="H2571" s="19"/>
    </row>
    <row r="2572">
      <c r="A2572" s="9"/>
      <c r="B2572" s="15"/>
      <c r="C2572" s="9">
        <f>IFERROR(__xludf.DUMMYFUNCTION("""COMPUTED_VALUE"""),45117.6471698263)</f>
        <v>45117.64717</v>
      </c>
      <c r="D2572" s="15">
        <f>IFERROR(__xludf.DUMMYFUNCTION("""COMPUTED_VALUE"""),0.999)</f>
        <v>0.999</v>
      </c>
      <c r="E2572" s="16">
        <f>IFERROR(__xludf.DUMMYFUNCTION("""COMPUTED_VALUE"""),70.0)</f>
        <v>70</v>
      </c>
      <c r="F2572" s="19" t="str">
        <f>IFERROR(__xludf.DUMMYFUNCTION("""COMPUTED_VALUE"""),"BLUE")</f>
        <v>BLUE</v>
      </c>
      <c r="G2572" s="20" t="str">
        <f>IFERROR(__xludf.DUMMYFUNCTION("""COMPUTED_VALUE"""),"Uncle Sams Cider (04/04/2023)")</f>
        <v>Uncle Sams Cider (04/04/2023)</v>
      </c>
      <c r="H2572" s="19"/>
    </row>
    <row r="2573">
      <c r="A2573" s="9"/>
      <c r="B2573" s="15"/>
      <c r="C2573" s="9">
        <f>IFERROR(__xludf.DUMMYFUNCTION("""COMPUTED_VALUE"""),45117.6367380324)</f>
        <v>45117.63674</v>
      </c>
      <c r="D2573" s="15">
        <f>IFERROR(__xludf.DUMMYFUNCTION("""COMPUTED_VALUE"""),0.999)</f>
        <v>0.999</v>
      </c>
      <c r="E2573" s="16">
        <f>IFERROR(__xludf.DUMMYFUNCTION("""COMPUTED_VALUE"""),70.0)</f>
        <v>70</v>
      </c>
      <c r="F2573" s="19" t="str">
        <f>IFERROR(__xludf.DUMMYFUNCTION("""COMPUTED_VALUE"""),"BLUE")</f>
        <v>BLUE</v>
      </c>
      <c r="G2573" s="20" t="str">
        <f>IFERROR(__xludf.DUMMYFUNCTION("""COMPUTED_VALUE"""),"Uncle Sams Cider (04/04/2023)")</f>
        <v>Uncle Sams Cider (04/04/2023)</v>
      </c>
      <c r="H2573" s="19"/>
    </row>
    <row r="2574">
      <c r="A2574" s="9"/>
      <c r="B2574" s="15"/>
      <c r="C2574" s="9">
        <f>IFERROR(__xludf.DUMMYFUNCTION("""COMPUTED_VALUE"""),45117.6263157986)</f>
        <v>45117.62632</v>
      </c>
      <c r="D2574" s="15">
        <f>IFERROR(__xludf.DUMMYFUNCTION("""COMPUTED_VALUE"""),0.999)</f>
        <v>0.999</v>
      </c>
      <c r="E2574" s="16">
        <f>IFERROR(__xludf.DUMMYFUNCTION("""COMPUTED_VALUE"""),70.0)</f>
        <v>70</v>
      </c>
      <c r="F2574" s="19" t="str">
        <f>IFERROR(__xludf.DUMMYFUNCTION("""COMPUTED_VALUE"""),"BLUE")</f>
        <v>BLUE</v>
      </c>
      <c r="G2574" s="20" t="str">
        <f>IFERROR(__xludf.DUMMYFUNCTION("""COMPUTED_VALUE"""),"Uncle Sams Cider (04/04/2023)")</f>
        <v>Uncle Sams Cider (04/04/2023)</v>
      </c>
      <c r="H2574" s="19"/>
    </row>
    <row r="2575">
      <c r="A2575" s="9"/>
      <c r="B2575" s="15"/>
      <c r="C2575" s="9">
        <f>IFERROR(__xludf.DUMMYFUNCTION("""COMPUTED_VALUE"""),45117.6158953472)</f>
        <v>45117.6159</v>
      </c>
      <c r="D2575" s="15">
        <f>IFERROR(__xludf.DUMMYFUNCTION("""COMPUTED_VALUE"""),0.999)</f>
        <v>0.999</v>
      </c>
      <c r="E2575" s="16">
        <f>IFERROR(__xludf.DUMMYFUNCTION("""COMPUTED_VALUE"""),70.0)</f>
        <v>70</v>
      </c>
      <c r="F2575" s="19" t="str">
        <f>IFERROR(__xludf.DUMMYFUNCTION("""COMPUTED_VALUE"""),"BLUE")</f>
        <v>BLUE</v>
      </c>
      <c r="G2575" s="20" t="str">
        <f>IFERROR(__xludf.DUMMYFUNCTION("""COMPUTED_VALUE"""),"Uncle Sams Cider (04/04/2023)")</f>
        <v>Uncle Sams Cider (04/04/2023)</v>
      </c>
      <c r="H2575" s="19"/>
    </row>
    <row r="2576">
      <c r="A2576" s="9"/>
      <c r="B2576" s="15"/>
      <c r="C2576" s="9">
        <f>IFERROR(__xludf.DUMMYFUNCTION("""COMPUTED_VALUE"""),45117.6054645833)</f>
        <v>45117.60546</v>
      </c>
      <c r="D2576" s="15">
        <f>IFERROR(__xludf.DUMMYFUNCTION("""COMPUTED_VALUE"""),0.999)</f>
        <v>0.999</v>
      </c>
      <c r="E2576" s="16">
        <f>IFERROR(__xludf.DUMMYFUNCTION("""COMPUTED_VALUE"""),70.0)</f>
        <v>70</v>
      </c>
      <c r="F2576" s="19" t="str">
        <f>IFERROR(__xludf.DUMMYFUNCTION("""COMPUTED_VALUE"""),"BLUE")</f>
        <v>BLUE</v>
      </c>
      <c r="G2576" s="20" t="str">
        <f>IFERROR(__xludf.DUMMYFUNCTION("""COMPUTED_VALUE"""),"Uncle Sams Cider (04/04/2023)")</f>
        <v>Uncle Sams Cider (04/04/2023)</v>
      </c>
      <c r="H2576" s="19"/>
    </row>
    <row r="2577">
      <c r="A2577" s="9"/>
      <c r="B2577" s="15"/>
      <c r="C2577" s="9">
        <f>IFERROR(__xludf.DUMMYFUNCTION("""COMPUTED_VALUE"""),45117.5950419907)</f>
        <v>45117.59504</v>
      </c>
      <c r="D2577" s="15">
        <f>IFERROR(__xludf.DUMMYFUNCTION("""COMPUTED_VALUE"""),0.999)</f>
        <v>0.999</v>
      </c>
      <c r="E2577" s="16">
        <f>IFERROR(__xludf.DUMMYFUNCTION("""COMPUTED_VALUE"""),70.0)</f>
        <v>70</v>
      </c>
      <c r="F2577" s="19" t="str">
        <f>IFERROR(__xludf.DUMMYFUNCTION("""COMPUTED_VALUE"""),"BLUE")</f>
        <v>BLUE</v>
      </c>
      <c r="G2577" s="20" t="str">
        <f>IFERROR(__xludf.DUMMYFUNCTION("""COMPUTED_VALUE"""),"Uncle Sams Cider (04/04/2023)")</f>
        <v>Uncle Sams Cider (04/04/2023)</v>
      </c>
      <c r="H2577" s="19"/>
    </row>
    <row r="2578">
      <c r="A2578" s="9"/>
      <c r="B2578" s="15"/>
      <c r="C2578" s="9">
        <f>IFERROR(__xludf.DUMMYFUNCTION("""COMPUTED_VALUE"""),45117.584621412)</f>
        <v>45117.58462</v>
      </c>
      <c r="D2578" s="15">
        <f>IFERROR(__xludf.DUMMYFUNCTION("""COMPUTED_VALUE"""),0.999)</f>
        <v>0.999</v>
      </c>
      <c r="E2578" s="16">
        <f>IFERROR(__xludf.DUMMYFUNCTION("""COMPUTED_VALUE"""),70.0)</f>
        <v>70</v>
      </c>
      <c r="F2578" s="19" t="str">
        <f>IFERROR(__xludf.DUMMYFUNCTION("""COMPUTED_VALUE"""),"BLUE")</f>
        <v>BLUE</v>
      </c>
      <c r="G2578" s="20" t="str">
        <f>IFERROR(__xludf.DUMMYFUNCTION("""COMPUTED_VALUE"""),"Uncle Sams Cider (04/04/2023)")</f>
        <v>Uncle Sams Cider (04/04/2023)</v>
      </c>
      <c r="H2578" s="19"/>
    </row>
    <row r="2579">
      <c r="A2579" s="9"/>
      <c r="B2579" s="15"/>
      <c r="C2579" s="9">
        <f>IFERROR(__xludf.DUMMYFUNCTION("""COMPUTED_VALUE"""),45117.5741888773)</f>
        <v>45117.57419</v>
      </c>
      <c r="D2579" s="15">
        <f>IFERROR(__xludf.DUMMYFUNCTION("""COMPUTED_VALUE"""),0.999)</f>
        <v>0.999</v>
      </c>
      <c r="E2579" s="16">
        <f>IFERROR(__xludf.DUMMYFUNCTION("""COMPUTED_VALUE"""),70.0)</f>
        <v>70</v>
      </c>
      <c r="F2579" s="19" t="str">
        <f>IFERROR(__xludf.DUMMYFUNCTION("""COMPUTED_VALUE"""),"BLUE")</f>
        <v>BLUE</v>
      </c>
      <c r="G2579" s="20" t="str">
        <f>IFERROR(__xludf.DUMMYFUNCTION("""COMPUTED_VALUE"""),"Uncle Sams Cider (04/04/2023)")</f>
        <v>Uncle Sams Cider (04/04/2023)</v>
      </c>
      <c r="H2579" s="19"/>
    </row>
    <row r="2580">
      <c r="A2580" s="9"/>
      <c r="B2580" s="15"/>
      <c r="C2580" s="9">
        <f>IFERROR(__xludf.DUMMYFUNCTION("""COMPUTED_VALUE"""),45117.5637681018)</f>
        <v>45117.56377</v>
      </c>
      <c r="D2580" s="15">
        <f>IFERROR(__xludf.DUMMYFUNCTION("""COMPUTED_VALUE"""),0.999)</f>
        <v>0.999</v>
      </c>
      <c r="E2580" s="16">
        <f>IFERROR(__xludf.DUMMYFUNCTION("""COMPUTED_VALUE"""),70.0)</f>
        <v>70</v>
      </c>
      <c r="F2580" s="19" t="str">
        <f>IFERROR(__xludf.DUMMYFUNCTION("""COMPUTED_VALUE"""),"BLUE")</f>
        <v>BLUE</v>
      </c>
      <c r="G2580" s="20" t="str">
        <f>IFERROR(__xludf.DUMMYFUNCTION("""COMPUTED_VALUE"""),"Uncle Sams Cider (04/04/2023)")</f>
        <v>Uncle Sams Cider (04/04/2023)</v>
      </c>
      <c r="H2580" s="19"/>
    </row>
    <row r="2581">
      <c r="A2581" s="9"/>
      <c r="B2581" s="15"/>
      <c r="C2581" s="9">
        <f>IFERROR(__xludf.DUMMYFUNCTION("""COMPUTED_VALUE"""),45117.5533477546)</f>
        <v>45117.55335</v>
      </c>
      <c r="D2581" s="15">
        <f>IFERROR(__xludf.DUMMYFUNCTION("""COMPUTED_VALUE"""),0.999)</f>
        <v>0.999</v>
      </c>
      <c r="E2581" s="16">
        <f>IFERROR(__xludf.DUMMYFUNCTION("""COMPUTED_VALUE"""),70.0)</f>
        <v>70</v>
      </c>
      <c r="F2581" s="19" t="str">
        <f>IFERROR(__xludf.DUMMYFUNCTION("""COMPUTED_VALUE"""),"BLUE")</f>
        <v>BLUE</v>
      </c>
      <c r="G2581" s="20" t="str">
        <f>IFERROR(__xludf.DUMMYFUNCTION("""COMPUTED_VALUE"""),"Uncle Sams Cider (04/04/2023)")</f>
        <v>Uncle Sams Cider (04/04/2023)</v>
      </c>
      <c r="H2581" s="19"/>
    </row>
    <row r="2582">
      <c r="A2582" s="9"/>
      <c r="B2582" s="15"/>
      <c r="C2582" s="9">
        <f>IFERROR(__xludf.DUMMYFUNCTION("""COMPUTED_VALUE"""),45117.542925868)</f>
        <v>45117.54293</v>
      </c>
      <c r="D2582" s="15">
        <f>IFERROR(__xludf.DUMMYFUNCTION("""COMPUTED_VALUE"""),0.999)</f>
        <v>0.999</v>
      </c>
      <c r="E2582" s="16">
        <f>IFERROR(__xludf.DUMMYFUNCTION("""COMPUTED_VALUE"""),70.0)</f>
        <v>70</v>
      </c>
      <c r="F2582" s="19" t="str">
        <f>IFERROR(__xludf.DUMMYFUNCTION("""COMPUTED_VALUE"""),"BLUE")</f>
        <v>BLUE</v>
      </c>
      <c r="G2582" s="20" t="str">
        <f>IFERROR(__xludf.DUMMYFUNCTION("""COMPUTED_VALUE"""),"Uncle Sams Cider (04/04/2023)")</f>
        <v>Uncle Sams Cider (04/04/2023)</v>
      </c>
      <c r="H2582" s="19"/>
    </row>
    <row r="2583">
      <c r="A2583" s="9"/>
      <c r="B2583" s="15"/>
      <c r="C2583" s="9">
        <f>IFERROR(__xludf.DUMMYFUNCTION("""COMPUTED_VALUE"""),45117.5325052546)</f>
        <v>45117.53251</v>
      </c>
      <c r="D2583" s="15">
        <f>IFERROR(__xludf.DUMMYFUNCTION("""COMPUTED_VALUE"""),0.999)</f>
        <v>0.999</v>
      </c>
      <c r="E2583" s="16">
        <f>IFERROR(__xludf.DUMMYFUNCTION("""COMPUTED_VALUE"""),70.0)</f>
        <v>70</v>
      </c>
      <c r="F2583" s="19" t="str">
        <f>IFERROR(__xludf.DUMMYFUNCTION("""COMPUTED_VALUE"""),"BLUE")</f>
        <v>BLUE</v>
      </c>
      <c r="G2583" s="20" t="str">
        <f>IFERROR(__xludf.DUMMYFUNCTION("""COMPUTED_VALUE"""),"Uncle Sams Cider (04/04/2023)")</f>
        <v>Uncle Sams Cider (04/04/2023)</v>
      </c>
      <c r="H2583" s="19"/>
    </row>
    <row r="2584">
      <c r="A2584" s="9"/>
      <c r="B2584" s="15"/>
      <c r="C2584" s="9">
        <f>IFERROR(__xludf.DUMMYFUNCTION("""COMPUTED_VALUE"""),45117.5220719791)</f>
        <v>45117.52207</v>
      </c>
      <c r="D2584" s="15">
        <f>IFERROR(__xludf.DUMMYFUNCTION("""COMPUTED_VALUE"""),0.999)</f>
        <v>0.999</v>
      </c>
      <c r="E2584" s="16">
        <f>IFERROR(__xludf.DUMMYFUNCTION("""COMPUTED_VALUE"""),70.0)</f>
        <v>70</v>
      </c>
      <c r="F2584" s="19" t="str">
        <f>IFERROR(__xludf.DUMMYFUNCTION("""COMPUTED_VALUE"""),"BLUE")</f>
        <v>BLUE</v>
      </c>
      <c r="G2584" s="20" t="str">
        <f>IFERROR(__xludf.DUMMYFUNCTION("""COMPUTED_VALUE"""),"Uncle Sams Cider (04/04/2023)")</f>
        <v>Uncle Sams Cider (04/04/2023)</v>
      </c>
      <c r="H2584" s="19"/>
    </row>
    <row r="2585">
      <c r="A2585" s="9"/>
      <c r="B2585" s="15"/>
      <c r="C2585" s="9">
        <f>IFERROR(__xludf.DUMMYFUNCTION("""COMPUTED_VALUE"""),45117.5116519097)</f>
        <v>45117.51165</v>
      </c>
      <c r="D2585" s="15">
        <f>IFERROR(__xludf.DUMMYFUNCTION("""COMPUTED_VALUE"""),0.999)</f>
        <v>0.999</v>
      </c>
      <c r="E2585" s="16">
        <f>IFERROR(__xludf.DUMMYFUNCTION("""COMPUTED_VALUE"""),70.0)</f>
        <v>70</v>
      </c>
      <c r="F2585" s="19" t="str">
        <f>IFERROR(__xludf.DUMMYFUNCTION("""COMPUTED_VALUE"""),"BLUE")</f>
        <v>BLUE</v>
      </c>
      <c r="G2585" s="20" t="str">
        <f>IFERROR(__xludf.DUMMYFUNCTION("""COMPUTED_VALUE"""),"Uncle Sams Cider (04/04/2023)")</f>
        <v>Uncle Sams Cider (04/04/2023)</v>
      </c>
      <c r="H2585" s="19"/>
    </row>
    <row r="2586">
      <c r="A2586" s="9"/>
      <c r="B2586" s="15"/>
      <c r="C2586" s="9">
        <f>IFERROR(__xludf.DUMMYFUNCTION("""COMPUTED_VALUE"""),45117.5012310532)</f>
        <v>45117.50123</v>
      </c>
      <c r="D2586" s="15">
        <f>IFERROR(__xludf.DUMMYFUNCTION("""COMPUTED_VALUE"""),0.999)</f>
        <v>0.999</v>
      </c>
      <c r="E2586" s="16">
        <f>IFERROR(__xludf.DUMMYFUNCTION("""COMPUTED_VALUE"""),70.0)</f>
        <v>70</v>
      </c>
      <c r="F2586" s="19" t="str">
        <f>IFERROR(__xludf.DUMMYFUNCTION("""COMPUTED_VALUE"""),"BLUE")</f>
        <v>BLUE</v>
      </c>
      <c r="G2586" s="20" t="str">
        <f>IFERROR(__xludf.DUMMYFUNCTION("""COMPUTED_VALUE"""),"Uncle Sams Cider (04/04/2023)")</f>
        <v>Uncle Sams Cider (04/04/2023)</v>
      </c>
      <c r="H2586" s="19"/>
    </row>
    <row r="2587">
      <c r="A2587" s="9"/>
      <c r="B2587" s="15"/>
      <c r="C2587" s="9">
        <f>IFERROR(__xludf.DUMMYFUNCTION("""COMPUTED_VALUE"""),45117.4908112615)</f>
        <v>45117.49081</v>
      </c>
      <c r="D2587" s="15">
        <f>IFERROR(__xludf.DUMMYFUNCTION("""COMPUTED_VALUE"""),0.999)</f>
        <v>0.999</v>
      </c>
      <c r="E2587" s="16">
        <f>IFERROR(__xludf.DUMMYFUNCTION("""COMPUTED_VALUE"""),70.0)</f>
        <v>70</v>
      </c>
      <c r="F2587" s="19" t="str">
        <f>IFERROR(__xludf.DUMMYFUNCTION("""COMPUTED_VALUE"""),"BLUE")</f>
        <v>BLUE</v>
      </c>
      <c r="G2587" s="20" t="str">
        <f>IFERROR(__xludf.DUMMYFUNCTION("""COMPUTED_VALUE"""),"Uncle Sams Cider (04/04/2023)")</f>
        <v>Uncle Sams Cider (04/04/2023)</v>
      </c>
      <c r="H2587" s="19"/>
    </row>
    <row r="2588">
      <c r="A2588" s="9"/>
      <c r="B2588" s="15"/>
      <c r="C2588" s="9">
        <f>IFERROR(__xludf.DUMMYFUNCTION("""COMPUTED_VALUE"""),45117.4803918287)</f>
        <v>45117.48039</v>
      </c>
      <c r="D2588" s="15">
        <f>IFERROR(__xludf.DUMMYFUNCTION("""COMPUTED_VALUE"""),0.999)</f>
        <v>0.999</v>
      </c>
      <c r="E2588" s="16">
        <f>IFERROR(__xludf.DUMMYFUNCTION("""COMPUTED_VALUE"""),70.0)</f>
        <v>70</v>
      </c>
      <c r="F2588" s="19" t="str">
        <f>IFERROR(__xludf.DUMMYFUNCTION("""COMPUTED_VALUE"""),"BLUE")</f>
        <v>BLUE</v>
      </c>
      <c r="G2588" s="20" t="str">
        <f>IFERROR(__xludf.DUMMYFUNCTION("""COMPUTED_VALUE"""),"Uncle Sams Cider (04/04/2023)")</f>
        <v>Uncle Sams Cider (04/04/2023)</v>
      </c>
      <c r="H2588" s="19"/>
    </row>
    <row r="2589">
      <c r="A2589" s="9"/>
      <c r="B2589" s="15"/>
      <c r="C2589" s="9">
        <f>IFERROR(__xludf.DUMMYFUNCTION("""COMPUTED_VALUE"""),45117.4699584722)</f>
        <v>45117.46996</v>
      </c>
      <c r="D2589" s="15">
        <f>IFERROR(__xludf.DUMMYFUNCTION("""COMPUTED_VALUE"""),0.999)</f>
        <v>0.999</v>
      </c>
      <c r="E2589" s="16">
        <f>IFERROR(__xludf.DUMMYFUNCTION("""COMPUTED_VALUE"""),70.0)</f>
        <v>70</v>
      </c>
      <c r="F2589" s="19" t="str">
        <f>IFERROR(__xludf.DUMMYFUNCTION("""COMPUTED_VALUE"""),"BLUE")</f>
        <v>BLUE</v>
      </c>
      <c r="G2589" s="20" t="str">
        <f>IFERROR(__xludf.DUMMYFUNCTION("""COMPUTED_VALUE"""),"Uncle Sams Cider (04/04/2023)")</f>
        <v>Uncle Sams Cider (04/04/2023)</v>
      </c>
      <c r="H2589" s="19"/>
    </row>
    <row r="2590">
      <c r="A2590" s="9"/>
      <c r="B2590" s="15"/>
      <c r="C2590" s="9">
        <f>IFERROR(__xludf.DUMMYFUNCTION("""COMPUTED_VALUE"""),45117.4595370254)</f>
        <v>45117.45954</v>
      </c>
      <c r="D2590" s="15">
        <f>IFERROR(__xludf.DUMMYFUNCTION("""COMPUTED_VALUE"""),0.999)</f>
        <v>0.999</v>
      </c>
      <c r="E2590" s="16">
        <f>IFERROR(__xludf.DUMMYFUNCTION("""COMPUTED_VALUE"""),70.0)</f>
        <v>70</v>
      </c>
      <c r="F2590" s="19" t="str">
        <f>IFERROR(__xludf.DUMMYFUNCTION("""COMPUTED_VALUE"""),"BLUE")</f>
        <v>BLUE</v>
      </c>
      <c r="G2590" s="20" t="str">
        <f>IFERROR(__xludf.DUMMYFUNCTION("""COMPUTED_VALUE"""),"Uncle Sams Cider (04/04/2023)")</f>
        <v>Uncle Sams Cider (04/04/2023)</v>
      </c>
      <c r="H2590" s="19"/>
    </row>
    <row r="2591">
      <c r="A2591" s="9"/>
      <c r="B2591" s="15"/>
      <c r="C2591" s="9">
        <f>IFERROR(__xludf.DUMMYFUNCTION("""COMPUTED_VALUE"""),45117.4491157754)</f>
        <v>45117.44912</v>
      </c>
      <c r="D2591" s="15">
        <f>IFERROR(__xludf.DUMMYFUNCTION("""COMPUTED_VALUE"""),0.999)</f>
        <v>0.999</v>
      </c>
      <c r="E2591" s="16">
        <f>IFERROR(__xludf.DUMMYFUNCTION("""COMPUTED_VALUE"""),70.0)</f>
        <v>70</v>
      </c>
      <c r="F2591" s="19" t="str">
        <f>IFERROR(__xludf.DUMMYFUNCTION("""COMPUTED_VALUE"""),"BLUE")</f>
        <v>BLUE</v>
      </c>
      <c r="G2591" s="20" t="str">
        <f>IFERROR(__xludf.DUMMYFUNCTION("""COMPUTED_VALUE"""),"Uncle Sams Cider (04/04/2023)")</f>
        <v>Uncle Sams Cider (04/04/2023)</v>
      </c>
      <c r="H2591" s="19"/>
    </row>
    <row r="2592">
      <c r="A2592" s="9"/>
      <c r="B2592" s="15"/>
      <c r="C2592" s="9">
        <f>IFERROR(__xludf.DUMMYFUNCTION("""COMPUTED_VALUE"""),45117.4386933912)</f>
        <v>45117.43869</v>
      </c>
      <c r="D2592" s="15">
        <f>IFERROR(__xludf.DUMMYFUNCTION("""COMPUTED_VALUE"""),0.999)</f>
        <v>0.999</v>
      </c>
      <c r="E2592" s="16">
        <f>IFERROR(__xludf.DUMMYFUNCTION("""COMPUTED_VALUE"""),70.0)</f>
        <v>70</v>
      </c>
      <c r="F2592" s="19" t="str">
        <f>IFERROR(__xludf.DUMMYFUNCTION("""COMPUTED_VALUE"""),"BLUE")</f>
        <v>BLUE</v>
      </c>
      <c r="G2592" s="20" t="str">
        <f>IFERROR(__xludf.DUMMYFUNCTION("""COMPUTED_VALUE"""),"Uncle Sams Cider (04/04/2023)")</f>
        <v>Uncle Sams Cider (04/04/2023)</v>
      </c>
      <c r="H2592" s="19"/>
    </row>
    <row r="2593">
      <c r="A2593" s="9"/>
      <c r="B2593" s="15"/>
      <c r="C2593" s="9">
        <f>IFERROR(__xludf.DUMMYFUNCTION("""COMPUTED_VALUE"""),45117.4282722106)</f>
        <v>45117.42827</v>
      </c>
      <c r="D2593" s="15">
        <f>IFERROR(__xludf.DUMMYFUNCTION("""COMPUTED_VALUE"""),0.999)</f>
        <v>0.999</v>
      </c>
      <c r="E2593" s="16">
        <f>IFERROR(__xludf.DUMMYFUNCTION("""COMPUTED_VALUE"""),70.0)</f>
        <v>70</v>
      </c>
      <c r="F2593" s="19" t="str">
        <f>IFERROR(__xludf.DUMMYFUNCTION("""COMPUTED_VALUE"""),"BLUE")</f>
        <v>BLUE</v>
      </c>
      <c r="G2593" s="20" t="str">
        <f>IFERROR(__xludf.DUMMYFUNCTION("""COMPUTED_VALUE"""),"Uncle Sams Cider (04/04/2023)")</f>
        <v>Uncle Sams Cider (04/04/2023)</v>
      </c>
      <c r="H2593" s="19"/>
    </row>
    <row r="2594">
      <c r="A2594" s="9"/>
      <c r="B2594" s="15"/>
      <c r="C2594" s="9">
        <f>IFERROR(__xludf.DUMMYFUNCTION("""COMPUTED_VALUE"""),45117.4178512615)</f>
        <v>45117.41785</v>
      </c>
      <c r="D2594" s="15">
        <f>IFERROR(__xludf.DUMMYFUNCTION("""COMPUTED_VALUE"""),0.999)</f>
        <v>0.999</v>
      </c>
      <c r="E2594" s="16">
        <f>IFERROR(__xludf.DUMMYFUNCTION("""COMPUTED_VALUE"""),70.0)</f>
        <v>70</v>
      </c>
      <c r="F2594" s="19" t="str">
        <f>IFERROR(__xludf.DUMMYFUNCTION("""COMPUTED_VALUE"""),"BLUE")</f>
        <v>BLUE</v>
      </c>
      <c r="G2594" s="20" t="str">
        <f>IFERROR(__xludf.DUMMYFUNCTION("""COMPUTED_VALUE"""),"Uncle Sams Cider (04/04/2023)")</f>
        <v>Uncle Sams Cider (04/04/2023)</v>
      </c>
      <c r="H2594" s="19"/>
    </row>
    <row r="2595">
      <c r="A2595" s="9"/>
      <c r="B2595" s="15"/>
      <c r="C2595" s="9">
        <f>IFERROR(__xludf.DUMMYFUNCTION("""COMPUTED_VALUE"""),45117.4074285532)</f>
        <v>45117.40743</v>
      </c>
      <c r="D2595" s="15">
        <f>IFERROR(__xludf.DUMMYFUNCTION("""COMPUTED_VALUE"""),0.999)</f>
        <v>0.999</v>
      </c>
      <c r="E2595" s="16">
        <f>IFERROR(__xludf.DUMMYFUNCTION("""COMPUTED_VALUE"""),70.0)</f>
        <v>70</v>
      </c>
      <c r="F2595" s="19" t="str">
        <f>IFERROR(__xludf.DUMMYFUNCTION("""COMPUTED_VALUE"""),"BLUE")</f>
        <v>BLUE</v>
      </c>
      <c r="G2595" s="20" t="str">
        <f>IFERROR(__xludf.DUMMYFUNCTION("""COMPUTED_VALUE"""),"Uncle Sams Cider (04/04/2023)")</f>
        <v>Uncle Sams Cider (04/04/2023)</v>
      </c>
      <c r="H2595" s="19"/>
    </row>
    <row r="2596">
      <c r="A2596" s="9"/>
      <c r="B2596" s="15"/>
      <c r="C2596" s="9">
        <f>IFERROR(__xludf.DUMMYFUNCTION("""COMPUTED_VALUE"""),45117.3970054513)</f>
        <v>45117.39701</v>
      </c>
      <c r="D2596" s="15">
        <f>IFERROR(__xludf.DUMMYFUNCTION("""COMPUTED_VALUE"""),0.999)</f>
        <v>0.999</v>
      </c>
      <c r="E2596" s="16">
        <f>IFERROR(__xludf.DUMMYFUNCTION("""COMPUTED_VALUE"""),70.0)</f>
        <v>70</v>
      </c>
      <c r="F2596" s="19" t="str">
        <f>IFERROR(__xludf.DUMMYFUNCTION("""COMPUTED_VALUE"""),"BLUE")</f>
        <v>BLUE</v>
      </c>
      <c r="G2596" s="20" t="str">
        <f>IFERROR(__xludf.DUMMYFUNCTION("""COMPUTED_VALUE"""),"Uncle Sams Cider (04/04/2023)")</f>
        <v>Uncle Sams Cider (04/04/2023)</v>
      </c>
      <c r="H2596" s="19"/>
    </row>
    <row r="2597">
      <c r="A2597" s="9"/>
      <c r="B2597" s="15"/>
      <c r="C2597" s="9">
        <f>IFERROR(__xludf.DUMMYFUNCTION("""COMPUTED_VALUE"""),45117.3865839236)</f>
        <v>45117.38658</v>
      </c>
      <c r="D2597" s="15">
        <f>IFERROR(__xludf.DUMMYFUNCTION("""COMPUTED_VALUE"""),0.999)</f>
        <v>0.999</v>
      </c>
      <c r="E2597" s="16">
        <f>IFERROR(__xludf.DUMMYFUNCTION("""COMPUTED_VALUE"""),70.0)</f>
        <v>70</v>
      </c>
      <c r="F2597" s="19" t="str">
        <f>IFERROR(__xludf.DUMMYFUNCTION("""COMPUTED_VALUE"""),"BLUE")</f>
        <v>BLUE</v>
      </c>
      <c r="G2597" s="20" t="str">
        <f>IFERROR(__xludf.DUMMYFUNCTION("""COMPUTED_VALUE"""),"Uncle Sams Cider (04/04/2023)")</f>
        <v>Uncle Sams Cider (04/04/2023)</v>
      </c>
      <c r="H2597" s="19"/>
    </row>
    <row r="2598">
      <c r="A2598" s="9"/>
      <c r="B2598" s="15"/>
      <c r="C2598" s="9">
        <f>IFERROR(__xludf.DUMMYFUNCTION("""COMPUTED_VALUE"""),45117.3761640509)</f>
        <v>45117.37616</v>
      </c>
      <c r="D2598" s="15">
        <f>IFERROR(__xludf.DUMMYFUNCTION("""COMPUTED_VALUE"""),0.999)</f>
        <v>0.999</v>
      </c>
      <c r="E2598" s="16">
        <f>IFERROR(__xludf.DUMMYFUNCTION("""COMPUTED_VALUE"""),70.0)</f>
        <v>70</v>
      </c>
      <c r="F2598" s="19" t="str">
        <f>IFERROR(__xludf.DUMMYFUNCTION("""COMPUTED_VALUE"""),"BLUE")</f>
        <v>BLUE</v>
      </c>
      <c r="G2598" s="20" t="str">
        <f>IFERROR(__xludf.DUMMYFUNCTION("""COMPUTED_VALUE"""),"Uncle Sams Cider (04/04/2023)")</f>
        <v>Uncle Sams Cider (04/04/2023)</v>
      </c>
      <c r="H2598" s="19"/>
    </row>
    <row r="2599">
      <c r="A2599" s="9"/>
      <c r="B2599" s="15"/>
      <c r="C2599" s="9">
        <f>IFERROR(__xludf.DUMMYFUNCTION("""COMPUTED_VALUE"""),45117.3657446875)</f>
        <v>45117.36574</v>
      </c>
      <c r="D2599" s="15">
        <f>IFERROR(__xludf.DUMMYFUNCTION("""COMPUTED_VALUE"""),0.999)</f>
        <v>0.999</v>
      </c>
      <c r="E2599" s="16">
        <f>IFERROR(__xludf.DUMMYFUNCTION("""COMPUTED_VALUE"""),70.0)</f>
        <v>70</v>
      </c>
      <c r="F2599" s="19" t="str">
        <f>IFERROR(__xludf.DUMMYFUNCTION("""COMPUTED_VALUE"""),"BLUE")</f>
        <v>BLUE</v>
      </c>
      <c r="G2599" s="20" t="str">
        <f>IFERROR(__xludf.DUMMYFUNCTION("""COMPUTED_VALUE"""),"Uncle Sams Cider (04/04/2023)")</f>
        <v>Uncle Sams Cider (04/04/2023)</v>
      </c>
      <c r="H2599" s="19"/>
    </row>
    <row r="2600">
      <c r="A2600" s="9"/>
      <c r="B2600" s="15"/>
      <c r="C2600" s="9">
        <f>IFERROR(__xludf.DUMMYFUNCTION("""COMPUTED_VALUE"""),45117.3553235069)</f>
        <v>45117.35532</v>
      </c>
      <c r="D2600" s="15">
        <f>IFERROR(__xludf.DUMMYFUNCTION("""COMPUTED_VALUE"""),0.999)</f>
        <v>0.999</v>
      </c>
      <c r="E2600" s="16">
        <f>IFERROR(__xludf.DUMMYFUNCTION("""COMPUTED_VALUE"""),70.0)</f>
        <v>70</v>
      </c>
      <c r="F2600" s="19" t="str">
        <f>IFERROR(__xludf.DUMMYFUNCTION("""COMPUTED_VALUE"""),"BLUE")</f>
        <v>BLUE</v>
      </c>
      <c r="G2600" s="20" t="str">
        <f>IFERROR(__xludf.DUMMYFUNCTION("""COMPUTED_VALUE"""),"Uncle Sams Cider (04/04/2023)")</f>
        <v>Uncle Sams Cider (04/04/2023)</v>
      </c>
      <c r="H2600" s="19"/>
    </row>
    <row r="2601">
      <c r="A2601" s="9"/>
      <c r="B2601" s="15"/>
      <c r="C2601" s="9">
        <f>IFERROR(__xludf.DUMMYFUNCTION("""COMPUTED_VALUE"""),45117.3449023611)</f>
        <v>45117.3449</v>
      </c>
      <c r="D2601" s="15">
        <f>IFERROR(__xludf.DUMMYFUNCTION("""COMPUTED_VALUE"""),0.999)</f>
        <v>0.999</v>
      </c>
      <c r="E2601" s="16">
        <f>IFERROR(__xludf.DUMMYFUNCTION("""COMPUTED_VALUE"""),70.0)</f>
        <v>70</v>
      </c>
      <c r="F2601" s="19" t="str">
        <f>IFERROR(__xludf.DUMMYFUNCTION("""COMPUTED_VALUE"""),"BLUE")</f>
        <v>BLUE</v>
      </c>
      <c r="G2601" s="20" t="str">
        <f>IFERROR(__xludf.DUMMYFUNCTION("""COMPUTED_VALUE"""),"Uncle Sams Cider (04/04/2023)")</f>
        <v>Uncle Sams Cider (04/04/2023)</v>
      </c>
      <c r="H2601" s="19"/>
    </row>
    <row r="2602">
      <c r="A2602" s="9"/>
      <c r="B2602" s="15"/>
      <c r="C2602" s="9">
        <f>IFERROR(__xludf.DUMMYFUNCTION("""COMPUTED_VALUE"""),45117.3344807291)</f>
        <v>45117.33448</v>
      </c>
      <c r="D2602" s="15">
        <f>IFERROR(__xludf.DUMMYFUNCTION("""COMPUTED_VALUE"""),0.999)</f>
        <v>0.999</v>
      </c>
      <c r="E2602" s="16">
        <f>IFERROR(__xludf.DUMMYFUNCTION("""COMPUTED_VALUE"""),70.0)</f>
        <v>70</v>
      </c>
      <c r="F2602" s="19" t="str">
        <f>IFERROR(__xludf.DUMMYFUNCTION("""COMPUTED_VALUE"""),"BLUE")</f>
        <v>BLUE</v>
      </c>
      <c r="G2602" s="20" t="str">
        <f>IFERROR(__xludf.DUMMYFUNCTION("""COMPUTED_VALUE"""),"Uncle Sams Cider (04/04/2023)")</f>
        <v>Uncle Sams Cider (04/04/2023)</v>
      </c>
      <c r="H2602" s="19"/>
    </row>
    <row r="2603">
      <c r="A2603" s="9"/>
      <c r="B2603" s="15"/>
      <c r="C2603" s="9">
        <f>IFERROR(__xludf.DUMMYFUNCTION("""COMPUTED_VALUE"""),45117.3240347338)</f>
        <v>45117.32403</v>
      </c>
      <c r="D2603" s="15">
        <f>IFERROR(__xludf.DUMMYFUNCTION("""COMPUTED_VALUE"""),0.999)</f>
        <v>0.999</v>
      </c>
      <c r="E2603" s="16">
        <f>IFERROR(__xludf.DUMMYFUNCTION("""COMPUTED_VALUE"""),70.0)</f>
        <v>70</v>
      </c>
      <c r="F2603" s="19" t="str">
        <f>IFERROR(__xludf.DUMMYFUNCTION("""COMPUTED_VALUE"""),"BLUE")</f>
        <v>BLUE</v>
      </c>
      <c r="G2603" s="20" t="str">
        <f>IFERROR(__xludf.DUMMYFUNCTION("""COMPUTED_VALUE"""),"Uncle Sams Cider (04/04/2023)")</f>
        <v>Uncle Sams Cider (04/04/2023)</v>
      </c>
      <c r="H2603" s="19"/>
    </row>
    <row r="2604">
      <c r="A2604" s="9"/>
      <c r="B2604" s="15"/>
      <c r="C2604" s="9">
        <f>IFERROR(__xludf.DUMMYFUNCTION("""COMPUTED_VALUE"""),45117.3136136111)</f>
        <v>45117.31361</v>
      </c>
      <c r="D2604" s="15">
        <f>IFERROR(__xludf.DUMMYFUNCTION("""COMPUTED_VALUE"""),0.999)</f>
        <v>0.999</v>
      </c>
      <c r="E2604" s="16">
        <f>IFERROR(__xludf.DUMMYFUNCTION("""COMPUTED_VALUE"""),70.0)</f>
        <v>70</v>
      </c>
      <c r="F2604" s="19" t="str">
        <f>IFERROR(__xludf.DUMMYFUNCTION("""COMPUTED_VALUE"""),"BLUE")</f>
        <v>BLUE</v>
      </c>
      <c r="G2604" s="20" t="str">
        <f>IFERROR(__xludf.DUMMYFUNCTION("""COMPUTED_VALUE"""),"Uncle Sams Cider (04/04/2023)")</f>
        <v>Uncle Sams Cider (04/04/2023)</v>
      </c>
      <c r="H2604" s="19"/>
    </row>
    <row r="2605">
      <c r="A2605" s="9"/>
      <c r="B2605" s="15"/>
      <c r="C2605" s="9">
        <f>IFERROR(__xludf.DUMMYFUNCTION("""COMPUTED_VALUE"""),45117.3031919444)</f>
        <v>45117.30319</v>
      </c>
      <c r="D2605" s="15">
        <f>IFERROR(__xludf.DUMMYFUNCTION("""COMPUTED_VALUE"""),0.999)</f>
        <v>0.999</v>
      </c>
      <c r="E2605" s="16">
        <f>IFERROR(__xludf.DUMMYFUNCTION("""COMPUTED_VALUE"""),70.0)</f>
        <v>70</v>
      </c>
      <c r="F2605" s="19" t="str">
        <f>IFERROR(__xludf.DUMMYFUNCTION("""COMPUTED_VALUE"""),"BLUE")</f>
        <v>BLUE</v>
      </c>
      <c r="G2605" s="20" t="str">
        <f>IFERROR(__xludf.DUMMYFUNCTION("""COMPUTED_VALUE"""),"Uncle Sams Cider (04/04/2023)")</f>
        <v>Uncle Sams Cider (04/04/2023)</v>
      </c>
      <c r="H2605" s="19"/>
    </row>
    <row r="2606">
      <c r="A2606" s="9"/>
      <c r="B2606" s="15"/>
      <c r="C2606" s="9">
        <f>IFERROR(__xludf.DUMMYFUNCTION("""COMPUTED_VALUE"""),45117.2927713773)</f>
        <v>45117.29277</v>
      </c>
      <c r="D2606" s="15">
        <f>IFERROR(__xludf.DUMMYFUNCTION("""COMPUTED_VALUE"""),0.999)</f>
        <v>0.999</v>
      </c>
      <c r="E2606" s="16">
        <f>IFERROR(__xludf.DUMMYFUNCTION("""COMPUTED_VALUE"""),70.0)</f>
        <v>70</v>
      </c>
      <c r="F2606" s="19" t="str">
        <f>IFERROR(__xludf.DUMMYFUNCTION("""COMPUTED_VALUE"""),"BLUE")</f>
        <v>BLUE</v>
      </c>
      <c r="G2606" s="20" t="str">
        <f>IFERROR(__xludf.DUMMYFUNCTION("""COMPUTED_VALUE"""),"Uncle Sams Cider (04/04/2023)")</f>
        <v>Uncle Sams Cider (04/04/2023)</v>
      </c>
      <c r="H2606" s="19"/>
    </row>
    <row r="2607">
      <c r="A2607" s="9"/>
      <c r="B2607" s="15"/>
      <c r="C2607" s="9">
        <f>IFERROR(__xludf.DUMMYFUNCTION("""COMPUTED_VALUE"""),45117.2823383217)</f>
        <v>45117.28234</v>
      </c>
      <c r="D2607" s="15">
        <f>IFERROR(__xludf.DUMMYFUNCTION("""COMPUTED_VALUE"""),0.999)</f>
        <v>0.999</v>
      </c>
      <c r="E2607" s="16">
        <f>IFERROR(__xludf.DUMMYFUNCTION("""COMPUTED_VALUE"""),70.0)</f>
        <v>70</v>
      </c>
      <c r="F2607" s="19" t="str">
        <f>IFERROR(__xludf.DUMMYFUNCTION("""COMPUTED_VALUE"""),"BLUE")</f>
        <v>BLUE</v>
      </c>
      <c r="G2607" s="20" t="str">
        <f>IFERROR(__xludf.DUMMYFUNCTION("""COMPUTED_VALUE"""),"Uncle Sams Cider (04/04/2023)")</f>
        <v>Uncle Sams Cider (04/04/2023)</v>
      </c>
      <c r="H2607" s="19"/>
    </row>
    <row r="2608">
      <c r="A2608" s="9"/>
      <c r="B2608" s="15"/>
      <c r="C2608" s="9">
        <f>IFERROR(__xludf.DUMMYFUNCTION("""COMPUTED_VALUE"""),45117.2719157754)</f>
        <v>45117.27192</v>
      </c>
      <c r="D2608" s="15">
        <f>IFERROR(__xludf.DUMMYFUNCTION("""COMPUTED_VALUE"""),0.999)</f>
        <v>0.999</v>
      </c>
      <c r="E2608" s="16">
        <f>IFERROR(__xludf.DUMMYFUNCTION("""COMPUTED_VALUE"""),70.0)</f>
        <v>70</v>
      </c>
      <c r="F2608" s="19" t="str">
        <f>IFERROR(__xludf.DUMMYFUNCTION("""COMPUTED_VALUE"""),"BLUE")</f>
        <v>BLUE</v>
      </c>
      <c r="G2608" s="20" t="str">
        <f>IFERROR(__xludf.DUMMYFUNCTION("""COMPUTED_VALUE"""),"Uncle Sams Cider (04/04/2023)")</f>
        <v>Uncle Sams Cider (04/04/2023)</v>
      </c>
      <c r="H2608" s="19"/>
    </row>
    <row r="2609">
      <c r="A2609" s="9"/>
      <c r="B2609" s="15"/>
      <c r="C2609" s="9">
        <f>IFERROR(__xludf.DUMMYFUNCTION("""COMPUTED_VALUE"""),45117.2614814351)</f>
        <v>45117.26148</v>
      </c>
      <c r="D2609" s="15">
        <f>IFERROR(__xludf.DUMMYFUNCTION("""COMPUTED_VALUE"""),0.999)</f>
        <v>0.999</v>
      </c>
      <c r="E2609" s="16">
        <f>IFERROR(__xludf.DUMMYFUNCTION("""COMPUTED_VALUE"""),70.0)</f>
        <v>70</v>
      </c>
      <c r="F2609" s="19" t="str">
        <f>IFERROR(__xludf.DUMMYFUNCTION("""COMPUTED_VALUE"""),"BLUE")</f>
        <v>BLUE</v>
      </c>
      <c r="G2609" s="20" t="str">
        <f>IFERROR(__xludf.DUMMYFUNCTION("""COMPUTED_VALUE"""),"Uncle Sams Cider (04/04/2023)")</f>
        <v>Uncle Sams Cider (04/04/2023)</v>
      </c>
      <c r="H2609" s="19"/>
    </row>
    <row r="2610">
      <c r="A2610" s="9"/>
      <c r="B2610" s="15"/>
      <c r="C2610" s="9">
        <f>IFERROR(__xludf.DUMMYFUNCTION("""COMPUTED_VALUE"""),45117.2510594328)</f>
        <v>45117.25106</v>
      </c>
      <c r="D2610" s="15">
        <f>IFERROR(__xludf.DUMMYFUNCTION("""COMPUTED_VALUE"""),0.999)</f>
        <v>0.999</v>
      </c>
      <c r="E2610" s="16">
        <f>IFERROR(__xludf.DUMMYFUNCTION("""COMPUTED_VALUE"""),70.0)</f>
        <v>70</v>
      </c>
      <c r="F2610" s="19" t="str">
        <f>IFERROR(__xludf.DUMMYFUNCTION("""COMPUTED_VALUE"""),"BLUE")</f>
        <v>BLUE</v>
      </c>
      <c r="G2610" s="20" t="str">
        <f>IFERROR(__xludf.DUMMYFUNCTION("""COMPUTED_VALUE"""),"Uncle Sams Cider (04/04/2023)")</f>
        <v>Uncle Sams Cider (04/04/2023)</v>
      </c>
      <c r="H2610" s="19"/>
    </row>
    <row r="2611">
      <c r="A2611" s="9"/>
      <c r="B2611" s="15"/>
      <c r="C2611" s="9">
        <f>IFERROR(__xludf.DUMMYFUNCTION("""COMPUTED_VALUE"""),45117.2406255902)</f>
        <v>45117.24063</v>
      </c>
      <c r="D2611" s="15">
        <f>IFERROR(__xludf.DUMMYFUNCTION("""COMPUTED_VALUE"""),0.999)</f>
        <v>0.999</v>
      </c>
      <c r="E2611" s="16">
        <f>IFERROR(__xludf.DUMMYFUNCTION("""COMPUTED_VALUE"""),70.0)</f>
        <v>70</v>
      </c>
      <c r="F2611" s="19" t="str">
        <f>IFERROR(__xludf.DUMMYFUNCTION("""COMPUTED_VALUE"""),"BLUE")</f>
        <v>BLUE</v>
      </c>
      <c r="G2611" s="20" t="str">
        <f>IFERROR(__xludf.DUMMYFUNCTION("""COMPUTED_VALUE"""),"Uncle Sams Cider (04/04/2023)")</f>
        <v>Uncle Sams Cider (04/04/2023)</v>
      </c>
      <c r="H2611" s="19"/>
    </row>
    <row r="2612">
      <c r="A2612" s="9"/>
      <c r="B2612" s="15"/>
      <c r="C2612" s="9">
        <f>IFERROR(__xludf.DUMMYFUNCTION("""COMPUTED_VALUE"""),45117.230193287)</f>
        <v>45117.23019</v>
      </c>
      <c r="D2612" s="15">
        <f>IFERROR(__xludf.DUMMYFUNCTION("""COMPUTED_VALUE"""),0.999)</f>
        <v>0.999</v>
      </c>
      <c r="E2612" s="16">
        <f>IFERROR(__xludf.DUMMYFUNCTION("""COMPUTED_VALUE"""),70.0)</f>
        <v>70</v>
      </c>
      <c r="F2612" s="19" t="str">
        <f>IFERROR(__xludf.DUMMYFUNCTION("""COMPUTED_VALUE"""),"BLUE")</f>
        <v>BLUE</v>
      </c>
      <c r="G2612" s="20" t="str">
        <f>IFERROR(__xludf.DUMMYFUNCTION("""COMPUTED_VALUE"""),"Uncle Sams Cider (04/04/2023)")</f>
        <v>Uncle Sams Cider (04/04/2023)</v>
      </c>
      <c r="H2612" s="19"/>
    </row>
    <row r="2613">
      <c r="A2613" s="9"/>
      <c r="B2613" s="15"/>
      <c r="C2613" s="9">
        <f>IFERROR(__xludf.DUMMYFUNCTION("""COMPUTED_VALUE"""),45117.2197717013)</f>
        <v>45117.21977</v>
      </c>
      <c r="D2613" s="15">
        <f>IFERROR(__xludf.DUMMYFUNCTION("""COMPUTED_VALUE"""),0.999)</f>
        <v>0.999</v>
      </c>
      <c r="E2613" s="16">
        <f>IFERROR(__xludf.DUMMYFUNCTION("""COMPUTED_VALUE"""),70.0)</f>
        <v>70</v>
      </c>
      <c r="F2613" s="19" t="str">
        <f>IFERROR(__xludf.DUMMYFUNCTION("""COMPUTED_VALUE"""),"BLUE")</f>
        <v>BLUE</v>
      </c>
      <c r="G2613" s="20" t="str">
        <f>IFERROR(__xludf.DUMMYFUNCTION("""COMPUTED_VALUE"""),"Uncle Sams Cider (04/04/2023)")</f>
        <v>Uncle Sams Cider (04/04/2023)</v>
      </c>
      <c r="H2613" s="19"/>
    </row>
    <row r="2614">
      <c r="A2614" s="9"/>
      <c r="B2614" s="15"/>
      <c r="C2614" s="9">
        <f>IFERROR(__xludf.DUMMYFUNCTION("""COMPUTED_VALUE"""),45117.2093284027)</f>
        <v>45117.20933</v>
      </c>
      <c r="D2614" s="15">
        <f>IFERROR(__xludf.DUMMYFUNCTION("""COMPUTED_VALUE"""),0.999)</f>
        <v>0.999</v>
      </c>
      <c r="E2614" s="16">
        <f>IFERROR(__xludf.DUMMYFUNCTION("""COMPUTED_VALUE"""),70.0)</f>
        <v>70</v>
      </c>
      <c r="F2614" s="19" t="str">
        <f>IFERROR(__xludf.DUMMYFUNCTION("""COMPUTED_VALUE"""),"BLUE")</f>
        <v>BLUE</v>
      </c>
      <c r="G2614" s="20" t="str">
        <f>IFERROR(__xludf.DUMMYFUNCTION("""COMPUTED_VALUE"""),"Uncle Sams Cider (04/04/2023)")</f>
        <v>Uncle Sams Cider (04/04/2023)</v>
      </c>
      <c r="H2614" s="19"/>
    </row>
    <row r="2615">
      <c r="A2615" s="9"/>
      <c r="B2615" s="15"/>
      <c r="C2615" s="9">
        <f>IFERROR(__xludf.DUMMYFUNCTION("""COMPUTED_VALUE"""),45117.1988709027)</f>
        <v>45117.19887</v>
      </c>
      <c r="D2615" s="15">
        <f>IFERROR(__xludf.DUMMYFUNCTION("""COMPUTED_VALUE"""),0.999)</f>
        <v>0.999</v>
      </c>
      <c r="E2615" s="16">
        <f>IFERROR(__xludf.DUMMYFUNCTION("""COMPUTED_VALUE"""),70.0)</f>
        <v>70</v>
      </c>
      <c r="F2615" s="19" t="str">
        <f>IFERROR(__xludf.DUMMYFUNCTION("""COMPUTED_VALUE"""),"BLUE")</f>
        <v>BLUE</v>
      </c>
      <c r="G2615" s="20" t="str">
        <f>IFERROR(__xludf.DUMMYFUNCTION("""COMPUTED_VALUE"""),"Uncle Sams Cider (04/04/2023)")</f>
        <v>Uncle Sams Cider (04/04/2023)</v>
      </c>
      <c r="H2615" s="19"/>
    </row>
    <row r="2616">
      <c r="A2616" s="9"/>
      <c r="B2616" s="15"/>
      <c r="C2616" s="9">
        <f>IFERROR(__xludf.DUMMYFUNCTION("""COMPUTED_VALUE"""),45117.1884500578)</f>
        <v>45117.18845</v>
      </c>
      <c r="D2616" s="15">
        <f>IFERROR(__xludf.DUMMYFUNCTION("""COMPUTED_VALUE"""),0.999)</f>
        <v>0.999</v>
      </c>
      <c r="E2616" s="16">
        <f>IFERROR(__xludf.DUMMYFUNCTION("""COMPUTED_VALUE"""),70.0)</f>
        <v>70</v>
      </c>
      <c r="F2616" s="19" t="str">
        <f>IFERROR(__xludf.DUMMYFUNCTION("""COMPUTED_VALUE"""),"BLUE")</f>
        <v>BLUE</v>
      </c>
      <c r="G2616" s="20" t="str">
        <f>IFERROR(__xludf.DUMMYFUNCTION("""COMPUTED_VALUE"""),"Uncle Sams Cider (04/04/2023)")</f>
        <v>Uncle Sams Cider (04/04/2023)</v>
      </c>
      <c r="H2616" s="19"/>
    </row>
    <row r="2617">
      <c r="A2617" s="9"/>
      <c r="B2617" s="15"/>
      <c r="C2617" s="9">
        <f>IFERROR(__xludf.DUMMYFUNCTION("""COMPUTED_VALUE"""),45117.1780302199)</f>
        <v>45117.17803</v>
      </c>
      <c r="D2617" s="15">
        <f>IFERROR(__xludf.DUMMYFUNCTION("""COMPUTED_VALUE"""),0.999)</f>
        <v>0.999</v>
      </c>
      <c r="E2617" s="16">
        <f>IFERROR(__xludf.DUMMYFUNCTION("""COMPUTED_VALUE"""),70.0)</f>
        <v>70</v>
      </c>
      <c r="F2617" s="19" t="str">
        <f>IFERROR(__xludf.DUMMYFUNCTION("""COMPUTED_VALUE"""),"BLUE")</f>
        <v>BLUE</v>
      </c>
      <c r="G2617" s="20" t="str">
        <f>IFERROR(__xludf.DUMMYFUNCTION("""COMPUTED_VALUE"""),"Uncle Sams Cider (04/04/2023)")</f>
        <v>Uncle Sams Cider (04/04/2023)</v>
      </c>
      <c r="H2617" s="19"/>
    </row>
    <row r="2618">
      <c r="A2618" s="9"/>
      <c r="B2618" s="15"/>
      <c r="C2618" s="9">
        <f>IFERROR(__xludf.DUMMYFUNCTION("""COMPUTED_VALUE"""),45117.1675978472)</f>
        <v>45117.1676</v>
      </c>
      <c r="D2618" s="15">
        <f>IFERROR(__xludf.DUMMYFUNCTION("""COMPUTED_VALUE"""),0.999)</f>
        <v>0.999</v>
      </c>
      <c r="E2618" s="16">
        <f>IFERROR(__xludf.DUMMYFUNCTION("""COMPUTED_VALUE"""),70.0)</f>
        <v>70</v>
      </c>
      <c r="F2618" s="19" t="str">
        <f>IFERROR(__xludf.DUMMYFUNCTION("""COMPUTED_VALUE"""),"BLUE")</f>
        <v>BLUE</v>
      </c>
      <c r="G2618" s="20" t="str">
        <f>IFERROR(__xludf.DUMMYFUNCTION("""COMPUTED_VALUE"""),"Uncle Sams Cider (04/04/2023)")</f>
        <v>Uncle Sams Cider (04/04/2023)</v>
      </c>
      <c r="H2618" s="19"/>
    </row>
    <row r="2619">
      <c r="A2619" s="9"/>
      <c r="B2619" s="15"/>
      <c r="C2619" s="9">
        <f>IFERROR(__xludf.DUMMYFUNCTION("""COMPUTED_VALUE"""),45117.1571770138)</f>
        <v>45117.15718</v>
      </c>
      <c r="D2619" s="15">
        <f>IFERROR(__xludf.DUMMYFUNCTION("""COMPUTED_VALUE"""),0.999)</f>
        <v>0.999</v>
      </c>
      <c r="E2619" s="16">
        <f>IFERROR(__xludf.DUMMYFUNCTION("""COMPUTED_VALUE"""),70.0)</f>
        <v>70</v>
      </c>
      <c r="F2619" s="19" t="str">
        <f>IFERROR(__xludf.DUMMYFUNCTION("""COMPUTED_VALUE"""),"BLUE")</f>
        <v>BLUE</v>
      </c>
      <c r="G2619" s="20" t="str">
        <f>IFERROR(__xludf.DUMMYFUNCTION("""COMPUTED_VALUE"""),"Uncle Sams Cider (04/04/2023)")</f>
        <v>Uncle Sams Cider (04/04/2023)</v>
      </c>
      <c r="H2619" s="19"/>
    </row>
    <row r="2620">
      <c r="A2620" s="9"/>
      <c r="B2620" s="15"/>
      <c r="C2620" s="9">
        <f>IFERROR(__xludf.DUMMYFUNCTION("""COMPUTED_VALUE"""),45117.1467571759)</f>
        <v>45117.14676</v>
      </c>
      <c r="D2620" s="15">
        <f>IFERROR(__xludf.DUMMYFUNCTION("""COMPUTED_VALUE"""),0.999)</f>
        <v>0.999</v>
      </c>
      <c r="E2620" s="16">
        <f>IFERROR(__xludf.DUMMYFUNCTION("""COMPUTED_VALUE"""),70.0)</f>
        <v>70</v>
      </c>
      <c r="F2620" s="19" t="str">
        <f>IFERROR(__xludf.DUMMYFUNCTION("""COMPUTED_VALUE"""),"BLUE")</f>
        <v>BLUE</v>
      </c>
      <c r="G2620" s="20" t="str">
        <f>IFERROR(__xludf.DUMMYFUNCTION("""COMPUTED_VALUE"""),"Uncle Sams Cider (04/04/2023)")</f>
        <v>Uncle Sams Cider (04/04/2023)</v>
      </c>
      <c r="H2620" s="19"/>
    </row>
    <row r="2621">
      <c r="A2621" s="9"/>
      <c r="B2621" s="15"/>
      <c r="C2621" s="9">
        <f>IFERROR(__xludf.DUMMYFUNCTION("""COMPUTED_VALUE"""),45117.1363238078)</f>
        <v>45117.13632</v>
      </c>
      <c r="D2621" s="15">
        <f>IFERROR(__xludf.DUMMYFUNCTION("""COMPUTED_VALUE"""),0.999)</f>
        <v>0.999</v>
      </c>
      <c r="E2621" s="16">
        <f>IFERROR(__xludf.DUMMYFUNCTION("""COMPUTED_VALUE"""),70.0)</f>
        <v>70</v>
      </c>
      <c r="F2621" s="19" t="str">
        <f>IFERROR(__xludf.DUMMYFUNCTION("""COMPUTED_VALUE"""),"BLUE")</f>
        <v>BLUE</v>
      </c>
      <c r="G2621" s="20" t="str">
        <f>IFERROR(__xludf.DUMMYFUNCTION("""COMPUTED_VALUE"""),"Uncle Sams Cider (04/04/2023)")</f>
        <v>Uncle Sams Cider (04/04/2023)</v>
      </c>
      <c r="H2621" s="19"/>
    </row>
    <row r="2622">
      <c r="A2622" s="9"/>
      <c r="B2622" s="15"/>
      <c r="C2622" s="9">
        <f>IFERROR(__xludf.DUMMYFUNCTION("""COMPUTED_VALUE"""),45117.1259025115)</f>
        <v>45117.1259</v>
      </c>
      <c r="D2622" s="15">
        <f>IFERROR(__xludf.DUMMYFUNCTION("""COMPUTED_VALUE"""),0.999)</f>
        <v>0.999</v>
      </c>
      <c r="E2622" s="16">
        <f>IFERROR(__xludf.DUMMYFUNCTION("""COMPUTED_VALUE"""),70.0)</f>
        <v>70</v>
      </c>
      <c r="F2622" s="19" t="str">
        <f>IFERROR(__xludf.DUMMYFUNCTION("""COMPUTED_VALUE"""),"BLUE")</f>
        <v>BLUE</v>
      </c>
      <c r="G2622" s="20" t="str">
        <f>IFERROR(__xludf.DUMMYFUNCTION("""COMPUTED_VALUE"""),"Uncle Sams Cider (04/04/2023)")</f>
        <v>Uncle Sams Cider (04/04/2023)</v>
      </c>
      <c r="H2622" s="19"/>
    </row>
    <row r="2623">
      <c r="A2623" s="9"/>
      <c r="B2623" s="15"/>
      <c r="C2623" s="9">
        <f>IFERROR(__xludf.DUMMYFUNCTION("""COMPUTED_VALUE"""),45117.1154820717)</f>
        <v>45117.11548</v>
      </c>
      <c r="D2623" s="15">
        <f>IFERROR(__xludf.DUMMYFUNCTION("""COMPUTED_VALUE"""),0.999)</f>
        <v>0.999</v>
      </c>
      <c r="E2623" s="16">
        <f>IFERROR(__xludf.DUMMYFUNCTION("""COMPUTED_VALUE"""),70.0)</f>
        <v>70</v>
      </c>
      <c r="F2623" s="19" t="str">
        <f>IFERROR(__xludf.DUMMYFUNCTION("""COMPUTED_VALUE"""),"BLUE")</f>
        <v>BLUE</v>
      </c>
      <c r="G2623" s="20" t="str">
        <f>IFERROR(__xludf.DUMMYFUNCTION("""COMPUTED_VALUE"""),"Uncle Sams Cider (04/04/2023)")</f>
        <v>Uncle Sams Cider (04/04/2023)</v>
      </c>
      <c r="H2623" s="19"/>
    </row>
    <row r="2624">
      <c r="A2624" s="9"/>
      <c r="B2624" s="15"/>
      <c r="C2624" s="9">
        <f>IFERROR(__xludf.DUMMYFUNCTION("""COMPUTED_VALUE"""),45117.1050585995)</f>
        <v>45117.10506</v>
      </c>
      <c r="D2624" s="15">
        <f>IFERROR(__xludf.DUMMYFUNCTION("""COMPUTED_VALUE"""),0.999)</f>
        <v>0.999</v>
      </c>
      <c r="E2624" s="16">
        <f>IFERROR(__xludf.DUMMYFUNCTION("""COMPUTED_VALUE"""),70.0)</f>
        <v>70</v>
      </c>
      <c r="F2624" s="19" t="str">
        <f>IFERROR(__xludf.DUMMYFUNCTION("""COMPUTED_VALUE"""),"BLUE")</f>
        <v>BLUE</v>
      </c>
      <c r="G2624" s="20" t="str">
        <f>IFERROR(__xludf.DUMMYFUNCTION("""COMPUTED_VALUE"""),"Uncle Sams Cider (04/04/2023)")</f>
        <v>Uncle Sams Cider (04/04/2023)</v>
      </c>
      <c r="H2624" s="19"/>
    </row>
    <row r="2625">
      <c r="A2625" s="9"/>
      <c r="B2625" s="15"/>
      <c r="C2625" s="9">
        <f>IFERROR(__xludf.DUMMYFUNCTION("""COMPUTED_VALUE"""),45117.0946386111)</f>
        <v>45117.09464</v>
      </c>
      <c r="D2625" s="15">
        <f>IFERROR(__xludf.DUMMYFUNCTION("""COMPUTED_VALUE"""),0.999)</f>
        <v>0.999</v>
      </c>
      <c r="E2625" s="16">
        <f>IFERROR(__xludf.DUMMYFUNCTION("""COMPUTED_VALUE"""),70.0)</f>
        <v>70</v>
      </c>
      <c r="F2625" s="19" t="str">
        <f>IFERROR(__xludf.DUMMYFUNCTION("""COMPUTED_VALUE"""),"BLUE")</f>
        <v>BLUE</v>
      </c>
      <c r="G2625" s="20" t="str">
        <f>IFERROR(__xludf.DUMMYFUNCTION("""COMPUTED_VALUE"""),"Uncle Sams Cider (04/04/2023)")</f>
        <v>Uncle Sams Cider (04/04/2023)</v>
      </c>
      <c r="H2625" s="19"/>
    </row>
    <row r="2626">
      <c r="A2626" s="9"/>
      <c r="B2626" s="15"/>
      <c r="C2626" s="9">
        <f>IFERROR(__xludf.DUMMYFUNCTION("""COMPUTED_VALUE"""),45117.084204456)</f>
        <v>45117.0842</v>
      </c>
      <c r="D2626" s="15">
        <f>IFERROR(__xludf.DUMMYFUNCTION("""COMPUTED_VALUE"""),0.999)</f>
        <v>0.999</v>
      </c>
      <c r="E2626" s="16">
        <f>IFERROR(__xludf.DUMMYFUNCTION("""COMPUTED_VALUE"""),70.0)</f>
        <v>70</v>
      </c>
      <c r="F2626" s="19" t="str">
        <f>IFERROR(__xludf.DUMMYFUNCTION("""COMPUTED_VALUE"""),"BLUE")</f>
        <v>BLUE</v>
      </c>
      <c r="G2626" s="20" t="str">
        <f>IFERROR(__xludf.DUMMYFUNCTION("""COMPUTED_VALUE"""),"Uncle Sams Cider (04/04/2023)")</f>
        <v>Uncle Sams Cider (04/04/2023)</v>
      </c>
      <c r="H2626" s="19"/>
    </row>
    <row r="2627">
      <c r="A2627" s="9"/>
      <c r="B2627" s="15"/>
      <c r="C2627" s="9">
        <f>IFERROR(__xludf.DUMMYFUNCTION("""COMPUTED_VALUE"""),45117.0737830787)</f>
        <v>45117.07378</v>
      </c>
      <c r="D2627" s="15">
        <f>IFERROR(__xludf.DUMMYFUNCTION("""COMPUTED_VALUE"""),0.999)</f>
        <v>0.999</v>
      </c>
      <c r="E2627" s="16">
        <f>IFERROR(__xludf.DUMMYFUNCTION("""COMPUTED_VALUE"""),70.0)</f>
        <v>70</v>
      </c>
      <c r="F2627" s="19" t="str">
        <f>IFERROR(__xludf.DUMMYFUNCTION("""COMPUTED_VALUE"""),"BLUE")</f>
        <v>BLUE</v>
      </c>
      <c r="G2627" s="20" t="str">
        <f>IFERROR(__xludf.DUMMYFUNCTION("""COMPUTED_VALUE"""),"Uncle Sams Cider (04/04/2023)")</f>
        <v>Uncle Sams Cider (04/04/2023)</v>
      </c>
      <c r="H2627" s="19"/>
    </row>
    <row r="2628">
      <c r="A2628" s="9"/>
      <c r="B2628" s="15"/>
      <c r="C2628" s="9">
        <f>IFERROR(__xludf.DUMMYFUNCTION("""COMPUTED_VALUE"""),45117.0633606713)</f>
        <v>45117.06336</v>
      </c>
      <c r="D2628" s="15">
        <f>IFERROR(__xludf.DUMMYFUNCTION("""COMPUTED_VALUE"""),0.999)</f>
        <v>0.999</v>
      </c>
      <c r="E2628" s="16">
        <f>IFERROR(__xludf.DUMMYFUNCTION("""COMPUTED_VALUE"""),70.0)</f>
        <v>70</v>
      </c>
      <c r="F2628" s="19" t="str">
        <f>IFERROR(__xludf.DUMMYFUNCTION("""COMPUTED_VALUE"""),"BLUE")</f>
        <v>BLUE</v>
      </c>
      <c r="G2628" s="20" t="str">
        <f>IFERROR(__xludf.DUMMYFUNCTION("""COMPUTED_VALUE"""),"Uncle Sams Cider (04/04/2023)")</f>
        <v>Uncle Sams Cider (04/04/2023)</v>
      </c>
      <c r="H2628" s="19"/>
    </row>
    <row r="2629">
      <c r="A2629" s="9"/>
      <c r="B2629" s="15"/>
      <c r="C2629" s="9">
        <f>IFERROR(__xludf.DUMMYFUNCTION("""COMPUTED_VALUE"""),45117.0529392708)</f>
        <v>45117.05294</v>
      </c>
      <c r="D2629" s="15">
        <f>IFERROR(__xludf.DUMMYFUNCTION("""COMPUTED_VALUE"""),0.999)</f>
        <v>0.999</v>
      </c>
      <c r="E2629" s="16">
        <f>IFERROR(__xludf.DUMMYFUNCTION("""COMPUTED_VALUE"""),70.0)</f>
        <v>70</v>
      </c>
      <c r="F2629" s="19" t="str">
        <f>IFERROR(__xludf.DUMMYFUNCTION("""COMPUTED_VALUE"""),"BLUE")</f>
        <v>BLUE</v>
      </c>
      <c r="G2629" s="20" t="str">
        <f>IFERROR(__xludf.DUMMYFUNCTION("""COMPUTED_VALUE"""),"Uncle Sams Cider (04/04/2023)")</f>
        <v>Uncle Sams Cider (04/04/2023)</v>
      </c>
      <c r="H2629" s="19"/>
    </row>
    <row r="2630">
      <c r="A2630" s="9"/>
      <c r="B2630" s="15"/>
      <c r="C2630" s="9">
        <f>IFERROR(__xludf.DUMMYFUNCTION("""COMPUTED_VALUE"""),45117.0425043865)</f>
        <v>45117.0425</v>
      </c>
      <c r="D2630" s="15">
        <f>IFERROR(__xludf.DUMMYFUNCTION("""COMPUTED_VALUE"""),0.999)</f>
        <v>0.999</v>
      </c>
      <c r="E2630" s="16">
        <f>IFERROR(__xludf.DUMMYFUNCTION("""COMPUTED_VALUE"""),70.0)</f>
        <v>70</v>
      </c>
      <c r="F2630" s="19" t="str">
        <f>IFERROR(__xludf.DUMMYFUNCTION("""COMPUTED_VALUE"""),"BLUE")</f>
        <v>BLUE</v>
      </c>
      <c r="G2630" s="20" t="str">
        <f>IFERROR(__xludf.DUMMYFUNCTION("""COMPUTED_VALUE"""),"Uncle Sams Cider (04/04/2023)")</f>
        <v>Uncle Sams Cider (04/04/2023)</v>
      </c>
      <c r="H2630" s="19"/>
    </row>
    <row r="2631">
      <c r="A2631" s="9"/>
      <c r="B2631" s="15"/>
      <c r="C2631" s="9">
        <f>IFERROR(__xludf.DUMMYFUNCTION("""COMPUTED_VALUE"""),45117.0320826388)</f>
        <v>45117.03208</v>
      </c>
      <c r="D2631" s="15">
        <f>IFERROR(__xludf.DUMMYFUNCTION("""COMPUTED_VALUE"""),0.999)</f>
        <v>0.999</v>
      </c>
      <c r="E2631" s="16">
        <f>IFERROR(__xludf.DUMMYFUNCTION("""COMPUTED_VALUE"""),70.0)</f>
        <v>70</v>
      </c>
      <c r="F2631" s="19" t="str">
        <f>IFERROR(__xludf.DUMMYFUNCTION("""COMPUTED_VALUE"""),"BLUE")</f>
        <v>BLUE</v>
      </c>
      <c r="G2631" s="20" t="str">
        <f>IFERROR(__xludf.DUMMYFUNCTION("""COMPUTED_VALUE"""),"Uncle Sams Cider (04/04/2023)")</f>
        <v>Uncle Sams Cider (04/04/2023)</v>
      </c>
      <c r="H2631" s="19"/>
    </row>
    <row r="2632">
      <c r="A2632" s="9"/>
      <c r="B2632" s="15"/>
      <c r="C2632" s="9">
        <f>IFERROR(__xludf.DUMMYFUNCTION("""COMPUTED_VALUE"""),45117.0216605902)</f>
        <v>45117.02166</v>
      </c>
      <c r="D2632" s="15">
        <f>IFERROR(__xludf.DUMMYFUNCTION("""COMPUTED_VALUE"""),0.999)</f>
        <v>0.999</v>
      </c>
      <c r="E2632" s="16">
        <f>IFERROR(__xludf.DUMMYFUNCTION("""COMPUTED_VALUE"""),70.0)</f>
        <v>70</v>
      </c>
      <c r="F2632" s="19" t="str">
        <f>IFERROR(__xludf.DUMMYFUNCTION("""COMPUTED_VALUE"""),"BLUE")</f>
        <v>BLUE</v>
      </c>
      <c r="G2632" s="20" t="str">
        <f>IFERROR(__xludf.DUMMYFUNCTION("""COMPUTED_VALUE"""),"Uncle Sams Cider (04/04/2023)")</f>
        <v>Uncle Sams Cider (04/04/2023)</v>
      </c>
      <c r="H2632" s="19"/>
    </row>
    <row r="2633">
      <c r="A2633" s="9"/>
      <c r="B2633" s="15"/>
      <c r="C2633" s="9">
        <f>IFERROR(__xludf.DUMMYFUNCTION("""COMPUTED_VALUE"""),45117.0112384143)</f>
        <v>45117.01124</v>
      </c>
      <c r="D2633" s="15">
        <f>IFERROR(__xludf.DUMMYFUNCTION("""COMPUTED_VALUE"""),0.999)</f>
        <v>0.999</v>
      </c>
      <c r="E2633" s="16">
        <f>IFERROR(__xludf.DUMMYFUNCTION("""COMPUTED_VALUE"""),70.0)</f>
        <v>70</v>
      </c>
      <c r="F2633" s="19" t="str">
        <f>IFERROR(__xludf.DUMMYFUNCTION("""COMPUTED_VALUE"""),"BLUE")</f>
        <v>BLUE</v>
      </c>
      <c r="G2633" s="20" t="str">
        <f>IFERROR(__xludf.DUMMYFUNCTION("""COMPUTED_VALUE"""),"Uncle Sams Cider (04/04/2023)")</f>
        <v>Uncle Sams Cider (04/04/2023)</v>
      </c>
      <c r="H2633" s="19"/>
    </row>
    <row r="2634">
      <c r="A2634" s="9"/>
      <c r="B2634" s="15"/>
      <c r="C2634" s="9">
        <f>IFERROR(__xludf.DUMMYFUNCTION("""COMPUTED_VALUE"""),45117.0008163541)</f>
        <v>45117.00082</v>
      </c>
      <c r="D2634" s="15">
        <f>IFERROR(__xludf.DUMMYFUNCTION("""COMPUTED_VALUE"""),0.999)</f>
        <v>0.999</v>
      </c>
      <c r="E2634" s="16">
        <f>IFERROR(__xludf.DUMMYFUNCTION("""COMPUTED_VALUE"""),70.0)</f>
        <v>70</v>
      </c>
      <c r="F2634" s="19" t="str">
        <f>IFERROR(__xludf.DUMMYFUNCTION("""COMPUTED_VALUE"""),"BLUE")</f>
        <v>BLUE</v>
      </c>
      <c r="G2634" s="20" t="str">
        <f>IFERROR(__xludf.DUMMYFUNCTION("""COMPUTED_VALUE"""),"Uncle Sams Cider (04/04/2023)")</f>
        <v>Uncle Sams Cider (04/04/2023)</v>
      </c>
      <c r="H2634" s="19"/>
    </row>
    <row r="2635">
      <c r="A2635" s="9"/>
      <c r="B2635" s="15"/>
      <c r="C2635" s="9">
        <f>IFERROR(__xludf.DUMMYFUNCTION("""COMPUTED_VALUE"""),45116.9903971064)</f>
        <v>45116.9904</v>
      </c>
      <c r="D2635" s="15">
        <f>IFERROR(__xludf.DUMMYFUNCTION("""COMPUTED_VALUE"""),0.999)</f>
        <v>0.999</v>
      </c>
      <c r="E2635" s="16">
        <f>IFERROR(__xludf.DUMMYFUNCTION("""COMPUTED_VALUE"""),70.0)</f>
        <v>70</v>
      </c>
      <c r="F2635" s="19" t="str">
        <f>IFERROR(__xludf.DUMMYFUNCTION("""COMPUTED_VALUE"""),"BLUE")</f>
        <v>BLUE</v>
      </c>
      <c r="G2635" s="20" t="str">
        <f>IFERROR(__xludf.DUMMYFUNCTION("""COMPUTED_VALUE"""),"Uncle Sams Cider (04/04/2023)")</f>
        <v>Uncle Sams Cider (04/04/2023)</v>
      </c>
      <c r="H2635" s="19"/>
    </row>
    <row r="2636">
      <c r="A2636" s="9"/>
      <c r="B2636" s="15"/>
      <c r="C2636" s="9">
        <f>IFERROR(__xludf.DUMMYFUNCTION("""COMPUTED_VALUE"""),45116.9799762847)</f>
        <v>45116.97998</v>
      </c>
      <c r="D2636" s="15">
        <f>IFERROR(__xludf.DUMMYFUNCTION("""COMPUTED_VALUE"""),0.999)</f>
        <v>0.999</v>
      </c>
      <c r="E2636" s="16">
        <f>IFERROR(__xludf.DUMMYFUNCTION("""COMPUTED_VALUE"""),70.0)</f>
        <v>70</v>
      </c>
      <c r="F2636" s="19" t="str">
        <f>IFERROR(__xludf.DUMMYFUNCTION("""COMPUTED_VALUE"""),"BLUE")</f>
        <v>BLUE</v>
      </c>
      <c r="G2636" s="20" t="str">
        <f>IFERROR(__xludf.DUMMYFUNCTION("""COMPUTED_VALUE"""),"Uncle Sams Cider (04/04/2023)")</f>
        <v>Uncle Sams Cider (04/04/2023)</v>
      </c>
      <c r="H2636" s="19"/>
    </row>
    <row r="2637">
      <c r="A2637" s="9"/>
      <c r="B2637" s="15"/>
      <c r="C2637" s="9">
        <f>IFERROR(__xludf.DUMMYFUNCTION("""COMPUTED_VALUE"""),45116.9695541666)</f>
        <v>45116.96955</v>
      </c>
      <c r="D2637" s="15">
        <f>IFERROR(__xludf.DUMMYFUNCTION("""COMPUTED_VALUE"""),0.999)</f>
        <v>0.999</v>
      </c>
      <c r="E2637" s="16">
        <f>IFERROR(__xludf.DUMMYFUNCTION("""COMPUTED_VALUE"""),70.0)</f>
        <v>70</v>
      </c>
      <c r="F2637" s="19" t="str">
        <f>IFERROR(__xludf.DUMMYFUNCTION("""COMPUTED_VALUE"""),"BLUE")</f>
        <v>BLUE</v>
      </c>
      <c r="G2637" s="20" t="str">
        <f>IFERROR(__xludf.DUMMYFUNCTION("""COMPUTED_VALUE"""),"Uncle Sams Cider (04/04/2023)")</f>
        <v>Uncle Sams Cider (04/04/2023)</v>
      </c>
      <c r="H2637" s="19"/>
    </row>
    <row r="2638">
      <c r="A2638" s="9"/>
      <c r="B2638" s="15"/>
      <c r="C2638" s="9">
        <f>IFERROR(__xludf.DUMMYFUNCTION("""COMPUTED_VALUE"""),45116.9591325347)</f>
        <v>45116.95913</v>
      </c>
      <c r="D2638" s="15">
        <f>IFERROR(__xludf.DUMMYFUNCTION("""COMPUTED_VALUE"""),0.999)</f>
        <v>0.999</v>
      </c>
      <c r="E2638" s="16">
        <f>IFERROR(__xludf.DUMMYFUNCTION("""COMPUTED_VALUE"""),70.0)</f>
        <v>70</v>
      </c>
      <c r="F2638" s="19" t="str">
        <f>IFERROR(__xludf.DUMMYFUNCTION("""COMPUTED_VALUE"""),"BLUE")</f>
        <v>BLUE</v>
      </c>
      <c r="G2638" s="20" t="str">
        <f>IFERROR(__xludf.DUMMYFUNCTION("""COMPUTED_VALUE"""),"Uncle Sams Cider (04/04/2023)")</f>
        <v>Uncle Sams Cider (04/04/2023)</v>
      </c>
      <c r="H2638" s="19"/>
    </row>
    <row r="2639">
      <c r="A2639" s="9"/>
      <c r="B2639" s="15"/>
      <c r="C2639" s="9">
        <f>IFERROR(__xludf.DUMMYFUNCTION("""COMPUTED_VALUE"""),45116.9487114814)</f>
        <v>45116.94871</v>
      </c>
      <c r="D2639" s="15">
        <f>IFERROR(__xludf.DUMMYFUNCTION("""COMPUTED_VALUE"""),0.999)</f>
        <v>0.999</v>
      </c>
      <c r="E2639" s="16">
        <f>IFERROR(__xludf.DUMMYFUNCTION("""COMPUTED_VALUE"""),70.0)</f>
        <v>70</v>
      </c>
      <c r="F2639" s="19" t="str">
        <f>IFERROR(__xludf.DUMMYFUNCTION("""COMPUTED_VALUE"""),"BLUE")</f>
        <v>BLUE</v>
      </c>
      <c r="G2639" s="20" t="str">
        <f>IFERROR(__xludf.DUMMYFUNCTION("""COMPUTED_VALUE"""),"Uncle Sams Cider (04/04/2023)")</f>
        <v>Uncle Sams Cider (04/04/2023)</v>
      </c>
      <c r="H2639" s="19"/>
    </row>
    <row r="2640">
      <c r="A2640" s="9"/>
      <c r="B2640" s="15"/>
      <c r="C2640" s="9">
        <f>IFERROR(__xludf.DUMMYFUNCTION("""COMPUTED_VALUE"""),45116.9382785648)</f>
        <v>45116.93828</v>
      </c>
      <c r="D2640" s="15">
        <f>IFERROR(__xludf.DUMMYFUNCTION("""COMPUTED_VALUE"""),0.999)</f>
        <v>0.999</v>
      </c>
      <c r="E2640" s="16">
        <f>IFERROR(__xludf.DUMMYFUNCTION("""COMPUTED_VALUE"""),70.0)</f>
        <v>70</v>
      </c>
      <c r="F2640" s="19" t="str">
        <f>IFERROR(__xludf.DUMMYFUNCTION("""COMPUTED_VALUE"""),"BLUE")</f>
        <v>BLUE</v>
      </c>
      <c r="G2640" s="20" t="str">
        <f>IFERROR(__xludf.DUMMYFUNCTION("""COMPUTED_VALUE"""),"Uncle Sams Cider (04/04/2023)")</f>
        <v>Uncle Sams Cider (04/04/2023)</v>
      </c>
      <c r="H2640" s="19"/>
    </row>
    <row r="2641">
      <c r="A2641" s="9"/>
      <c r="B2641" s="15"/>
      <c r="C2641" s="9">
        <f>IFERROR(__xludf.DUMMYFUNCTION("""COMPUTED_VALUE"""),45116.9278575231)</f>
        <v>45116.92786</v>
      </c>
      <c r="D2641" s="15">
        <f>IFERROR(__xludf.DUMMYFUNCTION("""COMPUTED_VALUE"""),0.999)</f>
        <v>0.999</v>
      </c>
      <c r="E2641" s="16">
        <f>IFERROR(__xludf.DUMMYFUNCTION("""COMPUTED_VALUE"""),70.0)</f>
        <v>70</v>
      </c>
      <c r="F2641" s="19" t="str">
        <f>IFERROR(__xludf.DUMMYFUNCTION("""COMPUTED_VALUE"""),"BLUE")</f>
        <v>BLUE</v>
      </c>
      <c r="G2641" s="20" t="str">
        <f>IFERROR(__xludf.DUMMYFUNCTION("""COMPUTED_VALUE"""),"Uncle Sams Cider (04/04/2023)")</f>
        <v>Uncle Sams Cider (04/04/2023)</v>
      </c>
      <c r="H2641" s="19"/>
    </row>
    <row r="2642">
      <c r="A2642" s="9"/>
      <c r="B2642" s="15"/>
      <c r="C2642" s="9">
        <f>IFERROR(__xludf.DUMMYFUNCTION("""COMPUTED_VALUE"""),45116.917436956)</f>
        <v>45116.91744</v>
      </c>
      <c r="D2642" s="15">
        <f>IFERROR(__xludf.DUMMYFUNCTION("""COMPUTED_VALUE"""),0.999)</f>
        <v>0.999</v>
      </c>
      <c r="E2642" s="16">
        <f>IFERROR(__xludf.DUMMYFUNCTION("""COMPUTED_VALUE"""),70.0)</f>
        <v>70</v>
      </c>
      <c r="F2642" s="19" t="str">
        <f>IFERROR(__xludf.DUMMYFUNCTION("""COMPUTED_VALUE"""),"BLUE")</f>
        <v>BLUE</v>
      </c>
      <c r="G2642" s="20" t="str">
        <f>IFERROR(__xludf.DUMMYFUNCTION("""COMPUTED_VALUE"""),"Uncle Sams Cider (04/04/2023)")</f>
        <v>Uncle Sams Cider (04/04/2023)</v>
      </c>
      <c r="H2642" s="19"/>
    </row>
    <row r="2643">
      <c r="A2643" s="9"/>
      <c r="B2643" s="15"/>
      <c r="C2643" s="9">
        <f>IFERROR(__xludf.DUMMYFUNCTION("""COMPUTED_VALUE"""),45116.9070046296)</f>
        <v>45116.907</v>
      </c>
      <c r="D2643" s="15">
        <f>IFERROR(__xludf.DUMMYFUNCTION("""COMPUTED_VALUE"""),0.999)</f>
        <v>0.999</v>
      </c>
      <c r="E2643" s="16">
        <f>IFERROR(__xludf.DUMMYFUNCTION("""COMPUTED_VALUE"""),70.0)</f>
        <v>70</v>
      </c>
      <c r="F2643" s="19" t="str">
        <f>IFERROR(__xludf.DUMMYFUNCTION("""COMPUTED_VALUE"""),"BLUE")</f>
        <v>BLUE</v>
      </c>
      <c r="G2643" s="20" t="str">
        <f>IFERROR(__xludf.DUMMYFUNCTION("""COMPUTED_VALUE"""),"Uncle Sams Cider (04/04/2023)")</f>
        <v>Uncle Sams Cider (04/04/2023)</v>
      </c>
      <c r="H2643" s="19"/>
    </row>
    <row r="2644">
      <c r="A2644" s="9"/>
      <c r="B2644" s="15"/>
      <c r="C2644" s="9">
        <f>IFERROR(__xludf.DUMMYFUNCTION("""COMPUTED_VALUE"""),45116.8965837268)</f>
        <v>45116.89658</v>
      </c>
      <c r="D2644" s="15">
        <f>IFERROR(__xludf.DUMMYFUNCTION("""COMPUTED_VALUE"""),0.999)</f>
        <v>0.999</v>
      </c>
      <c r="E2644" s="16">
        <f>IFERROR(__xludf.DUMMYFUNCTION("""COMPUTED_VALUE"""),70.0)</f>
        <v>70</v>
      </c>
      <c r="F2644" s="19" t="str">
        <f>IFERROR(__xludf.DUMMYFUNCTION("""COMPUTED_VALUE"""),"BLUE")</f>
        <v>BLUE</v>
      </c>
      <c r="G2644" s="20" t="str">
        <f>IFERROR(__xludf.DUMMYFUNCTION("""COMPUTED_VALUE"""),"Uncle Sams Cider (04/04/2023)")</f>
        <v>Uncle Sams Cider (04/04/2023)</v>
      </c>
      <c r="H2644" s="19"/>
    </row>
    <row r="2645">
      <c r="A2645" s="9"/>
      <c r="B2645" s="15"/>
      <c r="C2645" s="9">
        <f>IFERROR(__xludf.DUMMYFUNCTION("""COMPUTED_VALUE"""),45116.8861495833)</f>
        <v>45116.88615</v>
      </c>
      <c r="D2645" s="15">
        <f>IFERROR(__xludf.DUMMYFUNCTION("""COMPUTED_VALUE"""),0.999)</f>
        <v>0.999</v>
      </c>
      <c r="E2645" s="16">
        <f>IFERROR(__xludf.DUMMYFUNCTION("""COMPUTED_VALUE"""),70.0)</f>
        <v>70</v>
      </c>
      <c r="F2645" s="19" t="str">
        <f>IFERROR(__xludf.DUMMYFUNCTION("""COMPUTED_VALUE"""),"BLUE")</f>
        <v>BLUE</v>
      </c>
      <c r="G2645" s="20" t="str">
        <f>IFERROR(__xludf.DUMMYFUNCTION("""COMPUTED_VALUE"""),"Uncle Sams Cider (04/04/2023)")</f>
        <v>Uncle Sams Cider (04/04/2023)</v>
      </c>
      <c r="H2645" s="19"/>
    </row>
    <row r="2646">
      <c r="A2646" s="9"/>
      <c r="B2646" s="15"/>
      <c r="C2646" s="9">
        <f>IFERROR(__xludf.DUMMYFUNCTION("""COMPUTED_VALUE"""),45116.8757170949)</f>
        <v>45116.87572</v>
      </c>
      <c r="D2646" s="15">
        <f>IFERROR(__xludf.DUMMYFUNCTION("""COMPUTED_VALUE"""),0.999)</f>
        <v>0.999</v>
      </c>
      <c r="E2646" s="16">
        <f>IFERROR(__xludf.DUMMYFUNCTION("""COMPUTED_VALUE"""),70.0)</f>
        <v>70</v>
      </c>
      <c r="F2646" s="19" t="str">
        <f>IFERROR(__xludf.DUMMYFUNCTION("""COMPUTED_VALUE"""),"BLUE")</f>
        <v>BLUE</v>
      </c>
      <c r="G2646" s="20" t="str">
        <f>IFERROR(__xludf.DUMMYFUNCTION("""COMPUTED_VALUE"""),"Uncle Sams Cider (04/04/2023)")</f>
        <v>Uncle Sams Cider (04/04/2023)</v>
      </c>
      <c r="H2646" s="19"/>
    </row>
    <row r="2647">
      <c r="A2647" s="9"/>
      <c r="B2647" s="15"/>
      <c r="C2647" s="9">
        <f>IFERROR(__xludf.DUMMYFUNCTION("""COMPUTED_VALUE"""),45116.8652971412)</f>
        <v>45116.8653</v>
      </c>
      <c r="D2647" s="15">
        <f>IFERROR(__xludf.DUMMYFUNCTION("""COMPUTED_VALUE"""),0.999)</f>
        <v>0.999</v>
      </c>
      <c r="E2647" s="16">
        <f>IFERROR(__xludf.DUMMYFUNCTION("""COMPUTED_VALUE"""),70.0)</f>
        <v>70</v>
      </c>
      <c r="F2647" s="19" t="str">
        <f>IFERROR(__xludf.DUMMYFUNCTION("""COMPUTED_VALUE"""),"BLUE")</f>
        <v>BLUE</v>
      </c>
      <c r="G2647" s="20" t="str">
        <f>IFERROR(__xludf.DUMMYFUNCTION("""COMPUTED_VALUE"""),"Uncle Sams Cider (04/04/2023)")</f>
        <v>Uncle Sams Cider (04/04/2023)</v>
      </c>
      <c r="H2647" s="19"/>
    </row>
    <row r="2648">
      <c r="A2648" s="9"/>
      <c r="B2648" s="15"/>
      <c r="C2648" s="9">
        <f>IFERROR(__xludf.DUMMYFUNCTION("""COMPUTED_VALUE"""),45116.85487625)</f>
        <v>45116.85488</v>
      </c>
      <c r="D2648" s="15">
        <f>IFERROR(__xludf.DUMMYFUNCTION("""COMPUTED_VALUE"""),0.999)</f>
        <v>0.999</v>
      </c>
      <c r="E2648" s="16">
        <f>IFERROR(__xludf.DUMMYFUNCTION("""COMPUTED_VALUE"""),70.0)</f>
        <v>70</v>
      </c>
      <c r="F2648" s="19" t="str">
        <f>IFERROR(__xludf.DUMMYFUNCTION("""COMPUTED_VALUE"""),"BLUE")</f>
        <v>BLUE</v>
      </c>
      <c r="G2648" s="20" t="str">
        <f>IFERROR(__xludf.DUMMYFUNCTION("""COMPUTED_VALUE"""),"Uncle Sams Cider (04/04/2023)")</f>
        <v>Uncle Sams Cider (04/04/2023)</v>
      </c>
      <c r="H2648" s="19"/>
    </row>
    <row r="2649">
      <c r="A2649" s="9"/>
      <c r="B2649" s="15"/>
      <c r="C2649" s="9">
        <f>IFERROR(__xludf.DUMMYFUNCTION("""COMPUTED_VALUE"""),45116.8444558101)</f>
        <v>45116.84446</v>
      </c>
      <c r="D2649" s="15">
        <f>IFERROR(__xludf.DUMMYFUNCTION("""COMPUTED_VALUE"""),0.999)</f>
        <v>0.999</v>
      </c>
      <c r="E2649" s="16">
        <f>IFERROR(__xludf.DUMMYFUNCTION("""COMPUTED_VALUE"""),70.0)</f>
        <v>70</v>
      </c>
      <c r="F2649" s="19" t="str">
        <f>IFERROR(__xludf.DUMMYFUNCTION("""COMPUTED_VALUE"""),"BLUE")</f>
        <v>BLUE</v>
      </c>
      <c r="G2649" s="20" t="str">
        <f>IFERROR(__xludf.DUMMYFUNCTION("""COMPUTED_VALUE"""),"Uncle Sams Cider (04/04/2023)")</f>
        <v>Uncle Sams Cider (04/04/2023)</v>
      </c>
      <c r="H2649" s="19"/>
    </row>
    <row r="2650">
      <c r="A2650" s="9"/>
      <c r="B2650" s="15"/>
      <c r="C2650" s="9">
        <f>IFERROR(__xludf.DUMMYFUNCTION("""COMPUTED_VALUE"""),45116.8340231713)</f>
        <v>45116.83402</v>
      </c>
      <c r="D2650" s="15">
        <f>IFERROR(__xludf.DUMMYFUNCTION("""COMPUTED_VALUE"""),0.999)</f>
        <v>0.999</v>
      </c>
      <c r="E2650" s="16">
        <f>IFERROR(__xludf.DUMMYFUNCTION("""COMPUTED_VALUE"""),70.0)</f>
        <v>70</v>
      </c>
      <c r="F2650" s="19" t="str">
        <f>IFERROR(__xludf.DUMMYFUNCTION("""COMPUTED_VALUE"""),"BLUE")</f>
        <v>BLUE</v>
      </c>
      <c r="G2650" s="20" t="str">
        <f>IFERROR(__xludf.DUMMYFUNCTION("""COMPUTED_VALUE"""),"Uncle Sams Cider (04/04/2023)")</f>
        <v>Uncle Sams Cider (04/04/2023)</v>
      </c>
      <c r="H2650" s="19"/>
    </row>
    <row r="2651">
      <c r="A2651" s="9"/>
      <c r="B2651" s="15"/>
      <c r="C2651" s="9">
        <f>IFERROR(__xludf.DUMMYFUNCTION("""COMPUTED_VALUE"""),45116.8236016898)</f>
        <v>45116.8236</v>
      </c>
      <c r="D2651" s="15">
        <f>IFERROR(__xludf.DUMMYFUNCTION("""COMPUTED_VALUE"""),0.999)</f>
        <v>0.999</v>
      </c>
      <c r="E2651" s="16">
        <f>IFERROR(__xludf.DUMMYFUNCTION("""COMPUTED_VALUE"""),70.0)</f>
        <v>70</v>
      </c>
      <c r="F2651" s="19" t="str">
        <f>IFERROR(__xludf.DUMMYFUNCTION("""COMPUTED_VALUE"""),"BLUE")</f>
        <v>BLUE</v>
      </c>
      <c r="G2651" s="20" t="str">
        <f>IFERROR(__xludf.DUMMYFUNCTION("""COMPUTED_VALUE"""),"Uncle Sams Cider (04/04/2023)")</f>
        <v>Uncle Sams Cider (04/04/2023)</v>
      </c>
      <c r="H2651" s="19"/>
    </row>
    <row r="2652">
      <c r="A2652" s="9"/>
      <c r="B2652" s="15"/>
      <c r="C2652" s="9">
        <f>IFERROR(__xludf.DUMMYFUNCTION("""COMPUTED_VALUE"""),45116.8131584027)</f>
        <v>45116.81316</v>
      </c>
      <c r="D2652" s="15">
        <f>IFERROR(__xludf.DUMMYFUNCTION("""COMPUTED_VALUE"""),0.999)</f>
        <v>0.999</v>
      </c>
      <c r="E2652" s="16">
        <f>IFERROR(__xludf.DUMMYFUNCTION("""COMPUTED_VALUE"""),70.0)</f>
        <v>70</v>
      </c>
      <c r="F2652" s="19" t="str">
        <f>IFERROR(__xludf.DUMMYFUNCTION("""COMPUTED_VALUE"""),"BLUE")</f>
        <v>BLUE</v>
      </c>
      <c r="G2652" s="20" t="str">
        <f>IFERROR(__xludf.DUMMYFUNCTION("""COMPUTED_VALUE"""),"Uncle Sams Cider (04/04/2023)")</f>
        <v>Uncle Sams Cider (04/04/2023)</v>
      </c>
      <c r="H2652" s="19"/>
    </row>
    <row r="2653">
      <c r="A2653" s="9"/>
      <c r="B2653" s="15"/>
      <c r="C2653" s="9">
        <f>IFERROR(__xludf.DUMMYFUNCTION("""COMPUTED_VALUE"""),45116.8027272569)</f>
        <v>45116.80273</v>
      </c>
      <c r="D2653" s="15">
        <f>IFERROR(__xludf.DUMMYFUNCTION("""COMPUTED_VALUE"""),0.999)</f>
        <v>0.999</v>
      </c>
      <c r="E2653" s="16">
        <f>IFERROR(__xludf.DUMMYFUNCTION("""COMPUTED_VALUE"""),70.0)</f>
        <v>70</v>
      </c>
      <c r="F2653" s="19" t="str">
        <f>IFERROR(__xludf.DUMMYFUNCTION("""COMPUTED_VALUE"""),"BLUE")</f>
        <v>BLUE</v>
      </c>
      <c r="G2653" s="20" t="str">
        <f>IFERROR(__xludf.DUMMYFUNCTION("""COMPUTED_VALUE"""),"Uncle Sams Cider (04/04/2023)")</f>
        <v>Uncle Sams Cider (04/04/2023)</v>
      </c>
      <c r="H2653" s="19"/>
    </row>
    <row r="2654">
      <c r="A2654" s="9"/>
      <c r="B2654" s="15"/>
      <c r="C2654" s="9">
        <f>IFERROR(__xludf.DUMMYFUNCTION("""COMPUTED_VALUE"""),45116.7923075578)</f>
        <v>45116.79231</v>
      </c>
      <c r="D2654" s="15">
        <f>IFERROR(__xludf.DUMMYFUNCTION("""COMPUTED_VALUE"""),0.999)</f>
        <v>0.999</v>
      </c>
      <c r="E2654" s="16">
        <f>IFERROR(__xludf.DUMMYFUNCTION("""COMPUTED_VALUE"""),70.0)</f>
        <v>70</v>
      </c>
      <c r="F2654" s="19" t="str">
        <f>IFERROR(__xludf.DUMMYFUNCTION("""COMPUTED_VALUE"""),"BLUE")</f>
        <v>BLUE</v>
      </c>
      <c r="G2654" s="20" t="str">
        <f>IFERROR(__xludf.DUMMYFUNCTION("""COMPUTED_VALUE"""),"Uncle Sams Cider (04/04/2023)")</f>
        <v>Uncle Sams Cider (04/04/2023)</v>
      </c>
      <c r="H2654" s="19"/>
    </row>
    <row r="2655">
      <c r="A2655" s="9"/>
      <c r="B2655" s="15"/>
      <c r="C2655" s="9">
        <f>IFERROR(__xludf.DUMMYFUNCTION("""COMPUTED_VALUE"""),45116.7818864351)</f>
        <v>45116.78189</v>
      </c>
      <c r="D2655" s="15">
        <f>IFERROR(__xludf.DUMMYFUNCTION("""COMPUTED_VALUE"""),0.999)</f>
        <v>0.999</v>
      </c>
      <c r="E2655" s="16">
        <f>IFERROR(__xludf.DUMMYFUNCTION("""COMPUTED_VALUE"""),70.0)</f>
        <v>70</v>
      </c>
      <c r="F2655" s="19" t="str">
        <f>IFERROR(__xludf.DUMMYFUNCTION("""COMPUTED_VALUE"""),"BLUE")</f>
        <v>BLUE</v>
      </c>
      <c r="G2655" s="20" t="str">
        <f>IFERROR(__xludf.DUMMYFUNCTION("""COMPUTED_VALUE"""),"Uncle Sams Cider (04/04/2023)")</f>
        <v>Uncle Sams Cider (04/04/2023)</v>
      </c>
      <c r="H2655" s="19"/>
    </row>
    <row r="2656">
      <c r="A2656" s="9"/>
      <c r="B2656" s="15"/>
      <c r="C2656" s="9">
        <f>IFERROR(__xludf.DUMMYFUNCTION("""COMPUTED_VALUE"""),45116.7714531018)</f>
        <v>45116.77145</v>
      </c>
      <c r="D2656" s="15">
        <f>IFERROR(__xludf.DUMMYFUNCTION("""COMPUTED_VALUE"""),0.999)</f>
        <v>0.999</v>
      </c>
      <c r="E2656" s="16">
        <f>IFERROR(__xludf.DUMMYFUNCTION("""COMPUTED_VALUE"""),70.0)</f>
        <v>70</v>
      </c>
      <c r="F2656" s="19" t="str">
        <f>IFERROR(__xludf.DUMMYFUNCTION("""COMPUTED_VALUE"""),"BLUE")</f>
        <v>BLUE</v>
      </c>
      <c r="G2656" s="20" t="str">
        <f>IFERROR(__xludf.DUMMYFUNCTION("""COMPUTED_VALUE"""),"Uncle Sams Cider (04/04/2023)")</f>
        <v>Uncle Sams Cider (04/04/2023)</v>
      </c>
      <c r="H2656" s="19"/>
    </row>
    <row r="2657">
      <c r="A2657" s="9"/>
      <c r="B2657" s="15"/>
      <c r="C2657" s="9">
        <f>IFERROR(__xludf.DUMMYFUNCTION("""COMPUTED_VALUE"""),45116.7610325)</f>
        <v>45116.76103</v>
      </c>
      <c r="D2657" s="15">
        <f>IFERROR(__xludf.DUMMYFUNCTION("""COMPUTED_VALUE"""),0.999)</f>
        <v>0.999</v>
      </c>
      <c r="E2657" s="16">
        <f>IFERROR(__xludf.DUMMYFUNCTION("""COMPUTED_VALUE"""),70.0)</f>
        <v>70</v>
      </c>
      <c r="F2657" s="19" t="str">
        <f>IFERROR(__xludf.DUMMYFUNCTION("""COMPUTED_VALUE"""),"BLUE")</f>
        <v>BLUE</v>
      </c>
      <c r="G2657" s="20" t="str">
        <f>IFERROR(__xludf.DUMMYFUNCTION("""COMPUTED_VALUE"""),"Uncle Sams Cider (04/04/2023)")</f>
        <v>Uncle Sams Cider (04/04/2023)</v>
      </c>
      <c r="H2657" s="19"/>
    </row>
    <row r="2658">
      <c r="A2658" s="9"/>
      <c r="B2658" s="15"/>
      <c r="C2658" s="9">
        <f>IFERROR(__xludf.DUMMYFUNCTION("""COMPUTED_VALUE"""),45116.7506115625)</f>
        <v>45116.75061</v>
      </c>
      <c r="D2658" s="15">
        <f>IFERROR(__xludf.DUMMYFUNCTION("""COMPUTED_VALUE"""),0.999)</f>
        <v>0.999</v>
      </c>
      <c r="E2658" s="16">
        <f>IFERROR(__xludf.DUMMYFUNCTION("""COMPUTED_VALUE"""),70.0)</f>
        <v>70</v>
      </c>
      <c r="F2658" s="19" t="str">
        <f>IFERROR(__xludf.DUMMYFUNCTION("""COMPUTED_VALUE"""),"BLUE")</f>
        <v>BLUE</v>
      </c>
      <c r="G2658" s="20" t="str">
        <f>IFERROR(__xludf.DUMMYFUNCTION("""COMPUTED_VALUE"""),"Uncle Sams Cider (04/04/2023)")</f>
        <v>Uncle Sams Cider (04/04/2023)</v>
      </c>
      <c r="H2658" s="19"/>
    </row>
    <row r="2659">
      <c r="A2659" s="9"/>
      <c r="B2659" s="15"/>
      <c r="C2659" s="9">
        <f>IFERROR(__xludf.DUMMYFUNCTION("""COMPUTED_VALUE"""),45116.7401903587)</f>
        <v>45116.74019</v>
      </c>
      <c r="D2659" s="15">
        <f>IFERROR(__xludf.DUMMYFUNCTION("""COMPUTED_VALUE"""),0.999)</f>
        <v>0.999</v>
      </c>
      <c r="E2659" s="16">
        <f>IFERROR(__xludf.DUMMYFUNCTION("""COMPUTED_VALUE"""),70.0)</f>
        <v>70</v>
      </c>
      <c r="F2659" s="19" t="str">
        <f>IFERROR(__xludf.DUMMYFUNCTION("""COMPUTED_VALUE"""),"BLUE")</f>
        <v>BLUE</v>
      </c>
      <c r="G2659" s="20" t="str">
        <f>IFERROR(__xludf.DUMMYFUNCTION("""COMPUTED_VALUE"""),"Uncle Sams Cider (04/04/2023)")</f>
        <v>Uncle Sams Cider (04/04/2023)</v>
      </c>
      <c r="H2659" s="19"/>
    </row>
    <row r="2660">
      <c r="A2660" s="9"/>
      <c r="B2660" s="15"/>
      <c r="C2660" s="9">
        <f>IFERROR(__xludf.DUMMYFUNCTION("""COMPUTED_VALUE"""),45116.7297688541)</f>
        <v>45116.72977</v>
      </c>
      <c r="D2660" s="15">
        <f>IFERROR(__xludf.DUMMYFUNCTION("""COMPUTED_VALUE"""),0.999)</f>
        <v>0.999</v>
      </c>
      <c r="E2660" s="16">
        <f>IFERROR(__xludf.DUMMYFUNCTION("""COMPUTED_VALUE"""),70.0)</f>
        <v>70</v>
      </c>
      <c r="F2660" s="19" t="str">
        <f>IFERROR(__xludf.DUMMYFUNCTION("""COMPUTED_VALUE"""),"BLUE")</f>
        <v>BLUE</v>
      </c>
      <c r="G2660" s="20" t="str">
        <f>IFERROR(__xludf.DUMMYFUNCTION("""COMPUTED_VALUE"""),"Uncle Sams Cider (04/04/2023)")</f>
        <v>Uncle Sams Cider (04/04/2023)</v>
      </c>
      <c r="H2660" s="19"/>
    </row>
    <row r="2661">
      <c r="A2661" s="9"/>
      <c r="B2661" s="15"/>
      <c r="C2661" s="9">
        <f>IFERROR(__xludf.DUMMYFUNCTION("""COMPUTED_VALUE"""),45116.7193462615)</f>
        <v>45116.71935</v>
      </c>
      <c r="D2661" s="15">
        <f>IFERROR(__xludf.DUMMYFUNCTION("""COMPUTED_VALUE"""),0.999)</f>
        <v>0.999</v>
      </c>
      <c r="E2661" s="16">
        <f>IFERROR(__xludf.DUMMYFUNCTION("""COMPUTED_VALUE"""),70.0)</f>
        <v>70</v>
      </c>
      <c r="F2661" s="19" t="str">
        <f>IFERROR(__xludf.DUMMYFUNCTION("""COMPUTED_VALUE"""),"BLUE")</f>
        <v>BLUE</v>
      </c>
      <c r="G2661" s="20" t="str">
        <f>IFERROR(__xludf.DUMMYFUNCTION("""COMPUTED_VALUE"""),"Uncle Sams Cider (04/04/2023)")</f>
        <v>Uncle Sams Cider (04/04/2023)</v>
      </c>
      <c r="H2661" s="19"/>
    </row>
    <row r="2662">
      <c r="A2662" s="9"/>
      <c r="B2662" s="15"/>
      <c r="C2662" s="9">
        <f>IFERROR(__xludf.DUMMYFUNCTION("""COMPUTED_VALUE"""),45116.7088901388)</f>
        <v>45116.70889</v>
      </c>
      <c r="D2662" s="15">
        <f>IFERROR(__xludf.DUMMYFUNCTION("""COMPUTED_VALUE"""),0.999)</f>
        <v>0.999</v>
      </c>
      <c r="E2662" s="16">
        <f>IFERROR(__xludf.DUMMYFUNCTION("""COMPUTED_VALUE"""),70.0)</f>
        <v>70</v>
      </c>
      <c r="F2662" s="19" t="str">
        <f>IFERROR(__xludf.DUMMYFUNCTION("""COMPUTED_VALUE"""),"BLUE")</f>
        <v>BLUE</v>
      </c>
      <c r="G2662" s="20" t="str">
        <f>IFERROR(__xludf.DUMMYFUNCTION("""COMPUTED_VALUE"""),"Uncle Sams Cider (04/04/2023)")</f>
        <v>Uncle Sams Cider (04/04/2023)</v>
      </c>
      <c r="H2662" s="19"/>
    </row>
    <row r="2663">
      <c r="A2663" s="9"/>
      <c r="B2663" s="15"/>
      <c r="C2663" s="9">
        <f>IFERROR(__xludf.DUMMYFUNCTION("""COMPUTED_VALUE"""),45116.6984564004)</f>
        <v>45116.69846</v>
      </c>
      <c r="D2663" s="15">
        <f>IFERROR(__xludf.DUMMYFUNCTION("""COMPUTED_VALUE"""),0.999)</f>
        <v>0.999</v>
      </c>
      <c r="E2663" s="16">
        <f>IFERROR(__xludf.DUMMYFUNCTION("""COMPUTED_VALUE"""),70.0)</f>
        <v>70</v>
      </c>
      <c r="F2663" s="19" t="str">
        <f>IFERROR(__xludf.DUMMYFUNCTION("""COMPUTED_VALUE"""),"BLUE")</f>
        <v>BLUE</v>
      </c>
      <c r="G2663" s="20" t="str">
        <f>IFERROR(__xludf.DUMMYFUNCTION("""COMPUTED_VALUE"""),"Uncle Sams Cider (04/04/2023)")</f>
        <v>Uncle Sams Cider (04/04/2023)</v>
      </c>
      <c r="H2663" s="19"/>
    </row>
    <row r="2664">
      <c r="A2664" s="9"/>
      <c r="B2664" s="15"/>
      <c r="C2664" s="9">
        <f>IFERROR(__xludf.DUMMYFUNCTION("""COMPUTED_VALUE"""),45116.6880233449)</f>
        <v>45116.68802</v>
      </c>
      <c r="D2664" s="15">
        <f>IFERROR(__xludf.DUMMYFUNCTION("""COMPUTED_VALUE"""),0.999)</f>
        <v>0.999</v>
      </c>
      <c r="E2664" s="16">
        <f>IFERROR(__xludf.DUMMYFUNCTION("""COMPUTED_VALUE"""),70.0)</f>
        <v>70</v>
      </c>
      <c r="F2664" s="19" t="str">
        <f>IFERROR(__xludf.DUMMYFUNCTION("""COMPUTED_VALUE"""),"BLUE")</f>
        <v>BLUE</v>
      </c>
      <c r="G2664" s="20" t="str">
        <f>IFERROR(__xludf.DUMMYFUNCTION("""COMPUTED_VALUE"""),"Uncle Sams Cider (04/04/2023)")</f>
        <v>Uncle Sams Cider (04/04/2023)</v>
      </c>
      <c r="H2664" s="19"/>
    </row>
    <row r="2665">
      <c r="A2665" s="9"/>
      <c r="B2665" s="15"/>
      <c r="C2665" s="9">
        <f>IFERROR(__xludf.DUMMYFUNCTION("""COMPUTED_VALUE"""),45116.6776027893)</f>
        <v>45116.6776</v>
      </c>
      <c r="D2665" s="15">
        <f>IFERROR(__xludf.DUMMYFUNCTION("""COMPUTED_VALUE"""),0.999)</f>
        <v>0.999</v>
      </c>
      <c r="E2665" s="16">
        <f>IFERROR(__xludf.DUMMYFUNCTION("""COMPUTED_VALUE"""),70.0)</f>
        <v>70</v>
      </c>
      <c r="F2665" s="19" t="str">
        <f>IFERROR(__xludf.DUMMYFUNCTION("""COMPUTED_VALUE"""),"BLUE")</f>
        <v>BLUE</v>
      </c>
      <c r="G2665" s="20" t="str">
        <f>IFERROR(__xludf.DUMMYFUNCTION("""COMPUTED_VALUE"""),"Uncle Sams Cider (04/04/2023)")</f>
        <v>Uncle Sams Cider (04/04/2023)</v>
      </c>
      <c r="H2665" s="19"/>
    </row>
    <row r="2666">
      <c r="A2666" s="9"/>
      <c r="B2666" s="15"/>
      <c r="C2666" s="9">
        <f>IFERROR(__xludf.DUMMYFUNCTION("""COMPUTED_VALUE"""),45116.6671830324)</f>
        <v>45116.66718</v>
      </c>
      <c r="D2666" s="15">
        <f>IFERROR(__xludf.DUMMYFUNCTION("""COMPUTED_VALUE"""),0.999)</f>
        <v>0.999</v>
      </c>
      <c r="E2666" s="16">
        <f>IFERROR(__xludf.DUMMYFUNCTION("""COMPUTED_VALUE"""),70.0)</f>
        <v>70</v>
      </c>
      <c r="F2666" s="19" t="str">
        <f>IFERROR(__xludf.DUMMYFUNCTION("""COMPUTED_VALUE"""),"BLUE")</f>
        <v>BLUE</v>
      </c>
      <c r="G2666" s="20" t="str">
        <f>IFERROR(__xludf.DUMMYFUNCTION("""COMPUTED_VALUE"""),"Uncle Sams Cider (04/04/2023)")</f>
        <v>Uncle Sams Cider (04/04/2023)</v>
      </c>
      <c r="H2666" s="19"/>
    </row>
    <row r="2667">
      <c r="A2667" s="9"/>
      <c r="B2667" s="15"/>
      <c r="C2667" s="9">
        <f>IFERROR(__xludf.DUMMYFUNCTION("""COMPUTED_VALUE"""),45116.6567626851)</f>
        <v>45116.65676</v>
      </c>
      <c r="D2667" s="15">
        <f>IFERROR(__xludf.DUMMYFUNCTION("""COMPUTED_VALUE"""),0.999)</f>
        <v>0.999</v>
      </c>
      <c r="E2667" s="16">
        <f>IFERROR(__xludf.DUMMYFUNCTION("""COMPUTED_VALUE"""),70.0)</f>
        <v>70</v>
      </c>
      <c r="F2667" s="19" t="str">
        <f>IFERROR(__xludf.DUMMYFUNCTION("""COMPUTED_VALUE"""),"BLUE")</f>
        <v>BLUE</v>
      </c>
      <c r="G2667" s="20" t="str">
        <f>IFERROR(__xludf.DUMMYFUNCTION("""COMPUTED_VALUE"""),"Uncle Sams Cider (04/04/2023)")</f>
        <v>Uncle Sams Cider (04/04/2023)</v>
      </c>
      <c r="H2667" s="19"/>
    </row>
    <row r="2668">
      <c r="A2668" s="9"/>
      <c r="B2668" s="15"/>
      <c r="C2668" s="9">
        <f>IFERROR(__xludf.DUMMYFUNCTION("""COMPUTED_VALUE"""),45116.6463071875)</f>
        <v>45116.64631</v>
      </c>
      <c r="D2668" s="15">
        <f>IFERROR(__xludf.DUMMYFUNCTION("""COMPUTED_VALUE"""),0.999)</f>
        <v>0.999</v>
      </c>
      <c r="E2668" s="16">
        <f>IFERROR(__xludf.DUMMYFUNCTION("""COMPUTED_VALUE"""),70.0)</f>
        <v>70</v>
      </c>
      <c r="F2668" s="19" t="str">
        <f>IFERROR(__xludf.DUMMYFUNCTION("""COMPUTED_VALUE"""),"BLUE")</f>
        <v>BLUE</v>
      </c>
      <c r="G2668" s="20" t="str">
        <f>IFERROR(__xludf.DUMMYFUNCTION("""COMPUTED_VALUE"""),"Uncle Sams Cider (04/04/2023)")</f>
        <v>Uncle Sams Cider (04/04/2023)</v>
      </c>
      <c r="H2668" s="19"/>
    </row>
    <row r="2669">
      <c r="A2669" s="9"/>
      <c r="B2669" s="15"/>
      <c r="C2669" s="9">
        <f>IFERROR(__xludf.DUMMYFUNCTION("""COMPUTED_VALUE"""),45116.6358862037)</f>
        <v>45116.63589</v>
      </c>
      <c r="D2669" s="15">
        <f>IFERROR(__xludf.DUMMYFUNCTION("""COMPUTED_VALUE"""),0.999)</f>
        <v>0.999</v>
      </c>
      <c r="E2669" s="16">
        <f>IFERROR(__xludf.DUMMYFUNCTION("""COMPUTED_VALUE"""),70.0)</f>
        <v>70</v>
      </c>
      <c r="F2669" s="19" t="str">
        <f>IFERROR(__xludf.DUMMYFUNCTION("""COMPUTED_VALUE"""),"BLUE")</f>
        <v>BLUE</v>
      </c>
      <c r="G2669" s="20" t="str">
        <f>IFERROR(__xludf.DUMMYFUNCTION("""COMPUTED_VALUE"""),"Uncle Sams Cider (04/04/2023)")</f>
        <v>Uncle Sams Cider (04/04/2023)</v>
      </c>
      <c r="H2669" s="19"/>
    </row>
    <row r="2670">
      <c r="A2670" s="9"/>
      <c r="B2670" s="15"/>
      <c r="C2670" s="9">
        <f>IFERROR(__xludf.DUMMYFUNCTION("""COMPUTED_VALUE"""),45116.6254643518)</f>
        <v>45116.62546</v>
      </c>
      <c r="D2670" s="15">
        <f>IFERROR(__xludf.DUMMYFUNCTION("""COMPUTED_VALUE"""),0.999)</f>
        <v>0.999</v>
      </c>
      <c r="E2670" s="16">
        <f>IFERROR(__xludf.DUMMYFUNCTION("""COMPUTED_VALUE"""),70.0)</f>
        <v>70</v>
      </c>
      <c r="F2670" s="19" t="str">
        <f>IFERROR(__xludf.DUMMYFUNCTION("""COMPUTED_VALUE"""),"BLUE")</f>
        <v>BLUE</v>
      </c>
      <c r="G2670" s="20" t="str">
        <f>IFERROR(__xludf.DUMMYFUNCTION("""COMPUTED_VALUE"""),"Uncle Sams Cider (04/04/2023)")</f>
        <v>Uncle Sams Cider (04/04/2023)</v>
      </c>
      <c r="H2670" s="19"/>
    </row>
    <row r="2671">
      <c r="A2671" s="9"/>
      <c r="B2671" s="15"/>
      <c r="C2671" s="9">
        <f>IFERROR(__xludf.DUMMYFUNCTION("""COMPUTED_VALUE"""),45116.6150433796)</f>
        <v>45116.61504</v>
      </c>
      <c r="D2671" s="15">
        <f>IFERROR(__xludf.DUMMYFUNCTION("""COMPUTED_VALUE"""),0.999)</f>
        <v>0.999</v>
      </c>
      <c r="E2671" s="16">
        <f>IFERROR(__xludf.DUMMYFUNCTION("""COMPUTED_VALUE"""),70.0)</f>
        <v>70</v>
      </c>
      <c r="F2671" s="19" t="str">
        <f>IFERROR(__xludf.DUMMYFUNCTION("""COMPUTED_VALUE"""),"BLUE")</f>
        <v>BLUE</v>
      </c>
      <c r="G2671" s="20" t="str">
        <f>IFERROR(__xludf.DUMMYFUNCTION("""COMPUTED_VALUE"""),"Uncle Sams Cider (04/04/2023)")</f>
        <v>Uncle Sams Cider (04/04/2023)</v>
      </c>
      <c r="H2671" s="19"/>
    </row>
    <row r="2672">
      <c r="A2672" s="9"/>
      <c r="B2672" s="15"/>
      <c r="C2672" s="9">
        <f>IFERROR(__xludf.DUMMYFUNCTION("""COMPUTED_VALUE"""),45116.6046010648)</f>
        <v>45116.6046</v>
      </c>
      <c r="D2672" s="15">
        <f>IFERROR(__xludf.DUMMYFUNCTION("""COMPUTED_VALUE"""),0.999)</f>
        <v>0.999</v>
      </c>
      <c r="E2672" s="16">
        <f>IFERROR(__xludf.DUMMYFUNCTION("""COMPUTED_VALUE"""),70.0)</f>
        <v>70</v>
      </c>
      <c r="F2672" s="19" t="str">
        <f>IFERROR(__xludf.DUMMYFUNCTION("""COMPUTED_VALUE"""),"BLUE")</f>
        <v>BLUE</v>
      </c>
      <c r="G2672" s="20" t="str">
        <f>IFERROR(__xludf.DUMMYFUNCTION("""COMPUTED_VALUE"""),"Uncle Sams Cider (04/04/2023)")</f>
        <v>Uncle Sams Cider (04/04/2023)</v>
      </c>
      <c r="H2672" s="19"/>
    </row>
    <row r="2673">
      <c r="A2673" s="9"/>
      <c r="B2673" s="15"/>
      <c r="C2673" s="9">
        <f>IFERROR(__xludf.DUMMYFUNCTION("""COMPUTED_VALUE"""),45116.5941681365)</f>
        <v>45116.59417</v>
      </c>
      <c r="D2673" s="15">
        <f>IFERROR(__xludf.DUMMYFUNCTION("""COMPUTED_VALUE"""),0.999)</f>
        <v>0.999</v>
      </c>
      <c r="E2673" s="16">
        <f>IFERROR(__xludf.DUMMYFUNCTION("""COMPUTED_VALUE"""),70.0)</f>
        <v>70</v>
      </c>
      <c r="F2673" s="19" t="str">
        <f>IFERROR(__xludf.DUMMYFUNCTION("""COMPUTED_VALUE"""),"BLUE")</f>
        <v>BLUE</v>
      </c>
      <c r="G2673" s="20" t="str">
        <f>IFERROR(__xludf.DUMMYFUNCTION("""COMPUTED_VALUE"""),"Uncle Sams Cider (04/04/2023)")</f>
        <v>Uncle Sams Cider (04/04/2023)</v>
      </c>
      <c r="H2673" s="19"/>
    </row>
    <row r="2674">
      <c r="A2674" s="9"/>
      <c r="B2674" s="15"/>
      <c r="C2674" s="9">
        <f>IFERROR(__xludf.DUMMYFUNCTION("""COMPUTED_VALUE"""),45116.5837456828)</f>
        <v>45116.58375</v>
      </c>
      <c r="D2674" s="15">
        <f>IFERROR(__xludf.DUMMYFUNCTION("""COMPUTED_VALUE"""),0.999)</f>
        <v>0.999</v>
      </c>
      <c r="E2674" s="16">
        <f>IFERROR(__xludf.DUMMYFUNCTION("""COMPUTED_VALUE"""),70.0)</f>
        <v>70</v>
      </c>
      <c r="F2674" s="19" t="str">
        <f>IFERROR(__xludf.DUMMYFUNCTION("""COMPUTED_VALUE"""),"BLUE")</f>
        <v>BLUE</v>
      </c>
      <c r="G2674" s="20" t="str">
        <f>IFERROR(__xludf.DUMMYFUNCTION("""COMPUTED_VALUE"""),"Uncle Sams Cider (04/04/2023)")</f>
        <v>Uncle Sams Cider (04/04/2023)</v>
      </c>
      <c r="H2674" s="19"/>
    </row>
    <row r="2675">
      <c r="A2675" s="9"/>
      <c r="B2675" s="15"/>
      <c r="C2675" s="9">
        <f>IFERROR(__xludf.DUMMYFUNCTION("""COMPUTED_VALUE"""),45116.5755125115)</f>
        <v>45116.57551</v>
      </c>
      <c r="D2675" s="15">
        <f>IFERROR(__xludf.DUMMYFUNCTION("""COMPUTED_VALUE"""),0.999)</f>
        <v>0.999</v>
      </c>
      <c r="E2675" s="16">
        <f>IFERROR(__xludf.DUMMYFUNCTION("""COMPUTED_VALUE"""),70.0)</f>
        <v>70</v>
      </c>
      <c r="F2675" s="19" t="str">
        <f>IFERROR(__xludf.DUMMYFUNCTION("""COMPUTED_VALUE"""),"BLUE")</f>
        <v>BLUE</v>
      </c>
      <c r="G2675" s="20" t="str">
        <f>IFERROR(__xludf.DUMMYFUNCTION("""COMPUTED_VALUE"""),"Uncle Sams Cider (04/04/2023)")</f>
        <v>Uncle Sams Cider (04/04/2023)</v>
      </c>
      <c r="H2675" s="19"/>
    </row>
    <row r="2676">
      <c r="A2676" s="9"/>
      <c r="B2676" s="15"/>
      <c r="C2676" s="9">
        <f>IFERROR(__xludf.DUMMYFUNCTION("""COMPUTED_VALUE"""),45116.5650914699)</f>
        <v>45116.56509</v>
      </c>
      <c r="D2676" s="15">
        <f>IFERROR(__xludf.DUMMYFUNCTION("""COMPUTED_VALUE"""),0.999)</f>
        <v>0.999</v>
      </c>
      <c r="E2676" s="16">
        <f>IFERROR(__xludf.DUMMYFUNCTION("""COMPUTED_VALUE"""),70.0)</f>
        <v>70</v>
      </c>
      <c r="F2676" s="19" t="str">
        <f>IFERROR(__xludf.DUMMYFUNCTION("""COMPUTED_VALUE"""),"BLUE")</f>
        <v>BLUE</v>
      </c>
      <c r="G2676" s="20" t="str">
        <f>IFERROR(__xludf.DUMMYFUNCTION("""COMPUTED_VALUE"""),"Uncle Sams Cider (04/04/2023)")</f>
        <v>Uncle Sams Cider (04/04/2023)</v>
      </c>
      <c r="H2676" s="19"/>
    </row>
    <row r="2677">
      <c r="A2677" s="9"/>
      <c r="B2677" s="15"/>
      <c r="C2677" s="9">
        <f>IFERROR(__xludf.DUMMYFUNCTION("""COMPUTED_VALUE"""),45116.5546714236)</f>
        <v>45116.55467</v>
      </c>
      <c r="D2677" s="15">
        <f>IFERROR(__xludf.DUMMYFUNCTION("""COMPUTED_VALUE"""),0.999)</f>
        <v>0.999</v>
      </c>
      <c r="E2677" s="16">
        <f>IFERROR(__xludf.DUMMYFUNCTION("""COMPUTED_VALUE"""),70.0)</f>
        <v>70</v>
      </c>
      <c r="F2677" s="19" t="str">
        <f>IFERROR(__xludf.DUMMYFUNCTION("""COMPUTED_VALUE"""),"BLUE")</f>
        <v>BLUE</v>
      </c>
      <c r="G2677" s="20" t="str">
        <f>IFERROR(__xludf.DUMMYFUNCTION("""COMPUTED_VALUE"""),"Uncle Sams Cider (04/04/2023)")</f>
        <v>Uncle Sams Cider (04/04/2023)</v>
      </c>
      <c r="H2677" s="19"/>
    </row>
    <row r="2678">
      <c r="A2678" s="9"/>
      <c r="B2678" s="15"/>
      <c r="C2678" s="9">
        <f>IFERROR(__xludf.DUMMYFUNCTION("""COMPUTED_VALUE"""),45116.54423875)</f>
        <v>45116.54424</v>
      </c>
      <c r="D2678" s="15">
        <f>IFERROR(__xludf.DUMMYFUNCTION("""COMPUTED_VALUE"""),0.999)</f>
        <v>0.999</v>
      </c>
      <c r="E2678" s="16">
        <f>IFERROR(__xludf.DUMMYFUNCTION("""COMPUTED_VALUE"""),70.0)</f>
        <v>70</v>
      </c>
      <c r="F2678" s="19" t="str">
        <f>IFERROR(__xludf.DUMMYFUNCTION("""COMPUTED_VALUE"""),"BLUE")</f>
        <v>BLUE</v>
      </c>
      <c r="G2678" s="20" t="str">
        <f>IFERROR(__xludf.DUMMYFUNCTION("""COMPUTED_VALUE"""),"Uncle Sams Cider (04/04/2023)")</f>
        <v>Uncle Sams Cider (04/04/2023)</v>
      </c>
      <c r="H2678" s="19"/>
    </row>
    <row r="2679">
      <c r="A2679" s="9"/>
      <c r="B2679" s="15"/>
      <c r="C2679" s="9">
        <f>IFERROR(__xludf.DUMMYFUNCTION("""COMPUTED_VALUE"""),45116.5338086805)</f>
        <v>45116.53381</v>
      </c>
      <c r="D2679" s="15">
        <f>IFERROR(__xludf.DUMMYFUNCTION("""COMPUTED_VALUE"""),0.999)</f>
        <v>0.999</v>
      </c>
      <c r="E2679" s="16">
        <f>IFERROR(__xludf.DUMMYFUNCTION("""COMPUTED_VALUE"""),70.0)</f>
        <v>70</v>
      </c>
      <c r="F2679" s="19" t="str">
        <f>IFERROR(__xludf.DUMMYFUNCTION("""COMPUTED_VALUE"""),"BLUE")</f>
        <v>BLUE</v>
      </c>
      <c r="G2679" s="20" t="str">
        <f>IFERROR(__xludf.DUMMYFUNCTION("""COMPUTED_VALUE"""),"Uncle Sams Cider (04/04/2023)")</f>
        <v>Uncle Sams Cider (04/04/2023)</v>
      </c>
      <c r="H2679" s="19"/>
    </row>
    <row r="2680">
      <c r="A2680" s="9"/>
      <c r="B2680" s="15"/>
      <c r="C2680" s="9">
        <f>IFERROR(__xludf.DUMMYFUNCTION("""COMPUTED_VALUE"""),45116.5233875115)</f>
        <v>45116.52339</v>
      </c>
      <c r="D2680" s="15">
        <f>IFERROR(__xludf.DUMMYFUNCTION("""COMPUTED_VALUE"""),0.999)</f>
        <v>0.999</v>
      </c>
      <c r="E2680" s="16">
        <f>IFERROR(__xludf.DUMMYFUNCTION("""COMPUTED_VALUE"""),70.0)</f>
        <v>70</v>
      </c>
      <c r="F2680" s="19" t="str">
        <f>IFERROR(__xludf.DUMMYFUNCTION("""COMPUTED_VALUE"""),"BLUE")</f>
        <v>BLUE</v>
      </c>
      <c r="G2680" s="20" t="str">
        <f>IFERROR(__xludf.DUMMYFUNCTION("""COMPUTED_VALUE"""),"Uncle Sams Cider (04/04/2023)")</f>
        <v>Uncle Sams Cider (04/04/2023)</v>
      </c>
      <c r="H2680" s="19"/>
    </row>
    <row r="2681">
      <c r="A2681" s="9"/>
      <c r="B2681" s="15"/>
      <c r="C2681" s="9">
        <f>IFERROR(__xludf.DUMMYFUNCTION("""COMPUTED_VALUE"""),45116.5129673842)</f>
        <v>45116.51297</v>
      </c>
      <c r="D2681" s="15">
        <f>IFERROR(__xludf.DUMMYFUNCTION("""COMPUTED_VALUE"""),0.999)</f>
        <v>0.999</v>
      </c>
      <c r="E2681" s="16">
        <f>IFERROR(__xludf.DUMMYFUNCTION("""COMPUTED_VALUE"""),70.0)</f>
        <v>70</v>
      </c>
      <c r="F2681" s="19" t="str">
        <f>IFERROR(__xludf.DUMMYFUNCTION("""COMPUTED_VALUE"""),"BLUE")</f>
        <v>BLUE</v>
      </c>
      <c r="G2681" s="20" t="str">
        <f>IFERROR(__xludf.DUMMYFUNCTION("""COMPUTED_VALUE"""),"Uncle Sams Cider (04/04/2023)")</f>
        <v>Uncle Sams Cider (04/04/2023)</v>
      </c>
      <c r="H2681" s="19"/>
    </row>
    <row r="2682">
      <c r="A2682" s="9"/>
      <c r="B2682" s="15"/>
      <c r="C2682" s="9">
        <f>IFERROR(__xludf.DUMMYFUNCTION("""COMPUTED_VALUE"""),45116.5025479629)</f>
        <v>45116.50255</v>
      </c>
      <c r="D2682" s="15">
        <f>IFERROR(__xludf.DUMMYFUNCTION("""COMPUTED_VALUE"""),0.999)</f>
        <v>0.999</v>
      </c>
      <c r="E2682" s="16">
        <f>IFERROR(__xludf.DUMMYFUNCTION("""COMPUTED_VALUE"""),70.0)</f>
        <v>70</v>
      </c>
      <c r="F2682" s="19" t="str">
        <f>IFERROR(__xludf.DUMMYFUNCTION("""COMPUTED_VALUE"""),"BLUE")</f>
        <v>BLUE</v>
      </c>
      <c r="G2682" s="20" t="str">
        <f>IFERROR(__xludf.DUMMYFUNCTION("""COMPUTED_VALUE"""),"Uncle Sams Cider (04/04/2023)")</f>
        <v>Uncle Sams Cider (04/04/2023)</v>
      </c>
      <c r="H2682" s="19"/>
    </row>
    <row r="2683">
      <c r="A2683" s="9"/>
      <c r="B2683" s="15"/>
      <c r="C2683" s="9">
        <f>IFERROR(__xludf.DUMMYFUNCTION("""COMPUTED_VALUE"""),45116.4921259837)</f>
        <v>45116.49213</v>
      </c>
      <c r="D2683" s="15">
        <f>IFERROR(__xludf.DUMMYFUNCTION("""COMPUTED_VALUE"""),0.999)</f>
        <v>0.999</v>
      </c>
      <c r="E2683" s="16">
        <f>IFERROR(__xludf.DUMMYFUNCTION("""COMPUTED_VALUE"""),70.0)</f>
        <v>70</v>
      </c>
      <c r="F2683" s="19" t="str">
        <f>IFERROR(__xludf.DUMMYFUNCTION("""COMPUTED_VALUE"""),"BLUE")</f>
        <v>BLUE</v>
      </c>
      <c r="G2683" s="20" t="str">
        <f>IFERROR(__xludf.DUMMYFUNCTION("""COMPUTED_VALUE"""),"Uncle Sams Cider (04/04/2023)")</f>
        <v>Uncle Sams Cider (04/04/2023)</v>
      </c>
      <c r="H2683" s="19"/>
    </row>
    <row r="2684">
      <c r="A2684" s="9"/>
      <c r="B2684" s="15"/>
      <c r="C2684" s="9">
        <f>IFERROR(__xludf.DUMMYFUNCTION("""COMPUTED_VALUE"""),45116.481705868)</f>
        <v>45116.48171</v>
      </c>
      <c r="D2684" s="15">
        <f>IFERROR(__xludf.DUMMYFUNCTION("""COMPUTED_VALUE"""),0.999)</f>
        <v>0.999</v>
      </c>
      <c r="E2684" s="16">
        <f>IFERROR(__xludf.DUMMYFUNCTION("""COMPUTED_VALUE"""),70.0)</f>
        <v>70</v>
      </c>
      <c r="F2684" s="19" t="str">
        <f>IFERROR(__xludf.DUMMYFUNCTION("""COMPUTED_VALUE"""),"BLUE")</f>
        <v>BLUE</v>
      </c>
      <c r="G2684" s="20" t="str">
        <f>IFERROR(__xludf.DUMMYFUNCTION("""COMPUTED_VALUE"""),"Uncle Sams Cider (04/04/2023)")</f>
        <v>Uncle Sams Cider (04/04/2023)</v>
      </c>
      <c r="H2684" s="19"/>
    </row>
    <row r="2685">
      <c r="A2685" s="9"/>
      <c r="B2685" s="15"/>
      <c r="C2685" s="9">
        <f>IFERROR(__xludf.DUMMYFUNCTION("""COMPUTED_VALUE"""),45116.4712839583)</f>
        <v>45116.47128</v>
      </c>
      <c r="D2685" s="15">
        <f>IFERROR(__xludf.DUMMYFUNCTION("""COMPUTED_VALUE"""),0.999)</f>
        <v>0.999</v>
      </c>
      <c r="E2685" s="16">
        <f>IFERROR(__xludf.DUMMYFUNCTION("""COMPUTED_VALUE"""),70.0)</f>
        <v>70</v>
      </c>
      <c r="F2685" s="19" t="str">
        <f>IFERROR(__xludf.DUMMYFUNCTION("""COMPUTED_VALUE"""),"BLUE")</f>
        <v>BLUE</v>
      </c>
      <c r="G2685" s="20" t="str">
        <f>IFERROR(__xludf.DUMMYFUNCTION("""COMPUTED_VALUE"""),"Uncle Sams Cider (04/04/2023)")</f>
        <v>Uncle Sams Cider (04/04/2023)</v>
      </c>
      <c r="H2685" s="19"/>
    </row>
    <row r="2686">
      <c r="A2686" s="9"/>
      <c r="B2686" s="15"/>
      <c r="C2686" s="9">
        <f>IFERROR(__xludf.DUMMYFUNCTION("""COMPUTED_VALUE"""),45116.4608627314)</f>
        <v>45116.46086</v>
      </c>
      <c r="D2686" s="15">
        <f>IFERROR(__xludf.DUMMYFUNCTION("""COMPUTED_VALUE"""),0.999)</f>
        <v>0.999</v>
      </c>
      <c r="E2686" s="16">
        <f>IFERROR(__xludf.DUMMYFUNCTION("""COMPUTED_VALUE"""),71.0)</f>
        <v>71</v>
      </c>
      <c r="F2686" s="19" t="str">
        <f>IFERROR(__xludf.DUMMYFUNCTION("""COMPUTED_VALUE"""),"BLUE")</f>
        <v>BLUE</v>
      </c>
      <c r="G2686" s="20" t="str">
        <f>IFERROR(__xludf.DUMMYFUNCTION("""COMPUTED_VALUE"""),"Uncle Sams Cider (04/04/2023)")</f>
        <v>Uncle Sams Cider (04/04/2023)</v>
      </c>
      <c r="H2686" s="19"/>
    </row>
    <row r="2687">
      <c r="A2687" s="9"/>
      <c r="B2687" s="15"/>
      <c r="C2687" s="9">
        <f>IFERROR(__xludf.DUMMYFUNCTION("""COMPUTED_VALUE"""),45116.4504421643)</f>
        <v>45116.45044</v>
      </c>
      <c r="D2687" s="15">
        <f>IFERROR(__xludf.DUMMYFUNCTION("""COMPUTED_VALUE"""),0.999)</f>
        <v>0.999</v>
      </c>
      <c r="E2687" s="16">
        <f>IFERROR(__xludf.DUMMYFUNCTION("""COMPUTED_VALUE"""),70.0)</f>
        <v>70</v>
      </c>
      <c r="F2687" s="19" t="str">
        <f>IFERROR(__xludf.DUMMYFUNCTION("""COMPUTED_VALUE"""),"BLUE")</f>
        <v>BLUE</v>
      </c>
      <c r="G2687" s="20" t="str">
        <f>IFERROR(__xludf.DUMMYFUNCTION("""COMPUTED_VALUE"""),"Uncle Sams Cider (04/04/2023)")</f>
        <v>Uncle Sams Cider (04/04/2023)</v>
      </c>
      <c r="H2687" s="19"/>
    </row>
    <row r="2688">
      <c r="A2688" s="9"/>
      <c r="B2688" s="15"/>
      <c r="C2688" s="9">
        <f>IFERROR(__xludf.DUMMYFUNCTION("""COMPUTED_VALUE"""),45116.4400223379)</f>
        <v>45116.44002</v>
      </c>
      <c r="D2688" s="15">
        <f>IFERROR(__xludf.DUMMYFUNCTION("""COMPUTED_VALUE"""),0.999)</f>
        <v>0.999</v>
      </c>
      <c r="E2688" s="16">
        <f>IFERROR(__xludf.DUMMYFUNCTION("""COMPUTED_VALUE"""),70.0)</f>
        <v>70</v>
      </c>
      <c r="F2688" s="19" t="str">
        <f>IFERROR(__xludf.DUMMYFUNCTION("""COMPUTED_VALUE"""),"BLUE")</f>
        <v>BLUE</v>
      </c>
      <c r="G2688" s="20" t="str">
        <f>IFERROR(__xludf.DUMMYFUNCTION("""COMPUTED_VALUE"""),"Uncle Sams Cider (04/04/2023)")</f>
        <v>Uncle Sams Cider (04/04/2023)</v>
      </c>
      <c r="H2688" s="19"/>
    </row>
    <row r="2689">
      <c r="A2689" s="9"/>
      <c r="B2689" s="15"/>
      <c r="C2689" s="9">
        <f>IFERROR(__xludf.DUMMYFUNCTION("""COMPUTED_VALUE"""),45116.4295995486)</f>
        <v>45116.4296</v>
      </c>
      <c r="D2689" s="15">
        <f>IFERROR(__xludf.DUMMYFUNCTION("""COMPUTED_VALUE"""),0.999)</f>
        <v>0.999</v>
      </c>
      <c r="E2689" s="16">
        <f>IFERROR(__xludf.DUMMYFUNCTION("""COMPUTED_VALUE"""),70.0)</f>
        <v>70</v>
      </c>
      <c r="F2689" s="19" t="str">
        <f>IFERROR(__xludf.DUMMYFUNCTION("""COMPUTED_VALUE"""),"BLUE")</f>
        <v>BLUE</v>
      </c>
      <c r="G2689" s="20" t="str">
        <f>IFERROR(__xludf.DUMMYFUNCTION("""COMPUTED_VALUE"""),"Uncle Sams Cider (04/04/2023)")</f>
        <v>Uncle Sams Cider (04/04/2023)</v>
      </c>
      <c r="H2689" s="19"/>
    </row>
    <row r="2690">
      <c r="A2690" s="9"/>
      <c r="B2690" s="15"/>
      <c r="C2690" s="9">
        <f>IFERROR(__xludf.DUMMYFUNCTION("""COMPUTED_VALUE"""),45116.4191778703)</f>
        <v>45116.41918</v>
      </c>
      <c r="D2690" s="15">
        <f>IFERROR(__xludf.DUMMYFUNCTION("""COMPUTED_VALUE"""),0.999)</f>
        <v>0.999</v>
      </c>
      <c r="E2690" s="16">
        <f>IFERROR(__xludf.DUMMYFUNCTION("""COMPUTED_VALUE"""),70.0)</f>
        <v>70</v>
      </c>
      <c r="F2690" s="19" t="str">
        <f>IFERROR(__xludf.DUMMYFUNCTION("""COMPUTED_VALUE"""),"BLUE")</f>
        <v>BLUE</v>
      </c>
      <c r="G2690" s="20" t="str">
        <f>IFERROR(__xludf.DUMMYFUNCTION("""COMPUTED_VALUE"""),"Uncle Sams Cider (04/04/2023)")</f>
        <v>Uncle Sams Cider (04/04/2023)</v>
      </c>
      <c r="H2690" s="19"/>
    </row>
    <row r="2691">
      <c r="A2691" s="9"/>
      <c r="B2691" s="15"/>
      <c r="C2691" s="9">
        <f>IFERROR(__xludf.DUMMYFUNCTION("""COMPUTED_VALUE"""),45116.4087573263)</f>
        <v>45116.40876</v>
      </c>
      <c r="D2691" s="15">
        <f>IFERROR(__xludf.DUMMYFUNCTION("""COMPUTED_VALUE"""),0.999)</f>
        <v>0.999</v>
      </c>
      <c r="E2691" s="16">
        <f>IFERROR(__xludf.DUMMYFUNCTION("""COMPUTED_VALUE"""),70.0)</f>
        <v>70</v>
      </c>
      <c r="F2691" s="19" t="str">
        <f>IFERROR(__xludf.DUMMYFUNCTION("""COMPUTED_VALUE"""),"BLUE")</f>
        <v>BLUE</v>
      </c>
      <c r="G2691" s="20" t="str">
        <f>IFERROR(__xludf.DUMMYFUNCTION("""COMPUTED_VALUE"""),"Uncle Sams Cider (04/04/2023)")</f>
        <v>Uncle Sams Cider (04/04/2023)</v>
      </c>
      <c r="H2691" s="19"/>
    </row>
    <row r="2692">
      <c r="A2692" s="9"/>
      <c r="B2692" s="15"/>
      <c r="C2692" s="9">
        <f>IFERROR(__xludf.DUMMYFUNCTION("""COMPUTED_VALUE"""),45116.398323831)</f>
        <v>45116.39832</v>
      </c>
      <c r="D2692" s="15">
        <f>IFERROR(__xludf.DUMMYFUNCTION("""COMPUTED_VALUE"""),0.999)</f>
        <v>0.999</v>
      </c>
      <c r="E2692" s="16">
        <f>IFERROR(__xludf.DUMMYFUNCTION("""COMPUTED_VALUE"""),71.0)</f>
        <v>71</v>
      </c>
      <c r="F2692" s="19" t="str">
        <f>IFERROR(__xludf.DUMMYFUNCTION("""COMPUTED_VALUE"""),"BLUE")</f>
        <v>BLUE</v>
      </c>
      <c r="G2692" s="20" t="str">
        <f>IFERROR(__xludf.DUMMYFUNCTION("""COMPUTED_VALUE"""),"Uncle Sams Cider (04/04/2023)")</f>
        <v>Uncle Sams Cider (04/04/2023)</v>
      </c>
      <c r="H2692" s="19"/>
    </row>
    <row r="2693">
      <c r="A2693" s="9"/>
      <c r="B2693" s="15"/>
      <c r="C2693" s="9">
        <f>IFERROR(__xludf.DUMMYFUNCTION("""COMPUTED_VALUE"""),45116.3879045949)</f>
        <v>45116.3879</v>
      </c>
      <c r="D2693" s="15">
        <f>IFERROR(__xludf.DUMMYFUNCTION("""COMPUTED_VALUE"""),0.999)</f>
        <v>0.999</v>
      </c>
      <c r="E2693" s="16">
        <f>IFERROR(__xludf.DUMMYFUNCTION("""COMPUTED_VALUE"""),71.0)</f>
        <v>71</v>
      </c>
      <c r="F2693" s="19" t="str">
        <f>IFERROR(__xludf.DUMMYFUNCTION("""COMPUTED_VALUE"""),"BLUE")</f>
        <v>BLUE</v>
      </c>
      <c r="G2693" s="20" t="str">
        <f>IFERROR(__xludf.DUMMYFUNCTION("""COMPUTED_VALUE"""),"Uncle Sams Cider (04/04/2023)")</f>
        <v>Uncle Sams Cider (04/04/2023)</v>
      </c>
      <c r="H2693" s="19"/>
    </row>
    <row r="2694">
      <c r="A2694" s="9"/>
      <c r="B2694" s="15"/>
      <c r="C2694" s="9">
        <f>IFERROR(__xludf.DUMMYFUNCTION("""COMPUTED_VALUE"""),45116.377482662)</f>
        <v>45116.37748</v>
      </c>
      <c r="D2694" s="15">
        <f>IFERROR(__xludf.DUMMYFUNCTION("""COMPUTED_VALUE"""),0.999)</f>
        <v>0.999</v>
      </c>
      <c r="E2694" s="16">
        <f>IFERROR(__xludf.DUMMYFUNCTION("""COMPUTED_VALUE"""),70.0)</f>
        <v>70</v>
      </c>
      <c r="F2694" s="19" t="str">
        <f>IFERROR(__xludf.DUMMYFUNCTION("""COMPUTED_VALUE"""),"BLUE")</f>
        <v>BLUE</v>
      </c>
      <c r="G2694" s="20" t="str">
        <f>IFERROR(__xludf.DUMMYFUNCTION("""COMPUTED_VALUE"""),"Uncle Sams Cider (04/04/2023)")</f>
        <v>Uncle Sams Cider (04/04/2023)</v>
      </c>
      <c r="H2694" s="19"/>
    </row>
    <row r="2695">
      <c r="A2695" s="9"/>
      <c r="B2695" s="15"/>
      <c r="C2695" s="9">
        <f>IFERROR(__xludf.DUMMYFUNCTION("""COMPUTED_VALUE"""),45116.3670622569)</f>
        <v>45116.36706</v>
      </c>
      <c r="D2695" s="15">
        <f>IFERROR(__xludf.DUMMYFUNCTION("""COMPUTED_VALUE"""),0.999)</f>
        <v>0.999</v>
      </c>
      <c r="E2695" s="16">
        <f>IFERROR(__xludf.DUMMYFUNCTION("""COMPUTED_VALUE"""),70.0)</f>
        <v>70</v>
      </c>
      <c r="F2695" s="19" t="str">
        <f>IFERROR(__xludf.DUMMYFUNCTION("""COMPUTED_VALUE"""),"BLUE")</f>
        <v>BLUE</v>
      </c>
      <c r="G2695" s="20" t="str">
        <f>IFERROR(__xludf.DUMMYFUNCTION("""COMPUTED_VALUE"""),"Uncle Sams Cider (04/04/2023)")</f>
        <v>Uncle Sams Cider (04/04/2023)</v>
      </c>
      <c r="H2695" s="19"/>
    </row>
    <row r="2696">
      <c r="A2696" s="9"/>
      <c r="B2696" s="15"/>
      <c r="C2696" s="9">
        <f>IFERROR(__xludf.DUMMYFUNCTION("""COMPUTED_VALUE"""),45116.3566409027)</f>
        <v>45116.35664</v>
      </c>
      <c r="D2696" s="15">
        <f>IFERROR(__xludf.DUMMYFUNCTION("""COMPUTED_VALUE"""),0.999)</f>
        <v>0.999</v>
      </c>
      <c r="E2696" s="16">
        <f>IFERROR(__xludf.DUMMYFUNCTION("""COMPUTED_VALUE"""),70.0)</f>
        <v>70</v>
      </c>
      <c r="F2696" s="19" t="str">
        <f>IFERROR(__xludf.DUMMYFUNCTION("""COMPUTED_VALUE"""),"BLUE")</f>
        <v>BLUE</v>
      </c>
      <c r="G2696" s="20" t="str">
        <f>IFERROR(__xludf.DUMMYFUNCTION("""COMPUTED_VALUE"""),"Uncle Sams Cider (04/04/2023)")</f>
        <v>Uncle Sams Cider (04/04/2023)</v>
      </c>
      <c r="H2696" s="19"/>
    </row>
    <row r="2697">
      <c r="A2697" s="9"/>
      <c r="B2697" s="15"/>
      <c r="C2697" s="9">
        <f>IFERROR(__xludf.DUMMYFUNCTION("""COMPUTED_VALUE"""),45116.3462196296)</f>
        <v>45116.34622</v>
      </c>
      <c r="D2697" s="15">
        <f>IFERROR(__xludf.DUMMYFUNCTION("""COMPUTED_VALUE"""),0.999)</f>
        <v>0.999</v>
      </c>
      <c r="E2697" s="16">
        <f>IFERROR(__xludf.DUMMYFUNCTION("""COMPUTED_VALUE"""),70.0)</f>
        <v>70</v>
      </c>
      <c r="F2697" s="19" t="str">
        <f>IFERROR(__xludf.DUMMYFUNCTION("""COMPUTED_VALUE"""),"BLUE")</f>
        <v>BLUE</v>
      </c>
      <c r="G2697" s="20" t="str">
        <f>IFERROR(__xludf.DUMMYFUNCTION("""COMPUTED_VALUE"""),"Uncle Sams Cider (04/04/2023)")</f>
        <v>Uncle Sams Cider (04/04/2023)</v>
      </c>
      <c r="H2697" s="19"/>
    </row>
    <row r="2698">
      <c r="A2698" s="9"/>
      <c r="B2698" s="15"/>
      <c r="C2698" s="9">
        <f>IFERROR(__xludf.DUMMYFUNCTION("""COMPUTED_VALUE"""),45116.3357987152)</f>
        <v>45116.3358</v>
      </c>
      <c r="D2698" s="15">
        <f>IFERROR(__xludf.DUMMYFUNCTION("""COMPUTED_VALUE"""),0.999)</f>
        <v>0.999</v>
      </c>
      <c r="E2698" s="16">
        <f>IFERROR(__xludf.DUMMYFUNCTION("""COMPUTED_VALUE"""),70.0)</f>
        <v>70</v>
      </c>
      <c r="F2698" s="19" t="str">
        <f>IFERROR(__xludf.DUMMYFUNCTION("""COMPUTED_VALUE"""),"BLUE")</f>
        <v>BLUE</v>
      </c>
      <c r="G2698" s="20" t="str">
        <f>IFERROR(__xludf.DUMMYFUNCTION("""COMPUTED_VALUE"""),"Uncle Sams Cider (04/04/2023)")</f>
        <v>Uncle Sams Cider (04/04/2023)</v>
      </c>
      <c r="H2698" s="19"/>
    </row>
    <row r="2699">
      <c r="A2699" s="9"/>
      <c r="B2699" s="15"/>
      <c r="C2699" s="9">
        <f>IFERROR(__xludf.DUMMYFUNCTION("""COMPUTED_VALUE"""),45116.325354537)</f>
        <v>45116.32535</v>
      </c>
      <c r="D2699" s="15">
        <f>IFERROR(__xludf.DUMMYFUNCTION("""COMPUTED_VALUE"""),0.999)</f>
        <v>0.999</v>
      </c>
      <c r="E2699" s="16">
        <f>IFERROR(__xludf.DUMMYFUNCTION("""COMPUTED_VALUE"""),70.0)</f>
        <v>70</v>
      </c>
      <c r="F2699" s="19" t="str">
        <f>IFERROR(__xludf.DUMMYFUNCTION("""COMPUTED_VALUE"""),"BLUE")</f>
        <v>BLUE</v>
      </c>
      <c r="G2699" s="20" t="str">
        <f>IFERROR(__xludf.DUMMYFUNCTION("""COMPUTED_VALUE"""),"Uncle Sams Cider (04/04/2023)")</f>
        <v>Uncle Sams Cider (04/04/2023)</v>
      </c>
      <c r="H2699" s="19"/>
    </row>
    <row r="2700">
      <c r="A2700" s="9"/>
      <c r="B2700" s="15"/>
      <c r="C2700" s="9">
        <f>IFERROR(__xludf.DUMMYFUNCTION("""COMPUTED_VALUE"""),45116.3149351157)</f>
        <v>45116.31494</v>
      </c>
      <c r="D2700" s="15">
        <f>IFERROR(__xludf.DUMMYFUNCTION("""COMPUTED_VALUE"""),0.999)</f>
        <v>0.999</v>
      </c>
      <c r="E2700" s="16">
        <f>IFERROR(__xludf.DUMMYFUNCTION("""COMPUTED_VALUE"""),70.0)</f>
        <v>70</v>
      </c>
      <c r="F2700" s="19" t="str">
        <f>IFERROR(__xludf.DUMMYFUNCTION("""COMPUTED_VALUE"""),"BLUE")</f>
        <v>BLUE</v>
      </c>
      <c r="G2700" s="20" t="str">
        <f>IFERROR(__xludf.DUMMYFUNCTION("""COMPUTED_VALUE"""),"Uncle Sams Cider (04/04/2023)")</f>
        <v>Uncle Sams Cider (04/04/2023)</v>
      </c>
      <c r="H2700" s="19"/>
    </row>
    <row r="2701">
      <c r="A2701" s="9"/>
      <c r="B2701" s="15"/>
      <c r="C2701" s="9">
        <f>IFERROR(__xludf.DUMMYFUNCTION("""COMPUTED_VALUE"""),45116.3045122338)</f>
        <v>45116.30451</v>
      </c>
      <c r="D2701" s="15">
        <f>IFERROR(__xludf.DUMMYFUNCTION("""COMPUTED_VALUE"""),0.999)</f>
        <v>0.999</v>
      </c>
      <c r="E2701" s="16">
        <f>IFERROR(__xludf.DUMMYFUNCTION("""COMPUTED_VALUE"""),70.0)</f>
        <v>70</v>
      </c>
      <c r="F2701" s="19" t="str">
        <f>IFERROR(__xludf.DUMMYFUNCTION("""COMPUTED_VALUE"""),"BLUE")</f>
        <v>BLUE</v>
      </c>
      <c r="G2701" s="20" t="str">
        <f>IFERROR(__xludf.DUMMYFUNCTION("""COMPUTED_VALUE"""),"Uncle Sams Cider (04/04/2023)")</f>
        <v>Uncle Sams Cider (04/04/2023)</v>
      </c>
      <c r="H2701" s="19"/>
    </row>
    <row r="2702">
      <c r="A2702" s="9"/>
      <c r="B2702" s="15"/>
      <c r="C2702" s="9">
        <f>IFERROR(__xludf.DUMMYFUNCTION("""COMPUTED_VALUE"""),45116.2940891319)</f>
        <v>45116.29409</v>
      </c>
      <c r="D2702" s="15">
        <f>IFERROR(__xludf.DUMMYFUNCTION("""COMPUTED_VALUE"""),0.999)</f>
        <v>0.999</v>
      </c>
      <c r="E2702" s="16">
        <f>IFERROR(__xludf.DUMMYFUNCTION("""COMPUTED_VALUE"""),71.0)</f>
        <v>71</v>
      </c>
      <c r="F2702" s="19" t="str">
        <f>IFERROR(__xludf.DUMMYFUNCTION("""COMPUTED_VALUE"""),"BLUE")</f>
        <v>BLUE</v>
      </c>
      <c r="G2702" s="20" t="str">
        <f>IFERROR(__xludf.DUMMYFUNCTION("""COMPUTED_VALUE"""),"Uncle Sams Cider (04/04/2023)")</f>
        <v>Uncle Sams Cider (04/04/2023)</v>
      </c>
      <c r="H2702" s="19"/>
    </row>
    <row r="2703">
      <c r="A2703" s="9"/>
      <c r="B2703" s="15"/>
      <c r="C2703" s="9">
        <f>IFERROR(__xludf.DUMMYFUNCTION("""COMPUTED_VALUE"""),45116.2836668634)</f>
        <v>45116.28367</v>
      </c>
      <c r="D2703" s="15">
        <f>IFERROR(__xludf.DUMMYFUNCTION("""COMPUTED_VALUE"""),0.999)</f>
        <v>0.999</v>
      </c>
      <c r="E2703" s="16">
        <f>IFERROR(__xludf.DUMMYFUNCTION("""COMPUTED_VALUE"""),70.0)</f>
        <v>70</v>
      </c>
      <c r="F2703" s="19" t="str">
        <f>IFERROR(__xludf.DUMMYFUNCTION("""COMPUTED_VALUE"""),"BLUE")</f>
        <v>BLUE</v>
      </c>
      <c r="G2703" s="20" t="str">
        <f>IFERROR(__xludf.DUMMYFUNCTION("""COMPUTED_VALUE"""),"Uncle Sams Cider (04/04/2023)")</f>
        <v>Uncle Sams Cider (04/04/2023)</v>
      </c>
      <c r="H2703" s="19"/>
    </row>
    <row r="2704">
      <c r="A2704" s="9"/>
      <c r="B2704" s="15"/>
      <c r="C2704" s="9">
        <f>IFERROR(__xludf.DUMMYFUNCTION("""COMPUTED_VALUE"""),45116.2732469213)</f>
        <v>45116.27325</v>
      </c>
      <c r="D2704" s="15">
        <f>IFERROR(__xludf.DUMMYFUNCTION("""COMPUTED_VALUE"""),0.999)</f>
        <v>0.999</v>
      </c>
      <c r="E2704" s="16">
        <f>IFERROR(__xludf.DUMMYFUNCTION("""COMPUTED_VALUE"""),70.0)</f>
        <v>70</v>
      </c>
      <c r="F2704" s="19" t="str">
        <f>IFERROR(__xludf.DUMMYFUNCTION("""COMPUTED_VALUE"""),"BLUE")</f>
        <v>BLUE</v>
      </c>
      <c r="G2704" s="20" t="str">
        <f>IFERROR(__xludf.DUMMYFUNCTION("""COMPUTED_VALUE"""),"Uncle Sams Cider (04/04/2023)")</f>
        <v>Uncle Sams Cider (04/04/2023)</v>
      </c>
      <c r="H2704" s="19"/>
    </row>
    <row r="2705">
      <c r="A2705" s="9"/>
      <c r="B2705" s="15"/>
      <c r="C2705" s="9">
        <f>IFERROR(__xludf.DUMMYFUNCTION("""COMPUTED_VALUE"""),45116.2628013425)</f>
        <v>45116.2628</v>
      </c>
      <c r="D2705" s="15">
        <f>IFERROR(__xludf.DUMMYFUNCTION("""COMPUTED_VALUE"""),0.999)</f>
        <v>0.999</v>
      </c>
      <c r="E2705" s="16">
        <f>IFERROR(__xludf.DUMMYFUNCTION("""COMPUTED_VALUE"""),70.0)</f>
        <v>70</v>
      </c>
      <c r="F2705" s="19" t="str">
        <f>IFERROR(__xludf.DUMMYFUNCTION("""COMPUTED_VALUE"""),"BLUE")</f>
        <v>BLUE</v>
      </c>
      <c r="G2705" s="20" t="str">
        <f>IFERROR(__xludf.DUMMYFUNCTION("""COMPUTED_VALUE"""),"Uncle Sams Cider (04/04/2023)")</f>
        <v>Uncle Sams Cider (04/04/2023)</v>
      </c>
      <c r="H2705" s="19"/>
    </row>
    <row r="2706">
      <c r="A2706" s="9"/>
      <c r="B2706" s="15"/>
      <c r="C2706" s="9">
        <f>IFERROR(__xludf.DUMMYFUNCTION("""COMPUTED_VALUE"""),45116.252381875)</f>
        <v>45116.25238</v>
      </c>
      <c r="D2706" s="15">
        <f>IFERROR(__xludf.DUMMYFUNCTION("""COMPUTED_VALUE"""),0.999)</f>
        <v>0.999</v>
      </c>
      <c r="E2706" s="16">
        <f>IFERROR(__xludf.DUMMYFUNCTION("""COMPUTED_VALUE"""),70.0)</f>
        <v>70</v>
      </c>
      <c r="F2706" s="19" t="str">
        <f>IFERROR(__xludf.DUMMYFUNCTION("""COMPUTED_VALUE"""),"BLUE")</f>
        <v>BLUE</v>
      </c>
      <c r="G2706" s="20" t="str">
        <f>IFERROR(__xludf.DUMMYFUNCTION("""COMPUTED_VALUE"""),"Uncle Sams Cider (04/04/2023)")</f>
        <v>Uncle Sams Cider (04/04/2023)</v>
      </c>
      <c r="H2706" s="19"/>
    </row>
    <row r="2707">
      <c r="A2707" s="9"/>
      <c r="B2707" s="15"/>
      <c r="C2707" s="9">
        <f>IFERROR(__xludf.DUMMYFUNCTION("""COMPUTED_VALUE"""),45116.2419619212)</f>
        <v>45116.24196</v>
      </c>
      <c r="D2707" s="15">
        <f>IFERROR(__xludf.DUMMYFUNCTION("""COMPUTED_VALUE"""),0.999)</f>
        <v>0.999</v>
      </c>
      <c r="E2707" s="16">
        <f>IFERROR(__xludf.DUMMYFUNCTION("""COMPUTED_VALUE"""),70.0)</f>
        <v>70</v>
      </c>
      <c r="F2707" s="19" t="str">
        <f>IFERROR(__xludf.DUMMYFUNCTION("""COMPUTED_VALUE"""),"BLUE")</f>
        <v>BLUE</v>
      </c>
      <c r="G2707" s="20" t="str">
        <f>IFERROR(__xludf.DUMMYFUNCTION("""COMPUTED_VALUE"""),"Uncle Sams Cider (04/04/2023)")</f>
        <v>Uncle Sams Cider (04/04/2023)</v>
      </c>
      <c r="H2707" s="19"/>
    </row>
    <row r="2708">
      <c r="A2708" s="9"/>
      <c r="B2708" s="15"/>
      <c r="C2708" s="9">
        <f>IFERROR(__xludf.DUMMYFUNCTION("""COMPUTED_VALUE"""),45116.2315296412)</f>
        <v>45116.23153</v>
      </c>
      <c r="D2708" s="15">
        <f>IFERROR(__xludf.DUMMYFUNCTION("""COMPUTED_VALUE"""),0.999)</f>
        <v>0.999</v>
      </c>
      <c r="E2708" s="16">
        <f>IFERROR(__xludf.DUMMYFUNCTION("""COMPUTED_VALUE"""),70.0)</f>
        <v>70</v>
      </c>
      <c r="F2708" s="19" t="str">
        <f>IFERROR(__xludf.DUMMYFUNCTION("""COMPUTED_VALUE"""),"BLUE")</f>
        <v>BLUE</v>
      </c>
      <c r="G2708" s="20" t="str">
        <f>IFERROR(__xludf.DUMMYFUNCTION("""COMPUTED_VALUE"""),"Uncle Sams Cider (04/04/2023)")</f>
        <v>Uncle Sams Cider (04/04/2023)</v>
      </c>
      <c r="H2708" s="19"/>
    </row>
    <row r="2709">
      <c r="A2709" s="9"/>
      <c r="B2709" s="15"/>
      <c r="C2709" s="9">
        <f>IFERROR(__xludf.DUMMYFUNCTION("""COMPUTED_VALUE"""),45116.221105868)</f>
        <v>45116.22111</v>
      </c>
      <c r="D2709" s="15">
        <f>IFERROR(__xludf.DUMMYFUNCTION("""COMPUTED_VALUE"""),0.999)</f>
        <v>0.999</v>
      </c>
      <c r="E2709" s="16">
        <f>IFERROR(__xludf.DUMMYFUNCTION("""COMPUTED_VALUE"""),70.0)</f>
        <v>70</v>
      </c>
      <c r="F2709" s="19" t="str">
        <f>IFERROR(__xludf.DUMMYFUNCTION("""COMPUTED_VALUE"""),"BLUE")</f>
        <v>BLUE</v>
      </c>
      <c r="G2709" s="20" t="str">
        <f>IFERROR(__xludf.DUMMYFUNCTION("""COMPUTED_VALUE"""),"Uncle Sams Cider (04/04/2023)")</f>
        <v>Uncle Sams Cider (04/04/2023)</v>
      </c>
      <c r="H2709" s="19"/>
    </row>
    <row r="2710">
      <c r="A2710" s="9"/>
      <c r="B2710" s="15"/>
      <c r="C2710" s="9">
        <f>IFERROR(__xludf.DUMMYFUNCTION("""COMPUTED_VALUE"""),45116.2106843981)</f>
        <v>45116.21068</v>
      </c>
      <c r="D2710" s="15">
        <f>IFERROR(__xludf.DUMMYFUNCTION("""COMPUTED_VALUE"""),0.999)</f>
        <v>0.999</v>
      </c>
      <c r="E2710" s="16">
        <f>IFERROR(__xludf.DUMMYFUNCTION("""COMPUTED_VALUE"""),70.0)</f>
        <v>70</v>
      </c>
      <c r="F2710" s="19" t="str">
        <f>IFERROR(__xludf.DUMMYFUNCTION("""COMPUTED_VALUE"""),"BLUE")</f>
        <v>BLUE</v>
      </c>
      <c r="G2710" s="20" t="str">
        <f>IFERROR(__xludf.DUMMYFUNCTION("""COMPUTED_VALUE"""),"Uncle Sams Cider (04/04/2023)")</f>
        <v>Uncle Sams Cider (04/04/2023)</v>
      </c>
      <c r="H2710" s="19"/>
    </row>
    <row r="2711">
      <c r="A2711" s="9"/>
      <c r="B2711" s="15"/>
      <c r="C2711" s="9">
        <f>IFERROR(__xludf.DUMMYFUNCTION("""COMPUTED_VALUE"""),45116.2002641088)</f>
        <v>45116.20026</v>
      </c>
      <c r="D2711" s="15">
        <f>IFERROR(__xludf.DUMMYFUNCTION("""COMPUTED_VALUE"""),0.999)</f>
        <v>0.999</v>
      </c>
      <c r="E2711" s="16">
        <f>IFERROR(__xludf.DUMMYFUNCTION("""COMPUTED_VALUE"""),70.0)</f>
        <v>70</v>
      </c>
      <c r="F2711" s="19" t="str">
        <f>IFERROR(__xludf.DUMMYFUNCTION("""COMPUTED_VALUE"""),"BLUE")</f>
        <v>BLUE</v>
      </c>
      <c r="G2711" s="20" t="str">
        <f>IFERROR(__xludf.DUMMYFUNCTION("""COMPUTED_VALUE"""),"Uncle Sams Cider (04/04/2023)")</f>
        <v>Uncle Sams Cider (04/04/2023)</v>
      </c>
      <c r="H2711" s="19"/>
    </row>
    <row r="2712">
      <c r="A2712" s="9"/>
      <c r="B2712" s="15"/>
      <c r="C2712" s="9">
        <f>IFERROR(__xludf.DUMMYFUNCTION("""COMPUTED_VALUE"""),45116.1898433217)</f>
        <v>45116.18984</v>
      </c>
      <c r="D2712" s="15">
        <f>IFERROR(__xludf.DUMMYFUNCTION("""COMPUTED_VALUE"""),0.999)</f>
        <v>0.999</v>
      </c>
      <c r="E2712" s="16">
        <f>IFERROR(__xludf.DUMMYFUNCTION("""COMPUTED_VALUE"""),70.0)</f>
        <v>70</v>
      </c>
      <c r="F2712" s="19" t="str">
        <f>IFERROR(__xludf.DUMMYFUNCTION("""COMPUTED_VALUE"""),"BLUE")</f>
        <v>BLUE</v>
      </c>
      <c r="G2712" s="20" t="str">
        <f>IFERROR(__xludf.DUMMYFUNCTION("""COMPUTED_VALUE"""),"Uncle Sams Cider (04/04/2023)")</f>
        <v>Uncle Sams Cider (04/04/2023)</v>
      </c>
      <c r="H2712" s="19"/>
    </row>
    <row r="2713">
      <c r="A2713" s="9"/>
      <c r="B2713" s="15"/>
      <c r="C2713" s="9">
        <f>IFERROR(__xludf.DUMMYFUNCTION("""COMPUTED_VALUE"""),45116.1794235995)</f>
        <v>45116.17942</v>
      </c>
      <c r="D2713" s="15">
        <f>IFERROR(__xludf.DUMMYFUNCTION("""COMPUTED_VALUE"""),0.999)</f>
        <v>0.999</v>
      </c>
      <c r="E2713" s="16">
        <f>IFERROR(__xludf.DUMMYFUNCTION("""COMPUTED_VALUE"""),70.0)</f>
        <v>70</v>
      </c>
      <c r="F2713" s="19" t="str">
        <f>IFERROR(__xludf.DUMMYFUNCTION("""COMPUTED_VALUE"""),"BLUE")</f>
        <v>BLUE</v>
      </c>
      <c r="G2713" s="20" t="str">
        <f>IFERROR(__xludf.DUMMYFUNCTION("""COMPUTED_VALUE"""),"Uncle Sams Cider (04/04/2023)")</f>
        <v>Uncle Sams Cider (04/04/2023)</v>
      </c>
      <c r="H2713" s="19"/>
    </row>
    <row r="2714">
      <c r="A2714" s="9"/>
      <c r="B2714" s="15"/>
      <c r="C2714" s="9">
        <f>IFERROR(__xludf.DUMMYFUNCTION("""COMPUTED_VALUE"""),45116.1690010995)</f>
        <v>45116.169</v>
      </c>
      <c r="D2714" s="15">
        <f>IFERROR(__xludf.DUMMYFUNCTION("""COMPUTED_VALUE"""),0.999)</f>
        <v>0.999</v>
      </c>
      <c r="E2714" s="16">
        <f>IFERROR(__xludf.DUMMYFUNCTION("""COMPUTED_VALUE"""),70.0)</f>
        <v>70</v>
      </c>
      <c r="F2714" s="19" t="str">
        <f>IFERROR(__xludf.DUMMYFUNCTION("""COMPUTED_VALUE"""),"BLUE")</f>
        <v>BLUE</v>
      </c>
      <c r="G2714" s="20" t="str">
        <f>IFERROR(__xludf.DUMMYFUNCTION("""COMPUTED_VALUE"""),"Uncle Sams Cider (04/04/2023)")</f>
        <v>Uncle Sams Cider (04/04/2023)</v>
      </c>
      <c r="H2714" s="19"/>
    </row>
    <row r="2715">
      <c r="A2715" s="9"/>
      <c r="B2715" s="15"/>
      <c r="C2715" s="9">
        <f>IFERROR(__xludf.DUMMYFUNCTION("""COMPUTED_VALUE"""),45116.158580949)</f>
        <v>45116.15858</v>
      </c>
      <c r="D2715" s="15">
        <f>IFERROR(__xludf.DUMMYFUNCTION("""COMPUTED_VALUE"""),0.999)</f>
        <v>0.999</v>
      </c>
      <c r="E2715" s="16">
        <f>IFERROR(__xludf.DUMMYFUNCTION("""COMPUTED_VALUE"""),70.0)</f>
        <v>70</v>
      </c>
      <c r="F2715" s="19" t="str">
        <f>IFERROR(__xludf.DUMMYFUNCTION("""COMPUTED_VALUE"""),"BLUE")</f>
        <v>BLUE</v>
      </c>
      <c r="G2715" s="20" t="str">
        <f>IFERROR(__xludf.DUMMYFUNCTION("""COMPUTED_VALUE"""),"Uncle Sams Cider (04/04/2023)")</f>
        <v>Uncle Sams Cider (04/04/2023)</v>
      </c>
      <c r="H2715" s="19"/>
    </row>
    <row r="2716">
      <c r="A2716" s="9"/>
      <c r="B2716" s="15"/>
      <c r="C2716" s="9">
        <f>IFERROR(__xludf.DUMMYFUNCTION("""COMPUTED_VALUE"""),45116.1481577083)</f>
        <v>45116.14816</v>
      </c>
      <c r="D2716" s="15">
        <f>IFERROR(__xludf.DUMMYFUNCTION("""COMPUTED_VALUE"""),0.999)</f>
        <v>0.999</v>
      </c>
      <c r="E2716" s="16">
        <f>IFERROR(__xludf.DUMMYFUNCTION("""COMPUTED_VALUE"""),70.0)</f>
        <v>70</v>
      </c>
      <c r="F2716" s="19" t="str">
        <f>IFERROR(__xludf.DUMMYFUNCTION("""COMPUTED_VALUE"""),"BLUE")</f>
        <v>BLUE</v>
      </c>
      <c r="G2716" s="20" t="str">
        <f>IFERROR(__xludf.DUMMYFUNCTION("""COMPUTED_VALUE"""),"Uncle Sams Cider (04/04/2023)")</f>
        <v>Uncle Sams Cider (04/04/2023)</v>
      </c>
      <c r="H2716" s="19"/>
    </row>
    <row r="2717">
      <c r="A2717" s="9"/>
      <c r="B2717" s="15"/>
      <c r="C2717" s="9">
        <f>IFERROR(__xludf.DUMMYFUNCTION("""COMPUTED_VALUE"""),45116.1377126157)</f>
        <v>45116.13771</v>
      </c>
      <c r="D2717" s="15">
        <f>IFERROR(__xludf.DUMMYFUNCTION("""COMPUTED_VALUE"""),0.999)</f>
        <v>0.999</v>
      </c>
      <c r="E2717" s="16">
        <f>IFERROR(__xludf.DUMMYFUNCTION("""COMPUTED_VALUE"""),70.0)</f>
        <v>70</v>
      </c>
      <c r="F2717" s="19" t="str">
        <f>IFERROR(__xludf.DUMMYFUNCTION("""COMPUTED_VALUE"""),"BLUE")</f>
        <v>BLUE</v>
      </c>
      <c r="G2717" s="20" t="str">
        <f>IFERROR(__xludf.DUMMYFUNCTION("""COMPUTED_VALUE"""),"Uncle Sams Cider (04/04/2023)")</f>
        <v>Uncle Sams Cider (04/04/2023)</v>
      </c>
      <c r="H2717" s="19"/>
    </row>
    <row r="2718">
      <c r="A2718" s="9"/>
      <c r="B2718" s="15"/>
      <c r="C2718" s="9">
        <f>IFERROR(__xludf.DUMMYFUNCTION("""COMPUTED_VALUE"""),45116.1272683449)</f>
        <v>45116.12727</v>
      </c>
      <c r="D2718" s="15">
        <f>IFERROR(__xludf.DUMMYFUNCTION("""COMPUTED_VALUE"""),0.999)</f>
        <v>0.999</v>
      </c>
      <c r="E2718" s="16">
        <f>IFERROR(__xludf.DUMMYFUNCTION("""COMPUTED_VALUE"""),70.0)</f>
        <v>70</v>
      </c>
      <c r="F2718" s="19" t="str">
        <f>IFERROR(__xludf.DUMMYFUNCTION("""COMPUTED_VALUE"""),"BLUE")</f>
        <v>BLUE</v>
      </c>
      <c r="G2718" s="20" t="str">
        <f>IFERROR(__xludf.DUMMYFUNCTION("""COMPUTED_VALUE"""),"Uncle Sams Cider (04/04/2023)")</f>
        <v>Uncle Sams Cider (04/04/2023)</v>
      </c>
      <c r="H2718" s="19"/>
    </row>
    <row r="2719">
      <c r="A2719" s="9"/>
      <c r="B2719" s="15"/>
      <c r="C2719" s="9">
        <f>IFERROR(__xludf.DUMMYFUNCTION("""COMPUTED_VALUE"""),45116.1168454282)</f>
        <v>45116.11685</v>
      </c>
      <c r="D2719" s="15">
        <f>IFERROR(__xludf.DUMMYFUNCTION("""COMPUTED_VALUE"""),0.999)</f>
        <v>0.999</v>
      </c>
      <c r="E2719" s="16">
        <f>IFERROR(__xludf.DUMMYFUNCTION("""COMPUTED_VALUE"""),70.0)</f>
        <v>70</v>
      </c>
      <c r="F2719" s="19" t="str">
        <f>IFERROR(__xludf.DUMMYFUNCTION("""COMPUTED_VALUE"""),"BLUE")</f>
        <v>BLUE</v>
      </c>
      <c r="G2719" s="20" t="str">
        <f>IFERROR(__xludf.DUMMYFUNCTION("""COMPUTED_VALUE"""),"Uncle Sams Cider (04/04/2023)")</f>
        <v>Uncle Sams Cider (04/04/2023)</v>
      </c>
      <c r="H2719" s="19"/>
    </row>
    <row r="2720">
      <c r="A2720" s="9"/>
      <c r="B2720" s="15"/>
      <c r="C2720" s="9">
        <f>IFERROR(__xludf.DUMMYFUNCTION("""COMPUTED_VALUE"""),45116.106425949)</f>
        <v>45116.10643</v>
      </c>
      <c r="D2720" s="15">
        <f>IFERROR(__xludf.DUMMYFUNCTION("""COMPUTED_VALUE"""),0.999)</f>
        <v>0.999</v>
      </c>
      <c r="E2720" s="16">
        <f>IFERROR(__xludf.DUMMYFUNCTION("""COMPUTED_VALUE"""),70.0)</f>
        <v>70</v>
      </c>
      <c r="F2720" s="19" t="str">
        <f>IFERROR(__xludf.DUMMYFUNCTION("""COMPUTED_VALUE"""),"BLUE")</f>
        <v>BLUE</v>
      </c>
      <c r="G2720" s="20" t="str">
        <f>IFERROR(__xludf.DUMMYFUNCTION("""COMPUTED_VALUE"""),"Uncle Sams Cider (04/04/2023)")</f>
        <v>Uncle Sams Cider (04/04/2023)</v>
      </c>
      <c r="H2720" s="19"/>
    </row>
    <row r="2721">
      <c r="A2721" s="9"/>
      <c r="B2721" s="15"/>
      <c r="C2721" s="9">
        <f>IFERROR(__xludf.DUMMYFUNCTION("""COMPUTED_VALUE"""),45116.0960051504)</f>
        <v>45116.09601</v>
      </c>
      <c r="D2721" s="15">
        <f>IFERROR(__xludf.DUMMYFUNCTION("""COMPUTED_VALUE"""),0.999)</f>
        <v>0.999</v>
      </c>
      <c r="E2721" s="16">
        <f>IFERROR(__xludf.DUMMYFUNCTION("""COMPUTED_VALUE"""),70.0)</f>
        <v>70</v>
      </c>
      <c r="F2721" s="19" t="str">
        <f>IFERROR(__xludf.DUMMYFUNCTION("""COMPUTED_VALUE"""),"BLUE")</f>
        <v>BLUE</v>
      </c>
      <c r="G2721" s="20" t="str">
        <f>IFERROR(__xludf.DUMMYFUNCTION("""COMPUTED_VALUE"""),"Uncle Sams Cider (04/04/2023)")</f>
        <v>Uncle Sams Cider (04/04/2023)</v>
      </c>
      <c r="H2721" s="19"/>
    </row>
    <row r="2722">
      <c r="A2722" s="9"/>
      <c r="B2722" s="15"/>
      <c r="C2722" s="9">
        <f>IFERROR(__xludf.DUMMYFUNCTION("""COMPUTED_VALUE"""),45116.0855719213)</f>
        <v>45116.08557</v>
      </c>
      <c r="D2722" s="15">
        <f>IFERROR(__xludf.DUMMYFUNCTION("""COMPUTED_VALUE"""),0.999)</f>
        <v>0.999</v>
      </c>
      <c r="E2722" s="16">
        <f>IFERROR(__xludf.DUMMYFUNCTION("""COMPUTED_VALUE"""),70.0)</f>
        <v>70</v>
      </c>
      <c r="F2722" s="19" t="str">
        <f>IFERROR(__xludf.DUMMYFUNCTION("""COMPUTED_VALUE"""),"BLUE")</f>
        <v>BLUE</v>
      </c>
      <c r="G2722" s="20" t="str">
        <f>IFERROR(__xludf.DUMMYFUNCTION("""COMPUTED_VALUE"""),"Uncle Sams Cider (04/04/2023)")</f>
        <v>Uncle Sams Cider (04/04/2023)</v>
      </c>
      <c r="H2722" s="19"/>
    </row>
    <row r="2723">
      <c r="A2723" s="9"/>
      <c r="B2723" s="15"/>
      <c r="C2723" s="9">
        <f>IFERROR(__xludf.DUMMYFUNCTION("""COMPUTED_VALUE"""),45116.0751497222)</f>
        <v>45116.07515</v>
      </c>
      <c r="D2723" s="15">
        <f>IFERROR(__xludf.DUMMYFUNCTION("""COMPUTED_VALUE"""),0.999)</f>
        <v>0.999</v>
      </c>
      <c r="E2723" s="16">
        <f>IFERROR(__xludf.DUMMYFUNCTION("""COMPUTED_VALUE"""),70.0)</f>
        <v>70</v>
      </c>
      <c r="F2723" s="19" t="str">
        <f>IFERROR(__xludf.DUMMYFUNCTION("""COMPUTED_VALUE"""),"BLUE")</f>
        <v>BLUE</v>
      </c>
      <c r="G2723" s="20" t="str">
        <f>IFERROR(__xludf.DUMMYFUNCTION("""COMPUTED_VALUE"""),"Uncle Sams Cider (04/04/2023)")</f>
        <v>Uncle Sams Cider (04/04/2023)</v>
      </c>
      <c r="H2723" s="19"/>
    </row>
    <row r="2724">
      <c r="A2724" s="9"/>
      <c r="B2724" s="15"/>
      <c r="C2724" s="9">
        <f>IFERROR(__xludf.DUMMYFUNCTION("""COMPUTED_VALUE"""),45116.0647290277)</f>
        <v>45116.06473</v>
      </c>
      <c r="D2724" s="15">
        <f>IFERROR(__xludf.DUMMYFUNCTION("""COMPUTED_VALUE"""),0.999)</f>
        <v>0.999</v>
      </c>
      <c r="E2724" s="16">
        <f>IFERROR(__xludf.DUMMYFUNCTION("""COMPUTED_VALUE"""),70.0)</f>
        <v>70</v>
      </c>
      <c r="F2724" s="19" t="str">
        <f>IFERROR(__xludf.DUMMYFUNCTION("""COMPUTED_VALUE"""),"BLUE")</f>
        <v>BLUE</v>
      </c>
      <c r="G2724" s="20" t="str">
        <f>IFERROR(__xludf.DUMMYFUNCTION("""COMPUTED_VALUE"""),"Uncle Sams Cider (04/04/2023)")</f>
        <v>Uncle Sams Cider (04/04/2023)</v>
      </c>
      <c r="H2724" s="19"/>
    </row>
    <row r="2725">
      <c r="A2725" s="9"/>
      <c r="B2725" s="15"/>
      <c r="C2725" s="9">
        <f>IFERROR(__xludf.DUMMYFUNCTION("""COMPUTED_VALUE"""),45116.0543078125)</f>
        <v>45116.05431</v>
      </c>
      <c r="D2725" s="15">
        <f>IFERROR(__xludf.DUMMYFUNCTION("""COMPUTED_VALUE"""),0.999)</f>
        <v>0.999</v>
      </c>
      <c r="E2725" s="16">
        <f>IFERROR(__xludf.DUMMYFUNCTION("""COMPUTED_VALUE"""),70.0)</f>
        <v>70</v>
      </c>
      <c r="F2725" s="19" t="str">
        <f>IFERROR(__xludf.DUMMYFUNCTION("""COMPUTED_VALUE"""),"BLUE")</f>
        <v>BLUE</v>
      </c>
      <c r="G2725" s="20" t="str">
        <f>IFERROR(__xludf.DUMMYFUNCTION("""COMPUTED_VALUE"""),"Uncle Sams Cider (04/04/2023)")</f>
        <v>Uncle Sams Cider (04/04/2023)</v>
      </c>
      <c r="H2725" s="19"/>
    </row>
    <row r="2726">
      <c r="A2726" s="9"/>
      <c r="B2726" s="15"/>
      <c r="C2726" s="9">
        <f>IFERROR(__xludf.DUMMYFUNCTION("""COMPUTED_VALUE"""),45116.0438870949)</f>
        <v>45116.04389</v>
      </c>
      <c r="D2726" s="15">
        <f>IFERROR(__xludf.DUMMYFUNCTION("""COMPUTED_VALUE"""),0.999)</f>
        <v>0.999</v>
      </c>
      <c r="E2726" s="16">
        <f>IFERROR(__xludf.DUMMYFUNCTION("""COMPUTED_VALUE"""),70.0)</f>
        <v>70</v>
      </c>
      <c r="F2726" s="19" t="str">
        <f>IFERROR(__xludf.DUMMYFUNCTION("""COMPUTED_VALUE"""),"BLUE")</f>
        <v>BLUE</v>
      </c>
      <c r="G2726" s="20" t="str">
        <f>IFERROR(__xludf.DUMMYFUNCTION("""COMPUTED_VALUE"""),"Uncle Sams Cider (04/04/2023)")</f>
        <v>Uncle Sams Cider (04/04/2023)</v>
      </c>
      <c r="H2726" s="19"/>
    </row>
    <row r="2727">
      <c r="A2727" s="9"/>
      <c r="B2727" s="15"/>
      <c r="C2727" s="9">
        <f>IFERROR(__xludf.DUMMYFUNCTION("""COMPUTED_VALUE"""),45116.0334665046)</f>
        <v>45116.03347</v>
      </c>
      <c r="D2727" s="15">
        <f>IFERROR(__xludf.DUMMYFUNCTION("""COMPUTED_VALUE"""),0.999)</f>
        <v>0.999</v>
      </c>
      <c r="E2727" s="16">
        <f>IFERROR(__xludf.DUMMYFUNCTION("""COMPUTED_VALUE"""),70.0)</f>
        <v>70</v>
      </c>
      <c r="F2727" s="19" t="str">
        <f>IFERROR(__xludf.DUMMYFUNCTION("""COMPUTED_VALUE"""),"BLUE")</f>
        <v>BLUE</v>
      </c>
      <c r="G2727" s="20" t="str">
        <f>IFERROR(__xludf.DUMMYFUNCTION("""COMPUTED_VALUE"""),"Uncle Sams Cider (04/04/2023)")</f>
        <v>Uncle Sams Cider (04/04/2023)</v>
      </c>
      <c r="H2727" s="19"/>
    </row>
    <row r="2728">
      <c r="A2728" s="9"/>
      <c r="B2728" s="15"/>
      <c r="C2728" s="9">
        <f>IFERROR(__xludf.DUMMYFUNCTION("""COMPUTED_VALUE"""),45116.0230453356)</f>
        <v>45116.02305</v>
      </c>
      <c r="D2728" s="15">
        <f>IFERROR(__xludf.DUMMYFUNCTION("""COMPUTED_VALUE"""),0.999)</f>
        <v>0.999</v>
      </c>
      <c r="E2728" s="16">
        <f>IFERROR(__xludf.DUMMYFUNCTION("""COMPUTED_VALUE"""),70.0)</f>
        <v>70</v>
      </c>
      <c r="F2728" s="19" t="str">
        <f>IFERROR(__xludf.DUMMYFUNCTION("""COMPUTED_VALUE"""),"BLUE")</f>
        <v>BLUE</v>
      </c>
      <c r="G2728" s="20" t="str">
        <f>IFERROR(__xludf.DUMMYFUNCTION("""COMPUTED_VALUE"""),"Uncle Sams Cider (04/04/2023)")</f>
        <v>Uncle Sams Cider (04/04/2023)</v>
      </c>
      <c r="H2728" s="19"/>
    </row>
    <row r="2729">
      <c r="A2729" s="9"/>
      <c r="B2729" s="15"/>
      <c r="C2729" s="9">
        <f>IFERROR(__xludf.DUMMYFUNCTION("""COMPUTED_VALUE"""),45116.012623912)</f>
        <v>45116.01262</v>
      </c>
      <c r="D2729" s="15">
        <f>IFERROR(__xludf.DUMMYFUNCTION("""COMPUTED_VALUE"""),0.999)</f>
        <v>0.999</v>
      </c>
      <c r="E2729" s="16">
        <f>IFERROR(__xludf.DUMMYFUNCTION("""COMPUTED_VALUE"""),70.0)</f>
        <v>70</v>
      </c>
      <c r="F2729" s="19" t="str">
        <f>IFERROR(__xludf.DUMMYFUNCTION("""COMPUTED_VALUE"""),"BLUE")</f>
        <v>BLUE</v>
      </c>
      <c r="G2729" s="20" t="str">
        <f>IFERROR(__xludf.DUMMYFUNCTION("""COMPUTED_VALUE"""),"Uncle Sams Cider (04/04/2023)")</f>
        <v>Uncle Sams Cider (04/04/2023)</v>
      </c>
      <c r="H2729" s="19"/>
    </row>
    <row r="2730">
      <c r="A2730" s="9"/>
      <c r="B2730" s="15"/>
      <c r="C2730" s="9">
        <f>IFERROR(__xludf.DUMMYFUNCTION("""COMPUTED_VALUE"""),45116.0021901851)</f>
        <v>45116.00219</v>
      </c>
      <c r="D2730" s="15">
        <f>IFERROR(__xludf.DUMMYFUNCTION("""COMPUTED_VALUE"""),0.999)</f>
        <v>0.999</v>
      </c>
      <c r="E2730" s="16">
        <f>IFERROR(__xludf.DUMMYFUNCTION("""COMPUTED_VALUE"""),70.0)</f>
        <v>70</v>
      </c>
      <c r="F2730" s="19" t="str">
        <f>IFERROR(__xludf.DUMMYFUNCTION("""COMPUTED_VALUE"""),"BLUE")</f>
        <v>BLUE</v>
      </c>
      <c r="G2730" s="20" t="str">
        <f>IFERROR(__xludf.DUMMYFUNCTION("""COMPUTED_VALUE"""),"Uncle Sams Cider (04/04/2023)")</f>
        <v>Uncle Sams Cider (04/04/2023)</v>
      </c>
      <c r="H2730" s="19"/>
    </row>
    <row r="2731">
      <c r="A2731" s="9"/>
      <c r="B2731" s="15"/>
      <c r="C2731" s="9">
        <f>IFERROR(__xludf.DUMMYFUNCTION("""COMPUTED_VALUE"""),45115.9917582291)</f>
        <v>45115.99176</v>
      </c>
      <c r="D2731" s="15">
        <f>IFERROR(__xludf.DUMMYFUNCTION("""COMPUTED_VALUE"""),0.999)</f>
        <v>0.999</v>
      </c>
      <c r="E2731" s="16">
        <f>IFERROR(__xludf.DUMMYFUNCTION("""COMPUTED_VALUE"""),70.0)</f>
        <v>70</v>
      </c>
      <c r="F2731" s="19" t="str">
        <f>IFERROR(__xludf.DUMMYFUNCTION("""COMPUTED_VALUE"""),"BLUE")</f>
        <v>BLUE</v>
      </c>
      <c r="G2731" s="20" t="str">
        <f>IFERROR(__xludf.DUMMYFUNCTION("""COMPUTED_VALUE"""),"Uncle Sams Cider (04/04/2023)")</f>
        <v>Uncle Sams Cider (04/04/2023)</v>
      </c>
      <c r="H2731" s="19"/>
    </row>
    <row r="2732">
      <c r="A2732" s="9"/>
      <c r="B2732" s="15"/>
      <c r="C2732" s="9">
        <f>IFERROR(__xludf.DUMMYFUNCTION("""COMPUTED_VALUE"""),45115.9813256713)</f>
        <v>45115.98133</v>
      </c>
      <c r="D2732" s="15">
        <f>IFERROR(__xludf.DUMMYFUNCTION("""COMPUTED_VALUE"""),0.999)</f>
        <v>0.999</v>
      </c>
      <c r="E2732" s="16">
        <f>IFERROR(__xludf.DUMMYFUNCTION("""COMPUTED_VALUE"""),70.0)</f>
        <v>70</v>
      </c>
      <c r="F2732" s="19" t="str">
        <f>IFERROR(__xludf.DUMMYFUNCTION("""COMPUTED_VALUE"""),"BLUE")</f>
        <v>BLUE</v>
      </c>
      <c r="G2732" s="20" t="str">
        <f>IFERROR(__xludf.DUMMYFUNCTION("""COMPUTED_VALUE"""),"Uncle Sams Cider (04/04/2023)")</f>
        <v>Uncle Sams Cider (04/04/2023)</v>
      </c>
      <c r="H2732" s="19"/>
    </row>
    <row r="2733">
      <c r="A2733" s="9"/>
      <c r="B2733" s="15"/>
      <c r="C2733" s="9">
        <f>IFERROR(__xludf.DUMMYFUNCTION("""COMPUTED_VALUE"""),45115.9708932407)</f>
        <v>45115.97089</v>
      </c>
      <c r="D2733" s="15">
        <f>IFERROR(__xludf.DUMMYFUNCTION("""COMPUTED_VALUE"""),0.999)</f>
        <v>0.999</v>
      </c>
      <c r="E2733" s="16">
        <f>IFERROR(__xludf.DUMMYFUNCTION("""COMPUTED_VALUE"""),70.0)</f>
        <v>70</v>
      </c>
      <c r="F2733" s="19" t="str">
        <f>IFERROR(__xludf.DUMMYFUNCTION("""COMPUTED_VALUE"""),"BLUE")</f>
        <v>BLUE</v>
      </c>
      <c r="G2733" s="20" t="str">
        <f>IFERROR(__xludf.DUMMYFUNCTION("""COMPUTED_VALUE"""),"Uncle Sams Cider (04/04/2023)")</f>
        <v>Uncle Sams Cider (04/04/2023)</v>
      </c>
      <c r="H2733" s="19"/>
    </row>
    <row r="2734">
      <c r="A2734" s="9"/>
      <c r="B2734" s="15"/>
      <c r="C2734" s="9">
        <f>IFERROR(__xludf.DUMMYFUNCTION("""COMPUTED_VALUE"""),45115.9604610416)</f>
        <v>45115.96046</v>
      </c>
      <c r="D2734" s="15">
        <f>IFERROR(__xludf.DUMMYFUNCTION("""COMPUTED_VALUE"""),0.999)</f>
        <v>0.999</v>
      </c>
      <c r="E2734" s="16">
        <f>IFERROR(__xludf.DUMMYFUNCTION("""COMPUTED_VALUE"""),70.0)</f>
        <v>70</v>
      </c>
      <c r="F2734" s="19" t="str">
        <f>IFERROR(__xludf.DUMMYFUNCTION("""COMPUTED_VALUE"""),"BLUE")</f>
        <v>BLUE</v>
      </c>
      <c r="G2734" s="20" t="str">
        <f>IFERROR(__xludf.DUMMYFUNCTION("""COMPUTED_VALUE"""),"Uncle Sams Cider (04/04/2023)")</f>
        <v>Uncle Sams Cider (04/04/2023)</v>
      </c>
      <c r="H2734" s="19"/>
    </row>
    <row r="2735">
      <c r="A2735" s="9"/>
      <c r="B2735" s="15"/>
      <c r="C2735" s="9">
        <f>IFERROR(__xludf.DUMMYFUNCTION("""COMPUTED_VALUE"""),45115.9500413078)</f>
        <v>45115.95004</v>
      </c>
      <c r="D2735" s="15">
        <f>IFERROR(__xludf.DUMMYFUNCTION("""COMPUTED_VALUE"""),0.999)</f>
        <v>0.999</v>
      </c>
      <c r="E2735" s="16">
        <f>IFERROR(__xludf.DUMMYFUNCTION("""COMPUTED_VALUE"""),70.0)</f>
        <v>70</v>
      </c>
      <c r="F2735" s="19" t="str">
        <f>IFERROR(__xludf.DUMMYFUNCTION("""COMPUTED_VALUE"""),"BLUE")</f>
        <v>BLUE</v>
      </c>
      <c r="G2735" s="20" t="str">
        <f>IFERROR(__xludf.DUMMYFUNCTION("""COMPUTED_VALUE"""),"Uncle Sams Cider (04/04/2023)")</f>
        <v>Uncle Sams Cider (04/04/2023)</v>
      </c>
      <c r="H2735" s="19"/>
    </row>
    <row r="2736">
      <c r="A2736" s="9"/>
      <c r="B2736" s="15"/>
      <c r="C2736" s="9">
        <f>IFERROR(__xludf.DUMMYFUNCTION("""COMPUTED_VALUE"""),45115.9396218981)</f>
        <v>45115.93962</v>
      </c>
      <c r="D2736" s="15">
        <f>IFERROR(__xludf.DUMMYFUNCTION("""COMPUTED_VALUE"""),0.999)</f>
        <v>0.999</v>
      </c>
      <c r="E2736" s="16">
        <f>IFERROR(__xludf.DUMMYFUNCTION("""COMPUTED_VALUE"""),70.0)</f>
        <v>70</v>
      </c>
      <c r="F2736" s="19" t="str">
        <f>IFERROR(__xludf.DUMMYFUNCTION("""COMPUTED_VALUE"""),"BLUE")</f>
        <v>BLUE</v>
      </c>
      <c r="G2736" s="20" t="str">
        <f>IFERROR(__xludf.DUMMYFUNCTION("""COMPUTED_VALUE"""),"Uncle Sams Cider (04/04/2023)")</f>
        <v>Uncle Sams Cider (04/04/2023)</v>
      </c>
      <c r="H2736" s="19"/>
    </row>
    <row r="2737">
      <c r="A2737" s="9"/>
      <c r="B2737" s="15"/>
      <c r="C2737" s="9">
        <f>IFERROR(__xludf.DUMMYFUNCTION("""COMPUTED_VALUE"""),45115.9291999305)</f>
        <v>45115.9292</v>
      </c>
      <c r="D2737" s="15">
        <f>IFERROR(__xludf.DUMMYFUNCTION("""COMPUTED_VALUE"""),0.999)</f>
        <v>0.999</v>
      </c>
      <c r="E2737" s="16">
        <f>IFERROR(__xludf.DUMMYFUNCTION("""COMPUTED_VALUE"""),70.0)</f>
        <v>70</v>
      </c>
      <c r="F2737" s="19" t="str">
        <f>IFERROR(__xludf.DUMMYFUNCTION("""COMPUTED_VALUE"""),"BLUE")</f>
        <v>BLUE</v>
      </c>
      <c r="G2737" s="20" t="str">
        <f>IFERROR(__xludf.DUMMYFUNCTION("""COMPUTED_VALUE"""),"Uncle Sams Cider (04/04/2023)")</f>
        <v>Uncle Sams Cider (04/04/2023)</v>
      </c>
      <c r="H2737" s="19"/>
    </row>
    <row r="2738">
      <c r="A2738" s="9"/>
      <c r="B2738" s="15"/>
      <c r="C2738" s="9">
        <f>IFERROR(__xludf.DUMMYFUNCTION("""COMPUTED_VALUE"""),45115.9187657523)</f>
        <v>45115.91877</v>
      </c>
      <c r="D2738" s="15">
        <f>IFERROR(__xludf.DUMMYFUNCTION("""COMPUTED_VALUE"""),0.999)</f>
        <v>0.999</v>
      </c>
      <c r="E2738" s="16">
        <f>IFERROR(__xludf.DUMMYFUNCTION("""COMPUTED_VALUE"""),70.0)</f>
        <v>70</v>
      </c>
      <c r="F2738" s="19" t="str">
        <f>IFERROR(__xludf.DUMMYFUNCTION("""COMPUTED_VALUE"""),"BLUE")</f>
        <v>BLUE</v>
      </c>
      <c r="G2738" s="20" t="str">
        <f>IFERROR(__xludf.DUMMYFUNCTION("""COMPUTED_VALUE"""),"Uncle Sams Cider (04/04/2023)")</f>
        <v>Uncle Sams Cider (04/04/2023)</v>
      </c>
      <c r="H2738" s="19"/>
    </row>
    <row r="2739">
      <c r="A2739" s="9"/>
      <c r="B2739" s="15"/>
      <c r="C2739" s="9">
        <f>IFERROR(__xludf.DUMMYFUNCTION("""COMPUTED_VALUE"""),45115.90834625)</f>
        <v>45115.90835</v>
      </c>
      <c r="D2739" s="15">
        <f>IFERROR(__xludf.DUMMYFUNCTION("""COMPUTED_VALUE"""),0.999)</f>
        <v>0.999</v>
      </c>
      <c r="E2739" s="16">
        <f>IFERROR(__xludf.DUMMYFUNCTION("""COMPUTED_VALUE"""),70.0)</f>
        <v>70</v>
      </c>
      <c r="F2739" s="19" t="str">
        <f>IFERROR(__xludf.DUMMYFUNCTION("""COMPUTED_VALUE"""),"BLUE")</f>
        <v>BLUE</v>
      </c>
      <c r="G2739" s="20" t="str">
        <f>IFERROR(__xludf.DUMMYFUNCTION("""COMPUTED_VALUE"""),"Uncle Sams Cider (04/04/2023)")</f>
        <v>Uncle Sams Cider (04/04/2023)</v>
      </c>
      <c r="H2739" s="19"/>
    </row>
    <row r="2740">
      <c r="A2740" s="9"/>
      <c r="B2740" s="15"/>
      <c r="C2740" s="9">
        <f>IFERROR(__xludf.DUMMYFUNCTION("""COMPUTED_VALUE"""),45115.8979262152)</f>
        <v>45115.89793</v>
      </c>
      <c r="D2740" s="15">
        <f>IFERROR(__xludf.DUMMYFUNCTION("""COMPUTED_VALUE"""),0.999)</f>
        <v>0.999</v>
      </c>
      <c r="E2740" s="16">
        <f>IFERROR(__xludf.DUMMYFUNCTION("""COMPUTED_VALUE"""),70.0)</f>
        <v>70</v>
      </c>
      <c r="F2740" s="19" t="str">
        <f>IFERROR(__xludf.DUMMYFUNCTION("""COMPUTED_VALUE"""),"BLUE")</f>
        <v>BLUE</v>
      </c>
      <c r="G2740" s="20" t="str">
        <f>IFERROR(__xludf.DUMMYFUNCTION("""COMPUTED_VALUE"""),"Uncle Sams Cider (04/04/2023)")</f>
        <v>Uncle Sams Cider (04/04/2023)</v>
      </c>
      <c r="H2740" s="19"/>
    </row>
    <row r="2741">
      <c r="A2741" s="9"/>
      <c r="B2741" s="15"/>
      <c r="C2741" s="9">
        <f>IFERROR(__xludf.DUMMYFUNCTION("""COMPUTED_VALUE"""),45115.887492581)</f>
        <v>45115.88749</v>
      </c>
      <c r="D2741" s="15">
        <f>IFERROR(__xludf.DUMMYFUNCTION("""COMPUTED_VALUE"""),0.999)</f>
        <v>0.999</v>
      </c>
      <c r="E2741" s="16">
        <f>IFERROR(__xludf.DUMMYFUNCTION("""COMPUTED_VALUE"""),70.0)</f>
        <v>70</v>
      </c>
      <c r="F2741" s="19" t="str">
        <f>IFERROR(__xludf.DUMMYFUNCTION("""COMPUTED_VALUE"""),"BLUE")</f>
        <v>BLUE</v>
      </c>
      <c r="G2741" s="20" t="str">
        <f>IFERROR(__xludf.DUMMYFUNCTION("""COMPUTED_VALUE"""),"Uncle Sams Cider (04/04/2023)")</f>
        <v>Uncle Sams Cider (04/04/2023)</v>
      </c>
      <c r="H2741" s="19"/>
    </row>
    <row r="2742">
      <c r="A2742" s="9"/>
      <c r="B2742" s="15"/>
      <c r="C2742" s="9">
        <f>IFERROR(__xludf.DUMMYFUNCTION("""COMPUTED_VALUE"""),45115.8770609606)</f>
        <v>45115.87706</v>
      </c>
      <c r="D2742" s="15">
        <f>IFERROR(__xludf.DUMMYFUNCTION("""COMPUTED_VALUE"""),0.999)</f>
        <v>0.999</v>
      </c>
      <c r="E2742" s="16">
        <f>IFERROR(__xludf.DUMMYFUNCTION("""COMPUTED_VALUE"""),70.0)</f>
        <v>70</v>
      </c>
      <c r="F2742" s="19" t="str">
        <f>IFERROR(__xludf.DUMMYFUNCTION("""COMPUTED_VALUE"""),"BLUE")</f>
        <v>BLUE</v>
      </c>
      <c r="G2742" s="20" t="str">
        <f>IFERROR(__xludf.DUMMYFUNCTION("""COMPUTED_VALUE"""),"Uncle Sams Cider (04/04/2023)")</f>
        <v>Uncle Sams Cider (04/04/2023)</v>
      </c>
      <c r="H2742" s="19"/>
    </row>
    <row r="2743">
      <c r="A2743" s="9"/>
      <c r="B2743" s="15"/>
      <c r="C2743" s="9">
        <f>IFERROR(__xludf.DUMMYFUNCTION("""COMPUTED_VALUE"""),45115.8666397106)</f>
        <v>45115.86664</v>
      </c>
      <c r="D2743" s="15">
        <f>IFERROR(__xludf.DUMMYFUNCTION("""COMPUTED_VALUE"""),0.999)</f>
        <v>0.999</v>
      </c>
      <c r="E2743" s="16">
        <f>IFERROR(__xludf.DUMMYFUNCTION("""COMPUTED_VALUE"""),70.0)</f>
        <v>70</v>
      </c>
      <c r="F2743" s="19" t="str">
        <f>IFERROR(__xludf.DUMMYFUNCTION("""COMPUTED_VALUE"""),"BLUE")</f>
        <v>BLUE</v>
      </c>
      <c r="G2743" s="20" t="str">
        <f>IFERROR(__xludf.DUMMYFUNCTION("""COMPUTED_VALUE"""),"Uncle Sams Cider (04/04/2023)")</f>
        <v>Uncle Sams Cider (04/04/2023)</v>
      </c>
      <c r="H2743" s="19"/>
    </row>
    <row r="2744">
      <c r="A2744" s="9"/>
      <c r="B2744" s="15"/>
      <c r="C2744" s="9">
        <f>IFERROR(__xludf.DUMMYFUNCTION("""COMPUTED_VALUE"""),45115.8562173032)</f>
        <v>45115.85622</v>
      </c>
      <c r="D2744" s="15">
        <f>IFERROR(__xludf.DUMMYFUNCTION("""COMPUTED_VALUE"""),0.999)</f>
        <v>0.999</v>
      </c>
      <c r="E2744" s="16">
        <f>IFERROR(__xludf.DUMMYFUNCTION("""COMPUTED_VALUE"""),70.0)</f>
        <v>70</v>
      </c>
      <c r="F2744" s="19" t="str">
        <f>IFERROR(__xludf.DUMMYFUNCTION("""COMPUTED_VALUE"""),"BLUE")</f>
        <v>BLUE</v>
      </c>
      <c r="G2744" s="20" t="str">
        <f>IFERROR(__xludf.DUMMYFUNCTION("""COMPUTED_VALUE"""),"Uncle Sams Cider (04/04/2023)")</f>
        <v>Uncle Sams Cider (04/04/2023)</v>
      </c>
      <c r="H2744" s="19"/>
    </row>
    <row r="2745">
      <c r="A2745" s="9"/>
      <c r="B2745" s="15"/>
      <c r="C2745" s="9">
        <f>IFERROR(__xludf.DUMMYFUNCTION("""COMPUTED_VALUE"""),45115.8457845023)</f>
        <v>45115.84578</v>
      </c>
      <c r="D2745" s="15">
        <f>IFERROR(__xludf.DUMMYFUNCTION("""COMPUTED_VALUE"""),0.999)</f>
        <v>0.999</v>
      </c>
      <c r="E2745" s="16">
        <f>IFERROR(__xludf.DUMMYFUNCTION("""COMPUTED_VALUE"""),70.0)</f>
        <v>70</v>
      </c>
      <c r="F2745" s="19" t="str">
        <f>IFERROR(__xludf.DUMMYFUNCTION("""COMPUTED_VALUE"""),"BLUE")</f>
        <v>BLUE</v>
      </c>
      <c r="G2745" s="20" t="str">
        <f>IFERROR(__xludf.DUMMYFUNCTION("""COMPUTED_VALUE"""),"Uncle Sams Cider (04/04/2023)")</f>
        <v>Uncle Sams Cider (04/04/2023)</v>
      </c>
      <c r="H2745" s="19"/>
    </row>
    <row r="2746">
      <c r="A2746" s="9"/>
      <c r="B2746" s="15"/>
      <c r="C2746" s="9">
        <f>IFERROR(__xludf.DUMMYFUNCTION("""COMPUTED_VALUE"""),45115.8353624305)</f>
        <v>45115.83536</v>
      </c>
      <c r="D2746" s="15">
        <f>IFERROR(__xludf.DUMMYFUNCTION("""COMPUTED_VALUE"""),0.999)</f>
        <v>0.999</v>
      </c>
      <c r="E2746" s="16">
        <f>IFERROR(__xludf.DUMMYFUNCTION("""COMPUTED_VALUE"""),70.0)</f>
        <v>70</v>
      </c>
      <c r="F2746" s="19" t="str">
        <f>IFERROR(__xludf.DUMMYFUNCTION("""COMPUTED_VALUE"""),"BLUE")</f>
        <v>BLUE</v>
      </c>
      <c r="G2746" s="20" t="str">
        <f>IFERROR(__xludf.DUMMYFUNCTION("""COMPUTED_VALUE"""),"Uncle Sams Cider (04/04/2023)")</f>
        <v>Uncle Sams Cider (04/04/2023)</v>
      </c>
      <c r="H2746" s="19"/>
    </row>
    <row r="2747">
      <c r="A2747" s="9"/>
      <c r="B2747" s="15"/>
      <c r="C2747" s="9">
        <f>IFERROR(__xludf.DUMMYFUNCTION("""COMPUTED_VALUE"""),45115.8249297222)</f>
        <v>45115.82493</v>
      </c>
      <c r="D2747" s="15">
        <f>IFERROR(__xludf.DUMMYFUNCTION("""COMPUTED_VALUE"""),0.999)</f>
        <v>0.999</v>
      </c>
      <c r="E2747" s="16">
        <f>IFERROR(__xludf.DUMMYFUNCTION("""COMPUTED_VALUE"""),70.0)</f>
        <v>70</v>
      </c>
      <c r="F2747" s="19" t="str">
        <f>IFERROR(__xludf.DUMMYFUNCTION("""COMPUTED_VALUE"""),"BLUE")</f>
        <v>BLUE</v>
      </c>
      <c r="G2747" s="20" t="str">
        <f>IFERROR(__xludf.DUMMYFUNCTION("""COMPUTED_VALUE"""),"Uncle Sams Cider (04/04/2023)")</f>
        <v>Uncle Sams Cider (04/04/2023)</v>
      </c>
      <c r="H2747" s="19"/>
    </row>
    <row r="2748">
      <c r="A2748" s="9"/>
      <c r="B2748" s="15"/>
      <c r="C2748" s="9">
        <f>IFERROR(__xludf.DUMMYFUNCTION("""COMPUTED_VALUE"""),45115.8145080555)</f>
        <v>45115.81451</v>
      </c>
      <c r="D2748" s="15">
        <f>IFERROR(__xludf.DUMMYFUNCTION("""COMPUTED_VALUE"""),0.999)</f>
        <v>0.999</v>
      </c>
      <c r="E2748" s="16">
        <f>IFERROR(__xludf.DUMMYFUNCTION("""COMPUTED_VALUE"""),70.0)</f>
        <v>70</v>
      </c>
      <c r="F2748" s="19" t="str">
        <f>IFERROR(__xludf.DUMMYFUNCTION("""COMPUTED_VALUE"""),"BLUE")</f>
        <v>BLUE</v>
      </c>
      <c r="G2748" s="20" t="str">
        <f>IFERROR(__xludf.DUMMYFUNCTION("""COMPUTED_VALUE"""),"Uncle Sams Cider (04/04/2023)")</f>
        <v>Uncle Sams Cider (04/04/2023)</v>
      </c>
      <c r="H2748" s="19"/>
    </row>
    <row r="2749">
      <c r="A2749" s="9"/>
      <c r="B2749" s="15"/>
      <c r="C2749" s="9">
        <f>IFERROR(__xludf.DUMMYFUNCTION("""COMPUTED_VALUE"""),45115.8040859722)</f>
        <v>45115.80409</v>
      </c>
      <c r="D2749" s="15">
        <f>IFERROR(__xludf.DUMMYFUNCTION("""COMPUTED_VALUE"""),0.999)</f>
        <v>0.999</v>
      </c>
      <c r="E2749" s="16">
        <f>IFERROR(__xludf.DUMMYFUNCTION("""COMPUTED_VALUE"""),70.0)</f>
        <v>70</v>
      </c>
      <c r="F2749" s="19" t="str">
        <f>IFERROR(__xludf.DUMMYFUNCTION("""COMPUTED_VALUE"""),"BLUE")</f>
        <v>BLUE</v>
      </c>
      <c r="G2749" s="20" t="str">
        <f>IFERROR(__xludf.DUMMYFUNCTION("""COMPUTED_VALUE"""),"Uncle Sams Cider (04/04/2023)")</f>
        <v>Uncle Sams Cider (04/04/2023)</v>
      </c>
      <c r="H2749" s="19"/>
    </row>
    <row r="2750">
      <c r="A2750" s="9"/>
      <c r="B2750" s="15"/>
      <c r="C2750" s="9">
        <f>IFERROR(__xludf.DUMMYFUNCTION("""COMPUTED_VALUE"""),45115.7936529282)</f>
        <v>45115.79365</v>
      </c>
      <c r="D2750" s="15">
        <f>IFERROR(__xludf.DUMMYFUNCTION("""COMPUTED_VALUE"""),0.999)</f>
        <v>0.999</v>
      </c>
      <c r="E2750" s="16">
        <f>IFERROR(__xludf.DUMMYFUNCTION("""COMPUTED_VALUE"""),70.0)</f>
        <v>70</v>
      </c>
      <c r="F2750" s="19" t="str">
        <f>IFERROR(__xludf.DUMMYFUNCTION("""COMPUTED_VALUE"""),"BLUE")</f>
        <v>BLUE</v>
      </c>
      <c r="G2750" s="20" t="str">
        <f>IFERROR(__xludf.DUMMYFUNCTION("""COMPUTED_VALUE"""),"Uncle Sams Cider (04/04/2023)")</f>
        <v>Uncle Sams Cider (04/04/2023)</v>
      </c>
      <c r="H2750" s="19"/>
    </row>
    <row r="2751">
      <c r="A2751" s="9"/>
      <c r="B2751" s="15"/>
      <c r="C2751" s="9">
        <f>IFERROR(__xludf.DUMMYFUNCTION("""COMPUTED_VALUE"""),45115.7832206944)</f>
        <v>45115.78322</v>
      </c>
      <c r="D2751" s="15">
        <f>IFERROR(__xludf.DUMMYFUNCTION("""COMPUTED_VALUE"""),0.999)</f>
        <v>0.999</v>
      </c>
      <c r="E2751" s="16">
        <f>IFERROR(__xludf.DUMMYFUNCTION("""COMPUTED_VALUE"""),70.0)</f>
        <v>70</v>
      </c>
      <c r="F2751" s="19" t="str">
        <f>IFERROR(__xludf.DUMMYFUNCTION("""COMPUTED_VALUE"""),"BLUE")</f>
        <v>BLUE</v>
      </c>
      <c r="G2751" s="20" t="str">
        <f>IFERROR(__xludf.DUMMYFUNCTION("""COMPUTED_VALUE"""),"Uncle Sams Cider (04/04/2023)")</f>
        <v>Uncle Sams Cider (04/04/2023)</v>
      </c>
      <c r="H2751" s="19"/>
    </row>
    <row r="2752">
      <c r="A2752" s="9"/>
      <c r="B2752" s="15"/>
      <c r="C2752" s="9">
        <f>IFERROR(__xludf.DUMMYFUNCTION("""COMPUTED_VALUE"""),45115.7727910416)</f>
        <v>45115.77279</v>
      </c>
      <c r="D2752" s="15">
        <f>IFERROR(__xludf.DUMMYFUNCTION("""COMPUTED_VALUE"""),0.999)</f>
        <v>0.999</v>
      </c>
      <c r="E2752" s="16">
        <f>IFERROR(__xludf.DUMMYFUNCTION("""COMPUTED_VALUE"""),70.0)</f>
        <v>70</v>
      </c>
      <c r="F2752" s="19" t="str">
        <f>IFERROR(__xludf.DUMMYFUNCTION("""COMPUTED_VALUE"""),"BLUE")</f>
        <v>BLUE</v>
      </c>
      <c r="G2752" s="20" t="str">
        <f>IFERROR(__xludf.DUMMYFUNCTION("""COMPUTED_VALUE"""),"Uncle Sams Cider (04/04/2023)")</f>
        <v>Uncle Sams Cider (04/04/2023)</v>
      </c>
      <c r="H2752" s="19"/>
    </row>
    <row r="2753">
      <c r="A2753" s="9"/>
      <c r="B2753" s="15"/>
      <c r="C2753" s="9">
        <f>IFERROR(__xludf.DUMMYFUNCTION("""COMPUTED_VALUE"""),45115.7623573842)</f>
        <v>45115.76236</v>
      </c>
      <c r="D2753" s="15">
        <f>IFERROR(__xludf.DUMMYFUNCTION("""COMPUTED_VALUE"""),0.999)</f>
        <v>0.999</v>
      </c>
      <c r="E2753" s="16">
        <f>IFERROR(__xludf.DUMMYFUNCTION("""COMPUTED_VALUE"""),70.0)</f>
        <v>70</v>
      </c>
      <c r="F2753" s="19" t="str">
        <f>IFERROR(__xludf.DUMMYFUNCTION("""COMPUTED_VALUE"""),"BLUE")</f>
        <v>BLUE</v>
      </c>
      <c r="G2753" s="20" t="str">
        <f>IFERROR(__xludf.DUMMYFUNCTION("""COMPUTED_VALUE"""),"Uncle Sams Cider (04/04/2023)")</f>
        <v>Uncle Sams Cider (04/04/2023)</v>
      </c>
      <c r="H2753" s="19"/>
    </row>
    <row r="2754">
      <c r="A2754" s="9"/>
      <c r="B2754" s="15"/>
      <c r="C2754" s="9">
        <f>IFERROR(__xludf.DUMMYFUNCTION("""COMPUTED_VALUE"""),45115.7519365625)</f>
        <v>45115.75194</v>
      </c>
      <c r="D2754" s="15">
        <f>IFERROR(__xludf.DUMMYFUNCTION("""COMPUTED_VALUE"""),0.999)</f>
        <v>0.999</v>
      </c>
      <c r="E2754" s="16">
        <f>IFERROR(__xludf.DUMMYFUNCTION("""COMPUTED_VALUE"""),70.0)</f>
        <v>70</v>
      </c>
      <c r="F2754" s="19" t="str">
        <f>IFERROR(__xludf.DUMMYFUNCTION("""COMPUTED_VALUE"""),"BLUE")</f>
        <v>BLUE</v>
      </c>
      <c r="G2754" s="20" t="str">
        <f>IFERROR(__xludf.DUMMYFUNCTION("""COMPUTED_VALUE"""),"Uncle Sams Cider (04/04/2023)")</f>
        <v>Uncle Sams Cider (04/04/2023)</v>
      </c>
      <c r="H2754" s="19"/>
    </row>
    <row r="2755">
      <c r="A2755" s="9"/>
      <c r="B2755" s="15"/>
      <c r="C2755" s="9">
        <f>IFERROR(__xludf.DUMMYFUNCTION("""COMPUTED_VALUE"""),45115.7415158912)</f>
        <v>45115.74152</v>
      </c>
      <c r="D2755" s="15">
        <f>IFERROR(__xludf.DUMMYFUNCTION("""COMPUTED_VALUE"""),1.0)</f>
        <v>1</v>
      </c>
      <c r="E2755" s="16">
        <f>IFERROR(__xludf.DUMMYFUNCTION("""COMPUTED_VALUE"""),70.0)</f>
        <v>70</v>
      </c>
      <c r="F2755" s="19" t="str">
        <f>IFERROR(__xludf.DUMMYFUNCTION("""COMPUTED_VALUE"""),"BLUE")</f>
        <v>BLUE</v>
      </c>
      <c r="G2755" s="20" t="str">
        <f>IFERROR(__xludf.DUMMYFUNCTION("""COMPUTED_VALUE"""),"Uncle Sams Cider (04/04/2023)")</f>
        <v>Uncle Sams Cider (04/04/2023)</v>
      </c>
      <c r="H2755" s="19"/>
    </row>
    <row r="2756">
      <c r="A2756" s="9"/>
      <c r="B2756" s="15"/>
      <c r="C2756" s="9">
        <f>IFERROR(__xludf.DUMMYFUNCTION("""COMPUTED_VALUE"""),45115.7310951967)</f>
        <v>45115.7311</v>
      </c>
      <c r="D2756" s="15">
        <f>IFERROR(__xludf.DUMMYFUNCTION("""COMPUTED_VALUE"""),0.999)</f>
        <v>0.999</v>
      </c>
      <c r="E2756" s="16">
        <f>IFERROR(__xludf.DUMMYFUNCTION("""COMPUTED_VALUE"""),70.0)</f>
        <v>70</v>
      </c>
      <c r="F2756" s="19" t="str">
        <f>IFERROR(__xludf.DUMMYFUNCTION("""COMPUTED_VALUE"""),"BLUE")</f>
        <v>BLUE</v>
      </c>
      <c r="G2756" s="20" t="str">
        <f>IFERROR(__xludf.DUMMYFUNCTION("""COMPUTED_VALUE"""),"Uncle Sams Cider (04/04/2023)")</f>
        <v>Uncle Sams Cider (04/04/2023)</v>
      </c>
      <c r="H2756" s="19"/>
    </row>
    <row r="2757">
      <c r="A2757" s="9"/>
      <c r="B2757" s="15"/>
      <c r="C2757" s="9">
        <f>IFERROR(__xludf.DUMMYFUNCTION("""COMPUTED_VALUE"""),45115.7206740393)</f>
        <v>45115.72067</v>
      </c>
      <c r="D2757" s="15">
        <f>IFERROR(__xludf.DUMMYFUNCTION("""COMPUTED_VALUE"""),0.999)</f>
        <v>0.999</v>
      </c>
      <c r="E2757" s="16">
        <f>IFERROR(__xludf.DUMMYFUNCTION("""COMPUTED_VALUE"""),70.0)</f>
        <v>70</v>
      </c>
      <c r="F2757" s="19" t="str">
        <f>IFERROR(__xludf.DUMMYFUNCTION("""COMPUTED_VALUE"""),"BLUE")</f>
        <v>BLUE</v>
      </c>
      <c r="G2757" s="20" t="str">
        <f>IFERROR(__xludf.DUMMYFUNCTION("""COMPUTED_VALUE"""),"Uncle Sams Cider (04/04/2023)")</f>
        <v>Uncle Sams Cider (04/04/2023)</v>
      </c>
      <c r="H2757" s="19"/>
    </row>
    <row r="2758">
      <c r="A2758" s="9"/>
      <c r="B2758" s="15"/>
      <c r="C2758" s="9">
        <f>IFERROR(__xludf.DUMMYFUNCTION("""COMPUTED_VALUE"""),45115.7102292824)</f>
        <v>45115.71023</v>
      </c>
      <c r="D2758" s="15">
        <f>IFERROR(__xludf.DUMMYFUNCTION("""COMPUTED_VALUE"""),0.999)</f>
        <v>0.999</v>
      </c>
      <c r="E2758" s="16">
        <f>IFERROR(__xludf.DUMMYFUNCTION("""COMPUTED_VALUE"""),70.0)</f>
        <v>70</v>
      </c>
      <c r="F2758" s="19" t="str">
        <f>IFERROR(__xludf.DUMMYFUNCTION("""COMPUTED_VALUE"""),"BLUE")</f>
        <v>BLUE</v>
      </c>
      <c r="G2758" s="20" t="str">
        <f>IFERROR(__xludf.DUMMYFUNCTION("""COMPUTED_VALUE"""),"Uncle Sams Cider (04/04/2023)")</f>
        <v>Uncle Sams Cider (04/04/2023)</v>
      </c>
      <c r="H2758" s="19"/>
    </row>
    <row r="2759">
      <c r="A2759" s="9"/>
      <c r="B2759" s="15"/>
      <c r="C2759" s="9">
        <f>IFERROR(__xludf.DUMMYFUNCTION("""COMPUTED_VALUE"""),45115.6998077083)</f>
        <v>45115.69981</v>
      </c>
      <c r="D2759" s="15">
        <f>IFERROR(__xludf.DUMMYFUNCTION("""COMPUTED_VALUE"""),0.999)</f>
        <v>0.999</v>
      </c>
      <c r="E2759" s="16">
        <f>IFERROR(__xludf.DUMMYFUNCTION("""COMPUTED_VALUE"""),70.0)</f>
        <v>70</v>
      </c>
      <c r="F2759" s="19" t="str">
        <f>IFERROR(__xludf.DUMMYFUNCTION("""COMPUTED_VALUE"""),"BLUE")</f>
        <v>BLUE</v>
      </c>
      <c r="G2759" s="20" t="str">
        <f>IFERROR(__xludf.DUMMYFUNCTION("""COMPUTED_VALUE"""),"Uncle Sams Cider (04/04/2023)")</f>
        <v>Uncle Sams Cider (04/04/2023)</v>
      </c>
      <c r="H2759" s="19"/>
    </row>
    <row r="2760">
      <c r="A2760" s="9"/>
      <c r="B2760" s="15"/>
      <c r="C2760" s="9">
        <f>IFERROR(__xludf.DUMMYFUNCTION("""COMPUTED_VALUE"""),45115.6893865162)</f>
        <v>45115.68939</v>
      </c>
      <c r="D2760" s="15">
        <f>IFERROR(__xludf.DUMMYFUNCTION("""COMPUTED_VALUE"""),0.999)</f>
        <v>0.999</v>
      </c>
      <c r="E2760" s="16">
        <f>IFERROR(__xludf.DUMMYFUNCTION("""COMPUTED_VALUE"""),70.0)</f>
        <v>70</v>
      </c>
      <c r="F2760" s="19" t="str">
        <f>IFERROR(__xludf.DUMMYFUNCTION("""COMPUTED_VALUE"""),"BLUE")</f>
        <v>BLUE</v>
      </c>
      <c r="G2760" s="20" t="str">
        <f>IFERROR(__xludf.DUMMYFUNCTION("""COMPUTED_VALUE"""),"Uncle Sams Cider (04/04/2023)")</f>
        <v>Uncle Sams Cider (04/04/2023)</v>
      </c>
      <c r="H2760" s="19"/>
    </row>
    <row r="2761">
      <c r="A2761" s="9"/>
      <c r="B2761" s="15"/>
      <c r="C2761" s="9">
        <f>IFERROR(__xludf.DUMMYFUNCTION("""COMPUTED_VALUE"""),45115.678964456)</f>
        <v>45115.67896</v>
      </c>
      <c r="D2761" s="15">
        <f>IFERROR(__xludf.DUMMYFUNCTION("""COMPUTED_VALUE"""),0.999)</f>
        <v>0.999</v>
      </c>
      <c r="E2761" s="16">
        <f>IFERROR(__xludf.DUMMYFUNCTION("""COMPUTED_VALUE"""),70.0)</f>
        <v>70</v>
      </c>
      <c r="F2761" s="19" t="str">
        <f>IFERROR(__xludf.DUMMYFUNCTION("""COMPUTED_VALUE"""),"BLUE")</f>
        <v>BLUE</v>
      </c>
      <c r="G2761" s="20" t="str">
        <f>IFERROR(__xludf.DUMMYFUNCTION("""COMPUTED_VALUE"""),"Uncle Sams Cider (04/04/2023)")</f>
        <v>Uncle Sams Cider (04/04/2023)</v>
      </c>
      <c r="H2761" s="19"/>
    </row>
    <row r="2762">
      <c r="A2762" s="9"/>
      <c r="B2762" s="15"/>
      <c r="C2762" s="9">
        <f>IFERROR(__xludf.DUMMYFUNCTION("""COMPUTED_VALUE"""),45115.6685311574)</f>
        <v>45115.66853</v>
      </c>
      <c r="D2762" s="15">
        <f>IFERROR(__xludf.DUMMYFUNCTION("""COMPUTED_VALUE"""),0.999)</f>
        <v>0.999</v>
      </c>
      <c r="E2762" s="16">
        <f>IFERROR(__xludf.DUMMYFUNCTION("""COMPUTED_VALUE"""),70.0)</f>
        <v>70</v>
      </c>
      <c r="F2762" s="19" t="str">
        <f>IFERROR(__xludf.DUMMYFUNCTION("""COMPUTED_VALUE"""),"BLUE")</f>
        <v>BLUE</v>
      </c>
      <c r="G2762" s="20" t="str">
        <f>IFERROR(__xludf.DUMMYFUNCTION("""COMPUTED_VALUE"""),"Uncle Sams Cider (04/04/2023)")</f>
        <v>Uncle Sams Cider (04/04/2023)</v>
      </c>
      <c r="H2762" s="19"/>
    </row>
    <row r="2763">
      <c r="A2763" s="9"/>
      <c r="B2763" s="15"/>
      <c r="C2763" s="9">
        <f>IFERROR(__xludf.DUMMYFUNCTION("""COMPUTED_VALUE"""),45115.658109074)</f>
        <v>45115.65811</v>
      </c>
      <c r="D2763" s="15">
        <f>IFERROR(__xludf.DUMMYFUNCTION("""COMPUTED_VALUE"""),0.999)</f>
        <v>0.999</v>
      </c>
      <c r="E2763" s="16">
        <f>IFERROR(__xludf.DUMMYFUNCTION("""COMPUTED_VALUE"""),70.0)</f>
        <v>70</v>
      </c>
      <c r="F2763" s="19" t="str">
        <f>IFERROR(__xludf.DUMMYFUNCTION("""COMPUTED_VALUE"""),"BLUE")</f>
        <v>BLUE</v>
      </c>
      <c r="G2763" s="20" t="str">
        <f>IFERROR(__xludf.DUMMYFUNCTION("""COMPUTED_VALUE"""),"Uncle Sams Cider (04/04/2023)")</f>
        <v>Uncle Sams Cider (04/04/2023)</v>
      </c>
      <c r="H2763" s="19"/>
    </row>
    <row r="2764">
      <c r="A2764" s="9"/>
      <c r="B2764" s="15"/>
      <c r="C2764" s="9">
        <f>IFERROR(__xludf.DUMMYFUNCTION("""COMPUTED_VALUE"""),45115.6476858217)</f>
        <v>45115.64769</v>
      </c>
      <c r="D2764" s="15">
        <f>IFERROR(__xludf.DUMMYFUNCTION("""COMPUTED_VALUE"""),0.999)</f>
        <v>0.999</v>
      </c>
      <c r="E2764" s="16">
        <f>IFERROR(__xludf.DUMMYFUNCTION("""COMPUTED_VALUE"""),70.0)</f>
        <v>70</v>
      </c>
      <c r="F2764" s="19" t="str">
        <f>IFERROR(__xludf.DUMMYFUNCTION("""COMPUTED_VALUE"""),"BLUE")</f>
        <v>BLUE</v>
      </c>
      <c r="G2764" s="20" t="str">
        <f>IFERROR(__xludf.DUMMYFUNCTION("""COMPUTED_VALUE"""),"Uncle Sams Cider (04/04/2023)")</f>
        <v>Uncle Sams Cider (04/04/2023)</v>
      </c>
      <c r="H2764" s="19"/>
    </row>
    <row r="2765">
      <c r="A2765" s="9"/>
      <c r="B2765" s="15"/>
      <c r="C2765" s="9">
        <f>IFERROR(__xludf.DUMMYFUNCTION("""COMPUTED_VALUE"""),45115.637265)</f>
        <v>45115.63727</v>
      </c>
      <c r="D2765" s="15">
        <f>IFERROR(__xludf.DUMMYFUNCTION("""COMPUTED_VALUE"""),0.999)</f>
        <v>0.999</v>
      </c>
      <c r="E2765" s="16">
        <f>IFERROR(__xludf.DUMMYFUNCTION("""COMPUTED_VALUE"""),70.0)</f>
        <v>70</v>
      </c>
      <c r="F2765" s="19" t="str">
        <f>IFERROR(__xludf.DUMMYFUNCTION("""COMPUTED_VALUE"""),"BLUE")</f>
        <v>BLUE</v>
      </c>
      <c r="G2765" s="20" t="str">
        <f>IFERROR(__xludf.DUMMYFUNCTION("""COMPUTED_VALUE"""),"Uncle Sams Cider (04/04/2023)")</f>
        <v>Uncle Sams Cider (04/04/2023)</v>
      </c>
      <c r="H2765" s="19"/>
    </row>
    <row r="2766">
      <c r="A2766" s="9"/>
      <c r="B2766" s="15"/>
      <c r="C2766" s="9">
        <f>IFERROR(__xludf.DUMMYFUNCTION("""COMPUTED_VALUE"""),45115.6268447338)</f>
        <v>45115.62684</v>
      </c>
      <c r="D2766" s="15">
        <f>IFERROR(__xludf.DUMMYFUNCTION("""COMPUTED_VALUE"""),0.999)</f>
        <v>0.999</v>
      </c>
      <c r="E2766" s="16">
        <f>IFERROR(__xludf.DUMMYFUNCTION("""COMPUTED_VALUE"""),70.0)</f>
        <v>70</v>
      </c>
      <c r="F2766" s="19" t="str">
        <f>IFERROR(__xludf.DUMMYFUNCTION("""COMPUTED_VALUE"""),"BLUE")</f>
        <v>BLUE</v>
      </c>
      <c r="G2766" s="20" t="str">
        <f>IFERROR(__xludf.DUMMYFUNCTION("""COMPUTED_VALUE"""),"Uncle Sams Cider (04/04/2023)")</f>
        <v>Uncle Sams Cider (04/04/2023)</v>
      </c>
      <c r="H2766" s="19"/>
    </row>
    <row r="2767">
      <c r="A2767" s="9"/>
      <c r="B2767" s="15"/>
      <c r="C2767" s="9">
        <f>IFERROR(__xludf.DUMMYFUNCTION("""COMPUTED_VALUE"""),45115.616423831)</f>
        <v>45115.61642</v>
      </c>
      <c r="D2767" s="15">
        <f>IFERROR(__xludf.DUMMYFUNCTION("""COMPUTED_VALUE"""),0.999)</f>
        <v>0.999</v>
      </c>
      <c r="E2767" s="16">
        <f>IFERROR(__xludf.DUMMYFUNCTION("""COMPUTED_VALUE"""),70.0)</f>
        <v>70</v>
      </c>
      <c r="F2767" s="19" t="str">
        <f>IFERROR(__xludf.DUMMYFUNCTION("""COMPUTED_VALUE"""),"BLUE")</f>
        <v>BLUE</v>
      </c>
      <c r="G2767" s="20" t="str">
        <f>IFERROR(__xludf.DUMMYFUNCTION("""COMPUTED_VALUE"""),"Uncle Sams Cider (04/04/2023)")</f>
        <v>Uncle Sams Cider (04/04/2023)</v>
      </c>
      <c r="H2767" s="19"/>
    </row>
    <row r="2768">
      <c r="A2768" s="9"/>
      <c r="B2768" s="15"/>
      <c r="C2768" s="9">
        <f>IFERROR(__xludf.DUMMYFUNCTION("""COMPUTED_VALUE"""),45115.6060039236)</f>
        <v>45115.606</v>
      </c>
      <c r="D2768" s="15">
        <f>IFERROR(__xludf.DUMMYFUNCTION("""COMPUTED_VALUE"""),0.999)</f>
        <v>0.999</v>
      </c>
      <c r="E2768" s="16">
        <f>IFERROR(__xludf.DUMMYFUNCTION("""COMPUTED_VALUE"""),70.0)</f>
        <v>70</v>
      </c>
      <c r="F2768" s="19" t="str">
        <f>IFERROR(__xludf.DUMMYFUNCTION("""COMPUTED_VALUE"""),"BLUE")</f>
        <v>BLUE</v>
      </c>
      <c r="G2768" s="20" t="str">
        <f>IFERROR(__xludf.DUMMYFUNCTION("""COMPUTED_VALUE"""),"Uncle Sams Cider (04/04/2023)")</f>
        <v>Uncle Sams Cider (04/04/2023)</v>
      </c>
      <c r="H2768" s="19"/>
    </row>
    <row r="2769">
      <c r="A2769" s="9"/>
      <c r="B2769" s="15"/>
      <c r="C2769" s="9">
        <f>IFERROR(__xludf.DUMMYFUNCTION("""COMPUTED_VALUE"""),45115.5955724421)</f>
        <v>45115.59557</v>
      </c>
      <c r="D2769" s="15">
        <f>IFERROR(__xludf.DUMMYFUNCTION("""COMPUTED_VALUE"""),0.999)</f>
        <v>0.999</v>
      </c>
      <c r="E2769" s="16">
        <f>IFERROR(__xludf.DUMMYFUNCTION("""COMPUTED_VALUE"""),70.0)</f>
        <v>70</v>
      </c>
      <c r="F2769" s="19" t="str">
        <f>IFERROR(__xludf.DUMMYFUNCTION("""COMPUTED_VALUE"""),"BLUE")</f>
        <v>BLUE</v>
      </c>
      <c r="G2769" s="20" t="str">
        <f>IFERROR(__xludf.DUMMYFUNCTION("""COMPUTED_VALUE"""),"Uncle Sams Cider (04/04/2023)")</f>
        <v>Uncle Sams Cider (04/04/2023)</v>
      </c>
      <c r="H2769" s="19"/>
    </row>
    <row r="2770">
      <c r="A2770" s="9"/>
      <c r="B2770" s="15"/>
      <c r="C2770" s="9">
        <f>IFERROR(__xludf.DUMMYFUNCTION("""COMPUTED_VALUE"""),45115.585152824)</f>
        <v>45115.58515</v>
      </c>
      <c r="D2770" s="15">
        <f>IFERROR(__xludf.DUMMYFUNCTION("""COMPUTED_VALUE"""),0.999)</f>
        <v>0.999</v>
      </c>
      <c r="E2770" s="16">
        <f>IFERROR(__xludf.DUMMYFUNCTION("""COMPUTED_VALUE"""),70.0)</f>
        <v>70</v>
      </c>
      <c r="F2770" s="19" t="str">
        <f>IFERROR(__xludf.DUMMYFUNCTION("""COMPUTED_VALUE"""),"BLUE")</f>
        <v>BLUE</v>
      </c>
      <c r="G2770" s="20" t="str">
        <f>IFERROR(__xludf.DUMMYFUNCTION("""COMPUTED_VALUE"""),"Uncle Sams Cider (04/04/2023)")</f>
        <v>Uncle Sams Cider (04/04/2023)</v>
      </c>
      <c r="H2770" s="19"/>
    </row>
    <row r="2771">
      <c r="A2771" s="9"/>
      <c r="B2771" s="15"/>
      <c r="C2771" s="9">
        <f>IFERROR(__xludf.DUMMYFUNCTION("""COMPUTED_VALUE"""),45115.5747305092)</f>
        <v>45115.57473</v>
      </c>
      <c r="D2771" s="15">
        <f>IFERROR(__xludf.DUMMYFUNCTION("""COMPUTED_VALUE"""),0.999)</f>
        <v>0.999</v>
      </c>
      <c r="E2771" s="16">
        <f>IFERROR(__xludf.DUMMYFUNCTION("""COMPUTED_VALUE"""),70.0)</f>
        <v>70</v>
      </c>
      <c r="F2771" s="19" t="str">
        <f>IFERROR(__xludf.DUMMYFUNCTION("""COMPUTED_VALUE"""),"BLUE")</f>
        <v>BLUE</v>
      </c>
      <c r="G2771" s="20" t="str">
        <f>IFERROR(__xludf.DUMMYFUNCTION("""COMPUTED_VALUE"""),"Uncle Sams Cider (04/04/2023)")</f>
        <v>Uncle Sams Cider (04/04/2023)</v>
      </c>
      <c r="H2771" s="19"/>
    </row>
    <row r="2772">
      <c r="A2772" s="9"/>
      <c r="B2772" s="15"/>
      <c r="C2772" s="9">
        <f>IFERROR(__xludf.DUMMYFUNCTION("""COMPUTED_VALUE"""),45115.5643081713)</f>
        <v>45115.56431</v>
      </c>
      <c r="D2772" s="15">
        <f>IFERROR(__xludf.DUMMYFUNCTION("""COMPUTED_VALUE"""),0.999)</f>
        <v>0.999</v>
      </c>
      <c r="E2772" s="16">
        <f>IFERROR(__xludf.DUMMYFUNCTION("""COMPUTED_VALUE"""),70.0)</f>
        <v>70</v>
      </c>
      <c r="F2772" s="19" t="str">
        <f>IFERROR(__xludf.DUMMYFUNCTION("""COMPUTED_VALUE"""),"BLUE")</f>
        <v>BLUE</v>
      </c>
      <c r="G2772" s="20" t="str">
        <f>IFERROR(__xludf.DUMMYFUNCTION("""COMPUTED_VALUE"""),"Uncle Sams Cider (04/04/2023)")</f>
        <v>Uncle Sams Cider (04/04/2023)</v>
      </c>
      <c r="H2772" s="19"/>
    </row>
    <row r="2773">
      <c r="A2773" s="9"/>
      <c r="B2773" s="15"/>
      <c r="C2773" s="9">
        <f>IFERROR(__xludf.DUMMYFUNCTION("""COMPUTED_VALUE"""),45115.5538873726)</f>
        <v>45115.55389</v>
      </c>
      <c r="D2773" s="15">
        <f>IFERROR(__xludf.DUMMYFUNCTION("""COMPUTED_VALUE"""),0.999)</f>
        <v>0.999</v>
      </c>
      <c r="E2773" s="16">
        <f>IFERROR(__xludf.DUMMYFUNCTION("""COMPUTED_VALUE"""),70.0)</f>
        <v>70</v>
      </c>
      <c r="F2773" s="19" t="str">
        <f>IFERROR(__xludf.DUMMYFUNCTION("""COMPUTED_VALUE"""),"BLUE")</f>
        <v>BLUE</v>
      </c>
      <c r="G2773" s="20" t="str">
        <f>IFERROR(__xludf.DUMMYFUNCTION("""COMPUTED_VALUE"""),"Uncle Sams Cider (04/04/2023)")</f>
        <v>Uncle Sams Cider (04/04/2023)</v>
      </c>
      <c r="H2773" s="19"/>
    </row>
    <row r="2774">
      <c r="A2774" s="9"/>
      <c r="B2774" s="15"/>
      <c r="C2774" s="9">
        <f>IFERROR(__xludf.DUMMYFUNCTION("""COMPUTED_VALUE"""),45115.5434675231)</f>
        <v>45115.54347</v>
      </c>
      <c r="D2774" s="15">
        <f>IFERROR(__xludf.DUMMYFUNCTION("""COMPUTED_VALUE"""),0.999)</f>
        <v>0.999</v>
      </c>
      <c r="E2774" s="16">
        <f>IFERROR(__xludf.DUMMYFUNCTION("""COMPUTED_VALUE"""),70.0)</f>
        <v>70</v>
      </c>
      <c r="F2774" s="19" t="str">
        <f>IFERROR(__xludf.DUMMYFUNCTION("""COMPUTED_VALUE"""),"BLUE")</f>
        <v>BLUE</v>
      </c>
      <c r="G2774" s="20" t="str">
        <f>IFERROR(__xludf.DUMMYFUNCTION("""COMPUTED_VALUE"""),"Uncle Sams Cider (04/04/2023)")</f>
        <v>Uncle Sams Cider (04/04/2023)</v>
      </c>
      <c r="H2774" s="19"/>
    </row>
    <row r="2775">
      <c r="A2775" s="9"/>
      <c r="B2775" s="15"/>
      <c r="C2775" s="9">
        <f>IFERROR(__xludf.DUMMYFUNCTION("""COMPUTED_VALUE"""),45115.5330479513)</f>
        <v>45115.53305</v>
      </c>
      <c r="D2775" s="15">
        <f>IFERROR(__xludf.DUMMYFUNCTION("""COMPUTED_VALUE"""),0.999)</f>
        <v>0.999</v>
      </c>
      <c r="E2775" s="16">
        <f>IFERROR(__xludf.DUMMYFUNCTION("""COMPUTED_VALUE"""),70.0)</f>
        <v>70</v>
      </c>
      <c r="F2775" s="19" t="str">
        <f>IFERROR(__xludf.DUMMYFUNCTION("""COMPUTED_VALUE"""),"BLUE")</f>
        <v>BLUE</v>
      </c>
      <c r="G2775" s="20" t="str">
        <f>IFERROR(__xludf.DUMMYFUNCTION("""COMPUTED_VALUE"""),"Uncle Sams Cider (04/04/2023)")</f>
        <v>Uncle Sams Cider (04/04/2023)</v>
      </c>
      <c r="H2775" s="19"/>
    </row>
    <row r="2776">
      <c r="A2776" s="9"/>
      <c r="B2776" s="15"/>
      <c r="C2776" s="9">
        <f>IFERROR(__xludf.DUMMYFUNCTION("""COMPUTED_VALUE"""),45115.5226248032)</f>
        <v>45115.52262</v>
      </c>
      <c r="D2776" s="15">
        <f>IFERROR(__xludf.DUMMYFUNCTION("""COMPUTED_VALUE"""),0.999)</f>
        <v>0.999</v>
      </c>
      <c r="E2776" s="16">
        <f>IFERROR(__xludf.DUMMYFUNCTION("""COMPUTED_VALUE"""),70.0)</f>
        <v>70</v>
      </c>
      <c r="F2776" s="19" t="str">
        <f>IFERROR(__xludf.DUMMYFUNCTION("""COMPUTED_VALUE"""),"BLUE")</f>
        <v>BLUE</v>
      </c>
      <c r="G2776" s="20" t="str">
        <f>IFERROR(__xludf.DUMMYFUNCTION("""COMPUTED_VALUE"""),"Uncle Sams Cider (04/04/2023)")</f>
        <v>Uncle Sams Cider (04/04/2023)</v>
      </c>
      <c r="H2776" s="19"/>
    </row>
    <row r="2777">
      <c r="A2777" s="9"/>
      <c r="B2777" s="15"/>
      <c r="C2777" s="9">
        <f>IFERROR(__xludf.DUMMYFUNCTION("""COMPUTED_VALUE"""),45115.5122037037)</f>
        <v>45115.5122</v>
      </c>
      <c r="D2777" s="15">
        <f>IFERROR(__xludf.DUMMYFUNCTION("""COMPUTED_VALUE"""),0.999)</f>
        <v>0.999</v>
      </c>
      <c r="E2777" s="16">
        <f>IFERROR(__xludf.DUMMYFUNCTION("""COMPUTED_VALUE"""),71.0)</f>
        <v>71</v>
      </c>
      <c r="F2777" s="19" t="str">
        <f>IFERROR(__xludf.DUMMYFUNCTION("""COMPUTED_VALUE"""),"BLUE")</f>
        <v>BLUE</v>
      </c>
      <c r="G2777" s="20" t="str">
        <f>IFERROR(__xludf.DUMMYFUNCTION("""COMPUTED_VALUE"""),"Uncle Sams Cider (04/04/2023)")</f>
        <v>Uncle Sams Cider (04/04/2023)</v>
      </c>
      <c r="H2777" s="19"/>
    </row>
    <row r="2778">
      <c r="A2778" s="9"/>
      <c r="B2778" s="15"/>
      <c r="C2778" s="9">
        <f>IFERROR(__xludf.DUMMYFUNCTION("""COMPUTED_VALUE"""),45115.5017831481)</f>
        <v>45115.50178</v>
      </c>
      <c r="D2778" s="15">
        <f>IFERROR(__xludf.DUMMYFUNCTION("""COMPUTED_VALUE"""),0.999)</f>
        <v>0.999</v>
      </c>
      <c r="E2778" s="16">
        <f>IFERROR(__xludf.DUMMYFUNCTION("""COMPUTED_VALUE"""),71.0)</f>
        <v>71</v>
      </c>
      <c r="F2778" s="19" t="str">
        <f>IFERROR(__xludf.DUMMYFUNCTION("""COMPUTED_VALUE"""),"BLUE")</f>
        <v>BLUE</v>
      </c>
      <c r="G2778" s="20" t="str">
        <f>IFERROR(__xludf.DUMMYFUNCTION("""COMPUTED_VALUE"""),"Uncle Sams Cider (04/04/2023)")</f>
        <v>Uncle Sams Cider (04/04/2023)</v>
      </c>
      <c r="H2778" s="19"/>
    </row>
    <row r="2779">
      <c r="A2779" s="9"/>
      <c r="B2779" s="15"/>
      <c r="C2779" s="9">
        <f>IFERROR(__xludf.DUMMYFUNCTION("""COMPUTED_VALUE"""),45115.491350243)</f>
        <v>45115.49135</v>
      </c>
      <c r="D2779" s="15">
        <f>IFERROR(__xludf.DUMMYFUNCTION("""COMPUTED_VALUE"""),0.999)</f>
        <v>0.999</v>
      </c>
      <c r="E2779" s="16">
        <f>IFERROR(__xludf.DUMMYFUNCTION("""COMPUTED_VALUE"""),71.0)</f>
        <v>71</v>
      </c>
      <c r="F2779" s="19" t="str">
        <f>IFERROR(__xludf.DUMMYFUNCTION("""COMPUTED_VALUE"""),"BLUE")</f>
        <v>BLUE</v>
      </c>
      <c r="G2779" s="20" t="str">
        <f>IFERROR(__xludf.DUMMYFUNCTION("""COMPUTED_VALUE"""),"Uncle Sams Cider (04/04/2023)")</f>
        <v>Uncle Sams Cider (04/04/2023)</v>
      </c>
      <c r="H2779" s="19"/>
    </row>
    <row r="2780">
      <c r="A2780" s="9"/>
      <c r="B2780" s="15"/>
      <c r="C2780" s="9">
        <f>IFERROR(__xludf.DUMMYFUNCTION("""COMPUTED_VALUE"""),45115.4808711458)</f>
        <v>45115.48087</v>
      </c>
      <c r="D2780" s="15">
        <f>IFERROR(__xludf.DUMMYFUNCTION("""COMPUTED_VALUE"""),0.999)</f>
        <v>0.999</v>
      </c>
      <c r="E2780" s="16">
        <f>IFERROR(__xludf.DUMMYFUNCTION("""COMPUTED_VALUE"""),70.0)</f>
        <v>70</v>
      </c>
      <c r="F2780" s="19" t="str">
        <f>IFERROR(__xludf.DUMMYFUNCTION("""COMPUTED_VALUE"""),"BLUE")</f>
        <v>BLUE</v>
      </c>
      <c r="G2780" s="20" t="str">
        <f>IFERROR(__xludf.DUMMYFUNCTION("""COMPUTED_VALUE"""),"Uncle Sams Cider (04/04/2023)")</f>
        <v>Uncle Sams Cider (04/04/2023)</v>
      </c>
      <c r="H2780" s="19"/>
    </row>
    <row r="2781">
      <c r="A2781" s="9"/>
      <c r="B2781" s="15"/>
      <c r="C2781" s="9">
        <f>IFERROR(__xludf.DUMMYFUNCTION("""COMPUTED_VALUE"""),45115.4704511458)</f>
        <v>45115.47045</v>
      </c>
      <c r="D2781" s="15">
        <f>IFERROR(__xludf.DUMMYFUNCTION("""COMPUTED_VALUE"""),0.999)</f>
        <v>0.999</v>
      </c>
      <c r="E2781" s="16">
        <f>IFERROR(__xludf.DUMMYFUNCTION("""COMPUTED_VALUE"""),70.0)</f>
        <v>70</v>
      </c>
      <c r="F2781" s="19" t="str">
        <f>IFERROR(__xludf.DUMMYFUNCTION("""COMPUTED_VALUE"""),"BLUE")</f>
        <v>BLUE</v>
      </c>
      <c r="G2781" s="20" t="str">
        <f>IFERROR(__xludf.DUMMYFUNCTION("""COMPUTED_VALUE"""),"Uncle Sams Cider (04/04/2023)")</f>
        <v>Uncle Sams Cider (04/04/2023)</v>
      </c>
      <c r="H2781" s="19"/>
    </row>
    <row r="2782">
      <c r="A2782" s="9"/>
      <c r="B2782" s="15"/>
      <c r="C2782" s="9">
        <f>IFERROR(__xludf.DUMMYFUNCTION("""COMPUTED_VALUE"""),45115.4600287384)</f>
        <v>45115.46003</v>
      </c>
      <c r="D2782" s="15">
        <f>IFERROR(__xludf.DUMMYFUNCTION("""COMPUTED_VALUE"""),0.999)</f>
        <v>0.999</v>
      </c>
      <c r="E2782" s="16">
        <f>IFERROR(__xludf.DUMMYFUNCTION("""COMPUTED_VALUE"""),71.0)</f>
        <v>71</v>
      </c>
      <c r="F2782" s="19" t="str">
        <f>IFERROR(__xludf.DUMMYFUNCTION("""COMPUTED_VALUE"""),"BLUE")</f>
        <v>BLUE</v>
      </c>
      <c r="G2782" s="20" t="str">
        <f>IFERROR(__xludf.DUMMYFUNCTION("""COMPUTED_VALUE"""),"Uncle Sams Cider (04/04/2023)")</f>
        <v>Uncle Sams Cider (04/04/2023)</v>
      </c>
      <c r="H2782" s="19"/>
    </row>
    <row r="2783">
      <c r="A2783" s="9"/>
      <c r="B2783" s="15"/>
      <c r="C2783" s="9">
        <f>IFERROR(__xludf.DUMMYFUNCTION("""COMPUTED_VALUE"""),45115.4495836805)</f>
        <v>45115.44958</v>
      </c>
      <c r="D2783" s="15">
        <f>IFERROR(__xludf.DUMMYFUNCTION("""COMPUTED_VALUE"""),0.999)</f>
        <v>0.999</v>
      </c>
      <c r="E2783" s="16">
        <f>IFERROR(__xludf.DUMMYFUNCTION("""COMPUTED_VALUE"""),71.0)</f>
        <v>71</v>
      </c>
      <c r="F2783" s="19" t="str">
        <f>IFERROR(__xludf.DUMMYFUNCTION("""COMPUTED_VALUE"""),"BLUE")</f>
        <v>BLUE</v>
      </c>
      <c r="G2783" s="20" t="str">
        <f>IFERROR(__xludf.DUMMYFUNCTION("""COMPUTED_VALUE"""),"Uncle Sams Cider (04/04/2023)")</f>
        <v>Uncle Sams Cider (04/04/2023)</v>
      </c>
      <c r="H2783" s="19"/>
    </row>
    <row r="2784">
      <c r="A2784" s="9"/>
      <c r="B2784" s="15"/>
      <c r="C2784" s="9">
        <f>IFERROR(__xludf.DUMMYFUNCTION("""COMPUTED_VALUE"""),45115.4391512152)</f>
        <v>45115.43915</v>
      </c>
      <c r="D2784" s="15">
        <f>IFERROR(__xludf.DUMMYFUNCTION("""COMPUTED_VALUE"""),0.999)</f>
        <v>0.999</v>
      </c>
      <c r="E2784" s="16">
        <f>IFERROR(__xludf.DUMMYFUNCTION("""COMPUTED_VALUE"""),71.0)</f>
        <v>71</v>
      </c>
      <c r="F2784" s="19" t="str">
        <f>IFERROR(__xludf.DUMMYFUNCTION("""COMPUTED_VALUE"""),"BLUE")</f>
        <v>BLUE</v>
      </c>
      <c r="G2784" s="20" t="str">
        <f>IFERROR(__xludf.DUMMYFUNCTION("""COMPUTED_VALUE"""),"Uncle Sams Cider (04/04/2023)")</f>
        <v>Uncle Sams Cider (04/04/2023)</v>
      </c>
      <c r="H2784" s="19"/>
    </row>
    <row r="2785">
      <c r="A2785" s="9"/>
      <c r="B2785" s="15"/>
      <c r="C2785" s="9">
        <f>IFERROR(__xludf.DUMMYFUNCTION("""COMPUTED_VALUE"""),45115.4287296296)</f>
        <v>45115.42873</v>
      </c>
      <c r="D2785" s="15">
        <f>IFERROR(__xludf.DUMMYFUNCTION("""COMPUTED_VALUE"""),0.999)</f>
        <v>0.999</v>
      </c>
      <c r="E2785" s="16">
        <f>IFERROR(__xludf.DUMMYFUNCTION("""COMPUTED_VALUE"""),70.0)</f>
        <v>70</v>
      </c>
      <c r="F2785" s="19" t="str">
        <f>IFERROR(__xludf.DUMMYFUNCTION("""COMPUTED_VALUE"""),"BLUE")</f>
        <v>BLUE</v>
      </c>
      <c r="G2785" s="20" t="str">
        <f>IFERROR(__xludf.DUMMYFUNCTION("""COMPUTED_VALUE"""),"Uncle Sams Cider (04/04/2023)")</f>
        <v>Uncle Sams Cider (04/04/2023)</v>
      </c>
      <c r="H2785" s="19"/>
    </row>
    <row r="2786">
      <c r="A2786" s="9"/>
      <c r="B2786" s="15"/>
      <c r="C2786" s="9">
        <f>IFERROR(__xludf.DUMMYFUNCTION("""COMPUTED_VALUE"""),45115.4182982523)</f>
        <v>45115.4183</v>
      </c>
      <c r="D2786" s="15">
        <f>IFERROR(__xludf.DUMMYFUNCTION("""COMPUTED_VALUE"""),0.999)</f>
        <v>0.999</v>
      </c>
      <c r="E2786" s="16">
        <f>IFERROR(__xludf.DUMMYFUNCTION("""COMPUTED_VALUE"""),70.0)</f>
        <v>70</v>
      </c>
      <c r="F2786" s="19" t="str">
        <f>IFERROR(__xludf.DUMMYFUNCTION("""COMPUTED_VALUE"""),"BLUE")</f>
        <v>BLUE</v>
      </c>
      <c r="G2786" s="20" t="str">
        <f>IFERROR(__xludf.DUMMYFUNCTION("""COMPUTED_VALUE"""),"Uncle Sams Cider (04/04/2023)")</f>
        <v>Uncle Sams Cider (04/04/2023)</v>
      </c>
      <c r="H2786" s="19"/>
    </row>
    <row r="2787">
      <c r="A2787" s="9"/>
      <c r="B2787" s="15"/>
      <c r="C2787" s="9">
        <f>IFERROR(__xludf.DUMMYFUNCTION("""COMPUTED_VALUE"""),45115.4078652314)</f>
        <v>45115.40787</v>
      </c>
      <c r="D2787" s="15">
        <f>IFERROR(__xludf.DUMMYFUNCTION("""COMPUTED_VALUE"""),0.999)</f>
        <v>0.999</v>
      </c>
      <c r="E2787" s="16">
        <f>IFERROR(__xludf.DUMMYFUNCTION("""COMPUTED_VALUE"""),70.0)</f>
        <v>70</v>
      </c>
      <c r="F2787" s="19" t="str">
        <f>IFERROR(__xludf.DUMMYFUNCTION("""COMPUTED_VALUE"""),"BLUE")</f>
        <v>BLUE</v>
      </c>
      <c r="G2787" s="20" t="str">
        <f>IFERROR(__xludf.DUMMYFUNCTION("""COMPUTED_VALUE"""),"Uncle Sams Cider (04/04/2023)")</f>
        <v>Uncle Sams Cider (04/04/2023)</v>
      </c>
      <c r="H2787" s="19"/>
    </row>
    <row r="2788">
      <c r="A2788" s="9"/>
      <c r="B2788" s="15"/>
      <c r="C2788" s="9">
        <f>IFERROR(__xludf.DUMMYFUNCTION("""COMPUTED_VALUE"""),45115.3974444097)</f>
        <v>45115.39744</v>
      </c>
      <c r="D2788" s="15">
        <f>IFERROR(__xludf.DUMMYFUNCTION("""COMPUTED_VALUE"""),0.999)</f>
        <v>0.999</v>
      </c>
      <c r="E2788" s="16">
        <f>IFERROR(__xludf.DUMMYFUNCTION("""COMPUTED_VALUE"""),70.0)</f>
        <v>70</v>
      </c>
      <c r="F2788" s="19" t="str">
        <f>IFERROR(__xludf.DUMMYFUNCTION("""COMPUTED_VALUE"""),"BLUE")</f>
        <v>BLUE</v>
      </c>
      <c r="G2788" s="20" t="str">
        <f>IFERROR(__xludf.DUMMYFUNCTION("""COMPUTED_VALUE"""),"Uncle Sams Cider (04/04/2023)")</f>
        <v>Uncle Sams Cider (04/04/2023)</v>
      </c>
      <c r="H2788" s="19"/>
    </row>
    <row r="2789">
      <c r="A2789" s="9"/>
      <c r="B2789" s="15"/>
      <c r="C2789" s="9">
        <f>IFERROR(__xludf.DUMMYFUNCTION("""COMPUTED_VALUE"""),45115.3870223842)</f>
        <v>45115.38702</v>
      </c>
      <c r="D2789" s="15">
        <f>IFERROR(__xludf.DUMMYFUNCTION("""COMPUTED_VALUE"""),0.999)</f>
        <v>0.999</v>
      </c>
      <c r="E2789" s="16">
        <f>IFERROR(__xludf.DUMMYFUNCTION("""COMPUTED_VALUE"""),71.0)</f>
        <v>71</v>
      </c>
      <c r="F2789" s="19" t="str">
        <f>IFERROR(__xludf.DUMMYFUNCTION("""COMPUTED_VALUE"""),"BLUE")</f>
        <v>BLUE</v>
      </c>
      <c r="G2789" s="20" t="str">
        <f>IFERROR(__xludf.DUMMYFUNCTION("""COMPUTED_VALUE"""),"Uncle Sams Cider (04/04/2023)")</f>
        <v>Uncle Sams Cider (04/04/2023)</v>
      </c>
      <c r="H2789" s="19"/>
    </row>
    <row r="2790">
      <c r="A2790" s="9"/>
      <c r="B2790" s="15"/>
      <c r="C2790" s="9">
        <f>IFERROR(__xludf.DUMMYFUNCTION("""COMPUTED_VALUE"""),45115.3766004398)</f>
        <v>45115.3766</v>
      </c>
      <c r="D2790" s="15">
        <f>IFERROR(__xludf.DUMMYFUNCTION("""COMPUTED_VALUE"""),0.999)</f>
        <v>0.999</v>
      </c>
      <c r="E2790" s="16">
        <f>IFERROR(__xludf.DUMMYFUNCTION("""COMPUTED_VALUE"""),70.0)</f>
        <v>70</v>
      </c>
      <c r="F2790" s="19" t="str">
        <f>IFERROR(__xludf.DUMMYFUNCTION("""COMPUTED_VALUE"""),"BLUE")</f>
        <v>BLUE</v>
      </c>
      <c r="G2790" s="20" t="str">
        <f>IFERROR(__xludf.DUMMYFUNCTION("""COMPUTED_VALUE"""),"Uncle Sams Cider (04/04/2023)")</f>
        <v>Uncle Sams Cider (04/04/2023)</v>
      </c>
      <c r="H2790" s="19"/>
    </row>
    <row r="2791">
      <c r="A2791" s="9"/>
      <c r="B2791" s="15"/>
      <c r="C2791" s="9">
        <f>IFERROR(__xludf.DUMMYFUNCTION("""COMPUTED_VALUE"""),45115.3661677662)</f>
        <v>45115.36617</v>
      </c>
      <c r="D2791" s="15">
        <f>IFERROR(__xludf.DUMMYFUNCTION("""COMPUTED_VALUE"""),0.999)</f>
        <v>0.999</v>
      </c>
      <c r="E2791" s="16">
        <f>IFERROR(__xludf.DUMMYFUNCTION("""COMPUTED_VALUE"""),71.0)</f>
        <v>71</v>
      </c>
      <c r="F2791" s="19" t="str">
        <f>IFERROR(__xludf.DUMMYFUNCTION("""COMPUTED_VALUE"""),"BLUE")</f>
        <v>BLUE</v>
      </c>
      <c r="G2791" s="20" t="str">
        <f>IFERROR(__xludf.DUMMYFUNCTION("""COMPUTED_VALUE"""),"Uncle Sams Cider (04/04/2023)")</f>
        <v>Uncle Sams Cider (04/04/2023)</v>
      </c>
      <c r="H2791" s="19"/>
    </row>
    <row r="2792">
      <c r="A2792" s="9"/>
      <c r="B2792" s="15"/>
      <c r="C2792" s="9">
        <f>IFERROR(__xludf.DUMMYFUNCTION("""COMPUTED_VALUE"""),45115.3557443402)</f>
        <v>45115.35574</v>
      </c>
      <c r="D2792" s="15">
        <f>IFERROR(__xludf.DUMMYFUNCTION("""COMPUTED_VALUE"""),0.999)</f>
        <v>0.999</v>
      </c>
      <c r="E2792" s="16">
        <f>IFERROR(__xludf.DUMMYFUNCTION("""COMPUTED_VALUE"""),71.0)</f>
        <v>71</v>
      </c>
      <c r="F2792" s="19" t="str">
        <f>IFERROR(__xludf.DUMMYFUNCTION("""COMPUTED_VALUE"""),"BLUE")</f>
        <v>BLUE</v>
      </c>
      <c r="G2792" s="20" t="str">
        <f>IFERROR(__xludf.DUMMYFUNCTION("""COMPUTED_VALUE"""),"Uncle Sams Cider (04/04/2023)")</f>
        <v>Uncle Sams Cider (04/04/2023)</v>
      </c>
      <c r="H2792" s="19"/>
    </row>
    <row r="2793">
      <c r="A2793" s="9"/>
      <c r="B2793" s="15"/>
      <c r="C2793" s="9">
        <f>IFERROR(__xludf.DUMMYFUNCTION("""COMPUTED_VALUE"""),45115.3453237847)</f>
        <v>45115.34532</v>
      </c>
      <c r="D2793" s="15">
        <f>IFERROR(__xludf.DUMMYFUNCTION("""COMPUTED_VALUE"""),0.999)</f>
        <v>0.999</v>
      </c>
      <c r="E2793" s="16">
        <f>IFERROR(__xludf.DUMMYFUNCTION("""COMPUTED_VALUE"""),71.0)</f>
        <v>71</v>
      </c>
      <c r="F2793" s="19" t="str">
        <f>IFERROR(__xludf.DUMMYFUNCTION("""COMPUTED_VALUE"""),"BLUE")</f>
        <v>BLUE</v>
      </c>
      <c r="G2793" s="20" t="str">
        <f>IFERROR(__xludf.DUMMYFUNCTION("""COMPUTED_VALUE"""),"Uncle Sams Cider (04/04/2023)")</f>
        <v>Uncle Sams Cider (04/04/2023)</v>
      </c>
      <c r="H2793" s="19"/>
    </row>
    <row r="2794">
      <c r="A2794" s="9"/>
      <c r="B2794" s="15"/>
      <c r="C2794" s="9">
        <f>IFERROR(__xludf.DUMMYFUNCTION("""COMPUTED_VALUE"""),45115.3349038773)</f>
        <v>45115.3349</v>
      </c>
      <c r="D2794" s="15">
        <f>IFERROR(__xludf.DUMMYFUNCTION("""COMPUTED_VALUE"""),0.999)</f>
        <v>0.999</v>
      </c>
      <c r="E2794" s="16">
        <f>IFERROR(__xludf.DUMMYFUNCTION("""COMPUTED_VALUE"""),71.0)</f>
        <v>71</v>
      </c>
      <c r="F2794" s="19" t="str">
        <f>IFERROR(__xludf.DUMMYFUNCTION("""COMPUTED_VALUE"""),"BLUE")</f>
        <v>BLUE</v>
      </c>
      <c r="G2794" s="20" t="str">
        <f>IFERROR(__xludf.DUMMYFUNCTION("""COMPUTED_VALUE"""),"Uncle Sams Cider (04/04/2023)")</f>
        <v>Uncle Sams Cider (04/04/2023)</v>
      </c>
      <c r="H2794" s="19"/>
    </row>
    <row r="2795">
      <c r="A2795" s="9"/>
      <c r="B2795" s="15"/>
      <c r="C2795" s="9">
        <f>IFERROR(__xludf.DUMMYFUNCTION("""COMPUTED_VALUE"""),45115.3244836921)</f>
        <v>45115.32448</v>
      </c>
      <c r="D2795" s="15">
        <f>IFERROR(__xludf.DUMMYFUNCTION("""COMPUTED_VALUE"""),0.999)</f>
        <v>0.999</v>
      </c>
      <c r="E2795" s="16">
        <f>IFERROR(__xludf.DUMMYFUNCTION("""COMPUTED_VALUE"""),71.0)</f>
        <v>71</v>
      </c>
      <c r="F2795" s="19" t="str">
        <f>IFERROR(__xludf.DUMMYFUNCTION("""COMPUTED_VALUE"""),"BLUE")</f>
        <v>BLUE</v>
      </c>
      <c r="G2795" s="20" t="str">
        <f>IFERROR(__xludf.DUMMYFUNCTION("""COMPUTED_VALUE"""),"Uncle Sams Cider (04/04/2023)")</f>
        <v>Uncle Sams Cider (04/04/2023)</v>
      </c>
      <c r="H2795" s="19"/>
    </row>
    <row r="2796">
      <c r="A2796" s="9"/>
      <c r="B2796" s="15"/>
      <c r="C2796" s="9">
        <f>IFERROR(__xludf.DUMMYFUNCTION("""COMPUTED_VALUE"""),45115.314061655)</f>
        <v>45115.31406</v>
      </c>
      <c r="D2796" s="15">
        <f>IFERROR(__xludf.DUMMYFUNCTION("""COMPUTED_VALUE"""),0.999)</f>
        <v>0.999</v>
      </c>
      <c r="E2796" s="16">
        <f>IFERROR(__xludf.DUMMYFUNCTION("""COMPUTED_VALUE"""),71.0)</f>
        <v>71</v>
      </c>
      <c r="F2796" s="19" t="str">
        <f>IFERROR(__xludf.DUMMYFUNCTION("""COMPUTED_VALUE"""),"BLUE")</f>
        <v>BLUE</v>
      </c>
      <c r="G2796" s="20" t="str">
        <f>IFERROR(__xludf.DUMMYFUNCTION("""COMPUTED_VALUE"""),"Uncle Sams Cider (04/04/2023)")</f>
        <v>Uncle Sams Cider (04/04/2023)</v>
      </c>
      <c r="H2796" s="19"/>
    </row>
    <row r="2797">
      <c r="A2797" s="9"/>
      <c r="B2797" s="15"/>
      <c r="C2797" s="9">
        <f>IFERROR(__xludf.DUMMYFUNCTION("""COMPUTED_VALUE"""),45115.303642118)</f>
        <v>45115.30364</v>
      </c>
      <c r="D2797" s="15">
        <f>IFERROR(__xludf.DUMMYFUNCTION("""COMPUTED_VALUE"""),0.999)</f>
        <v>0.999</v>
      </c>
      <c r="E2797" s="16">
        <f>IFERROR(__xludf.DUMMYFUNCTION("""COMPUTED_VALUE"""),71.0)</f>
        <v>71</v>
      </c>
      <c r="F2797" s="19" t="str">
        <f>IFERROR(__xludf.DUMMYFUNCTION("""COMPUTED_VALUE"""),"BLUE")</f>
        <v>BLUE</v>
      </c>
      <c r="G2797" s="20" t="str">
        <f>IFERROR(__xludf.DUMMYFUNCTION("""COMPUTED_VALUE"""),"Uncle Sams Cider (04/04/2023)")</f>
        <v>Uncle Sams Cider (04/04/2023)</v>
      </c>
      <c r="H2797" s="19"/>
    </row>
    <row r="2798">
      <c r="A2798" s="9"/>
      <c r="B2798" s="15"/>
      <c r="C2798" s="9">
        <f>IFERROR(__xludf.DUMMYFUNCTION("""COMPUTED_VALUE"""),45115.2932212152)</f>
        <v>45115.29322</v>
      </c>
      <c r="D2798" s="15">
        <f>IFERROR(__xludf.DUMMYFUNCTION("""COMPUTED_VALUE"""),0.999)</f>
        <v>0.999</v>
      </c>
      <c r="E2798" s="16">
        <f>IFERROR(__xludf.DUMMYFUNCTION("""COMPUTED_VALUE"""),71.0)</f>
        <v>71</v>
      </c>
      <c r="F2798" s="19" t="str">
        <f>IFERROR(__xludf.DUMMYFUNCTION("""COMPUTED_VALUE"""),"BLUE")</f>
        <v>BLUE</v>
      </c>
      <c r="G2798" s="20" t="str">
        <f>IFERROR(__xludf.DUMMYFUNCTION("""COMPUTED_VALUE"""),"Uncle Sams Cider (04/04/2023)")</f>
        <v>Uncle Sams Cider (04/04/2023)</v>
      </c>
      <c r="H2798" s="19"/>
    </row>
    <row r="2799">
      <c r="A2799" s="9"/>
      <c r="B2799" s="15"/>
      <c r="C2799" s="9">
        <f>IFERROR(__xludf.DUMMYFUNCTION("""COMPUTED_VALUE"""),45115.2828006481)</f>
        <v>45115.2828</v>
      </c>
      <c r="D2799" s="15">
        <f>IFERROR(__xludf.DUMMYFUNCTION("""COMPUTED_VALUE"""),0.999)</f>
        <v>0.999</v>
      </c>
      <c r="E2799" s="16">
        <f>IFERROR(__xludf.DUMMYFUNCTION("""COMPUTED_VALUE"""),71.0)</f>
        <v>71</v>
      </c>
      <c r="F2799" s="19" t="str">
        <f>IFERROR(__xludf.DUMMYFUNCTION("""COMPUTED_VALUE"""),"BLUE")</f>
        <v>BLUE</v>
      </c>
      <c r="G2799" s="20" t="str">
        <f>IFERROR(__xludf.DUMMYFUNCTION("""COMPUTED_VALUE"""),"Uncle Sams Cider (04/04/2023)")</f>
        <v>Uncle Sams Cider (04/04/2023)</v>
      </c>
      <c r="H2799" s="19"/>
    </row>
    <row r="2800">
      <c r="A2800" s="9"/>
      <c r="B2800" s="15"/>
      <c r="C2800" s="9">
        <f>IFERROR(__xludf.DUMMYFUNCTION("""COMPUTED_VALUE"""),45115.2723801736)</f>
        <v>45115.27238</v>
      </c>
      <c r="D2800" s="15">
        <f>IFERROR(__xludf.DUMMYFUNCTION("""COMPUTED_VALUE"""),0.999)</f>
        <v>0.999</v>
      </c>
      <c r="E2800" s="16">
        <f>IFERROR(__xludf.DUMMYFUNCTION("""COMPUTED_VALUE"""),71.0)</f>
        <v>71</v>
      </c>
      <c r="F2800" s="19" t="str">
        <f>IFERROR(__xludf.DUMMYFUNCTION("""COMPUTED_VALUE"""),"BLUE")</f>
        <v>BLUE</v>
      </c>
      <c r="G2800" s="20" t="str">
        <f>IFERROR(__xludf.DUMMYFUNCTION("""COMPUTED_VALUE"""),"Uncle Sams Cider (04/04/2023)")</f>
        <v>Uncle Sams Cider (04/04/2023)</v>
      </c>
      <c r="H2800" s="19"/>
    </row>
    <row r="2801">
      <c r="A2801" s="9"/>
      <c r="B2801" s="15"/>
      <c r="C2801" s="9">
        <f>IFERROR(__xludf.DUMMYFUNCTION("""COMPUTED_VALUE"""),45115.2619588657)</f>
        <v>45115.26196</v>
      </c>
      <c r="D2801" s="15">
        <f>IFERROR(__xludf.DUMMYFUNCTION("""COMPUTED_VALUE"""),0.999)</f>
        <v>0.999</v>
      </c>
      <c r="E2801" s="16">
        <f>IFERROR(__xludf.DUMMYFUNCTION("""COMPUTED_VALUE"""),71.0)</f>
        <v>71</v>
      </c>
      <c r="F2801" s="19" t="str">
        <f>IFERROR(__xludf.DUMMYFUNCTION("""COMPUTED_VALUE"""),"BLUE")</f>
        <v>BLUE</v>
      </c>
      <c r="G2801" s="20" t="str">
        <f>IFERROR(__xludf.DUMMYFUNCTION("""COMPUTED_VALUE"""),"Uncle Sams Cider (04/04/2023)")</f>
        <v>Uncle Sams Cider (04/04/2023)</v>
      </c>
      <c r="H2801" s="19"/>
    </row>
    <row r="2802">
      <c r="A2802" s="9"/>
      <c r="B2802" s="15"/>
      <c r="C2802" s="9">
        <f>IFERROR(__xludf.DUMMYFUNCTION("""COMPUTED_VALUE"""),45115.251536331)</f>
        <v>45115.25154</v>
      </c>
      <c r="D2802" s="15">
        <f>IFERROR(__xludf.DUMMYFUNCTION("""COMPUTED_VALUE"""),0.999)</f>
        <v>0.999</v>
      </c>
      <c r="E2802" s="16">
        <f>IFERROR(__xludf.DUMMYFUNCTION("""COMPUTED_VALUE"""),70.0)</f>
        <v>70</v>
      </c>
      <c r="F2802" s="19" t="str">
        <f>IFERROR(__xludf.DUMMYFUNCTION("""COMPUTED_VALUE"""),"BLUE")</f>
        <v>BLUE</v>
      </c>
      <c r="G2802" s="20" t="str">
        <f>IFERROR(__xludf.DUMMYFUNCTION("""COMPUTED_VALUE"""),"Uncle Sams Cider (04/04/2023)")</f>
        <v>Uncle Sams Cider (04/04/2023)</v>
      </c>
      <c r="H2802" s="19"/>
    </row>
    <row r="2803">
      <c r="A2803" s="9"/>
      <c r="B2803" s="15"/>
      <c r="C2803" s="9">
        <f>IFERROR(__xludf.DUMMYFUNCTION("""COMPUTED_VALUE"""),45115.2410805092)</f>
        <v>45115.24108</v>
      </c>
      <c r="D2803" s="15">
        <f>IFERROR(__xludf.DUMMYFUNCTION("""COMPUTED_VALUE"""),0.999)</f>
        <v>0.999</v>
      </c>
      <c r="E2803" s="16">
        <f>IFERROR(__xludf.DUMMYFUNCTION("""COMPUTED_VALUE"""),70.0)</f>
        <v>70</v>
      </c>
      <c r="F2803" s="19" t="str">
        <f>IFERROR(__xludf.DUMMYFUNCTION("""COMPUTED_VALUE"""),"BLUE")</f>
        <v>BLUE</v>
      </c>
      <c r="G2803" s="20" t="str">
        <f>IFERROR(__xludf.DUMMYFUNCTION("""COMPUTED_VALUE"""),"Uncle Sams Cider (04/04/2023)")</f>
        <v>Uncle Sams Cider (04/04/2023)</v>
      </c>
      <c r="H2803" s="19"/>
    </row>
    <row r="2804">
      <c r="A2804" s="9"/>
      <c r="B2804" s="15"/>
      <c r="C2804" s="9">
        <f>IFERROR(__xludf.DUMMYFUNCTION("""COMPUTED_VALUE"""),45115.2306593171)</f>
        <v>45115.23066</v>
      </c>
      <c r="D2804" s="15">
        <f>IFERROR(__xludf.DUMMYFUNCTION("""COMPUTED_VALUE"""),0.999)</f>
        <v>0.999</v>
      </c>
      <c r="E2804" s="16">
        <f>IFERROR(__xludf.DUMMYFUNCTION("""COMPUTED_VALUE"""),71.0)</f>
        <v>71</v>
      </c>
      <c r="F2804" s="19" t="str">
        <f>IFERROR(__xludf.DUMMYFUNCTION("""COMPUTED_VALUE"""),"BLUE")</f>
        <v>BLUE</v>
      </c>
      <c r="G2804" s="20" t="str">
        <f>IFERROR(__xludf.DUMMYFUNCTION("""COMPUTED_VALUE"""),"Uncle Sams Cider (04/04/2023)")</f>
        <v>Uncle Sams Cider (04/04/2023)</v>
      </c>
      <c r="H2804" s="19"/>
    </row>
    <row r="2805">
      <c r="A2805" s="9"/>
      <c r="B2805" s="15"/>
      <c r="C2805" s="9">
        <f>IFERROR(__xludf.DUMMYFUNCTION("""COMPUTED_VALUE"""),45115.22023875)</f>
        <v>45115.22024</v>
      </c>
      <c r="D2805" s="15">
        <f>IFERROR(__xludf.DUMMYFUNCTION("""COMPUTED_VALUE"""),0.999)</f>
        <v>0.999</v>
      </c>
      <c r="E2805" s="16">
        <f>IFERROR(__xludf.DUMMYFUNCTION("""COMPUTED_VALUE"""),71.0)</f>
        <v>71</v>
      </c>
      <c r="F2805" s="19" t="str">
        <f>IFERROR(__xludf.DUMMYFUNCTION("""COMPUTED_VALUE"""),"BLUE")</f>
        <v>BLUE</v>
      </c>
      <c r="G2805" s="20" t="str">
        <f>IFERROR(__xludf.DUMMYFUNCTION("""COMPUTED_VALUE"""),"Uncle Sams Cider (04/04/2023)")</f>
        <v>Uncle Sams Cider (04/04/2023)</v>
      </c>
      <c r="H2805" s="19"/>
    </row>
    <row r="2806">
      <c r="A2806" s="9"/>
      <c r="B2806" s="15"/>
      <c r="C2806" s="9">
        <f>IFERROR(__xludf.DUMMYFUNCTION("""COMPUTED_VALUE"""),45115.2098058449)</f>
        <v>45115.20981</v>
      </c>
      <c r="D2806" s="15">
        <f>IFERROR(__xludf.DUMMYFUNCTION("""COMPUTED_VALUE"""),0.999)</f>
        <v>0.999</v>
      </c>
      <c r="E2806" s="16">
        <f>IFERROR(__xludf.DUMMYFUNCTION("""COMPUTED_VALUE"""),71.0)</f>
        <v>71</v>
      </c>
      <c r="F2806" s="19" t="str">
        <f>IFERROR(__xludf.DUMMYFUNCTION("""COMPUTED_VALUE"""),"BLUE")</f>
        <v>BLUE</v>
      </c>
      <c r="G2806" s="20" t="str">
        <f>IFERROR(__xludf.DUMMYFUNCTION("""COMPUTED_VALUE"""),"Uncle Sams Cider (04/04/2023)")</f>
        <v>Uncle Sams Cider (04/04/2023)</v>
      </c>
      <c r="H2806" s="19"/>
    </row>
    <row r="2807">
      <c r="A2807" s="9"/>
      <c r="B2807" s="15"/>
      <c r="C2807" s="9">
        <f>IFERROR(__xludf.DUMMYFUNCTION("""COMPUTED_VALUE"""),45115.1993873611)</f>
        <v>45115.19939</v>
      </c>
      <c r="D2807" s="15">
        <f>IFERROR(__xludf.DUMMYFUNCTION("""COMPUTED_VALUE"""),0.999)</f>
        <v>0.999</v>
      </c>
      <c r="E2807" s="16">
        <f>IFERROR(__xludf.DUMMYFUNCTION("""COMPUTED_VALUE"""),70.0)</f>
        <v>70</v>
      </c>
      <c r="F2807" s="19" t="str">
        <f>IFERROR(__xludf.DUMMYFUNCTION("""COMPUTED_VALUE"""),"BLUE")</f>
        <v>BLUE</v>
      </c>
      <c r="G2807" s="20" t="str">
        <f>IFERROR(__xludf.DUMMYFUNCTION("""COMPUTED_VALUE"""),"Uncle Sams Cider (04/04/2023)")</f>
        <v>Uncle Sams Cider (04/04/2023)</v>
      </c>
      <c r="H2807" s="19"/>
    </row>
    <row r="2808">
      <c r="A2808" s="9"/>
      <c r="B2808" s="15"/>
      <c r="C2808" s="9">
        <f>IFERROR(__xludf.DUMMYFUNCTION("""COMPUTED_VALUE"""),45115.1889658564)</f>
        <v>45115.18897</v>
      </c>
      <c r="D2808" s="15">
        <f>IFERROR(__xludf.DUMMYFUNCTION("""COMPUTED_VALUE"""),0.999)</f>
        <v>0.999</v>
      </c>
      <c r="E2808" s="16">
        <f>IFERROR(__xludf.DUMMYFUNCTION("""COMPUTED_VALUE"""),71.0)</f>
        <v>71</v>
      </c>
      <c r="F2808" s="19" t="str">
        <f>IFERROR(__xludf.DUMMYFUNCTION("""COMPUTED_VALUE"""),"BLUE")</f>
        <v>BLUE</v>
      </c>
      <c r="G2808" s="20" t="str">
        <f>IFERROR(__xludf.DUMMYFUNCTION("""COMPUTED_VALUE"""),"Uncle Sams Cider (04/04/2023)")</f>
        <v>Uncle Sams Cider (04/04/2023)</v>
      </c>
      <c r="H2808" s="19"/>
    </row>
    <row r="2809">
      <c r="A2809" s="9"/>
      <c r="B2809" s="15"/>
      <c r="C2809" s="9">
        <f>IFERROR(__xludf.DUMMYFUNCTION("""COMPUTED_VALUE"""),45115.1785441666)</f>
        <v>45115.17854</v>
      </c>
      <c r="D2809" s="15">
        <f>IFERROR(__xludf.DUMMYFUNCTION("""COMPUTED_VALUE"""),0.999)</f>
        <v>0.999</v>
      </c>
      <c r="E2809" s="16">
        <f>IFERROR(__xludf.DUMMYFUNCTION("""COMPUTED_VALUE"""),71.0)</f>
        <v>71</v>
      </c>
      <c r="F2809" s="19" t="str">
        <f>IFERROR(__xludf.DUMMYFUNCTION("""COMPUTED_VALUE"""),"BLUE")</f>
        <v>BLUE</v>
      </c>
      <c r="G2809" s="20" t="str">
        <f>IFERROR(__xludf.DUMMYFUNCTION("""COMPUTED_VALUE"""),"Uncle Sams Cider (04/04/2023)")</f>
        <v>Uncle Sams Cider (04/04/2023)</v>
      </c>
      <c r="H2809" s="19"/>
    </row>
    <row r="2810">
      <c r="A2810" s="9"/>
      <c r="B2810" s="15"/>
      <c r="C2810" s="9">
        <f>IFERROR(__xludf.DUMMYFUNCTION("""COMPUTED_VALUE"""),45115.1681108333)</f>
        <v>45115.16811</v>
      </c>
      <c r="D2810" s="15">
        <f>IFERROR(__xludf.DUMMYFUNCTION("""COMPUTED_VALUE"""),0.999)</f>
        <v>0.999</v>
      </c>
      <c r="E2810" s="16">
        <f>IFERROR(__xludf.DUMMYFUNCTION("""COMPUTED_VALUE"""),71.0)</f>
        <v>71</v>
      </c>
      <c r="F2810" s="19" t="str">
        <f>IFERROR(__xludf.DUMMYFUNCTION("""COMPUTED_VALUE"""),"BLUE")</f>
        <v>BLUE</v>
      </c>
      <c r="G2810" s="20" t="str">
        <f>IFERROR(__xludf.DUMMYFUNCTION("""COMPUTED_VALUE"""),"Uncle Sams Cider (04/04/2023)")</f>
        <v>Uncle Sams Cider (04/04/2023)</v>
      </c>
      <c r="H2810" s="19"/>
    </row>
    <row r="2811">
      <c r="A2811" s="9"/>
      <c r="B2811" s="15"/>
      <c r="C2811" s="9">
        <f>IFERROR(__xludf.DUMMYFUNCTION("""COMPUTED_VALUE"""),45115.1576878009)</f>
        <v>45115.15769</v>
      </c>
      <c r="D2811" s="15">
        <f>IFERROR(__xludf.DUMMYFUNCTION("""COMPUTED_VALUE"""),0.999)</f>
        <v>0.999</v>
      </c>
      <c r="E2811" s="16">
        <f>IFERROR(__xludf.DUMMYFUNCTION("""COMPUTED_VALUE"""),71.0)</f>
        <v>71</v>
      </c>
      <c r="F2811" s="19" t="str">
        <f>IFERROR(__xludf.DUMMYFUNCTION("""COMPUTED_VALUE"""),"BLUE")</f>
        <v>BLUE</v>
      </c>
      <c r="G2811" s="20" t="str">
        <f>IFERROR(__xludf.DUMMYFUNCTION("""COMPUTED_VALUE"""),"Uncle Sams Cider (04/04/2023)")</f>
        <v>Uncle Sams Cider (04/04/2023)</v>
      </c>
      <c r="H2811" s="19"/>
    </row>
    <row r="2812">
      <c r="A2812" s="9"/>
      <c r="B2812" s="15"/>
      <c r="C2812" s="9">
        <f>IFERROR(__xludf.DUMMYFUNCTION("""COMPUTED_VALUE"""),45115.1472686458)</f>
        <v>45115.14727</v>
      </c>
      <c r="D2812" s="15">
        <f>IFERROR(__xludf.DUMMYFUNCTION("""COMPUTED_VALUE"""),0.999)</f>
        <v>0.999</v>
      </c>
      <c r="E2812" s="16">
        <f>IFERROR(__xludf.DUMMYFUNCTION("""COMPUTED_VALUE"""),70.0)</f>
        <v>70</v>
      </c>
      <c r="F2812" s="19" t="str">
        <f>IFERROR(__xludf.DUMMYFUNCTION("""COMPUTED_VALUE"""),"BLUE")</f>
        <v>BLUE</v>
      </c>
      <c r="G2812" s="20" t="str">
        <f>IFERROR(__xludf.DUMMYFUNCTION("""COMPUTED_VALUE"""),"Uncle Sams Cider (04/04/2023)")</f>
        <v>Uncle Sams Cider (04/04/2023)</v>
      </c>
      <c r="H2812" s="19"/>
    </row>
    <row r="2813">
      <c r="A2813" s="9"/>
      <c r="B2813" s="15"/>
      <c r="C2813" s="9">
        <f>IFERROR(__xludf.DUMMYFUNCTION("""COMPUTED_VALUE"""),45115.1368479629)</f>
        <v>45115.13685</v>
      </c>
      <c r="D2813" s="15">
        <f>IFERROR(__xludf.DUMMYFUNCTION("""COMPUTED_VALUE"""),0.999)</f>
        <v>0.999</v>
      </c>
      <c r="E2813" s="16">
        <f>IFERROR(__xludf.DUMMYFUNCTION("""COMPUTED_VALUE"""),71.0)</f>
        <v>71</v>
      </c>
      <c r="F2813" s="19" t="str">
        <f>IFERROR(__xludf.DUMMYFUNCTION("""COMPUTED_VALUE"""),"BLUE")</f>
        <v>BLUE</v>
      </c>
      <c r="G2813" s="20" t="str">
        <f>IFERROR(__xludf.DUMMYFUNCTION("""COMPUTED_VALUE"""),"Uncle Sams Cider (04/04/2023)")</f>
        <v>Uncle Sams Cider (04/04/2023)</v>
      </c>
      <c r="H2813" s="19"/>
    </row>
    <row r="2814">
      <c r="A2814" s="9"/>
      <c r="B2814" s="15"/>
      <c r="C2814" s="9">
        <f>IFERROR(__xludf.DUMMYFUNCTION("""COMPUTED_VALUE"""),45115.1264162384)</f>
        <v>45115.12642</v>
      </c>
      <c r="D2814" s="15">
        <f>IFERROR(__xludf.DUMMYFUNCTION("""COMPUTED_VALUE"""),0.999)</f>
        <v>0.999</v>
      </c>
      <c r="E2814" s="16">
        <f>IFERROR(__xludf.DUMMYFUNCTION("""COMPUTED_VALUE"""),71.0)</f>
        <v>71</v>
      </c>
      <c r="F2814" s="19" t="str">
        <f>IFERROR(__xludf.DUMMYFUNCTION("""COMPUTED_VALUE"""),"BLUE")</f>
        <v>BLUE</v>
      </c>
      <c r="G2814" s="20" t="str">
        <f>IFERROR(__xludf.DUMMYFUNCTION("""COMPUTED_VALUE"""),"Uncle Sams Cider (04/04/2023)")</f>
        <v>Uncle Sams Cider (04/04/2023)</v>
      </c>
      <c r="H2814" s="19"/>
    </row>
    <row r="2815">
      <c r="A2815" s="9"/>
      <c r="B2815" s="15"/>
      <c r="C2815" s="9">
        <f>IFERROR(__xludf.DUMMYFUNCTION("""COMPUTED_VALUE"""),45115.1159962152)</f>
        <v>45115.116</v>
      </c>
      <c r="D2815" s="15">
        <f>IFERROR(__xludf.DUMMYFUNCTION("""COMPUTED_VALUE"""),0.999)</f>
        <v>0.999</v>
      </c>
      <c r="E2815" s="16">
        <f>IFERROR(__xludf.DUMMYFUNCTION("""COMPUTED_VALUE"""),71.0)</f>
        <v>71</v>
      </c>
      <c r="F2815" s="19" t="str">
        <f>IFERROR(__xludf.DUMMYFUNCTION("""COMPUTED_VALUE"""),"BLUE")</f>
        <v>BLUE</v>
      </c>
      <c r="G2815" s="20" t="str">
        <f>IFERROR(__xludf.DUMMYFUNCTION("""COMPUTED_VALUE"""),"Uncle Sams Cider (04/04/2023)")</f>
        <v>Uncle Sams Cider (04/04/2023)</v>
      </c>
      <c r="H2815" s="19"/>
    </row>
    <row r="2816">
      <c r="A2816" s="9"/>
      <c r="B2816" s="15"/>
      <c r="C2816" s="9">
        <f>IFERROR(__xludf.DUMMYFUNCTION("""COMPUTED_VALUE"""),45115.1055636574)</f>
        <v>45115.10556</v>
      </c>
      <c r="D2816" s="15">
        <f>IFERROR(__xludf.DUMMYFUNCTION("""COMPUTED_VALUE"""),0.999)</f>
        <v>0.999</v>
      </c>
      <c r="E2816" s="16">
        <f>IFERROR(__xludf.DUMMYFUNCTION("""COMPUTED_VALUE"""),70.0)</f>
        <v>70</v>
      </c>
      <c r="F2816" s="19" t="str">
        <f>IFERROR(__xludf.DUMMYFUNCTION("""COMPUTED_VALUE"""),"BLUE")</f>
        <v>BLUE</v>
      </c>
      <c r="G2816" s="20" t="str">
        <f>IFERROR(__xludf.DUMMYFUNCTION("""COMPUTED_VALUE"""),"Uncle Sams Cider (04/04/2023)")</f>
        <v>Uncle Sams Cider (04/04/2023)</v>
      </c>
      <c r="H2816" s="19"/>
    </row>
    <row r="2817">
      <c r="A2817" s="9"/>
      <c r="B2817" s="15"/>
      <c r="C2817" s="9">
        <f>IFERROR(__xludf.DUMMYFUNCTION("""COMPUTED_VALUE"""),45115.0951420949)</f>
        <v>45115.09514</v>
      </c>
      <c r="D2817" s="15">
        <f>IFERROR(__xludf.DUMMYFUNCTION("""COMPUTED_VALUE"""),0.999)</f>
        <v>0.999</v>
      </c>
      <c r="E2817" s="16">
        <f>IFERROR(__xludf.DUMMYFUNCTION("""COMPUTED_VALUE"""),71.0)</f>
        <v>71</v>
      </c>
      <c r="F2817" s="19" t="str">
        <f>IFERROR(__xludf.DUMMYFUNCTION("""COMPUTED_VALUE"""),"BLUE")</f>
        <v>BLUE</v>
      </c>
      <c r="G2817" s="20" t="str">
        <f>IFERROR(__xludf.DUMMYFUNCTION("""COMPUTED_VALUE"""),"Uncle Sams Cider (04/04/2023)")</f>
        <v>Uncle Sams Cider (04/04/2023)</v>
      </c>
      <c r="H2817" s="19"/>
    </row>
    <row r="2818">
      <c r="A2818" s="9"/>
      <c r="B2818" s="15"/>
      <c r="C2818" s="9">
        <f>IFERROR(__xludf.DUMMYFUNCTION("""COMPUTED_VALUE"""),45115.0846971875)</f>
        <v>45115.0847</v>
      </c>
      <c r="D2818" s="15">
        <f>IFERROR(__xludf.DUMMYFUNCTION("""COMPUTED_VALUE"""),0.999)</f>
        <v>0.999</v>
      </c>
      <c r="E2818" s="16">
        <f>IFERROR(__xludf.DUMMYFUNCTION("""COMPUTED_VALUE"""),71.0)</f>
        <v>71</v>
      </c>
      <c r="F2818" s="19" t="str">
        <f>IFERROR(__xludf.DUMMYFUNCTION("""COMPUTED_VALUE"""),"BLUE")</f>
        <v>BLUE</v>
      </c>
      <c r="G2818" s="20" t="str">
        <f>IFERROR(__xludf.DUMMYFUNCTION("""COMPUTED_VALUE"""),"Uncle Sams Cider (04/04/2023)")</f>
        <v>Uncle Sams Cider (04/04/2023)</v>
      </c>
      <c r="H2818" s="19"/>
    </row>
    <row r="2819">
      <c r="A2819" s="9"/>
      <c r="B2819" s="15"/>
      <c r="C2819" s="9">
        <f>IFERROR(__xludf.DUMMYFUNCTION("""COMPUTED_VALUE"""),45115.0742752893)</f>
        <v>45115.07428</v>
      </c>
      <c r="D2819" s="15">
        <f>IFERROR(__xludf.DUMMYFUNCTION("""COMPUTED_VALUE"""),0.999)</f>
        <v>0.999</v>
      </c>
      <c r="E2819" s="16">
        <f>IFERROR(__xludf.DUMMYFUNCTION("""COMPUTED_VALUE"""),71.0)</f>
        <v>71</v>
      </c>
      <c r="F2819" s="19" t="str">
        <f>IFERROR(__xludf.DUMMYFUNCTION("""COMPUTED_VALUE"""),"BLUE")</f>
        <v>BLUE</v>
      </c>
      <c r="G2819" s="20" t="str">
        <f>IFERROR(__xludf.DUMMYFUNCTION("""COMPUTED_VALUE"""),"Uncle Sams Cider (04/04/2023)")</f>
        <v>Uncle Sams Cider (04/04/2023)</v>
      </c>
      <c r="H2819" s="19"/>
    </row>
    <row r="2820">
      <c r="A2820" s="9"/>
      <c r="B2820" s="15"/>
      <c r="C2820" s="9">
        <f>IFERROR(__xludf.DUMMYFUNCTION("""COMPUTED_VALUE"""),45115.0638562037)</f>
        <v>45115.06386</v>
      </c>
      <c r="D2820" s="15">
        <f>IFERROR(__xludf.DUMMYFUNCTION("""COMPUTED_VALUE"""),0.999)</f>
        <v>0.999</v>
      </c>
      <c r="E2820" s="16">
        <f>IFERROR(__xludf.DUMMYFUNCTION("""COMPUTED_VALUE"""),70.0)</f>
        <v>70</v>
      </c>
      <c r="F2820" s="19" t="str">
        <f>IFERROR(__xludf.DUMMYFUNCTION("""COMPUTED_VALUE"""),"BLUE")</f>
        <v>BLUE</v>
      </c>
      <c r="G2820" s="20" t="str">
        <f>IFERROR(__xludf.DUMMYFUNCTION("""COMPUTED_VALUE"""),"Uncle Sams Cider (04/04/2023)")</f>
        <v>Uncle Sams Cider (04/04/2023)</v>
      </c>
      <c r="H2820" s="19"/>
    </row>
    <row r="2821">
      <c r="A2821" s="9"/>
      <c r="B2821" s="15"/>
      <c r="C2821" s="9">
        <f>IFERROR(__xludf.DUMMYFUNCTION("""COMPUTED_VALUE"""),45115.0534123495)</f>
        <v>45115.05341</v>
      </c>
      <c r="D2821" s="15">
        <f>IFERROR(__xludf.DUMMYFUNCTION("""COMPUTED_VALUE"""),0.999)</f>
        <v>0.999</v>
      </c>
      <c r="E2821" s="16">
        <f>IFERROR(__xludf.DUMMYFUNCTION("""COMPUTED_VALUE"""),71.0)</f>
        <v>71</v>
      </c>
      <c r="F2821" s="19" t="str">
        <f>IFERROR(__xludf.DUMMYFUNCTION("""COMPUTED_VALUE"""),"BLUE")</f>
        <v>BLUE</v>
      </c>
      <c r="G2821" s="20" t="str">
        <f>IFERROR(__xludf.DUMMYFUNCTION("""COMPUTED_VALUE"""),"Uncle Sams Cider (04/04/2023)")</f>
        <v>Uncle Sams Cider (04/04/2023)</v>
      </c>
      <c r="H2821" s="19"/>
    </row>
    <row r="2822">
      <c r="A2822" s="9"/>
      <c r="B2822" s="15"/>
      <c r="C2822" s="9">
        <f>IFERROR(__xludf.DUMMYFUNCTION("""COMPUTED_VALUE"""),45115.0429890625)</f>
        <v>45115.04299</v>
      </c>
      <c r="D2822" s="15">
        <f>IFERROR(__xludf.DUMMYFUNCTION("""COMPUTED_VALUE"""),0.999)</f>
        <v>0.999</v>
      </c>
      <c r="E2822" s="16">
        <f>IFERROR(__xludf.DUMMYFUNCTION("""COMPUTED_VALUE"""),70.0)</f>
        <v>70</v>
      </c>
      <c r="F2822" s="19" t="str">
        <f>IFERROR(__xludf.DUMMYFUNCTION("""COMPUTED_VALUE"""),"BLUE")</f>
        <v>BLUE</v>
      </c>
      <c r="G2822" s="20" t="str">
        <f>IFERROR(__xludf.DUMMYFUNCTION("""COMPUTED_VALUE"""),"Uncle Sams Cider (04/04/2023)")</f>
        <v>Uncle Sams Cider (04/04/2023)</v>
      </c>
      <c r="H2822" s="19"/>
    </row>
    <row r="2823">
      <c r="A2823" s="9"/>
      <c r="B2823" s="15"/>
      <c r="C2823" s="9">
        <f>IFERROR(__xludf.DUMMYFUNCTION("""COMPUTED_VALUE"""),45115.0325671874)</f>
        <v>45115.03257</v>
      </c>
      <c r="D2823" s="15">
        <f>IFERROR(__xludf.DUMMYFUNCTION("""COMPUTED_VALUE"""),0.999)</f>
        <v>0.999</v>
      </c>
      <c r="E2823" s="16">
        <f>IFERROR(__xludf.DUMMYFUNCTION("""COMPUTED_VALUE"""),71.0)</f>
        <v>71</v>
      </c>
      <c r="F2823" s="19" t="str">
        <f>IFERROR(__xludf.DUMMYFUNCTION("""COMPUTED_VALUE"""),"BLUE")</f>
        <v>BLUE</v>
      </c>
      <c r="G2823" s="20" t="str">
        <f>IFERROR(__xludf.DUMMYFUNCTION("""COMPUTED_VALUE"""),"Uncle Sams Cider (04/04/2023)")</f>
        <v>Uncle Sams Cider (04/04/2023)</v>
      </c>
      <c r="H2823" s="19"/>
    </row>
    <row r="2824">
      <c r="A2824" s="9"/>
      <c r="B2824" s="15"/>
      <c r="C2824" s="9">
        <f>IFERROR(__xludf.DUMMYFUNCTION("""COMPUTED_VALUE"""),45115.0221454513)</f>
        <v>45115.02215</v>
      </c>
      <c r="D2824" s="15">
        <f>IFERROR(__xludf.DUMMYFUNCTION("""COMPUTED_VALUE"""),0.999)</f>
        <v>0.999</v>
      </c>
      <c r="E2824" s="16">
        <f>IFERROR(__xludf.DUMMYFUNCTION("""COMPUTED_VALUE"""),70.0)</f>
        <v>70</v>
      </c>
      <c r="F2824" s="19" t="str">
        <f>IFERROR(__xludf.DUMMYFUNCTION("""COMPUTED_VALUE"""),"BLUE")</f>
        <v>BLUE</v>
      </c>
      <c r="G2824" s="20" t="str">
        <f>IFERROR(__xludf.DUMMYFUNCTION("""COMPUTED_VALUE"""),"Uncle Sams Cider (04/04/2023)")</f>
        <v>Uncle Sams Cider (04/04/2023)</v>
      </c>
      <c r="H2824" s="19"/>
    </row>
    <row r="2825">
      <c r="A2825" s="9"/>
      <c r="B2825" s="15"/>
      <c r="C2825" s="9">
        <f>IFERROR(__xludf.DUMMYFUNCTION("""COMPUTED_VALUE"""),45115.0117253588)</f>
        <v>45115.01173</v>
      </c>
      <c r="D2825" s="15">
        <f>IFERROR(__xludf.DUMMYFUNCTION("""COMPUTED_VALUE"""),0.999)</f>
        <v>0.999</v>
      </c>
      <c r="E2825" s="16">
        <f>IFERROR(__xludf.DUMMYFUNCTION("""COMPUTED_VALUE"""),70.0)</f>
        <v>70</v>
      </c>
      <c r="F2825" s="19" t="str">
        <f>IFERROR(__xludf.DUMMYFUNCTION("""COMPUTED_VALUE"""),"BLUE")</f>
        <v>BLUE</v>
      </c>
      <c r="G2825" s="20" t="str">
        <f>IFERROR(__xludf.DUMMYFUNCTION("""COMPUTED_VALUE"""),"Uncle Sams Cider (04/04/2023)")</f>
        <v>Uncle Sams Cider (04/04/2023)</v>
      </c>
      <c r="H2825" s="19"/>
    </row>
    <row r="2826">
      <c r="A2826" s="9"/>
      <c r="B2826" s="15"/>
      <c r="C2826" s="9">
        <f>IFERROR(__xludf.DUMMYFUNCTION("""COMPUTED_VALUE"""),45115.0013035301)</f>
        <v>45115.0013</v>
      </c>
      <c r="D2826" s="15">
        <f>IFERROR(__xludf.DUMMYFUNCTION("""COMPUTED_VALUE"""),0.999)</f>
        <v>0.999</v>
      </c>
      <c r="E2826" s="16">
        <f>IFERROR(__xludf.DUMMYFUNCTION("""COMPUTED_VALUE"""),70.0)</f>
        <v>70</v>
      </c>
      <c r="F2826" s="19" t="str">
        <f>IFERROR(__xludf.DUMMYFUNCTION("""COMPUTED_VALUE"""),"BLUE")</f>
        <v>BLUE</v>
      </c>
      <c r="G2826" s="20" t="str">
        <f>IFERROR(__xludf.DUMMYFUNCTION("""COMPUTED_VALUE"""),"Uncle Sams Cider (04/04/2023)")</f>
        <v>Uncle Sams Cider (04/04/2023)</v>
      </c>
      <c r="H2826" s="19"/>
    </row>
    <row r="2827">
      <c r="A2827" s="9"/>
      <c r="B2827" s="15"/>
      <c r="C2827" s="9">
        <f>IFERROR(__xludf.DUMMYFUNCTION("""COMPUTED_VALUE"""),45114.9908582175)</f>
        <v>45114.99086</v>
      </c>
      <c r="D2827" s="15">
        <f>IFERROR(__xludf.DUMMYFUNCTION("""COMPUTED_VALUE"""),0.999)</f>
        <v>0.999</v>
      </c>
      <c r="E2827" s="16">
        <f>IFERROR(__xludf.DUMMYFUNCTION("""COMPUTED_VALUE"""),71.0)</f>
        <v>71</v>
      </c>
      <c r="F2827" s="19" t="str">
        <f>IFERROR(__xludf.DUMMYFUNCTION("""COMPUTED_VALUE"""),"BLUE")</f>
        <v>BLUE</v>
      </c>
      <c r="G2827" s="20" t="str">
        <f>IFERROR(__xludf.DUMMYFUNCTION("""COMPUTED_VALUE"""),"Uncle Sams Cider (04/04/2023)")</f>
        <v>Uncle Sams Cider (04/04/2023)</v>
      </c>
      <c r="H2827" s="19"/>
    </row>
    <row r="2828">
      <c r="A2828" s="9"/>
      <c r="B2828" s="15"/>
      <c r="C2828" s="9">
        <f>IFERROR(__xludf.DUMMYFUNCTION("""COMPUTED_VALUE"""),45114.9804264351)</f>
        <v>45114.98043</v>
      </c>
      <c r="D2828" s="15">
        <f>IFERROR(__xludf.DUMMYFUNCTION("""COMPUTED_VALUE"""),0.999)</f>
        <v>0.999</v>
      </c>
      <c r="E2828" s="16">
        <f>IFERROR(__xludf.DUMMYFUNCTION("""COMPUTED_VALUE"""),70.0)</f>
        <v>70</v>
      </c>
      <c r="F2828" s="19" t="str">
        <f>IFERROR(__xludf.DUMMYFUNCTION("""COMPUTED_VALUE"""),"BLUE")</f>
        <v>BLUE</v>
      </c>
      <c r="G2828" s="20" t="str">
        <f>IFERROR(__xludf.DUMMYFUNCTION("""COMPUTED_VALUE"""),"Uncle Sams Cider (04/04/2023)")</f>
        <v>Uncle Sams Cider (04/04/2023)</v>
      </c>
      <c r="H2828" s="19"/>
    </row>
    <row r="2829">
      <c r="A2829" s="9"/>
      <c r="B2829" s="15"/>
      <c r="C2829" s="9">
        <f>IFERROR(__xludf.DUMMYFUNCTION("""COMPUTED_VALUE"""),45114.9700061805)</f>
        <v>45114.97001</v>
      </c>
      <c r="D2829" s="15">
        <f>IFERROR(__xludf.DUMMYFUNCTION("""COMPUTED_VALUE"""),0.999)</f>
        <v>0.999</v>
      </c>
      <c r="E2829" s="16">
        <f>IFERROR(__xludf.DUMMYFUNCTION("""COMPUTED_VALUE"""),70.0)</f>
        <v>70</v>
      </c>
      <c r="F2829" s="19" t="str">
        <f>IFERROR(__xludf.DUMMYFUNCTION("""COMPUTED_VALUE"""),"BLUE")</f>
        <v>BLUE</v>
      </c>
      <c r="G2829" s="20" t="str">
        <f>IFERROR(__xludf.DUMMYFUNCTION("""COMPUTED_VALUE"""),"Uncle Sams Cider (04/04/2023)")</f>
        <v>Uncle Sams Cider (04/04/2023)</v>
      </c>
      <c r="H2829" s="19"/>
    </row>
    <row r="2830">
      <c r="A2830" s="9"/>
      <c r="B2830" s="15"/>
      <c r="C2830" s="9">
        <f>IFERROR(__xludf.DUMMYFUNCTION("""COMPUTED_VALUE"""),45114.9595858217)</f>
        <v>45114.95959</v>
      </c>
      <c r="D2830" s="15">
        <f>IFERROR(__xludf.DUMMYFUNCTION("""COMPUTED_VALUE"""),0.999)</f>
        <v>0.999</v>
      </c>
      <c r="E2830" s="16">
        <f>IFERROR(__xludf.DUMMYFUNCTION("""COMPUTED_VALUE"""),70.0)</f>
        <v>70</v>
      </c>
      <c r="F2830" s="19" t="str">
        <f>IFERROR(__xludf.DUMMYFUNCTION("""COMPUTED_VALUE"""),"BLUE")</f>
        <v>BLUE</v>
      </c>
      <c r="G2830" s="20" t="str">
        <f>IFERROR(__xludf.DUMMYFUNCTION("""COMPUTED_VALUE"""),"Uncle Sams Cider (04/04/2023)")</f>
        <v>Uncle Sams Cider (04/04/2023)</v>
      </c>
      <c r="H2830" s="19"/>
    </row>
    <row r="2831">
      <c r="A2831" s="9"/>
      <c r="B2831" s="15"/>
      <c r="C2831" s="9">
        <f>IFERROR(__xludf.DUMMYFUNCTION("""COMPUTED_VALUE"""),45114.9491656134)</f>
        <v>45114.94917</v>
      </c>
      <c r="D2831" s="15">
        <f>IFERROR(__xludf.DUMMYFUNCTION("""COMPUTED_VALUE"""),0.999)</f>
        <v>0.999</v>
      </c>
      <c r="E2831" s="16">
        <f>IFERROR(__xludf.DUMMYFUNCTION("""COMPUTED_VALUE"""),70.0)</f>
        <v>70</v>
      </c>
      <c r="F2831" s="19" t="str">
        <f>IFERROR(__xludf.DUMMYFUNCTION("""COMPUTED_VALUE"""),"BLUE")</f>
        <v>BLUE</v>
      </c>
      <c r="G2831" s="20" t="str">
        <f>IFERROR(__xludf.DUMMYFUNCTION("""COMPUTED_VALUE"""),"Uncle Sams Cider (04/04/2023)")</f>
        <v>Uncle Sams Cider (04/04/2023)</v>
      </c>
      <c r="H2831" s="19"/>
    </row>
    <row r="2832">
      <c r="A2832" s="9"/>
      <c r="B2832" s="15"/>
      <c r="C2832" s="9">
        <f>IFERROR(__xludf.DUMMYFUNCTION("""COMPUTED_VALUE"""),45114.9387332291)</f>
        <v>45114.93873</v>
      </c>
      <c r="D2832" s="15">
        <f>IFERROR(__xludf.DUMMYFUNCTION("""COMPUTED_VALUE"""),0.999)</f>
        <v>0.999</v>
      </c>
      <c r="E2832" s="16">
        <f>IFERROR(__xludf.DUMMYFUNCTION("""COMPUTED_VALUE"""),70.0)</f>
        <v>70</v>
      </c>
      <c r="F2832" s="19" t="str">
        <f>IFERROR(__xludf.DUMMYFUNCTION("""COMPUTED_VALUE"""),"BLUE")</f>
        <v>BLUE</v>
      </c>
      <c r="G2832" s="20" t="str">
        <f>IFERROR(__xludf.DUMMYFUNCTION("""COMPUTED_VALUE"""),"Uncle Sams Cider (04/04/2023)")</f>
        <v>Uncle Sams Cider (04/04/2023)</v>
      </c>
      <c r="H2832" s="19"/>
    </row>
    <row r="2833">
      <c r="A2833" s="9"/>
      <c r="B2833" s="15"/>
      <c r="C2833" s="9">
        <f>IFERROR(__xludf.DUMMYFUNCTION("""COMPUTED_VALUE"""),45114.9283127199)</f>
        <v>45114.92831</v>
      </c>
      <c r="D2833" s="15">
        <f>IFERROR(__xludf.DUMMYFUNCTION("""COMPUTED_VALUE"""),0.999)</f>
        <v>0.999</v>
      </c>
      <c r="E2833" s="16">
        <f>IFERROR(__xludf.DUMMYFUNCTION("""COMPUTED_VALUE"""),70.0)</f>
        <v>70</v>
      </c>
      <c r="F2833" s="19" t="str">
        <f>IFERROR(__xludf.DUMMYFUNCTION("""COMPUTED_VALUE"""),"BLUE")</f>
        <v>BLUE</v>
      </c>
      <c r="G2833" s="20" t="str">
        <f>IFERROR(__xludf.DUMMYFUNCTION("""COMPUTED_VALUE"""),"Uncle Sams Cider (04/04/2023)")</f>
        <v>Uncle Sams Cider (04/04/2023)</v>
      </c>
      <c r="H2833" s="19"/>
    </row>
    <row r="2834">
      <c r="A2834" s="9"/>
      <c r="B2834" s="15"/>
      <c r="C2834" s="9">
        <f>IFERROR(__xludf.DUMMYFUNCTION("""COMPUTED_VALUE"""),45114.9178924652)</f>
        <v>45114.91789</v>
      </c>
      <c r="D2834" s="15">
        <f>IFERROR(__xludf.DUMMYFUNCTION("""COMPUTED_VALUE"""),0.999)</f>
        <v>0.999</v>
      </c>
      <c r="E2834" s="16">
        <f>IFERROR(__xludf.DUMMYFUNCTION("""COMPUTED_VALUE"""),70.0)</f>
        <v>70</v>
      </c>
      <c r="F2834" s="19" t="str">
        <f>IFERROR(__xludf.DUMMYFUNCTION("""COMPUTED_VALUE"""),"BLUE")</f>
        <v>BLUE</v>
      </c>
      <c r="G2834" s="20" t="str">
        <f>IFERROR(__xludf.DUMMYFUNCTION("""COMPUTED_VALUE"""),"Uncle Sams Cider (04/04/2023)")</f>
        <v>Uncle Sams Cider (04/04/2023)</v>
      </c>
      <c r="H2834" s="19"/>
    </row>
    <row r="2835">
      <c r="A2835" s="9"/>
      <c r="B2835" s="15"/>
      <c r="C2835" s="9">
        <f>IFERROR(__xludf.DUMMYFUNCTION("""COMPUTED_VALUE"""),45114.9074714467)</f>
        <v>45114.90747</v>
      </c>
      <c r="D2835" s="15">
        <f>IFERROR(__xludf.DUMMYFUNCTION("""COMPUTED_VALUE"""),0.999)</f>
        <v>0.999</v>
      </c>
      <c r="E2835" s="16">
        <f>IFERROR(__xludf.DUMMYFUNCTION("""COMPUTED_VALUE"""),70.0)</f>
        <v>70</v>
      </c>
      <c r="F2835" s="19" t="str">
        <f>IFERROR(__xludf.DUMMYFUNCTION("""COMPUTED_VALUE"""),"BLUE")</f>
        <v>BLUE</v>
      </c>
      <c r="G2835" s="20" t="str">
        <f>IFERROR(__xludf.DUMMYFUNCTION("""COMPUTED_VALUE"""),"Uncle Sams Cider (04/04/2023)")</f>
        <v>Uncle Sams Cider (04/04/2023)</v>
      </c>
      <c r="H2835" s="19"/>
    </row>
    <row r="2836">
      <c r="A2836" s="9"/>
      <c r="B2836" s="15"/>
      <c r="C2836" s="9">
        <f>IFERROR(__xludf.DUMMYFUNCTION("""COMPUTED_VALUE"""),45114.8970501041)</f>
        <v>45114.89705</v>
      </c>
      <c r="D2836" s="15">
        <f>IFERROR(__xludf.DUMMYFUNCTION("""COMPUTED_VALUE"""),0.999)</f>
        <v>0.999</v>
      </c>
      <c r="E2836" s="16">
        <f>IFERROR(__xludf.DUMMYFUNCTION("""COMPUTED_VALUE"""),70.0)</f>
        <v>70</v>
      </c>
      <c r="F2836" s="19" t="str">
        <f>IFERROR(__xludf.DUMMYFUNCTION("""COMPUTED_VALUE"""),"BLUE")</f>
        <v>BLUE</v>
      </c>
      <c r="G2836" s="20" t="str">
        <f>IFERROR(__xludf.DUMMYFUNCTION("""COMPUTED_VALUE"""),"Uncle Sams Cider (04/04/2023)")</f>
        <v>Uncle Sams Cider (04/04/2023)</v>
      </c>
      <c r="H2836" s="19"/>
    </row>
    <row r="2837">
      <c r="A2837" s="9"/>
      <c r="B2837" s="15"/>
      <c r="C2837" s="9">
        <f>IFERROR(__xludf.DUMMYFUNCTION("""COMPUTED_VALUE"""),45114.8866168518)</f>
        <v>45114.88662</v>
      </c>
      <c r="D2837" s="15">
        <f>IFERROR(__xludf.DUMMYFUNCTION("""COMPUTED_VALUE"""),0.999)</f>
        <v>0.999</v>
      </c>
      <c r="E2837" s="16">
        <f>IFERROR(__xludf.DUMMYFUNCTION("""COMPUTED_VALUE"""),70.0)</f>
        <v>70</v>
      </c>
      <c r="F2837" s="19" t="str">
        <f>IFERROR(__xludf.DUMMYFUNCTION("""COMPUTED_VALUE"""),"BLUE")</f>
        <v>BLUE</v>
      </c>
      <c r="G2837" s="20" t="str">
        <f>IFERROR(__xludf.DUMMYFUNCTION("""COMPUTED_VALUE"""),"Uncle Sams Cider (04/04/2023)")</f>
        <v>Uncle Sams Cider (04/04/2023)</v>
      </c>
      <c r="H2837" s="19"/>
    </row>
    <row r="2838">
      <c r="A2838" s="9"/>
      <c r="B2838" s="15"/>
      <c r="C2838" s="9">
        <f>IFERROR(__xludf.DUMMYFUNCTION("""COMPUTED_VALUE"""),45114.8761960416)</f>
        <v>45114.8762</v>
      </c>
      <c r="D2838" s="15">
        <f>IFERROR(__xludf.DUMMYFUNCTION("""COMPUTED_VALUE"""),0.999)</f>
        <v>0.999</v>
      </c>
      <c r="E2838" s="16">
        <f>IFERROR(__xludf.DUMMYFUNCTION("""COMPUTED_VALUE"""),70.0)</f>
        <v>70</v>
      </c>
      <c r="F2838" s="19" t="str">
        <f>IFERROR(__xludf.DUMMYFUNCTION("""COMPUTED_VALUE"""),"BLUE")</f>
        <v>BLUE</v>
      </c>
      <c r="G2838" s="20" t="str">
        <f>IFERROR(__xludf.DUMMYFUNCTION("""COMPUTED_VALUE"""),"Uncle Sams Cider (04/04/2023)")</f>
        <v>Uncle Sams Cider (04/04/2023)</v>
      </c>
      <c r="H2838" s="19"/>
    </row>
    <row r="2839">
      <c r="A2839" s="9"/>
      <c r="B2839" s="15"/>
      <c r="C2839" s="9">
        <f>IFERROR(__xludf.DUMMYFUNCTION("""COMPUTED_VALUE"""),45114.8657747916)</f>
        <v>45114.86577</v>
      </c>
      <c r="D2839" s="15">
        <f>IFERROR(__xludf.DUMMYFUNCTION("""COMPUTED_VALUE"""),0.999)</f>
        <v>0.999</v>
      </c>
      <c r="E2839" s="16">
        <f>IFERROR(__xludf.DUMMYFUNCTION("""COMPUTED_VALUE"""),70.0)</f>
        <v>70</v>
      </c>
      <c r="F2839" s="19" t="str">
        <f>IFERROR(__xludf.DUMMYFUNCTION("""COMPUTED_VALUE"""),"BLUE")</f>
        <v>BLUE</v>
      </c>
      <c r="G2839" s="20" t="str">
        <f>IFERROR(__xludf.DUMMYFUNCTION("""COMPUTED_VALUE"""),"Uncle Sams Cider (04/04/2023)")</f>
        <v>Uncle Sams Cider (04/04/2023)</v>
      </c>
      <c r="H2839" s="19"/>
    </row>
    <row r="2840">
      <c r="A2840" s="9"/>
      <c r="B2840" s="15"/>
      <c r="C2840" s="9">
        <f>IFERROR(__xludf.DUMMYFUNCTION("""COMPUTED_VALUE"""),45114.8553527546)</f>
        <v>45114.85535</v>
      </c>
      <c r="D2840" s="15">
        <f>IFERROR(__xludf.DUMMYFUNCTION("""COMPUTED_VALUE"""),0.999)</f>
        <v>0.999</v>
      </c>
      <c r="E2840" s="16">
        <f>IFERROR(__xludf.DUMMYFUNCTION("""COMPUTED_VALUE"""),71.0)</f>
        <v>71</v>
      </c>
      <c r="F2840" s="19" t="str">
        <f>IFERROR(__xludf.DUMMYFUNCTION("""COMPUTED_VALUE"""),"BLUE")</f>
        <v>BLUE</v>
      </c>
      <c r="G2840" s="20" t="str">
        <f>IFERROR(__xludf.DUMMYFUNCTION("""COMPUTED_VALUE"""),"Uncle Sams Cider (04/04/2023)")</f>
        <v>Uncle Sams Cider (04/04/2023)</v>
      </c>
      <c r="H2840" s="19"/>
    </row>
    <row r="2841">
      <c r="A2841" s="9"/>
      <c r="B2841" s="15"/>
      <c r="C2841" s="9">
        <f>IFERROR(__xludf.DUMMYFUNCTION("""COMPUTED_VALUE"""),45114.8449323148)</f>
        <v>45114.84493</v>
      </c>
      <c r="D2841" s="15">
        <f>IFERROR(__xludf.DUMMYFUNCTION("""COMPUTED_VALUE"""),0.999)</f>
        <v>0.999</v>
      </c>
      <c r="E2841" s="16">
        <f>IFERROR(__xludf.DUMMYFUNCTION("""COMPUTED_VALUE"""),70.0)</f>
        <v>70</v>
      </c>
      <c r="F2841" s="19" t="str">
        <f>IFERROR(__xludf.DUMMYFUNCTION("""COMPUTED_VALUE"""),"BLUE")</f>
        <v>BLUE</v>
      </c>
      <c r="G2841" s="20" t="str">
        <f>IFERROR(__xludf.DUMMYFUNCTION("""COMPUTED_VALUE"""),"Uncle Sams Cider (04/04/2023)")</f>
        <v>Uncle Sams Cider (04/04/2023)</v>
      </c>
      <c r="H2841" s="19"/>
    </row>
    <row r="2842">
      <c r="A2842" s="9"/>
      <c r="B2842" s="15"/>
      <c r="C2842" s="9">
        <f>IFERROR(__xludf.DUMMYFUNCTION("""COMPUTED_VALUE"""),45114.8345097222)</f>
        <v>45114.83451</v>
      </c>
      <c r="D2842" s="15">
        <f>IFERROR(__xludf.DUMMYFUNCTION("""COMPUTED_VALUE"""),0.999)</f>
        <v>0.999</v>
      </c>
      <c r="E2842" s="16">
        <f>IFERROR(__xludf.DUMMYFUNCTION("""COMPUTED_VALUE"""),70.0)</f>
        <v>70</v>
      </c>
      <c r="F2842" s="19" t="str">
        <f>IFERROR(__xludf.DUMMYFUNCTION("""COMPUTED_VALUE"""),"BLUE")</f>
        <v>BLUE</v>
      </c>
      <c r="G2842" s="20" t="str">
        <f>IFERROR(__xludf.DUMMYFUNCTION("""COMPUTED_VALUE"""),"Uncle Sams Cider (04/04/2023)")</f>
        <v>Uncle Sams Cider (04/04/2023)</v>
      </c>
      <c r="H2842" s="19"/>
    </row>
    <row r="2843">
      <c r="A2843" s="9"/>
      <c r="B2843" s="15"/>
      <c r="C2843" s="9">
        <f>IFERROR(__xludf.DUMMYFUNCTION("""COMPUTED_VALUE"""),45114.8240761921)</f>
        <v>45114.82408</v>
      </c>
      <c r="D2843" s="15">
        <f>IFERROR(__xludf.DUMMYFUNCTION("""COMPUTED_VALUE"""),0.999)</f>
        <v>0.999</v>
      </c>
      <c r="E2843" s="16">
        <f>IFERROR(__xludf.DUMMYFUNCTION("""COMPUTED_VALUE"""),70.0)</f>
        <v>70</v>
      </c>
      <c r="F2843" s="19" t="str">
        <f>IFERROR(__xludf.DUMMYFUNCTION("""COMPUTED_VALUE"""),"BLUE")</f>
        <v>BLUE</v>
      </c>
      <c r="G2843" s="20" t="str">
        <f>IFERROR(__xludf.DUMMYFUNCTION("""COMPUTED_VALUE"""),"Uncle Sams Cider (04/04/2023)")</f>
        <v>Uncle Sams Cider (04/04/2023)</v>
      </c>
      <c r="H2843" s="19"/>
    </row>
    <row r="2844">
      <c r="A2844" s="9"/>
      <c r="B2844" s="15"/>
      <c r="C2844" s="9">
        <f>IFERROR(__xludf.DUMMYFUNCTION("""COMPUTED_VALUE"""),45114.8136542824)</f>
        <v>45114.81365</v>
      </c>
      <c r="D2844" s="15">
        <f>IFERROR(__xludf.DUMMYFUNCTION("""COMPUTED_VALUE"""),0.999)</f>
        <v>0.999</v>
      </c>
      <c r="E2844" s="16">
        <f>IFERROR(__xludf.DUMMYFUNCTION("""COMPUTED_VALUE"""),70.0)</f>
        <v>70</v>
      </c>
      <c r="F2844" s="19" t="str">
        <f>IFERROR(__xludf.DUMMYFUNCTION("""COMPUTED_VALUE"""),"BLUE")</f>
        <v>BLUE</v>
      </c>
      <c r="G2844" s="20" t="str">
        <f>IFERROR(__xludf.DUMMYFUNCTION("""COMPUTED_VALUE"""),"Uncle Sams Cider (04/04/2023)")</f>
        <v>Uncle Sams Cider (04/04/2023)</v>
      </c>
      <c r="H2844" s="19"/>
    </row>
    <row r="2845">
      <c r="A2845" s="9"/>
      <c r="B2845" s="15"/>
      <c r="C2845" s="9">
        <f>IFERROR(__xludf.DUMMYFUNCTION("""COMPUTED_VALUE"""),45114.8032324537)</f>
        <v>45114.80323</v>
      </c>
      <c r="D2845" s="15">
        <f>IFERROR(__xludf.DUMMYFUNCTION("""COMPUTED_VALUE"""),0.999)</f>
        <v>0.999</v>
      </c>
      <c r="E2845" s="16">
        <f>IFERROR(__xludf.DUMMYFUNCTION("""COMPUTED_VALUE"""),70.0)</f>
        <v>70</v>
      </c>
      <c r="F2845" s="19" t="str">
        <f>IFERROR(__xludf.DUMMYFUNCTION("""COMPUTED_VALUE"""),"BLUE")</f>
        <v>BLUE</v>
      </c>
      <c r="G2845" s="20" t="str">
        <f>IFERROR(__xludf.DUMMYFUNCTION("""COMPUTED_VALUE"""),"Uncle Sams Cider (04/04/2023)")</f>
        <v>Uncle Sams Cider (04/04/2023)</v>
      </c>
      <c r="H2845" s="19"/>
    </row>
    <row r="2846">
      <c r="A2846" s="9"/>
      <c r="B2846" s="15"/>
      <c r="C2846" s="9">
        <f>IFERROR(__xludf.DUMMYFUNCTION("""COMPUTED_VALUE"""),45114.7927990162)</f>
        <v>45114.7928</v>
      </c>
      <c r="D2846" s="15">
        <f>IFERROR(__xludf.DUMMYFUNCTION("""COMPUTED_VALUE"""),0.999)</f>
        <v>0.999</v>
      </c>
      <c r="E2846" s="16">
        <f>IFERROR(__xludf.DUMMYFUNCTION("""COMPUTED_VALUE"""),70.0)</f>
        <v>70</v>
      </c>
      <c r="F2846" s="19" t="str">
        <f>IFERROR(__xludf.DUMMYFUNCTION("""COMPUTED_VALUE"""),"BLUE")</f>
        <v>BLUE</v>
      </c>
      <c r="G2846" s="20" t="str">
        <f>IFERROR(__xludf.DUMMYFUNCTION("""COMPUTED_VALUE"""),"Uncle Sams Cider (04/04/2023)")</f>
        <v>Uncle Sams Cider (04/04/2023)</v>
      </c>
      <c r="H2846" s="19"/>
    </row>
    <row r="2847">
      <c r="A2847" s="9"/>
      <c r="B2847" s="15"/>
      <c r="C2847" s="9">
        <f>IFERROR(__xludf.DUMMYFUNCTION("""COMPUTED_VALUE"""),45114.7823782986)</f>
        <v>45114.78238</v>
      </c>
      <c r="D2847" s="15">
        <f>IFERROR(__xludf.DUMMYFUNCTION("""COMPUTED_VALUE"""),0.999)</f>
        <v>0.999</v>
      </c>
      <c r="E2847" s="16">
        <f>IFERROR(__xludf.DUMMYFUNCTION("""COMPUTED_VALUE"""),70.0)</f>
        <v>70</v>
      </c>
      <c r="F2847" s="19" t="str">
        <f>IFERROR(__xludf.DUMMYFUNCTION("""COMPUTED_VALUE"""),"BLUE")</f>
        <v>BLUE</v>
      </c>
      <c r="G2847" s="20" t="str">
        <f>IFERROR(__xludf.DUMMYFUNCTION("""COMPUTED_VALUE"""),"Uncle Sams Cider (04/04/2023)")</f>
        <v>Uncle Sams Cider (04/04/2023)</v>
      </c>
      <c r="H2847" s="19"/>
    </row>
    <row r="2848">
      <c r="A2848" s="9"/>
      <c r="B2848" s="15"/>
      <c r="C2848" s="9">
        <f>IFERROR(__xludf.DUMMYFUNCTION("""COMPUTED_VALUE"""),45114.7719569444)</f>
        <v>45114.77196</v>
      </c>
      <c r="D2848" s="15">
        <f>IFERROR(__xludf.DUMMYFUNCTION("""COMPUTED_VALUE"""),0.999)</f>
        <v>0.999</v>
      </c>
      <c r="E2848" s="16">
        <f>IFERROR(__xludf.DUMMYFUNCTION("""COMPUTED_VALUE"""),70.0)</f>
        <v>70</v>
      </c>
      <c r="F2848" s="19" t="str">
        <f>IFERROR(__xludf.DUMMYFUNCTION("""COMPUTED_VALUE"""),"BLUE")</f>
        <v>BLUE</v>
      </c>
      <c r="G2848" s="20" t="str">
        <f>IFERROR(__xludf.DUMMYFUNCTION("""COMPUTED_VALUE"""),"Uncle Sams Cider (04/04/2023)")</f>
        <v>Uncle Sams Cider (04/04/2023)</v>
      </c>
      <c r="H2848" s="19"/>
    </row>
    <row r="2849">
      <c r="A2849" s="9"/>
      <c r="B2849" s="15"/>
      <c r="C2849" s="9">
        <f>IFERROR(__xludf.DUMMYFUNCTION("""COMPUTED_VALUE"""),45114.7615341435)</f>
        <v>45114.76153</v>
      </c>
      <c r="D2849" s="15">
        <f>IFERROR(__xludf.DUMMYFUNCTION("""COMPUTED_VALUE"""),0.999)</f>
        <v>0.999</v>
      </c>
      <c r="E2849" s="16">
        <f>IFERROR(__xludf.DUMMYFUNCTION("""COMPUTED_VALUE"""),70.0)</f>
        <v>70</v>
      </c>
      <c r="F2849" s="19" t="str">
        <f>IFERROR(__xludf.DUMMYFUNCTION("""COMPUTED_VALUE"""),"BLUE")</f>
        <v>BLUE</v>
      </c>
      <c r="G2849" s="20" t="str">
        <f>IFERROR(__xludf.DUMMYFUNCTION("""COMPUTED_VALUE"""),"Uncle Sams Cider (04/04/2023)")</f>
        <v>Uncle Sams Cider (04/04/2023)</v>
      </c>
      <c r="H2849" s="19"/>
    </row>
    <row r="2850">
      <c r="A2850" s="9"/>
      <c r="B2850" s="15"/>
      <c r="C2850" s="9">
        <f>IFERROR(__xludf.DUMMYFUNCTION("""COMPUTED_VALUE"""),45114.7511135069)</f>
        <v>45114.75111</v>
      </c>
      <c r="D2850" s="15">
        <f>IFERROR(__xludf.DUMMYFUNCTION("""COMPUTED_VALUE"""),0.999)</f>
        <v>0.999</v>
      </c>
      <c r="E2850" s="16">
        <f>IFERROR(__xludf.DUMMYFUNCTION("""COMPUTED_VALUE"""),70.0)</f>
        <v>70</v>
      </c>
      <c r="F2850" s="19" t="str">
        <f>IFERROR(__xludf.DUMMYFUNCTION("""COMPUTED_VALUE"""),"BLUE")</f>
        <v>BLUE</v>
      </c>
      <c r="G2850" s="20" t="str">
        <f>IFERROR(__xludf.DUMMYFUNCTION("""COMPUTED_VALUE"""),"Uncle Sams Cider (04/04/2023)")</f>
        <v>Uncle Sams Cider (04/04/2023)</v>
      </c>
      <c r="H2850" s="19"/>
    </row>
    <row r="2851">
      <c r="A2851" s="9"/>
      <c r="B2851" s="15"/>
      <c r="C2851" s="9">
        <f>IFERROR(__xludf.DUMMYFUNCTION("""COMPUTED_VALUE"""),45114.7406917708)</f>
        <v>45114.74069</v>
      </c>
      <c r="D2851" s="15">
        <f>IFERROR(__xludf.DUMMYFUNCTION("""COMPUTED_VALUE"""),0.999)</f>
        <v>0.999</v>
      </c>
      <c r="E2851" s="16">
        <f>IFERROR(__xludf.DUMMYFUNCTION("""COMPUTED_VALUE"""),71.0)</f>
        <v>71</v>
      </c>
      <c r="F2851" s="19" t="str">
        <f>IFERROR(__xludf.DUMMYFUNCTION("""COMPUTED_VALUE"""),"BLUE")</f>
        <v>BLUE</v>
      </c>
      <c r="G2851" s="20" t="str">
        <f>IFERROR(__xludf.DUMMYFUNCTION("""COMPUTED_VALUE"""),"Uncle Sams Cider (04/04/2023)")</f>
        <v>Uncle Sams Cider (04/04/2023)</v>
      </c>
      <c r="H2851" s="19"/>
    </row>
    <row r="2852">
      <c r="A2852" s="9"/>
      <c r="B2852" s="15"/>
      <c r="C2852" s="9">
        <f>IFERROR(__xludf.DUMMYFUNCTION("""COMPUTED_VALUE"""),45114.7302596296)</f>
        <v>45114.73026</v>
      </c>
      <c r="D2852" s="15">
        <f>IFERROR(__xludf.DUMMYFUNCTION("""COMPUTED_VALUE"""),0.999)</f>
        <v>0.999</v>
      </c>
      <c r="E2852" s="16">
        <f>IFERROR(__xludf.DUMMYFUNCTION("""COMPUTED_VALUE"""),70.0)</f>
        <v>70</v>
      </c>
      <c r="F2852" s="19" t="str">
        <f>IFERROR(__xludf.DUMMYFUNCTION("""COMPUTED_VALUE"""),"BLUE")</f>
        <v>BLUE</v>
      </c>
      <c r="G2852" s="20" t="str">
        <f>IFERROR(__xludf.DUMMYFUNCTION("""COMPUTED_VALUE"""),"Uncle Sams Cider (04/04/2023)")</f>
        <v>Uncle Sams Cider (04/04/2023)</v>
      </c>
      <c r="H2852" s="19"/>
    </row>
    <row r="2853">
      <c r="A2853" s="9"/>
      <c r="B2853" s="15"/>
      <c r="C2853" s="9">
        <f>IFERROR(__xludf.DUMMYFUNCTION("""COMPUTED_VALUE"""),45114.7198377777)</f>
        <v>45114.71984</v>
      </c>
      <c r="D2853" s="15">
        <f>IFERROR(__xludf.DUMMYFUNCTION("""COMPUTED_VALUE"""),0.999)</f>
        <v>0.999</v>
      </c>
      <c r="E2853" s="16">
        <f>IFERROR(__xludf.DUMMYFUNCTION("""COMPUTED_VALUE"""),71.0)</f>
        <v>71</v>
      </c>
      <c r="F2853" s="19" t="str">
        <f>IFERROR(__xludf.DUMMYFUNCTION("""COMPUTED_VALUE"""),"BLUE")</f>
        <v>BLUE</v>
      </c>
      <c r="G2853" s="20" t="str">
        <f>IFERROR(__xludf.DUMMYFUNCTION("""COMPUTED_VALUE"""),"Uncle Sams Cider (04/04/2023)")</f>
        <v>Uncle Sams Cider (04/04/2023)</v>
      </c>
      <c r="H2853" s="19"/>
    </row>
    <row r="2854">
      <c r="A2854" s="9"/>
      <c r="B2854" s="15"/>
      <c r="C2854" s="9">
        <f>IFERROR(__xludf.DUMMYFUNCTION("""COMPUTED_VALUE"""),45114.7094157523)</f>
        <v>45114.70942</v>
      </c>
      <c r="D2854" s="15">
        <f>IFERROR(__xludf.DUMMYFUNCTION("""COMPUTED_VALUE"""),0.999)</f>
        <v>0.999</v>
      </c>
      <c r="E2854" s="16">
        <f>IFERROR(__xludf.DUMMYFUNCTION("""COMPUTED_VALUE"""),71.0)</f>
        <v>71</v>
      </c>
      <c r="F2854" s="19" t="str">
        <f>IFERROR(__xludf.DUMMYFUNCTION("""COMPUTED_VALUE"""),"BLUE")</f>
        <v>BLUE</v>
      </c>
      <c r="G2854" s="20" t="str">
        <f>IFERROR(__xludf.DUMMYFUNCTION("""COMPUTED_VALUE"""),"Uncle Sams Cider (04/04/2023)")</f>
        <v>Uncle Sams Cider (04/04/2023)</v>
      </c>
      <c r="H2854" s="19"/>
    </row>
    <row r="2855">
      <c r="A2855" s="9"/>
      <c r="B2855" s="15"/>
      <c r="C2855" s="9">
        <f>IFERROR(__xludf.DUMMYFUNCTION("""COMPUTED_VALUE"""),45114.6989953703)</f>
        <v>45114.699</v>
      </c>
      <c r="D2855" s="15">
        <f>IFERROR(__xludf.DUMMYFUNCTION("""COMPUTED_VALUE"""),0.999)</f>
        <v>0.999</v>
      </c>
      <c r="E2855" s="16">
        <f>IFERROR(__xludf.DUMMYFUNCTION("""COMPUTED_VALUE"""),71.0)</f>
        <v>71</v>
      </c>
      <c r="F2855" s="19" t="str">
        <f>IFERROR(__xludf.DUMMYFUNCTION("""COMPUTED_VALUE"""),"BLUE")</f>
        <v>BLUE</v>
      </c>
      <c r="G2855" s="20" t="str">
        <f>IFERROR(__xludf.DUMMYFUNCTION("""COMPUTED_VALUE"""),"Uncle Sams Cider (04/04/2023)")</f>
        <v>Uncle Sams Cider (04/04/2023)</v>
      </c>
      <c r="H2855" s="19"/>
    </row>
    <row r="2856">
      <c r="A2856" s="9"/>
      <c r="B2856" s="15"/>
      <c r="C2856" s="9">
        <f>IFERROR(__xludf.DUMMYFUNCTION("""COMPUTED_VALUE"""),45114.6885743634)</f>
        <v>45114.68857</v>
      </c>
      <c r="D2856" s="15">
        <f>IFERROR(__xludf.DUMMYFUNCTION("""COMPUTED_VALUE"""),0.999)</f>
        <v>0.999</v>
      </c>
      <c r="E2856" s="16">
        <f>IFERROR(__xludf.DUMMYFUNCTION("""COMPUTED_VALUE"""),71.0)</f>
        <v>71</v>
      </c>
      <c r="F2856" s="19" t="str">
        <f>IFERROR(__xludf.DUMMYFUNCTION("""COMPUTED_VALUE"""),"BLUE")</f>
        <v>BLUE</v>
      </c>
      <c r="G2856" s="20" t="str">
        <f>IFERROR(__xludf.DUMMYFUNCTION("""COMPUTED_VALUE"""),"Uncle Sams Cider (04/04/2023)")</f>
        <v>Uncle Sams Cider (04/04/2023)</v>
      </c>
      <c r="H2856" s="19"/>
    </row>
    <row r="2857">
      <c r="A2857" s="9"/>
      <c r="B2857" s="15"/>
      <c r="C2857" s="9">
        <f>IFERROR(__xludf.DUMMYFUNCTION("""COMPUTED_VALUE"""),45114.678153368)</f>
        <v>45114.67815</v>
      </c>
      <c r="D2857" s="15">
        <f>IFERROR(__xludf.DUMMYFUNCTION("""COMPUTED_VALUE"""),0.999)</f>
        <v>0.999</v>
      </c>
      <c r="E2857" s="16">
        <f>IFERROR(__xludf.DUMMYFUNCTION("""COMPUTED_VALUE"""),71.0)</f>
        <v>71</v>
      </c>
      <c r="F2857" s="19" t="str">
        <f>IFERROR(__xludf.DUMMYFUNCTION("""COMPUTED_VALUE"""),"BLUE")</f>
        <v>BLUE</v>
      </c>
      <c r="G2857" s="20" t="str">
        <f>IFERROR(__xludf.DUMMYFUNCTION("""COMPUTED_VALUE"""),"Uncle Sams Cider (04/04/2023)")</f>
        <v>Uncle Sams Cider (04/04/2023)</v>
      </c>
      <c r="H2857" s="19"/>
    </row>
    <row r="2858">
      <c r="A2858" s="9"/>
      <c r="B2858" s="15"/>
      <c r="C2858" s="9">
        <f>IFERROR(__xludf.DUMMYFUNCTION("""COMPUTED_VALUE"""),45114.6677315972)</f>
        <v>45114.66773</v>
      </c>
      <c r="D2858" s="15">
        <f>IFERROR(__xludf.DUMMYFUNCTION("""COMPUTED_VALUE"""),0.999)</f>
        <v>0.999</v>
      </c>
      <c r="E2858" s="16">
        <f>IFERROR(__xludf.DUMMYFUNCTION("""COMPUTED_VALUE"""),71.0)</f>
        <v>71</v>
      </c>
      <c r="F2858" s="19" t="str">
        <f>IFERROR(__xludf.DUMMYFUNCTION("""COMPUTED_VALUE"""),"BLUE")</f>
        <v>BLUE</v>
      </c>
      <c r="G2858" s="20" t="str">
        <f>IFERROR(__xludf.DUMMYFUNCTION("""COMPUTED_VALUE"""),"Uncle Sams Cider (04/04/2023)")</f>
        <v>Uncle Sams Cider (04/04/2023)</v>
      </c>
      <c r="H2858" s="19"/>
    </row>
    <row r="2859">
      <c r="A2859" s="9"/>
      <c r="B2859" s="15"/>
      <c r="C2859" s="9">
        <f>IFERROR(__xludf.DUMMYFUNCTION("""COMPUTED_VALUE"""),45114.6573089351)</f>
        <v>45114.65731</v>
      </c>
      <c r="D2859" s="15">
        <f>IFERROR(__xludf.DUMMYFUNCTION("""COMPUTED_VALUE"""),0.999)</f>
        <v>0.999</v>
      </c>
      <c r="E2859" s="16">
        <f>IFERROR(__xludf.DUMMYFUNCTION("""COMPUTED_VALUE"""),71.0)</f>
        <v>71</v>
      </c>
      <c r="F2859" s="19" t="str">
        <f>IFERROR(__xludf.DUMMYFUNCTION("""COMPUTED_VALUE"""),"BLUE")</f>
        <v>BLUE</v>
      </c>
      <c r="G2859" s="20" t="str">
        <f>IFERROR(__xludf.DUMMYFUNCTION("""COMPUTED_VALUE"""),"Uncle Sams Cider (04/04/2023)")</f>
        <v>Uncle Sams Cider (04/04/2023)</v>
      </c>
      <c r="H2859" s="19"/>
    </row>
    <row r="2860">
      <c r="A2860" s="9"/>
      <c r="B2860" s="15"/>
      <c r="C2860" s="9">
        <f>IFERROR(__xludf.DUMMYFUNCTION("""COMPUTED_VALUE"""),45114.6468872569)</f>
        <v>45114.64689</v>
      </c>
      <c r="D2860" s="15">
        <f>IFERROR(__xludf.DUMMYFUNCTION("""COMPUTED_VALUE"""),0.999)</f>
        <v>0.999</v>
      </c>
      <c r="E2860" s="16">
        <f>IFERROR(__xludf.DUMMYFUNCTION("""COMPUTED_VALUE"""),71.0)</f>
        <v>71</v>
      </c>
      <c r="F2860" s="19" t="str">
        <f>IFERROR(__xludf.DUMMYFUNCTION("""COMPUTED_VALUE"""),"BLUE")</f>
        <v>BLUE</v>
      </c>
      <c r="G2860" s="20" t="str">
        <f>IFERROR(__xludf.DUMMYFUNCTION("""COMPUTED_VALUE"""),"Uncle Sams Cider (04/04/2023)")</f>
        <v>Uncle Sams Cider (04/04/2023)</v>
      </c>
      <c r="H2860" s="19"/>
    </row>
    <row r="2861">
      <c r="A2861" s="9"/>
      <c r="B2861" s="15"/>
      <c r="C2861" s="9">
        <f>IFERROR(__xludf.DUMMYFUNCTION("""COMPUTED_VALUE"""),45114.6364656828)</f>
        <v>45114.63647</v>
      </c>
      <c r="D2861" s="15">
        <f>IFERROR(__xludf.DUMMYFUNCTION("""COMPUTED_VALUE"""),0.999)</f>
        <v>0.999</v>
      </c>
      <c r="E2861" s="16">
        <f>IFERROR(__xludf.DUMMYFUNCTION("""COMPUTED_VALUE"""),71.0)</f>
        <v>71</v>
      </c>
      <c r="F2861" s="19" t="str">
        <f>IFERROR(__xludf.DUMMYFUNCTION("""COMPUTED_VALUE"""),"BLUE")</f>
        <v>BLUE</v>
      </c>
      <c r="G2861" s="20" t="str">
        <f>IFERROR(__xludf.DUMMYFUNCTION("""COMPUTED_VALUE"""),"Uncle Sams Cider (04/04/2023)")</f>
        <v>Uncle Sams Cider (04/04/2023)</v>
      </c>
      <c r="H2861" s="19"/>
    </row>
    <row r="2862">
      <c r="A2862" s="9"/>
      <c r="B2862" s="15"/>
      <c r="C2862" s="9">
        <f>IFERROR(__xludf.DUMMYFUNCTION("""COMPUTED_VALUE"""),45114.6260446875)</f>
        <v>45114.62604</v>
      </c>
      <c r="D2862" s="15">
        <f>IFERROR(__xludf.DUMMYFUNCTION("""COMPUTED_VALUE"""),0.999)</f>
        <v>0.999</v>
      </c>
      <c r="E2862" s="16">
        <f>IFERROR(__xludf.DUMMYFUNCTION("""COMPUTED_VALUE"""),71.0)</f>
        <v>71</v>
      </c>
      <c r="F2862" s="19" t="str">
        <f>IFERROR(__xludf.DUMMYFUNCTION("""COMPUTED_VALUE"""),"BLUE")</f>
        <v>BLUE</v>
      </c>
      <c r="G2862" s="20" t="str">
        <f>IFERROR(__xludf.DUMMYFUNCTION("""COMPUTED_VALUE"""),"Uncle Sams Cider (04/04/2023)")</f>
        <v>Uncle Sams Cider (04/04/2023)</v>
      </c>
      <c r="H2862" s="19"/>
    </row>
    <row r="2863">
      <c r="A2863" s="9"/>
      <c r="B2863" s="15"/>
      <c r="C2863" s="9">
        <f>IFERROR(__xludf.DUMMYFUNCTION("""COMPUTED_VALUE"""),45114.6156137152)</f>
        <v>45114.61561</v>
      </c>
      <c r="D2863" s="15">
        <f>IFERROR(__xludf.DUMMYFUNCTION("""COMPUTED_VALUE"""),0.999)</f>
        <v>0.999</v>
      </c>
      <c r="E2863" s="16">
        <f>IFERROR(__xludf.DUMMYFUNCTION("""COMPUTED_VALUE"""),71.0)</f>
        <v>71</v>
      </c>
      <c r="F2863" s="19" t="str">
        <f>IFERROR(__xludf.DUMMYFUNCTION("""COMPUTED_VALUE"""),"BLUE")</f>
        <v>BLUE</v>
      </c>
      <c r="G2863" s="20" t="str">
        <f>IFERROR(__xludf.DUMMYFUNCTION("""COMPUTED_VALUE"""),"Uncle Sams Cider (04/04/2023)")</f>
        <v>Uncle Sams Cider (04/04/2023)</v>
      </c>
      <c r="H2863" s="19"/>
    </row>
    <row r="2864">
      <c r="A2864" s="9"/>
      <c r="B2864" s="15"/>
      <c r="C2864" s="9">
        <f>IFERROR(__xludf.DUMMYFUNCTION("""COMPUTED_VALUE"""),45114.6051928472)</f>
        <v>45114.60519</v>
      </c>
      <c r="D2864" s="15">
        <f>IFERROR(__xludf.DUMMYFUNCTION("""COMPUTED_VALUE"""),0.999)</f>
        <v>0.999</v>
      </c>
      <c r="E2864" s="16">
        <f>IFERROR(__xludf.DUMMYFUNCTION("""COMPUTED_VALUE"""),71.0)</f>
        <v>71</v>
      </c>
      <c r="F2864" s="19" t="str">
        <f>IFERROR(__xludf.DUMMYFUNCTION("""COMPUTED_VALUE"""),"BLUE")</f>
        <v>BLUE</v>
      </c>
      <c r="G2864" s="20" t="str">
        <f>IFERROR(__xludf.DUMMYFUNCTION("""COMPUTED_VALUE"""),"Uncle Sams Cider (04/04/2023)")</f>
        <v>Uncle Sams Cider (04/04/2023)</v>
      </c>
      <c r="H2864" s="19"/>
    </row>
    <row r="2865">
      <c r="A2865" s="9"/>
      <c r="B2865" s="15"/>
      <c r="C2865" s="9">
        <f>IFERROR(__xludf.DUMMYFUNCTION("""COMPUTED_VALUE"""),45114.5947706828)</f>
        <v>45114.59477</v>
      </c>
      <c r="D2865" s="15">
        <f>IFERROR(__xludf.DUMMYFUNCTION("""COMPUTED_VALUE"""),0.999)</f>
        <v>0.999</v>
      </c>
      <c r="E2865" s="16">
        <f>IFERROR(__xludf.DUMMYFUNCTION("""COMPUTED_VALUE"""),71.0)</f>
        <v>71</v>
      </c>
      <c r="F2865" s="19" t="str">
        <f>IFERROR(__xludf.DUMMYFUNCTION("""COMPUTED_VALUE"""),"BLUE")</f>
        <v>BLUE</v>
      </c>
      <c r="G2865" s="20" t="str">
        <f>IFERROR(__xludf.DUMMYFUNCTION("""COMPUTED_VALUE"""),"Uncle Sams Cider (04/04/2023)")</f>
        <v>Uncle Sams Cider (04/04/2023)</v>
      </c>
      <c r="H2865" s="19"/>
    </row>
    <row r="2866">
      <c r="A2866" s="9"/>
      <c r="B2866" s="15"/>
      <c r="C2866" s="9">
        <f>IFERROR(__xludf.DUMMYFUNCTION("""COMPUTED_VALUE"""),45114.5843267939)</f>
        <v>45114.58433</v>
      </c>
      <c r="D2866" s="15">
        <f>IFERROR(__xludf.DUMMYFUNCTION("""COMPUTED_VALUE"""),0.999)</f>
        <v>0.999</v>
      </c>
      <c r="E2866" s="16">
        <f>IFERROR(__xludf.DUMMYFUNCTION("""COMPUTED_VALUE"""),71.0)</f>
        <v>71</v>
      </c>
      <c r="F2866" s="19" t="str">
        <f>IFERROR(__xludf.DUMMYFUNCTION("""COMPUTED_VALUE"""),"BLUE")</f>
        <v>BLUE</v>
      </c>
      <c r="G2866" s="20" t="str">
        <f>IFERROR(__xludf.DUMMYFUNCTION("""COMPUTED_VALUE"""),"Uncle Sams Cider (04/04/2023)")</f>
        <v>Uncle Sams Cider (04/04/2023)</v>
      </c>
      <c r="H2866" s="19"/>
    </row>
    <row r="2867">
      <c r="A2867" s="9"/>
      <c r="B2867" s="15"/>
      <c r="C2867" s="9">
        <f>IFERROR(__xludf.DUMMYFUNCTION("""COMPUTED_VALUE"""),45114.5739059606)</f>
        <v>45114.57391</v>
      </c>
      <c r="D2867" s="15">
        <f>IFERROR(__xludf.DUMMYFUNCTION("""COMPUTED_VALUE"""),0.999)</f>
        <v>0.999</v>
      </c>
      <c r="E2867" s="16">
        <f>IFERROR(__xludf.DUMMYFUNCTION("""COMPUTED_VALUE"""),71.0)</f>
        <v>71</v>
      </c>
      <c r="F2867" s="19" t="str">
        <f>IFERROR(__xludf.DUMMYFUNCTION("""COMPUTED_VALUE"""),"BLUE")</f>
        <v>BLUE</v>
      </c>
      <c r="G2867" s="20" t="str">
        <f>IFERROR(__xludf.DUMMYFUNCTION("""COMPUTED_VALUE"""),"Uncle Sams Cider (04/04/2023)")</f>
        <v>Uncle Sams Cider (04/04/2023)</v>
      </c>
      <c r="H2867" s="19"/>
    </row>
    <row r="2868">
      <c r="A2868" s="9"/>
      <c r="B2868" s="15"/>
      <c r="C2868" s="9">
        <f>IFERROR(__xludf.DUMMYFUNCTION("""COMPUTED_VALUE"""),45114.5634842592)</f>
        <v>45114.56348</v>
      </c>
      <c r="D2868" s="15">
        <f>IFERROR(__xludf.DUMMYFUNCTION("""COMPUTED_VALUE"""),0.999)</f>
        <v>0.999</v>
      </c>
      <c r="E2868" s="16">
        <f>IFERROR(__xludf.DUMMYFUNCTION("""COMPUTED_VALUE"""),71.0)</f>
        <v>71</v>
      </c>
      <c r="F2868" s="19" t="str">
        <f>IFERROR(__xludf.DUMMYFUNCTION("""COMPUTED_VALUE"""),"BLUE")</f>
        <v>BLUE</v>
      </c>
      <c r="G2868" s="20" t="str">
        <f>IFERROR(__xludf.DUMMYFUNCTION("""COMPUTED_VALUE"""),"Uncle Sams Cider (04/04/2023)")</f>
        <v>Uncle Sams Cider (04/04/2023)</v>
      </c>
      <c r="H2868" s="19"/>
    </row>
    <row r="2869">
      <c r="A2869" s="9"/>
      <c r="B2869" s="15"/>
      <c r="C2869" s="9">
        <f>IFERROR(__xludf.DUMMYFUNCTION("""COMPUTED_VALUE"""),45114.5530630555)</f>
        <v>45114.55306</v>
      </c>
      <c r="D2869" s="15">
        <f>IFERROR(__xludf.DUMMYFUNCTION("""COMPUTED_VALUE"""),0.999)</f>
        <v>0.999</v>
      </c>
      <c r="E2869" s="16">
        <f>IFERROR(__xludf.DUMMYFUNCTION("""COMPUTED_VALUE"""),71.0)</f>
        <v>71</v>
      </c>
      <c r="F2869" s="19" t="str">
        <f>IFERROR(__xludf.DUMMYFUNCTION("""COMPUTED_VALUE"""),"BLUE")</f>
        <v>BLUE</v>
      </c>
      <c r="G2869" s="20" t="str">
        <f>IFERROR(__xludf.DUMMYFUNCTION("""COMPUTED_VALUE"""),"Uncle Sams Cider (04/04/2023)")</f>
        <v>Uncle Sams Cider (04/04/2023)</v>
      </c>
      <c r="H2869" s="19"/>
    </row>
    <row r="2870">
      <c r="A2870" s="9"/>
      <c r="B2870" s="15"/>
      <c r="C2870" s="9">
        <f>IFERROR(__xludf.DUMMYFUNCTION("""COMPUTED_VALUE"""),45114.5426420138)</f>
        <v>45114.54264</v>
      </c>
      <c r="D2870" s="15">
        <f>IFERROR(__xludf.DUMMYFUNCTION("""COMPUTED_VALUE"""),0.999)</f>
        <v>0.999</v>
      </c>
      <c r="E2870" s="16">
        <f>IFERROR(__xludf.DUMMYFUNCTION("""COMPUTED_VALUE"""),71.0)</f>
        <v>71</v>
      </c>
      <c r="F2870" s="19" t="str">
        <f>IFERROR(__xludf.DUMMYFUNCTION("""COMPUTED_VALUE"""),"BLUE")</f>
        <v>BLUE</v>
      </c>
      <c r="G2870" s="20" t="str">
        <f>IFERROR(__xludf.DUMMYFUNCTION("""COMPUTED_VALUE"""),"Uncle Sams Cider (04/04/2023)")</f>
        <v>Uncle Sams Cider (04/04/2023)</v>
      </c>
      <c r="H2870" s="19"/>
    </row>
    <row r="2871">
      <c r="A2871" s="9"/>
      <c r="B2871" s="15"/>
      <c r="C2871" s="9">
        <f>IFERROR(__xludf.DUMMYFUNCTION("""COMPUTED_VALUE"""),45114.5322218865)</f>
        <v>45114.53222</v>
      </c>
      <c r="D2871" s="15">
        <f>IFERROR(__xludf.DUMMYFUNCTION("""COMPUTED_VALUE"""),0.999)</f>
        <v>0.999</v>
      </c>
      <c r="E2871" s="16">
        <f>IFERROR(__xludf.DUMMYFUNCTION("""COMPUTED_VALUE"""),71.0)</f>
        <v>71</v>
      </c>
      <c r="F2871" s="19" t="str">
        <f>IFERROR(__xludf.DUMMYFUNCTION("""COMPUTED_VALUE"""),"BLUE")</f>
        <v>BLUE</v>
      </c>
      <c r="G2871" s="20" t="str">
        <f>IFERROR(__xludf.DUMMYFUNCTION("""COMPUTED_VALUE"""),"Uncle Sams Cider (04/04/2023)")</f>
        <v>Uncle Sams Cider (04/04/2023)</v>
      </c>
      <c r="H2871" s="19"/>
    </row>
    <row r="2872">
      <c r="A2872" s="9"/>
      <c r="B2872" s="15"/>
      <c r="C2872" s="9">
        <f>IFERROR(__xludf.DUMMYFUNCTION("""COMPUTED_VALUE"""),45114.5218009953)</f>
        <v>45114.5218</v>
      </c>
      <c r="D2872" s="15">
        <f>IFERROR(__xludf.DUMMYFUNCTION("""COMPUTED_VALUE"""),0.999)</f>
        <v>0.999</v>
      </c>
      <c r="E2872" s="16">
        <f>IFERROR(__xludf.DUMMYFUNCTION("""COMPUTED_VALUE"""),71.0)</f>
        <v>71</v>
      </c>
      <c r="F2872" s="19" t="str">
        <f>IFERROR(__xludf.DUMMYFUNCTION("""COMPUTED_VALUE"""),"BLUE")</f>
        <v>BLUE</v>
      </c>
      <c r="G2872" s="20" t="str">
        <f>IFERROR(__xludf.DUMMYFUNCTION("""COMPUTED_VALUE"""),"Uncle Sams Cider (04/04/2023)")</f>
        <v>Uncle Sams Cider (04/04/2023)</v>
      </c>
      <c r="H2872" s="19"/>
    </row>
    <row r="2873">
      <c r="A2873" s="9"/>
      <c r="B2873" s="15"/>
      <c r="C2873" s="9">
        <f>IFERROR(__xludf.DUMMYFUNCTION("""COMPUTED_VALUE"""),45114.5113806597)</f>
        <v>45114.51138</v>
      </c>
      <c r="D2873" s="15">
        <f>IFERROR(__xludf.DUMMYFUNCTION("""COMPUTED_VALUE"""),0.999)</f>
        <v>0.999</v>
      </c>
      <c r="E2873" s="16">
        <f>IFERROR(__xludf.DUMMYFUNCTION("""COMPUTED_VALUE"""),71.0)</f>
        <v>71</v>
      </c>
      <c r="F2873" s="19" t="str">
        <f>IFERROR(__xludf.DUMMYFUNCTION("""COMPUTED_VALUE"""),"BLUE")</f>
        <v>BLUE</v>
      </c>
      <c r="G2873" s="20" t="str">
        <f>IFERROR(__xludf.DUMMYFUNCTION("""COMPUTED_VALUE"""),"Uncle Sams Cider (04/04/2023)")</f>
        <v>Uncle Sams Cider (04/04/2023)</v>
      </c>
      <c r="H2873" s="19"/>
    </row>
    <row r="2874">
      <c r="A2874" s="9"/>
      <c r="B2874" s="15"/>
      <c r="C2874" s="9">
        <f>IFERROR(__xludf.DUMMYFUNCTION("""COMPUTED_VALUE"""),45114.5009589699)</f>
        <v>45114.50096</v>
      </c>
      <c r="D2874" s="15">
        <f>IFERROR(__xludf.DUMMYFUNCTION("""COMPUTED_VALUE"""),0.999)</f>
        <v>0.999</v>
      </c>
      <c r="E2874" s="16">
        <f>IFERROR(__xludf.DUMMYFUNCTION("""COMPUTED_VALUE"""),71.0)</f>
        <v>71</v>
      </c>
      <c r="F2874" s="19" t="str">
        <f>IFERROR(__xludf.DUMMYFUNCTION("""COMPUTED_VALUE"""),"BLUE")</f>
        <v>BLUE</v>
      </c>
      <c r="G2874" s="20" t="str">
        <f>IFERROR(__xludf.DUMMYFUNCTION("""COMPUTED_VALUE"""),"Uncle Sams Cider (04/04/2023)")</f>
        <v>Uncle Sams Cider (04/04/2023)</v>
      </c>
      <c r="H2874" s="19"/>
    </row>
    <row r="2875">
      <c r="A2875" s="9"/>
      <c r="B2875" s="15"/>
      <c r="C2875" s="9">
        <f>IFERROR(__xludf.DUMMYFUNCTION("""COMPUTED_VALUE"""),45114.4905378703)</f>
        <v>45114.49054</v>
      </c>
      <c r="D2875" s="15">
        <f>IFERROR(__xludf.DUMMYFUNCTION("""COMPUTED_VALUE"""),0.999)</f>
        <v>0.999</v>
      </c>
      <c r="E2875" s="16">
        <f>IFERROR(__xludf.DUMMYFUNCTION("""COMPUTED_VALUE"""),71.0)</f>
        <v>71</v>
      </c>
      <c r="F2875" s="19" t="str">
        <f>IFERROR(__xludf.DUMMYFUNCTION("""COMPUTED_VALUE"""),"BLUE")</f>
        <v>BLUE</v>
      </c>
      <c r="G2875" s="20" t="str">
        <f>IFERROR(__xludf.DUMMYFUNCTION("""COMPUTED_VALUE"""),"Uncle Sams Cider (04/04/2023)")</f>
        <v>Uncle Sams Cider (04/04/2023)</v>
      </c>
      <c r="H2875" s="19"/>
    </row>
    <row r="2876">
      <c r="A2876" s="9"/>
      <c r="B2876" s="15"/>
      <c r="C2876" s="9">
        <f>IFERROR(__xludf.DUMMYFUNCTION("""COMPUTED_VALUE"""),45114.4801169212)</f>
        <v>45114.48012</v>
      </c>
      <c r="D2876" s="15">
        <f>IFERROR(__xludf.DUMMYFUNCTION("""COMPUTED_VALUE"""),0.999)</f>
        <v>0.999</v>
      </c>
      <c r="E2876" s="16">
        <f>IFERROR(__xludf.DUMMYFUNCTION("""COMPUTED_VALUE"""),71.0)</f>
        <v>71</v>
      </c>
      <c r="F2876" s="19" t="str">
        <f>IFERROR(__xludf.DUMMYFUNCTION("""COMPUTED_VALUE"""),"BLUE")</f>
        <v>BLUE</v>
      </c>
      <c r="G2876" s="20" t="str">
        <f>IFERROR(__xludf.DUMMYFUNCTION("""COMPUTED_VALUE"""),"Uncle Sams Cider (04/04/2023)")</f>
        <v>Uncle Sams Cider (04/04/2023)</v>
      </c>
      <c r="H2876" s="19"/>
    </row>
    <row r="2877">
      <c r="A2877" s="9"/>
      <c r="B2877" s="15"/>
      <c r="C2877" s="9">
        <f>IFERROR(__xludf.DUMMYFUNCTION("""COMPUTED_VALUE"""),45114.4696949652)</f>
        <v>45114.46969</v>
      </c>
      <c r="D2877" s="15">
        <f>IFERROR(__xludf.DUMMYFUNCTION("""COMPUTED_VALUE"""),0.999)</f>
        <v>0.999</v>
      </c>
      <c r="E2877" s="16">
        <f>IFERROR(__xludf.DUMMYFUNCTION("""COMPUTED_VALUE"""),71.0)</f>
        <v>71</v>
      </c>
      <c r="F2877" s="19" t="str">
        <f>IFERROR(__xludf.DUMMYFUNCTION("""COMPUTED_VALUE"""),"BLUE")</f>
        <v>BLUE</v>
      </c>
      <c r="G2877" s="20" t="str">
        <f>IFERROR(__xludf.DUMMYFUNCTION("""COMPUTED_VALUE"""),"Uncle Sams Cider (04/04/2023)")</f>
        <v>Uncle Sams Cider (04/04/2023)</v>
      </c>
      <c r="H2877" s="19"/>
    </row>
    <row r="2878">
      <c r="A2878" s="9"/>
      <c r="B2878" s="15"/>
      <c r="C2878" s="9">
        <f>IFERROR(__xludf.DUMMYFUNCTION("""COMPUTED_VALUE"""),45114.4592740625)</f>
        <v>45114.45927</v>
      </c>
      <c r="D2878" s="15">
        <f>IFERROR(__xludf.DUMMYFUNCTION("""COMPUTED_VALUE"""),0.999)</f>
        <v>0.999</v>
      </c>
      <c r="E2878" s="16">
        <f>IFERROR(__xludf.DUMMYFUNCTION("""COMPUTED_VALUE"""),71.0)</f>
        <v>71</v>
      </c>
      <c r="F2878" s="19" t="str">
        <f>IFERROR(__xludf.DUMMYFUNCTION("""COMPUTED_VALUE"""),"BLUE")</f>
        <v>BLUE</v>
      </c>
      <c r="G2878" s="20" t="str">
        <f>IFERROR(__xludf.DUMMYFUNCTION("""COMPUTED_VALUE"""),"Uncle Sams Cider (04/04/2023)")</f>
        <v>Uncle Sams Cider (04/04/2023)</v>
      </c>
      <c r="H2878" s="19"/>
    </row>
    <row r="2879">
      <c r="A2879" s="9"/>
      <c r="B2879" s="15"/>
      <c r="C2879" s="9">
        <f>IFERROR(__xludf.DUMMYFUNCTION("""COMPUTED_VALUE"""),45114.4488536805)</f>
        <v>45114.44885</v>
      </c>
      <c r="D2879" s="15">
        <f>IFERROR(__xludf.DUMMYFUNCTION("""COMPUTED_VALUE"""),0.999)</f>
        <v>0.999</v>
      </c>
      <c r="E2879" s="16">
        <f>IFERROR(__xludf.DUMMYFUNCTION("""COMPUTED_VALUE"""),71.0)</f>
        <v>71</v>
      </c>
      <c r="F2879" s="19" t="str">
        <f>IFERROR(__xludf.DUMMYFUNCTION("""COMPUTED_VALUE"""),"BLUE")</f>
        <v>BLUE</v>
      </c>
      <c r="G2879" s="20" t="str">
        <f>IFERROR(__xludf.DUMMYFUNCTION("""COMPUTED_VALUE"""),"Uncle Sams Cider (04/04/2023)")</f>
        <v>Uncle Sams Cider (04/04/2023)</v>
      </c>
      <c r="H2879" s="19"/>
    </row>
    <row r="2880">
      <c r="A2880" s="9"/>
      <c r="B2880" s="15"/>
      <c r="C2880" s="9">
        <f>IFERROR(__xludf.DUMMYFUNCTION("""COMPUTED_VALUE"""),45114.4384310532)</f>
        <v>45114.43843</v>
      </c>
      <c r="D2880" s="15">
        <f>IFERROR(__xludf.DUMMYFUNCTION("""COMPUTED_VALUE"""),0.999)</f>
        <v>0.999</v>
      </c>
      <c r="E2880" s="16">
        <f>IFERROR(__xludf.DUMMYFUNCTION("""COMPUTED_VALUE"""),71.0)</f>
        <v>71</v>
      </c>
      <c r="F2880" s="19" t="str">
        <f>IFERROR(__xludf.DUMMYFUNCTION("""COMPUTED_VALUE"""),"BLUE")</f>
        <v>BLUE</v>
      </c>
      <c r="G2880" s="20" t="str">
        <f>IFERROR(__xludf.DUMMYFUNCTION("""COMPUTED_VALUE"""),"Uncle Sams Cider (04/04/2023)")</f>
        <v>Uncle Sams Cider (04/04/2023)</v>
      </c>
      <c r="H2880" s="19"/>
    </row>
    <row r="2881">
      <c r="A2881" s="9"/>
      <c r="B2881" s="15"/>
      <c r="C2881" s="9">
        <f>IFERROR(__xludf.DUMMYFUNCTION("""COMPUTED_VALUE"""),45114.4280116666)</f>
        <v>45114.42801</v>
      </c>
      <c r="D2881" s="15">
        <f>IFERROR(__xludf.DUMMYFUNCTION("""COMPUTED_VALUE"""),0.999)</f>
        <v>0.999</v>
      </c>
      <c r="E2881" s="16">
        <f>IFERROR(__xludf.DUMMYFUNCTION("""COMPUTED_VALUE"""),71.0)</f>
        <v>71</v>
      </c>
      <c r="F2881" s="19" t="str">
        <f>IFERROR(__xludf.DUMMYFUNCTION("""COMPUTED_VALUE"""),"BLUE")</f>
        <v>BLUE</v>
      </c>
      <c r="G2881" s="20" t="str">
        <f>IFERROR(__xludf.DUMMYFUNCTION("""COMPUTED_VALUE"""),"Uncle Sams Cider (04/04/2023)")</f>
        <v>Uncle Sams Cider (04/04/2023)</v>
      </c>
      <c r="H2881" s="19"/>
    </row>
    <row r="2882">
      <c r="A2882" s="9"/>
      <c r="B2882" s="15"/>
      <c r="C2882" s="9">
        <f>IFERROR(__xludf.DUMMYFUNCTION("""COMPUTED_VALUE"""),45114.4175893981)</f>
        <v>45114.41759</v>
      </c>
      <c r="D2882" s="15">
        <f>IFERROR(__xludf.DUMMYFUNCTION("""COMPUTED_VALUE"""),0.999)</f>
        <v>0.999</v>
      </c>
      <c r="E2882" s="16">
        <f>IFERROR(__xludf.DUMMYFUNCTION("""COMPUTED_VALUE"""),71.0)</f>
        <v>71</v>
      </c>
      <c r="F2882" s="19" t="str">
        <f>IFERROR(__xludf.DUMMYFUNCTION("""COMPUTED_VALUE"""),"BLUE")</f>
        <v>BLUE</v>
      </c>
      <c r="G2882" s="20" t="str">
        <f>IFERROR(__xludf.DUMMYFUNCTION("""COMPUTED_VALUE"""),"Uncle Sams Cider (04/04/2023)")</f>
        <v>Uncle Sams Cider (04/04/2023)</v>
      </c>
      <c r="H2882" s="19"/>
    </row>
    <row r="2883">
      <c r="A2883" s="9"/>
      <c r="B2883" s="15"/>
      <c r="C2883" s="9">
        <f>IFERROR(__xludf.DUMMYFUNCTION("""COMPUTED_VALUE"""),45114.4071695023)</f>
        <v>45114.40717</v>
      </c>
      <c r="D2883" s="15">
        <f>IFERROR(__xludf.DUMMYFUNCTION("""COMPUTED_VALUE"""),0.999)</f>
        <v>0.999</v>
      </c>
      <c r="E2883" s="16">
        <f>IFERROR(__xludf.DUMMYFUNCTION("""COMPUTED_VALUE"""),71.0)</f>
        <v>71</v>
      </c>
      <c r="F2883" s="19" t="str">
        <f>IFERROR(__xludf.DUMMYFUNCTION("""COMPUTED_VALUE"""),"BLUE")</f>
        <v>BLUE</v>
      </c>
      <c r="G2883" s="20" t="str">
        <f>IFERROR(__xludf.DUMMYFUNCTION("""COMPUTED_VALUE"""),"Uncle Sams Cider (04/04/2023)")</f>
        <v>Uncle Sams Cider (04/04/2023)</v>
      </c>
      <c r="H2883" s="19"/>
    </row>
    <row r="2884">
      <c r="A2884" s="9"/>
      <c r="B2884" s="15"/>
      <c r="C2884" s="9">
        <f>IFERROR(__xludf.DUMMYFUNCTION("""COMPUTED_VALUE"""),45114.3967479166)</f>
        <v>45114.39675</v>
      </c>
      <c r="D2884" s="15">
        <f>IFERROR(__xludf.DUMMYFUNCTION("""COMPUTED_VALUE"""),0.999)</f>
        <v>0.999</v>
      </c>
      <c r="E2884" s="16">
        <f>IFERROR(__xludf.DUMMYFUNCTION("""COMPUTED_VALUE"""),71.0)</f>
        <v>71</v>
      </c>
      <c r="F2884" s="19" t="str">
        <f>IFERROR(__xludf.DUMMYFUNCTION("""COMPUTED_VALUE"""),"BLUE")</f>
        <v>BLUE</v>
      </c>
      <c r="G2884" s="20" t="str">
        <f>IFERROR(__xludf.DUMMYFUNCTION("""COMPUTED_VALUE"""),"Uncle Sams Cider (04/04/2023)")</f>
        <v>Uncle Sams Cider (04/04/2023)</v>
      </c>
      <c r="H2884" s="19"/>
    </row>
    <row r="2885">
      <c r="A2885" s="9"/>
      <c r="B2885" s="15"/>
      <c r="C2885" s="9">
        <f>IFERROR(__xludf.DUMMYFUNCTION("""COMPUTED_VALUE"""),45114.3863274652)</f>
        <v>45114.38633</v>
      </c>
      <c r="D2885" s="15">
        <f>IFERROR(__xludf.DUMMYFUNCTION("""COMPUTED_VALUE"""),0.999)</f>
        <v>0.999</v>
      </c>
      <c r="E2885" s="16">
        <f>IFERROR(__xludf.DUMMYFUNCTION("""COMPUTED_VALUE"""),71.0)</f>
        <v>71</v>
      </c>
      <c r="F2885" s="19" t="str">
        <f>IFERROR(__xludf.DUMMYFUNCTION("""COMPUTED_VALUE"""),"BLUE")</f>
        <v>BLUE</v>
      </c>
      <c r="G2885" s="20" t="str">
        <f>IFERROR(__xludf.DUMMYFUNCTION("""COMPUTED_VALUE"""),"Uncle Sams Cider (04/04/2023)")</f>
        <v>Uncle Sams Cider (04/04/2023)</v>
      </c>
      <c r="H2885" s="19"/>
    </row>
    <row r="2886">
      <c r="A2886" s="9"/>
      <c r="B2886" s="15"/>
      <c r="C2886" s="9">
        <f>IFERROR(__xludf.DUMMYFUNCTION("""COMPUTED_VALUE"""),45114.3759067013)</f>
        <v>45114.37591</v>
      </c>
      <c r="D2886" s="15">
        <f>IFERROR(__xludf.DUMMYFUNCTION("""COMPUTED_VALUE"""),0.999)</f>
        <v>0.999</v>
      </c>
      <c r="E2886" s="16">
        <f>IFERROR(__xludf.DUMMYFUNCTION("""COMPUTED_VALUE"""),71.0)</f>
        <v>71</v>
      </c>
      <c r="F2886" s="19" t="str">
        <f>IFERROR(__xludf.DUMMYFUNCTION("""COMPUTED_VALUE"""),"BLUE")</f>
        <v>BLUE</v>
      </c>
      <c r="G2886" s="20" t="str">
        <f>IFERROR(__xludf.DUMMYFUNCTION("""COMPUTED_VALUE"""),"Uncle Sams Cider (04/04/2023)")</f>
        <v>Uncle Sams Cider (04/04/2023)</v>
      </c>
      <c r="H2886" s="19"/>
    </row>
    <row r="2887">
      <c r="A2887" s="9"/>
      <c r="B2887" s="15"/>
      <c r="C2887" s="9">
        <f>IFERROR(__xludf.DUMMYFUNCTION("""COMPUTED_VALUE"""),45114.3654851157)</f>
        <v>45114.36549</v>
      </c>
      <c r="D2887" s="15">
        <f>IFERROR(__xludf.DUMMYFUNCTION("""COMPUTED_VALUE"""),0.999)</f>
        <v>0.999</v>
      </c>
      <c r="E2887" s="16">
        <f>IFERROR(__xludf.DUMMYFUNCTION("""COMPUTED_VALUE"""),71.0)</f>
        <v>71</v>
      </c>
      <c r="F2887" s="19" t="str">
        <f>IFERROR(__xludf.DUMMYFUNCTION("""COMPUTED_VALUE"""),"BLUE")</f>
        <v>BLUE</v>
      </c>
      <c r="G2887" s="20" t="str">
        <f>IFERROR(__xludf.DUMMYFUNCTION("""COMPUTED_VALUE"""),"Uncle Sams Cider (04/04/2023)")</f>
        <v>Uncle Sams Cider (04/04/2023)</v>
      </c>
      <c r="H2887" s="19"/>
    </row>
    <row r="2888">
      <c r="A2888" s="9"/>
      <c r="B2888" s="15"/>
      <c r="C2888" s="9">
        <f>IFERROR(__xludf.DUMMYFUNCTION("""COMPUTED_VALUE"""),45114.3550520949)</f>
        <v>45114.35505</v>
      </c>
      <c r="D2888" s="15">
        <f>IFERROR(__xludf.DUMMYFUNCTION("""COMPUTED_VALUE"""),0.999)</f>
        <v>0.999</v>
      </c>
      <c r="E2888" s="16">
        <f>IFERROR(__xludf.DUMMYFUNCTION("""COMPUTED_VALUE"""),71.0)</f>
        <v>71</v>
      </c>
      <c r="F2888" s="19" t="str">
        <f>IFERROR(__xludf.DUMMYFUNCTION("""COMPUTED_VALUE"""),"BLUE")</f>
        <v>BLUE</v>
      </c>
      <c r="G2888" s="20" t="str">
        <f>IFERROR(__xludf.DUMMYFUNCTION("""COMPUTED_VALUE"""),"Uncle Sams Cider (04/04/2023)")</f>
        <v>Uncle Sams Cider (04/04/2023)</v>
      </c>
      <c r="H2888" s="19"/>
    </row>
    <row r="2889">
      <c r="A2889" s="9"/>
      <c r="B2889" s="15"/>
      <c r="C2889" s="9">
        <f>IFERROR(__xludf.DUMMYFUNCTION("""COMPUTED_VALUE"""),45114.3446311111)</f>
        <v>45114.34463</v>
      </c>
      <c r="D2889" s="15">
        <f>IFERROR(__xludf.DUMMYFUNCTION("""COMPUTED_VALUE"""),0.999)</f>
        <v>0.999</v>
      </c>
      <c r="E2889" s="16">
        <f>IFERROR(__xludf.DUMMYFUNCTION("""COMPUTED_VALUE"""),71.0)</f>
        <v>71</v>
      </c>
      <c r="F2889" s="19" t="str">
        <f>IFERROR(__xludf.DUMMYFUNCTION("""COMPUTED_VALUE"""),"BLUE")</f>
        <v>BLUE</v>
      </c>
      <c r="G2889" s="20" t="str">
        <f>IFERROR(__xludf.DUMMYFUNCTION("""COMPUTED_VALUE"""),"Uncle Sams Cider (04/04/2023)")</f>
        <v>Uncle Sams Cider (04/04/2023)</v>
      </c>
      <c r="H2889" s="19"/>
    </row>
    <row r="2890">
      <c r="A2890" s="9"/>
      <c r="B2890" s="15"/>
      <c r="C2890" s="9">
        <f>IFERROR(__xludf.DUMMYFUNCTION("""COMPUTED_VALUE"""),45114.3342093402)</f>
        <v>45114.33421</v>
      </c>
      <c r="D2890" s="15">
        <f>IFERROR(__xludf.DUMMYFUNCTION("""COMPUTED_VALUE"""),0.999)</f>
        <v>0.999</v>
      </c>
      <c r="E2890" s="16">
        <f>IFERROR(__xludf.DUMMYFUNCTION("""COMPUTED_VALUE"""),71.0)</f>
        <v>71</v>
      </c>
      <c r="F2890" s="19" t="str">
        <f>IFERROR(__xludf.DUMMYFUNCTION("""COMPUTED_VALUE"""),"BLUE")</f>
        <v>BLUE</v>
      </c>
      <c r="G2890" s="20" t="str">
        <f>IFERROR(__xludf.DUMMYFUNCTION("""COMPUTED_VALUE"""),"Uncle Sams Cider (04/04/2023)")</f>
        <v>Uncle Sams Cider (04/04/2023)</v>
      </c>
      <c r="H2890" s="19"/>
    </row>
    <row r="2891">
      <c r="A2891" s="9"/>
      <c r="B2891" s="15"/>
      <c r="C2891" s="9">
        <f>IFERROR(__xludf.DUMMYFUNCTION("""COMPUTED_VALUE"""),45114.3237879976)</f>
        <v>45114.32379</v>
      </c>
      <c r="D2891" s="15">
        <f>IFERROR(__xludf.DUMMYFUNCTION("""COMPUTED_VALUE"""),0.999)</f>
        <v>0.999</v>
      </c>
      <c r="E2891" s="16">
        <f>IFERROR(__xludf.DUMMYFUNCTION("""COMPUTED_VALUE"""),71.0)</f>
        <v>71</v>
      </c>
      <c r="F2891" s="19" t="str">
        <f>IFERROR(__xludf.DUMMYFUNCTION("""COMPUTED_VALUE"""),"BLUE")</f>
        <v>BLUE</v>
      </c>
      <c r="G2891" s="20" t="str">
        <f>IFERROR(__xludf.DUMMYFUNCTION("""COMPUTED_VALUE"""),"Uncle Sams Cider (04/04/2023)")</f>
        <v>Uncle Sams Cider (04/04/2023)</v>
      </c>
      <c r="H2891" s="19"/>
    </row>
    <row r="2892">
      <c r="A2892" s="9"/>
      <c r="B2892" s="15"/>
      <c r="C2892" s="9">
        <f>IFERROR(__xludf.DUMMYFUNCTION("""COMPUTED_VALUE"""),45114.3133538078)</f>
        <v>45114.31335</v>
      </c>
      <c r="D2892" s="15">
        <f>IFERROR(__xludf.DUMMYFUNCTION("""COMPUTED_VALUE"""),0.999)</f>
        <v>0.999</v>
      </c>
      <c r="E2892" s="16">
        <f>IFERROR(__xludf.DUMMYFUNCTION("""COMPUTED_VALUE"""),71.0)</f>
        <v>71</v>
      </c>
      <c r="F2892" s="19" t="str">
        <f>IFERROR(__xludf.DUMMYFUNCTION("""COMPUTED_VALUE"""),"BLUE")</f>
        <v>BLUE</v>
      </c>
      <c r="G2892" s="20" t="str">
        <f>IFERROR(__xludf.DUMMYFUNCTION("""COMPUTED_VALUE"""),"Uncle Sams Cider (04/04/2023)")</f>
        <v>Uncle Sams Cider (04/04/2023)</v>
      </c>
      <c r="H2892" s="19"/>
    </row>
    <row r="2893">
      <c r="A2893" s="9"/>
      <c r="B2893" s="15"/>
      <c r="C2893" s="9">
        <f>IFERROR(__xludf.DUMMYFUNCTION("""COMPUTED_VALUE"""),45114.3029323958)</f>
        <v>45114.30293</v>
      </c>
      <c r="D2893" s="15">
        <f>IFERROR(__xludf.DUMMYFUNCTION("""COMPUTED_VALUE"""),0.999)</f>
        <v>0.999</v>
      </c>
      <c r="E2893" s="16">
        <f>IFERROR(__xludf.DUMMYFUNCTION("""COMPUTED_VALUE"""),71.0)</f>
        <v>71</v>
      </c>
      <c r="F2893" s="19" t="str">
        <f>IFERROR(__xludf.DUMMYFUNCTION("""COMPUTED_VALUE"""),"BLUE")</f>
        <v>BLUE</v>
      </c>
      <c r="G2893" s="20" t="str">
        <f>IFERROR(__xludf.DUMMYFUNCTION("""COMPUTED_VALUE"""),"Uncle Sams Cider (04/04/2023)")</f>
        <v>Uncle Sams Cider (04/04/2023)</v>
      </c>
      <c r="H2893" s="19"/>
    </row>
    <row r="2894">
      <c r="A2894" s="9"/>
      <c r="B2894" s="15"/>
      <c r="C2894" s="9">
        <f>IFERROR(__xludf.DUMMYFUNCTION("""COMPUTED_VALUE"""),45114.292500081)</f>
        <v>45114.2925</v>
      </c>
      <c r="D2894" s="15">
        <f>IFERROR(__xludf.DUMMYFUNCTION("""COMPUTED_VALUE"""),0.999)</f>
        <v>0.999</v>
      </c>
      <c r="E2894" s="16">
        <f>IFERROR(__xludf.DUMMYFUNCTION("""COMPUTED_VALUE"""),71.0)</f>
        <v>71</v>
      </c>
      <c r="F2894" s="19" t="str">
        <f>IFERROR(__xludf.DUMMYFUNCTION("""COMPUTED_VALUE"""),"BLUE")</f>
        <v>BLUE</v>
      </c>
      <c r="G2894" s="20" t="str">
        <f>IFERROR(__xludf.DUMMYFUNCTION("""COMPUTED_VALUE"""),"Uncle Sams Cider (04/04/2023)")</f>
        <v>Uncle Sams Cider (04/04/2023)</v>
      </c>
      <c r="H2894" s="19"/>
    </row>
    <row r="2895">
      <c r="A2895" s="9"/>
      <c r="B2895" s="15"/>
      <c r="C2895" s="9">
        <f>IFERROR(__xludf.DUMMYFUNCTION("""COMPUTED_VALUE"""),45114.28207978)</f>
        <v>45114.28208</v>
      </c>
      <c r="D2895" s="15">
        <f>IFERROR(__xludf.DUMMYFUNCTION("""COMPUTED_VALUE"""),0.999)</f>
        <v>0.999</v>
      </c>
      <c r="E2895" s="16">
        <f>IFERROR(__xludf.DUMMYFUNCTION("""COMPUTED_VALUE"""),71.0)</f>
        <v>71</v>
      </c>
      <c r="F2895" s="19" t="str">
        <f>IFERROR(__xludf.DUMMYFUNCTION("""COMPUTED_VALUE"""),"BLUE")</f>
        <v>BLUE</v>
      </c>
      <c r="G2895" s="20" t="str">
        <f>IFERROR(__xludf.DUMMYFUNCTION("""COMPUTED_VALUE"""),"Uncle Sams Cider (04/04/2023)")</f>
        <v>Uncle Sams Cider (04/04/2023)</v>
      </c>
      <c r="H2895" s="19"/>
    </row>
    <row r="2896">
      <c r="A2896" s="9"/>
      <c r="B2896" s="15"/>
      <c r="C2896" s="9">
        <f>IFERROR(__xludf.DUMMYFUNCTION("""COMPUTED_VALUE"""),45114.2716592708)</f>
        <v>45114.27166</v>
      </c>
      <c r="D2896" s="15">
        <f>IFERROR(__xludf.DUMMYFUNCTION("""COMPUTED_VALUE"""),0.999)</f>
        <v>0.999</v>
      </c>
      <c r="E2896" s="16">
        <f>IFERROR(__xludf.DUMMYFUNCTION("""COMPUTED_VALUE"""),71.0)</f>
        <v>71</v>
      </c>
      <c r="F2896" s="19" t="str">
        <f>IFERROR(__xludf.DUMMYFUNCTION("""COMPUTED_VALUE"""),"BLUE")</f>
        <v>BLUE</v>
      </c>
      <c r="G2896" s="20" t="str">
        <f>IFERROR(__xludf.DUMMYFUNCTION("""COMPUTED_VALUE"""),"Uncle Sams Cider (04/04/2023)")</f>
        <v>Uncle Sams Cider (04/04/2023)</v>
      </c>
      <c r="H2896" s="19"/>
    </row>
    <row r="2897">
      <c r="A2897" s="9"/>
      <c r="B2897" s="15"/>
      <c r="C2897" s="9">
        <f>IFERROR(__xludf.DUMMYFUNCTION("""COMPUTED_VALUE"""),45114.261224375)</f>
        <v>45114.26122</v>
      </c>
      <c r="D2897" s="15">
        <f>IFERROR(__xludf.DUMMYFUNCTION("""COMPUTED_VALUE"""),0.999)</f>
        <v>0.999</v>
      </c>
      <c r="E2897" s="16">
        <f>IFERROR(__xludf.DUMMYFUNCTION("""COMPUTED_VALUE"""),71.0)</f>
        <v>71</v>
      </c>
      <c r="F2897" s="19" t="str">
        <f>IFERROR(__xludf.DUMMYFUNCTION("""COMPUTED_VALUE"""),"BLUE")</f>
        <v>BLUE</v>
      </c>
      <c r="G2897" s="20" t="str">
        <f>IFERROR(__xludf.DUMMYFUNCTION("""COMPUTED_VALUE"""),"Uncle Sams Cider (04/04/2023)")</f>
        <v>Uncle Sams Cider (04/04/2023)</v>
      </c>
      <c r="H2897" s="19"/>
    </row>
    <row r="2898">
      <c r="A2898" s="9"/>
      <c r="B2898" s="15"/>
      <c r="C2898" s="9">
        <f>IFERROR(__xludf.DUMMYFUNCTION("""COMPUTED_VALUE"""),45114.2508036458)</f>
        <v>45114.2508</v>
      </c>
      <c r="D2898" s="15">
        <f>IFERROR(__xludf.DUMMYFUNCTION("""COMPUTED_VALUE"""),0.999)</f>
        <v>0.999</v>
      </c>
      <c r="E2898" s="16">
        <f>IFERROR(__xludf.DUMMYFUNCTION("""COMPUTED_VALUE"""),71.0)</f>
        <v>71</v>
      </c>
      <c r="F2898" s="19" t="str">
        <f>IFERROR(__xludf.DUMMYFUNCTION("""COMPUTED_VALUE"""),"BLUE")</f>
        <v>BLUE</v>
      </c>
      <c r="G2898" s="20" t="str">
        <f>IFERROR(__xludf.DUMMYFUNCTION("""COMPUTED_VALUE"""),"Uncle Sams Cider (04/04/2023)")</f>
        <v>Uncle Sams Cider (04/04/2023)</v>
      </c>
      <c r="H2898" s="19"/>
    </row>
    <row r="2899">
      <c r="A2899" s="9"/>
      <c r="B2899" s="15"/>
      <c r="C2899" s="9">
        <f>IFERROR(__xludf.DUMMYFUNCTION("""COMPUTED_VALUE"""),45114.2403710648)</f>
        <v>45114.24037</v>
      </c>
      <c r="D2899" s="15">
        <f>IFERROR(__xludf.DUMMYFUNCTION("""COMPUTED_VALUE"""),0.999)</f>
        <v>0.999</v>
      </c>
      <c r="E2899" s="16">
        <f>IFERROR(__xludf.DUMMYFUNCTION("""COMPUTED_VALUE"""),71.0)</f>
        <v>71</v>
      </c>
      <c r="F2899" s="19" t="str">
        <f>IFERROR(__xludf.DUMMYFUNCTION("""COMPUTED_VALUE"""),"BLUE")</f>
        <v>BLUE</v>
      </c>
      <c r="G2899" s="20" t="str">
        <f>IFERROR(__xludf.DUMMYFUNCTION("""COMPUTED_VALUE"""),"Uncle Sams Cider (04/04/2023)")</f>
        <v>Uncle Sams Cider (04/04/2023)</v>
      </c>
      <c r="H2899" s="19"/>
    </row>
    <row r="2900">
      <c r="A2900" s="9"/>
      <c r="B2900" s="15"/>
      <c r="C2900" s="9">
        <f>IFERROR(__xludf.DUMMYFUNCTION("""COMPUTED_VALUE"""),45114.2299493287)</f>
        <v>45114.22995</v>
      </c>
      <c r="D2900" s="15">
        <f>IFERROR(__xludf.DUMMYFUNCTION("""COMPUTED_VALUE"""),0.999)</f>
        <v>0.999</v>
      </c>
      <c r="E2900" s="16">
        <f>IFERROR(__xludf.DUMMYFUNCTION("""COMPUTED_VALUE"""),71.0)</f>
        <v>71</v>
      </c>
      <c r="F2900" s="19" t="str">
        <f>IFERROR(__xludf.DUMMYFUNCTION("""COMPUTED_VALUE"""),"BLUE")</f>
        <v>BLUE</v>
      </c>
      <c r="G2900" s="20" t="str">
        <f>IFERROR(__xludf.DUMMYFUNCTION("""COMPUTED_VALUE"""),"Uncle Sams Cider (04/04/2023)")</f>
        <v>Uncle Sams Cider (04/04/2023)</v>
      </c>
      <c r="H2900" s="19"/>
    </row>
    <row r="2901">
      <c r="A2901" s="9"/>
      <c r="B2901" s="15"/>
      <c r="C2901" s="9">
        <f>IFERROR(__xludf.DUMMYFUNCTION("""COMPUTED_VALUE"""),45114.219527199)</f>
        <v>45114.21953</v>
      </c>
      <c r="D2901" s="15">
        <f>IFERROR(__xludf.DUMMYFUNCTION("""COMPUTED_VALUE"""),0.999)</f>
        <v>0.999</v>
      </c>
      <c r="E2901" s="16">
        <f>IFERROR(__xludf.DUMMYFUNCTION("""COMPUTED_VALUE"""),71.0)</f>
        <v>71</v>
      </c>
      <c r="F2901" s="19" t="str">
        <f>IFERROR(__xludf.DUMMYFUNCTION("""COMPUTED_VALUE"""),"BLUE")</f>
        <v>BLUE</v>
      </c>
      <c r="G2901" s="20" t="str">
        <f>IFERROR(__xludf.DUMMYFUNCTION("""COMPUTED_VALUE"""),"Uncle Sams Cider (04/04/2023)")</f>
        <v>Uncle Sams Cider (04/04/2023)</v>
      </c>
      <c r="H2901" s="19"/>
    </row>
    <row r="2902">
      <c r="A2902" s="9"/>
      <c r="B2902" s="15"/>
      <c r="C2902" s="9">
        <f>IFERROR(__xludf.DUMMYFUNCTION("""COMPUTED_VALUE"""),45114.209106493)</f>
        <v>45114.20911</v>
      </c>
      <c r="D2902" s="15">
        <f>IFERROR(__xludf.DUMMYFUNCTION("""COMPUTED_VALUE"""),0.999)</f>
        <v>0.999</v>
      </c>
      <c r="E2902" s="16">
        <f>IFERROR(__xludf.DUMMYFUNCTION("""COMPUTED_VALUE"""),71.0)</f>
        <v>71</v>
      </c>
      <c r="F2902" s="19" t="str">
        <f>IFERROR(__xludf.DUMMYFUNCTION("""COMPUTED_VALUE"""),"BLUE")</f>
        <v>BLUE</v>
      </c>
      <c r="G2902" s="20" t="str">
        <f>IFERROR(__xludf.DUMMYFUNCTION("""COMPUTED_VALUE"""),"Uncle Sams Cider (04/04/2023)")</f>
        <v>Uncle Sams Cider (04/04/2023)</v>
      </c>
      <c r="H2902" s="19"/>
    </row>
    <row r="2903">
      <c r="A2903" s="9"/>
      <c r="B2903" s="15"/>
      <c r="C2903" s="9">
        <f>IFERROR(__xludf.DUMMYFUNCTION("""COMPUTED_VALUE"""),45114.1986837384)</f>
        <v>45114.19868</v>
      </c>
      <c r="D2903" s="15">
        <f>IFERROR(__xludf.DUMMYFUNCTION("""COMPUTED_VALUE"""),0.999)</f>
        <v>0.999</v>
      </c>
      <c r="E2903" s="16">
        <f>IFERROR(__xludf.DUMMYFUNCTION("""COMPUTED_VALUE"""),71.0)</f>
        <v>71</v>
      </c>
      <c r="F2903" s="19" t="str">
        <f>IFERROR(__xludf.DUMMYFUNCTION("""COMPUTED_VALUE"""),"BLUE")</f>
        <v>BLUE</v>
      </c>
      <c r="G2903" s="20" t="str">
        <f>IFERROR(__xludf.DUMMYFUNCTION("""COMPUTED_VALUE"""),"Uncle Sams Cider (04/04/2023)")</f>
        <v>Uncle Sams Cider (04/04/2023)</v>
      </c>
      <c r="H2903" s="19"/>
    </row>
    <row r="2904">
      <c r="A2904" s="9"/>
      <c r="B2904" s="15"/>
      <c r="C2904" s="9">
        <f>IFERROR(__xludf.DUMMYFUNCTION("""COMPUTED_VALUE"""),45114.1882501736)</f>
        <v>45114.18825</v>
      </c>
      <c r="D2904" s="15">
        <f>IFERROR(__xludf.DUMMYFUNCTION("""COMPUTED_VALUE"""),0.999)</f>
        <v>0.999</v>
      </c>
      <c r="E2904" s="16">
        <f>IFERROR(__xludf.DUMMYFUNCTION("""COMPUTED_VALUE"""),71.0)</f>
        <v>71</v>
      </c>
      <c r="F2904" s="19" t="str">
        <f>IFERROR(__xludf.DUMMYFUNCTION("""COMPUTED_VALUE"""),"BLUE")</f>
        <v>BLUE</v>
      </c>
      <c r="G2904" s="20" t="str">
        <f>IFERROR(__xludf.DUMMYFUNCTION("""COMPUTED_VALUE"""),"Uncle Sams Cider (04/04/2023)")</f>
        <v>Uncle Sams Cider (04/04/2023)</v>
      </c>
      <c r="H2904" s="19"/>
    </row>
    <row r="2905">
      <c r="A2905" s="9"/>
      <c r="B2905" s="15"/>
      <c r="C2905" s="9">
        <f>IFERROR(__xludf.DUMMYFUNCTION("""COMPUTED_VALUE"""),45114.1778298032)</f>
        <v>45114.17783</v>
      </c>
      <c r="D2905" s="15">
        <f>IFERROR(__xludf.DUMMYFUNCTION("""COMPUTED_VALUE"""),0.999)</f>
        <v>0.999</v>
      </c>
      <c r="E2905" s="16">
        <f>IFERROR(__xludf.DUMMYFUNCTION("""COMPUTED_VALUE"""),71.0)</f>
        <v>71</v>
      </c>
      <c r="F2905" s="19" t="str">
        <f>IFERROR(__xludf.DUMMYFUNCTION("""COMPUTED_VALUE"""),"BLUE")</f>
        <v>BLUE</v>
      </c>
      <c r="G2905" s="20" t="str">
        <f>IFERROR(__xludf.DUMMYFUNCTION("""COMPUTED_VALUE"""),"Uncle Sams Cider (04/04/2023)")</f>
        <v>Uncle Sams Cider (04/04/2023)</v>
      </c>
      <c r="H2905" s="19"/>
    </row>
    <row r="2906">
      <c r="A2906" s="9"/>
      <c r="B2906" s="15"/>
      <c r="C2906" s="9">
        <f>IFERROR(__xludf.DUMMYFUNCTION("""COMPUTED_VALUE"""),45114.1674081944)</f>
        <v>45114.16741</v>
      </c>
      <c r="D2906" s="15">
        <f>IFERROR(__xludf.DUMMYFUNCTION("""COMPUTED_VALUE"""),0.999)</f>
        <v>0.999</v>
      </c>
      <c r="E2906" s="16">
        <f>IFERROR(__xludf.DUMMYFUNCTION("""COMPUTED_VALUE"""),71.0)</f>
        <v>71</v>
      </c>
      <c r="F2906" s="19" t="str">
        <f>IFERROR(__xludf.DUMMYFUNCTION("""COMPUTED_VALUE"""),"BLUE")</f>
        <v>BLUE</v>
      </c>
      <c r="G2906" s="20" t="str">
        <f>IFERROR(__xludf.DUMMYFUNCTION("""COMPUTED_VALUE"""),"Uncle Sams Cider (04/04/2023)")</f>
        <v>Uncle Sams Cider (04/04/2023)</v>
      </c>
      <c r="H2906" s="19"/>
    </row>
    <row r="2907">
      <c r="A2907" s="9"/>
      <c r="B2907" s="15"/>
      <c r="C2907" s="9">
        <f>IFERROR(__xludf.DUMMYFUNCTION("""COMPUTED_VALUE"""),45114.1569881249)</f>
        <v>45114.15699</v>
      </c>
      <c r="D2907" s="15">
        <f>IFERROR(__xludf.DUMMYFUNCTION("""COMPUTED_VALUE"""),0.999)</f>
        <v>0.999</v>
      </c>
      <c r="E2907" s="16">
        <f>IFERROR(__xludf.DUMMYFUNCTION("""COMPUTED_VALUE"""),71.0)</f>
        <v>71</v>
      </c>
      <c r="F2907" s="19" t="str">
        <f>IFERROR(__xludf.DUMMYFUNCTION("""COMPUTED_VALUE"""),"BLUE")</f>
        <v>BLUE</v>
      </c>
      <c r="G2907" s="20" t="str">
        <f>IFERROR(__xludf.DUMMYFUNCTION("""COMPUTED_VALUE"""),"Uncle Sams Cider (04/04/2023)")</f>
        <v>Uncle Sams Cider (04/04/2023)</v>
      </c>
      <c r="H2907" s="19"/>
    </row>
    <row r="2908">
      <c r="A2908" s="9"/>
      <c r="B2908" s="15"/>
      <c r="C2908" s="9">
        <f>IFERROR(__xludf.DUMMYFUNCTION("""COMPUTED_VALUE"""),45114.1465673611)</f>
        <v>45114.14657</v>
      </c>
      <c r="D2908" s="15">
        <f>IFERROR(__xludf.DUMMYFUNCTION("""COMPUTED_VALUE"""),0.999)</f>
        <v>0.999</v>
      </c>
      <c r="E2908" s="16">
        <f>IFERROR(__xludf.DUMMYFUNCTION("""COMPUTED_VALUE"""),71.0)</f>
        <v>71</v>
      </c>
      <c r="F2908" s="19" t="str">
        <f>IFERROR(__xludf.DUMMYFUNCTION("""COMPUTED_VALUE"""),"BLUE")</f>
        <v>BLUE</v>
      </c>
      <c r="G2908" s="20" t="str">
        <f>IFERROR(__xludf.DUMMYFUNCTION("""COMPUTED_VALUE"""),"Uncle Sams Cider (04/04/2023)")</f>
        <v>Uncle Sams Cider (04/04/2023)</v>
      </c>
      <c r="H2908" s="19"/>
    </row>
    <row r="2909">
      <c r="A2909" s="9"/>
      <c r="B2909" s="15"/>
      <c r="C2909" s="9">
        <f>IFERROR(__xludf.DUMMYFUNCTION("""COMPUTED_VALUE"""),45114.1361127199)</f>
        <v>45114.13611</v>
      </c>
      <c r="D2909" s="15">
        <f>IFERROR(__xludf.DUMMYFUNCTION("""COMPUTED_VALUE"""),0.999)</f>
        <v>0.999</v>
      </c>
      <c r="E2909" s="16">
        <f>IFERROR(__xludf.DUMMYFUNCTION("""COMPUTED_VALUE"""),71.0)</f>
        <v>71</v>
      </c>
      <c r="F2909" s="19" t="str">
        <f>IFERROR(__xludf.DUMMYFUNCTION("""COMPUTED_VALUE"""),"BLUE")</f>
        <v>BLUE</v>
      </c>
      <c r="G2909" s="20" t="str">
        <f>IFERROR(__xludf.DUMMYFUNCTION("""COMPUTED_VALUE"""),"Uncle Sams Cider (04/04/2023)")</f>
        <v>Uncle Sams Cider (04/04/2023)</v>
      </c>
      <c r="H2909" s="19"/>
    </row>
    <row r="2910">
      <c r="A2910" s="9"/>
      <c r="B2910" s="15"/>
      <c r="C2910" s="9">
        <f>IFERROR(__xludf.DUMMYFUNCTION("""COMPUTED_VALUE"""),45114.1256784722)</f>
        <v>45114.12568</v>
      </c>
      <c r="D2910" s="15">
        <f>IFERROR(__xludf.DUMMYFUNCTION("""COMPUTED_VALUE"""),0.999)</f>
        <v>0.999</v>
      </c>
      <c r="E2910" s="16">
        <f>IFERROR(__xludf.DUMMYFUNCTION("""COMPUTED_VALUE"""),71.0)</f>
        <v>71</v>
      </c>
      <c r="F2910" s="19" t="str">
        <f>IFERROR(__xludf.DUMMYFUNCTION("""COMPUTED_VALUE"""),"BLUE")</f>
        <v>BLUE</v>
      </c>
      <c r="G2910" s="20" t="str">
        <f>IFERROR(__xludf.DUMMYFUNCTION("""COMPUTED_VALUE"""),"Uncle Sams Cider (04/04/2023)")</f>
        <v>Uncle Sams Cider (04/04/2023)</v>
      </c>
      <c r="H2910" s="19"/>
    </row>
    <row r="2911">
      <c r="A2911" s="9"/>
      <c r="B2911" s="15"/>
      <c r="C2911" s="9">
        <f>IFERROR(__xludf.DUMMYFUNCTION("""COMPUTED_VALUE"""),45114.1152456365)</f>
        <v>45114.11525</v>
      </c>
      <c r="D2911" s="15">
        <f>IFERROR(__xludf.DUMMYFUNCTION("""COMPUTED_VALUE"""),0.999)</f>
        <v>0.999</v>
      </c>
      <c r="E2911" s="16">
        <f>IFERROR(__xludf.DUMMYFUNCTION("""COMPUTED_VALUE"""),71.0)</f>
        <v>71</v>
      </c>
      <c r="F2911" s="19" t="str">
        <f>IFERROR(__xludf.DUMMYFUNCTION("""COMPUTED_VALUE"""),"BLUE")</f>
        <v>BLUE</v>
      </c>
      <c r="G2911" s="20" t="str">
        <f>IFERROR(__xludf.DUMMYFUNCTION("""COMPUTED_VALUE"""),"Uncle Sams Cider (04/04/2023)")</f>
        <v>Uncle Sams Cider (04/04/2023)</v>
      </c>
      <c r="H2911" s="19"/>
    </row>
    <row r="2912">
      <c r="A2912" s="9"/>
      <c r="B2912" s="15"/>
      <c r="C2912" s="9">
        <f>IFERROR(__xludf.DUMMYFUNCTION("""COMPUTED_VALUE"""),45114.1048236921)</f>
        <v>45114.10482</v>
      </c>
      <c r="D2912" s="15">
        <f>IFERROR(__xludf.DUMMYFUNCTION("""COMPUTED_VALUE"""),0.999)</f>
        <v>0.999</v>
      </c>
      <c r="E2912" s="16">
        <f>IFERROR(__xludf.DUMMYFUNCTION("""COMPUTED_VALUE"""),71.0)</f>
        <v>71</v>
      </c>
      <c r="F2912" s="19" t="str">
        <f>IFERROR(__xludf.DUMMYFUNCTION("""COMPUTED_VALUE"""),"BLUE")</f>
        <v>BLUE</v>
      </c>
      <c r="G2912" s="20" t="str">
        <f>IFERROR(__xludf.DUMMYFUNCTION("""COMPUTED_VALUE"""),"Uncle Sams Cider (04/04/2023)")</f>
        <v>Uncle Sams Cider (04/04/2023)</v>
      </c>
      <c r="H2912" s="19"/>
    </row>
    <row r="2913">
      <c r="A2913" s="9"/>
      <c r="B2913" s="15"/>
      <c r="C2913" s="9">
        <f>IFERROR(__xludf.DUMMYFUNCTION("""COMPUTED_VALUE"""),45114.0944026851)</f>
        <v>45114.0944</v>
      </c>
      <c r="D2913" s="15">
        <f>IFERROR(__xludf.DUMMYFUNCTION("""COMPUTED_VALUE"""),0.999)</f>
        <v>0.999</v>
      </c>
      <c r="E2913" s="16">
        <f>IFERROR(__xludf.DUMMYFUNCTION("""COMPUTED_VALUE"""),71.0)</f>
        <v>71</v>
      </c>
      <c r="F2913" s="19" t="str">
        <f>IFERROR(__xludf.DUMMYFUNCTION("""COMPUTED_VALUE"""),"BLUE")</f>
        <v>BLUE</v>
      </c>
      <c r="G2913" s="20" t="str">
        <f>IFERROR(__xludf.DUMMYFUNCTION("""COMPUTED_VALUE"""),"Uncle Sams Cider (04/04/2023)")</f>
        <v>Uncle Sams Cider (04/04/2023)</v>
      </c>
      <c r="H2913" s="19"/>
    </row>
    <row r="2914">
      <c r="A2914" s="9"/>
      <c r="B2914" s="15"/>
      <c r="C2914" s="9">
        <f>IFERROR(__xludf.DUMMYFUNCTION("""COMPUTED_VALUE"""),45114.0839467013)</f>
        <v>45114.08395</v>
      </c>
      <c r="D2914" s="15">
        <f>IFERROR(__xludf.DUMMYFUNCTION("""COMPUTED_VALUE"""),0.999)</f>
        <v>0.999</v>
      </c>
      <c r="E2914" s="16">
        <f>IFERROR(__xludf.DUMMYFUNCTION("""COMPUTED_VALUE"""),70.0)</f>
        <v>70</v>
      </c>
      <c r="F2914" s="19" t="str">
        <f>IFERROR(__xludf.DUMMYFUNCTION("""COMPUTED_VALUE"""),"BLUE")</f>
        <v>BLUE</v>
      </c>
      <c r="G2914" s="20" t="str">
        <f>IFERROR(__xludf.DUMMYFUNCTION("""COMPUTED_VALUE"""),"Uncle Sams Cider (04/04/2023)")</f>
        <v>Uncle Sams Cider (04/04/2023)</v>
      </c>
      <c r="H2914" s="19"/>
    </row>
    <row r="2915">
      <c r="A2915" s="9"/>
      <c r="B2915" s="15"/>
      <c r="C2915" s="9">
        <f>IFERROR(__xludf.DUMMYFUNCTION("""COMPUTED_VALUE"""),45114.0735264351)</f>
        <v>45114.07353</v>
      </c>
      <c r="D2915" s="15">
        <f>IFERROR(__xludf.DUMMYFUNCTION("""COMPUTED_VALUE"""),0.999)</f>
        <v>0.999</v>
      </c>
      <c r="E2915" s="16">
        <f>IFERROR(__xludf.DUMMYFUNCTION("""COMPUTED_VALUE"""),71.0)</f>
        <v>71</v>
      </c>
      <c r="F2915" s="19" t="str">
        <f>IFERROR(__xludf.DUMMYFUNCTION("""COMPUTED_VALUE"""),"BLUE")</f>
        <v>BLUE</v>
      </c>
      <c r="G2915" s="20" t="str">
        <f>IFERROR(__xludf.DUMMYFUNCTION("""COMPUTED_VALUE"""),"Uncle Sams Cider (04/04/2023)")</f>
        <v>Uncle Sams Cider (04/04/2023)</v>
      </c>
      <c r="H2915" s="19"/>
    </row>
    <row r="2916">
      <c r="A2916" s="9"/>
      <c r="B2916" s="15"/>
      <c r="C2916" s="9">
        <f>IFERROR(__xludf.DUMMYFUNCTION("""COMPUTED_VALUE"""),45114.0631048726)</f>
        <v>45114.0631</v>
      </c>
      <c r="D2916" s="15">
        <f>IFERROR(__xludf.DUMMYFUNCTION("""COMPUTED_VALUE"""),0.999)</f>
        <v>0.999</v>
      </c>
      <c r="E2916" s="16">
        <f>IFERROR(__xludf.DUMMYFUNCTION("""COMPUTED_VALUE"""),71.0)</f>
        <v>71</v>
      </c>
      <c r="F2916" s="19" t="str">
        <f>IFERROR(__xludf.DUMMYFUNCTION("""COMPUTED_VALUE"""),"BLUE")</f>
        <v>BLUE</v>
      </c>
      <c r="G2916" s="20" t="str">
        <f>IFERROR(__xludf.DUMMYFUNCTION("""COMPUTED_VALUE"""),"Uncle Sams Cider (04/04/2023)")</f>
        <v>Uncle Sams Cider (04/04/2023)</v>
      </c>
      <c r="H2916" s="19"/>
    </row>
    <row r="2917">
      <c r="A2917" s="9"/>
      <c r="B2917" s="15"/>
      <c r="C2917" s="9">
        <f>IFERROR(__xludf.DUMMYFUNCTION("""COMPUTED_VALUE"""),45114.0526826851)</f>
        <v>45114.05268</v>
      </c>
      <c r="D2917" s="15">
        <f>IFERROR(__xludf.DUMMYFUNCTION("""COMPUTED_VALUE"""),0.999)</f>
        <v>0.999</v>
      </c>
      <c r="E2917" s="16">
        <f>IFERROR(__xludf.DUMMYFUNCTION("""COMPUTED_VALUE"""),71.0)</f>
        <v>71</v>
      </c>
      <c r="F2917" s="19" t="str">
        <f>IFERROR(__xludf.DUMMYFUNCTION("""COMPUTED_VALUE"""),"BLUE")</f>
        <v>BLUE</v>
      </c>
      <c r="G2917" s="20" t="str">
        <f>IFERROR(__xludf.DUMMYFUNCTION("""COMPUTED_VALUE"""),"Uncle Sams Cider (04/04/2023)")</f>
        <v>Uncle Sams Cider (04/04/2023)</v>
      </c>
      <c r="H2917" s="19"/>
    </row>
    <row r="2918">
      <c r="A2918" s="9"/>
      <c r="B2918" s="15"/>
      <c r="C2918" s="9">
        <f>IFERROR(__xludf.DUMMYFUNCTION("""COMPUTED_VALUE"""),45114.0422607986)</f>
        <v>45114.04226</v>
      </c>
      <c r="D2918" s="15">
        <f>IFERROR(__xludf.DUMMYFUNCTION("""COMPUTED_VALUE"""),0.999)</f>
        <v>0.999</v>
      </c>
      <c r="E2918" s="16">
        <f>IFERROR(__xludf.DUMMYFUNCTION("""COMPUTED_VALUE"""),71.0)</f>
        <v>71</v>
      </c>
      <c r="F2918" s="19" t="str">
        <f>IFERROR(__xludf.DUMMYFUNCTION("""COMPUTED_VALUE"""),"BLUE")</f>
        <v>BLUE</v>
      </c>
      <c r="G2918" s="20" t="str">
        <f>IFERROR(__xludf.DUMMYFUNCTION("""COMPUTED_VALUE"""),"Uncle Sams Cider (04/04/2023)")</f>
        <v>Uncle Sams Cider (04/04/2023)</v>
      </c>
      <c r="H2918" s="19"/>
    </row>
    <row r="2919">
      <c r="A2919" s="9"/>
      <c r="B2919" s="15"/>
      <c r="C2919" s="9">
        <f>IFERROR(__xludf.DUMMYFUNCTION("""COMPUTED_VALUE"""),45114.031828287)</f>
        <v>45114.03183</v>
      </c>
      <c r="D2919" s="15">
        <f>IFERROR(__xludf.DUMMYFUNCTION("""COMPUTED_VALUE"""),0.999)</f>
        <v>0.999</v>
      </c>
      <c r="E2919" s="16">
        <f>IFERROR(__xludf.DUMMYFUNCTION("""COMPUTED_VALUE"""),71.0)</f>
        <v>71</v>
      </c>
      <c r="F2919" s="19" t="str">
        <f>IFERROR(__xludf.DUMMYFUNCTION("""COMPUTED_VALUE"""),"BLUE")</f>
        <v>BLUE</v>
      </c>
      <c r="G2919" s="20" t="str">
        <f>IFERROR(__xludf.DUMMYFUNCTION("""COMPUTED_VALUE"""),"Uncle Sams Cider (04/04/2023)")</f>
        <v>Uncle Sams Cider (04/04/2023)</v>
      </c>
      <c r="H2919" s="19"/>
    </row>
    <row r="2920">
      <c r="A2920" s="9"/>
      <c r="B2920" s="15"/>
      <c r="C2920" s="9">
        <f>IFERROR(__xludf.DUMMYFUNCTION("""COMPUTED_VALUE"""),45114.0214069444)</f>
        <v>45114.02141</v>
      </c>
      <c r="D2920" s="15">
        <f>IFERROR(__xludf.DUMMYFUNCTION("""COMPUTED_VALUE"""),0.999)</f>
        <v>0.999</v>
      </c>
      <c r="E2920" s="16">
        <f>IFERROR(__xludf.DUMMYFUNCTION("""COMPUTED_VALUE"""),71.0)</f>
        <v>71</v>
      </c>
      <c r="F2920" s="19" t="str">
        <f>IFERROR(__xludf.DUMMYFUNCTION("""COMPUTED_VALUE"""),"BLUE")</f>
        <v>BLUE</v>
      </c>
      <c r="G2920" s="20" t="str">
        <f>IFERROR(__xludf.DUMMYFUNCTION("""COMPUTED_VALUE"""),"Uncle Sams Cider (04/04/2023)")</f>
        <v>Uncle Sams Cider (04/04/2023)</v>
      </c>
      <c r="H2920" s="19"/>
    </row>
    <row r="2921">
      <c r="A2921" s="9"/>
      <c r="B2921" s="15"/>
      <c r="C2921" s="9">
        <f>IFERROR(__xludf.DUMMYFUNCTION("""COMPUTED_VALUE"""),45114.0109869213)</f>
        <v>45114.01099</v>
      </c>
      <c r="D2921" s="15">
        <f>IFERROR(__xludf.DUMMYFUNCTION("""COMPUTED_VALUE"""),0.999)</f>
        <v>0.999</v>
      </c>
      <c r="E2921" s="16">
        <f>IFERROR(__xludf.DUMMYFUNCTION("""COMPUTED_VALUE"""),70.0)</f>
        <v>70</v>
      </c>
      <c r="F2921" s="19" t="str">
        <f>IFERROR(__xludf.DUMMYFUNCTION("""COMPUTED_VALUE"""),"BLUE")</f>
        <v>BLUE</v>
      </c>
      <c r="G2921" s="20" t="str">
        <f>IFERROR(__xludf.DUMMYFUNCTION("""COMPUTED_VALUE"""),"Uncle Sams Cider (04/04/2023)")</f>
        <v>Uncle Sams Cider (04/04/2023)</v>
      </c>
      <c r="H2921" s="19"/>
    </row>
    <row r="2922">
      <c r="A2922" s="9"/>
      <c r="B2922" s="15"/>
      <c r="C2922" s="9">
        <f>IFERROR(__xludf.DUMMYFUNCTION("""COMPUTED_VALUE"""),45114.0005656134)</f>
        <v>45114.00057</v>
      </c>
      <c r="D2922" s="15">
        <f>IFERROR(__xludf.DUMMYFUNCTION("""COMPUTED_VALUE"""),0.999)</f>
        <v>0.999</v>
      </c>
      <c r="E2922" s="16">
        <f>IFERROR(__xludf.DUMMYFUNCTION("""COMPUTED_VALUE"""),71.0)</f>
        <v>71</v>
      </c>
      <c r="F2922" s="19" t="str">
        <f>IFERROR(__xludf.DUMMYFUNCTION("""COMPUTED_VALUE"""),"BLUE")</f>
        <v>BLUE</v>
      </c>
      <c r="G2922" s="20" t="str">
        <f>IFERROR(__xludf.DUMMYFUNCTION("""COMPUTED_VALUE"""),"Uncle Sams Cider (04/04/2023)")</f>
        <v>Uncle Sams Cider (04/04/2023)</v>
      </c>
      <c r="H2922" s="19"/>
    </row>
    <row r="2923">
      <c r="A2923" s="9"/>
      <c r="B2923" s="15"/>
      <c r="C2923" s="9">
        <f>IFERROR(__xludf.DUMMYFUNCTION("""COMPUTED_VALUE"""),45113.9901312731)</f>
        <v>45113.99013</v>
      </c>
      <c r="D2923" s="15">
        <f>IFERROR(__xludf.DUMMYFUNCTION("""COMPUTED_VALUE"""),0.999)</f>
        <v>0.999</v>
      </c>
      <c r="E2923" s="16">
        <f>IFERROR(__xludf.DUMMYFUNCTION("""COMPUTED_VALUE"""),71.0)</f>
        <v>71</v>
      </c>
      <c r="F2923" s="19" t="str">
        <f>IFERROR(__xludf.DUMMYFUNCTION("""COMPUTED_VALUE"""),"BLUE")</f>
        <v>BLUE</v>
      </c>
      <c r="G2923" s="20" t="str">
        <f>IFERROR(__xludf.DUMMYFUNCTION("""COMPUTED_VALUE"""),"Uncle Sams Cider (04/04/2023)")</f>
        <v>Uncle Sams Cider (04/04/2023)</v>
      </c>
      <c r="H2923" s="19"/>
    </row>
    <row r="2924">
      <c r="A2924" s="9"/>
      <c r="B2924" s="15"/>
      <c r="C2924" s="9">
        <f>IFERROR(__xludf.DUMMYFUNCTION("""COMPUTED_VALUE"""),45113.9796984837)</f>
        <v>45113.9797</v>
      </c>
      <c r="D2924" s="15">
        <f>IFERROR(__xludf.DUMMYFUNCTION("""COMPUTED_VALUE"""),0.999)</f>
        <v>0.999</v>
      </c>
      <c r="E2924" s="16">
        <f>IFERROR(__xludf.DUMMYFUNCTION("""COMPUTED_VALUE"""),70.0)</f>
        <v>70</v>
      </c>
      <c r="F2924" s="19" t="str">
        <f>IFERROR(__xludf.DUMMYFUNCTION("""COMPUTED_VALUE"""),"BLUE")</f>
        <v>BLUE</v>
      </c>
      <c r="G2924" s="20" t="str">
        <f>IFERROR(__xludf.DUMMYFUNCTION("""COMPUTED_VALUE"""),"Uncle Sams Cider (04/04/2023)")</f>
        <v>Uncle Sams Cider (04/04/2023)</v>
      </c>
      <c r="H2924" s="19"/>
    </row>
    <row r="2925">
      <c r="A2925" s="9"/>
      <c r="B2925" s="15"/>
      <c r="C2925" s="9">
        <f>IFERROR(__xludf.DUMMYFUNCTION("""COMPUTED_VALUE"""),45113.9692788078)</f>
        <v>45113.96928</v>
      </c>
      <c r="D2925" s="15">
        <f>IFERROR(__xludf.DUMMYFUNCTION("""COMPUTED_VALUE"""),0.999)</f>
        <v>0.999</v>
      </c>
      <c r="E2925" s="16">
        <f>IFERROR(__xludf.DUMMYFUNCTION("""COMPUTED_VALUE"""),71.0)</f>
        <v>71</v>
      </c>
      <c r="F2925" s="19" t="str">
        <f>IFERROR(__xludf.DUMMYFUNCTION("""COMPUTED_VALUE"""),"BLUE")</f>
        <v>BLUE</v>
      </c>
      <c r="G2925" s="20" t="str">
        <f>IFERROR(__xludf.DUMMYFUNCTION("""COMPUTED_VALUE"""),"Uncle Sams Cider (04/04/2023)")</f>
        <v>Uncle Sams Cider (04/04/2023)</v>
      </c>
      <c r="H2925" s="19"/>
    </row>
    <row r="2926">
      <c r="A2926" s="9"/>
      <c r="B2926" s="15"/>
      <c r="C2926" s="9">
        <f>IFERROR(__xludf.DUMMYFUNCTION("""COMPUTED_VALUE"""),45113.9588566435)</f>
        <v>45113.95886</v>
      </c>
      <c r="D2926" s="15">
        <f>IFERROR(__xludf.DUMMYFUNCTION("""COMPUTED_VALUE"""),0.999)</f>
        <v>0.999</v>
      </c>
      <c r="E2926" s="16">
        <f>IFERROR(__xludf.DUMMYFUNCTION("""COMPUTED_VALUE"""),71.0)</f>
        <v>71</v>
      </c>
      <c r="F2926" s="19" t="str">
        <f>IFERROR(__xludf.DUMMYFUNCTION("""COMPUTED_VALUE"""),"BLUE")</f>
        <v>BLUE</v>
      </c>
      <c r="G2926" s="20" t="str">
        <f>IFERROR(__xludf.DUMMYFUNCTION("""COMPUTED_VALUE"""),"Uncle Sams Cider (04/04/2023)")</f>
        <v>Uncle Sams Cider (04/04/2023)</v>
      </c>
      <c r="H2926" s="19"/>
    </row>
    <row r="2927">
      <c r="A2927" s="9"/>
      <c r="B2927" s="15"/>
      <c r="C2927" s="9">
        <f>IFERROR(__xludf.DUMMYFUNCTION("""COMPUTED_VALUE"""),45113.9484358449)</f>
        <v>45113.94844</v>
      </c>
      <c r="D2927" s="15">
        <f>IFERROR(__xludf.DUMMYFUNCTION("""COMPUTED_VALUE"""),0.999)</f>
        <v>0.999</v>
      </c>
      <c r="E2927" s="16">
        <f>IFERROR(__xludf.DUMMYFUNCTION("""COMPUTED_VALUE"""),71.0)</f>
        <v>71</v>
      </c>
      <c r="F2927" s="19" t="str">
        <f>IFERROR(__xludf.DUMMYFUNCTION("""COMPUTED_VALUE"""),"BLUE")</f>
        <v>BLUE</v>
      </c>
      <c r="G2927" s="20" t="str">
        <f>IFERROR(__xludf.DUMMYFUNCTION("""COMPUTED_VALUE"""),"Uncle Sams Cider (04/04/2023)")</f>
        <v>Uncle Sams Cider (04/04/2023)</v>
      </c>
      <c r="H2927" s="19"/>
    </row>
    <row r="2928">
      <c r="A2928" s="9"/>
      <c r="B2928" s="15"/>
      <c r="C2928" s="9">
        <f>IFERROR(__xludf.DUMMYFUNCTION("""COMPUTED_VALUE"""),45113.9380163888)</f>
        <v>45113.93802</v>
      </c>
      <c r="D2928" s="15">
        <f>IFERROR(__xludf.DUMMYFUNCTION("""COMPUTED_VALUE"""),0.999)</f>
        <v>0.999</v>
      </c>
      <c r="E2928" s="16">
        <f>IFERROR(__xludf.DUMMYFUNCTION("""COMPUTED_VALUE"""),71.0)</f>
        <v>71</v>
      </c>
      <c r="F2928" s="19" t="str">
        <f>IFERROR(__xludf.DUMMYFUNCTION("""COMPUTED_VALUE"""),"BLUE")</f>
        <v>BLUE</v>
      </c>
      <c r="G2928" s="20" t="str">
        <f>IFERROR(__xludf.DUMMYFUNCTION("""COMPUTED_VALUE"""),"Uncle Sams Cider (04/04/2023)")</f>
        <v>Uncle Sams Cider (04/04/2023)</v>
      </c>
      <c r="H2928" s="19"/>
    </row>
    <row r="2929">
      <c r="A2929" s="9"/>
      <c r="B2929" s="15"/>
      <c r="C2929" s="9">
        <f>IFERROR(__xludf.DUMMYFUNCTION("""COMPUTED_VALUE"""),45113.9275966551)</f>
        <v>45113.9276</v>
      </c>
      <c r="D2929" s="15">
        <f>IFERROR(__xludf.DUMMYFUNCTION("""COMPUTED_VALUE"""),0.999)</f>
        <v>0.999</v>
      </c>
      <c r="E2929" s="16">
        <f>IFERROR(__xludf.DUMMYFUNCTION("""COMPUTED_VALUE"""),70.0)</f>
        <v>70</v>
      </c>
      <c r="F2929" s="19" t="str">
        <f>IFERROR(__xludf.DUMMYFUNCTION("""COMPUTED_VALUE"""),"BLUE")</f>
        <v>BLUE</v>
      </c>
      <c r="G2929" s="20" t="str">
        <f>IFERROR(__xludf.DUMMYFUNCTION("""COMPUTED_VALUE"""),"Uncle Sams Cider (04/04/2023)")</f>
        <v>Uncle Sams Cider (04/04/2023)</v>
      </c>
      <c r="H2929" s="19"/>
    </row>
    <row r="2930">
      <c r="A2930" s="9"/>
      <c r="B2930" s="15"/>
      <c r="C2930" s="9">
        <f>IFERROR(__xludf.DUMMYFUNCTION("""COMPUTED_VALUE"""),45113.9171633449)</f>
        <v>45113.91716</v>
      </c>
      <c r="D2930" s="15">
        <f>IFERROR(__xludf.DUMMYFUNCTION("""COMPUTED_VALUE"""),0.999)</f>
        <v>0.999</v>
      </c>
      <c r="E2930" s="16">
        <f>IFERROR(__xludf.DUMMYFUNCTION("""COMPUTED_VALUE"""),70.0)</f>
        <v>70</v>
      </c>
      <c r="F2930" s="19" t="str">
        <f>IFERROR(__xludf.DUMMYFUNCTION("""COMPUTED_VALUE"""),"BLUE")</f>
        <v>BLUE</v>
      </c>
      <c r="G2930" s="20" t="str">
        <f>IFERROR(__xludf.DUMMYFUNCTION("""COMPUTED_VALUE"""),"Uncle Sams Cider (04/04/2023)")</f>
        <v>Uncle Sams Cider (04/04/2023)</v>
      </c>
      <c r="H2930" s="19"/>
    </row>
    <row r="2931">
      <c r="A2931" s="9"/>
      <c r="B2931" s="15"/>
      <c r="C2931" s="9">
        <f>IFERROR(__xludf.DUMMYFUNCTION("""COMPUTED_VALUE"""),45113.906743287)</f>
        <v>45113.90674</v>
      </c>
      <c r="D2931" s="15">
        <f>IFERROR(__xludf.DUMMYFUNCTION("""COMPUTED_VALUE"""),0.999)</f>
        <v>0.999</v>
      </c>
      <c r="E2931" s="16">
        <f>IFERROR(__xludf.DUMMYFUNCTION("""COMPUTED_VALUE"""),70.0)</f>
        <v>70</v>
      </c>
      <c r="F2931" s="19" t="str">
        <f>IFERROR(__xludf.DUMMYFUNCTION("""COMPUTED_VALUE"""),"BLUE")</f>
        <v>BLUE</v>
      </c>
      <c r="G2931" s="20" t="str">
        <f>IFERROR(__xludf.DUMMYFUNCTION("""COMPUTED_VALUE"""),"Uncle Sams Cider (04/04/2023)")</f>
        <v>Uncle Sams Cider (04/04/2023)</v>
      </c>
      <c r="H2931" s="19"/>
    </row>
    <row r="2932">
      <c r="A2932" s="9"/>
      <c r="B2932" s="15"/>
      <c r="C2932" s="9">
        <f>IFERROR(__xludf.DUMMYFUNCTION("""COMPUTED_VALUE"""),45113.8963096527)</f>
        <v>45113.89631</v>
      </c>
      <c r="D2932" s="15">
        <f>IFERROR(__xludf.DUMMYFUNCTION("""COMPUTED_VALUE"""),0.999)</f>
        <v>0.999</v>
      </c>
      <c r="E2932" s="16">
        <f>IFERROR(__xludf.DUMMYFUNCTION("""COMPUTED_VALUE"""),71.0)</f>
        <v>71</v>
      </c>
      <c r="F2932" s="19" t="str">
        <f>IFERROR(__xludf.DUMMYFUNCTION("""COMPUTED_VALUE"""),"BLUE")</f>
        <v>BLUE</v>
      </c>
      <c r="G2932" s="20" t="str">
        <f>IFERROR(__xludf.DUMMYFUNCTION("""COMPUTED_VALUE"""),"Uncle Sams Cider (04/04/2023)")</f>
        <v>Uncle Sams Cider (04/04/2023)</v>
      </c>
      <c r="H2932" s="19"/>
    </row>
    <row r="2933">
      <c r="A2933" s="9"/>
      <c r="B2933" s="15"/>
      <c r="C2933" s="9">
        <f>IFERROR(__xludf.DUMMYFUNCTION("""COMPUTED_VALUE"""),45113.885887905)</f>
        <v>45113.88589</v>
      </c>
      <c r="D2933" s="15">
        <f>IFERROR(__xludf.DUMMYFUNCTION("""COMPUTED_VALUE"""),0.999)</f>
        <v>0.999</v>
      </c>
      <c r="E2933" s="16">
        <f>IFERROR(__xludf.DUMMYFUNCTION("""COMPUTED_VALUE"""),70.0)</f>
        <v>70</v>
      </c>
      <c r="F2933" s="19" t="str">
        <f>IFERROR(__xludf.DUMMYFUNCTION("""COMPUTED_VALUE"""),"BLUE")</f>
        <v>BLUE</v>
      </c>
      <c r="G2933" s="20" t="str">
        <f>IFERROR(__xludf.DUMMYFUNCTION("""COMPUTED_VALUE"""),"Uncle Sams Cider (04/04/2023)")</f>
        <v>Uncle Sams Cider (04/04/2023)</v>
      </c>
      <c r="H2933" s="19"/>
    </row>
    <row r="2934">
      <c r="A2934" s="9"/>
      <c r="B2934" s="15"/>
      <c r="C2934" s="9">
        <f>IFERROR(__xludf.DUMMYFUNCTION("""COMPUTED_VALUE"""),45113.8754655324)</f>
        <v>45113.87547</v>
      </c>
      <c r="D2934" s="15">
        <f>IFERROR(__xludf.DUMMYFUNCTION("""COMPUTED_VALUE"""),0.999)</f>
        <v>0.999</v>
      </c>
      <c r="E2934" s="16">
        <f>IFERROR(__xludf.DUMMYFUNCTION("""COMPUTED_VALUE"""),70.0)</f>
        <v>70</v>
      </c>
      <c r="F2934" s="19" t="str">
        <f>IFERROR(__xludf.DUMMYFUNCTION("""COMPUTED_VALUE"""),"BLUE")</f>
        <v>BLUE</v>
      </c>
      <c r="G2934" s="20" t="str">
        <f>IFERROR(__xludf.DUMMYFUNCTION("""COMPUTED_VALUE"""),"Uncle Sams Cider (04/04/2023)")</f>
        <v>Uncle Sams Cider (04/04/2023)</v>
      </c>
      <c r="H2934" s="19"/>
    </row>
    <row r="2935">
      <c r="A2935" s="9"/>
      <c r="B2935" s="15"/>
      <c r="C2935" s="9">
        <f>IFERROR(__xludf.DUMMYFUNCTION("""COMPUTED_VALUE"""),45113.8650331134)</f>
        <v>45113.86503</v>
      </c>
      <c r="D2935" s="15">
        <f>IFERROR(__xludf.DUMMYFUNCTION("""COMPUTED_VALUE"""),0.999)</f>
        <v>0.999</v>
      </c>
      <c r="E2935" s="16">
        <f>IFERROR(__xludf.DUMMYFUNCTION("""COMPUTED_VALUE"""),70.0)</f>
        <v>70</v>
      </c>
      <c r="F2935" s="19" t="str">
        <f>IFERROR(__xludf.DUMMYFUNCTION("""COMPUTED_VALUE"""),"BLUE")</f>
        <v>BLUE</v>
      </c>
      <c r="G2935" s="20" t="str">
        <f>IFERROR(__xludf.DUMMYFUNCTION("""COMPUTED_VALUE"""),"Uncle Sams Cider (04/04/2023)")</f>
        <v>Uncle Sams Cider (04/04/2023)</v>
      </c>
      <c r="H2935" s="19"/>
    </row>
    <row r="2936">
      <c r="A2936" s="9"/>
      <c r="B2936" s="15"/>
      <c r="C2936" s="9">
        <f>IFERROR(__xludf.DUMMYFUNCTION("""COMPUTED_VALUE"""),45113.8546121296)</f>
        <v>45113.85461</v>
      </c>
      <c r="D2936" s="15">
        <f>IFERROR(__xludf.DUMMYFUNCTION("""COMPUTED_VALUE"""),0.999)</f>
        <v>0.999</v>
      </c>
      <c r="E2936" s="16">
        <f>IFERROR(__xludf.DUMMYFUNCTION("""COMPUTED_VALUE"""),70.0)</f>
        <v>70</v>
      </c>
      <c r="F2936" s="19" t="str">
        <f>IFERROR(__xludf.DUMMYFUNCTION("""COMPUTED_VALUE"""),"BLUE")</f>
        <v>BLUE</v>
      </c>
      <c r="G2936" s="20" t="str">
        <f>IFERROR(__xludf.DUMMYFUNCTION("""COMPUTED_VALUE"""),"Uncle Sams Cider (04/04/2023)")</f>
        <v>Uncle Sams Cider (04/04/2023)</v>
      </c>
      <c r="H2936" s="19"/>
    </row>
    <row r="2937">
      <c r="A2937" s="9"/>
      <c r="B2937" s="15"/>
      <c r="C2937" s="9">
        <f>IFERROR(__xludf.DUMMYFUNCTION("""COMPUTED_VALUE"""),45113.8441910995)</f>
        <v>45113.84419</v>
      </c>
      <c r="D2937" s="15">
        <f>IFERROR(__xludf.DUMMYFUNCTION("""COMPUTED_VALUE"""),0.999)</f>
        <v>0.999</v>
      </c>
      <c r="E2937" s="16">
        <f>IFERROR(__xludf.DUMMYFUNCTION("""COMPUTED_VALUE"""),71.0)</f>
        <v>71</v>
      </c>
      <c r="F2937" s="19" t="str">
        <f>IFERROR(__xludf.DUMMYFUNCTION("""COMPUTED_VALUE"""),"BLUE")</f>
        <v>BLUE</v>
      </c>
      <c r="G2937" s="20" t="str">
        <f>IFERROR(__xludf.DUMMYFUNCTION("""COMPUTED_VALUE"""),"Uncle Sams Cider (04/04/2023)")</f>
        <v>Uncle Sams Cider (04/04/2023)</v>
      </c>
      <c r="H2937" s="19"/>
    </row>
    <row r="2938">
      <c r="A2938" s="9"/>
      <c r="B2938" s="15"/>
      <c r="C2938" s="9">
        <f>IFERROR(__xludf.DUMMYFUNCTION("""COMPUTED_VALUE"""),45113.8337712384)</f>
        <v>45113.83377</v>
      </c>
      <c r="D2938" s="15">
        <f>IFERROR(__xludf.DUMMYFUNCTION("""COMPUTED_VALUE"""),0.999)</f>
        <v>0.999</v>
      </c>
      <c r="E2938" s="16">
        <f>IFERROR(__xludf.DUMMYFUNCTION("""COMPUTED_VALUE"""),71.0)</f>
        <v>71</v>
      </c>
      <c r="F2938" s="19" t="str">
        <f>IFERROR(__xludf.DUMMYFUNCTION("""COMPUTED_VALUE"""),"BLUE")</f>
        <v>BLUE</v>
      </c>
      <c r="G2938" s="20" t="str">
        <f>IFERROR(__xludf.DUMMYFUNCTION("""COMPUTED_VALUE"""),"Uncle Sams Cider (04/04/2023)")</f>
        <v>Uncle Sams Cider (04/04/2023)</v>
      </c>
      <c r="H2938" s="19"/>
    </row>
    <row r="2939">
      <c r="A2939" s="9"/>
      <c r="B2939" s="15"/>
      <c r="C2939" s="9">
        <f>IFERROR(__xludf.DUMMYFUNCTION("""COMPUTED_VALUE"""),45113.8233509027)</f>
        <v>45113.82335</v>
      </c>
      <c r="D2939" s="15">
        <f>IFERROR(__xludf.DUMMYFUNCTION("""COMPUTED_VALUE"""),0.999)</f>
        <v>0.999</v>
      </c>
      <c r="E2939" s="16">
        <f>IFERROR(__xludf.DUMMYFUNCTION("""COMPUTED_VALUE"""),70.0)</f>
        <v>70</v>
      </c>
      <c r="F2939" s="19" t="str">
        <f>IFERROR(__xludf.DUMMYFUNCTION("""COMPUTED_VALUE"""),"BLUE")</f>
        <v>BLUE</v>
      </c>
      <c r="G2939" s="20" t="str">
        <f>IFERROR(__xludf.DUMMYFUNCTION("""COMPUTED_VALUE"""),"Uncle Sams Cider (04/04/2023)")</f>
        <v>Uncle Sams Cider (04/04/2023)</v>
      </c>
      <c r="H2939" s="19"/>
    </row>
    <row r="2940">
      <c r="A2940" s="9"/>
      <c r="B2940" s="15"/>
      <c r="C2940" s="9">
        <f>IFERROR(__xludf.DUMMYFUNCTION("""COMPUTED_VALUE"""),45113.8129192939)</f>
        <v>45113.81292</v>
      </c>
      <c r="D2940" s="15">
        <f>IFERROR(__xludf.DUMMYFUNCTION("""COMPUTED_VALUE"""),0.999)</f>
        <v>0.999</v>
      </c>
      <c r="E2940" s="16">
        <f>IFERROR(__xludf.DUMMYFUNCTION("""COMPUTED_VALUE"""),70.0)</f>
        <v>70</v>
      </c>
      <c r="F2940" s="19" t="str">
        <f>IFERROR(__xludf.DUMMYFUNCTION("""COMPUTED_VALUE"""),"BLUE")</f>
        <v>BLUE</v>
      </c>
      <c r="G2940" s="20" t="str">
        <f>IFERROR(__xludf.DUMMYFUNCTION("""COMPUTED_VALUE"""),"Uncle Sams Cider (04/04/2023)")</f>
        <v>Uncle Sams Cider (04/04/2023)</v>
      </c>
      <c r="H2940" s="19"/>
    </row>
    <row r="2941">
      <c r="A2941" s="9"/>
      <c r="B2941" s="15"/>
      <c r="C2941" s="9">
        <f>IFERROR(__xludf.DUMMYFUNCTION("""COMPUTED_VALUE"""),45113.8024975231)</f>
        <v>45113.8025</v>
      </c>
      <c r="D2941" s="15">
        <f>IFERROR(__xludf.DUMMYFUNCTION("""COMPUTED_VALUE"""),0.999)</f>
        <v>0.999</v>
      </c>
      <c r="E2941" s="16">
        <f>IFERROR(__xludf.DUMMYFUNCTION("""COMPUTED_VALUE"""),71.0)</f>
        <v>71</v>
      </c>
      <c r="F2941" s="19" t="str">
        <f>IFERROR(__xludf.DUMMYFUNCTION("""COMPUTED_VALUE"""),"BLUE")</f>
        <v>BLUE</v>
      </c>
      <c r="G2941" s="20" t="str">
        <f>IFERROR(__xludf.DUMMYFUNCTION("""COMPUTED_VALUE"""),"Uncle Sams Cider (04/04/2023)")</f>
        <v>Uncle Sams Cider (04/04/2023)</v>
      </c>
      <c r="H2941" s="19"/>
    </row>
    <row r="2942">
      <c r="A2942" s="9"/>
      <c r="B2942" s="15"/>
      <c r="C2942" s="9">
        <f>IFERROR(__xludf.DUMMYFUNCTION("""COMPUTED_VALUE"""),45113.7920638773)</f>
        <v>45113.79206</v>
      </c>
      <c r="D2942" s="15">
        <f>IFERROR(__xludf.DUMMYFUNCTION("""COMPUTED_VALUE"""),0.999)</f>
        <v>0.999</v>
      </c>
      <c r="E2942" s="16">
        <f>IFERROR(__xludf.DUMMYFUNCTION("""COMPUTED_VALUE"""),71.0)</f>
        <v>71</v>
      </c>
      <c r="F2942" s="19" t="str">
        <f>IFERROR(__xludf.DUMMYFUNCTION("""COMPUTED_VALUE"""),"BLUE")</f>
        <v>BLUE</v>
      </c>
      <c r="G2942" s="20" t="str">
        <f>IFERROR(__xludf.DUMMYFUNCTION("""COMPUTED_VALUE"""),"Uncle Sams Cider (04/04/2023)")</f>
        <v>Uncle Sams Cider (04/04/2023)</v>
      </c>
      <c r="H2942" s="19"/>
    </row>
    <row r="2943">
      <c r="A2943" s="9"/>
      <c r="B2943" s="15"/>
      <c r="C2943" s="9">
        <f>IFERROR(__xludf.DUMMYFUNCTION("""COMPUTED_VALUE"""),45113.781642037)</f>
        <v>45113.78164</v>
      </c>
      <c r="D2943" s="15">
        <f>IFERROR(__xludf.DUMMYFUNCTION("""COMPUTED_VALUE"""),0.999)</f>
        <v>0.999</v>
      </c>
      <c r="E2943" s="16">
        <f>IFERROR(__xludf.DUMMYFUNCTION("""COMPUTED_VALUE"""),71.0)</f>
        <v>71</v>
      </c>
      <c r="F2943" s="19" t="str">
        <f>IFERROR(__xludf.DUMMYFUNCTION("""COMPUTED_VALUE"""),"BLUE")</f>
        <v>BLUE</v>
      </c>
      <c r="G2943" s="20" t="str">
        <f>IFERROR(__xludf.DUMMYFUNCTION("""COMPUTED_VALUE"""),"Uncle Sams Cider (04/04/2023)")</f>
        <v>Uncle Sams Cider (04/04/2023)</v>
      </c>
      <c r="H2943" s="19"/>
    </row>
    <row r="2944">
      <c r="A2944" s="9"/>
      <c r="B2944" s="15"/>
      <c r="C2944" s="9">
        <f>IFERROR(__xludf.DUMMYFUNCTION("""COMPUTED_VALUE"""),45113.7712205324)</f>
        <v>45113.77122</v>
      </c>
      <c r="D2944" s="15">
        <f>IFERROR(__xludf.DUMMYFUNCTION("""COMPUTED_VALUE"""),0.999)</f>
        <v>0.999</v>
      </c>
      <c r="E2944" s="16">
        <f>IFERROR(__xludf.DUMMYFUNCTION("""COMPUTED_VALUE"""),71.0)</f>
        <v>71</v>
      </c>
      <c r="F2944" s="19" t="str">
        <f>IFERROR(__xludf.DUMMYFUNCTION("""COMPUTED_VALUE"""),"BLUE")</f>
        <v>BLUE</v>
      </c>
      <c r="G2944" s="20" t="str">
        <f>IFERROR(__xludf.DUMMYFUNCTION("""COMPUTED_VALUE"""),"Uncle Sams Cider (04/04/2023)")</f>
        <v>Uncle Sams Cider (04/04/2023)</v>
      </c>
      <c r="H2944" s="19"/>
    </row>
    <row r="2945">
      <c r="A2945" s="9"/>
      <c r="B2945" s="15"/>
      <c r="C2945" s="9">
        <f>IFERROR(__xludf.DUMMYFUNCTION("""COMPUTED_VALUE"""),45113.7607984606)</f>
        <v>45113.7608</v>
      </c>
      <c r="D2945" s="15">
        <f>IFERROR(__xludf.DUMMYFUNCTION("""COMPUTED_VALUE"""),0.999)</f>
        <v>0.999</v>
      </c>
      <c r="E2945" s="16">
        <f>IFERROR(__xludf.DUMMYFUNCTION("""COMPUTED_VALUE"""),71.0)</f>
        <v>71</v>
      </c>
      <c r="F2945" s="19" t="str">
        <f>IFERROR(__xludf.DUMMYFUNCTION("""COMPUTED_VALUE"""),"BLUE")</f>
        <v>BLUE</v>
      </c>
      <c r="G2945" s="20" t="str">
        <f>IFERROR(__xludf.DUMMYFUNCTION("""COMPUTED_VALUE"""),"Uncle Sams Cider (04/04/2023)")</f>
        <v>Uncle Sams Cider (04/04/2023)</v>
      </c>
      <c r="H2945" s="19"/>
    </row>
    <row r="2946">
      <c r="A2946" s="9"/>
      <c r="B2946" s="15"/>
      <c r="C2946" s="9">
        <f>IFERROR(__xludf.DUMMYFUNCTION("""COMPUTED_VALUE"""),45113.7503765277)</f>
        <v>45113.75038</v>
      </c>
      <c r="D2946" s="15">
        <f>IFERROR(__xludf.DUMMYFUNCTION("""COMPUTED_VALUE"""),0.999)</f>
        <v>0.999</v>
      </c>
      <c r="E2946" s="16">
        <f>IFERROR(__xludf.DUMMYFUNCTION("""COMPUTED_VALUE"""),71.0)</f>
        <v>71</v>
      </c>
      <c r="F2946" s="19" t="str">
        <f>IFERROR(__xludf.DUMMYFUNCTION("""COMPUTED_VALUE"""),"BLUE")</f>
        <v>BLUE</v>
      </c>
      <c r="G2946" s="20" t="str">
        <f>IFERROR(__xludf.DUMMYFUNCTION("""COMPUTED_VALUE"""),"Uncle Sams Cider (04/04/2023)")</f>
        <v>Uncle Sams Cider (04/04/2023)</v>
      </c>
      <c r="H2946" s="19"/>
    </row>
    <row r="2947">
      <c r="A2947" s="9"/>
      <c r="B2947" s="15"/>
      <c r="C2947" s="9">
        <f>IFERROR(__xludf.DUMMYFUNCTION("""COMPUTED_VALUE"""),45113.7399561574)</f>
        <v>45113.73996</v>
      </c>
      <c r="D2947" s="15">
        <f>IFERROR(__xludf.DUMMYFUNCTION("""COMPUTED_VALUE"""),0.999)</f>
        <v>0.999</v>
      </c>
      <c r="E2947" s="16">
        <f>IFERROR(__xludf.DUMMYFUNCTION("""COMPUTED_VALUE"""),71.0)</f>
        <v>71</v>
      </c>
      <c r="F2947" s="19" t="str">
        <f>IFERROR(__xludf.DUMMYFUNCTION("""COMPUTED_VALUE"""),"BLUE")</f>
        <v>BLUE</v>
      </c>
      <c r="G2947" s="20" t="str">
        <f>IFERROR(__xludf.DUMMYFUNCTION("""COMPUTED_VALUE"""),"Uncle Sams Cider (04/04/2023)")</f>
        <v>Uncle Sams Cider (04/04/2023)</v>
      </c>
      <c r="H2947" s="19"/>
    </row>
    <row r="2948">
      <c r="A2948" s="9"/>
      <c r="B2948" s="15"/>
      <c r="C2948" s="9">
        <f>IFERROR(__xludf.DUMMYFUNCTION("""COMPUTED_VALUE"""),45113.7295347916)</f>
        <v>45113.72953</v>
      </c>
      <c r="D2948" s="15">
        <f>IFERROR(__xludf.DUMMYFUNCTION("""COMPUTED_VALUE"""),0.999)</f>
        <v>0.999</v>
      </c>
      <c r="E2948" s="16">
        <f>IFERROR(__xludf.DUMMYFUNCTION("""COMPUTED_VALUE"""),71.0)</f>
        <v>71</v>
      </c>
      <c r="F2948" s="19" t="str">
        <f>IFERROR(__xludf.DUMMYFUNCTION("""COMPUTED_VALUE"""),"BLUE")</f>
        <v>BLUE</v>
      </c>
      <c r="G2948" s="20" t="str">
        <f>IFERROR(__xludf.DUMMYFUNCTION("""COMPUTED_VALUE"""),"Uncle Sams Cider (04/04/2023)")</f>
        <v>Uncle Sams Cider (04/04/2023)</v>
      </c>
      <c r="H2948" s="19"/>
    </row>
    <row r="2949">
      <c r="A2949" s="9"/>
      <c r="B2949" s="15"/>
      <c r="C2949" s="9">
        <f>IFERROR(__xludf.DUMMYFUNCTION("""COMPUTED_VALUE"""),45113.7191156597)</f>
        <v>45113.71912</v>
      </c>
      <c r="D2949" s="15">
        <f>IFERROR(__xludf.DUMMYFUNCTION("""COMPUTED_VALUE"""),0.999)</f>
        <v>0.999</v>
      </c>
      <c r="E2949" s="16">
        <f>IFERROR(__xludf.DUMMYFUNCTION("""COMPUTED_VALUE"""),71.0)</f>
        <v>71</v>
      </c>
      <c r="F2949" s="19" t="str">
        <f>IFERROR(__xludf.DUMMYFUNCTION("""COMPUTED_VALUE"""),"BLUE")</f>
        <v>BLUE</v>
      </c>
      <c r="G2949" s="20" t="str">
        <f>IFERROR(__xludf.DUMMYFUNCTION("""COMPUTED_VALUE"""),"Uncle Sams Cider (04/04/2023)")</f>
        <v>Uncle Sams Cider (04/04/2023)</v>
      </c>
      <c r="H2949" s="19"/>
    </row>
    <row r="2950">
      <c r="A2950" s="9"/>
      <c r="B2950" s="15"/>
      <c r="C2950" s="9">
        <f>IFERROR(__xludf.DUMMYFUNCTION("""COMPUTED_VALUE"""),45113.7086824305)</f>
        <v>45113.70868</v>
      </c>
      <c r="D2950" s="15">
        <f>IFERROR(__xludf.DUMMYFUNCTION("""COMPUTED_VALUE"""),0.999)</f>
        <v>0.999</v>
      </c>
      <c r="E2950" s="16">
        <f>IFERROR(__xludf.DUMMYFUNCTION("""COMPUTED_VALUE"""),71.0)</f>
        <v>71</v>
      </c>
      <c r="F2950" s="19" t="str">
        <f>IFERROR(__xludf.DUMMYFUNCTION("""COMPUTED_VALUE"""),"BLUE")</f>
        <v>BLUE</v>
      </c>
      <c r="G2950" s="20" t="str">
        <f>IFERROR(__xludf.DUMMYFUNCTION("""COMPUTED_VALUE"""),"Uncle Sams Cider (04/04/2023)")</f>
        <v>Uncle Sams Cider (04/04/2023)</v>
      </c>
      <c r="H2950" s="19"/>
    </row>
    <row r="2951">
      <c r="A2951" s="9"/>
      <c r="B2951" s="15"/>
      <c r="C2951" s="9">
        <f>IFERROR(__xludf.DUMMYFUNCTION("""COMPUTED_VALUE"""),45113.6982478703)</f>
        <v>45113.69825</v>
      </c>
      <c r="D2951" s="15">
        <f>IFERROR(__xludf.DUMMYFUNCTION("""COMPUTED_VALUE"""),0.999)</f>
        <v>0.999</v>
      </c>
      <c r="E2951" s="16">
        <f>IFERROR(__xludf.DUMMYFUNCTION("""COMPUTED_VALUE"""),71.0)</f>
        <v>71</v>
      </c>
      <c r="F2951" s="19" t="str">
        <f>IFERROR(__xludf.DUMMYFUNCTION("""COMPUTED_VALUE"""),"BLUE")</f>
        <v>BLUE</v>
      </c>
      <c r="G2951" s="20" t="str">
        <f>IFERROR(__xludf.DUMMYFUNCTION("""COMPUTED_VALUE"""),"Uncle Sams Cider (04/04/2023)")</f>
        <v>Uncle Sams Cider (04/04/2023)</v>
      </c>
      <c r="H2951" s="19"/>
    </row>
    <row r="2952">
      <c r="A2952" s="9"/>
      <c r="B2952" s="15"/>
      <c r="C2952" s="9">
        <f>IFERROR(__xludf.DUMMYFUNCTION("""COMPUTED_VALUE"""),45113.6878275578)</f>
        <v>45113.68783</v>
      </c>
      <c r="D2952" s="15">
        <f>IFERROR(__xludf.DUMMYFUNCTION("""COMPUTED_VALUE"""),0.999)</f>
        <v>0.999</v>
      </c>
      <c r="E2952" s="16">
        <f>IFERROR(__xludf.DUMMYFUNCTION("""COMPUTED_VALUE"""),71.0)</f>
        <v>71</v>
      </c>
      <c r="F2952" s="19" t="str">
        <f>IFERROR(__xludf.DUMMYFUNCTION("""COMPUTED_VALUE"""),"BLUE")</f>
        <v>BLUE</v>
      </c>
      <c r="G2952" s="20" t="str">
        <f>IFERROR(__xludf.DUMMYFUNCTION("""COMPUTED_VALUE"""),"Uncle Sams Cider (04/04/2023)")</f>
        <v>Uncle Sams Cider (04/04/2023)</v>
      </c>
      <c r="H2952" s="19"/>
    </row>
    <row r="2953">
      <c r="A2953" s="9"/>
      <c r="B2953" s="15"/>
      <c r="C2953" s="9">
        <f>IFERROR(__xludf.DUMMYFUNCTION("""COMPUTED_VALUE"""),45113.6774052777)</f>
        <v>45113.67741</v>
      </c>
      <c r="D2953" s="15">
        <f>IFERROR(__xludf.DUMMYFUNCTION("""COMPUTED_VALUE"""),0.999)</f>
        <v>0.999</v>
      </c>
      <c r="E2953" s="16">
        <f>IFERROR(__xludf.DUMMYFUNCTION("""COMPUTED_VALUE"""),71.0)</f>
        <v>71</v>
      </c>
      <c r="F2953" s="19" t="str">
        <f>IFERROR(__xludf.DUMMYFUNCTION("""COMPUTED_VALUE"""),"BLUE")</f>
        <v>BLUE</v>
      </c>
      <c r="G2953" s="20" t="str">
        <f>IFERROR(__xludf.DUMMYFUNCTION("""COMPUTED_VALUE"""),"Uncle Sams Cider (04/04/2023)")</f>
        <v>Uncle Sams Cider (04/04/2023)</v>
      </c>
      <c r="H2953" s="19"/>
    </row>
    <row r="2954">
      <c r="A2954" s="9"/>
      <c r="B2954" s="15"/>
      <c r="C2954" s="9">
        <f>IFERROR(__xludf.DUMMYFUNCTION("""COMPUTED_VALUE"""),45113.6669860069)</f>
        <v>45113.66699</v>
      </c>
      <c r="D2954" s="15">
        <f>IFERROR(__xludf.DUMMYFUNCTION("""COMPUTED_VALUE"""),0.999)</f>
        <v>0.999</v>
      </c>
      <c r="E2954" s="16">
        <f>IFERROR(__xludf.DUMMYFUNCTION("""COMPUTED_VALUE"""),71.0)</f>
        <v>71</v>
      </c>
      <c r="F2954" s="19" t="str">
        <f>IFERROR(__xludf.DUMMYFUNCTION("""COMPUTED_VALUE"""),"BLUE")</f>
        <v>BLUE</v>
      </c>
      <c r="G2954" s="20" t="str">
        <f>IFERROR(__xludf.DUMMYFUNCTION("""COMPUTED_VALUE"""),"Uncle Sams Cider (04/04/2023)")</f>
        <v>Uncle Sams Cider (04/04/2023)</v>
      </c>
      <c r="H2954" s="19"/>
    </row>
    <row r="2955">
      <c r="A2955" s="9"/>
      <c r="B2955" s="15"/>
      <c r="C2955" s="9">
        <f>IFERROR(__xludf.DUMMYFUNCTION("""COMPUTED_VALUE"""),45113.6565523495)</f>
        <v>45113.65655</v>
      </c>
      <c r="D2955" s="15">
        <f>IFERROR(__xludf.DUMMYFUNCTION("""COMPUTED_VALUE"""),0.999)</f>
        <v>0.999</v>
      </c>
      <c r="E2955" s="16">
        <f>IFERROR(__xludf.DUMMYFUNCTION("""COMPUTED_VALUE"""),71.0)</f>
        <v>71</v>
      </c>
      <c r="F2955" s="19" t="str">
        <f>IFERROR(__xludf.DUMMYFUNCTION("""COMPUTED_VALUE"""),"BLUE")</f>
        <v>BLUE</v>
      </c>
      <c r="G2955" s="20" t="str">
        <f>IFERROR(__xludf.DUMMYFUNCTION("""COMPUTED_VALUE"""),"Uncle Sams Cider (04/04/2023)")</f>
        <v>Uncle Sams Cider (04/04/2023)</v>
      </c>
      <c r="H2955" s="19"/>
    </row>
    <row r="2956">
      <c r="A2956" s="9"/>
      <c r="B2956" s="15"/>
      <c r="C2956" s="9">
        <f>IFERROR(__xludf.DUMMYFUNCTION("""COMPUTED_VALUE"""),45113.6461311574)</f>
        <v>45113.64613</v>
      </c>
      <c r="D2956" s="15">
        <f>IFERROR(__xludf.DUMMYFUNCTION("""COMPUTED_VALUE"""),0.999)</f>
        <v>0.999</v>
      </c>
      <c r="E2956" s="16">
        <f>IFERROR(__xludf.DUMMYFUNCTION("""COMPUTED_VALUE"""),71.0)</f>
        <v>71</v>
      </c>
      <c r="F2956" s="19" t="str">
        <f>IFERROR(__xludf.DUMMYFUNCTION("""COMPUTED_VALUE"""),"BLUE")</f>
        <v>BLUE</v>
      </c>
      <c r="G2956" s="20" t="str">
        <f>IFERROR(__xludf.DUMMYFUNCTION("""COMPUTED_VALUE"""),"Uncle Sams Cider (04/04/2023)")</f>
        <v>Uncle Sams Cider (04/04/2023)</v>
      </c>
      <c r="H2956" s="19"/>
    </row>
    <row r="2957">
      <c r="A2957" s="9"/>
      <c r="B2957" s="15"/>
      <c r="C2957" s="9">
        <f>IFERROR(__xludf.DUMMYFUNCTION("""COMPUTED_VALUE"""),45113.6357082754)</f>
        <v>45113.63571</v>
      </c>
      <c r="D2957" s="15">
        <f>IFERROR(__xludf.DUMMYFUNCTION("""COMPUTED_VALUE"""),0.999)</f>
        <v>0.999</v>
      </c>
      <c r="E2957" s="16">
        <f>IFERROR(__xludf.DUMMYFUNCTION("""COMPUTED_VALUE"""),71.0)</f>
        <v>71</v>
      </c>
      <c r="F2957" s="19" t="str">
        <f>IFERROR(__xludf.DUMMYFUNCTION("""COMPUTED_VALUE"""),"BLUE")</f>
        <v>BLUE</v>
      </c>
      <c r="G2957" s="20" t="str">
        <f>IFERROR(__xludf.DUMMYFUNCTION("""COMPUTED_VALUE"""),"Uncle Sams Cider (04/04/2023)")</f>
        <v>Uncle Sams Cider (04/04/2023)</v>
      </c>
      <c r="H2957" s="19"/>
    </row>
    <row r="2958">
      <c r="A2958" s="9"/>
      <c r="B2958" s="15"/>
      <c r="C2958" s="9">
        <f>IFERROR(__xludf.DUMMYFUNCTION("""COMPUTED_VALUE"""),45113.6252879513)</f>
        <v>45113.62529</v>
      </c>
      <c r="D2958" s="15">
        <f>IFERROR(__xludf.DUMMYFUNCTION("""COMPUTED_VALUE"""),0.999)</f>
        <v>0.999</v>
      </c>
      <c r="E2958" s="16">
        <f>IFERROR(__xludf.DUMMYFUNCTION("""COMPUTED_VALUE"""),71.0)</f>
        <v>71</v>
      </c>
      <c r="F2958" s="19" t="str">
        <f>IFERROR(__xludf.DUMMYFUNCTION("""COMPUTED_VALUE"""),"BLUE")</f>
        <v>BLUE</v>
      </c>
      <c r="G2958" s="20" t="str">
        <f>IFERROR(__xludf.DUMMYFUNCTION("""COMPUTED_VALUE"""),"Uncle Sams Cider (04/04/2023)")</f>
        <v>Uncle Sams Cider (04/04/2023)</v>
      </c>
      <c r="H2958" s="19"/>
    </row>
    <row r="2959">
      <c r="A2959" s="9"/>
      <c r="B2959" s="15"/>
      <c r="C2959" s="9">
        <f>IFERROR(__xludf.DUMMYFUNCTION("""COMPUTED_VALUE"""),45113.6148675115)</f>
        <v>45113.61487</v>
      </c>
      <c r="D2959" s="15">
        <f>IFERROR(__xludf.DUMMYFUNCTION("""COMPUTED_VALUE"""),0.999)</f>
        <v>0.999</v>
      </c>
      <c r="E2959" s="16">
        <f>IFERROR(__xludf.DUMMYFUNCTION("""COMPUTED_VALUE"""),71.0)</f>
        <v>71</v>
      </c>
      <c r="F2959" s="19" t="str">
        <f>IFERROR(__xludf.DUMMYFUNCTION("""COMPUTED_VALUE"""),"BLUE")</f>
        <v>BLUE</v>
      </c>
      <c r="G2959" s="20" t="str">
        <f>IFERROR(__xludf.DUMMYFUNCTION("""COMPUTED_VALUE"""),"Uncle Sams Cider (04/04/2023)")</f>
        <v>Uncle Sams Cider (04/04/2023)</v>
      </c>
      <c r="H2959" s="19"/>
    </row>
    <row r="2960">
      <c r="A2960" s="9"/>
      <c r="B2960" s="15"/>
      <c r="C2960" s="9">
        <f>IFERROR(__xludf.DUMMYFUNCTION("""COMPUTED_VALUE"""),45113.6044459259)</f>
        <v>45113.60445</v>
      </c>
      <c r="D2960" s="15">
        <f>IFERROR(__xludf.DUMMYFUNCTION("""COMPUTED_VALUE"""),0.999)</f>
        <v>0.999</v>
      </c>
      <c r="E2960" s="16">
        <f>IFERROR(__xludf.DUMMYFUNCTION("""COMPUTED_VALUE"""),71.0)</f>
        <v>71</v>
      </c>
      <c r="F2960" s="19" t="str">
        <f>IFERROR(__xludf.DUMMYFUNCTION("""COMPUTED_VALUE"""),"BLUE")</f>
        <v>BLUE</v>
      </c>
      <c r="G2960" s="20" t="str">
        <f>IFERROR(__xludf.DUMMYFUNCTION("""COMPUTED_VALUE"""),"Uncle Sams Cider (04/04/2023)")</f>
        <v>Uncle Sams Cider (04/04/2023)</v>
      </c>
      <c r="H2960" s="19"/>
    </row>
    <row r="2961">
      <c r="A2961" s="9"/>
      <c r="B2961" s="15"/>
      <c r="C2961" s="9">
        <f>IFERROR(__xludf.DUMMYFUNCTION("""COMPUTED_VALUE"""),45113.5940129282)</f>
        <v>45113.59401</v>
      </c>
      <c r="D2961" s="15">
        <f>IFERROR(__xludf.DUMMYFUNCTION("""COMPUTED_VALUE"""),0.999)</f>
        <v>0.999</v>
      </c>
      <c r="E2961" s="16">
        <f>IFERROR(__xludf.DUMMYFUNCTION("""COMPUTED_VALUE"""),71.0)</f>
        <v>71</v>
      </c>
      <c r="F2961" s="19" t="str">
        <f>IFERROR(__xludf.DUMMYFUNCTION("""COMPUTED_VALUE"""),"BLUE")</f>
        <v>BLUE</v>
      </c>
      <c r="G2961" s="20" t="str">
        <f>IFERROR(__xludf.DUMMYFUNCTION("""COMPUTED_VALUE"""),"Uncle Sams Cider (04/04/2023)")</f>
        <v>Uncle Sams Cider (04/04/2023)</v>
      </c>
      <c r="H2961" s="19"/>
    </row>
    <row r="2962">
      <c r="A2962" s="9"/>
      <c r="B2962" s="15"/>
      <c r="C2962" s="9">
        <f>IFERROR(__xludf.DUMMYFUNCTION("""COMPUTED_VALUE"""),45113.5835801389)</f>
        <v>45113.58358</v>
      </c>
      <c r="D2962" s="15">
        <f>IFERROR(__xludf.DUMMYFUNCTION("""COMPUTED_VALUE"""),0.999)</f>
        <v>0.999</v>
      </c>
      <c r="E2962" s="16">
        <f>IFERROR(__xludf.DUMMYFUNCTION("""COMPUTED_VALUE"""),71.0)</f>
        <v>71</v>
      </c>
      <c r="F2962" s="19" t="str">
        <f>IFERROR(__xludf.DUMMYFUNCTION("""COMPUTED_VALUE"""),"BLUE")</f>
        <v>BLUE</v>
      </c>
      <c r="G2962" s="20" t="str">
        <f>IFERROR(__xludf.DUMMYFUNCTION("""COMPUTED_VALUE"""),"Uncle Sams Cider (04/04/2023)")</f>
        <v>Uncle Sams Cider (04/04/2023)</v>
      </c>
      <c r="H2962" s="19"/>
    </row>
    <row r="2963">
      <c r="A2963" s="9"/>
      <c r="B2963" s="15"/>
      <c r="C2963" s="9">
        <f>IFERROR(__xludf.DUMMYFUNCTION("""COMPUTED_VALUE"""),45113.5731586226)</f>
        <v>45113.57316</v>
      </c>
      <c r="D2963" s="15">
        <f>IFERROR(__xludf.DUMMYFUNCTION("""COMPUTED_VALUE"""),0.999)</f>
        <v>0.999</v>
      </c>
      <c r="E2963" s="16">
        <f>IFERROR(__xludf.DUMMYFUNCTION("""COMPUTED_VALUE"""),71.0)</f>
        <v>71</v>
      </c>
      <c r="F2963" s="19" t="str">
        <f>IFERROR(__xludf.DUMMYFUNCTION("""COMPUTED_VALUE"""),"BLUE")</f>
        <v>BLUE</v>
      </c>
      <c r="G2963" s="20" t="str">
        <f>IFERROR(__xludf.DUMMYFUNCTION("""COMPUTED_VALUE"""),"Uncle Sams Cider (04/04/2023)")</f>
        <v>Uncle Sams Cider (04/04/2023)</v>
      </c>
      <c r="H2963" s="19"/>
    </row>
    <row r="2964">
      <c r="A2964" s="9"/>
      <c r="B2964" s="15"/>
      <c r="C2964" s="9">
        <f>IFERROR(__xludf.DUMMYFUNCTION("""COMPUTED_VALUE"""),45113.5627391898)</f>
        <v>45113.56274</v>
      </c>
      <c r="D2964" s="15">
        <f>IFERROR(__xludf.DUMMYFUNCTION("""COMPUTED_VALUE"""),0.999)</f>
        <v>0.999</v>
      </c>
      <c r="E2964" s="16">
        <f>IFERROR(__xludf.DUMMYFUNCTION("""COMPUTED_VALUE"""),71.0)</f>
        <v>71</v>
      </c>
      <c r="F2964" s="19" t="str">
        <f>IFERROR(__xludf.DUMMYFUNCTION("""COMPUTED_VALUE"""),"BLUE")</f>
        <v>BLUE</v>
      </c>
      <c r="G2964" s="20" t="str">
        <f>IFERROR(__xludf.DUMMYFUNCTION("""COMPUTED_VALUE"""),"Uncle Sams Cider (04/04/2023)")</f>
        <v>Uncle Sams Cider (04/04/2023)</v>
      </c>
      <c r="H2964" s="19"/>
    </row>
    <row r="2965">
      <c r="A2965" s="9"/>
      <c r="B2965" s="15"/>
      <c r="C2965" s="9">
        <f>IFERROR(__xludf.DUMMYFUNCTION("""COMPUTED_VALUE"""),45113.5523188541)</f>
        <v>45113.55232</v>
      </c>
      <c r="D2965" s="15">
        <f>IFERROR(__xludf.DUMMYFUNCTION("""COMPUTED_VALUE"""),0.999)</f>
        <v>0.999</v>
      </c>
      <c r="E2965" s="16">
        <f>IFERROR(__xludf.DUMMYFUNCTION("""COMPUTED_VALUE"""),71.0)</f>
        <v>71</v>
      </c>
      <c r="F2965" s="19" t="str">
        <f>IFERROR(__xludf.DUMMYFUNCTION("""COMPUTED_VALUE"""),"BLUE")</f>
        <v>BLUE</v>
      </c>
      <c r="G2965" s="20" t="str">
        <f>IFERROR(__xludf.DUMMYFUNCTION("""COMPUTED_VALUE"""),"Uncle Sams Cider (04/04/2023)")</f>
        <v>Uncle Sams Cider (04/04/2023)</v>
      </c>
      <c r="H2965" s="19"/>
    </row>
    <row r="2966">
      <c r="A2966" s="9"/>
      <c r="B2966" s="15"/>
      <c r="C2966" s="9">
        <f>IFERROR(__xludf.DUMMYFUNCTION("""COMPUTED_VALUE"""),45113.5418878935)</f>
        <v>45113.54189</v>
      </c>
      <c r="D2966" s="15">
        <f>IFERROR(__xludf.DUMMYFUNCTION("""COMPUTED_VALUE"""),0.999)</f>
        <v>0.999</v>
      </c>
      <c r="E2966" s="16">
        <f>IFERROR(__xludf.DUMMYFUNCTION("""COMPUTED_VALUE"""),71.0)</f>
        <v>71</v>
      </c>
      <c r="F2966" s="19" t="str">
        <f>IFERROR(__xludf.DUMMYFUNCTION("""COMPUTED_VALUE"""),"BLUE")</f>
        <v>BLUE</v>
      </c>
      <c r="G2966" s="20" t="str">
        <f>IFERROR(__xludf.DUMMYFUNCTION("""COMPUTED_VALUE"""),"Uncle Sams Cider (04/04/2023)")</f>
        <v>Uncle Sams Cider (04/04/2023)</v>
      </c>
      <c r="H2966" s="19"/>
    </row>
    <row r="2967">
      <c r="A2967" s="9"/>
      <c r="B2967" s="15"/>
      <c r="C2967" s="9">
        <f>IFERROR(__xludf.DUMMYFUNCTION("""COMPUTED_VALUE"""),45113.5314673958)</f>
        <v>45113.53147</v>
      </c>
      <c r="D2967" s="15">
        <f>IFERROR(__xludf.DUMMYFUNCTION("""COMPUTED_VALUE"""),0.999)</f>
        <v>0.999</v>
      </c>
      <c r="E2967" s="16">
        <f>IFERROR(__xludf.DUMMYFUNCTION("""COMPUTED_VALUE"""),71.0)</f>
        <v>71</v>
      </c>
      <c r="F2967" s="19" t="str">
        <f>IFERROR(__xludf.DUMMYFUNCTION("""COMPUTED_VALUE"""),"BLUE")</f>
        <v>BLUE</v>
      </c>
      <c r="G2967" s="20" t="str">
        <f>IFERROR(__xludf.DUMMYFUNCTION("""COMPUTED_VALUE"""),"Uncle Sams Cider (04/04/2023)")</f>
        <v>Uncle Sams Cider (04/04/2023)</v>
      </c>
      <c r="H2967" s="19"/>
    </row>
    <row r="2968">
      <c r="A2968" s="9"/>
      <c r="B2968" s="15"/>
      <c r="C2968" s="9">
        <f>IFERROR(__xludf.DUMMYFUNCTION("""COMPUTED_VALUE"""),45113.5210478009)</f>
        <v>45113.52105</v>
      </c>
      <c r="D2968" s="15">
        <f>IFERROR(__xludf.DUMMYFUNCTION("""COMPUTED_VALUE"""),0.999)</f>
        <v>0.999</v>
      </c>
      <c r="E2968" s="16">
        <f>IFERROR(__xludf.DUMMYFUNCTION("""COMPUTED_VALUE"""),71.0)</f>
        <v>71</v>
      </c>
      <c r="F2968" s="19" t="str">
        <f>IFERROR(__xludf.DUMMYFUNCTION("""COMPUTED_VALUE"""),"BLUE")</f>
        <v>BLUE</v>
      </c>
      <c r="G2968" s="20" t="str">
        <f>IFERROR(__xludf.DUMMYFUNCTION("""COMPUTED_VALUE"""),"Uncle Sams Cider (04/04/2023)")</f>
        <v>Uncle Sams Cider (04/04/2023)</v>
      </c>
      <c r="H2968" s="19"/>
    </row>
    <row r="2969">
      <c r="A2969" s="9"/>
      <c r="B2969" s="15"/>
      <c r="C2969" s="9">
        <f>IFERROR(__xludf.DUMMYFUNCTION("""COMPUTED_VALUE"""),45113.5106283217)</f>
        <v>45113.51063</v>
      </c>
      <c r="D2969" s="15">
        <f>IFERROR(__xludf.DUMMYFUNCTION("""COMPUTED_VALUE"""),0.999)</f>
        <v>0.999</v>
      </c>
      <c r="E2969" s="16">
        <f>IFERROR(__xludf.DUMMYFUNCTION("""COMPUTED_VALUE"""),71.0)</f>
        <v>71</v>
      </c>
      <c r="F2969" s="19" t="str">
        <f>IFERROR(__xludf.DUMMYFUNCTION("""COMPUTED_VALUE"""),"BLUE")</f>
        <v>BLUE</v>
      </c>
      <c r="G2969" s="20" t="str">
        <f>IFERROR(__xludf.DUMMYFUNCTION("""COMPUTED_VALUE"""),"Uncle Sams Cider (04/04/2023)")</f>
        <v>Uncle Sams Cider (04/04/2023)</v>
      </c>
      <c r="H2969" s="19"/>
    </row>
    <row r="2970">
      <c r="A2970" s="9"/>
      <c r="B2970" s="15"/>
      <c r="C2970" s="9">
        <f>IFERROR(__xludf.DUMMYFUNCTION("""COMPUTED_VALUE"""),45113.5002083912)</f>
        <v>45113.50021</v>
      </c>
      <c r="D2970" s="15">
        <f>IFERROR(__xludf.DUMMYFUNCTION("""COMPUTED_VALUE"""),0.999)</f>
        <v>0.999</v>
      </c>
      <c r="E2970" s="16">
        <f>IFERROR(__xludf.DUMMYFUNCTION("""COMPUTED_VALUE"""),71.0)</f>
        <v>71</v>
      </c>
      <c r="F2970" s="19" t="str">
        <f>IFERROR(__xludf.DUMMYFUNCTION("""COMPUTED_VALUE"""),"BLUE")</f>
        <v>BLUE</v>
      </c>
      <c r="G2970" s="20" t="str">
        <f>IFERROR(__xludf.DUMMYFUNCTION("""COMPUTED_VALUE"""),"Uncle Sams Cider (04/04/2023)")</f>
        <v>Uncle Sams Cider (04/04/2023)</v>
      </c>
      <c r="H2970" s="19"/>
    </row>
    <row r="2971">
      <c r="A2971" s="9"/>
      <c r="B2971" s="15"/>
      <c r="C2971" s="9">
        <f>IFERROR(__xludf.DUMMYFUNCTION("""COMPUTED_VALUE"""),45113.4897862268)</f>
        <v>45113.48979</v>
      </c>
      <c r="D2971" s="15">
        <f>IFERROR(__xludf.DUMMYFUNCTION("""COMPUTED_VALUE"""),0.999)</f>
        <v>0.999</v>
      </c>
      <c r="E2971" s="16">
        <f>IFERROR(__xludf.DUMMYFUNCTION("""COMPUTED_VALUE"""),71.0)</f>
        <v>71</v>
      </c>
      <c r="F2971" s="19" t="str">
        <f>IFERROR(__xludf.DUMMYFUNCTION("""COMPUTED_VALUE"""),"BLUE")</f>
        <v>BLUE</v>
      </c>
      <c r="G2971" s="20" t="str">
        <f>IFERROR(__xludf.DUMMYFUNCTION("""COMPUTED_VALUE"""),"Uncle Sams Cider (04/04/2023)")</f>
        <v>Uncle Sams Cider (04/04/2023)</v>
      </c>
      <c r="H2971" s="19"/>
    </row>
    <row r="2972">
      <c r="A2972" s="9"/>
      <c r="B2972" s="15"/>
      <c r="C2972" s="9">
        <f>IFERROR(__xludf.DUMMYFUNCTION("""COMPUTED_VALUE"""),45113.4793658333)</f>
        <v>45113.47937</v>
      </c>
      <c r="D2972" s="15">
        <f>IFERROR(__xludf.DUMMYFUNCTION("""COMPUTED_VALUE"""),0.999)</f>
        <v>0.999</v>
      </c>
      <c r="E2972" s="16">
        <f>IFERROR(__xludf.DUMMYFUNCTION("""COMPUTED_VALUE"""),71.0)</f>
        <v>71</v>
      </c>
      <c r="F2972" s="19" t="str">
        <f>IFERROR(__xludf.DUMMYFUNCTION("""COMPUTED_VALUE"""),"BLUE")</f>
        <v>BLUE</v>
      </c>
      <c r="G2972" s="20" t="str">
        <f>IFERROR(__xludf.DUMMYFUNCTION("""COMPUTED_VALUE"""),"Uncle Sams Cider (04/04/2023)")</f>
        <v>Uncle Sams Cider (04/04/2023)</v>
      </c>
      <c r="H2972" s="19"/>
    </row>
    <row r="2973">
      <c r="A2973" s="9"/>
      <c r="B2973" s="15"/>
      <c r="C2973" s="9">
        <f>IFERROR(__xludf.DUMMYFUNCTION("""COMPUTED_VALUE"""),45113.468946956)</f>
        <v>45113.46895</v>
      </c>
      <c r="D2973" s="15">
        <f>IFERROR(__xludf.DUMMYFUNCTION("""COMPUTED_VALUE"""),0.999)</f>
        <v>0.999</v>
      </c>
      <c r="E2973" s="16">
        <f>IFERROR(__xludf.DUMMYFUNCTION("""COMPUTED_VALUE"""),71.0)</f>
        <v>71</v>
      </c>
      <c r="F2973" s="19" t="str">
        <f>IFERROR(__xludf.DUMMYFUNCTION("""COMPUTED_VALUE"""),"BLUE")</f>
        <v>BLUE</v>
      </c>
      <c r="G2973" s="20" t="str">
        <f>IFERROR(__xludf.DUMMYFUNCTION("""COMPUTED_VALUE"""),"Uncle Sams Cider (04/04/2023)")</f>
        <v>Uncle Sams Cider (04/04/2023)</v>
      </c>
      <c r="H2973" s="19"/>
    </row>
    <row r="2974">
      <c r="A2974" s="9"/>
      <c r="B2974" s="15"/>
      <c r="C2974" s="9">
        <f>IFERROR(__xludf.DUMMYFUNCTION("""COMPUTED_VALUE"""),45113.4585033217)</f>
        <v>45113.4585</v>
      </c>
      <c r="D2974" s="15">
        <f>IFERROR(__xludf.DUMMYFUNCTION("""COMPUTED_VALUE"""),0.999)</f>
        <v>0.999</v>
      </c>
      <c r="E2974" s="16">
        <f>IFERROR(__xludf.DUMMYFUNCTION("""COMPUTED_VALUE"""),71.0)</f>
        <v>71</v>
      </c>
      <c r="F2974" s="19" t="str">
        <f>IFERROR(__xludf.DUMMYFUNCTION("""COMPUTED_VALUE"""),"BLUE")</f>
        <v>BLUE</v>
      </c>
      <c r="G2974" s="20" t="str">
        <f>IFERROR(__xludf.DUMMYFUNCTION("""COMPUTED_VALUE"""),"Uncle Sams Cider (04/04/2023)")</f>
        <v>Uncle Sams Cider (04/04/2023)</v>
      </c>
      <c r="H2974" s="19"/>
    </row>
    <row r="2975">
      <c r="A2975" s="9"/>
      <c r="B2975" s="15"/>
      <c r="C2975" s="9">
        <f>IFERROR(__xludf.DUMMYFUNCTION("""COMPUTED_VALUE"""),45113.4480813078)</f>
        <v>45113.44808</v>
      </c>
      <c r="D2975" s="15">
        <f>IFERROR(__xludf.DUMMYFUNCTION("""COMPUTED_VALUE"""),0.999)</f>
        <v>0.999</v>
      </c>
      <c r="E2975" s="16">
        <f>IFERROR(__xludf.DUMMYFUNCTION("""COMPUTED_VALUE"""),71.0)</f>
        <v>71</v>
      </c>
      <c r="F2975" s="19" t="str">
        <f>IFERROR(__xludf.DUMMYFUNCTION("""COMPUTED_VALUE"""),"BLUE")</f>
        <v>BLUE</v>
      </c>
      <c r="G2975" s="20" t="str">
        <f>IFERROR(__xludf.DUMMYFUNCTION("""COMPUTED_VALUE"""),"Uncle Sams Cider (04/04/2023)")</f>
        <v>Uncle Sams Cider (04/04/2023)</v>
      </c>
      <c r="H2975" s="19"/>
    </row>
    <row r="2976">
      <c r="A2976" s="9"/>
      <c r="B2976" s="15"/>
      <c r="C2976" s="9">
        <f>IFERROR(__xludf.DUMMYFUNCTION("""COMPUTED_VALUE"""),45113.4376598842)</f>
        <v>45113.43766</v>
      </c>
      <c r="D2976" s="15">
        <f>IFERROR(__xludf.DUMMYFUNCTION("""COMPUTED_VALUE"""),0.999)</f>
        <v>0.999</v>
      </c>
      <c r="E2976" s="16">
        <f>IFERROR(__xludf.DUMMYFUNCTION("""COMPUTED_VALUE"""),71.0)</f>
        <v>71</v>
      </c>
      <c r="F2976" s="19" t="str">
        <f>IFERROR(__xludf.DUMMYFUNCTION("""COMPUTED_VALUE"""),"BLUE")</f>
        <v>BLUE</v>
      </c>
      <c r="G2976" s="20" t="str">
        <f>IFERROR(__xludf.DUMMYFUNCTION("""COMPUTED_VALUE"""),"Uncle Sams Cider (04/04/2023)")</f>
        <v>Uncle Sams Cider (04/04/2023)</v>
      </c>
      <c r="H2976" s="19"/>
    </row>
    <row r="2977">
      <c r="A2977" s="9"/>
      <c r="B2977" s="15"/>
      <c r="C2977" s="9">
        <f>IFERROR(__xludf.DUMMYFUNCTION("""COMPUTED_VALUE"""),45113.4272382175)</f>
        <v>45113.42724</v>
      </c>
      <c r="D2977" s="15">
        <f>IFERROR(__xludf.DUMMYFUNCTION("""COMPUTED_VALUE"""),0.999)</f>
        <v>0.999</v>
      </c>
      <c r="E2977" s="16">
        <f>IFERROR(__xludf.DUMMYFUNCTION("""COMPUTED_VALUE"""),71.0)</f>
        <v>71</v>
      </c>
      <c r="F2977" s="19" t="str">
        <f>IFERROR(__xludf.DUMMYFUNCTION("""COMPUTED_VALUE"""),"BLUE")</f>
        <v>BLUE</v>
      </c>
      <c r="G2977" s="20" t="str">
        <f>IFERROR(__xludf.DUMMYFUNCTION("""COMPUTED_VALUE"""),"Uncle Sams Cider (04/04/2023)")</f>
        <v>Uncle Sams Cider (04/04/2023)</v>
      </c>
      <c r="H2977" s="19"/>
    </row>
    <row r="2978">
      <c r="A2978" s="9"/>
      <c r="B2978" s="15"/>
      <c r="C2978" s="9">
        <f>IFERROR(__xludf.DUMMYFUNCTION("""COMPUTED_VALUE"""),45113.4168049768)</f>
        <v>45113.4168</v>
      </c>
      <c r="D2978" s="15">
        <f>IFERROR(__xludf.DUMMYFUNCTION("""COMPUTED_VALUE"""),0.999)</f>
        <v>0.999</v>
      </c>
      <c r="E2978" s="16">
        <f>IFERROR(__xludf.DUMMYFUNCTION("""COMPUTED_VALUE"""),71.0)</f>
        <v>71</v>
      </c>
      <c r="F2978" s="19" t="str">
        <f>IFERROR(__xludf.DUMMYFUNCTION("""COMPUTED_VALUE"""),"BLUE")</f>
        <v>BLUE</v>
      </c>
      <c r="G2978" s="20" t="str">
        <f>IFERROR(__xludf.DUMMYFUNCTION("""COMPUTED_VALUE"""),"Uncle Sams Cider (04/04/2023)")</f>
        <v>Uncle Sams Cider (04/04/2023)</v>
      </c>
      <c r="H2978" s="19"/>
    </row>
    <row r="2979">
      <c r="A2979" s="9"/>
      <c r="B2979" s="15"/>
      <c r="C2979" s="9">
        <f>IFERROR(__xludf.DUMMYFUNCTION("""COMPUTED_VALUE"""),45113.4063595949)</f>
        <v>45113.40636</v>
      </c>
      <c r="D2979" s="15">
        <f>IFERROR(__xludf.DUMMYFUNCTION("""COMPUTED_VALUE"""),0.999)</f>
        <v>0.999</v>
      </c>
      <c r="E2979" s="16">
        <f>IFERROR(__xludf.DUMMYFUNCTION("""COMPUTED_VALUE"""),71.0)</f>
        <v>71</v>
      </c>
      <c r="F2979" s="19" t="str">
        <f>IFERROR(__xludf.DUMMYFUNCTION("""COMPUTED_VALUE"""),"BLUE")</f>
        <v>BLUE</v>
      </c>
      <c r="G2979" s="20" t="str">
        <f>IFERROR(__xludf.DUMMYFUNCTION("""COMPUTED_VALUE"""),"Uncle Sams Cider (04/04/2023)")</f>
        <v>Uncle Sams Cider (04/04/2023)</v>
      </c>
      <c r="H2979" s="19"/>
    </row>
    <row r="2980">
      <c r="A2980" s="9"/>
      <c r="B2980" s="15"/>
      <c r="C2980" s="9">
        <f>IFERROR(__xludf.DUMMYFUNCTION("""COMPUTED_VALUE"""),45113.3959245601)</f>
        <v>45113.39592</v>
      </c>
      <c r="D2980" s="15">
        <f>IFERROR(__xludf.DUMMYFUNCTION("""COMPUTED_VALUE"""),0.999)</f>
        <v>0.999</v>
      </c>
      <c r="E2980" s="16">
        <f>IFERROR(__xludf.DUMMYFUNCTION("""COMPUTED_VALUE"""),71.0)</f>
        <v>71</v>
      </c>
      <c r="F2980" s="19" t="str">
        <f>IFERROR(__xludf.DUMMYFUNCTION("""COMPUTED_VALUE"""),"BLUE")</f>
        <v>BLUE</v>
      </c>
      <c r="G2980" s="20" t="str">
        <f>IFERROR(__xludf.DUMMYFUNCTION("""COMPUTED_VALUE"""),"Uncle Sams Cider (04/04/2023)")</f>
        <v>Uncle Sams Cider (04/04/2023)</v>
      </c>
      <c r="H2980" s="19"/>
    </row>
    <row r="2981">
      <c r="A2981" s="9"/>
      <c r="B2981" s="15"/>
      <c r="C2981" s="9">
        <f>IFERROR(__xludf.DUMMYFUNCTION("""COMPUTED_VALUE"""),45113.3854584143)</f>
        <v>45113.38546</v>
      </c>
      <c r="D2981" s="15">
        <f>IFERROR(__xludf.DUMMYFUNCTION("""COMPUTED_VALUE"""),0.999)</f>
        <v>0.999</v>
      </c>
      <c r="E2981" s="16">
        <f>IFERROR(__xludf.DUMMYFUNCTION("""COMPUTED_VALUE"""),71.0)</f>
        <v>71</v>
      </c>
      <c r="F2981" s="19" t="str">
        <f>IFERROR(__xludf.DUMMYFUNCTION("""COMPUTED_VALUE"""),"BLUE")</f>
        <v>BLUE</v>
      </c>
      <c r="G2981" s="20" t="str">
        <f>IFERROR(__xludf.DUMMYFUNCTION("""COMPUTED_VALUE"""),"Uncle Sams Cider (04/04/2023)")</f>
        <v>Uncle Sams Cider (04/04/2023)</v>
      </c>
      <c r="H2981" s="19"/>
    </row>
    <row r="2982">
      <c r="A2982" s="9"/>
      <c r="B2982" s="15"/>
      <c r="C2982" s="9">
        <f>IFERROR(__xludf.DUMMYFUNCTION("""COMPUTED_VALUE"""),45113.3750387731)</f>
        <v>45113.37504</v>
      </c>
      <c r="D2982" s="15">
        <f>IFERROR(__xludf.DUMMYFUNCTION("""COMPUTED_VALUE"""),0.999)</f>
        <v>0.999</v>
      </c>
      <c r="E2982" s="16">
        <f>IFERROR(__xludf.DUMMYFUNCTION("""COMPUTED_VALUE"""),71.0)</f>
        <v>71</v>
      </c>
      <c r="F2982" s="19" t="str">
        <f>IFERROR(__xludf.DUMMYFUNCTION("""COMPUTED_VALUE"""),"BLUE")</f>
        <v>BLUE</v>
      </c>
      <c r="G2982" s="20" t="str">
        <f>IFERROR(__xludf.DUMMYFUNCTION("""COMPUTED_VALUE"""),"Uncle Sams Cider (04/04/2023)")</f>
        <v>Uncle Sams Cider (04/04/2023)</v>
      </c>
      <c r="H2982" s="19"/>
    </row>
    <row r="2983">
      <c r="A2983" s="9"/>
      <c r="B2983" s="15"/>
      <c r="C2983" s="9">
        <f>IFERROR(__xludf.DUMMYFUNCTION("""COMPUTED_VALUE"""),45113.3646163888)</f>
        <v>45113.36462</v>
      </c>
      <c r="D2983" s="15">
        <f>IFERROR(__xludf.DUMMYFUNCTION("""COMPUTED_VALUE"""),0.999)</f>
        <v>0.999</v>
      </c>
      <c r="E2983" s="16">
        <f>IFERROR(__xludf.DUMMYFUNCTION("""COMPUTED_VALUE"""),71.0)</f>
        <v>71</v>
      </c>
      <c r="F2983" s="19" t="str">
        <f>IFERROR(__xludf.DUMMYFUNCTION("""COMPUTED_VALUE"""),"BLUE")</f>
        <v>BLUE</v>
      </c>
      <c r="G2983" s="20" t="str">
        <f>IFERROR(__xludf.DUMMYFUNCTION("""COMPUTED_VALUE"""),"Uncle Sams Cider (04/04/2023)")</f>
        <v>Uncle Sams Cider (04/04/2023)</v>
      </c>
      <c r="H2983" s="19"/>
    </row>
    <row r="2984">
      <c r="A2984" s="9"/>
      <c r="B2984" s="15"/>
      <c r="C2984" s="9">
        <f>IFERROR(__xludf.DUMMYFUNCTION("""COMPUTED_VALUE"""),45113.3541948495)</f>
        <v>45113.35419</v>
      </c>
      <c r="D2984" s="15">
        <f>IFERROR(__xludf.DUMMYFUNCTION("""COMPUTED_VALUE"""),0.999)</f>
        <v>0.999</v>
      </c>
      <c r="E2984" s="16">
        <f>IFERROR(__xludf.DUMMYFUNCTION("""COMPUTED_VALUE"""),71.0)</f>
        <v>71</v>
      </c>
      <c r="F2984" s="19" t="str">
        <f>IFERROR(__xludf.DUMMYFUNCTION("""COMPUTED_VALUE"""),"BLUE")</f>
        <v>BLUE</v>
      </c>
      <c r="G2984" s="20" t="str">
        <f>IFERROR(__xludf.DUMMYFUNCTION("""COMPUTED_VALUE"""),"Uncle Sams Cider (04/04/2023)")</f>
        <v>Uncle Sams Cider (04/04/2023)</v>
      </c>
      <c r="H2984" s="19"/>
    </row>
    <row r="2985">
      <c r="A2985" s="9"/>
      <c r="B2985" s="15"/>
      <c r="C2985" s="9">
        <f>IFERROR(__xludf.DUMMYFUNCTION("""COMPUTED_VALUE"""),45113.3437733449)</f>
        <v>45113.34377</v>
      </c>
      <c r="D2985" s="15">
        <f>IFERROR(__xludf.DUMMYFUNCTION("""COMPUTED_VALUE"""),0.999)</f>
        <v>0.999</v>
      </c>
      <c r="E2985" s="16">
        <f>IFERROR(__xludf.DUMMYFUNCTION("""COMPUTED_VALUE"""),71.0)</f>
        <v>71</v>
      </c>
      <c r="F2985" s="19" t="str">
        <f>IFERROR(__xludf.DUMMYFUNCTION("""COMPUTED_VALUE"""),"BLUE")</f>
        <v>BLUE</v>
      </c>
      <c r="G2985" s="20" t="str">
        <f>IFERROR(__xludf.DUMMYFUNCTION("""COMPUTED_VALUE"""),"Uncle Sams Cider (04/04/2023)")</f>
        <v>Uncle Sams Cider (04/04/2023)</v>
      </c>
      <c r="H2985" s="19"/>
    </row>
    <row r="2986">
      <c r="A2986" s="9"/>
      <c r="B2986" s="15"/>
      <c r="C2986" s="9">
        <f>IFERROR(__xludf.DUMMYFUNCTION("""COMPUTED_VALUE"""),45113.3333512152)</f>
        <v>45113.33335</v>
      </c>
      <c r="D2986" s="15">
        <f>IFERROR(__xludf.DUMMYFUNCTION("""COMPUTED_VALUE"""),0.999)</f>
        <v>0.999</v>
      </c>
      <c r="E2986" s="16">
        <f>IFERROR(__xludf.DUMMYFUNCTION("""COMPUTED_VALUE"""),71.0)</f>
        <v>71</v>
      </c>
      <c r="F2986" s="19" t="str">
        <f>IFERROR(__xludf.DUMMYFUNCTION("""COMPUTED_VALUE"""),"BLUE")</f>
        <v>BLUE</v>
      </c>
      <c r="G2986" s="20" t="str">
        <f>IFERROR(__xludf.DUMMYFUNCTION("""COMPUTED_VALUE"""),"Uncle Sams Cider (04/04/2023)")</f>
        <v>Uncle Sams Cider (04/04/2023)</v>
      </c>
      <c r="H2986" s="19"/>
    </row>
    <row r="2987">
      <c r="A2987" s="9"/>
      <c r="B2987" s="15"/>
      <c r="C2987" s="9">
        <f>IFERROR(__xludf.DUMMYFUNCTION("""COMPUTED_VALUE"""),45113.3229192013)</f>
        <v>45113.32292</v>
      </c>
      <c r="D2987" s="15">
        <f>IFERROR(__xludf.DUMMYFUNCTION("""COMPUTED_VALUE"""),0.999)</f>
        <v>0.999</v>
      </c>
      <c r="E2987" s="16">
        <f>IFERROR(__xludf.DUMMYFUNCTION("""COMPUTED_VALUE"""),71.0)</f>
        <v>71</v>
      </c>
      <c r="F2987" s="19" t="str">
        <f>IFERROR(__xludf.DUMMYFUNCTION("""COMPUTED_VALUE"""),"BLUE")</f>
        <v>BLUE</v>
      </c>
      <c r="G2987" s="20" t="str">
        <f>IFERROR(__xludf.DUMMYFUNCTION("""COMPUTED_VALUE"""),"Uncle Sams Cider (04/04/2023)")</f>
        <v>Uncle Sams Cider (04/04/2023)</v>
      </c>
      <c r="H2987" s="19"/>
    </row>
    <row r="2988">
      <c r="A2988" s="9"/>
      <c r="B2988" s="15"/>
      <c r="C2988" s="9">
        <f>IFERROR(__xludf.DUMMYFUNCTION("""COMPUTED_VALUE"""),45113.3124979861)</f>
        <v>45113.3125</v>
      </c>
      <c r="D2988" s="15">
        <f>IFERROR(__xludf.DUMMYFUNCTION("""COMPUTED_VALUE"""),0.999)</f>
        <v>0.999</v>
      </c>
      <c r="E2988" s="16">
        <f>IFERROR(__xludf.DUMMYFUNCTION("""COMPUTED_VALUE"""),71.0)</f>
        <v>71</v>
      </c>
      <c r="F2988" s="19" t="str">
        <f>IFERROR(__xludf.DUMMYFUNCTION("""COMPUTED_VALUE"""),"BLUE")</f>
        <v>BLUE</v>
      </c>
      <c r="G2988" s="20" t="str">
        <f>IFERROR(__xludf.DUMMYFUNCTION("""COMPUTED_VALUE"""),"Uncle Sams Cider (04/04/2023)")</f>
        <v>Uncle Sams Cider (04/04/2023)</v>
      </c>
      <c r="H2988" s="19"/>
    </row>
    <row r="2989">
      <c r="A2989" s="9"/>
      <c r="B2989" s="15"/>
      <c r="C2989" s="9">
        <f>IFERROR(__xludf.DUMMYFUNCTION("""COMPUTED_VALUE"""),45113.302077118)</f>
        <v>45113.30208</v>
      </c>
      <c r="D2989" s="15">
        <f>IFERROR(__xludf.DUMMYFUNCTION("""COMPUTED_VALUE"""),0.999)</f>
        <v>0.999</v>
      </c>
      <c r="E2989" s="16">
        <f>IFERROR(__xludf.DUMMYFUNCTION("""COMPUTED_VALUE"""),71.0)</f>
        <v>71</v>
      </c>
      <c r="F2989" s="19" t="str">
        <f>IFERROR(__xludf.DUMMYFUNCTION("""COMPUTED_VALUE"""),"BLUE")</f>
        <v>BLUE</v>
      </c>
      <c r="G2989" s="20" t="str">
        <f>IFERROR(__xludf.DUMMYFUNCTION("""COMPUTED_VALUE"""),"Uncle Sams Cider (04/04/2023)")</f>
        <v>Uncle Sams Cider (04/04/2023)</v>
      </c>
      <c r="H2989" s="19"/>
    </row>
    <row r="2990">
      <c r="A2990" s="9"/>
      <c r="B2990" s="15"/>
      <c r="C2990" s="9">
        <f>IFERROR(__xludf.DUMMYFUNCTION("""COMPUTED_VALUE"""),45113.2916569213)</f>
        <v>45113.29166</v>
      </c>
      <c r="D2990" s="15">
        <f>IFERROR(__xludf.DUMMYFUNCTION("""COMPUTED_VALUE"""),0.999)</f>
        <v>0.999</v>
      </c>
      <c r="E2990" s="16">
        <f>IFERROR(__xludf.DUMMYFUNCTION("""COMPUTED_VALUE"""),71.0)</f>
        <v>71</v>
      </c>
      <c r="F2990" s="19" t="str">
        <f>IFERROR(__xludf.DUMMYFUNCTION("""COMPUTED_VALUE"""),"BLUE")</f>
        <v>BLUE</v>
      </c>
      <c r="G2990" s="20" t="str">
        <f>IFERROR(__xludf.DUMMYFUNCTION("""COMPUTED_VALUE"""),"Uncle Sams Cider (04/04/2023)")</f>
        <v>Uncle Sams Cider (04/04/2023)</v>
      </c>
      <c r="H2990" s="19"/>
    </row>
    <row r="2991">
      <c r="A2991" s="9"/>
      <c r="B2991" s="15"/>
      <c r="C2991" s="9">
        <f>IFERROR(__xludf.DUMMYFUNCTION("""COMPUTED_VALUE"""),45113.2812344907)</f>
        <v>45113.28123</v>
      </c>
      <c r="D2991" s="15">
        <f>IFERROR(__xludf.DUMMYFUNCTION("""COMPUTED_VALUE"""),0.999)</f>
        <v>0.999</v>
      </c>
      <c r="E2991" s="16">
        <f>IFERROR(__xludf.DUMMYFUNCTION("""COMPUTED_VALUE"""),71.0)</f>
        <v>71</v>
      </c>
      <c r="F2991" s="19" t="str">
        <f>IFERROR(__xludf.DUMMYFUNCTION("""COMPUTED_VALUE"""),"BLUE")</f>
        <v>BLUE</v>
      </c>
      <c r="G2991" s="20" t="str">
        <f>IFERROR(__xludf.DUMMYFUNCTION("""COMPUTED_VALUE"""),"Uncle Sams Cider (04/04/2023)")</f>
        <v>Uncle Sams Cider (04/04/2023)</v>
      </c>
      <c r="H2991" s="19"/>
    </row>
    <row r="2992">
      <c r="A2992" s="9"/>
      <c r="B2992" s="15"/>
      <c r="C2992" s="9">
        <f>IFERROR(__xludf.DUMMYFUNCTION("""COMPUTED_VALUE"""),45113.2707915972)</f>
        <v>45113.27079</v>
      </c>
      <c r="D2992" s="15">
        <f>IFERROR(__xludf.DUMMYFUNCTION("""COMPUTED_VALUE"""),0.999)</f>
        <v>0.999</v>
      </c>
      <c r="E2992" s="16">
        <f>IFERROR(__xludf.DUMMYFUNCTION("""COMPUTED_VALUE"""),71.0)</f>
        <v>71</v>
      </c>
      <c r="F2992" s="19" t="str">
        <f>IFERROR(__xludf.DUMMYFUNCTION("""COMPUTED_VALUE"""),"BLUE")</f>
        <v>BLUE</v>
      </c>
      <c r="G2992" s="20" t="str">
        <f>IFERROR(__xludf.DUMMYFUNCTION("""COMPUTED_VALUE"""),"Uncle Sams Cider (04/04/2023)")</f>
        <v>Uncle Sams Cider (04/04/2023)</v>
      </c>
      <c r="H2992" s="19"/>
    </row>
    <row r="2993">
      <c r="A2993" s="9"/>
      <c r="B2993" s="15"/>
      <c r="C2993" s="9">
        <f>IFERROR(__xludf.DUMMYFUNCTION("""COMPUTED_VALUE"""),45113.2603705208)</f>
        <v>45113.26037</v>
      </c>
      <c r="D2993" s="15">
        <f>IFERROR(__xludf.DUMMYFUNCTION("""COMPUTED_VALUE"""),0.999)</f>
        <v>0.999</v>
      </c>
      <c r="E2993" s="16">
        <f>IFERROR(__xludf.DUMMYFUNCTION("""COMPUTED_VALUE"""),71.0)</f>
        <v>71</v>
      </c>
      <c r="F2993" s="19" t="str">
        <f>IFERROR(__xludf.DUMMYFUNCTION("""COMPUTED_VALUE"""),"BLUE")</f>
        <v>BLUE</v>
      </c>
      <c r="G2993" s="20" t="str">
        <f>IFERROR(__xludf.DUMMYFUNCTION("""COMPUTED_VALUE"""),"Uncle Sams Cider (04/04/2023)")</f>
        <v>Uncle Sams Cider (04/04/2023)</v>
      </c>
      <c r="H2993" s="19"/>
    </row>
    <row r="2994">
      <c r="A2994" s="9"/>
      <c r="B2994" s="15"/>
      <c r="C2994" s="9">
        <f>IFERROR(__xludf.DUMMYFUNCTION("""COMPUTED_VALUE"""),45113.2499386342)</f>
        <v>45113.24994</v>
      </c>
      <c r="D2994" s="15">
        <f>IFERROR(__xludf.DUMMYFUNCTION("""COMPUTED_VALUE"""),0.999)</f>
        <v>0.999</v>
      </c>
      <c r="E2994" s="16">
        <f>IFERROR(__xludf.DUMMYFUNCTION("""COMPUTED_VALUE"""),71.0)</f>
        <v>71</v>
      </c>
      <c r="F2994" s="19" t="str">
        <f>IFERROR(__xludf.DUMMYFUNCTION("""COMPUTED_VALUE"""),"BLUE")</f>
        <v>BLUE</v>
      </c>
      <c r="G2994" s="20" t="str">
        <f>IFERROR(__xludf.DUMMYFUNCTION("""COMPUTED_VALUE"""),"Uncle Sams Cider (04/04/2023)")</f>
        <v>Uncle Sams Cider (04/04/2023)</v>
      </c>
      <c r="H2994" s="19"/>
    </row>
    <row r="2995">
      <c r="A2995" s="9"/>
      <c r="B2995" s="15"/>
      <c r="C2995" s="9">
        <f>IFERROR(__xludf.DUMMYFUNCTION("""COMPUTED_VALUE"""),45113.2395170023)</f>
        <v>45113.23952</v>
      </c>
      <c r="D2995" s="15">
        <f>IFERROR(__xludf.DUMMYFUNCTION("""COMPUTED_VALUE"""),0.999)</f>
        <v>0.999</v>
      </c>
      <c r="E2995" s="16">
        <f>IFERROR(__xludf.DUMMYFUNCTION("""COMPUTED_VALUE"""),71.0)</f>
        <v>71</v>
      </c>
      <c r="F2995" s="19" t="str">
        <f>IFERROR(__xludf.DUMMYFUNCTION("""COMPUTED_VALUE"""),"BLUE")</f>
        <v>BLUE</v>
      </c>
      <c r="G2995" s="20" t="str">
        <f>IFERROR(__xludf.DUMMYFUNCTION("""COMPUTED_VALUE"""),"Uncle Sams Cider (04/04/2023)")</f>
        <v>Uncle Sams Cider (04/04/2023)</v>
      </c>
      <c r="H2995" s="19"/>
    </row>
    <row r="2996">
      <c r="A2996" s="9"/>
      <c r="B2996" s="15"/>
      <c r="C2996" s="9">
        <f>IFERROR(__xludf.DUMMYFUNCTION("""COMPUTED_VALUE"""),45113.2290959606)</f>
        <v>45113.2291</v>
      </c>
      <c r="D2996" s="15">
        <f>IFERROR(__xludf.DUMMYFUNCTION("""COMPUTED_VALUE"""),0.999)</f>
        <v>0.999</v>
      </c>
      <c r="E2996" s="16">
        <f>IFERROR(__xludf.DUMMYFUNCTION("""COMPUTED_VALUE"""),71.0)</f>
        <v>71</v>
      </c>
      <c r="F2996" s="19" t="str">
        <f>IFERROR(__xludf.DUMMYFUNCTION("""COMPUTED_VALUE"""),"BLUE")</f>
        <v>BLUE</v>
      </c>
      <c r="G2996" s="20" t="str">
        <f>IFERROR(__xludf.DUMMYFUNCTION("""COMPUTED_VALUE"""),"Uncle Sams Cider (04/04/2023)")</f>
        <v>Uncle Sams Cider (04/04/2023)</v>
      </c>
      <c r="H2996" s="19"/>
    </row>
    <row r="2997">
      <c r="A2997" s="9"/>
      <c r="B2997" s="15"/>
      <c r="C2997" s="9">
        <f>IFERROR(__xludf.DUMMYFUNCTION("""COMPUTED_VALUE"""),45113.2186537615)</f>
        <v>45113.21865</v>
      </c>
      <c r="D2997" s="15">
        <f>IFERROR(__xludf.DUMMYFUNCTION("""COMPUTED_VALUE"""),0.999)</f>
        <v>0.999</v>
      </c>
      <c r="E2997" s="16">
        <f>IFERROR(__xludf.DUMMYFUNCTION("""COMPUTED_VALUE"""),71.0)</f>
        <v>71</v>
      </c>
      <c r="F2997" s="19" t="str">
        <f>IFERROR(__xludf.DUMMYFUNCTION("""COMPUTED_VALUE"""),"BLUE")</f>
        <v>BLUE</v>
      </c>
      <c r="G2997" s="20" t="str">
        <f>IFERROR(__xludf.DUMMYFUNCTION("""COMPUTED_VALUE"""),"Uncle Sams Cider (04/04/2023)")</f>
        <v>Uncle Sams Cider (04/04/2023)</v>
      </c>
      <c r="H2997" s="19"/>
    </row>
    <row r="2998">
      <c r="A2998" s="9"/>
      <c r="B2998" s="15"/>
      <c r="C2998" s="9">
        <f>IFERROR(__xludf.DUMMYFUNCTION("""COMPUTED_VALUE"""),45113.2082338194)</f>
        <v>45113.20823</v>
      </c>
      <c r="D2998" s="15">
        <f>IFERROR(__xludf.DUMMYFUNCTION("""COMPUTED_VALUE"""),0.999)</f>
        <v>0.999</v>
      </c>
      <c r="E2998" s="16">
        <f>IFERROR(__xludf.DUMMYFUNCTION("""COMPUTED_VALUE"""),71.0)</f>
        <v>71</v>
      </c>
      <c r="F2998" s="19" t="str">
        <f>IFERROR(__xludf.DUMMYFUNCTION("""COMPUTED_VALUE"""),"BLUE")</f>
        <v>BLUE</v>
      </c>
      <c r="G2998" s="20" t="str">
        <f>IFERROR(__xludf.DUMMYFUNCTION("""COMPUTED_VALUE"""),"Uncle Sams Cider (04/04/2023)")</f>
        <v>Uncle Sams Cider (04/04/2023)</v>
      </c>
      <c r="H2998" s="19"/>
    </row>
    <row r="2999">
      <c r="A2999" s="9"/>
      <c r="B2999" s="15"/>
      <c r="C2999" s="9">
        <f>IFERROR(__xludf.DUMMYFUNCTION("""COMPUTED_VALUE"""),45113.1978123958)</f>
        <v>45113.19781</v>
      </c>
      <c r="D2999" s="15">
        <f>IFERROR(__xludf.DUMMYFUNCTION("""COMPUTED_VALUE"""),0.999)</f>
        <v>0.999</v>
      </c>
      <c r="E2999" s="16">
        <f>IFERROR(__xludf.DUMMYFUNCTION("""COMPUTED_VALUE"""),71.0)</f>
        <v>71</v>
      </c>
      <c r="F2999" s="19" t="str">
        <f>IFERROR(__xludf.DUMMYFUNCTION("""COMPUTED_VALUE"""),"BLUE")</f>
        <v>BLUE</v>
      </c>
      <c r="G2999" s="20" t="str">
        <f>IFERROR(__xludf.DUMMYFUNCTION("""COMPUTED_VALUE"""),"Uncle Sams Cider (04/04/2023)")</f>
        <v>Uncle Sams Cider (04/04/2023)</v>
      </c>
      <c r="H2999" s="19"/>
    </row>
    <row r="3000">
      <c r="A3000" s="9"/>
      <c r="B3000" s="15"/>
      <c r="C3000" s="9">
        <f>IFERROR(__xludf.DUMMYFUNCTION("""COMPUTED_VALUE"""),45113.1873915162)</f>
        <v>45113.18739</v>
      </c>
      <c r="D3000" s="15">
        <f>IFERROR(__xludf.DUMMYFUNCTION("""COMPUTED_VALUE"""),0.999)</f>
        <v>0.999</v>
      </c>
      <c r="E3000" s="16">
        <f>IFERROR(__xludf.DUMMYFUNCTION("""COMPUTED_VALUE"""),71.0)</f>
        <v>71</v>
      </c>
      <c r="F3000" s="19" t="str">
        <f>IFERROR(__xludf.DUMMYFUNCTION("""COMPUTED_VALUE"""),"BLUE")</f>
        <v>BLUE</v>
      </c>
      <c r="G3000" s="20" t="str">
        <f>IFERROR(__xludf.DUMMYFUNCTION("""COMPUTED_VALUE"""),"Uncle Sams Cider (04/04/2023)")</f>
        <v>Uncle Sams Cider (04/04/2023)</v>
      </c>
      <c r="H3000" s="19"/>
    </row>
    <row r="3001">
      <c r="A3001" s="9"/>
      <c r="B3001" s="15"/>
      <c r="C3001" s="9">
        <f>IFERROR(__xludf.DUMMYFUNCTION("""COMPUTED_VALUE"""),45113.1769711921)</f>
        <v>45113.17697</v>
      </c>
      <c r="D3001" s="15">
        <f>IFERROR(__xludf.DUMMYFUNCTION("""COMPUTED_VALUE"""),0.999)</f>
        <v>0.999</v>
      </c>
      <c r="E3001" s="16">
        <f>IFERROR(__xludf.DUMMYFUNCTION("""COMPUTED_VALUE"""),71.0)</f>
        <v>71</v>
      </c>
      <c r="F3001" s="19" t="str">
        <f>IFERROR(__xludf.DUMMYFUNCTION("""COMPUTED_VALUE"""),"BLUE")</f>
        <v>BLUE</v>
      </c>
      <c r="G3001" s="20" t="str">
        <f>IFERROR(__xludf.DUMMYFUNCTION("""COMPUTED_VALUE"""),"Uncle Sams Cider (04/04/2023)")</f>
        <v>Uncle Sams Cider (04/04/2023)</v>
      </c>
      <c r="H3001" s="19"/>
    </row>
    <row r="3002">
      <c r="A3002" s="9"/>
      <c r="B3002" s="15"/>
      <c r="C3002" s="9">
        <f>IFERROR(__xludf.DUMMYFUNCTION("""COMPUTED_VALUE"""),45113.1665495486)</f>
        <v>45113.16655</v>
      </c>
      <c r="D3002" s="15">
        <f>IFERROR(__xludf.DUMMYFUNCTION("""COMPUTED_VALUE"""),0.999)</f>
        <v>0.999</v>
      </c>
      <c r="E3002" s="16">
        <f>IFERROR(__xludf.DUMMYFUNCTION("""COMPUTED_VALUE"""),71.0)</f>
        <v>71</v>
      </c>
      <c r="F3002" s="19" t="str">
        <f>IFERROR(__xludf.DUMMYFUNCTION("""COMPUTED_VALUE"""),"BLUE")</f>
        <v>BLUE</v>
      </c>
      <c r="G3002" s="20" t="str">
        <f>IFERROR(__xludf.DUMMYFUNCTION("""COMPUTED_VALUE"""),"Uncle Sams Cider (04/04/2023)")</f>
        <v>Uncle Sams Cider (04/04/2023)</v>
      </c>
      <c r="H3002" s="19"/>
    </row>
    <row r="3003">
      <c r="A3003" s="9"/>
      <c r="B3003" s="15"/>
      <c r="C3003" s="9">
        <f>IFERROR(__xludf.DUMMYFUNCTION("""COMPUTED_VALUE"""),45113.1561291666)</f>
        <v>45113.15613</v>
      </c>
      <c r="D3003" s="15">
        <f>IFERROR(__xludf.DUMMYFUNCTION("""COMPUTED_VALUE"""),0.999)</f>
        <v>0.999</v>
      </c>
      <c r="E3003" s="16">
        <f>IFERROR(__xludf.DUMMYFUNCTION("""COMPUTED_VALUE"""),71.0)</f>
        <v>71</v>
      </c>
      <c r="F3003" s="19" t="str">
        <f>IFERROR(__xludf.DUMMYFUNCTION("""COMPUTED_VALUE"""),"BLUE")</f>
        <v>BLUE</v>
      </c>
      <c r="G3003" s="20" t="str">
        <f>IFERROR(__xludf.DUMMYFUNCTION("""COMPUTED_VALUE"""),"Uncle Sams Cider (04/04/2023)")</f>
        <v>Uncle Sams Cider (04/04/2023)</v>
      </c>
      <c r="H3003" s="19"/>
    </row>
    <row r="3004">
      <c r="A3004" s="9"/>
      <c r="B3004" s="15"/>
      <c r="C3004" s="9">
        <f>IFERROR(__xludf.DUMMYFUNCTION("""COMPUTED_VALUE"""),45113.145708287)</f>
        <v>45113.14571</v>
      </c>
      <c r="D3004" s="15">
        <f>IFERROR(__xludf.DUMMYFUNCTION("""COMPUTED_VALUE"""),0.999)</f>
        <v>0.999</v>
      </c>
      <c r="E3004" s="16">
        <f>IFERROR(__xludf.DUMMYFUNCTION("""COMPUTED_VALUE"""),71.0)</f>
        <v>71</v>
      </c>
      <c r="F3004" s="19" t="str">
        <f>IFERROR(__xludf.DUMMYFUNCTION("""COMPUTED_VALUE"""),"BLUE")</f>
        <v>BLUE</v>
      </c>
      <c r="G3004" s="20" t="str">
        <f>IFERROR(__xludf.DUMMYFUNCTION("""COMPUTED_VALUE"""),"Uncle Sams Cider (04/04/2023)")</f>
        <v>Uncle Sams Cider (04/04/2023)</v>
      </c>
      <c r="H3004" s="19"/>
    </row>
    <row r="3005">
      <c r="A3005" s="9"/>
      <c r="B3005" s="15"/>
      <c r="C3005" s="9">
        <f>IFERROR(__xludf.DUMMYFUNCTION("""COMPUTED_VALUE"""),45113.1352869097)</f>
        <v>45113.13529</v>
      </c>
      <c r="D3005" s="15">
        <f>IFERROR(__xludf.DUMMYFUNCTION("""COMPUTED_VALUE"""),0.999)</f>
        <v>0.999</v>
      </c>
      <c r="E3005" s="16">
        <f>IFERROR(__xludf.DUMMYFUNCTION("""COMPUTED_VALUE"""),71.0)</f>
        <v>71</v>
      </c>
      <c r="F3005" s="19" t="str">
        <f>IFERROR(__xludf.DUMMYFUNCTION("""COMPUTED_VALUE"""),"BLUE")</f>
        <v>BLUE</v>
      </c>
      <c r="G3005" s="20" t="str">
        <f>IFERROR(__xludf.DUMMYFUNCTION("""COMPUTED_VALUE"""),"Uncle Sams Cider (04/04/2023)")</f>
        <v>Uncle Sams Cider (04/04/2023)</v>
      </c>
      <c r="H3005" s="19"/>
    </row>
    <row r="3006">
      <c r="A3006" s="9"/>
      <c r="B3006" s="15"/>
      <c r="C3006" s="9">
        <f>IFERROR(__xludf.DUMMYFUNCTION("""COMPUTED_VALUE"""),45113.1248655671)</f>
        <v>45113.12487</v>
      </c>
      <c r="D3006" s="15">
        <f>IFERROR(__xludf.DUMMYFUNCTION("""COMPUTED_VALUE"""),0.999)</f>
        <v>0.999</v>
      </c>
      <c r="E3006" s="16">
        <f>IFERROR(__xludf.DUMMYFUNCTION("""COMPUTED_VALUE"""),71.0)</f>
        <v>71</v>
      </c>
      <c r="F3006" s="19" t="str">
        <f>IFERROR(__xludf.DUMMYFUNCTION("""COMPUTED_VALUE"""),"BLUE")</f>
        <v>BLUE</v>
      </c>
      <c r="G3006" s="20" t="str">
        <f>IFERROR(__xludf.DUMMYFUNCTION("""COMPUTED_VALUE"""),"Uncle Sams Cider (04/04/2023)")</f>
        <v>Uncle Sams Cider (04/04/2023)</v>
      </c>
      <c r="H3006" s="19"/>
    </row>
    <row r="3007">
      <c r="A3007" s="9"/>
      <c r="B3007" s="15"/>
      <c r="C3007" s="9">
        <f>IFERROR(__xludf.DUMMYFUNCTION("""COMPUTED_VALUE"""),45113.1144434953)</f>
        <v>45113.11444</v>
      </c>
      <c r="D3007" s="15">
        <f>IFERROR(__xludf.DUMMYFUNCTION("""COMPUTED_VALUE"""),0.999)</f>
        <v>0.999</v>
      </c>
      <c r="E3007" s="16">
        <f>IFERROR(__xludf.DUMMYFUNCTION("""COMPUTED_VALUE"""),71.0)</f>
        <v>71</v>
      </c>
      <c r="F3007" s="19" t="str">
        <f>IFERROR(__xludf.DUMMYFUNCTION("""COMPUTED_VALUE"""),"BLUE")</f>
        <v>BLUE</v>
      </c>
      <c r="G3007" s="20" t="str">
        <f>IFERROR(__xludf.DUMMYFUNCTION("""COMPUTED_VALUE"""),"Uncle Sams Cider (04/04/2023)")</f>
        <v>Uncle Sams Cider (04/04/2023)</v>
      </c>
      <c r="H3007" s="19"/>
    </row>
    <row r="3008">
      <c r="A3008" s="9"/>
      <c r="B3008" s="15"/>
      <c r="C3008" s="9">
        <f>IFERROR(__xludf.DUMMYFUNCTION("""COMPUTED_VALUE"""),45113.1040215856)</f>
        <v>45113.10402</v>
      </c>
      <c r="D3008" s="15">
        <f>IFERROR(__xludf.DUMMYFUNCTION("""COMPUTED_VALUE"""),0.999)</f>
        <v>0.999</v>
      </c>
      <c r="E3008" s="16">
        <f>IFERROR(__xludf.DUMMYFUNCTION("""COMPUTED_VALUE"""),71.0)</f>
        <v>71</v>
      </c>
      <c r="F3008" s="19" t="str">
        <f>IFERROR(__xludf.DUMMYFUNCTION("""COMPUTED_VALUE"""),"BLUE")</f>
        <v>BLUE</v>
      </c>
      <c r="G3008" s="20" t="str">
        <f>IFERROR(__xludf.DUMMYFUNCTION("""COMPUTED_VALUE"""),"Uncle Sams Cider (04/04/2023)")</f>
        <v>Uncle Sams Cider (04/04/2023)</v>
      </c>
      <c r="H3008" s="19"/>
    </row>
    <row r="3009">
      <c r="A3009" s="9"/>
      <c r="B3009" s="15"/>
      <c r="C3009" s="9">
        <f>IFERROR(__xludf.DUMMYFUNCTION("""COMPUTED_VALUE"""),45113.0936012731)</f>
        <v>45113.0936</v>
      </c>
      <c r="D3009" s="15">
        <f>IFERROR(__xludf.DUMMYFUNCTION("""COMPUTED_VALUE"""),0.999)</f>
        <v>0.999</v>
      </c>
      <c r="E3009" s="16">
        <f>IFERROR(__xludf.DUMMYFUNCTION("""COMPUTED_VALUE"""),71.0)</f>
        <v>71</v>
      </c>
      <c r="F3009" s="19" t="str">
        <f>IFERROR(__xludf.DUMMYFUNCTION("""COMPUTED_VALUE"""),"BLUE")</f>
        <v>BLUE</v>
      </c>
      <c r="G3009" s="20" t="str">
        <f>IFERROR(__xludf.DUMMYFUNCTION("""COMPUTED_VALUE"""),"Uncle Sams Cider (04/04/2023)")</f>
        <v>Uncle Sams Cider (04/04/2023)</v>
      </c>
      <c r="H3009" s="19"/>
    </row>
    <row r="3010">
      <c r="A3010" s="9"/>
      <c r="B3010" s="15"/>
      <c r="C3010" s="9">
        <f>IFERROR(__xludf.DUMMYFUNCTION("""COMPUTED_VALUE"""),45113.0831807175)</f>
        <v>45113.08318</v>
      </c>
      <c r="D3010" s="15">
        <f>IFERROR(__xludf.DUMMYFUNCTION("""COMPUTED_VALUE"""),0.999)</f>
        <v>0.999</v>
      </c>
      <c r="E3010" s="16">
        <f>IFERROR(__xludf.DUMMYFUNCTION("""COMPUTED_VALUE"""),71.0)</f>
        <v>71</v>
      </c>
      <c r="F3010" s="19" t="str">
        <f>IFERROR(__xludf.DUMMYFUNCTION("""COMPUTED_VALUE"""),"BLUE")</f>
        <v>BLUE</v>
      </c>
      <c r="G3010" s="20" t="str">
        <f>IFERROR(__xludf.DUMMYFUNCTION("""COMPUTED_VALUE"""),"Uncle Sams Cider (04/04/2023)")</f>
        <v>Uncle Sams Cider (04/04/2023)</v>
      </c>
      <c r="H3010" s="19"/>
    </row>
    <row r="3011">
      <c r="A3011" s="9"/>
      <c r="B3011" s="15"/>
      <c r="C3011" s="9">
        <f>IFERROR(__xludf.DUMMYFUNCTION("""COMPUTED_VALUE"""),45113.0727601851)</f>
        <v>45113.07276</v>
      </c>
      <c r="D3011" s="15">
        <f>IFERROR(__xludf.DUMMYFUNCTION("""COMPUTED_VALUE"""),0.999)</f>
        <v>0.999</v>
      </c>
      <c r="E3011" s="16">
        <f>IFERROR(__xludf.DUMMYFUNCTION("""COMPUTED_VALUE"""),71.0)</f>
        <v>71</v>
      </c>
      <c r="F3011" s="19" t="str">
        <f>IFERROR(__xludf.DUMMYFUNCTION("""COMPUTED_VALUE"""),"BLUE")</f>
        <v>BLUE</v>
      </c>
      <c r="G3011" s="20" t="str">
        <f>IFERROR(__xludf.DUMMYFUNCTION("""COMPUTED_VALUE"""),"Uncle Sams Cider (04/04/2023)")</f>
        <v>Uncle Sams Cider (04/04/2023)</v>
      </c>
      <c r="H3011" s="19"/>
    </row>
    <row r="3012">
      <c r="A3012" s="9"/>
      <c r="B3012" s="15"/>
      <c r="C3012" s="9">
        <f>IFERROR(__xludf.DUMMYFUNCTION("""COMPUTED_VALUE"""),45113.0623399074)</f>
        <v>45113.06234</v>
      </c>
      <c r="D3012" s="15">
        <f>IFERROR(__xludf.DUMMYFUNCTION("""COMPUTED_VALUE"""),0.999)</f>
        <v>0.999</v>
      </c>
      <c r="E3012" s="16">
        <f>IFERROR(__xludf.DUMMYFUNCTION("""COMPUTED_VALUE"""),71.0)</f>
        <v>71</v>
      </c>
      <c r="F3012" s="19" t="str">
        <f>IFERROR(__xludf.DUMMYFUNCTION("""COMPUTED_VALUE"""),"BLUE")</f>
        <v>BLUE</v>
      </c>
      <c r="G3012" s="20" t="str">
        <f>IFERROR(__xludf.DUMMYFUNCTION("""COMPUTED_VALUE"""),"Uncle Sams Cider (04/04/2023)")</f>
        <v>Uncle Sams Cider (04/04/2023)</v>
      </c>
      <c r="H3012" s="19"/>
    </row>
    <row r="3013">
      <c r="A3013" s="9"/>
      <c r="B3013" s="15"/>
      <c r="C3013" s="9">
        <f>IFERROR(__xludf.DUMMYFUNCTION("""COMPUTED_VALUE"""),45113.0519183217)</f>
        <v>45113.05192</v>
      </c>
      <c r="D3013" s="15">
        <f>IFERROR(__xludf.DUMMYFUNCTION("""COMPUTED_VALUE"""),0.999)</f>
        <v>0.999</v>
      </c>
      <c r="E3013" s="16">
        <f>IFERROR(__xludf.DUMMYFUNCTION("""COMPUTED_VALUE"""),71.0)</f>
        <v>71</v>
      </c>
      <c r="F3013" s="19" t="str">
        <f>IFERROR(__xludf.DUMMYFUNCTION("""COMPUTED_VALUE"""),"BLUE")</f>
        <v>BLUE</v>
      </c>
      <c r="G3013" s="20" t="str">
        <f>IFERROR(__xludf.DUMMYFUNCTION("""COMPUTED_VALUE"""),"Uncle Sams Cider (04/04/2023)")</f>
        <v>Uncle Sams Cider (04/04/2023)</v>
      </c>
      <c r="H3013" s="19"/>
    </row>
    <row r="3014">
      <c r="A3014" s="9"/>
      <c r="B3014" s="15"/>
      <c r="C3014" s="9">
        <f>IFERROR(__xludf.DUMMYFUNCTION("""COMPUTED_VALUE"""),45113.0414965162)</f>
        <v>45113.0415</v>
      </c>
      <c r="D3014" s="15">
        <f>IFERROR(__xludf.DUMMYFUNCTION("""COMPUTED_VALUE"""),0.999)</f>
        <v>0.999</v>
      </c>
      <c r="E3014" s="16">
        <f>IFERROR(__xludf.DUMMYFUNCTION("""COMPUTED_VALUE"""),71.0)</f>
        <v>71</v>
      </c>
      <c r="F3014" s="19" t="str">
        <f>IFERROR(__xludf.DUMMYFUNCTION("""COMPUTED_VALUE"""),"BLUE")</f>
        <v>BLUE</v>
      </c>
      <c r="G3014" s="20" t="str">
        <f>IFERROR(__xludf.DUMMYFUNCTION("""COMPUTED_VALUE"""),"Uncle Sams Cider (04/04/2023)")</f>
        <v>Uncle Sams Cider (04/04/2023)</v>
      </c>
      <c r="H3014" s="19"/>
    </row>
    <row r="3015">
      <c r="A3015" s="9"/>
      <c r="B3015" s="15"/>
      <c r="C3015" s="9">
        <f>IFERROR(__xludf.DUMMYFUNCTION("""COMPUTED_VALUE"""),45113.0310757638)</f>
        <v>45113.03108</v>
      </c>
      <c r="D3015" s="15">
        <f>IFERROR(__xludf.DUMMYFUNCTION("""COMPUTED_VALUE"""),0.999)</f>
        <v>0.999</v>
      </c>
      <c r="E3015" s="16">
        <f>IFERROR(__xludf.DUMMYFUNCTION("""COMPUTED_VALUE"""),71.0)</f>
        <v>71</v>
      </c>
      <c r="F3015" s="19" t="str">
        <f>IFERROR(__xludf.DUMMYFUNCTION("""COMPUTED_VALUE"""),"BLUE")</f>
        <v>BLUE</v>
      </c>
      <c r="G3015" s="20" t="str">
        <f>IFERROR(__xludf.DUMMYFUNCTION("""COMPUTED_VALUE"""),"Uncle Sams Cider (04/04/2023)")</f>
        <v>Uncle Sams Cider (04/04/2023)</v>
      </c>
      <c r="H3015" s="19"/>
    </row>
    <row r="3016">
      <c r="A3016" s="9"/>
      <c r="B3016" s="15"/>
      <c r="C3016" s="9">
        <f>IFERROR(__xludf.DUMMYFUNCTION("""COMPUTED_VALUE"""),45113.0206540625)</f>
        <v>45113.02065</v>
      </c>
      <c r="D3016" s="15">
        <f>IFERROR(__xludf.DUMMYFUNCTION("""COMPUTED_VALUE"""),0.999)</f>
        <v>0.999</v>
      </c>
      <c r="E3016" s="16">
        <f>IFERROR(__xludf.DUMMYFUNCTION("""COMPUTED_VALUE"""),71.0)</f>
        <v>71</v>
      </c>
      <c r="F3016" s="19" t="str">
        <f>IFERROR(__xludf.DUMMYFUNCTION("""COMPUTED_VALUE"""),"BLUE")</f>
        <v>BLUE</v>
      </c>
      <c r="G3016" s="20" t="str">
        <f>IFERROR(__xludf.DUMMYFUNCTION("""COMPUTED_VALUE"""),"Uncle Sams Cider (04/04/2023)")</f>
        <v>Uncle Sams Cider (04/04/2023)</v>
      </c>
      <c r="H3016" s="19"/>
    </row>
    <row r="3017">
      <c r="A3017" s="9"/>
      <c r="B3017" s="15"/>
      <c r="C3017" s="9">
        <f>IFERROR(__xludf.DUMMYFUNCTION("""COMPUTED_VALUE"""),45113.0102329398)</f>
        <v>45113.01023</v>
      </c>
      <c r="D3017" s="15">
        <f>IFERROR(__xludf.DUMMYFUNCTION("""COMPUTED_VALUE"""),0.999)</f>
        <v>0.999</v>
      </c>
      <c r="E3017" s="16">
        <f>IFERROR(__xludf.DUMMYFUNCTION("""COMPUTED_VALUE"""),71.0)</f>
        <v>71</v>
      </c>
      <c r="F3017" s="19" t="str">
        <f>IFERROR(__xludf.DUMMYFUNCTION("""COMPUTED_VALUE"""),"BLUE")</f>
        <v>BLUE</v>
      </c>
      <c r="G3017" s="20" t="str">
        <f>IFERROR(__xludf.DUMMYFUNCTION("""COMPUTED_VALUE"""),"Uncle Sams Cider (04/04/2023)")</f>
        <v>Uncle Sams Cider (04/04/2023)</v>
      </c>
      <c r="H3017" s="19"/>
    </row>
    <row r="3018">
      <c r="A3018" s="9"/>
      <c r="B3018" s="15"/>
      <c r="C3018" s="9">
        <f>IFERROR(__xludf.DUMMYFUNCTION("""COMPUTED_VALUE"""),45112.9998099537)</f>
        <v>45112.99981</v>
      </c>
      <c r="D3018" s="15">
        <f>IFERROR(__xludf.DUMMYFUNCTION("""COMPUTED_VALUE"""),0.999)</f>
        <v>0.999</v>
      </c>
      <c r="E3018" s="16">
        <f>IFERROR(__xludf.DUMMYFUNCTION("""COMPUTED_VALUE"""),71.0)</f>
        <v>71</v>
      </c>
      <c r="F3018" s="19" t="str">
        <f>IFERROR(__xludf.DUMMYFUNCTION("""COMPUTED_VALUE"""),"BLUE")</f>
        <v>BLUE</v>
      </c>
      <c r="G3018" s="20" t="str">
        <f>IFERROR(__xludf.DUMMYFUNCTION("""COMPUTED_VALUE"""),"Uncle Sams Cider (04/04/2023)")</f>
        <v>Uncle Sams Cider (04/04/2023)</v>
      </c>
      <c r="H3018" s="19"/>
    </row>
    <row r="3019">
      <c r="A3019" s="9"/>
      <c r="B3019" s="15"/>
      <c r="C3019" s="9">
        <f>IFERROR(__xludf.DUMMYFUNCTION("""COMPUTED_VALUE"""),45112.9893901967)</f>
        <v>45112.98939</v>
      </c>
      <c r="D3019" s="15">
        <f>IFERROR(__xludf.DUMMYFUNCTION("""COMPUTED_VALUE"""),0.999)</f>
        <v>0.999</v>
      </c>
      <c r="E3019" s="16">
        <f>IFERROR(__xludf.DUMMYFUNCTION("""COMPUTED_VALUE"""),71.0)</f>
        <v>71</v>
      </c>
      <c r="F3019" s="19" t="str">
        <f>IFERROR(__xludf.DUMMYFUNCTION("""COMPUTED_VALUE"""),"BLUE")</f>
        <v>BLUE</v>
      </c>
      <c r="G3019" s="20" t="str">
        <f>IFERROR(__xludf.DUMMYFUNCTION("""COMPUTED_VALUE"""),"Uncle Sams Cider (04/04/2023)")</f>
        <v>Uncle Sams Cider (04/04/2023)</v>
      </c>
      <c r="H3019" s="19"/>
    </row>
    <row r="3020">
      <c r="A3020" s="9"/>
      <c r="B3020" s="15"/>
      <c r="C3020" s="9">
        <f>IFERROR(__xludf.DUMMYFUNCTION("""COMPUTED_VALUE"""),45112.9789577083)</f>
        <v>45112.97896</v>
      </c>
      <c r="D3020" s="15">
        <f>IFERROR(__xludf.DUMMYFUNCTION("""COMPUTED_VALUE"""),0.999)</f>
        <v>0.999</v>
      </c>
      <c r="E3020" s="16">
        <f>IFERROR(__xludf.DUMMYFUNCTION("""COMPUTED_VALUE"""),71.0)</f>
        <v>71</v>
      </c>
      <c r="F3020" s="19" t="str">
        <f>IFERROR(__xludf.DUMMYFUNCTION("""COMPUTED_VALUE"""),"BLUE")</f>
        <v>BLUE</v>
      </c>
      <c r="G3020" s="20" t="str">
        <f>IFERROR(__xludf.DUMMYFUNCTION("""COMPUTED_VALUE"""),"Uncle Sams Cider (04/04/2023)")</f>
        <v>Uncle Sams Cider (04/04/2023)</v>
      </c>
      <c r="H3020" s="19"/>
    </row>
    <row r="3021">
      <c r="A3021" s="9"/>
      <c r="B3021" s="15"/>
      <c r="C3021" s="9">
        <f>IFERROR(__xludf.DUMMYFUNCTION("""COMPUTED_VALUE"""),45112.9685365509)</f>
        <v>45112.96854</v>
      </c>
      <c r="D3021" s="15">
        <f>IFERROR(__xludf.DUMMYFUNCTION("""COMPUTED_VALUE"""),0.999)</f>
        <v>0.999</v>
      </c>
      <c r="E3021" s="16">
        <f>IFERROR(__xludf.DUMMYFUNCTION("""COMPUTED_VALUE"""),71.0)</f>
        <v>71</v>
      </c>
      <c r="F3021" s="19" t="str">
        <f>IFERROR(__xludf.DUMMYFUNCTION("""COMPUTED_VALUE"""),"BLUE")</f>
        <v>BLUE</v>
      </c>
      <c r="G3021" s="20" t="str">
        <f>IFERROR(__xludf.DUMMYFUNCTION("""COMPUTED_VALUE"""),"Uncle Sams Cider (04/04/2023)")</f>
        <v>Uncle Sams Cider (04/04/2023)</v>
      </c>
      <c r="H3021" s="19"/>
    </row>
    <row r="3022">
      <c r="A3022" s="9"/>
      <c r="B3022" s="15"/>
      <c r="C3022" s="9">
        <f>IFERROR(__xludf.DUMMYFUNCTION("""COMPUTED_VALUE"""),45112.9581151736)</f>
        <v>45112.95812</v>
      </c>
      <c r="D3022" s="15">
        <f>IFERROR(__xludf.DUMMYFUNCTION("""COMPUTED_VALUE"""),0.999)</f>
        <v>0.999</v>
      </c>
      <c r="E3022" s="16">
        <f>IFERROR(__xludf.DUMMYFUNCTION("""COMPUTED_VALUE"""),71.0)</f>
        <v>71</v>
      </c>
      <c r="F3022" s="19" t="str">
        <f>IFERROR(__xludf.DUMMYFUNCTION("""COMPUTED_VALUE"""),"BLUE")</f>
        <v>BLUE</v>
      </c>
      <c r="G3022" s="20" t="str">
        <f>IFERROR(__xludf.DUMMYFUNCTION("""COMPUTED_VALUE"""),"Uncle Sams Cider (04/04/2023)")</f>
        <v>Uncle Sams Cider (04/04/2023)</v>
      </c>
      <c r="H3022" s="19"/>
    </row>
    <row r="3023">
      <c r="A3023" s="9"/>
      <c r="B3023" s="15"/>
      <c r="C3023" s="9">
        <f>IFERROR(__xludf.DUMMYFUNCTION("""COMPUTED_VALUE"""),45112.9476946875)</f>
        <v>45112.94769</v>
      </c>
      <c r="D3023" s="15">
        <f>IFERROR(__xludf.DUMMYFUNCTION("""COMPUTED_VALUE"""),0.999)</f>
        <v>0.999</v>
      </c>
      <c r="E3023" s="16">
        <f>IFERROR(__xludf.DUMMYFUNCTION("""COMPUTED_VALUE"""),71.0)</f>
        <v>71</v>
      </c>
      <c r="F3023" s="19" t="str">
        <f>IFERROR(__xludf.DUMMYFUNCTION("""COMPUTED_VALUE"""),"BLUE")</f>
        <v>BLUE</v>
      </c>
      <c r="G3023" s="20" t="str">
        <f>IFERROR(__xludf.DUMMYFUNCTION("""COMPUTED_VALUE"""),"Uncle Sams Cider (04/04/2023)")</f>
        <v>Uncle Sams Cider (04/04/2023)</v>
      </c>
      <c r="H3023" s="19"/>
    </row>
    <row r="3024">
      <c r="A3024" s="9"/>
      <c r="B3024" s="15"/>
      <c r="C3024" s="9">
        <f>IFERROR(__xludf.DUMMYFUNCTION("""COMPUTED_VALUE"""),45112.9372614467)</f>
        <v>45112.93726</v>
      </c>
      <c r="D3024" s="15">
        <f>IFERROR(__xludf.DUMMYFUNCTION("""COMPUTED_VALUE"""),0.999)</f>
        <v>0.999</v>
      </c>
      <c r="E3024" s="16">
        <f>IFERROR(__xludf.DUMMYFUNCTION("""COMPUTED_VALUE"""),71.0)</f>
        <v>71</v>
      </c>
      <c r="F3024" s="19" t="str">
        <f>IFERROR(__xludf.DUMMYFUNCTION("""COMPUTED_VALUE"""),"BLUE")</f>
        <v>BLUE</v>
      </c>
      <c r="G3024" s="20" t="str">
        <f>IFERROR(__xludf.DUMMYFUNCTION("""COMPUTED_VALUE"""),"Uncle Sams Cider (04/04/2023)")</f>
        <v>Uncle Sams Cider (04/04/2023)</v>
      </c>
      <c r="H3024" s="19"/>
    </row>
    <row r="3025">
      <c r="A3025" s="9"/>
      <c r="B3025" s="15"/>
      <c r="C3025" s="9">
        <f>IFERROR(__xludf.DUMMYFUNCTION("""COMPUTED_VALUE"""),45112.9268403588)</f>
        <v>45112.92684</v>
      </c>
      <c r="D3025" s="15">
        <f>IFERROR(__xludf.DUMMYFUNCTION("""COMPUTED_VALUE"""),0.999)</f>
        <v>0.999</v>
      </c>
      <c r="E3025" s="16">
        <f>IFERROR(__xludf.DUMMYFUNCTION("""COMPUTED_VALUE"""),71.0)</f>
        <v>71</v>
      </c>
      <c r="F3025" s="19" t="str">
        <f>IFERROR(__xludf.DUMMYFUNCTION("""COMPUTED_VALUE"""),"BLUE")</f>
        <v>BLUE</v>
      </c>
      <c r="G3025" s="20" t="str">
        <f>IFERROR(__xludf.DUMMYFUNCTION("""COMPUTED_VALUE"""),"Uncle Sams Cider (04/04/2023)")</f>
        <v>Uncle Sams Cider (04/04/2023)</v>
      </c>
      <c r="H3025" s="19"/>
    </row>
    <row r="3026">
      <c r="A3026" s="9"/>
      <c r="B3026" s="15"/>
      <c r="C3026" s="9">
        <f>IFERROR(__xludf.DUMMYFUNCTION("""COMPUTED_VALUE"""),45112.9164196296)</f>
        <v>45112.91642</v>
      </c>
      <c r="D3026" s="15">
        <f>IFERROR(__xludf.DUMMYFUNCTION("""COMPUTED_VALUE"""),0.999)</f>
        <v>0.999</v>
      </c>
      <c r="E3026" s="16">
        <f>IFERROR(__xludf.DUMMYFUNCTION("""COMPUTED_VALUE"""),71.0)</f>
        <v>71</v>
      </c>
      <c r="F3026" s="19" t="str">
        <f>IFERROR(__xludf.DUMMYFUNCTION("""COMPUTED_VALUE"""),"BLUE")</f>
        <v>BLUE</v>
      </c>
      <c r="G3026" s="20" t="str">
        <f>IFERROR(__xludf.DUMMYFUNCTION("""COMPUTED_VALUE"""),"Uncle Sams Cider (04/04/2023)")</f>
        <v>Uncle Sams Cider (04/04/2023)</v>
      </c>
      <c r="H3026" s="19"/>
    </row>
    <row r="3027">
      <c r="A3027" s="9"/>
      <c r="B3027" s="15"/>
      <c r="C3027" s="9">
        <f>IFERROR(__xludf.DUMMYFUNCTION("""COMPUTED_VALUE"""),45112.9059857638)</f>
        <v>45112.90599</v>
      </c>
      <c r="D3027" s="15">
        <f>IFERROR(__xludf.DUMMYFUNCTION("""COMPUTED_VALUE"""),0.999)</f>
        <v>0.999</v>
      </c>
      <c r="E3027" s="16">
        <f>IFERROR(__xludf.DUMMYFUNCTION("""COMPUTED_VALUE"""),71.0)</f>
        <v>71</v>
      </c>
      <c r="F3027" s="19" t="str">
        <f>IFERROR(__xludf.DUMMYFUNCTION("""COMPUTED_VALUE"""),"BLUE")</f>
        <v>BLUE</v>
      </c>
      <c r="G3027" s="20" t="str">
        <f>IFERROR(__xludf.DUMMYFUNCTION("""COMPUTED_VALUE"""),"Uncle Sams Cider (04/04/2023)")</f>
        <v>Uncle Sams Cider (04/04/2023)</v>
      </c>
      <c r="H3027" s="19"/>
    </row>
    <row r="3028">
      <c r="A3028" s="9"/>
      <c r="B3028" s="15"/>
      <c r="C3028" s="9">
        <f>IFERROR(__xludf.DUMMYFUNCTION("""COMPUTED_VALUE"""),45112.8955508449)</f>
        <v>45112.89555</v>
      </c>
      <c r="D3028" s="15">
        <f>IFERROR(__xludf.DUMMYFUNCTION("""COMPUTED_VALUE"""),0.999)</f>
        <v>0.999</v>
      </c>
      <c r="E3028" s="16">
        <f>IFERROR(__xludf.DUMMYFUNCTION("""COMPUTED_VALUE"""),71.0)</f>
        <v>71</v>
      </c>
      <c r="F3028" s="19" t="str">
        <f>IFERROR(__xludf.DUMMYFUNCTION("""COMPUTED_VALUE"""),"BLUE")</f>
        <v>BLUE</v>
      </c>
      <c r="G3028" s="20" t="str">
        <f>IFERROR(__xludf.DUMMYFUNCTION("""COMPUTED_VALUE"""),"Uncle Sams Cider (04/04/2023)")</f>
        <v>Uncle Sams Cider (04/04/2023)</v>
      </c>
      <c r="H3028" s="19"/>
    </row>
    <row r="3029">
      <c r="A3029" s="9"/>
      <c r="B3029" s="15"/>
      <c r="C3029" s="9">
        <f>IFERROR(__xludf.DUMMYFUNCTION("""COMPUTED_VALUE"""),45112.8851303356)</f>
        <v>45112.88513</v>
      </c>
      <c r="D3029" s="15">
        <f>IFERROR(__xludf.DUMMYFUNCTION("""COMPUTED_VALUE"""),0.999)</f>
        <v>0.999</v>
      </c>
      <c r="E3029" s="16">
        <f>IFERROR(__xludf.DUMMYFUNCTION("""COMPUTED_VALUE"""),71.0)</f>
        <v>71</v>
      </c>
      <c r="F3029" s="19" t="str">
        <f>IFERROR(__xludf.DUMMYFUNCTION("""COMPUTED_VALUE"""),"BLUE")</f>
        <v>BLUE</v>
      </c>
      <c r="G3029" s="20" t="str">
        <f>IFERROR(__xludf.DUMMYFUNCTION("""COMPUTED_VALUE"""),"Uncle Sams Cider (04/04/2023)")</f>
        <v>Uncle Sams Cider (04/04/2023)</v>
      </c>
      <c r="H3029" s="19"/>
    </row>
    <row r="3030">
      <c r="A3030" s="9"/>
      <c r="B3030" s="15"/>
      <c r="C3030" s="9">
        <f>IFERROR(__xludf.DUMMYFUNCTION("""COMPUTED_VALUE"""),45112.8747101157)</f>
        <v>45112.87471</v>
      </c>
      <c r="D3030" s="15">
        <f>IFERROR(__xludf.DUMMYFUNCTION("""COMPUTED_VALUE"""),0.999)</f>
        <v>0.999</v>
      </c>
      <c r="E3030" s="16">
        <f>IFERROR(__xludf.DUMMYFUNCTION("""COMPUTED_VALUE"""),71.0)</f>
        <v>71</v>
      </c>
      <c r="F3030" s="19" t="str">
        <f>IFERROR(__xludf.DUMMYFUNCTION("""COMPUTED_VALUE"""),"BLUE")</f>
        <v>BLUE</v>
      </c>
      <c r="G3030" s="20" t="str">
        <f>IFERROR(__xludf.DUMMYFUNCTION("""COMPUTED_VALUE"""),"Uncle Sams Cider (04/04/2023)")</f>
        <v>Uncle Sams Cider (04/04/2023)</v>
      </c>
      <c r="H3030" s="19"/>
    </row>
    <row r="3031">
      <c r="A3031" s="9"/>
      <c r="B3031" s="15"/>
      <c r="C3031" s="9">
        <f>IFERROR(__xludf.DUMMYFUNCTION("""COMPUTED_VALUE"""),45112.8642889004)</f>
        <v>45112.86429</v>
      </c>
      <c r="D3031" s="15">
        <f>IFERROR(__xludf.DUMMYFUNCTION("""COMPUTED_VALUE"""),0.999)</f>
        <v>0.999</v>
      </c>
      <c r="E3031" s="16">
        <f>IFERROR(__xludf.DUMMYFUNCTION("""COMPUTED_VALUE"""),71.0)</f>
        <v>71</v>
      </c>
      <c r="F3031" s="19" t="str">
        <f>IFERROR(__xludf.DUMMYFUNCTION("""COMPUTED_VALUE"""),"BLUE")</f>
        <v>BLUE</v>
      </c>
      <c r="G3031" s="20" t="str">
        <f>IFERROR(__xludf.DUMMYFUNCTION("""COMPUTED_VALUE"""),"Uncle Sams Cider (04/04/2023)")</f>
        <v>Uncle Sams Cider (04/04/2023)</v>
      </c>
      <c r="H3031" s="19"/>
    </row>
    <row r="3032">
      <c r="A3032" s="9"/>
      <c r="B3032" s="15"/>
      <c r="C3032" s="9">
        <f>IFERROR(__xludf.DUMMYFUNCTION("""COMPUTED_VALUE"""),45112.853855)</f>
        <v>45112.85386</v>
      </c>
      <c r="D3032" s="15">
        <f>IFERROR(__xludf.DUMMYFUNCTION("""COMPUTED_VALUE"""),0.999)</f>
        <v>0.999</v>
      </c>
      <c r="E3032" s="16">
        <f>IFERROR(__xludf.DUMMYFUNCTION("""COMPUTED_VALUE"""),71.0)</f>
        <v>71</v>
      </c>
      <c r="F3032" s="19" t="str">
        <f>IFERROR(__xludf.DUMMYFUNCTION("""COMPUTED_VALUE"""),"BLUE")</f>
        <v>BLUE</v>
      </c>
      <c r="G3032" s="20" t="str">
        <f>IFERROR(__xludf.DUMMYFUNCTION("""COMPUTED_VALUE"""),"Uncle Sams Cider (04/04/2023)")</f>
        <v>Uncle Sams Cider (04/04/2023)</v>
      </c>
      <c r="H3032" s="19"/>
    </row>
    <row r="3033">
      <c r="A3033" s="9"/>
      <c r="B3033" s="15"/>
      <c r="C3033" s="9">
        <f>IFERROR(__xludf.DUMMYFUNCTION("""COMPUTED_VALUE"""),45112.8434208564)</f>
        <v>45112.84342</v>
      </c>
      <c r="D3033" s="15">
        <f>IFERROR(__xludf.DUMMYFUNCTION("""COMPUTED_VALUE"""),0.999)</f>
        <v>0.999</v>
      </c>
      <c r="E3033" s="16">
        <f>IFERROR(__xludf.DUMMYFUNCTION("""COMPUTED_VALUE"""),71.0)</f>
        <v>71</v>
      </c>
      <c r="F3033" s="19" t="str">
        <f>IFERROR(__xludf.DUMMYFUNCTION("""COMPUTED_VALUE"""),"BLUE")</f>
        <v>BLUE</v>
      </c>
      <c r="G3033" s="20" t="str">
        <f>IFERROR(__xludf.DUMMYFUNCTION("""COMPUTED_VALUE"""),"Uncle Sams Cider (04/04/2023)")</f>
        <v>Uncle Sams Cider (04/04/2023)</v>
      </c>
      <c r="H3033" s="19"/>
    </row>
    <row r="3034">
      <c r="A3034" s="9"/>
      <c r="B3034" s="15"/>
      <c r="C3034" s="9">
        <f>IFERROR(__xludf.DUMMYFUNCTION("""COMPUTED_VALUE"""),45112.8330010995)</f>
        <v>45112.833</v>
      </c>
      <c r="D3034" s="15">
        <f>IFERROR(__xludf.DUMMYFUNCTION("""COMPUTED_VALUE"""),0.999)</f>
        <v>0.999</v>
      </c>
      <c r="E3034" s="16">
        <f>IFERROR(__xludf.DUMMYFUNCTION("""COMPUTED_VALUE"""),71.0)</f>
        <v>71</v>
      </c>
      <c r="F3034" s="19" t="str">
        <f>IFERROR(__xludf.DUMMYFUNCTION("""COMPUTED_VALUE"""),"BLUE")</f>
        <v>BLUE</v>
      </c>
      <c r="G3034" s="20" t="str">
        <f>IFERROR(__xludf.DUMMYFUNCTION("""COMPUTED_VALUE"""),"Uncle Sams Cider (04/04/2023)")</f>
        <v>Uncle Sams Cider (04/04/2023)</v>
      </c>
      <c r="H3034" s="19"/>
    </row>
    <row r="3035">
      <c r="A3035" s="9"/>
      <c r="B3035" s="15"/>
      <c r="C3035" s="9">
        <f>IFERROR(__xludf.DUMMYFUNCTION("""COMPUTED_VALUE"""),45112.8225788194)</f>
        <v>45112.82258</v>
      </c>
      <c r="D3035" s="15">
        <f>IFERROR(__xludf.DUMMYFUNCTION("""COMPUTED_VALUE"""),0.999)</f>
        <v>0.999</v>
      </c>
      <c r="E3035" s="16">
        <f>IFERROR(__xludf.DUMMYFUNCTION("""COMPUTED_VALUE"""),71.0)</f>
        <v>71</v>
      </c>
      <c r="F3035" s="19" t="str">
        <f>IFERROR(__xludf.DUMMYFUNCTION("""COMPUTED_VALUE"""),"BLUE")</f>
        <v>BLUE</v>
      </c>
      <c r="G3035" s="20" t="str">
        <f>IFERROR(__xludf.DUMMYFUNCTION("""COMPUTED_VALUE"""),"Uncle Sams Cider (04/04/2023)")</f>
        <v>Uncle Sams Cider (04/04/2023)</v>
      </c>
      <c r="H3035" s="19"/>
    </row>
    <row r="3036">
      <c r="A3036" s="9"/>
      <c r="B3036" s="15"/>
      <c r="C3036" s="9">
        <f>IFERROR(__xludf.DUMMYFUNCTION("""COMPUTED_VALUE"""),45112.8121470833)</f>
        <v>45112.81215</v>
      </c>
      <c r="D3036" s="15">
        <f>IFERROR(__xludf.DUMMYFUNCTION("""COMPUTED_VALUE"""),0.999)</f>
        <v>0.999</v>
      </c>
      <c r="E3036" s="16">
        <f>IFERROR(__xludf.DUMMYFUNCTION("""COMPUTED_VALUE"""),71.0)</f>
        <v>71</v>
      </c>
      <c r="F3036" s="19" t="str">
        <f>IFERROR(__xludf.DUMMYFUNCTION("""COMPUTED_VALUE"""),"BLUE")</f>
        <v>BLUE</v>
      </c>
      <c r="G3036" s="20" t="str">
        <f>IFERROR(__xludf.DUMMYFUNCTION("""COMPUTED_VALUE"""),"Uncle Sams Cider (04/04/2023)")</f>
        <v>Uncle Sams Cider (04/04/2023)</v>
      </c>
      <c r="H3036" s="19"/>
    </row>
    <row r="3037">
      <c r="A3037" s="9"/>
      <c r="B3037" s="15"/>
      <c r="C3037" s="9">
        <f>IFERROR(__xludf.DUMMYFUNCTION("""COMPUTED_VALUE"""),45112.8017140046)</f>
        <v>45112.80171</v>
      </c>
      <c r="D3037" s="15">
        <f>IFERROR(__xludf.DUMMYFUNCTION("""COMPUTED_VALUE"""),0.999)</f>
        <v>0.999</v>
      </c>
      <c r="E3037" s="16">
        <f>IFERROR(__xludf.DUMMYFUNCTION("""COMPUTED_VALUE"""),71.0)</f>
        <v>71</v>
      </c>
      <c r="F3037" s="19" t="str">
        <f>IFERROR(__xludf.DUMMYFUNCTION("""COMPUTED_VALUE"""),"BLUE")</f>
        <v>BLUE</v>
      </c>
      <c r="G3037" s="20" t="str">
        <f>IFERROR(__xludf.DUMMYFUNCTION("""COMPUTED_VALUE"""),"Uncle Sams Cider (04/04/2023)")</f>
        <v>Uncle Sams Cider (04/04/2023)</v>
      </c>
      <c r="H3037" s="19"/>
    </row>
    <row r="3038">
      <c r="A3038" s="9"/>
      <c r="B3038" s="15"/>
      <c r="C3038" s="9">
        <f>IFERROR(__xludf.DUMMYFUNCTION("""COMPUTED_VALUE"""),45112.7912907638)</f>
        <v>45112.79129</v>
      </c>
      <c r="D3038" s="15">
        <f>IFERROR(__xludf.DUMMYFUNCTION("""COMPUTED_VALUE"""),0.999)</f>
        <v>0.999</v>
      </c>
      <c r="E3038" s="16">
        <f>IFERROR(__xludf.DUMMYFUNCTION("""COMPUTED_VALUE"""),71.0)</f>
        <v>71</v>
      </c>
      <c r="F3038" s="19" t="str">
        <f>IFERROR(__xludf.DUMMYFUNCTION("""COMPUTED_VALUE"""),"BLUE")</f>
        <v>BLUE</v>
      </c>
      <c r="G3038" s="20" t="str">
        <f>IFERROR(__xludf.DUMMYFUNCTION("""COMPUTED_VALUE"""),"Uncle Sams Cider (04/04/2023)")</f>
        <v>Uncle Sams Cider (04/04/2023)</v>
      </c>
      <c r="H3038" s="19"/>
    </row>
    <row r="3039">
      <c r="A3039" s="9"/>
      <c r="B3039" s="15"/>
      <c r="C3039" s="9">
        <f>IFERROR(__xludf.DUMMYFUNCTION("""COMPUTED_VALUE"""),45112.7808704513)</f>
        <v>45112.78087</v>
      </c>
      <c r="D3039" s="15">
        <f>IFERROR(__xludf.DUMMYFUNCTION("""COMPUTED_VALUE"""),0.999)</f>
        <v>0.999</v>
      </c>
      <c r="E3039" s="16">
        <f>IFERROR(__xludf.DUMMYFUNCTION("""COMPUTED_VALUE"""),71.0)</f>
        <v>71</v>
      </c>
      <c r="F3039" s="19" t="str">
        <f>IFERROR(__xludf.DUMMYFUNCTION("""COMPUTED_VALUE"""),"BLUE")</f>
        <v>BLUE</v>
      </c>
      <c r="G3039" s="20" t="str">
        <f>IFERROR(__xludf.DUMMYFUNCTION("""COMPUTED_VALUE"""),"Uncle Sams Cider (04/04/2023)")</f>
        <v>Uncle Sams Cider (04/04/2023)</v>
      </c>
      <c r="H3039" s="19"/>
    </row>
    <row r="3040">
      <c r="A3040" s="9"/>
      <c r="B3040" s="15"/>
      <c r="C3040" s="9">
        <f>IFERROR(__xludf.DUMMYFUNCTION("""COMPUTED_VALUE"""),45112.7704499537)</f>
        <v>45112.77045</v>
      </c>
      <c r="D3040" s="15">
        <f>IFERROR(__xludf.DUMMYFUNCTION("""COMPUTED_VALUE"""),0.999)</f>
        <v>0.999</v>
      </c>
      <c r="E3040" s="16">
        <f>IFERROR(__xludf.DUMMYFUNCTION("""COMPUTED_VALUE"""),71.0)</f>
        <v>71</v>
      </c>
      <c r="F3040" s="19" t="str">
        <f>IFERROR(__xludf.DUMMYFUNCTION("""COMPUTED_VALUE"""),"BLUE")</f>
        <v>BLUE</v>
      </c>
      <c r="G3040" s="20" t="str">
        <f>IFERROR(__xludf.DUMMYFUNCTION("""COMPUTED_VALUE"""),"Uncle Sams Cider (04/04/2023)")</f>
        <v>Uncle Sams Cider (04/04/2023)</v>
      </c>
      <c r="H3040" s="19"/>
    </row>
    <row r="3041">
      <c r="A3041" s="9"/>
      <c r="B3041" s="15"/>
      <c r="C3041" s="9">
        <f>IFERROR(__xludf.DUMMYFUNCTION("""COMPUTED_VALUE"""),45112.7600180208)</f>
        <v>45112.76002</v>
      </c>
      <c r="D3041" s="15">
        <f>IFERROR(__xludf.DUMMYFUNCTION("""COMPUTED_VALUE"""),0.999)</f>
        <v>0.999</v>
      </c>
      <c r="E3041" s="16">
        <f>IFERROR(__xludf.DUMMYFUNCTION("""COMPUTED_VALUE"""),71.0)</f>
        <v>71</v>
      </c>
      <c r="F3041" s="19" t="str">
        <f>IFERROR(__xludf.DUMMYFUNCTION("""COMPUTED_VALUE"""),"BLUE")</f>
        <v>BLUE</v>
      </c>
      <c r="G3041" s="20" t="str">
        <f>IFERROR(__xludf.DUMMYFUNCTION("""COMPUTED_VALUE"""),"Uncle Sams Cider (04/04/2023)")</f>
        <v>Uncle Sams Cider (04/04/2023)</v>
      </c>
      <c r="H3041" s="19"/>
    </row>
    <row r="3042">
      <c r="A3042" s="9"/>
      <c r="B3042" s="15"/>
      <c r="C3042" s="9">
        <f>IFERROR(__xludf.DUMMYFUNCTION("""COMPUTED_VALUE"""),45112.7495947685)</f>
        <v>45112.74959</v>
      </c>
      <c r="D3042" s="15">
        <f>IFERROR(__xludf.DUMMYFUNCTION("""COMPUTED_VALUE"""),0.999)</f>
        <v>0.999</v>
      </c>
      <c r="E3042" s="16">
        <f>IFERROR(__xludf.DUMMYFUNCTION("""COMPUTED_VALUE"""),71.0)</f>
        <v>71</v>
      </c>
      <c r="F3042" s="19" t="str">
        <f>IFERROR(__xludf.DUMMYFUNCTION("""COMPUTED_VALUE"""),"BLUE")</f>
        <v>BLUE</v>
      </c>
      <c r="G3042" s="20" t="str">
        <f>IFERROR(__xludf.DUMMYFUNCTION("""COMPUTED_VALUE"""),"Uncle Sams Cider (04/04/2023)")</f>
        <v>Uncle Sams Cider (04/04/2023)</v>
      </c>
      <c r="H3042" s="19"/>
    </row>
    <row r="3043">
      <c r="A3043" s="9"/>
      <c r="B3043" s="15"/>
      <c r="C3043" s="9">
        <f>IFERROR(__xludf.DUMMYFUNCTION("""COMPUTED_VALUE"""),45112.7391615277)</f>
        <v>45112.73916</v>
      </c>
      <c r="D3043" s="15">
        <f>IFERROR(__xludf.DUMMYFUNCTION("""COMPUTED_VALUE"""),0.999)</f>
        <v>0.999</v>
      </c>
      <c r="E3043" s="16">
        <f>IFERROR(__xludf.DUMMYFUNCTION("""COMPUTED_VALUE"""),71.0)</f>
        <v>71</v>
      </c>
      <c r="F3043" s="19" t="str">
        <f>IFERROR(__xludf.DUMMYFUNCTION("""COMPUTED_VALUE"""),"BLUE")</f>
        <v>BLUE</v>
      </c>
      <c r="G3043" s="20" t="str">
        <f>IFERROR(__xludf.DUMMYFUNCTION("""COMPUTED_VALUE"""),"Uncle Sams Cider (04/04/2023)")</f>
        <v>Uncle Sams Cider (04/04/2023)</v>
      </c>
      <c r="H3043" s="19"/>
    </row>
    <row r="3044">
      <c r="A3044" s="9"/>
      <c r="B3044" s="15"/>
      <c r="C3044" s="9">
        <f>IFERROR(__xludf.DUMMYFUNCTION("""COMPUTED_VALUE"""),45112.7287408333)</f>
        <v>45112.72874</v>
      </c>
      <c r="D3044" s="15">
        <f>IFERROR(__xludf.DUMMYFUNCTION("""COMPUTED_VALUE"""),0.999)</f>
        <v>0.999</v>
      </c>
      <c r="E3044" s="16">
        <f>IFERROR(__xludf.DUMMYFUNCTION("""COMPUTED_VALUE"""),71.0)</f>
        <v>71</v>
      </c>
      <c r="F3044" s="19" t="str">
        <f>IFERROR(__xludf.DUMMYFUNCTION("""COMPUTED_VALUE"""),"BLUE")</f>
        <v>BLUE</v>
      </c>
      <c r="G3044" s="20" t="str">
        <f>IFERROR(__xludf.DUMMYFUNCTION("""COMPUTED_VALUE"""),"Uncle Sams Cider (04/04/2023)")</f>
        <v>Uncle Sams Cider (04/04/2023)</v>
      </c>
      <c r="H3044" s="19"/>
    </row>
    <row r="3045">
      <c r="A3045" s="9"/>
      <c r="B3045" s="15"/>
      <c r="C3045" s="9">
        <f>IFERROR(__xludf.DUMMYFUNCTION("""COMPUTED_VALUE"""),45112.7183063194)</f>
        <v>45112.71831</v>
      </c>
      <c r="D3045" s="15">
        <f>IFERROR(__xludf.DUMMYFUNCTION("""COMPUTED_VALUE"""),0.999)</f>
        <v>0.999</v>
      </c>
      <c r="E3045" s="16">
        <f>IFERROR(__xludf.DUMMYFUNCTION("""COMPUTED_VALUE"""),71.0)</f>
        <v>71</v>
      </c>
      <c r="F3045" s="19" t="str">
        <f>IFERROR(__xludf.DUMMYFUNCTION("""COMPUTED_VALUE"""),"BLUE")</f>
        <v>BLUE</v>
      </c>
      <c r="G3045" s="20" t="str">
        <f>IFERROR(__xludf.DUMMYFUNCTION("""COMPUTED_VALUE"""),"Uncle Sams Cider (04/04/2023)")</f>
        <v>Uncle Sams Cider (04/04/2023)</v>
      </c>
      <c r="H3045" s="19"/>
    </row>
    <row r="3046">
      <c r="A3046" s="9"/>
      <c r="B3046" s="15"/>
      <c r="C3046" s="9">
        <f>IFERROR(__xludf.DUMMYFUNCTION("""COMPUTED_VALUE"""),45112.7078845949)</f>
        <v>45112.70788</v>
      </c>
      <c r="D3046" s="15">
        <f>IFERROR(__xludf.DUMMYFUNCTION("""COMPUTED_VALUE"""),0.999)</f>
        <v>0.999</v>
      </c>
      <c r="E3046" s="16">
        <f>IFERROR(__xludf.DUMMYFUNCTION("""COMPUTED_VALUE"""),71.0)</f>
        <v>71</v>
      </c>
      <c r="F3046" s="19" t="str">
        <f>IFERROR(__xludf.DUMMYFUNCTION("""COMPUTED_VALUE"""),"BLUE")</f>
        <v>BLUE</v>
      </c>
      <c r="G3046" s="20" t="str">
        <f>IFERROR(__xludf.DUMMYFUNCTION("""COMPUTED_VALUE"""),"Uncle Sams Cider (04/04/2023)")</f>
        <v>Uncle Sams Cider (04/04/2023)</v>
      </c>
      <c r="H3046" s="19"/>
    </row>
    <row r="3047">
      <c r="A3047" s="9"/>
      <c r="B3047" s="15"/>
      <c r="C3047" s="9">
        <f>IFERROR(__xludf.DUMMYFUNCTION("""COMPUTED_VALUE"""),45112.697463912)</f>
        <v>45112.69746</v>
      </c>
      <c r="D3047" s="15">
        <f>IFERROR(__xludf.DUMMYFUNCTION("""COMPUTED_VALUE"""),0.999)</f>
        <v>0.999</v>
      </c>
      <c r="E3047" s="16">
        <f>IFERROR(__xludf.DUMMYFUNCTION("""COMPUTED_VALUE"""),71.0)</f>
        <v>71</v>
      </c>
      <c r="F3047" s="19" t="str">
        <f>IFERROR(__xludf.DUMMYFUNCTION("""COMPUTED_VALUE"""),"BLUE")</f>
        <v>BLUE</v>
      </c>
      <c r="G3047" s="20" t="str">
        <f>IFERROR(__xludf.DUMMYFUNCTION("""COMPUTED_VALUE"""),"Uncle Sams Cider (04/04/2023)")</f>
        <v>Uncle Sams Cider (04/04/2023)</v>
      </c>
      <c r="H3047" s="19"/>
    </row>
    <row r="3048">
      <c r="A3048" s="9"/>
      <c r="B3048" s="15"/>
      <c r="C3048" s="9">
        <f>IFERROR(__xludf.DUMMYFUNCTION("""COMPUTED_VALUE"""),45112.6870431597)</f>
        <v>45112.68704</v>
      </c>
      <c r="D3048" s="15">
        <f>IFERROR(__xludf.DUMMYFUNCTION("""COMPUTED_VALUE"""),0.999)</f>
        <v>0.999</v>
      </c>
      <c r="E3048" s="16">
        <f>IFERROR(__xludf.DUMMYFUNCTION("""COMPUTED_VALUE"""),71.0)</f>
        <v>71</v>
      </c>
      <c r="F3048" s="19" t="str">
        <f>IFERROR(__xludf.DUMMYFUNCTION("""COMPUTED_VALUE"""),"BLUE")</f>
        <v>BLUE</v>
      </c>
      <c r="G3048" s="20" t="str">
        <f>IFERROR(__xludf.DUMMYFUNCTION("""COMPUTED_VALUE"""),"Uncle Sams Cider (04/04/2023)")</f>
        <v>Uncle Sams Cider (04/04/2023)</v>
      </c>
      <c r="H3048" s="19"/>
    </row>
    <row r="3049">
      <c r="A3049" s="9"/>
      <c r="B3049" s="15"/>
      <c r="C3049" s="9">
        <f>IFERROR(__xludf.DUMMYFUNCTION("""COMPUTED_VALUE"""),45112.6766227314)</f>
        <v>45112.67662</v>
      </c>
      <c r="D3049" s="15">
        <f>IFERROR(__xludf.DUMMYFUNCTION("""COMPUTED_VALUE"""),0.999)</f>
        <v>0.999</v>
      </c>
      <c r="E3049" s="16">
        <f>IFERROR(__xludf.DUMMYFUNCTION("""COMPUTED_VALUE"""),71.0)</f>
        <v>71</v>
      </c>
      <c r="F3049" s="19" t="str">
        <f>IFERROR(__xludf.DUMMYFUNCTION("""COMPUTED_VALUE"""),"BLUE")</f>
        <v>BLUE</v>
      </c>
      <c r="G3049" s="20" t="str">
        <f>IFERROR(__xludf.DUMMYFUNCTION("""COMPUTED_VALUE"""),"Uncle Sams Cider (04/04/2023)")</f>
        <v>Uncle Sams Cider (04/04/2023)</v>
      </c>
      <c r="H3049" s="19"/>
    </row>
    <row r="3050">
      <c r="A3050" s="9"/>
      <c r="B3050" s="15"/>
      <c r="C3050" s="9">
        <f>IFERROR(__xludf.DUMMYFUNCTION("""COMPUTED_VALUE"""),45112.6662023032)</f>
        <v>45112.6662</v>
      </c>
      <c r="D3050" s="15">
        <f>IFERROR(__xludf.DUMMYFUNCTION("""COMPUTED_VALUE"""),0.999)</f>
        <v>0.999</v>
      </c>
      <c r="E3050" s="16">
        <f>IFERROR(__xludf.DUMMYFUNCTION("""COMPUTED_VALUE"""),71.0)</f>
        <v>71</v>
      </c>
      <c r="F3050" s="19" t="str">
        <f>IFERROR(__xludf.DUMMYFUNCTION("""COMPUTED_VALUE"""),"BLUE")</f>
        <v>BLUE</v>
      </c>
      <c r="G3050" s="20" t="str">
        <f>IFERROR(__xludf.DUMMYFUNCTION("""COMPUTED_VALUE"""),"Uncle Sams Cider (04/04/2023)")</f>
        <v>Uncle Sams Cider (04/04/2023)</v>
      </c>
      <c r="H3050" s="19"/>
    </row>
    <row r="3051">
      <c r="A3051" s="9"/>
      <c r="B3051" s="15"/>
      <c r="C3051" s="9">
        <f>IFERROR(__xludf.DUMMYFUNCTION("""COMPUTED_VALUE"""),45112.6557832523)</f>
        <v>45112.65578</v>
      </c>
      <c r="D3051" s="15">
        <f>IFERROR(__xludf.DUMMYFUNCTION("""COMPUTED_VALUE"""),0.999)</f>
        <v>0.999</v>
      </c>
      <c r="E3051" s="16">
        <f>IFERROR(__xludf.DUMMYFUNCTION("""COMPUTED_VALUE"""),71.0)</f>
        <v>71</v>
      </c>
      <c r="F3051" s="19" t="str">
        <f>IFERROR(__xludf.DUMMYFUNCTION("""COMPUTED_VALUE"""),"BLUE")</f>
        <v>BLUE</v>
      </c>
      <c r="G3051" s="20" t="str">
        <f>IFERROR(__xludf.DUMMYFUNCTION("""COMPUTED_VALUE"""),"Uncle Sams Cider (04/04/2023)")</f>
        <v>Uncle Sams Cider (04/04/2023)</v>
      </c>
      <c r="H3051" s="19"/>
    </row>
    <row r="3052">
      <c r="A3052" s="9"/>
      <c r="B3052" s="15"/>
      <c r="C3052" s="9">
        <f>IFERROR(__xludf.DUMMYFUNCTION("""COMPUTED_VALUE"""),45112.6453617245)</f>
        <v>45112.64536</v>
      </c>
      <c r="D3052" s="15">
        <f>IFERROR(__xludf.DUMMYFUNCTION("""COMPUTED_VALUE"""),0.999)</f>
        <v>0.999</v>
      </c>
      <c r="E3052" s="16">
        <f>IFERROR(__xludf.DUMMYFUNCTION("""COMPUTED_VALUE"""),71.0)</f>
        <v>71</v>
      </c>
      <c r="F3052" s="19" t="str">
        <f>IFERROR(__xludf.DUMMYFUNCTION("""COMPUTED_VALUE"""),"BLUE")</f>
        <v>BLUE</v>
      </c>
      <c r="G3052" s="20" t="str">
        <f>IFERROR(__xludf.DUMMYFUNCTION("""COMPUTED_VALUE"""),"Uncle Sams Cider (04/04/2023)")</f>
        <v>Uncle Sams Cider (04/04/2023)</v>
      </c>
      <c r="H3052" s="19"/>
    </row>
    <row r="3053">
      <c r="A3053" s="9"/>
      <c r="B3053" s="15"/>
      <c r="C3053" s="9">
        <f>IFERROR(__xludf.DUMMYFUNCTION("""COMPUTED_VALUE"""),45112.6349410185)</f>
        <v>45112.63494</v>
      </c>
      <c r="D3053" s="15">
        <f>IFERROR(__xludf.DUMMYFUNCTION("""COMPUTED_VALUE"""),0.999)</f>
        <v>0.999</v>
      </c>
      <c r="E3053" s="16">
        <f>IFERROR(__xludf.DUMMYFUNCTION("""COMPUTED_VALUE"""),71.0)</f>
        <v>71</v>
      </c>
      <c r="F3053" s="19" t="str">
        <f>IFERROR(__xludf.DUMMYFUNCTION("""COMPUTED_VALUE"""),"BLUE")</f>
        <v>BLUE</v>
      </c>
      <c r="G3053" s="20" t="str">
        <f>IFERROR(__xludf.DUMMYFUNCTION("""COMPUTED_VALUE"""),"Uncle Sams Cider (04/04/2023)")</f>
        <v>Uncle Sams Cider (04/04/2023)</v>
      </c>
      <c r="H3053" s="19"/>
    </row>
    <row r="3054">
      <c r="A3054" s="9"/>
      <c r="B3054" s="15"/>
      <c r="C3054" s="9">
        <f>IFERROR(__xludf.DUMMYFUNCTION("""COMPUTED_VALUE"""),45112.6245192708)</f>
        <v>45112.62452</v>
      </c>
      <c r="D3054" s="15">
        <f>IFERROR(__xludf.DUMMYFUNCTION("""COMPUTED_VALUE"""),0.999)</f>
        <v>0.999</v>
      </c>
      <c r="E3054" s="16">
        <f>IFERROR(__xludf.DUMMYFUNCTION("""COMPUTED_VALUE"""),71.0)</f>
        <v>71</v>
      </c>
      <c r="F3054" s="19" t="str">
        <f>IFERROR(__xludf.DUMMYFUNCTION("""COMPUTED_VALUE"""),"BLUE")</f>
        <v>BLUE</v>
      </c>
      <c r="G3054" s="20" t="str">
        <f>IFERROR(__xludf.DUMMYFUNCTION("""COMPUTED_VALUE"""),"Uncle Sams Cider (04/04/2023)")</f>
        <v>Uncle Sams Cider (04/04/2023)</v>
      </c>
      <c r="H3054" s="19"/>
    </row>
    <row r="3055">
      <c r="A3055" s="9"/>
      <c r="B3055" s="15"/>
      <c r="C3055" s="9">
        <f>IFERROR(__xludf.DUMMYFUNCTION("""COMPUTED_VALUE"""),45112.6140876041)</f>
        <v>45112.61409</v>
      </c>
      <c r="D3055" s="15">
        <f>IFERROR(__xludf.DUMMYFUNCTION("""COMPUTED_VALUE"""),0.999)</f>
        <v>0.999</v>
      </c>
      <c r="E3055" s="16">
        <f>IFERROR(__xludf.DUMMYFUNCTION("""COMPUTED_VALUE"""),71.0)</f>
        <v>71</v>
      </c>
      <c r="F3055" s="19" t="str">
        <f>IFERROR(__xludf.DUMMYFUNCTION("""COMPUTED_VALUE"""),"BLUE")</f>
        <v>BLUE</v>
      </c>
      <c r="G3055" s="20" t="str">
        <f>IFERROR(__xludf.DUMMYFUNCTION("""COMPUTED_VALUE"""),"Uncle Sams Cider (04/04/2023)")</f>
        <v>Uncle Sams Cider (04/04/2023)</v>
      </c>
      <c r="H3055" s="19"/>
    </row>
    <row r="3056">
      <c r="A3056" s="9"/>
      <c r="B3056" s="15"/>
      <c r="C3056" s="9">
        <f>IFERROR(__xludf.DUMMYFUNCTION("""COMPUTED_VALUE"""),45112.6036666319)</f>
        <v>45112.60367</v>
      </c>
      <c r="D3056" s="15">
        <f>IFERROR(__xludf.DUMMYFUNCTION("""COMPUTED_VALUE"""),0.999)</f>
        <v>0.999</v>
      </c>
      <c r="E3056" s="16">
        <f>IFERROR(__xludf.DUMMYFUNCTION("""COMPUTED_VALUE"""),71.0)</f>
        <v>71</v>
      </c>
      <c r="F3056" s="19" t="str">
        <f>IFERROR(__xludf.DUMMYFUNCTION("""COMPUTED_VALUE"""),"BLUE")</f>
        <v>BLUE</v>
      </c>
      <c r="G3056" s="20" t="str">
        <f>IFERROR(__xludf.DUMMYFUNCTION("""COMPUTED_VALUE"""),"Uncle Sams Cider (04/04/2023)")</f>
        <v>Uncle Sams Cider (04/04/2023)</v>
      </c>
      <c r="H3056" s="19"/>
    </row>
    <row r="3057">
      <c r="A3057" s="9"/>
      <c r="B3057" s="15"/>
      <c r="C3057" s="9">
        <f>IFERROR(__xludf.DUMMYFUNCTION("""COMPUTED_VALUE"""),45112.5932457175)</f>
        <v>45112.59325</v>
      </c>
      <c r="D3057" s="15">
        <f>IFERROR(__xludf.DUMMYFUNCTION("""COMPUTED_VALUE"""),0.999)</f>
        <v>0.999</v>
      </c>
      <c r="E3057" s="16">
        <f>IFERROR(__xludf.DUMMYFUNCTION("""COMPUTED_VALUE"""),71.0)</f>
        <v>71</v>
      </c>
      <c r="F3057" s="19" t="str">
        <f>IFERROR(__xludf.DUMMYFUNCTION("""COMPUTED_VALUE"""),"BLUE")</f>
        <v>BLUE</v>
      </c>
      <c r="G3057" s="20" t="str">
        <f>IFERROR(__xludf.DUMMYFUNCTION("""COMPUTED_VALUE"""),"Uncle Sams Cider (04/04/2023)")</f>
        <v>Uncle Sams Cider (04/04/2023)</v>
      </c>
      <c r="H3057" s="19"/>
    </row>
    <row r="3058">
      <c r="A3058" s="9"/>
      <c r="B3058" s="15"/>
      <c r="C3058" s="9">
        <f>IFERROR(__xludf.DUMMYFUNCTION("""COMPUTED_VALUE"""),45112.5828231365)</f>
        <v>45112.58282</v>
      </c>
      <c r="D3058" s="15">
        <f>IFERROR(__xludf.DUMMYFUNCTION("""COMPUTED_VALUE"""),0.999)</f>
        <v>0.999</v>
      </c>
      <c r="E3058" s="16">
        <f>IFERROR(__xludf.DUMMYFUNCTION("""COMPUTED_VALUE"""),71.0)</f>
        <v>71</v>
      </c>
      <c r="F3058" s="19" t="str">
        <f>IFERROR(__xludf.DUMMYFUNCTION("""COMPUTED_VALUE"""),"BLUE")</f>
        <v>BLUE</v>
      </c>
      <c r="G3058" s="20" t="str">
        <f>IFERROR(__xludf.DUMMYFUNCTION("""COMPUTED_VALUE"""),"Uncle Sams Cider (04/04/2023)")</f>
        <v>Uncle Sams Cider (04/04/2023)</v>
      </c>
      <c r="H3058" s="19"/>
    </row>
    <row r="3059">
      <c r="A3059" s="9"/>
      <c r="B3059" s="15"/>
      <c r="C3059" s="9">
        <f>IFERROR(__xludf.DUMMYFUNCTION("""COMPUTED_VALUE"""),45112.572391331)</f>
        <v>45112.57239</v>
      </c>
      <c r="D3059" s="15">
        <f>IFERROR(__xludf.DUMMYFUNCTION("""COMPUTED_VALUE"""),0.999)</f>
        <v>0.999</v>
      </c>
      <c r="E3059" s="16">
        <f>IFERROR(__xludf.DUMMYFUNCTION("""COMPUTED_VALUE"""),71.0)</f>
        <v>71</v>
      </c>
      <c r="F3059" s="19" t="str">
        <f>IFERROR(__xludf.DUMMYFUNCTION("""COMPUTED_VALUE"""),"BLUE")</f>
        <v>BLUE</v>
      </c>
      <c r="G3059" s="20" t="str">
        <f>IFERROR(__xludf.DUMMYFUNCTION("""COMPUTED_VALUE"""),"Uncle Sams Cider (04/04/2023)")</f>
        <v>Uncle Sams Cider (04/04/2023)</v>
      </c>
      <c r="H3059" s="19"/>
    </row>
    <row r="3060">
      <c r="A3060" s="9"/>
      <c r="B3060" s="15"/>
      <c r="C3060" s="9">
        <f>IFERROR(__xludf.DUMMYFUNCTION("""COMPUTED_VALUE"""),45112.5619712963)</f>
        <v>45112.56197</v>
      </c>
      <c r="D3060" s="15">
        <f>IFERROR(__xludf.DUMMYFUNCTION("""COMPUTED_VALUE"""),0.999)</f>
        <v>0.999</v>
      </c>
      <c r="E3060" s="16">
        <f>IFERROR(__xludf.DUMMYFUNCTION("""COMPUTED_VALUE"""),71.0)</f>
        <v>71</v>
      </c>
      <c r="F3060" s="19" t="str">
        <f>IFERROR(__xludf.DUMMYFUNCTION("""COMPUTED_VALUE"""),"BLUE")</f>
        <v>BLUE</v>
      </c>
      <c r="G3060" s="20" t="str">
        <f>IFERROR(__xludf.DUMMYFUNCTION("""COMPUTED_VALUE"""),"Uncle Sams Cider (04/04/2023)")</f>
        <v>Uncle Sams Cider (04/04/2023)</v>
      </c>
      <c r="H3060" s="19"/>
    </row>
    <row r="3061">
      <c r="A3061" s="9"/>
      <c r="B3061" s="15"/>
      <c r="C3061" s="9">
        <f>IFERROR(__xludf.DUMMYFUNCTION("""COMPUTED_VALUE"""),45112.5515276273)</f>
        <v>45112.55153</v>
      </c>
      <c r="D3061" s="15">
        <f>IFERROR(__xludf.DUMMYFUNCTION("""COMPUTED_VALUE"""),0.999)</f>
        <v>0.999</v>
      </c>
      <c r="E3061" s="16">
        <f>IFERROR(__xludf.DUMMYFUNCTION("""COMPUTED_VALUE"""),71.0)</f>
        <v>71</v>
      </c>
      <c r="F3061" s="19" t="str">
        <f>IFERROR(__xludf.DUMMYFUNCTION("""COMPUTED_VALUE"""),"BLUE")</f>
        <v>BLUE</v>
      </c>
      <c r="G3061" s="20" t="str">
        <f>IFERROR(__xludf.DUMMYFUNCTION("""COMPUTED_VALUE"""),"Uncle Sams Cider (04/04/2023)")</f>
        <v>Uncle Sams Cider (04/04/2023)</v>
      </c>
      <c r="H3061" s="19"/>
    </row>
    <row r="3062">
      <c r="A3062" s="9"/>
      <c r="B3062" s="15"/>
      <c r="C3062" s="9">
        <f>IFERROR(__xludf.DUMMYFUNCTION("""COMPUTED_VALUE"""),45112.5410954629)</f>
        <v>45112.5411</v>
      </c>
      <c r="D3062" s="15">
        <f>IFERROR(__xludf.DUMMYFUNCTION("""COMPUTED_VALUE"""),0.999)</f>
        <v>0.999</v>
      </c>
      <c r="E3062" s="16">
        <f>IFERROR(__xludf.DUMMYFUNCTION("""COMPUTED_VALUE"""),71.0)</f>
        <v>71</v>
      </c>
      <c r="F3062" s="19" t="str">
        <f>IFERROR(__xludf.DUMMYFUNCTION("""COMPUTED_VALUE"""),"BLUE")</f>
        <v>BLUE</v>
      </c>
      <c r="G3062" s="20" t="str">
        <f>IFERROR(__xludf.DUMMYFUNCTION("""COMPUTED_VALUE"""),"Uncle Sams Cider (04/04/2023)")</f>
        <v>Uncle Sams Cider (04/04/2023)</v>
      </c>
      <c r="H3062" s="19"/>
    </row>
    <row r="3063">
      <c r="A3063" s="9"/>
      <c r="B3063" s="15"/>
      <c r="C3063" s="9">
        <f>IFERROR(__xludf.DUMMYFUNCTION("""COMPUTED_VALUE"""),45112.5306722222)</f>
        <v>45112.53067</v>
      </c>
      <c r="D3063" s="15">
        <f>IFERROR(__xludf.DUMMYFUNCTION("""COMPUTED_VALUE"""),0.999)</f>
        <v>0.999</v>
      </c>
      <c r="E3063" s="16">
        <f>IFERROR(__xludf.DUMMYFUNCTION("""COMPUTED_VALUE"""),71.0)</f>
        <v>71</v>
      </c>
      <c r="F3063" s="19" t="str">
        <f>IFERROR(__xludf.DUMMYFUNCTION("""COMPUTED_VALUE"""),"BLUE")</f>
        <v>BLUE</v>
      </c>
      <c r="G3063" s="20" t="str">
        <f>IFERROR(__xludf.DUMMYFUNCTION("""COMPUTED_VALUE"""),"Uncle Sams Cider (04/04/2023)")</f>
        <v>Uncle Sams Cider (04/04/2023)</v>
      </c>
      <c r="H3063" s="19"/>
    </row>
    <row r="3064">
      <c r="A3064" s="9"/>
      <c r="B3064" s="15"/>
      <c r="C3064" s="9">
        <f>IFERROR(__xludf.DUMMYFUNCTION("""COMPUTED_VALUE"""),45112.5202506828)</f>
        <v>45112.52025</v>
      </c>
      <c r="D3064" s="15">
        <f>IFERROR(__xludf.DUMMYFUNCTION("""COMPUTED_VALUE"""),0.999)</f>
        <v>0.999</v>
      </c>
      <c r="E3064" s="16">
        <f>IFERROR(__xludf.DUMMYFUNCTION("""COMPUTED_VALUE"""),71.0)</f>
        <v>71</v>
      </c>
      <c r="F3064" s="19" t="str">
        <f>IFERROR(__xludf.DUMMYFUNCTION("""COMPUTED_VALUE"""),"BLUE")</f>
        <v>BLUE</v>
      </c>
      <c r="G3064" s="20" t="str">
        <f>IFERROR(__xludf.DUMMYFUNCTION("""COMPUTED_VALUE"""),"Uncle Sams Cider (04/04/2023)")</f>
        <v>Uncle Sams Cider (04/04/2023)</v>
      </c>
      <c r="H3064" s="19"/>
    </row>
    <row r="3065">
      <c r="A3065" s="9"/>
      <c r="B3065" s="15"/>
      <c r="C3065" s="9">
        <f>IFERROR(__xludf.DUMMYFUNCTION("""COMPUTED_VALUE"""),45112.5098289467)</f>
        <v>45112.50983</v>
      </c>
      <c r="D3065" s="15">
        <f>IFERROR(__xludf.DUMMYFUNCTION("""COMPUTED_VALUE"""),0.999)</f>
        <v>0.999</v>
      </c>
      <c r="E3065" s="16">
        <f>IFERROR(__xludf.DUMMYFUNCTION("""COMPUTED_VALUE"""),71.0)</f>
        <v>71</v>
      </c>
      <c r="F3065" s="19" t="str">
        <f>IFERROR(__xludf.DUMMYFUNCTION("""COMPUTED_VALUE"""),"BLUE")</f>
        <v>BLUE</v>
      </c>
      <c r="G3065" s="20" t="str">
        <f>IFERROR(__xludf.DUMMYFUNCTION("""COMPUTED_VALUE"""),"Uncle Sams Cider (04/04/2023)")</f>
        <v>Uncle Sams Cider (04/04/2023)</v>
      </c>
      <c r="H3065" s="19"/>
    </row>
    <row r="3066">
      <c r="A3066" s="9"/>
      <c r="B3066" s="15"/>
      <c r="C3066" s="9">
        <f>IFERROR(__xludf.DUMMYFUNCTION("""COMPUTED_VALUE"""),45112.4993954745)</f>
        <v>45112.4994</v>
      </c>
      <c r="D3066" s="15">
        <f>IFERROR(__xludf.DUMMYFUNCTION("""COMPUTED_VALUE"""),0.999)</f>
        <v>0.999</v>
      </c>
      <c r="E3066" s="16">
        <f>IFERROR(__xludf.DUMMYFUNCTION("""COMPUTED_VALUE"""),71.0)</f>
        <v>71</v>
      </c>
      <c r="F3066" s="19" t="str">
        <f>IFERROR(__xludf.DUMMYFUNCTION("""COMPUTED_VALUE"""),"BLUE")</f>
        <v>BLUE</v>
      </c>
      <c r="G3066" s="20" t="str">
        <f>IFERROR(__xludf.DUMMYFUNCTION("""COMPUTED_VALUE"""),"Uncle Sams Cider (04/04/2023)")</f>
        <v>Uncle Sams Cider (04/04/2023)</v>
      </c>
      <c r="H3066" s="19"/>
    </row>
    <row r="3067">
      <c r="A3067" s="9"/>
      <c r="B3067" s="15"/>
      <c r="C3067" s="9">
        <f>IFERROR(__xludf.DUMMYFUNCTION("""COMPUTED_VALUE"""),45112.4889751041)</f>
        <v>45112.48898</v>
      </c>
      <c r="D3067" s="15">
        <f>IFERROR(__xludf.DUMMYFUNCTION("""COMPUTED_VALUE"""),0.999)</f>
        <v>0.999</v>
      </c>
      <c r="E3067" s="16">
        <f>IFERROR(__xludf.DUMMYFUNCTION("""COMPUTED_VALUE"""),71.0)</f>
        <v>71</v>
      </c>
      <c r="F3067" s="19" t="str">
        <f>IFERROR(__xludf.DUMMYFUNCTION("""COMPUTED_VALUE"""),"BLUE")</f>
        <v>BLUE</v>
      </c>
      <c r="G3067" s="20" t="str">
        <f>IFERROR(__xludf.DUMMYFUNCTION("""COMPUTED_VALUE"""),"Uncle Sams Cider (04/04/2023)")</f>
        <v>Uncle Sams Cider (04/04/2023)</v>
      </c>
      <c r="H3067" s="19"/>
    </row>
    <row r="3068">
      <c r="A3068" s="9"/>
      <c r="B3068" s="15"/>
      <c r="C3068" s="9">
        <f>IFERROR(__xludf.DUMMYFUNCTION("""COMPUTED_VALUE"""),45112.4785544907)</f>
        <v>45112.47855</v>
      </c>
      <c r="D3068" s="15">
        <f>IFERROR(__xludf.DUMMYFUNCTION("""COMPUTED_VALUE"""),0.999)</f>
        <v>0.999</v>
      </c>
      <c r="E3068" s="16">
        <f>IFERROR(__xludf.DUMMYFUNCTION("""COMPUTED_VALUE"""),71.0)</f>
        <v>71</v>
      </c>
      <c r="F3068" s="19" t="str">
        <f>IFERROR(__xludf.DUMMYFUNCTION("""COMPUTED_VALUE"""),"BLUE")</f>
        <v>BLUE</v>
      </c>
      <c r="G3068" s="20" t="str">
        <f>IFERROR(__xludf.DUMMYFUNCTION("""COMPUTED_VALUE"""),"Uncle Sams Cider (04/04/2023)")</f>
        <v>Uncle Sams Cider (04/04/2023)</v>
      </c>
      <c r="H3068" s="19"/>
    </row>
    <row r="3069">
      <c r="A3069" s="9"/>
      <c r="B3069" s="15"/>
      <c r="C3069" s="9">
        <f>IFERROR(__xludf.DUMMYFUNCTION("""COMPUTED_VALUE"""),45112.4681194791)</f>
        <v>45112.46812</v>
      </c>
      <c r="D3069" s="15">
        <f>IFERROR(__xludf.DUMMYFUNCTION("""COMPUTED_VALUE"""),0.999)</f>
        <v>0.999</v>
      </c>
      <c r="E3069" s="16">
        <f>IFERROR(__xludf.DUMMYFUNCTION("""COMPUTED_VALUE"""),71.0)</f>
        <v>71</v>
      </c>
      <c r="F3069" s="19" t="str">
        <f>IFERROR(__xludf.DUMMYFUNCTION("""COMPUTED_VALUE"""),"BLUE")</f>
        <v>BLUE</v>
      </c>
      <c r="G3069" s="20" t="str">
        <f>IFERROR(__xludf.DUMMYFUNCTION("""COMPUTED_VALUE"""),"Uncle Sams Cider (04/04/2023)")</f>
        <v>Uncle Sams Cider (04/04/2023)</v>
      </c>
      <c r="H3069" s="19"/>
    </row>
    <row r="3070">
      <c r="A3070" s="9"/>
      <c r="B3070" s="15"/>
      <c r="C3070" s="9">
        <f>IFERROR(__xludf.DUMMYFUNCTION("""COMPUTED_VALUE"""),45112.4576981018)</f>
        <v>45112.4577</v>
      </c>
      <c r="D3070" s="15">
        <f>IFERROR(__xludf.DUMMYFUNCTION("""COMPUTED_VALUE"""),0.999)</f>
        <v>0.999</v>
      </c>
      <c r="E3070" s="16">
        <f>IFERROR(__xludf.DUMMYFUNCTION("""COMPUTED_VALUE"""),71.0)</f>
        <v>71</v>
      </c>
      <c r="F3070" s="19" t="str">
        <f>IFERROR(__xludf.DUMMYFUNCTION("""COMPUTED_VALUE"""),"BLUE")</f>
        <v>BLUE</v>
      </c>
      <c r="G3070" s="20" t="str">
        <f>IFERROR(__xludf.DUMMYFUNCTION("""COMPUTED_VALUE"""),"Uncle Sams Cider (04/04/2023)")</f>
        <v>Uncle Sams Cider (04/04/2023)</v>
      </c>
      <c r="H3070" s="19"/>
    </row>
    <row r="3071">
      <c r="A3071" s="9"/>
      <c r="B3071" s="15"/>
      <c r="C3071" s="9">
        <f>IFERROR(__xludf.DUMMYFUNCTION("""COMPUTED_VALUE"""),45112.4472667129)</f>
        <v>45112.44727</v>
      </c>
      <c r="D3071" s="15">
        <f>IFERROR(__xludf.DUMMYFUNCTION("""COMPUTED_VALUE"""),0.999)</f>
        <v>0.999</v>
      </c>
      <c r="E3071" s="16">
        <f>IFERROR(__xludf.DUMMYFUNCTION("""COMPUTED_VALUE"""),71.0)</f>
        <v>71</v>
      </c>
      <c r="F3071" s="19" t="str">
        <f>IFERROR(__xludf.DUMMYFUNCTION("""COMPUTED_VALUE"""),"BLUE")</f>
        <v>BLUE</v>
      </c>
      <c r="G3071" s="20" t="str">
        <f>IFERROR(__xludf.DUMMYFUNCTION("""COMPUTED_VALUE"""),"Uncle Sams Cider (04/04/2023)")</f>
        <v>Uncle Sams Cider (04/04/2023)</v>
      </c>
      <c r="H3071" s="19"/>
    </row>
    <row r="3072">
      <c r="A3072" s="9"/>
      <c r="B3072" s="15"/>
      <c r="C3072" s="9">
        <f>IFERROR(__xludf.DUMMYFUNCTION("""COMPUTED_VALUE"""),45112.4368448842)</f>
        <v>45112.43684</v>
      </c>
      <c r="D3072" s="15">
        <f>IFERROR(__xludf.DUMMYFUNCTION("""COMPUTED_VALUE"""),0.999)</f>
        <v>0.999</v>
      </c>
      <c r="E3072" s="16">
        <f>IFERROR(__xludf.DUMMYFUNCTION("""COMPUTED_VALUE"""),71.0)</f>
        <v>71</v>
      </c>
      <c r="F3072" s="19" t="str">
        <f>IFERROR(__xludf.DUMMYFUNCTION("""COMPUTED_VALUE"""),"BLUE")</f>
        <v>BLUE</v>
      </c>
      <c r="G3072" s="20" t="str">
        <f>IFERROR(__xludf.DUMMYFUNCTION("""COMPUTED_VALUE"""),"Uncle Sams Cider (04/04/2023)")</f>
        <v>Uncle Sams Cider (04/04/2023)</v>
      </c>
      <c r="H3072" s="19"/>
    </row>
    <row r="3073">
      <c r="A3073" s="9"/>
      <c r="B3073" s="15"/>
      <c r="C3073" s="9">
        <f>IFERROR(__xludf.DUMMYFUNCTION("""COMPUTED_VALUE"""),45112.4264234259)</f>
        <v>45112.42642</v>
      </c>
      <c r="D3073" s="15">
        <f>IFERROR(__xludf.DUMMYFUNCTION("""COMPUTED_VALUE"""),0.999)</f>
        <v>0.999</v>
      </c>
      <c r="E3073" s="16">
        <f>IFERROR(__xludf.DUMMYFUNCTION("""COMPUTED_VALUE"""),71.0)</f>
        <v>71</v>
      </c>
      <c r="F3073" s="19" t="str">
        <f>IFERROR(__xludf.DUMMYFUNCTION("""COMPUTED_VALUE"""),"BLUE")</f>
        <v>BLUE</v>
      </c>
      <c r="G3073" s="20" t="str">
        <f>IFERROR(__xludf.DUMMYFUNCTION("""COMPUTED_VALUE"""),"Uncle Sams Cider (04/04/2023)")</f>
        <v>Uncle Sams Cider (04/04/2023)</v>
      </c>
      <c r="H3073" s="19"/>
    </row>
    <row r="3074">
      <c r="A3074" s="9"/>
      <c r="B3074" s="15"/>
      <c r="C3074" s="9">
        <f>IFERROR(__xludf.DUMMYFUNCTION("""COMPUTED_VALUE"""),45112.4160008564)</f>
        <v>45112.416</v>
      </c>
      <c r="D3074" s="15">
        <f>IFERROR(__xludf.DUMMYFUNCTION("""COMPUTED_VALUE"""),0.999)</f>
        <v>0.999</v>
      </c>
      <c r="E3074" s="16">
        <f>IFERROR(__xludf.DUMMYFUNCTION("""COMPUTED_VALUE"""),71.0)</f>
        <v>71</v>
      </c>
      <c r="F3074" s="19" t="str">
        <f>IFERROR(__xludf.DUMMYFUNCTION("""COMPUTED_VALUE"""),"BLUE")</f>
        <v>BLUE</v>
      </c>
      <c r="G3074" s="20" t="str">
        <f>IFERROR(__xludf.DUMMYFUNCTION("""COMPUTED_VALUE"""),"Uncle Sams Cider (04/04/2023)")</f>
        <v>Uncle Sams Cider (04/04/2023)</v>
      </c>
      <c r="H3074" s="19"/>
    </row>
    <row r="3075">
      <c r="A3075" s="9"/>
      <c r="B3075" s="15"/>
      <c r="C3075" s="9">
        <f>IFERROR(__xludf.DUMMYFUNCTION("""COMPUTED_VALUE"""),45112.4055801504)</f>
        <v>45112.40558</v>
      </c>
      <c r="D3075" s="15">
        <f>IFERROR(__xludf.DUMMYFUNCTION("""COMPUTED_VALUE"""),0.999)</f>
        <v>0.999</v>
      </c>
      <c r="E3075" s="16">
        <f>IFERROR(__xludf.DUMMYFUNCTION("""COMPUTED_VALUE"""),71.0)</f>
        <v>71</v>
      </c>
      <c r="F3075" s="19" t="str">
        <f>IFERROR(__xludf.DUMMYFUNCTION("""COMPUTED_VALUE"""),"BLUE")</f>
        <v>BLUE</v>
      </c>
      <c r="G3075" s="20" t="str">
        <f>IFERROR(__xludf.DUMMYFUNCTION("""COMPUTED_VALUE"""),"Uncle Sams Cider (04/04/2023)")</f>
        <v>Uncle Sams Cider (04/04/2023)</v>
      </c>
      <c r="H3075" s="19"/>
    </row>
    <row r="3076">
      <c r="A3076" s="9"/>
      <c r="B3076" s="15"/>
      <c r="C3076" s="9">
        <f>IFERROR(__xludf.DUMMYFUNCTION("""COMPUTED_VALUE"""),45112.3951574074)</f>
        <v>45112.39516</v>
      </c>
      <c r="D3076" s="15">
        <f>IFERROR(__xludf.DUMMYFUNCTION("""COMPUTED_VALUE"""),0.999)</f>
        <v>0.999</v>
      </c>
      <c r="E3076" s="16">
        <f>IFERROR(__xludf.DUMMYFUNCTION("""COMPUTED_VALUE"""),71.0)</f>
        <v>71</v>
      </c>
      <c r="F3076" s="19" t="str">
        <f>IFERROR(__xludf.DUMMYFUNCTION("""COMPUTED_VALUE"""),"BLUE")</f>
        <v>BLUE</v>
      </c>
      <c r="G3076" s="20" t="str">
        <f>IFERROR(__xludf.DUMMYFUNCTION("""COMPUTED_VALUE"""),"Uncle Sams Cider (04/04/2023)")</f>
        <v>Uncle Sams Cider (04/04/2023)</v>
      </c>
      <c r="H3076" s="19"/>
    </row>
    <row r="3077">
      <c r="A3077" s="9"/>
      <c r="B3077" s="15"/>
      <c r="C3077" s="9">
        <f>IFERROR(__xludf.DUMMYFUNCTION("""COMPUTED_VALUE"""),45112.3847265046)</f>
        <v>45112.38473</v>
      </c>
      <c r="D3077" s="15">
        <f>IFERROR(__xludf.DUMMYFUNCTION("""COMPUTED_VALUE"""),0.999)</f>
        <v>0.999</v>
      </c>
      <c r="E3077" s="16">
        <f>IFERROR(__xludf.DUMMYFUNCTION("""COMPUTED_VALUE"""),71.0)</f>
        <v>71</v>
      </c>
      <c r="F3077" s="19" t="str">
        <f>IFERROR(__xludf.DUMMYFUNCTION("""COMPUTED_VALUE"""),"BLUE")</f>
        <v>BLUE</v>
      </c>
      <c r="G3077" s="20" t="str">
        <f>IFERROR(__xludf.DUMMYFUNCTION("""COMPUTED_VALUE"""),"Uncle Sams Cider (04/04/2023)")</f>
        <v>Uncle Sams Cider (04/04/2023)</v>
      </c>
      <c r="H3077" s="19"/>
    </row>
    <row r="3078">
      <c r="A3078" s="9"/>
      <c r="B3078" s="15"/>
      <c r="C3078" s="9">
        <f>IFERROR(__xludf.DUMMYFUNCTION("""COMPUTED_VALUE"""),45112.3743032986)</f>
        <v>45112.3743</v>
      </c>
      <c r="D3078" s="15">
        <f>IFERROR(__xludf.DUMMYFUNCTION("""COMPUTED_VALUE"""),0.999)</f>
        <v>0.999</v>
      </c>
      <c r="E3078" s="16">
        <f>IFERROR(__xludf.DUMMYFUNCTION("""COMPUTED_VALUE"""),71.0)</f>
        <v>71</v>
      </c>
      <c r="F3078" s="19" t="str">
        <f>IFERROR(__xludf.DUMMYFUNCTION("""COMPUTED_VALUE"""),"BLUE")</f>
        <v>BLUE</v>
      </c>
      <c r="G3078" s="20" t="str">
        <f>IFERROR(__xludf.DUMMYFUNCTION("""COMPUTED_VALUE"""),"Uncle Sams Cider (04/04/2023)")</f>
        <v>Uncle Sams Cider (04/04/2023)</v>
      </c>
      <c r="H3078" s="19"/>
    </row>
    <row r="3079">
      <c r="A3079" s="9"/>
      <c r="B3079" s="15"/>
      <c r="C3079" s="9">
        <f>IFERROR(__xludf.DUMMYFUNCTION("""COMPUTED_VALUE"""),45112.3638808912)</f>
        <v>45112.36388</v>
      </c>
      <c r="D3079" s="15">
        <f>IFERROR(__xludf.DUMMYFUNCTION("""COMPUTED_VALUE"""),0.999)</f>
        <v>0.999</v>
      </c>
      <c r="E3079" s="16">
        <f>IFERROR(__xludf.DUMMYFUNCTION("""COMPUTED_VALUE"""),71.0)</f>
        <v>71</v>
      </c>
      <c r="F3079" s="19" t="str">
        <f>IFERROR(__xludf.DUMMYFUNCTION("""COMPUTED_VALUE"""),"BLUE")</f>
        <v>BLUE</v>
      </c>
      <c r="G3079" s="20" t="str">
        <f>IFERROR(__xludf.DUMMYFUNCTION("""COMPUTED_VALUE"""),"Uncle Sams Cider (04/04/2023)")</f>
        <v>Uncle Sams Cider (04/04/2023)</v>
      </c>
      <c r="H3079" s="19"/>
    </row>
    <row r="3080">
      <c r="A3080" s="9"/>
      <c r="B3080" s="15"/>
      <c r="C3080" s="9">
        <f>IFERROR(__xludf.DUMMYFUNCTION("""COMPUTED_VALUE"""),45112.3534618402)</f>
        <v>45112.35346</v>
      </c>
      <c r="D3080" s="15">
        <f>IFERROR(__xludf.DUMMYFUNCTION("""COMPUTED_VALUE"""),0.999)</f>
        <v>0.999</v>
      </c>
      <c r="E3080" s="16">
        <f>IFERROR(__xludf.DUMMYFUNCTION("""COMPUTED_VALUE"""),71.0)</f>
        <v>71</v>
      </c>
      <c r="F3080" s="19" t="str">
        <f>IFERROR(__xludf.DUMMYFUNCTION("""COMPUTED_VALUE"""),"BLUE")</f>
        <v>BLUE</v>
      </c>
      <c r="G3080" s="20" t="str">
        <f>IFERROR(__xludf.DUMMYFUNCTION("""COMPUTED_VALUE"""),"Uncle Sams Cider (04/04/2023)")</f>
        <v>Uncle Sams Cider (04/04/2023)</v>
      </c>
      <c r="H3080" s="19"/>
    </row>
    <row r="3081">
      <c r="A3081" s="9"/>
      <c r="B3081" s="15"/>
      <c r="C3081" s="9">
        <f>IFERROR(__xludf.DUMMYFUNCTION("""COMPUTED_VALUE"""),45112.343042199)</f>
        <v>45112.34304</v>
      </c>
      <c r="D3081" s="15">
        <f>IFERROR(__xludf.DUMMYFUNCTION("""COMPUTED_VALUE"""),0.999)</f>
        <v>0.999</v>
      </c>
      <c r="E3081" s="16">
        <f>IFERROR(__xludf.DUMMYFUNCTION("""COMPUTED_VALUE"""),71.0)</f>
        <v>71</v>
      </c>
      <c r="F3081" s="19" t="str">
        <f>IFERROR(__xludf.DUMMYFUNCTION("""COMPUTED_VALUE"""),"BLUE")</f>
        <v>BLUE</v>
      </c>
      <c r="G3081" s="20" t="str">
        <f>IFERROR(__xludf.DUMMYFUNCTION("""COMPUTED_VALUE"""),"Uncle Sams Cider (04/04/2023)")</f>
        <v>Uncle Sams Cider (04/04/2023)</v>
      </c>
      <c r="H3081" s="19"/>
    </row>
    <row r="3082">
      <c r="A3082" s="9"/>
      <c r="B3082" s="15"/>
      <c r="C3082" s="9">
        <f>IFERROR(__xludf.DUMMYFUNCTION("""COMPUTED_VALUE"""),45112.3326223379)</f>
        <v>45112.33262</v>
      </c>
      <c r="D3082" s="15">
        <f>IFERROR(__xludf.DUMMYFUNCTION("""COMPUTED_VALUE"""),0.999)</f>
        <v>0.999</v>
      </c>
      <c r="E3082" s="16">
        <f>IFERROR(__xludf.DUMMYFUNCTION("""COMPUTED_VALUE"""),71.0)</f>
        <v>71</v>
      </c>
      <c r="F3082" s="19" t="str">
        <f>IFERROR(__xludf.DUMMYFUNCTION("""COMPUTED_VALUE"""),"BLUE")</f>
        <v>BLUE</v>
      </c>
      <c r="G3082" s="20" t="str">
        <f>IFERROR(__xludf.DUMMYFUNCTION("""COMPUTED_VALUE"""),"Uncle Sams Cider (04/04/2023)")</f>
        <v>Uncle Sams Cider (04/04/2023)</v>
      </c>
      <c r="H3082" s="19"/>
    </row>
    <row r="3083">
      <c r="A3083" s="9"/>
      <c r="B3083" s="15"/>
      <c r="C3083" s="9">
        <f>IFERROR(__xludf.DUMMYFUNCTION("""COMPUTED_VALUE"""),45112.322199375)</f>
        <v>45112.3222</v>
      </c>
      <c r="D3083" s="15">
        <f>IFERROR(__xludf.DUMMYFUNCTION("""COMPUTED_VALUE"""),0.999)</f>
        <v>0.999</v>
      </c>
      <c r="E3083" s="16">
        <f>IFERROR(__xludf.DUMMYFUNCTION("""COMPUTED_VALUE"""),71.0)</f>
        <v>71</v>
      </c>
      <c r="F3083" s="19" t="str">
        <f>IFERROR(__xludf.DUMMYFUNCTION("""COMPUTED_VALUE"""),"BLUE")</f>
        <v>BLUE</v>
      </c>
      <c r="G3083" s="20" t="str">
        <f>IFERROR(__xludf.DUMMYFUNCTION("""COMPUTED_VALUE"""),"Uncle Sams Cider (04/04/2023)")</f>
        <v>Uncle Sams Cider (04/04/2023)</v>
      </c>
      <c r="H3083" s="19"/>
    </row>
    <row r="3084">
      <c r="A3084" s="9"/>
      <c r="B3084" s="15"/>
      <c r="C3084" s="9">
        <f>IFERROR(__xludf.DUMMYFUNCTION("""COMPUTED_VALUE"""),45112.3117779745)</f>
        <v>45112.31178</v>
      </c>
      <c r="D3084" s="15">
        <f>IFERROR(__xludf.DUMMYFUNCTION("""COMPUTED_VALUE"""),0.999)</f>
        <v>0.999</v>
      </c>
      <c r="E3084" s="16">
        <f>IFERROR(__xludf.DUMMYFUNCTION("""COMPUTED_VALUE"""),71.0)</f>
        <v>71</v>
      </c>
      <c r="F3084" s="19" t="str">
        <f>IFERROR(__xludf.DUMMYFUNCTION("""COMPUTED_VALUE"""),"BLUE")</f>
        <v>BLUE</v>
      </c>
      <c r="G3084" s="20" t="str">
        <f>IFERROR(__xludf.DUMMYFUNCTION("""COMPUTED_VALUE"""),"Uncle Sams Cider (04/04/2023)")</f>
        <v>Uncle Sams Cider (04/04/2023)</v>
      </c>
      <c r="H3084" s="19"/>
    </row>
    <row r="3085">
      <c r="A3085" s="9"/>
      <c r="B3085" s="15"/>
      <c r="C3085" s="9">
        <f>IFERROR(__xludf.DUMMYFUNCTION("""COMPUTED_VALUE"""),45112.3013582291)</f>
        <v>45112.30136</v>
      </c>
      <c r="D3085" s="15">
        <f>IFERROR(__xludf.DUMMYFUNCTION("""COMPUTED_VALUE"""),0.999)</f>
        <v>0.999</v>
      </c>
      <c r="E3085" s="16">
        <f>IFERROR(__xludf.DUMMYFUNCTION("""COMPUTED_VALUE"""),71.0)</f>
        <v>71</v>
      </c>
      <c r="F3085" s="19" t="str">
        <f>IFERROR(__xludf.DUMMYFUNCTION("""COMPUTED_VALUE"""),"BLUE")</f>
        <v>BLUE</v>
      </c>
      <c r="G3085" s="20" t="str">
        <f>IFERROR(__xludf.DUMMYFUNCTION("""COMPUTED_VALUE"""),"Uncle Sams Cider (04/04/2023)")</f>
        <v>Uncle Sams Cider (04/04/2023)</v>
      </c>
      <c r="H3085" s="19"/>
    </row>
    <row r="3086">
      <c r="A3086" s="9"/>
      <c r="B3086" s="15"/>
      <c r="C3086" s="9">
        <f>IFERROR(__xludf.DUMMYFUNCTION("""COMPUTED_VALUE"""),45112.2909256365)</f>
        <v>45112.29093</v>
      </c>
      <c r="D3086" s="15">
        <f>IFERROR(__xludf.DUMMYFUNCTION("""COMPUTED_VALUE"""),0.999)</f>
        <v>0.999</v>
      </c>
      <c r="E3086" s="16">
        <f>IFERROR(__xludf.DUMMYFUNCTION("""COMPUTED_VALUE"""),71.0)</f>
        <v>71</v>
      </c>
      <c r="F3086" s="19" t="str">
        <f>IFERROR(__xludf.DUMMYFUNCTION("""COMPUTED_VALUE"""),"BLUE")</f>
        <v>BLUE</v>
      </c>
      <c r="G3086" s="20" t="str">
        <f>IFERROR(__xludf.DUMMYFUNCTION("""COMPUTED_VALUE"""),"Uncle Sams Cider (04/04/2023)")</f>
        <v>Uncle Sams Cider (04/04/2023)</v>
      </c>
      <c r="H3086" s="19"/>
    </row>
    <row r="3087">
      <c r="A3087" s="9"/>
      <c r="B3087" s="15"/>
      <c r="C3087" s="9">
        <f>IFERROR(__xludf.DUMMYFUNCTION("""COMPUTED_VALUE"""),45112.2805031134)</f>
        <v>45112.2805</v>
      </c>
      <c r="D3087" s="15">
        <f>IFERROR(__xludf.DUMMYFUNCTION("""COMPUTED_VALUE"""),0.999)</f>
        <v>0.999</v>
      </c>
      <c r="E3087" s="16">
        <f>IFERROR(__xludf.DUMMYFUNCTION("""COMPUTED_VALUE"""),71.0)</f>
        <v>71</v>
      </c>
      <c r="F3087" s="19" t="str">
        <f>IFERROR(__xludf.DUMMYFUNCTION("""COMPUTED_VALUE"""),"BLUE")</f>
        <v>BLUE</v>
      </c>
      <c r="G3087" s="20" t="str">
        <f>IFERROR(__xludf.DUMMYFUNCTION("""COMPUTED_VALUE"""),"Uncle Sams Cider (04/04/2023)")</f>
        <v>Uncle Sams Cider (04/04/2023)</v>
      </c>
      <c r="H3087" s="19"/>
    </row>
    <row r="3088">
      <c r="A3088" s="9"/>
      <c r="B3088" s="15"/>
      <c r="C3088" s="9">
        <f>IFERROR(__xludf.DUMMYFUNCTION("""COMPUTED_VALUE"""),45112.27008103)</f>
        <v>45112.27008</v>
      </c>
      <c r="D3088" s="15">
        <f>IFERROR(__xludf.DUMMYFUNCTION("""COMPUTED_VALUE"""),0.999)</f>
        <v>0.999</v>
      </c>
      <c r="E3088" s="16">
        <f>IFERROR(__xludf.DUMMYFUNCTION("""COMPUTED_VALUE"""),71.0)</f>
        <v>71</v>
      </c>
      <c r="F3088" s="19" t="str">
        <f>IFERROR(__xludf.DUMMYFUNCTION("""COMPUTED_VALUE"""),"BLUE")</f>
        <v>BLUE</v>
      </c>
      <c r="G3088" s="20" t="str">
        <f>IFERROR(__xludf.DUMMYFUNCTION("""COMPUTED_VALUE"""),"Uncle Sams Cider (04/04/2023)")</f>
        <v>Uncle Sams Cider (04/04/2023)</v>
      </c>
      <c r="H3088" s="19"/>
    </row>
    <row r="3089">
      <c r="A3089" s="9"/>
      <c r="B3089" s="15"/>
      <c r="C3089" s="9">
        <f>IFERROR(__xludf.DUMMYFUNCTION("""COMPUTED_VALUE"""),45112.2596613773)</f>
        <v>45112.25966</v>
      </c>
      <c r="D3089" s="15">
        <f>IFERROR(__xludf.DUMMYFUNCTION("""COMPUTED_VALUE"""),0.999)</f>
        <v>0.999</v>
      </c>
      <c r="E3089" s="16">
        <f>IFERROR(__xludf.DUMMYFUNCTION("""COMPUTED_VALUE"""),71.0)</f>
        <v>71</v>
      </c>
      <c r="F3089" s="19" t="str">
        <f>IFERROR(__xludf.DUMMYFUNCTION("""COMPUTED_VALUE"""),"BLUE")</f>
        <v>BLUE</v>
      </c>
      <c r="G3089" s="20" t="str">
        <f>IFERROR(__xludf.DUMMYFUNCTION("""COMPUTED_VALUE"""),"Uncle Sams Cider (04/04/2023)")</f>
        <v>Uncle Sams Cider (04/04/2023)</v>
      </c>
      <c r="H3089" s="19"/>
    </row>
    <row r="3090">
      <c r="A3090" s="9"/>
      <c r="B3090" s="15"/>
      <c r="C3090" s="9">
        <f>IFERROR(__xludf.DUMMYFUNCTION("""COMPUTED_VALUE"""),45112.2492408912)</f>
        <v>45112.24924</v>
      </c>
      <c r="D3090" s="15">
        <f>IFERROR(__xludf.DUMMYFUNCTION("""COMPUTED_VALUE"""),0.999)</f>
        <v>0.999</v>
      </c>
      <c r="E3090" s="16">
        <f>IFERROR(__xludf.DUMMYFUNCTION("""COMPUTED_VALUE"""),71.0)</f>
        <v>71</v>
      </c>
      <c r="F3090" s="19" t="str">
        <f>IFERROR(__xludf.DUMMYFUNCTION("""COMPUTED_VALUE"""),"BLUE")</f>
        <v>BLUE</v>
      </c>
      <c r="G3090" s="20" t="str">
        <f>IFERROR(__xludf.DUMMYFUNCTION("""COMPUTED_VALUE"""),"Uncle Sams Cider (04/04/2023)")</f>
        <v>Uncle Sams Cider (04/04/2023)</v>
      </c>
      <c r="H3090" s="19"/>
    </row>
    <row r="3091">
      <c r="A3091" s="9"/>
      <c r="B3091" s="15"/>
      <c r="C3091" s="9">
        <f>IFERROR(__xludf.DUMMYFUNCTION("""COMPUTED_VALUE"""),45112.2387979398)</f>
        <v>45112.2388</v>
      </c>
      <c r="D3091" s="15">
        <f>IFERROR(__xludf.DUMMYFUNCTION("""COMPUTED_VALUE"""),0.999)</f>
        <v>0.999</v>
      </c>
      <c r="E3091" s="16">
        <f>IFERROR(__xludf.DUMMYFUNCTION("""COMPUTED_VALUE"""),71.0)</f>
        <v>71</v>
      </c>
      <c r="F3091" s="19" t="str">
        <f>IFERROR(__xludf.DUMMYFUNCTION("""COMPUTED_VALUE"""),"BLUE")</f>
        <v>BLUE</v>
      </c>
      <c r="G3091" s="20" t="str">
        <f>IFERROR(__xludf.DUMMYFUNCTION("""COMPUTED_VALUE"""),"Uncle Sams Cider (04/04/2023)")</f>
        <v>Uncle Sams Cider (04/04/2023)</v>
      </c>
      <c r="H3091" s="19"/>
    </row>
    <row r="3092">
      <c r="A3092" s="9"/>
      <c r="B3092" s="15"/>
      <c r="C3092" s="9">
        <f>IFERROR(__xludf.DUMMYFUNCTION("""COMPUTED_VALUE"""),45112.2283647916)</f>
        <v>45112.22836</v>
      </c>
      <c r="D3092" s="15">
        <f>IFERROR(__xludf.DUMMYFUNCTION("""COMPUTED_VALUE"""),0.999)</f>
        <v>0.999</v>
      </c>
      <c r="E3092" s="16">
        <f>IFERROR(__xludf.DUMMYFUNCTION("""COMPUTED_VALUE"""),71.0)</f>
        <v>71</v>
      </c>
      <c r="F3092" s="19" t="str">
        <f>IFERROR(__xludf.DUMMYFUNCTION("""COMPUTED_VALUE"""),"BLUE")</f>
        <v>BLUE</v>
      </c>
      <c r="G3092" s="20" t="str">
        <f>IFERROR(__xludf.DUMMYFUNCTION("""COMPUTED_VALUE"""),"Uncle Sams Cider (04/04/2023)")</f>
        <v>Uncle Sams Cider (04/04/2023)</v>
      </c>
      <c r="H3092" s="19"/>
    </row>
    <row r="3093">
      <c r="A3093" s="9"/>
      <c r="B3093" s="15"/>
      <c r="C3093" s="9">
        <f>IFERROR(__xludf.DUMMYFUNCTION("""COMPUTED_VALUE"""),45112.217933206)</f>
        <v>45112.21793</v>
      </c>
      <c r="D3093" s="15">
        <f>IFERROR(__xludf.DUMMYFUNCTION("""COMPUTED_VALUE"""),0.999)</f>
        <v>0.999</v>
      </c>
      <c r="E3093" s="16">
        <f>IFERROR(__xludf.DUMMYFUNCTION("""COMPUTED_VALUE"""),71.0)</f>
        <v>71</v>
      </c>
      <c r="F3093" s="19" t="str">
        <f>IFERROR(__xludf.DUMMYFUNCTION("""COMPUTED_VALUE"""),"BLUE")</f>
        <v>BLUE</v>
      </c>
      <c r="G3093" s="20" t="str">
        <f>IFERROR(__xludf.DUMMYFUNCTION("""COMPUTED_VALUE"""),"Uncle Sams Cider (04/04/2023)")</f>
        <v>Uncle Sams Cider (04/04/2023)</v>
      </c>
      <c r="H3093" s="19"/>
    </row>
    <row r="3094">
      <c r="A3094" s="9"/>
      <c r="B3094" s="15"/>
      <c r="C3094" s="9">
        <f>IFERROR(__xludf.DUMMYFUNCTION("""COMPUTED_VALUE"""),45112.2075130555)</f>
        <v>45112.20751</v>
      </c>
      <c r="D3094" s="15">
        <f>IFERROR(__xludf.DUMMYFUNCTION("""COMPUTED_VALUE"""),0.999)</f>
        <v>0.999</v>
      </c>
      <c r="E3094" s="16">
        <f>IFERROR(__xludf.DUMMYFUNCTION("""COMPUTED_VALUE"""),71.0)</f>
        <v>71</v>
      </c>
      <c r="F3094" s="19" t="str">
        <f>IFERROR(__xludf.DUMMYFUNCTION("""COMPUTED_VALUE"""),"BLUE")</f>
        <v>BLUE</v>
      </c>
      <c r="G3094" s="20" t="str">
        <f>IFERROR(__xludf.DUMMYFUNCTION("""COMPUTED_VALUE"""),"Uncle Sams Cider (04/04/2023)")</f>
        <v>Uncle Sams Cider (04/04/2023)</v>
      </c>
      <c r="H3094" s="19"/>
    </row>
    <row r="3095">
      <c r="A3095" s="9"/>
      <c r="B3095" s="15"/>
      <c r="C3095" s="9">
        <f>IFERROR(__xludf.DUMMYFUNCTION("""COMPUTED_VALUE"""),45112.1970926157)</f>
        <v>45112.19709</v>
      </c>
      <c r="D3095" s="15">
        <f>IFERROR(__xludf.DUMMYFUNCTION("""COMPUTED_VALUE"""),0.999)</f>
        <v>0.999</v>
      </c>
      <c r="E3095" s="16">
        <f>IFERROR(__xludf.DUMMYFUNCTION("""COMPUTED_VALUE"""),71.0)</f>
        <v>71</v>
      </c>
      <c r="F3095" s="19" t="str">
        <f>IFERROR(__xludf.DUMMYFUNCTION("""COMPUTED_VALUE"""),"BLUE")</f>
        <v>BLUE</v>
      </c>
      <c r="G3095" s="20" t="str">
        <f>IFERROR(__xludf.DUMMYFUNCTION("""COMPUTED_VALUE"""),"Uncle Sams Cider (04/04/2023)")</f>
        <v>Uncle Sams Cider (04/04/2023)</v>
      </c>
      <c r="H3095" s="19"/>
    </row>
    <row r="3096">
      <c r="A3096" s="9"/>
      <c r="B3096" s="15"/>
      <c r="C3096" s="9">
        <f>IFERROR(__xludf.DUMMYFUNCTION("""COMPUTED_VALUE"""),45112.1866719907)</f>
        <v>45112.18667</v>
      </c>
      <c r="D3096" s="15">
        <f>IFERROR(__xludf.DUMMYFUNCTION("""COMPUTED_VALUE"""),0.999)</f>
        <v>0.999</v>
      </c>
      <c r="E3096" s="16">
        <f>IFERROR(__xludf.DUMMYFUNCTION("""COMPUTED_VALUE"""),71.0)</f>
        <v>71</v>
      </c>
      <c r="F3096" s="19" t="str">
        <f>IFERROR(__xludf.DUMMYFUNCTION("""COMPUTED_VALUE"""),"BLUE")</f>
        <v>BLUE</v>
      </c>
      <c r="G3096" s="20" t="str">
        <f>IFERROR(__xludf.DUMMYFUNCTION("""COMPUTED_VALUE"""),"Uncle Sams Cider (04/04/2023)")</f>
        <v>Uncle Sams Cider (04/04/2023)</v>
      </c>
      <c r="H3096" s="19"/>
    </row>
    <row r="3097">
      <c r="A3097" s="9"/>
      <c r="B3097" s="15"/>
      <c r="C3097" s="9">
        <f>IFERROR(__xludf.DUMMYFUNCTION("""COMPUTED_VALUE"""),45112.1762506713)</f>
        <v>45112.17625</v>
      </c>
      <c r="D3097" s="15">
        <f>IFERROR(__xludf.DUMMYFUNCTION("""COMPUTED_VALUE"""),0.999)</f>
        <v>0.999</v>
      </c>
      <c r="E3097" s="16">
        <f>IFERROR(__xludf.DUMMYFUNCTION("""COMPUTED_VALUE"""),71.0)</f>
        <v>71</v>
      </c>
      <c r="F3097" s="19" t="str">
        <f>IFERROR(__xludf.DUMMYFUNCTION("""COMPUTED_VALUE"""),"BLUE")</f>
        <v>BLUE</v>
      </c>
      <c r="G3097" s="20" t="str">
        <f>IFERROR(__xludf.DUMMYFUNCTION("""COMPUTED_VALUE"""),"Uncle Sams Cider (04/04/2023)")</f>
        <v>Uncle Sams Cider (04/04/2023)</v>
      </c>
      <c r="H3097" s="19"/>
    </row>
    <row r="3098">
      <c r="A3098" s="9"/>
      <c r="B3098" s="15"/>
      <c r="C3098" s="9">
        <f>IFERROR(__xludf.DUMMYFUNCTION("""COMPUTED_VALUE"""),45112.1658283333)</f>
        <v>45112.16583</v>
      </c>
      <c r="D3098" s="15">
        <f>IFERROR(__xludf.DUMMYFUNCTION("""COMPUTED_VALUE"""),0.999)</f>
        <v>0.999</v>
      </c>
      <c r="E3098" s="16">
        <f>IFERROR(__xludf.DUMMYFUNCTION("""COMPUTED_VALUE"""),71.0)</f>
        <v>71</v>
      </c>
      <c r="F3098" s="19" t="str">
        <f>IFERROR(__xludf.DUMMYFUNCTION("""COMPUTED_VALUE"""),"BLUE")</f>
        <v>BLUE</v>
      </c>
      <c r="G3098" s="20" t="str">
        <f>IFERROR(__xludf.DUMMYFUNCTION("""COMPUTED_VALUE"""),"Uncle Sams Cider (04/04/2023)")</f>
        <v>Uncle Sams Cider (04/04/2023)</v>
      </c>
      <c r="H3098" s="19"/>
    </row>
    <row r="3099">
      <c r="A3099" s="9"/>
      <c r="B3099" s="15"/>
      <c r="C3099" s="9">
        <f>IFERROR(__xludf.DUMMYFUNCTION("""COMPUTED_VALUE"""),45112.155405868)</f>
        <v>45112.15541</v>
      </c>
      <c r="D3099" s="15">
        <f>IFERROR(__xludf.DUMMYFUNCTION("""COMPUTED_VALUE"""),0.999)</f>
        <v>0.999</v>
      </c>
      <c r="E3099" s="16">
        <f>IFERROR(__xludf.DUMMYFUNCTION("""COMPUTED_VALUE"""),71.0)</f>
        <v>71</v>
      </c>
      <c r="F3099" s="19" t="str">
        <f>IFERROR(__xludf.DUMMYFUNCTION("""COMPUTED_VALUE"""),"BLUE")</f>
        <v>BLUE</v>
      </c>
      <c r="G3099" s="20" t="str">
        <f>IFERROR(__xludf.DUMMYFUNCTION("""COMPUTED_VALUE"""),"Uncle Sams Cider (04/04/2023)")</f>
        <v>Uncle Sams Cider (04/04/2023)</v>
      </c>
      <c r="H3099" s="19"/>
    </row>
    <row r="3100">
      <c r="A3100" s="9"/>
      <c r="B3100" s="15"/>
      <c r="C3100" s="9">
        <f>IFERROR(__xludf.DUMMYFUNCTION("""COMPUTED_VALUE"""),45112.1449710185)</f>
        <v>45112.14497</v>
      </c>
      <c r="D3100" s="15">
        <f>IFERROR(__xludf.DUMMYFUNCTION("""COMPUTED_VALUE"""),0.999)</f>
        <v>0.999</v>
      </c>
      <c r="E3100" s="16">
        <f>IFERROR(__xludf.DUMMYFUNCTION("""COMPUTED_VALUE"""),71.0)</f>
        <v>71</v>
      </c>
      <c r="F3100" s="19" t="str">
        <f>IFERROR(__xludf.DUMMYFUNCTION("""COMPUTED_VALUE"""),"BLUE")</f>
        <v>BLUE</v>
      </c>
      <c r="G3100" s="20" t="str">
        <f>IFERROR(__xludf.DUMMYFUNCTION("""COMPUTED_VALUE"""),"Uncle Sams Cider (04/04/2023)")</f>
        <v>Uncle Sams Cider (04/04/2023)</v>
      </c>
      <c r="H3100" s="19"/>
    </row>
    <row r="3101">
      <c r="A3101" s="9"/>
      <c r="B3101" s="15"/>
      <c r="C3101" s="9">
        <f>IFERROR(__xludf.DUMMYFUNCTION("""COMPUTED_VALUE"""),45112.1345383449)</f>
        <v>45112.13454</v>
      </c>
      <c r="D3101" s="15">
        <f>IFERROR(__xludf.DUMMYFUNCTION("""COMPUTED_VALUE"""),1.0)</f>
        <v>1</v>
      </c>
      <c r="E3101" s="16">
        <f>IFERROR(__xludf.DUMMYFUNCTION("""COMPUTED_VALUE"""),71.0)</f>
        <v>71</v>
      </c>
      <c r="F3101" s="19" t="str">
        <f>IFERROR(__xludf.DUMMYFUNCTION("""COMPUTED_VALUE"""),"BLUE")</f>
        <v>BLUE</v>
      </c>
      <c r="G3101" s="20" t="str">
        <f>IFERROR(__xludf.DUMMYFUNCTION("""COMPUTED_VALUE"""),"Uncle Sams Cider (04/04/2023)")</f>
        <v>Uncle Sams Cider (04/04/2023)</v>
      </c>
      <c r="H3101" s="19"/>
    </row>
    <row r="3102">
      <c r="A3102" s="9"/>
      <c r="B3102" s="15"/>
      <c r="C3102" s="9">
        <f>IFERROR(__xludf.DUMMYFUNCTION("""COMPUTED_VALUE"""),45112.1241162731)</f>
        <v>45112.12412</v>
      </c>
      <c r="D3102" s="15">
        <f>IFERROR(__xludf.DUMMYFUNCTION("""COMPUTED_VALUE"""),0.999)</f>
        <v>0.999</v>
      </c>
      <c r="E3102" s="16">
        <f>IFERROR(__xludf.DUMMYFUNCTION("""COMPUTED_VALUE"""),71.0)</f>
        <v>71</v>
      </c>
      <c r="F3102" s="19" t="str">
        <f>IFERROR(__xludf.DUMMYFUNCTION("""COMPUTED_VALUE"""),"BLUE")</f>
        <v>BLUE</v>
      </c>
      <c r="G3102" s="20" t="str">
        <f>IFERROR(__xludf.DUMMYFUNCTION("""COMPUTED_VALUE"""),"Uncle Sams Cider (04/04/2023)")</f>
        <v>Uncle Sams Cider (04/04/2023)</v>
      </c>
      <c r="H3102" s="19"/>
    </row>
    <row r="3103">
      <c r="A3103" s="9"/>
      <c r="B3103" s="15"/>
      <c r="C3103" s="9">
        <f>IFERROR(__xludf.DUMMYFUNCTION("""COMPUTED_VALUE"""),45112.1136926504)</f>
        <v>45112.11369</v>
      </c>
      <c r="D3103" s="15">
        <f>IFERROR(__xludf.DUMMYFUNCTION("""COMPUTED_VALUE"""),1.0)</f>
        <v>1</v>
      </c>
      <c r="E3103" s="16">
        <f>IFERROR(__xludf.DUMMYFUNCTION("""COMPUTED_VALUE"""),71.0)</f>
        <v>71</v>
      </c>
      <c r="F3103" s="19" t="str">
        <f>IFERROR(__xludf.DUMMYFUNCTION("""COMPUTED_VALUE"""),"BLUE")</f>
        <v>BLUE</v>
      </c>
      <c r="G3103" s="20" t="str">
        <f>IFERROR(__xludf.DUMMYFUNCTION("""COMPUTED_VALUE"""),"Uncle Sams Cider (04/04/2023)")</f>
        <v>Uncle Sams Cider (04/04/2023)</v>
      </c>
      <c r="H3103" s="19"/>
    </row>
    <row r="3104">
      <c r="A3104" s="9"/>
      <c r="B3104" s="15"/>
      <c r="C3104" s="9">
        <f>IFERROR(__xludf.DUMMYFUNCTION("""COMPUTED_VALUE"""),45112.1032701388)</f>
        <v>45112.10327</v>
      </c>
      <c r="D3104" s="15">
        <f>IFERROR(__xludf.DUMMYFUNCTION("""COMPUTED_VALUE"""),0.999)</f>
        <v>0.999</v>
      </c>
      <c r="E3104" s="16">
        <f>IFERROR(__xludf.DUMMYFUNCTION("""COMPUTED_VALUE"""),71.0)</f>
        <v>71</v>
      </c>
      <c r="F3104" s="19" t="str">
        <f>IFERROR(__xludf.DUMMYFUNCTION("""COMPUTED_VALUE"""),"BLUE")</f>
        <v>BLUE</v>
      </c>
      <c r="G3104" s="20" t="str">
        <f>IFERROR(__xludf.DUMMYFUNCTION("""COMPUTED_VALUE"""),"Uncle Sams Cider (04/04/2023)")</f>
        <v>Uncle Sams Cider (04/04/2023)</v>
      </c>
      <c r="H3104" s="19"/>
    </row>
    <row r="3105">
      <c r="A3105" s="9"/>
      <c r="B3105" s="15"/>
      <c r="C3105" s="9">
        <f>IFERROR(__xludf.DUMMYFUNCTION("""COMPUTED_VALUE"""),45112.0928486689)</f>
        <v>45112.09285</v>
      </c>
      <c r="D3105" s="15">
        <f>IFERROR(__xludf.DUMMYFUNCTION("""COMPUTED_VALUE"""),0.999)</f>
        <v>0.999</v>
      </c>
      <c r="E3105" s="16">
        <f>IFERROR(__xludf.DUMMYFUNCTION("""COMPUTED_VALUE"""),71.0)</f>
        <v>71</v>
      </c>
      <c r="F3105" s="19" t="str">
        <f>IFERROR(__xludf.DUMMYFUNCTION("""COMPUTED_VALUE"""),"BLUE")</f>
        <v>BLUE</v>
      </c>
      <c r="G3105" s="20" t="str">
        <f>IFERROR(__xludf.DUMMYFUNCTION("""COMPUTED_VALUE"""),"Uncle Sams Cider (04/04/2023)")</f>
        <v>Uncle Sams Cider (04/04/2023)</v>
      </c>
      <c r="H3105" s="19"/>
    </row>
    <row r="3106">
      <c r="A3106" s="9"/>
      <c r="B3106" s="15"/>
      <c r="C3106" s="9">
        <f>IFERROR(__xludf.DUMMYFUNCTION("""COMPUTED_VALUE"""),45112.0824284027)</f>
        <v>45112.08243</v>
      </c>
      <c r="D3106" s="15">
        <f>IFERROR(__xludf.DUMMYFUNCTION("""COMPUTED_VALUE"""),0.999)</f>
        <v>0.999</v>
      </c>
      <c r="E3106" s="16">
        <f>IFERROR(__xludf.DUMMYFUNCTION("""COMPUTED_VALUE"""),71.0)</f>
        <v>71</v>
      </c>
      <c r="F3106" s="19" t="str">
        <f>IFERROR(__xludf.DUMMYFUNCTION("""COMPUTED_VALUE"""),"BLUE")</f>
        <v>BLUE</v>
      </c>
      <c r="G3106" s="20" t="str">
        <f>IFERROR(__xludf.DUMMYFUNCTION("""COMPUTED_VALUE"""),"Uncle Sams Cider (04/04/2023)")</f>
        <v>Uncle Sams Cider (04/04/2023)</v>
      </c>
      <c r="H3106" s="19"/>
    </row>
    <row r="3107">
      <c r="A3107" s="9"/>
      <c r="B3107" s="15"/>
      <c r="C3107" s="9">
        <f>IFERROR(__xludf.DUMMYFUNCTION("""COMPUTED_VALUE"""),45112.0720074537)</f>
        <v>45112.07201</v>
      </c>
      <c r="D3107" s="15">
        <f>IFERROR(__xludf.DUMMYFUNCTION("""COMPUTED_VALUE"""),0.999)</f>
        <v>0.999</v>
      </c>
      <c r="E3107" s="16">
        <f>IFERROR(__xludf.DUMMYFUNCTION("""COMPUTED_VALUE"""),71.0)</f>
        <v>71</v>
      </c>
      <c r="F3107" s="19" t="str">
        <f>IFERROR(__xludf.DUMMYFUNCTION("""COMPUTED_VALUE"""),"BLUE")</f>
        <v>BLUE</v>
      </c>
      <c r="G3107" s="20" t="str">
        <f>IFERROR(__xludf.DUMMYFUNCTION("""COMPUTED_VALUE"""),"Uncle Sams Cider (04/04/2023)")</f>
        <v>Uncle Sams Cider (04/04/2023)</v>
      </c>
      <c r="H3107" s="19"/>
    </row>
    <row r="3108">
      <c r="A3108" s="9"/>
      <c r="B3108" s="15"/>
      <c r="C3108" s="9">
        <f>IFERROR(__xludf.DUMMYFUNCTION("""COMPUTED_VALUE"""),45112.0615879282)</f>
        <v>45112.06159</v>
      </c>
      <c r="D3108" s="15">
        <f>IFERROR(__xludf.DUMMYFUNCTION("""COMPUTED_VALUE"""),0.999)</f>
        <v>0.999</v>
      </c>
      <c r="E3108" s="16">
        <f>IFERROR(__xludf.DUMMYFUNCTION("""COMPUTED_VALUE"""),71.0)</f>
        <v>71</v>
      </c>
      <c r="F3108" s="19" t="str">
        <f>IFERROR(__xludf.DUMMYFUNCTION("""COMPUTED_VALUE"""),"BLUE")</f>
        <v>BLUE</v>
      </c>
      <c r="G3108" s="20" t="str">
        <f>IFERROR(__xludf.DUMMYFUNCTION("""COMPUTED_VALUE"""),"Uncle Sams Cider (04/04/2023)")</f>
        <v>Uncle Sams Cider (04/04/2023)</v>
      </c>
      <c r="H3108" s="19"/>
    </row>
    <row r="3109">
      <c r="A3109" s="9"/>
      <c r="B3109" s="15"/>
      <c r="C3109" s="9">
        <f>IFERROR(__xludf.DUMMYFUNCTION("""COMPUTED_VALUE"""),45112.0511674305)</f>
        <v>45112.05117</v>
      </c>
      <c r="D3109" s="15">
        <f>IFERROR(__xludf.DUMMYFUNCTION("""COMPUTED_VALUE"""),0.999)</f>
        <v>0.999</v>
      </c>
      <c r="E3109" s="16">
        <f>IFERROR(__xludf.DUMMYFUNCTION("""COMPUTED_VALUE"""),71.0)</f>
        <v>71</v>
      </c>
      <c r="F3109" s="19" t="str">
        <f>IFERROR(__xludf.DUMMYFUNCTION("""COMPUTED_VALUE"""),"BLUE")</f>
        <v>BLUE</v>
      </c>
      <c r="G3109" s="20" t="str">
        <f>IFERROR(__xludf.DUMMYFUNCTION("""COMPUTED_VALUE"""),"Uncle Sams Cider (04/04/2023)")</f>
        <v>Uncle Sams Cider (04/04/2023)</v>
      </c>
      <c r="H3109" s="19"/>
    </row>
    <row r="3110">
      <c r="A3110" s="9"/>
      <c r="B3110" s="15"/>
      <c r="C3110" s="9">
        <f>IFERROR(__xludf.DUMMYFUNCTION("""COMPUTED_VALUE"""),45112.0407472916)</f>
        <v>45112.04075</v>
      </c>
      <c r="D3110" s="15">
        <f>IFERROR(__xludf.DUMMYFUNCTION("""COMPUTED_VALUE"""),0.999)</f>
        <v>0.999</v>
      </c>
      <c r="E3110" s="16">
        <f>IFERROR(__xludf.DUMMYFUNCTION("""COMPUTED_VALUE"""),71.0)</f>
        <v>71</v>
      </c>
      <c r="F3110" s="19" t="str">
        <f>IFERROR(__xludf.DUMMYFUNCTION("""COMPUTED_VALUE"""),"BLUE")</f>
        <v>BLUE</v>
      </c>
      <c r="G3110" s="20" t="str">
        <f>IFERROR(__xludf.DUMMYFUNCTION("""COMPUTED_VALUE"""),"Uncle Sams Cider (04/04/2023)")</f>
        <v>Uncle Sams Cider (04/04/2023)</v>
      </c>
      <c r="H3110" s="19"/>
    </row>
    <row r="3111">
      <c r="A3111" s="9"/>
      <c r="B3111" s="15"/>
      <c r="C3111" s="9">
        <f>IFERROR(__xludf.DUMMYFUNCTION("""COMPUTED_VALUE"""),45112.0303248495)</f>
        <v>45112.03032</v>
      </c>
      <c r="D3111" s="15">
        <f>IFERROR(__xludf.DUMMYFUNCTION("""COMPUTED_VALUE"""),0.999)</f>
        <v>0.999</v>
      </c>
      <c r="E3111" s="16">
        <f>IFERROR(__xludf.DUMMYFUNCTION("""COMPUTED_VALUE"""),71.0)</f>
        <v>71</v>
      </c>
      <c r="F3111" s="19" t="str">
        <f>IFERROR(__xludf.DUMMYFUNCTION("""COMPUTED_VALUE"""),"BLUE")</f>
        <v>BLUE</v>
      </c>
      <c r="G3111" s="20" t="str">
        <f>IFERROR(__xludf.DUMMYFUNCTION("""COMPUTED_VALUE"""),"Uncle Sams Cider (04/04/2023)")</f>
        <v>Uncle Sams Cider (04/04/2023)</v>
      </c>
      <c r="H3111" s="19"/>
    </row>
    <row r="3112">
      <c r="A3112" s="9"/>
      <c r="B3112" s="15"/>
      <c r="C3112" s="9">
        <f>IFERROR(__xludf.DUMMYFUNCTION("""COMPUTED_VALUE"""),45112.0199055671)</f>
        <v>45112.01991</v>
      </c>
      <c r="D3112" s="15">
        <f>IFERROR(__xludf.DUMMYFUNCTION("""COMPUTED_VALUE"""),0.999)</f>
        <v>0.999</v>
      </c>
      <c r="E3112" s="16">
        <f>IFERROR(__xludf.DUMMYFUNCTION("""COMPUTED_VALUE"""),71.0)</f>
        <v>71</v>
      </c>
      <c r="F3112" s="19" t="str">
        <f>IFERROR(__xludf.DUMMYFUNCTION("""COMPUTED_VALUE"""),"BLUE")</f>
        <v>BLUE</v>
      </c>
      <c r="G3112" s="20" t="str">
        <f>IFERROR(__xludf.DUMMYFUNCTION("""COMPUTED_VALUE"""),"Uncle Sams Cider (04/04/2023)")</f>
        <v>Uncle Sams Cider (04/04/2023)</v>
      </c>
      <c r="H3112" s="19"/>
    </row>
    <row r="3113">
      <c r="A3113" s="9"/>
      <c r="B3113" s="15"/>
      <c r="C3113" s="9">
        <f>IFERROR(__xludf.DUMMYFUNCTION("""COMPUTED_VALUE"""),45112.0094848495)</f>
        <v>45112.00948</v>
      </c>
      <c r="D3113" s="15">
        <f>IFERROR(__xludf.DUMMYFUNCTION("""COMPUTED_VALUE"""),0.999)</f>
        <v>0.999</v>
      </c>
      <c r="E3113" s="16">
        <f>IFERROR(__xludf.DUMMYFUNCTION("""COMPUTED_VALUE"""),71.0)</f>
        <v>71</v>
      </c>
      <c r="F3113" s="19" t="str">
        <f>IFERROR(__xludf.DUMMYFUNCTION("""COMPUTED_VALUE"""),"BLUE")</f>
        <v>BLUE</v>
      </c>
      <c r="G3113" s="20" t="str">
        <f>IFERROR(__xludf.DUMMYFUNCTION("""COMPUTED_VALUE"""),"Uncle Sams Cider (04/04/2023)")</f>
        <v>Uncle Sams Cider (04/04/2023)</v>
      </c>
      <c r="H3113" s="19"/>
    </row>
    <row r="3114">
      <c r="A3114" s="9"/>
      <c r="B3114" s="15"/>
      <c r="C3114" s="9">
        <f>IFERROR(__xludf.DUMMYFUNCTION("""COMPUTED_VALUE"""),45111.9990655671)</f>
        <v>45111.99907</v>
      </c>
      <c r="D3114" s="15">
        <f>IFERROR(__xludf.DUMMYFUNCTION("""COMPUTED_VALUE"""),0.999)</f>
        <v>0.999</v>
      </c>
      <c r="E3114" s="16">
        <f>IFERROR(__xludf.DUMMYFUNCTION("""COMPUTED_VALUE"""),71.0)</f>
        <v>71</v>
      </c>
      <c r="F3114" s="19" t="str">
        <f>IFERROR(__xludf.DUMMYFUNCTION("""COMPUTED_VALUE"""),"BLUE")</f>
        <v>BLUE</v>
      </c>
      <c r="G3114" s="20" t="str">
        <f>IFERROR(__xludf.DUMMYFUNCTION("""COMPUTED_VALUE"""),"Uncle Sams Cider (04/04/2023)")</f>
        <v>Uncle Sams Cider (04/04/2023)</v>
      </c>
      <c r="H3114" s="19"/>
    </row>
    <row r="3115">
      <c r="A3115" s="9"/>
      <c r="B3115" s="15"/>
      <c r="C3115" s="9">
        <f>IFERROR(__xludf.DUMMYFUNCTION("""COMPUTED_VALUE"""),45111.9886462963)</f>
        <v>45111.98865</v>
      </c>
      <c r="D3115" s="15">
        <f>IFERROR(__xludf.DUMMYFUNCTION("""COMPUTED_VALUE"""),0.999)</f>
        <v>0.999</v>
      </c>
      <c r="E3115" s="16">
        <f>IFERROR(__xludf.DUMMYFUNCTION("""COMPUTED_VALUE"""),71.0)</f>
        <v>71</v>
      </c>
      <c r="F3115" s="19" t="str">
        <f>IFERROR(__xludf.DUMMYFUNCTION("""COMPUTED_VALUE"""),"BLUE")</f>
        <v>BLUE</v>
      </c>
      <c r="G3115" s="20" t="str">
        <f>IFERROR(__xludf.DUMMYFUNCTION("""COMPUTED_VALUE"""),"Uncle Sams Cider (04/04/2023)")</f>
        <v>Uncle Sams Cider (04/04/2023)</v>
      </c>
      <c r="H3115" s="19"/>
    </row>
    <row r="3116">
      <c r="A3116" s="9"/>
      <c r="B3116" s="15"/>
      <c r="C3116" s="9">
        <f>IFERROR(__xludf.DUMMYFUNCTION("""COMPUTED_VALUE"""),45111.9782261111)</f>
        <v>45111.97823</v>
      </c>
      <c r="D3116" s="15">
        <f>IFERROR(__xludf.DUMMYFUNCTION("""COMPUTED_VALUE"""),0.999)</f>
        <v>0.999</v>
      </c>
      <c r="E3116" s="16">
        <f>IFERROR(__xludf.DUMMYFUNCTION("""COMPUTED_VALUE"""),71.0)</f>
        <v>71</v>
      </c>
      <c r="F3116" s="19" t="str">
        <f>IFERROR(__xludf.DUMMYFUNCTION("""COMPUTED_VALUE"""),"BLUE")</f>
        <v>BLUE</v>
      </c>
      <c r="G3116" s="20" t="str">
        <f>IFERROR(__xludf.DUMMYFUNCTION("""COMPUTED_VALUE"""),"Uncle Sams Cider (04/04/2023)")</f>
        <v>Uncle Sams Cider (04/04/2023)</v>
      </c>
      <c r="H3116" s="19"/>
    </row>
    <row r="3117">
      <c r="A3117" s="9"/>
      <c r="B3117" s="15"/>
      <c r="C3117" s="9">
        <f>IFERROR(__xludf.DUMMYFUNCTION("""COMPUTED_VALUE"""),45111.9678050694)</f>
        <v>45111.96781</v>
      </c>
      <c r="D3117" s="15">
        <f>IFERROR(__xludf.DUMMYFUNCTION("""COMPUTED_VALUE"""),0.999)</f>
        <v>0.999</v>
      </c>
      <c r="E3117" s="16">
        <f>IFERROR(__xludf.DUMMYFUNCTION("""COMPUTED_VALUE"""),71.0)</f>
        <v>71</v>
      </c>
      <c r="F3117" s="19" t="str">
        <f>IFERROR(__xludf.DUMMYFUNCTION("""COMPUTED_VALUE"""),"BLUE")</f>
        <v>BLUE</v>
      </c>
      <c r="G3117" s="20" t="str">
        <f>IFERROR(__xludf.DUMMYFUNCTION("""COMPUTED_VALUE"""),"Uncle Sams Cider (04/04/2023)")</f>
        <v>Uncle Sams Cider (04/04/2023)</v>
      </c>
      <c r="H3117" s="19"/>
    </row>
    <row r="3118">
      <c r="A3118" s="9"/>
      <c r="B3118" s="15"/>
      <c r="C3118" s="9">
        <f>IFERROR(__xludf.DUMMYFUNCTION("""COMPUTED_VALUE"""),45111.9573855555)</f>
        <v>45111.95739</v>
      </c>
      <c r="D3118" s="15">
        <f>IFERROR(__xludf.DUMMYFUNCTION("""COMPUTED_VALUE"""),0.999)</f>
        <v>0.999</v>
      </c>
      <c r="E3118" s="16">
        <f>IFERROR(__xludf.DUMMYFUNCTION("""COMPUTED_VALUE"""),71.0)</f>
        <v>71</v>
      </c>
      <c r="F3118" s="19" t="str">
        <f>IFERROR(__xludf.DUMMYFUNCTION("""COMPUTED_VALUE"""),"BLUE")</f>
        <v>BLUE</v>
      </c>
      <c r="G3118" s="20" t="str">
        <f>IFERROR(__xludf.DUMMYFUNCTION("""COMPUTED_VALUE"""),"Uncle Sams Cider (04/04/2023)")</f>
        <v>Uncle Sams Cider (04/04/2023)</v>
      </c>
      <c r="H3118" s="19"/>
    </row>
    <row r="3119">
      <c r="A3119" s="9"/>
      <c r="B3119" s="15"/>
      <c r="C3119" s="9">
        <f>IFERROR(__xludf.DUMMYFUNCTION("""COMPUTED_VALUE"""),45111.9469520254)</f>
        <v>45111.94695</v>
      </c>
      <c r="D3119" s="15">
        <f>IFERROR(__xludf.DUMMYFUNCTION("""COMPUTED_VALUE"""),0.999)</f>
        <v>0.999</v>
      </c>
      <c r="E3119" s="16">
        <f>IFERROR(__xludf.DUMMYFUNCTION("""COMPUTED_VALUE"""),71.0)</f>
        <v>71</v>
      </c>
      <c r="F3119" s="19" t="str">
        <f>IFERROR(__xludf.DUMMYFUNCTION("""COMPUTED_VALUE"""),"BLUE")</f>
        <v>BLUE</v>
      </c>
      <c r="G3119" s="20" t="str">
        <f>IFERROR(__xludf.DUMMYFUNCTION("""COMPUTED_VALUE"""),"Uncle Sams Cider (04/04/2023)")</f>
        <v>Uncle Sams Cider (04/04/2023)</v>
      </c>
      <c r="H3119" s="19"/>
    </row>
    <row r="3120">
      <c r="A3120" s="9"/>
      <c r="B3120" s="15"/>
      <c r="C3120" s="9">
        <f>IFERROR(__xludf.DUMMYFUNCTION("""COMPUTED_VALUE"""),45111.9365308333)</f>
        <v>45111.93653</v>
      </c>
      <c r="D3120" s="15">
        <f>IFERROR(__xludf.DUMMYFUNCTION("""COMPUTED_VALUE"""),0.999)</f>
        <v>0.999</v>
      </c>
      <c r="E3120" s="16">
        <f>IFERROR(__xludf.DUMMYFUNCTION("""COMPUTED_VALUE"""),71.0)</f>
        <v>71</v>
      </c>
      <c r="F3120" s="19" t="str">
        <f>IFERROR(__xludf.DUMMYFUNCTION("""COMPUTED_VALUE"""),"BLUE")</f>
        <v>BLUE</v>
      </c>
      <c r="G3120" s="20" t="str">
        <f>IFERROR(__xludf.DUMMYFUNCTION("""COMPUTED_VALUE"""),"Uncle Sams Cider (04/04/2023)")</f>
        <v>Uncle Sams Cider (04/04/2023)</v>
      </c>
      <c r="H3120" s="19"/>
    </row>
    <row r="3121">
      <c r="A3121" s="9"/>
      <c r="B3121" s="15"/>
      <c r="C3121" s="9">
        <f>IFERROR(__xludf.DUMMYFUNCTION("""COMPUTED_VALUE"""),45111.926109618)</f>
        <v>45111.92611</v>
      </c>
      <c r="D3121" s="15">
        <f>IFERROR(__xludf.DUMMYFUNCTION("""COMPUTED_VALUE"""),0.999)</f>
        <v>0.999</v>
      </c>
      <c r="E3121" s="16">
        <f>IFERROR(__xludf.DUMMYFUNCTION("""COMPUTED_VALUE"""),71.0)</f>
        <v>71</v>
      </c>
      <c r="F3121" s="19" t="str">
        <f>IFERROR(__xludf.DUMMYFUNCTION("""COMPUTED_VALUE"""),"BLUE")</f>
        <v>BLUE</v>
      </c>
      <c r="G3121" s="20" t="str">
        <f>IFERROR(__xludf.DUMMYFUNCTION("""COMPUTED_VALUE"""),"Uncle Sams Cider (04/04/2023)")</f>
        <v>Uncle Sams Cider (04/04/2023)</v>
      </c>
      <c r="H3121" s="19"/>
    </row>
    <row r="3122">
      <c r="A3122" s="9"/>
      <c r="B3122" s="15"/>
      <c r="C3122" s="9">
        <f>IFERROR(__xludf.DUMMYFUNCTION("""COMPUTED_VALUE"""),45111.9156895254)</f>
        <v>45111.91569</v>
      </c>
      <c r="D3122" s="15">
        <f>IFERROR(__xludf.DUMMYFUNCTION("""COMPUTED_VALUE"""),0.999)</f>
        <v>0.999</v>
      </c>
      <c r="E3122" s="16">
        <f>IFERROR(__xludf.DUMMYFUNCTION("""COMPUTED_VALUE"""),71.0)</f>
        <v>71</v>
      </c>
      <c r="F3122" s="19" t="str">
        <f>IFERROR(__xludf.DUMMYFUNCTION("""COMPUTED_VALUE"""),"BLUE")</f>
        <v>BLUE</v>
      </c>
      <c r="G3122" s="20" t="str">
        <f>IFERROR(__xludf.DUMMYFUNCTION("""COMPUTED_VALUE"""),"Uncle Sams Cider (04/04/2023)")</f>
        <v>Uncle Sams Cider (04/04/2023)</v>
      </c>
      <c r="H3122" s="19"/>
    </row>
    <row r="3123">
      <c r="A3123" s="9"/>
      <c r="B3123" s="15"/>
      <c r="C3123" s="9">
        <f>IFERROR(__xludf.DUMMYFUNCTION("""COMPUTED_VALUE"""),45111.9052693055)</f>
        <v>45111.90527</v>
      </c>
      <c r="D3123" s="15">
        <f>IFERROR(__xludf.DUMMYFUNCTION("""COMPUTED_VALUE"""),0.999)</f>
        <v>0.999</v>
      </c>
      <c r="E3123" s="16">
        <f>IFERROR(__xludf.DUMMYFUNCTION("""COMPUTED_VALUE"""),71.0)</f>
        <v>71</v>
      </c>
      <c r="F3123" s="19" t="str">
        <f>IFERROR(__xludf.DUMMYFUNCTION("""COMPUTED_VALUE"""),"BLUE")</f>
        <v>BLUE</v>
      </c>
      <c r="G3123" s="20" t="str">
        <f>IFERROR(__xludf.DUMMYFUNCTION("""COMPUTED_VALUE"""),"Uncle Sams Cider (04/04/2023)")</f>
        <v>Uncle Sams Cider (04/04/2023)</v>
      </c>
      <c r="H3123" s="19"/>
    </row>
    <row r="3124">
      <c r="A3124" s="9"/>
      <c r="B3124" s="15"/>
      <c r="C3124" s="9">
        <f>IFERROR(__xludf.DUMMYFUNCTION("""COMPUTED_VALUE"""),45111.8948487037)</f>
        <v>45111.89485</v>
      </c>
      <c r="D3124" s="15">
        <f>IFERROR(__xludf.DUMMYFUNCTION("""COMPUTED_VALUE"""),0.999)</f>
        <v>0.999</v>
      </c>
      <c r="E3124" s="16">
        <f>IFERROR(__xludf.DUMMYFUNCTION("""COMPUTED_VALUE"""),71.0)</f>
        <v>71</v>
      </c>
      <c r="F3124" s="19" t="str">
        <f>IFERROR(__xludf.DUMMYFUNCTION("""COMPUTED_VALUE"""),"BLUE")</f>
        <v>BLUE</v>
      </c>
      <c r="G3124" s="20" t="str">
        <f>IFERROR(__xludf.DUMMYFUNCTION("""COMPUTED_VALUE"""),"Uncle Sams Cider (04/04/2023)")</f>
        <v>Uncle Sams Cider (04/04/2023)</v>
      </c>
      <c r="H3124" s="19"/>
    </row>
    <row r="3125">
      <c r="A3125" s="9"/>
      <c r="B3125" s="15"/>
      <c r="C3125" s="9">
        <f>IFERROR(__xludf.DUMMYFUNCTION("""COMPUTED_VALUE"""),45111.8844264583)</f>
        <v>45111.88443</v>
      </c>
      <c r="D3125" s="15">
        <f>IFERROR(__xludf.DUMMYFUNCTION("""COMPUTED_VALUE"""),0.999)</f>
        <v>0.999</v>
      </c>
      <c r="E3125" s="16">
        <f>IFERROR(__xludf.DUMMYFUNCTION("""COMPUTED_VALUE"""),71.0)</f>
        <v>71</v>
      </c>
      <c r="F3125" s="19" t="str">
        <f>IFERROR(__xludf.DUMMYFUNCTION("""COMPUTED_VALUE"""),"BLUE")</f>
        <v>BLUE</v>
      </c>
      <c r="G3125" s="20" t="str">
        <f>IFERROR(__xludf.DUMMYFUNCTION("""COMPUTED_VALUE"""),"Uncle Sams Cider (04/04/2023)")</f>
        <v>Uncle Sams Cider (04/04/2023)</v>
      </c>
      <c r="H3125" s="19"/>
    </row>
    <row r="3126">
      <c r="A3126" s="9"/>
      <c r="B3126" s="15"/>
      <c r="C3126" s="9">
        <f>IFERROR(__xludf.DUMMYFUNCTION("""COMPUTED_VALUE"""),45111.8740034722)</f>
        <v>45111.874</v>
      </c>
      <c r="D3126" s="15">
        <f>IFERROR(__xludf.DUMMYFUNCTION("""COMPUTED_VALUE"""),0.999)</f>
        <v>0.999</v>
      </c>
      <c r="E3126" s="16">
        <f>IFERROR(__xludf.DUMMYFUNCTION("""COMPUTED_VALUE"""),71.0)</f>
        <v>71</v>
      </c>
      <c r="F3126" s="19" t="str">
        <f>IFERROR(__xludf.DUMMYFUNCTION("""COMPUTED_VALUE"""),"BLUE")</f>
        <v>BLUE</v>
      </c>
      <c r="G3126" s="20" t="str">
        <f>IFERROR(__xludf.DUMMYFUNCTION("""COMPUTED_VALUE"""),"Uncle Sams Cider (04/04/2023)")</f>
        <v>Uncle Sams Cider (04/04/2023)</v>
      </c>
      <c r="H3126" s="19"/>
    </row>
    <row r="3127">
      <c r="A3127" s="9"/>
      <c r="B3127" s="15"/>
      <c r="C3127" s="9">
        <f>IFERROR(__xludf.DUMMYFUNCTION("""COMPUTED_VALUE"""),45111.8635807175)</f>
        <v>45111.86358</v>
      </c>
      <c r="D3127" s="15">
        <f>IFERROR(__xludf.DUMMYFUNCTION("""COMPUTED_VALUE"""),0.999)</f>
        <v>0.999</v>
      </c>
      <c r="E3127" s="16">
        <f>IFERROR(__xludf.DUMMYFUNCTION("""COMPUTED_VALUE"""),71.0)</f>
        <v>71</v>
      </c>
      <c r="F3127" s="19" t="str">
        <f>IFERROR(__xludf.DUMMYFUNCTION("""COMPUTED_VALUE"""),"BLUE")</f>
        <v>BLUE</v>
      </c>
      <c r="G3127" s="20" t="str">
        <f>IFERROR(__xludf.DUMMYFUNCTION("""COMPUTED_VALUE"""),"Uncle Sams Cider (04/04/2023)")</f>
        <v>Uncle Sams Cider (04/04/2023)</v>
      </c>
      <c r="H3127" s="19"/>
    </row>
    <row r="3128">
      <c r="A3128" s="9"/>
      <c r="B3128" s="15"/>
      <c r="C3128" s="9">
        <f>IFERROR(__xludf.DUMMYFUNCTION("""COMPUTED_VALUE"""),45111.8531598379)</f>
        <v>45111.85316</v>
      </c>
      <c r="D3128" s="15">
        <f>IFERROR(__xludf.DUMMYFUNCTION("""COMPUTED_VALUE"""),0.999)</f>
        <v>0.999</v>
      </c>
      <c r="E3128" s="16">
        <f>IFERROR(__xludf.DUMMYFUNCTION("""COMPUTED_VALUE"""),71.0)</f>
        <v>71</v>
      </c>
      <c r="F3128" s="19" t="str">
        <f>IFERROR(__xludf.DUMMYFUNCTION("""COMPUTED_VALUE"""),"BLUE")</f>
        <v>BLUE</v>
      </c>
      <c r="G3128" s="20" t="str">
        <f>IFERROR(__xludf.DUMMYFUNCTION("""COMPUTED_VALUE"""),"Uncle Sams Cider (04/04/2023)")</f>
        <v>Uncle Sams Cider (04/04/2023)</v>
      </c>
      <c r="H3128" s="19"/>
    </row>
    <row r="3129">
      <c r="A3129" s="9"/>
      <c r="B3129" s="15"/>
      <c r="C3129" s="9">
        <f>IFERROR(__xludf.DUMMYFUNCTION("""COMPUTED_VALUE"""),45111.8427376041)</f>
        <v>45111.84274</v>
      </c>
      <c r="D3129" s="15">
        <f>IFERROR(__xludf.DUMMYFUNCTION("""COMPUTED_VALUE"""),0.999)</f>
        <v>0.999</v>
      </c>
      <c r="E3129" s="16">
        <f>IFERROR(__xludf.DUMMYFUNCTION("""COMPUTED_VALUE"""),71.0)</f>
        <v>71</v>
      </c>
      <c r="F3129" s="19" t="str">
        <f>IFERROR(__xludf.DUMMYFUNCTION("""COMPUTED_VALUE"""),"BLUE")</f>
        <v>BLUE</v>
      </c>
      <c r="G3129" s="20" t="str">
        <f>IFERROR(__xludf.DUMMYFUNCTION("""COMPUTED_VALUE"""),"Uncle Sams Cider (04/04/2023)")</f>
        <v>Uncle Sams Cider (04/04/2023)</v>
      </c>
      <c r="H3129" s="19"/>
    </row>
    <row r="3130">
      <c r="A3130" s="9"/>
      <c r="B3130" s="15"/>
      <c r="C3130" s="9">
        <f>IFERROR(__xludf.DUMMYFUNCTION("""COMPUTED_VALUE"""),45111.8323156481)</f>
        <v>45111.83232</v>
      </c>
      <c r="D3130" s="15">
        <f>IFERROR(__xludf.DUMMYFUNCTION("""COMPUTED_VALUE"""),0.999)</f>
        <v>0.999</v>
      </c>
      <c r="E3130" s="16">
        <f>IFERROR(__xludf.DUMMYFUNCTION("""COMPUTED_VALUE"""),71.0)</f>
        <v>71</v>
      </c>
      <c r="F3130" s="19" t="str">
        <f>IFERROR(__xludf.DUMMYFUNCTION("""COMPUTED_VALUE"""),"BLUE")</f>
        <v>BLUE</v>
      </c>
      <c r="G3130" s="20" t="str">
        <f>IFERROR(__xludf.DUMMYFUNCTION("""COMPUTED_VALUE"""),"Uncle Sams Cider (04/04/2023)")</f>
        <v>Uncle Sams Cider (04/04/2023)</v>
      </c>
      <c r="H3130" s="19"/>
    </row>
    <row r="3131">
      <c r="A3131" s="9"/>
      <c r="B3131" s="15"/>
      <c r="C3131" s="9">
        <f>IFERROR(__xludf.DUMMYFUNCTION("""COMPUTED_VALUE"""),45111.8218964351)</f>
        <v>45111.8219</v>
      </c>
      <c r="D3131" s="15">
        <f>IFERROR(__xludf.DUMMYFUNCTION("""COMPUTED_VALUE"""),0.999)</f>
        <v>0.999</v>
      </c>
      <c r="E3131" s="16">
        <f>IFERROR(__xludf.DUMMYFUNCTION("""COMPUTED_VALUE"""),71.0)</f>
        <v>71</v>
      </c>
      <c r="F3131" s="19" t="str">
        <f>IFERROR(__xludf.DUMMYFUNCTION("""COMPUTED_VALUE"""),"BLUE")</f>
        <v>BLUE</v>
      </c>
      <c r="G3131" s="20" t="str">
        <f>IFERROR(__xludf.DUMMYFUNCTION("""COMPUTED_VALUE"""),"Uncle Sams Cider (04/04/2023)")</f>
        <v>Uncle Sams Cider (04/04/2023)</v>
      </c>
      <c r="H3131" s="19"/>
    </row>
    <row r="3132">
      <c r="A3132" s="9"/>
      <c r="B3132" s="15"/>
      <c r="C3132" s="9">
        <f>IFERROR(__xludf.DUMMYFUNCTION("""COMPUTED_VALUE"""),45111.8114736111)</f>
        <v>45111.81147</v>
      </c>
      <c r="D3132" s="15">
        <f>IFERROR(__xludf.DUMMYFUNCTION("""COMPUTED_VALUE"""),0.999)</f>
        <v>0.999</v>
      </c>
      <c r="E3132" s="16">
        <f>IFERROR(__xludf.DUMMYFUNCTION("""COMPUTED_VALUE"""),71.0)</f>
        <v>71</v>
      </c>
      <c r="F3132" s="19" t="str">
        <f>IFERROR(__xludf.DUMMYFUNCTION("""COMPUTED_VALUE"""),"BLUE")</f>
        <v>BLUE</v>
      </c>
      <c r="G3132" s="20" t="str">
        <f>IFERROR(__xludf.DUMMYFUNCTION("""COMPUTED_VALUE"""),"Uncle Sams Cider (04/04/2023)")</f>
        <v>Uncle Sams Cider (04/04/2023)</v>
      </c>
      <c r="H3132" s="19"/>
    </row>
    <row r="3133">
      <c r="A3133" s="9"/>
      <c r="B3133" s="15"/>
      <c r="C3133" s="9">
        <f>IFERROR(__xludf.DUMMYFUNCTION("""COMPUTED_VALUE"""),45111.8010534375)</f>
        <v>45111.80105</v>
      </c>
      <c r="D3133" s="15">
        <f>IFERROR(__xludf.DUMMYFUNCTION("""COMPUTED_VALUE"""),0.999)</f>
        <v>0.999</v>
      </c>
      <c r="E3133" s="16">
        <f>IFERROR(__xludf.DUMMYFUNCTION("""COMPUTED_VALUE"""),71.0)</f>
        <v>71</v>
      </c>
      <c r="F3133" s="19" t="str">
        <f>IFERROR(__xludf.DUMMYFUNCTION("""COMPUTED_VALUE"""),"BLUE")</f>
        <v>BLUE</v>
      </c>
      <c r="G3133" s="20" t="str">
        <f>IFERROR(__xludf.DUMMYFUNCTION("""COMPUTED_VALUE"""),"Uncle Sams Cider (04/04/2023)")</f>
        <v>Uncle Sams Cider (04/04/2023)</v>
      </c>
      <c r="H3133" s="19"/>
    </row>
    <row r="3134">
      <c r="A3134" s="9"/>
      <c r="B3134" s="15"/>
      <c r="C3134" s="9">
        <f>IFERROR(__xludf.DUMMYFUNCTION("""COMPUTED_VALUE"""),45111.7906317939)</f>
        <v>45111.79063</v>
      </c>
      <c r="D3134" s="15">
        <f>IFERROR(__xludf.DUMMYFUNCTION("""COMPUTED_VALUE"""),0.999)</f>
        <v>0.999</v>
      </c>
      <c r="E3134" s="16">
        <f>IFERROR(__xludf.DUMMYFUNCTION("""COMPUTED_VALUE"""),71.0)</f>
        <v>71</v>
      </c>
      <c r="F3134" s="19" t="str">
        <f>IFERROR(__xludf.DUMMYFUNCTION("""COMPUTED_VALUE"""),"BLUE")</f>
        <v>BLUE</v>
      </c>
      <c r="G3134" s="20" t="str">
        <f>IFERROR(__xludf.DUMMYFUNCTION("""COMPUTED_VALUE"""),"Uncle Sams Cider (04/04/2023)")</f>
        <v>Uncle Sams Cider (04/04/2023)</v>
      </c>
      <c r="H3134" s="19"/>
    </row>
    <row r="3135">
      <c r="A3135" s="9"/>
      <c r="B3135" s="15"/>
      <c r="C3135" s="9">
        <f>IFERROR(__xludf.DUMMYFUNCTION("""COMPUTED_VALUE"""),45111.7802098842)</f>
        <v>45111.78021</v>
      </c>
      <c r="D3135" s="15">
        <f>IFERROR(__xludf.DUMMYFUNCTION("""COMPUTED_VALUE"""),0.999)</f>
        <v>0.999</v>
      </c>
      <c r="E3135" s="16">
        <f>IFERROR(__xludf.DUMMYFUNCTION("""COMPUTED_VALUE"""),71.0)</f>
        <v>71</v>
      </c>
      <c r="F3135" s="19" t="str">
        <f>IFERROR(__xludf.DUMMYFUNCTION("""COMPUTED_VALUE"""),"BLUE")</f>
        <v>BLUE</v>
      </c>
      <c r="G3135" s="20" t="str">
        <f>IFERROR(__xludf.DUMMYFUNCTION("""COMPUTED_VALUE"""),"Uncle Sams Cider (04/04/2023)")</f>
        <v>Uncle Sams Cider (04/04/2023)</v>
      </c>
      <c r="H3135" s="19"/>
    </row>
    <row r="3136">
      <c r="A3136" s="9"/>
      <c r="B3136" s="15"/>
      <c r="C3136" s="9">
        <f>IFERROR(__xludf.DUMMYFUNCTION("""COMPUTED_VALUE"""),45111.7697888426)</f>
        <v>45111.76979</v>
      </c>
      <c r="D3136" s="15">
        <f>IFERROR(__xludf.DUMMYFUNCTION("""COMPUTED_VALUE"""),0.999)</f>
        <v>0.999</v>
      </c>
      <c r="E3136" s="16">
        <f>IFERROR(__xludf.DUMMYFUNCTION("""COMPUTED_VALUE"""),71.0)</f>
        <v>71</v>
      </c>
      <c r="F3136" s="19" t="str">
        <f>IFERROR(__xludf.DUMMYFUNCTION("""COMPUTED_VALUE"""),"BLUE")</f>
        <v>BLUE</v>
      </c>
      <c r="G3136" s="20" t="str">
        <f>IFERROR(__xludf.DUMMYFUNCTION("""COMPUTED_VALUE"""),"Uncle Sams Cider (04/04/2023)")</f>
        <v>Uncle Sams Cider (04/04/2023)</v>
      </c>
      <c r="H3136" s="19"/>
    </row>
    <row r="3137">
      <c r="A3137" s="9"/>
      <c r="B3137" s="15"/>
      <c r="C3137" s="9">
        <f>IFERROR(__xludf.DUMMYFUNCTION("""COMPUTED_VALUE"""),45111.759367118)</f>
        <v>45111.75937</v>
      </c>
      <c r="D3137" s="15">
        <f>IFERROR(__xludf.DUMMYFUNCTION("""COMPUTED_VALUE"""),0.999)</f>
        <v>0.999</v>
      </c>
      <c r="E3137" s="16">
        <f>IFERROR(__xludf.DUMMYFUNCTION("""COMPUTED_VALUE"""),71.0)</f>
        <v>71</v>
      </c>
      <c r="F3137" s="19" t="str">
        <f>IFERROR(__xludf.DUMMYFUNCTION("""COMPUTED_VALUE"""),"BLUE")</f>
        <v>BLUE</v>
      </c>
      <c r="G3137" s="20" t="str">
        <f>IFERROR(__xludf.DUMMYFUNCTION("""COMPUTED_VALUE"""),"Uncle Sams Cider (04/04/2023)")</f>
        <v>Uncle Sams Cider (04/04/2023)</v>
      </c>
      <c r="H3137" s="19"/>
    </row>
    <row r="3138">
      <c r="A3138" s="9"/>
      <c r="B3138" s="15"/>
      <c r="C3138" s="9">
        <f>IFERROR(__xludf.DUMMYFUNCTION("""COMPUTED_VALUE"""),45111.7489448842)</f>
        <v>45111.74894</v>
      </c>
      <c r="D3138" s="15">
        <f>IFERROR(__xludf.DUMMYFUNCTION("""COMPUTED_VALUE"""),0.999)</f>
        <v>0.999</v>
      </c>
      <c r="E3138" s="16">
        <f>IFERROR(__xludf.DUMMYFUNCTION("""COMPUTED_VALUE"""),71.0)</f>
        <v>71</v>
      </c>
      <c r="F3138" s="19" t="str">
        <f>IFERROR(__xludf.DUMMYFUNCTION("""COMPUTED_VALUE"""),"BLUE")</f>
        <v>BLUE</v>
      </c>
      <c r="G3138" s="20" t="str">
        <f>IFERROR(__xludf.DUMMYFUNCTION("""COMPUTED_VALUE"""),"Uncle Sams Cider (04/04/2023)")</f>
        <v>Uncle Sams Cider (04/04/2023)</v>
      </c>
      <c r="H3138" s="19"/>
    </row>
    <row r="3139">
      <c r="A3139" s="9"/>
      <c r="B3139" s="15"/>
      <c r="C3139" s="9">
        <f>IFERROR(__xludf.DUMMYFUNCTION("""COMPUTED_VALUE"""),45111.7385240046)</f>
        <v>45111.73852</v>
      </c>
      <c r="D3139" s="15">
        <f>IFERROR(__xludf.DUMMYFUNCTION("""COMPUTED_VALUE"""),0.999)</f>
        <v>0.999</v>
      </c>
      <c r="E3139" s="16">
        <f>IFERROR(__xludf.DUMMYFUNCTION("""COMPUTED_VALUE"""),71.0)</f>
        <v>71</v>
      </c>
      <c r="F3139" s="19" t="str">
        <f>IFERROR(__xludf.DUMMYFUNCTION("""COMPUTED_VALUE"""),"BLUE")</f>
        <v>BLUE</v>
      </c>
      <c r="G3139" s="20" t="str">
        <f>IFERROR(__xludf.DUMMYFUNCTION("""COMPUTED_VALUE"""),"Uncle Sams Cider (04/04/2023)")</f>
        <v>Uncle Sams Cider (04/04/2023)</v>
      </c>
      <c r="H3139" s="19"/>
    </row>
    <row r="3140">
      <c r="A3140" s="9"/>
      <c r="B3140" s="15"/>
      <c r="C3140" s="9">
        <f>IFERROR(__xludf.DUMMYFUNCTION("""COMPUTED_VALUE"""),45111.7281033217)</f>
        <v>45111.7281</v>
      </c>
      <c r="D3140" s="15">
        <f>IFERROR(__xludf.DUMMYFUNCTION("""COMPUTED_VALUE"""),0.999)</f>
        <v>0.999</v>
      </c>
      <c r="E3140" s="16">
        <f>IFERROR(__xludf.DUMMYFUNCTION("""COMPUTED_VALUE"""),71.0)</f>
        <v>71</v>
      </c>
      <c r="F3140" s="19" t="str">
        <f>IFERROR(__xludf.DUMMYFUNCTION("""COMPUTED_VALUE"""),"BLUE")</f>
        <v>BLUE</v>
      </c>
      <c r="G3140" s="20" t="str">
        <f>IFERROR(__xludf.DUMMYFUNCTION("""COMPUTED_VALUE"""),"Uncle Sams Cider (04/04/2023)")</f>
        <v>Uncle Sams Cider (04/04/2023)</v>
      </c>
      <c r="H3140" s="19"/>
    </row>
    <row r="3141">
      <c r="A3141" s="9"/>
      <c r="B3141" s="15"/>
      <c r="C3141" s="9">
        <f>IFERROR(__xludf.DUMMYFUNCTION("""COMPUTED_VALUE"""),45111.7176826504)</f>
        <v>45111.71768</v>
      </c>
      <c r="D3141" s="15">
        <f>IFERROR(__xludf.DUMMYFUNCTION("""COMPUTED_VALUE"""),0.999)</f>
        <v>0.999</v>
      </c>
      <c r="E3141" s="16">
        <f>IFERROR(__xludf.DUMMYFUNCTION("""COMPUTED_VALUE"""),71.0)</f>
        <v>71</v>
      </c>
      <c r="F3141" s="19" t="str">
        <f>IFERROR(__xludf.DUMMYFUNCTION("""COMPUTED_VALUE"""),"BLUE")</f>
        <v>BLUE</v>
      </c>
      <c r="G3141" s="20" t="str">
        <f>IFERROR(__xludf.DUMMYFUNCTION("""COMPUTED_VALUE"""),"Uncle Sams Cider (04/04/2023)")</f>
        <v>Uncle Sams Cider (04/04/2023)</v>
      </c>
      <c r="H3141" s="19"/>
    </row>
    <row r="3142">
      <c r="A3142" s="9"/>
      <c r="B3142" s="15"/>
      <c r="C3142" s="9">
        <f>IFERROR(__xludf.DUMMYFUNCTION("""COMPUTED_VALUE"""),45111.7072513425)</f>
        <v>45111.70725</v>
      </c>
      <c r="D3142" s="15">
        <f>IFERROR(__xludf.DUMMYFUNCTION("""COMPUTED_VALUE"""),0.999)</f>
        <v>0.999</v>
      </c>
      <c r="E3142" s="16">
        <f>IFERROR(__xludf.DUMMYFUNCTION("""COMPUTED_VALUE"""),71.0)</f>
        <v>71</v>
      </c>
      <c r="F3142" s="19" t="str">
        <f>IFERROR(__xludf.DUMMYFUNCTION("""COMPUTED_VALUE"""),"BLUE")</f>
        <v>BLUE</v>
      </c>
      <c r="G3142" s="20" t="str">
        <f>IFERROR(__xludf.DUMMYFUNCTION("""COMPUTED_VALUE"""),"Uncle Sams Cider (04/04/2023)")</f>
        <v>Uncle Sams Cider (04/04/2023)</v>
      </c>
      <c r="H3142" s="19"/>
    </row>
    <row r="3143">
      <c r="A3143" s="9"/>
      <c r="B3143" s="15"/>
      <c r="C3143" s="9">
        <f>IFERROR(__xludf.DUMMYFUNCTION("""COMPUTED_VALUE"""),45111.6967953356)</f>
        <v>45111.6968</v>
      </c>
      <c r="D3143" s="15">
        <f>IFERROR(__xludf.DUMMYFUNCTION("""COMPUTED_VALUE"""),0.999)</f>
        <v>0.999</v>
      </c>
      <c r="E3143" s="16">
        <f>IFERROR(__xludf.DUMMYFUNCTION("""COMPUTED_VALUE"""),71.0)</f>
        <v>71</v>
      </c>
      <c r="F3143" s="19" t="str">
        <f>IFERROR(__xludf.DUMMYFUNCTION("""COMPUTED_VALUE"""),"BLUE")</f>
        <v>BLUE</v>
      </c>
      <c r="G3143" s="20" t="str">
        <f>IFERROR(__xludf.DUMMYFUNCTION("""COMPUTED_VALUE"""),"Uncle Sams Cider (04/04/2023)")</f>
        <v>Uncle Sams Cider (04/04/2023)</v>
      </c>
      <c r="H3143" s="19"/>
    </row>
    <row r="3144">
      <c r="A3144" s="9"/>
      <c r="B3144" s="15"/>
      <c r="C3144" s="9">
        <f>IFERROR(__xludf.DUMMYFUNCTION("""COMPUTED_VALUE"""),45111.6863745949)</f>
        <v>45111.68637</v>
      </c>
      <c r="D3144" s="15">
        <f>IFERROR(__xludf.DUMMYFUNCTION("""COMPUTED_VALUE"""),0.999)</f>
        <v>0.999</v>
      </c>
      <c r="E3144" s="16">
        <f>IFERROR(__xludf.DUMMYFUNCTION("""COMPUTED_VALUE"""),71.0)</f>
        <v>71</v>
      </c>
      <c r="F3144" s="19" t="str">
        <f>IFERROR(__xludf.DUMMYFUNCTION("""COMPUTED_VALUE"""),"BLUE")</f>
        <v>BLUE</v>
      </c>
      <c r="G3144" s="20" t="str">
        <f>IFERROR(__xludf.DUMMYFUNCTION("""COMPUTED_VALUE"""),"Uncle Sams Cider (04/04/2023)")</f>
        <v>Uncle Sams Cider (04/04/2023)</v>
      </c>
      <c r="H3144" s="19"/>
    </row>
    <row r="3145">
      <c r="A3145" s="9"/>
      <c r="B3145" s="15"/>
      <c r="C3145" s="9">
        <f>IFERROR(__xludf.DUMMYFUNCTION("""COMPUTED_VALUE"""),45111.6759529976)</f>
        <v>45111.67595</v>
      </c>
      <c r="D3145" s="15">
        <f>IFERROR(__xludf.DUMMYFUNCTION("""COMPUTED_VALUE"""),0.999)</f>
        <v>0.999</v>
      </c>
      <c r="E3145" s="16">
        <f>IFERROR(__xludf.DUMMYFUNCTION("""COMPUTED_VALUE"""),71.0)</f>
        <v>71</v>
      </c>
      <c r="F3145" s="19" t="str">
        <f>IFERROR(__xludf.DUMMYFUNCTION("""COMPUTED_VALUE"""),"BLUE")</f>
        <v>BLUE</v>
      </c>
      <c r="G3145" s="20" t="str">
        <f>IFERROR(__xludf.DUMMYFUNCTION("""COMPUTED_VALUE"""),"Uncle Sams Cider (04/04/2023)")</f>
        <v>Uncle Sams Cider (04/04/2023)</v>
      </c>
      <c r="H3145" s="19"/>
    </row>
    <row r="3146">
      <c r="A3146" s="9"/>
      <c r="B3146" s="15"/>
      <c r="C3146" s="9">
        <f>IFERROR(__xludf.DUMMYFUNCTION("""COMPUTED_VALUE"""),45111.6655313773)</f>
        <v>45111.66553</v>
      </c>
      <c r="D3146" s="15">
        <f>IFERROR(__xludf.DUMMYFUNCTION("""COMPUTED_VALUE"""),0.999)</f>
        <v>0.999</v>
      </c>
      <c r="E3146" s="16">
        <f>IFERROR(__xludf.DUMMYFUNCTION("""COMPUTED_VALUE"""),71.0)</f>
        <v>71</v>
      </c>
      <c r="F3146" s="19" t="str">
        <f>IFERROR(__xludf.DUMMYFUNCTION("""COMPUTED_VALUE"""),"BLUE")</f>
        <v>BLUE</v>
      </c>
      <c r="G3146" s="20" t="str">
        <f>IFERROR(__xludf.DUMMYFUNCTION("""COMPUTED_VALUE"""),"Uncle Sams Cider (04/04/2023)")</f>
        <v>Uncle Sams Cider (04/04/2023)</v>
      </c>
      <c r="H3146" s="19"/>
    </row>
    <row r="3147">
      <c r="A3147" s="9"/>
      <c r="B3147" s="15"/>
      <c r="C3147" s="9">
        <f>IFERROR(__xludf.DUMMYFUNCTION("""COMPUTED_VALUE"""),45111.6551098842)</f>
        <v>45111.65511</v>
      </c>
      <c r="D3147" s="15">
        <f>IFERROR(__xludf.DUMMYFUNCTION("""COMPUTED_VALUE"""),0.999)</f>
        <v>0.999</v>
      </c>
      <c r="E3147" s="16">
        <f>IFERROR(__xludf.DUMMYFUNCTION("""COMPUTED_VALUE"""),71.0)</f>
        <v>71</v>
      </c>
      <c r="F3147" s="19" t="str">
        <f>IFERROR(__xludf.DUMMYFUNCTION("""COMPUTED_VALUE"""),"BLUE")</f>
        <v>BLUE</v>
      </c>
      <c r="G3147" s="20" t="str">
        <f>IFERROR(__xludf.DUMMYFUNCTION("""COMPUTED_VALUE"""),"Uncle Sams Cider (04/04/2023)")</f>
        <v>Uncle Sams Cider (04/04/2023)</v>
      </c>
      <c r="H3147" s="19"/>
    </row>
    <row r="3148">
      <c r="A3148" s="9"/>
      <c r="B3148" s="15"/>
      <c r="C3148" s="9">
        <f>IFERROR(__xludf.DUMMYFUNCTION("""COMPUTED_VALUE"""),45111.6446529976)</f>
        <v>45111.64465</v>
      </c>
      <c r="D3148" s="15">
        <f>IFERROR(__xludf.DUMMYFUNCTION("""COMPUTED_VALUE"""),0.999)</f>
        <v>0.999</v>
      </c>
      <c r="E3148" s="16">
        <f>IFERROR(__xludf.DUMMYFUNCTION("""COMPUTED_VALUE"""),71.0)</f>
        <v>71</v>
      </c>
      <c r="F3148" s="19" t="str">
        <f>IFERROR(__xludf.DUMMYFUNCTION("""COMPUTED_VALUE"""),"BLUE")</f>
        <v>BLUE</v>
      </c>
      <c r="G3148" s="20" t="str">
        <f>IFERROR(__xludf.DUMMYFUNCTION("""COMPUTED_VALUE"""),"Uncle Sams Cider (04/04/2023)")</f>
        <v>Uncle Sams Cider (04/04/2023)</v>
      </c>
      <c r="H3148" s="19"/>
    </row>
    <row r="3149">
      <c r="A3149" s="9"/>
      <c r="B3149" s="15"/>
      <c r="C3149" s="9">
        <f>IFERROR(__xludf.DUMMYFUNCTION("""COMPUTED_VALUE"""),45111.6342330902)</f>
        <v>45111.63423</v>
      </c>
      <c r="D3149" s="15">
        <f>IFERROR(__xludf.DUMMYFUNCTION("""COMPUTED_VALUE"""),0.999)</f>
        <v>0.999</v>
      </c>
      <c r="E3149" s="16">
        <f>IFERROR(__xludf.DUMMYFUNCTION("""COMPUTED_VALUE"""),71.0)</f>
        <v>71</v>
      </c>
      <c r="F3149" s="19" t="str">
        <f>IFERROR(__xludf.DUMMYFUNCTION("""COMPUTED_VALUE"""),"BLUE")</f>
        <v>BLUE</v>
      </c>
      <c r="G3149" s="20" t="str">
        <f>IFERROR(__xludf.DUMMYFUNCTION("""COMPUTED_VALUE"""),"Uncle Sams Cider (04/04/2023)")</f>
        <v>Uncle Sams Cider (04/04/2023)</v>
      </c>
      <c r="H3149" s="19"/>
    </row>
    <row r="3150">
      <c r="A3150" s="9"/>
      <c r="B3150" s="15"/>
      <c r="C3150" s="9">
        <f>IFERROR(__xludf.DUMMYFUNCTION("""COMPUTED_VALUE"""),45111.6238002083)</f>
        <v>45111.6238</v>
      </c>
      <c r="D3150" s="15">
        <f>IFERROR(__xludf.DUMMYFUNCTION("""COMPUTED_VALUE"""),0.999)</f>
        <v>0.999</v>
      </c>
      <c r="E3150" s="16">
        <f>IFERROR(__xludf.DUMMYFUNCTION("""COMPUTED_VALUE"""),71.0)</f>
        <v>71</v>
      </c>
      <c r="F3150" s="19" t="str">
        <f>IFERROR(__xludf.DUMMYFUNCTION("""COMPUTED_VALUE"""),"BLUE")</f>
        <v>BLUE</v>
      </c>
      <c r="G3150" s="20" t="str">
        <f>IFERROR(__xludf.DUMMYFUNCTION("""COMPUTED_VALUE"""),"Uncle Sams Cider (04/04/2023)")</f>
        <v>Uncle Sams Cider (04/04/2023)</v>
      </c>
      <c r="H3150" s="19"/>
    </row>
    <row r="3151">
      <c r="A3151" s="9"/>
      <c r="B3151" s="15"/>
      <c r="C3151" s="9">
        <f>IFERROR(__xludf.DUMMYFUNCTION("""COMPUTED_VALUE"""),45111.6133796643)</f>
        <v>45111.61338</v>
      </c>
      <c r="D3151" s="15">
        <f>IFERROR(__xludf.DUMMYFUNCTION("""COMPUTED_VALUE"""),0.999)</f>
        <v>0.999</v>
      </c>
      <c r="E3151" s="16">
        <f>IFERROR(__xludf.DUMMYFUNCTION("""COMPUTED_VALUE"""),71.0)</f>
        <v>71</v>
      </c>
      <c r="F3151" s="19" t="str">
        <f>IFERROR(__xludf.DUMMYFUNCTION("""COMPUTED_VALUE"""),"BLUE")</f>
        <v>BLUE</v>
      </c>
      <c r="G3151" s="20" t="str">
        <f>IFERROR(__xludf.DUMMYFUNCTION("""COMPUTED_VALUE"""),"Uncle Sams Cider (04/04/2023)")</f>
        <v>Uncle Sams Cider (04/04/2023)</v>
      </c>
      <c r="H3151" s="19"/>
    </row>
    <row r="3152">
      <c r="A3152" s="9"/>
      <c r="B3152" s="15"/>
      <c r="C3152" s="9">
        <f>IFERROR(__xludf.DUMMYFUNCTION("""COMPUTED_VALUE"""),45111.6029585416)</f>
        <v>45111.60296</v>
      </c>
      <c r="D3152" s="15">
        <f>IFERROR(__xludf.DUMMYFUNCTION("""COMPUTED_VALUE"""),0.999)</f>
        <v>0.999</v>
      </c>
      <c r="E3152" s="16">
        <f>IFERROR(__xludf.DUMMYFUNCTION("""COMPUTED_VALUE"""),71.0)</f>
        <v>71</v>
      </c>
      <c r="F3152" s="19" t="str">
        <f>IFERROR(__xludf.DUMMYFUNCTION("""COMPUTED_VALUE"""),"BLUE")</f>
        <v>BLUE</v>
      </c>
      <c r="G3152" s="20" t="str">
        <f>IFERROR(__xludf.DUMMYFUNCTION("""COMPUTED_VALUE"""),"Uncle Sams Cider (04/04/2023)")</f>
        <v>Uncle Sams Cider (04/04/2023)</v>
      </c>
      <c r="H3152" s="19"/>
    </row>
    <row r="3153">
      <c r="A3153" s="9"/>
      <c r="B3153" s="15"/>
      <c r="C3153" s="9">
        <f>IFERROR(__xludf.DUMMYFUNCTION("""COMPUTED_VALUE"""),45111.5925382407)</f>
        <v>45111.59254</v>
      </c>
      <c r="D3153" s="15">
        <f>IFERROR(__xludf.DUMMYFUNCTION("""COMPUTED_VALUE"""),0.999)</f>
        <v>0.999</v>
      </c>
      <c r="E3153" s="16">
        <f>IFERROR(__xludf.DUMMYFUNCTION("""COMPUTED_VALUE"""),71.0)</f>
        <v>71</v>
      </c>
      <c r="F3153" s="19" t="str">
        <f>IFERROR(__xludf.DUMMYFUNCTION("""COMPUTED_VALUE"""),"BLUE")</f>
        <v>BLUE</v>
      </c>
      <c r="G3153" s="20" t="str">
        <f>IFERROR(__xludf.DUMMYFUNCTION("""COMPUTED_VALUE"""),"Uncle Sams Cider (04/04/2023)")</f>
        <v>Uncle Sams Cider (04/04/2023)</v>
      </c>
      <c r="H3153" s="19"/>
    </row>
    <row r="3154">
      <c r="A3154" s="9"/>
      <c r="B3154" s="15"/>
      <c r="C3154" s="9">
        <f>IFERROR(__xludf.DUMMYFUNCTION("""COMPUTED_VALUE"""),45111.5821167129)</f>
        <v>45111.58212</v>
      </c>
      <c r="D3154" s="15">
        <f>IFERROR(__xludf.DUMMYFUNCTION("""COMPUTED_VALUE"""),0.999)</f>
        <v>0.999</v>
      </c>
      <c r="E3154" s="16">
        <f>IFERROR(__xludf.DUMMYFUNCTION("""COMPUTED_VALUE"""),71.0)</f>
        <v>71</v>
      </c>
      <c r="F3154" s="19" t="str">
        <f>IFERROR(__xludf.DUMMYFUNCTION("""COMPUTED_VALUE"""),"BLUE")</f>
        <v>BLUE</v>
      </c>
      <c r="G3154" s="20" t="str">
        <f>IFERROR(__xludf.DUMMYFUNCTION("""COMPUTED_VALUE"""),"Uncle Sams Cider (04/04/2023)")</f>
        <v>Uncle Sams Cider (04/04/2023)</v>
      </c>
      <c r="H3154" s="19"/>
    </row>
    <row r="3155">
      <c r="A3155" s="9"/>
      <c r="B3155" s="15"/>
      <c r="C3155" s="9">
        <f>IFERROR(__xludf.DUMMYFUNCTION("""COMPUTED_VALUE"""),45111.5716973842)</f>
        <v>45111.5717</v>
      </c>
      <c r="D3155" s="15">
        <f>IFERROR(__xludf.DUMMYFUNCTION("""COMPUTED_VALUE"""),0.999)</f>
        <v>0.999</v>
      </c>
      <c r="E3155" s="16">
        <f>IFERROR(__xludf.DUMMYFUNCTION("""COMPUTED_VALUE"""),71.0)</f>
        <v>71</v>
      </c>
      <c r="F3155" s="19" t="str">
        <f>IFERROR(__xludf.DUMMYFUNCTION("""COMPUTED_VALUE"""),"BLUE")</f>
        <v>BLUE</v>
      </c>
      <c r="G3155" s="20" t="str">
        <f>IFERROR(__xludf.DUMMYFUNCTION("""COMPUTED_VALUE"""),"Uncle Sams Cider (04/04/2023)")</f>
        <v>Uncle Sams Cider (04/04/2023)</v>
      </c>
      <c r="H3155" s="19"/>
    </row>
    <row r="3156">
      <c r="A3156" s="9"/>
      <c r="B3156" s="15"/>
      <c r="C3156" s="9">
        <f>IFERROR(__xludf.DUMMYFUNCTION("""COMPUTED_VALUE"""),45111.5612776041)</f>
        <v>45111.56128</v>
      </c>
      <c r="D3156" s="15">
        <f>IFERROR(__xludf.DUMMYFUNCTION("""COMPUTED_VALUE"""),0.999)</f>
        <v>0.999</v>
      </c>
      <c r="E3156" s="16">
        <f>IFERROR(__xludf.DUMMYFUNCTION("""COMPUTED_VALUE"""),71.0)</f>
        <v>71</v>
      </c>
      <c r="F3156" s="19" t="str">
        <f>IFERROR(__xludf.DUMMYFUNCTION("""COMPUTED_VALUE"""),"BLUE")</f>
        <v>BLUE</v>
      </c>
      <c r="G3156" s="20" t="str">
        <f>IFERROR(__xludf.DUMMYFUNCTION("""COMPUTED_VALUE"""),"Uncle Sams Cider (04/04/2023)")</f>
        <v>Uncle Sams Cider (04/04/2023)</v>
      </c>
      <c r="H3156" s="19"/>
    </row>
    <row r="3157">
      <c r="A3157" s="9"/>
      <c r="B3157" s="15"/>
      <c r="C3157" s="9">
        <f>IFERROR(__xludf.DUMMYFUNCTION("""COMPUTED_VALUE"""),45111.5508563425)</f>
        <v>45111.55086</v>
      </c>
      <c r="D3157" s="15">
        <f>IFERROR(__xludf.DUMMYFUNCTION("""COMPUTED_VALUE"""),0.999)</f>
        <v>0.999</v>
      </c>
      <c r="E3157" s="16">
        <f>IFERROR(__xludf.DUMMYFUNCTION("""COMPUTED_VALUE"""),71.0)</f>
        <v>71</v>
      </c>
      <c r="F3157" s="19" t="str">
        <f>IFERROR(__xludf.DUMMYFUNCTION("""COMPUTED_VALUE"""),"BLUE")</f>
        <v>BLUE</v>
      </c>
      <c r="G3157" s="20" t="str">
        <f>IFERROR(__xludf.DUMMYFUNCTION("""COMPUTED_VALUE"""),"Uncle Sams Cider (04/04/2023)")</f>
        <v>Uncle Sams Cider (04/04/2023)</v>
      </c>
      <c r="H3157" s="19"/>
    </row>
    <row r="3158">
      <c r="A3158" s="9"/>
      <c r="B3158" s="15"/>
      <c r="C3158" s="9">
        <f>IFERROR(__xludf.DUMMYFUNCTION("""COMPUTED_VALUE"""),45111.5404134606)</f>
        <v>45111.54041</v>
      </c>
      <c r="D3158" s="15">
        <f>IFERROR(__xludf.DUMMYFUNCTION("""COMPUTED_VALUE"""),0.999)</f>
        <v>0.999</v>
      </c>
      <c r="E3158" s="16">
        <f>IFERROR(__xludf.DUMMYFUNCTION("""COMPUTED_VALUE"""),71.0)</f>
        <v>71</v>
      </c>
      <c r="F3158" s="19" t="str">
        <f>IFERROR(__xludf.DUMMYFUNCTION("""COMPUTED_VALUE"""),"BLUE")</f>
        <v>BLUE</v>
      </c>
      <c r="G3158" s="20" t="str">
        <f>IFERROR(__xludf.DUMMYFUNCTION("""COMPUTED_VALUE"""),"Uncle Sams Cider (04/04/2023)")</f>
        <v>Uncle Sams Cider (04/04/2023)</v>
      </c>
      <c r="H3158" s="19"/>
    </row>
    <row r="3159">
      <c r="A3159" s="9"/>
      <c r="B3159" s="15"/>
      <c r="C3159" s="9">
        <f>IFERROR(__xludf.DUMMYFUNCTION("""COMPUTED_VALUE"""),45111.5299922916)</f>
        <v>45111.52999</v>
      </c>
      <c r="D3159" s="15">
        <f>IFERROR(__xludf.DUMMYFUNCTION("""COMPUTED_VALUE"""),0.999)</f>
        <v>0.999</v>
      </c>
      <c r="E3159" s="16">
        <f>IFERROR(__xludf.DUMMYFUNCTION("""COMPUTED_VALUE"""),71.0)</f>
        <v>71</v>
      </c>
      <c r="F3159" s="19" t="str">
        <f>IFERROR(__xludf.DUMMYFUNCTION("""COMPUTED_VALUE"""),"BLUE")</f>
        <v>BLUE</v>
      </c>
      <c r="G3159" s="20" t="str">
        <f>IFERROR(__xludf.DUMMYFUNCTION("""COMPUTED_VALUE"""),"Uncle Sams Cider (04/04/2023)")</f>
        <v>Uncle Sams Cider (04/04/2023)</v>
      </c>
      <c r="H3159" s="19"/>
    </row>
    <row r="3160">
      <c r="A3160" s="9"/>
      <c r="B3160" s="15"/>
      <c r="C3160" s="9">
        <f>IFERROR(__xludf.DUMMYFUNCTION("""COMPUTED_VALUE"""),45111.5195728588)</f>
        <v>45111.51957</v>
      </c>
      <c r="D3160" s="15">
        <f>IFERROR(__xludf.DUMMYFUNCTION("""COMPUTED_VALUE"""),0.999)</f>
        <v>0.999</v>
      </c>
      <c r="E3160" s="16">
        <f>IFERROR(__xludf.DUMMYFUNCTION("""COMPUTED_VALUE"""),71.0)</f>
        <v>71</v>
      </c>
      <c r="F3160" s="19" t="str">
        <f>IFERROR(__xludf.DUMMYFUNCTION("""COMPUTED_VALUE"""),"BLUE")</f>
        <v>BLUE</v>
      </c>
      <c r="G3160" s="20" t="str">
        <f>IFERROR(__xludf.DUMMYFUNCTION("""COMPUTED_VALUE"""),"Uncle Sams Cider (04/04/2023)")</f>
        <v>Uncle Sams Cider (04/04/2023)</v>
      </c>
      <c r="H3160" s="19"/>
    </row>
    <row r="3161">
      <c r="A3161" s="9"/>
      <c r="B3161" s="15"/>
      <c r="C3161" s="9">
        <f>IFERROR(__xludf.DUMMYFUNCTION("""COMPUTED_VALUE"""),45111.509140787)</f>
        <v>45111.50914</v>
      </c>
      <c r="D3161" s="15">
        <f>IFERROR(__xludf.DUMMYFUNCTION("""COMPUTED_VALUE"""),0.999)</f>
        <v>0.999</v>
      </c>
      <c r="E3161" s="16">
        <f>IFERROR(__xludf.DUMMYFUNCTION("""COMPUTED_VALUE"""),71.0)</f>
        <v>71</v>
      </c>
      <c r="F3161" s="19" t="str">
        <f>IFERROR(__xludf.DUMMYFUNCTION("""COMPUTED_VALUE"""),"BLUE")</f>
        <v>BLUE</v>
      </c>
      <c r="G3161" s="20" t="str">
        <f>IFERROR(__xludf.DUMMYFUNCTION("""COMPUTED_VALUE"""),"Uncle Sams Cider (04/04/2023)")</f>
        <v>Uncle Sams Cider (04/04/2023)</v>
      </c>
      <c r="H3161" s="19"/>
    </row>
    <row r="3162">
      <c r="A3162" s="9"/>
      <c r="B3162" s="15"/>
      <c r="C3162" s="9">
        <f>IFERROR(__xludf.DUMMYFUNCTION("""COMPUTED_VALUE"""),45111.4986959027)</f>
        <v>45111.4987</v>
      </c>
      <c r="D3162" s="15">
        <f>IFERROR(__xludf.DUMMYFUNCTION("""COMPUTED_VALUE"""),0.999)</f>
        <v>0.999</v>
      </c>
      <c r="E3162" s="16">
        <f>IFERROR(__xludf.DUMMYFUNCTION("""COMPUTED_VALUE"""),71.0)</f>
        <v>71</v>
      </c>
      <c r="F3162" s="19" t="str">
        <f>IFERROR(__xludf.DUMMYFUNCTION("""COMPUTED_VALUE"""),"BLUE")</f>
        <v>BLUE</v>
      </c>
      <c r="G3162" s="20" t="str">
        <f>IFERROR(__xludf.DUMMYFUNCTION("""COMPUTED_VALUE"""),"Uncle Sams Cider (04/04/2023)")</f>
        <v>Uncle Sams Cider (04/04/2023)</v>
      </c>
      <c r="H3162" s="19"/>
    </row>
    <row r="3163">
      <c r="A3163" s="9"/>
      <c r="B3163" s="15"/>
      <c r="C3163" s="9">
        <f>IFERROR(__xludf.DUMMYFUNCTION("""COMPUTED_VALUE"""),45111.4882730555)</f>
        <v>45111.48827</v>
      </c>
      <c r="D3163" s="15">
        <f>IFERROR(__xludf.DUMMYFUNCTION("""COMPUTED_VALUE"""),0.999)</f>
        <v>0.999</v>
      </c>
      <c r="E3163" s="16">
        <f>IFERROR(__xludf.DUMMYFUNCTION("""COMPUTED_VALUE"""),71.0)</f>
        <v>71</v>
      </c>
      <c r="F3163" s="19" t="str">
        <f>IFERROR(__xludf.DUMMYFUNCTION("""COMPUTED_VALUE"""),"BLUE")</f>
        <v>BLUE</v>
      </c>
      <c r="G3163" s="20" t="str">
        <f>IFERROR(__xludf.DUMMYFUNCTION("""COMPUTED_VALUE"""),"Uncle Sams Cider (04/04/2023)")</f>
        <v>Uncle Sams Cider (04/04/2023)</v>
      </c>
      <c r="H3163" s="19"/>
    </row>
    <row r="3164">
      <c r="A3164" s="9"/>
      <c r="B3164" s="15"/>
      <c r="C3164" s="9">
        <f>IFERROR(__xludf.DUMMYFUNCTION("""COMPUTED_VALUE"""),45111.4778286458)</f>
        <v>45111.47783</v>
      </c>
      <c r="D3164" s="15">
        <f>IFERROR(__xludf.DUMMYFUNCTION("""COMPUTED_VALUE"""),0.999)</f>
        <v>0.999</v>
      </c>
      <c r="E3164" s="16">
        <f>IFERROR(__xludf.DUMMYFUNCTION("""COMPUTED_VALUE"""),71.0)</f>
        <v>71</v>
      </c>
      <c r="F3164" s="19" t="str">
        <f>IFERROR(__xludf.DUMMYFUNCTION("""COMPUTED_VALUE"""),"BLUE")</f>
        <v>BLUE</v>
      </c>
      <c r="G3164" s="20" t="str">
        <f>IFERROR(__xludf.DUMMYFUNCTION("""COMPUTED_VALUE"""),"Uncle Sams Cider (04/04/2023)")</f>
        <v>Uncle Sams Cider (04/04/2023)</v>
      </c>
      <c r="H3164" s="19"/>
    </row>
    <row r="3165">
      <c r="A3165" s="9"/>
      <c r="B3165" s="15"/>
      <c r="C3165" s="9">
        <f>IFERROR(__xludf.DUMMYFUNCTION("""COMPUTED_VALUE"""),45111.4674068865)</f>
        <v>45111.46741</v>
      </c>
      <c r="D3165" s="15">
        <f>IFERROR(__xludf.DUMMYFUNCTION("""COMPUTED_VALUE"""),0.999)</f>
        <v>0.999</v>
      </c>
      <c r="E3165" s="16">
        <f>IFERROR(__xludf.DUMMYFUNCTION("""COMPUTED_VALUE"""),71.0)</f>
        <v>71</v>
      </c>
      <c r="F3165" s="19" t="str">
        <f>IFERROR(__xludf.DUMMYFUNCTION("""COMPUTED_VALUE"""),"BLUE")</f>
        <v>BLUE</v>
      </c>
      <c r="G3165" s="20" t="str">
        <f>IFERROR(__xludf.DUMMYFUNCTION("""COMPUTED_VALUE"""),"Uncle Sams Cider (04/04/2023)")</f>
        <v>Uncle Sams Cider (04/04/2023)</v>
      </c>
      <c r="H3165" s="19"/>
    </row>
    <row r="3166">
      <c r="A3166" s="9"/>
      <c r="B3166" s="15"/>
      <c r="C3166" s="9">
        <f>IFERROR(__xludf.DUMMYFUNCTION("""COMPUTED_VALUE"""),45111.4569883564)</f>
        <v>45111.45699</v>
      </c>
      <c r="D3166" s="15">
        <f>IFERROR(__xludf.DUMMYFUNCTION("""COMPUTED_VALUE"""),0.999)</f>
        <v>0.999</v>
      </c>
      <c r="E3166" s="16">
        <f>IFERROR(__xludf.DUMMYFUNCTION("""COMPUTED_VALUE"""),71.0)</f>
        <v>71</v>
      </c>
      <c r="F3166" s="19" t="str">
        <f>IFERROR(__xludf.DUMMYFUNCTION("""COMPUTED_VALUE"""),"BLUE")</f>
        <v>BLUE</v>
      </c>
      <c r="G3166" s="20" t="str">
        <f>IFERROR(__xludf.DUMMYFUNCTION("""COMPUTED_VALUE"""),"Uncle Sams Cider (04/04/2023)")</f>
        <v>Uncle Sams Cider (04/04/2023)</v>
      </c>
      <c r="H3166" s="19"/>
    </row>
    <row r="3167">
      <c r="A3167" s="9"/>
      <c r="B3167" s="15"/>
      <c r="C3167" s="9">
        <f>IFERROR(__xludf.DUMMYFUNCTION("""COMPUTED_VALUE"""),45111.4465662384)</f>
        <v>45111.44657</v>
      </c>
      <c r="D3167" s="15">
        <f>IFERROR(__xludf.DUMMYFUNCTION("""COMPUTED_VALUE"""),0.999)</f>
        <v>0.999</v>
      </c>
      <c r="E3167" s="16">
        <f>IFERROR(__xludf.DUMMYFUNCTION("""COMPUTED_VALUE"""),71.0)</f>
        <v>71</v>
      </c>
      <c r="F3167" s="19" t="str">
        <f>IFERROR(__xludf.DUMMYFUNCTION("""COMPUTED_VALUE"""),"BLUE")</f>
        <v>BLUE</v>
      </c>
      <c r="G3167" s="20" t="str">
        <f>IFERROR(__xludf.DUMMYFUNCTION("""COMPUTED_VALUE"""),"Uncle Sams Cider (04/04/2023)")</f>
        <v>Uncle Sams Cider (04/04/2023)</v>
      </c>
      <c r="H3167" s="19"/>
    </row>
    <row r="3168">
      <c r="A3168" s="9"/>
      <c r="B3168" s="15"/>
      <c r="C3168" s="9">
        <f>IFERROR(__xludf.DUMMYFUNCTION("""COMPUTED_VALUE"""),45111.4361471296)</f>
        <v>45111.43615</v>
      </c>
      <c r="D3168" s="15">
        <f>IFERROR(__xludf.DUMMYFUNCTION("""COMPUTED_VALUE"""),0.999)</f>
        <v>0.999</v>
      </c>
      <c r="E3168" s="16">
        <f>IFERROR(__xludf.DUMMYFUNCTION("""COMPUTED_VALUE"""),71.0)</f>
        <v>71</v>
      </c>
      <c r="F3168" s="19" t="str">
        <f>IFERROR(__xludf.DUMMYFUNCTION("""COMPUTED_VALUE"""),"BLUE")</f>
        <v>BLUE</v>
      </c>
      <c r="G3168" s="20" t="str">
        <f>IFERROR(__xludf.DUMMYFUNCTION("""COMPUTED_VALUE"""),"Uncle Sams Cider (04/04/2023)")</f>
        <v>Uncle Sams Cider (04/04/2023)</v>
      </c>
      <c r="H3168" s="19"/>
    </row>
    <row r="3169">
      <c r="A3169" s="9"/>
      <c r="B3169" s="15"/>
      <c r="C3169" s="9">
        <f>IFERROR(__xludf.DUMMYFUNCTION("""COMPUTED_VALUE"""),45111.425726574)</f>
        <v>45111.42573</v>
      </c>
      <c r="D3169" s="15">
        <f>IFERROR(__xludf.DUMMYFUNCTION("""COMPUTED_VALUE"""),1.0)</f>
        <v>1</v>
      </c>
      <c r="E3169" s="16">
        <f>IFERROR(__xludf.DUMMYFUNCTION("""COMPUTED_VALUE"""),71.0)</f>
        <v>71</v>
      </c>
      <c r="F3169" s="19" t="str">
        <f>IFERROR(__xludf.DUMMYFUNCTION("""COMPUTED_VALUE"""),"BLUE")</f>
        <v>BLUE</v>
      </c>
      <c r="G3169" s="20" t="str">
        <f>IFERROR(__xludf.DUMMYFUNCTION("""COMPUTED_VALUE"""),"Uncle Sams Cider (04/04/2023)")</f>
        <v>Uncle Sams Cider (04/04/2023)</v>
      </c>
      <c r="H3169" s="19"/>
    </row>
    <row r="3170">
      <c r="A3170" s="9"/>
      <c r="B3170" s="15"/>
      <c r="C3170" s="9">
        <f>IFERROR(__xludf.DUMMYFUNCTION("""COMPUTED_VALUE"""),45111.4152941666)</f>
        <v>45111.41529</v>
      </c>
      <c r="D3170" s="15">
        <f>IFERROR(__xludf.DUMMYFUNCTION("""COMPUTED_VALUE"""),0.999)</f>
        <v>0.999</v>
      </c>
      <c r="E3170" s="16">
        <f>IFERROR(__xludf.DUMMYFUNCTION("""COMPUTED_VALUE"""),71.0)</f>
        <v>71</v>
      </c>
      <c r="F3170" s="19" t="str">
        <f>IFERROR(__xludf.DUMMYFUNCTION("""COMPUTED_VALUE"""),"BLUE")</f>
        <v>BLUE</v>
      </c>
      <c r="G3170" s="20" t="str">
        <f>IFERROR(__xludf.DUMMYFUNCTION("""COMPUTED_VALUE"""),"Uncle Sams Cider (04/04/2023)")</f>
        <v>Uncle Sams Cider (04/04/2023)</v>
      </c>
      <c r="H3170" s="19"/>
    </row>
    <row r="3171">
      <c r="A3171" s="9"/>
      <c r="B3171" s="15"/>
      <c r="C3171" s="9">
        <f>IFERROR(__xludf.DUMMYFUNCTION("""COMPUTED_VALUE"""),45111.4048748842)</f>
        <v>45111.40487</v>
      </c>
      <c r="D3171" s="15">
        <f>IFERROR(__xludf.DUMMYFUNCTION("""COMPUTED_VALUE"""),0.999)</f>
        <v>0.999</v>
      </c>
      <c r="E3171" s="16">
        <f>IFERROR(__xludf.DUMMYFUNCTION("""COMPUTED_VALUE"""),71.0)</f>
        <v>71</v>
      </c>
      <c r="F3171" s="19" t="str">
        <f>IFERROR(__xludf.DUMMYFUNCTION("""COMPUTED_VALUE"""),"BLUE")</f>
        <v>BLUE</v>
      </c>
      <c r="G3171" s="20" t="str">
        <f>IFERROR(__xludf.DUMMYFUNCTION("""COMPUTED_VALUE"""),"Uncle Sams Cider (04/04/2023)")</f>
        <v>Uncle Sams Cider (04/04/2023)</v>
      </c>
      <c r="H3171" s="19"/>
    </row>
    <row r="3172">
      <c r="A3172" s="9"/>
      <c r="B3172" s="15"/>
      <c r="C3172" s="9">
        <f>IFERROR(__xludf.DUMMYFUNCTION("""COMPUTED_VALUE"""),45111.3944303356)</f>
        <v>45111.39443</v>
      </c>
      <c r="D3172" s="15">
        <f>IFERROR(__xludf.DUMMYFUNCTION("""COMPUTED_VALUE"""),0.999)</f>
        <v>0.999</v>
      </c>
      <c r="E3172" s="16">
        <f>IFERROR(__xludf.DUMMYFUNCTION("""COMPUTED_VALUE"""),71.0)</f>
        <v>71</v>
      </c>
      <c r="F3172" s="19" t="str">
        <f>IFERROR(__xludf.DUMMYFUNCTION("""COMPUTED_VALUE"""),"BLUE")</f>
        <v>BLUE</v>
      </c>
      <c r="G3172" s="20" t="str">
        <f>IFERROR(__xludf.DUMMYFUNCTION("""COMPUTED_VALUE"""),"Uncle Sams Cider (04/04/2023)")</f>
        <v>Uncle Sams Cider (04/04/2023)</v>
      </c>
      <c r="H3172" s="19"/>
    </row>
    <row r="3173">
      <c r="A3173" s="9"/>
      <c r="B3173" s="15"/>
      <c r="C3173" s="9">
        <f>IFERROR(__xludf.DUMMYFUNCTION("""COMPUTED_VALUE"""),45111.3840104282)</f>
        <v>45111.38401</v>
      </c>
      <c r="D3173" s="15">
        <f>IFERROR(__xludf.DUMMYFUNCTION("""COMPUTED_VALUE"""),0.999)</f>
        <v>0.999</v>
      </c>
      <c r="E3173" s="16">
        <f>IFERROR(__xludf.DUMMYFUNCTION("""COMPUTED_VALUE"""),71.0)</f>
        <v>71</v>
      </c>
      <c r="F3173" s="19" t="str">
        <f>IFERROR(__xludf.DUMMYFUNCTION("""COMPUTED_VALUE"""),"BLUE")</f>
        <v>BLUE</v>
      </c>
      <c r="G3173" s="20" t="str">
        <f>IFERROR(__xludf.DUMMYFUNCTION("""COMPUTED_VALUE"""),"Uncle Sams Cider (04/04/2023)")</f>
        <v>Uncle Sams Cider (04/04/2023)</v>
      </c>
      <c r="H3173" s="19"/>
    </row>
    <row r="3174">
      <c r="A3174" s="9"/>
      <c r="B3174" s="15"/>
      <c r="C3174" s="9">
        <f>IFERROR(__xludf.DUMMYFUNCTION("""COMPUTED_VALUE"""),45111.363169699)</f>
        <v>45111.36317</v>
      </c>
      <c r="D3174" s="15">
        <f>IFERROR(__xludf.DUMMYFUNCTION("""COMPUTED_VALUE"""),1.0)</f>
        <v>1</v>
      </c>
      <c r="E3174" s="16">
        <f>IFERROR(__xludf.DUMMYFUNCTION("""COMPUTED_VALUE"""),71.0)</f>
        <v>71</v>
      </c>
      <c r="F3174" s="19" t="str">
        <f>IFERROR(__xludf.DUMMYFUNCTION("""COMPUTED_VALUE"""),"BLUE")</f>
        <v>BLUE</v>
      </c>
      <c r="G3174" s="20" t="str">
        <f>IFERROR(__xludf.DUMMYFUNCTION("""COMPUTED_VALUE"""),"Uncle Sams Cider (04/04/2023)")</f>
        <v>Uncle Sams Cider (04/04/2023)</v>
      </c>
      <c r="H3174" s="19"/>
    </row>
    <row r="3175">
      <c r="A3175" s="9"/>
      <c r="B3175" s="15"/>
      <c r="C3175" s="9">
        <f>IFERROR(__xludf.DUMMYFUNCTION("""COMPUTED_VALUE"""),45111.3527475347)</f>
        <v>45111.35275</v>
      </c>
      <c r="D3175" s="15">
        <f>IFERROR(__xludf.DUMMYFUNCTION("""COMPUTED_VALUE"""),0.999)</f>
        <v>0.999</v>
      </c>
      <c r="E3175" s="16">
        <f>IFERROR(__xludf.DUMMYFUNCTION("""COMPUTED_VALUE"""),71.0)</f>
        <v>71</v>
      </c>
      <c r="F3175" s="19" t="str">
        <f>IFERROR(__xludf.DUMMYFUNCTION("""COMPUTED_VALUE"""),"BLUE")</f>
        <v>BLUE</v>
      </c>
      <c r="G3175" s="20" t="str">
        <f>IFERROR(__xludf.DUMMYFUNCTION("""COMPUTED_VALUE"""),"Uncle Sams Cider (04/04/2023)")</f>
        <v>Uncle Sams Cider (04/04/2023)</v>
      </c>
      <c r="H3175" s="19"/>
    </row>
    <row r="3176">
      <c r="A3176" s="9"/>
      <c r="B3176" s="15"/>
      <c r="C3176" s="9">
        <f>IFERROR(__xludf.DUMMYFUNCTION("""COMPUTED_VALUE"""),45111.3423257176)</f>
        <v>45111.34233</v>
      </c>
      <c r="D3176" s="15">
        <f>IFERROR(__xludf.DUMMYFUNCTION("""COMPUTED_VALUE"""),0.999)</f>
        <v>0.999</v>
      </c>
      <c r="E3176" s="16">
        <f>IFERROR(__xludf.DUMMYFUNCTION("""COMPUTED_VALUE"""),71.0)</f>
        <v>71</v>
      </c>
      <c r="F3176" s="19" t="str">
        <f>IFERROR(__xludf.DUMMYFUNCTION("""COMPUTED_VALUE"""),"BLUE")</f>
        <v>BLUE</v>
      </c>
      <c r="G3176" s="20" t="str">
        <f>IFERROR(__xludf.DUMMYFUNCTION("""COMPUTED_VALUE"""),"Uncle Sams Cider (04/04/2023)")</f>
        <v>Uncle Sams Cider (04/04/2023)</v>
      </c>
      <c r="H3176" s="19"/>
    </row>
    <row r="3177">
      <c r="A3177" s="9"/>
      <c r="B3177" s="15"/>
      <c r="C3177" s="9">
        <f>IFERROR(__xludf.DUMMYFUNCTION("""COMPUTED_VALUE"""),45111.3319074768)</f>
        <v>45111.33191</v>
      </c>
      <c r="D3177" s="15">
        <f>IFERROR(__xludf.DUMMYFUNCTION("""COMPUTED_VALUE"""),0.999)</f>
        <v>0.999</v>
      </c>
      <c r="E3177" s="16">
        <f>IFERROR(__xludf.DUMMYFUNCTION("""COMPUTED_VALUE"""),71.0)</f>
        <v>71</v>
      </c>
      <c r="F3177" s="19" t="str">
        <f>IFERROR(__xludf.DUMMYFUNCTION("""COMPUTED_VALUE"""),"BLUE")</f>
        <v>BLUE</v>
      </c>
      <c r="G3177" s="20" t="str">
        <f>IFERROR(__xludf.DUMMYFUNCTION("""COMPUTED_VALUE"""),"Uncle Sams Cider (04/04/2023)")</f>
        <v>Uncle Sams Cider (04/04/2023)</v>
      </c>
      <c r="H3177" s="19"/>
    </row>
    <row r="3178">
      <c r="A3178" s="9"/>
      <c r="B3178" s="15"/>
      <c r="C3178" s="9">
        <f>IFERROR(__xludf.DUMMYFUNCTION("""COMPUTED_VALUE"""),45111.3214881713)</f>
        <v>45111.32149</v>
      </c>
      <c r="D3178" s="15">
        <f>IFERROR(__xludf.DUMMYFUNCTION("""COMPUTED_VALUE"""),0.999)</f>
        <v>0.999</v>
      </c>
      <c r="E3178" s="16">
        <f>IFERROR(__xludf.DUMMYFUNCTION("""COMPUTED_VALUE"""),71.0)</f>
        <v>71</v>
      </c>
      <c r="F3178" s="19" t="str">
        <f>IFERROR(__xludf.DUMMYFUNCTION("""COMPUTED_VALUE"""),"BLUE")</f>
        <v>BLUE</v>
      </c>
      <c r="G3178" s="20" t="str">
        <f>IFERROR(__xludf.DUMMYFUNCTION("""COMPUTED_VALUE"""),"Uncle Sams Cider (04/04/2023)")</f>
        <v>Uncle Sams Cider (04/04/2023)</v>
      </c>
      <c r="H3178" s="19"/>
    </row>
    <row r="3179">
      <c r="A3179" s="9"/>
      <c r="B3179" s="15"/>
      <c r="C3179" s="9">
        <f>IFERROR(__xludf.DUMMYFUNCTION("""COMPUTED_VALUE"""),45111.3110555787)</f>
        <v>45111.31106</v>
      </c>
      <c r="D3179" s="15">
        <f>IFERROR(__xludf.DUMMYFUNCTION("""COMPUTED_VALUE"""),1.0)</f>
        <v>1</v>
      </c>
      <c r="E3179" s="16">
        <f>IFERROR(__xludf.DUMMYFUNCTION("""COMPUTED_VALUE"""),71.0)</f>
        <v>71</v>
      </c>
      <c r="F3179" s="19" t="str">
        <f>IFERROR(__xludf.DUMMYFUNCTION("""COMPUTED_VALUE"""),"BLUE")</f>
        <v>BLUE</v>
      </c>
      <c r="G3179" s="20" t="str">
        <f>IFERROR(__xludf.DUMMYFUNCTION("""COMPUTED_VALUE"""),"Uncle Sams Cider (04/04/2023)")</f>
        <v>Uncle Sams Cider (04/04/2023)</v>
      </c>
      <c r="H3179" s="19"/>
    </row>
    <row r="3180">
      <c r="A3180" s="9"/>
      <c r="B3180" s="15"/>
      <c r="C3180" s="9">
        <f>IFERROR(__xludf.DUMMYFUNCTION("""COMPUTED_VALUE"""),45111.3006330787)</f>
        <v>45111.30063</v>
      </c>
      <c r="D3180" s="15">
        <f>IFERROR(__xludf.DUMMYFUNCTION("""COMPUTED_VALUE"""),0.999)</f>
        <v>0.999</v>
      </c>
      <c r="E3180" s="16">
        <f>IFERROR(__xludf.DUMMYFUNCTION("""COMPUTED_VALUE"""),71.0)</f>
        <v>71</v>
      </c>
      <c r="F3180" s="19" t="str">
        <f>IFERROR(__xludf.DUMMYFUNCTION("""COMPUTED_VALUE"""),"BLUE")</f>
        <v>BLUE</v>
      </c>
      <c r="G3180" s="20" t="str">
        <f>IFERROR(__xludf.DUMMYFUNCTION("""COMPUTED_VALUE"""),"Uncle Sams Cider (04/04/2023)")</f>
        <v>Uncle Sams Cider (04/04/2023)</v>
      </c>
      <c r="H3180" s="19"/>
    </row>
    <row r="3181">
      <c r="A3181" s="9"/>
      <c r="B3181" s="15"/>
      <c r="C3181" s="9">
        <f>IFERROR(__xludf.DUMMYFUNCTION("""COMPUTED_VALUE"""),45111.2902134606)</f>
        <v>45111.29021</v>
      </c>
      <c r="D3181" s="15">
        <f>IFERROR(__xludf.DUMMYFUNCTION("""COMPUTED_VALUE"""),0.999)</f>
        <v>0.999</v>
      </c>
      <c r="E3181" s="16">
        <f>IFERROR(__xludf.DUMMYFUNCTION("""COMPUTED_VALUE"""),71.0)</f>
        <v>71</v>
      </c>
      <c r="F3181" s="19" t="str">
        <f>IFERROR(__xludf.DUMMYFUNCTION("""COMPUTED_VALUE"""),"BLUE")</f>
        <v>BLUE</v>
      </c>
      <c r="G3181" s="20" t="str">
        <f>IFERROR(__xludf.DUMMYFUNCTION("""COMPUTED_VALUE"""),"Uncle Sams Cider (04/04/2023)")</f>
        <v>Uncle Sams Cider (04/04/2023)</v>
      </c>
      <c r="H3181" s="19"/>
    </row>
    <row r="3182">
      <c r="A3182" s="9"/>
      <c r="B3182" s="15"/>
      <c r="C3182" s="9">
        <f>IFERROR(__xludf.DUMMYFUNCTION("""COMPUTED_VALUE"""),45111.2797930787)</f>
        <v>45111.27979</v>
      </c>
      <c r="D3182" s="15">
        <f>IFERROR(__xludf.DUMMYFUNCTION("""COMPUTED_VALUE"""),1.0)</f>
        <v>1</v>
      </c>
      <c r="E3182" s="16">
        <f>IFERROR(__xludf.DUMMYFUNCTION("""COMPUTED_VALUE"""),71.0)</f>
        <v>71</v>
      </c>
      <c r="F3182" s="19" t="str">
        <f>IFERROR(__xludf.DUMMYFUNCTION("""COMPUTED_VALUE"""),"BLUE")</f>
        <v>BLUE</v>
      </c>
      <c r="G3182" s="20" t="str">
        <f>IFERROR(__xludf.DUMMYFUNCTION("""COMPUTED_VALUE"""),"Uncle Sams Cider (04/04/2023)")</f>
        <v>Uncle Sams Cider (04/04/2023)</v>
      </c>
      <c r="H3182" s="19"/>
    </row>
    <row r="3183">
      <c r="A3183" s="9"/>
      <c r="B3183" s="15"/>
      <c r="C3183" s="9">
        <f>IFERROR(__xludf.DUMMYFUNCTION("""COMPUTED_VALUE"""),45111.2693729861)</f>
        <v>45111.26937</v>
      </c>
      <c r="D3183" s="15">
        <f>IFERROR(__xludf.DUMMYFUNCTION("""COMPUTED_VALUE"""),0.999)</f>
        <v>0.999</v>
      </c>
      <c r="E3183" s="16">
        <f>IFERROR(__xludf.DUMMYFUNCTION("""COMPUTED_VALUE"""),71.0)</f>
        <v>71</v>
      </c>
      <c r="F3183" s="19" t="str">
        <f>IFERROR(__xludf.DUMMYFUNCTION("""COMPUTED_VALUE"""),"BLUE")</f>
        <v>BLUE</v>
      </c>
      <c r="G3183" s="20" t="str">
        <f>IFERROR(__xludf.DUMMYFUNCTION("""COMPUTED_VALUE"""),"Uncle Sams Cider (04/04/2023)")</f>
        <v>Uncle Sams Cider (04/04/2023)</v>
      </c>
      <c r="H3183" s="19"/>
    </row>
    <row r="3184">
      <c r="A3184" s="9"/>
      <c r="B3184" s="15"/>
      <c r="C3184" s="9">
        <f>IFERROR(__xludf.DUMMYFUNCTION("""COMPUTED_VALUE"""),45111.2589531365)</f>
        <v>45111.25895</v>
      </c>
      <c r="D3184" s="15">
        <f>IFERROR(__xludf.DUMMYFUNCTION("""COMPUTED_VALUE"""),0.999)</f>
        <v>0.999</v>
      </c>
      <c r="E3184" s="16">
        <f>IFERROR(__xludf.DUMMYFUNCTION("""COMPUTED_VALUE"""),71.0)</f>
        <v>71</v>
      </c>
      <c r="F3184" s="19" t="str">
        <f>IFERROR(__xludf.DUMMYFUNCTION("""COMPUTED_VALUE"""),"BLUE")</f>
        <v>BLUE</v>
      </c>
      <c r="G3184" s="20" t="str">
        <f>IFERROR(__xludf.DUMMYFUNCTION("""COMPUTED_VALUE"""),"Uncle Sams Cider (04/04/2023)")</f>
        <v>Uncle Sams Cider (04/04/2023)</v>
      </c>
      <c r="H3184" s="19"/>
    </row>
    <row r="3185">
      <c r="A3185" s="9"/>
      <c r="B3185" s="15"/>
      <c r="C3185" s="9">
        <f>IFERROR(__xludf.DUMMYFUNCTION("""COMPUTED_VALUE"""),45111.2485331018)</f>
        <v>45111.24853</v>
      </c>
      <c r="D3185" s="15">
        <f>IFERROR(__xludf.DUMMYFUNCTION("""COMPUTED_VALUE"""),1.0)</f>
        <v>1</v>
      </c>
      <c r="E3185" s="16">
        <f>IFERROR(__xludf.DUMMYFUNCTION("""COMPUTED_VALUE"""),71.0)</f>
        <v>71</v>
      </c>
      <c r="F3185" s="19" t="str">
        <f>IFERROR(__xludf.DUMMYFUNCTION("""COMPUTED_VALUE"""),"BLUE")</f>
        <v>BLUE</v>
      </c>
      <c r="G3185" s="20" t="str">
        <f>IFERROR(__xludf.DUMMYFUNCTION("""COMPUTED_VALUE"""),"Uncle Sams Cider (04/04/2023)")</f>
        <v>Uncle Sams Cider (04/04/2023)</v>
      </c>
      <c r="H3185" s="19"/>
    </row>
    <row r="3186">
      <c r="A3186" s="9"/>
      <c r="B3186" s="15"/>
      <c r="C3186" s="9">
        <f>IFERROR(__xludf.DUMMYFUNCTION("""COMPUTED_VALUE"""),45111.2380889351)</f>
        <v>45111.23809</v>
      </c>
      <c r="D3186" s="15">
        <f>IFERROR(__xludf.DUMMYFUNCTION("""COMPUTED_VALUE"""),0.999)</f>
        <v>0.999</v>
      </c>
      <c r="E3186" s="16">
        <f>IFERROR(__xludf.DUMMYFUNCTION("""COMPUTED_VALUE"""),71.0)</f>
        <v>71</v>
      </c>
      <c r="F3186" s="19" t="str">
        <f>IFERROR(__xludf.DUMMYFUNCTION("""COMPUTED_VALUE"""),"BLUE")</f>
        <v>BLUE</v>
      </c>
      <c r="G3186" s="20" t="str">
        <f>IFERROR(__xludf.DUMMYFUNCTION("""COMPUTED_VALUE"""),"Uncle Sams Cider (04/04/2023)")</f>
        <v>Uncle Sams Cider (04/04/2023)</v>
      </c>
      <c r="H3186" s="19"/>
    </row>
    <row r="3187">
      <c r="A3187" s="9"/>
      <c r="B3187" s="15"/>
      <c r="C3187" s="9">
        <f>IFERROR(__xludf.DUMMYFUNCTION("""COMPUTED_VALUE"""),45111.2276673032)</f>
        <v>45111.22767</v>
      </c>
      <c r="D3187" s="15">
        <f>IFERROR(__xludf.DUMMYFUNCTION("""COMPUTED_VALUE"""),0.999)</f>
        <v>0.999</v>
      </c>
      <c r="E3187" s="16">
        <f>IFERROR(__xludf.DUMMYFUNCTION("""COMPUTED_VALUE"""),71.0)</f>
        <v>71</v>
      </c>
      <c r="F3187" s="19" t="str">
        <f>IFERROR(__xludf.DUMMYFUNCTION("""COMPUTED_VALUE"""),"BLUE")</f>
        <v>BLUE</v>
      </c>
      <c r="G3187" s="20" t="str">
        <f>IFERROR(__xludf.DUMMYFUNCTION("""COMPUTED_VALUE"""),"Uncle Sams Cider (04/04/2023)")</f>
        <v>Uncle Sams Cider (04/04/2023)</v>
      </c>
      <c r="H3187" s="19"/>
    </row>
    <row r="3188">
      <c r="A3188" s="9"/>
      <c r="B3188" s="15"/>
      <c r="C3188" s="9">
        <f>IFERROR(__xludf.DUMMYFUNCTION("""COMPUTED_VALUE"""),45111.2172329745)</f>
        <v>45111.21723</v>
      </c>
      <c r="D3188" s="15">
        <f>IFERROR(__xludf.DUMMYFUNCTION("""COMPUTED_VALUE"""),0.999)</f>
        <v>0.999</v>
      </c>
      <c r="E3188" s="16">
        <f>IFERROR(__xludf.DUMMYFUNCTION("""COMPUTED_VALUE"""),71.0)</f>
        <v>71</v>
      </c>
      <c r="F3188" s="19" t="str">
        <f>IFERROR(__xludf.DUMMYFUNCTION("""COMPUTED_VALUE"""),"BLUE")</f>
        <v>BLUE</v>
      </c>
      <c r="G3188" s="20" t="str">
        <f>IFERROR(__xludf.DUMMYFUNCTION("""COMPUTED_VALUE"""),"Uncle Sams Cider (04/04/2023)")</f>
        <v>Uncle Sams Cider (04/04/2023)</v>
      </c>
      <c r="H3188" s="19"/>
    </row>
    <row r="3189">
      <c r="A3189" s="9"/>
      <c r="B3189" s="15"/>
      <c r="C3189" s="9">
        <f>IFERROR(__xludf.DUMMYFUNCTION("""COMPUTED_VALUE"""),45111.2068136921)</f>
        <v>45111.20681</v>
      </c>
      <c r="D3189" s="15">
        <f>IFERROR(__xludf.DUMMYFUNCTION("""COMPUTED_VALUE"""),1.0)</f>
        <v>1</v>
      </c>
      <c r="E3189" s="16">
        <f>IFERROR(__xludf.DUMMYFUNCTION("""COMPUTED_VALUE"""),71.0)</f>
        <v>71</v>
      </c>
      <c r="F3189" s="19" t="str">
        <f>IFERROR(__xludf.DUMMYFUNCTION("""COMPUTED_VALUE"""),"BLUE")</f>
        <v>BLUE</v>
      </c>
      <c r="G3189" s="20" t="str">
        <f>IFERROR(__xludf.DUMMYFUNCTION("""COMPUTED_VALUE"""),"Uncle Sams Cider (04/04/2023)")</f>
        <v>Uncle Sams Cider (04/04/2023)</v>
      </c>
      <c r="H3189" s="19"/>
    </row>
    <row r="3190">
      <c r="A3190" s="9"/>
      <c r="B3190" s="15"/>
      <c r="C3190" s="9">
        <f>IFERROR(__xludf.DUMMYFUNCTION("""COMPUTED_VALUE"""),45111.1963939699)</f>
        <v>45111.19639</v>
      </c>
      <c r="D3190" s="15">
        <f>IFERROR(__xludf.DUMMYFUNCTION("""COMPUTED_VALUE"""),0.999)</f>
        <v>0.999</v>
      </c>
      <c r="E3190" s="16">
        <f>IFERROR(__xludf.DUMMYFUNCTION("""COMPUTED_VALUE"""),71.0)</f>
        <v>71</v>
      </c>
      <c r="F3190" s="19" t="str">
        <f>IFERROR(__xludf.DUMMYFUNCTION("""COMPUTED_VALUE"""),"BLUE")</f>
        <v>BLUE</v>
      </c>
      <c r="G3190" s="20" t="str">
        <f>IFERROR(__xludf.DUMMYFUNCTION("""COMPUTED_VALUE"""),"Uncle Sams Cider (04/04/2023)")</f>
        <v>Uncle Sams Cider (04/04/2023)</v>
      </c>
      <c r="H3190" s="19"/>
    </row>
    <row r="3191">
      <c r="A3191" s="9"/>
      <c r="B3191" s="15"/>
      <c r="C3191" s="9">
        <f>IFERROR(__xludf.DUMMYFUNCTION("""COMPUTED_VALUE"""),45111.1859754745)</f>
        <v>45111.18598</v>
      </c>
      <c r="D3191" s="15">
        <f>IFERROR(__xludf.DUMMYFUNCTION("""COMPUTED_VALUE"""),0.999)</f>
        <v>0.999</v>
      </c>
      <c r="E3191" s="16">
        <f>IFERROR(__xludf.DUMMYFUNCTION("""COMPUTED_VALUE"""),71.0)</f>
        <v>71</v>
      </c>
      <c r="F3191" s="19" t="str">
        <f>IFERROR(__xludf.DUMMYFUNCTION("""COMPUTED_VALUE"""),"BLUE")</f>
        <v>BLUE</v>
      </c>
      <c r="G3191" s="20" t="str">
        <f>IFERROR(__xludf.DUMMYFUNCTION("""COMPUTED_VALUE"""),"Uncle Sams Cider (04/04/2023)")</f>
        <v>Uncle Sams Cider (04/04/2023)</v>
      </c>
      <c r="H3191" s="19"/>
    </row>
    <row r="3192">
      <c r="A3192" s="9"/>
      <c r="B3192" s="15"/>
      <c r="C3192" s="9">
        <f>IFERROR(__xludf.DUMMYFUNCTION("""COMPUTED_VALUE"""),45111.1755547569)</f>
        <v>45111.17555</v>
      </c>
      <c r="D3192" s="15">
        <f>IFERROR(__xludf.DUMMYFUNCTION("""COMPUTED_VALUE"""),0.999)</f>
        <v>0.999</v>
      </c>
      <c r="E3192" s="16">
        <f>IFERROR(__xludf.DUMMYFUNCTION("""COMPUTED_VALUE"""),71.0)</f>
        <v>71</v>
      </c>
      <c r="F3192" s="19" t="str">
        <f>IFERROR(__xludf.DUMMYFUNCTION("""COMPUTED_VALUE"""),"BLUE")</f>
        <v>BLUE</v>
      </c>
      <c r="G3192" s="20" t="str">
        <f>IFERROR(__xludf.DUMMYFUNCTION("""COMPUTED_VALUE"""),"Uncle Sams Cider (04/04/2023)")</f>
        <v>Uncle Sams Cider (04/04/2023)</v>
      </c>
      <c r="H3192" s="19"/>
    </row>
    <row r="3193">
      <c r="A3193" s="9"/>
      <c r="B3193" s="15"/>
      <c r="C3193" s="9">
        <f>IFERROR(__xludf.DUMMYFUNCTION("""COMPUTED_VALUE"""),45111.1651347801)</f>
        <v>45111.16513</v>
      </c>
      <c r="D3193" s="15">
        <f>IFERROR(__xludf.DUMMYFUNCTION("""COMPUTED_VALUE"""),0.999)</f>
        <v>0.999</v>
      </c>
      <c r="E3193" s="16">
        <f>IFERROR(__xludf.DUMMYFUNCTION("""COMPUTED_VALUE"""),71.0)</f>
        <v>71</v>
      </c>
      <c r="F3193" s="19" t="str">
        <f>IFERROR(__xludf.DUMMYFUNCTION("""COMPUTED_VALUE"""),"BLUE")</f>
        <v>BLUE</v>
      </c>
      <c r="G3193" s="20" t="str">
        <f>IFERROR(__xludf.DUMMYFUNCTION("""COMPUTED_VALUE"""),"Uncle Sams Cider (04/04/2023)")</f>
        <v>Uncle Sams Cider (04/04/2023)</v>
      </c>
      <c r="H3193" s="19"/>
    </row>
    <row r="3194">
      <c r="A3194" s="9"/>
      <c r="B3194" s="15"/>
      <c r="C3194" s="9">
        <f>IFERROR(__xludf.DUMMYFUNCTION("""COMPUTED_VALUE"""),45111.1547142245)</f>
        <v>45111.15471</v>
      </c>
      <c r="D3194" s="15">
        <f>IFERROR(__xludf.DUMMYFUNCTION("""COMPUTED_VALUE"""),1.0)</f>
        <v>1</v>
      </c>
      <c r="E3194" s="16">
        <f>IFERROR(__xludf.DUMMYFUNCTION("""COMPUTED_VALUE"""),71.0)</f>
        <v>71</v>
      </c>
      <c r="F3194" s="19" t="str">
        <f>IFERROR(__xludf.DUMMYFUNCTION("""COMPUTED_VALUE"""),"BLUE")</f>
        <v>BLUE</v>
      </c>
      <c r="G3194" s="20" t="str">
        <f>IFERROR(__xludf.DUMMYFUNCTION("""COMPUTED_VALUE"""),"Uncle Sams Cider (04/04/2023)")</f>
        <v>Uncle Sams Cider (04/04/2023)</v>
      </c>
      <c r="H3194" s="19"/>
    </row>
    <row r="3195">
      <c r="A3195" s="9"/>
      <c r="B3195" s="15"/>
      <c r="C3195" s="9">
        <f>IFERROR(__xludf.DUMMYFUNCTION("""COMPUTED_VALUE"""),45111.1442827199)</f>
        <v>45111.14428</v>
      </c>
      <c r="D3195" s="15">
        <f>IFERROR(__xludf.DUMMYFUNCTION("""COMPUTED_VALUE"""),1.0)</f>
        <v>1</v>
      </c>
      <c r="E3195" s="16">
        <f>IFERROR(__xludf.DUMMYFUNCTION("""COMPUTED_VALUE"""),71.0)</f>
        <v>71</v>
      </c>
      <c r="F3195" s="19" t="str">
        <f>IFERROR(__xludf.DUMMYFUNCTION("""COMPUTED_VALUE"""),"BLUE")</f>
        <v>BLUE</v>
      </c>
      <c r="G3195" s="20" t="str">
        <f>IFERROR(__xludf.DUMMYFUNCTION("""COMPUTED_VALUE"""),"Uncle Sams Cider (04/04/2023)")</f>
        <v>Uncle Sams Cider (04/04/2023)</v>
      </c>
      <c r="H3195" s="19"/>
    </row>
    <row r="3196">
      <c r="A3196" s="9"/>
      <c r="B3196" s="15"/>
      <c r="C3196" s="9">
        <f>IFERROR(__xludf.DUMMYFUNCTION("""COMPUTED_VALUE"""),45111.1338629398)</f>
        <v>45111.13386</v>
      </c>
      <c r="D3196" s="15">
        <f>IFERROR(__xludf.DUMMYFUNCTION("""COMPUTED_VALUE"""),1.0)</f>
        <v>1</v>
      </c>
      <c r="E3196" s="16">
        <f>IFERROR(__xludf.DUMMYFUNCTION("""COMPUTED_VALUE"""),71.0)</f>
        <v>71</v>
      </c>
      <c r="F3196" s="19" t="str">
        <f>IFERROR(__xludf.DUMMYFUNCTION("""COMPUTED_VALUE"""),"BLUE")</f>
        <v>BLUE</v>
      </c>
      <c r="G3196" s="20" t="str">
        <f>IFERROR(__xludf.DUMMYFUNCTION("""COMPUTED_VALUE"""),"Uncle Sams Cider (04/04/2023)")</f>
        <v>Uncle Sams Cider (04/04/2023)</v>
      </c>
      <c r="H3196" s="19"/>
    </row>
    <row r="3197">
      <c r="A3197" s="9"/>
      <c r="B3197" s="15"/>
      <c r="C3197" s="9">
        <f>IFERROR(__xludf.DUMMYFUNCTION("""COMPUTED_VALUE"""),45111.1234291203)</f>
        <v>45111.12343</v>
      </c>
      <c r="D3197" s="15">
        <f>IFERROR(__xludf.DUMMYFUNCTION("""COMPUTED_VALUE"""),1.0)</f>
        <v>1</v>
      </c>
      <c r="E3197" s="16">
        <f>IFERROR(__xludf.DUMMYFUNCTION("""COMPUTED_VALUE"""),71.0)</f>
        <v>71</v>
      </c>
      <c r="F3197" s="19" t="str">
        <f>IFERROR(__xludf.DUMMYFUNCTION("""COMPUTED_VALUE"""),"BLUE")</f>
        <v>BLUE</v>
      </c>
      <c r="G3197" s="20" t="str">
        <f>IFERROR(__xludf.DUMMYFUNCTION("""COMPUTED_VALUE"""),"Uncle Sams Cider (04/04/2023)")</f>
        <v>Uncle Sams Cider (04/04/2023)</v>
      </c>
      <c r="H3197" s="19"/>
    </row>
    <row r="3198">
      <c r="A3198" s="9"/>
      <c r="B3198" s="15"/>
      <c r="C3198" s="9">
        <f>IFERROR(__xludf.DUMMYFUNCTION("""COMPUTED_VALUE"""),45111.1130084143)</f>
        <v>45111.11301</v>
      </c>
      <c r="D3198" s="15">
        <f>IFERROR(__xludf.DUMMYFUNCTION("""COMPUTED_VALUE"""),0.999)</f>
        <v>0.999</v>
      </c>
      <c r="E3198" s="16">
        <f>IFERROR(__xludf.DUMMYFUNCTION("""COMPUTED_VALUE"""),71.0)</f>
        <v>71</v>
      </c>
      <c r="F3198" s="19" t="str">
        <f>IFERROR(__xludf.DUMMYFUNCTION("""COMPUTED_VALUE"""),"BLUE")</f>
        <v>BLUE</v>
      </c>
      <c r="G3198" s="20" t="str">
        <f>IFERROR(__xludf.DUMMYFUNCTION("""COMPUTED_VALUE"""),"Uncle Sams Cider (04/04/2023)")</f>
        <v>Uncle Sams Cider (04/04/2023)</v>
      </c>
      <c r="H3198" s="19"/>
    </row>
    <row r="3199">
      <c r="A3199" s="9"/>
      <c r="B3199" s="15"/>
      <c r="C3199" s="9">
        <f>IFERROR(__xludf.DUMMYFUNCTION("""COMPUTED_VALUE"""),45111.1025852546)</f>
        <v>45111.10259</v>
      </c>
      <c r="D3199" s="15">
        <f>IFERROR(__xludf.DUMMYFUNCTION("""COMPUTED_VALUE"""),0.999)</f>
        <v>0.999</v>
      </c>
      <c r="E3199" s="16">
        <f>IFERROR(__xludf.DUMMYFUNCTION("""COMPUTED_VALUE"""),71.0)</f>
        <v>71</v>
      </c>
      <c r="F3199" s="19" t="str">
        <f>IFERROR(__xludf.DUMMYFUNCTION("""COMPUTED_VALUE"""),"BLUE")</f>
        <v>BLUE</v>
      </c>
      <c r="G3199" s="20" t="str">
        <f>IFERROR(__xludf.DUMMYFUNCTION("""COMPUTED_VALUE"""),"Uncle Sams Cider (04/04/2023)")</f>
        <v>Uncle Sams Cider (04/04/2023)</v>
      </c>
      <c r="H3199" s="19"/>
    </row>
    <row r="3200">
      <c r="A3200" s="9"/>
      <c r="B3200" s="15"/>
      <c r="C3200" s="9">
        <f>IFERROR(__xludf.DUMMYFUNCTION("""COMPUTED_VALUE"""),45111.0921635995)</f>
        <v>45111.09216</v>
      </c>
      <c r="D3200" s="15">
        <f>IFERROR(__xludf.DUMMYFUNCTION("""COMPUTED_VALUE"""),0.999)</f>
        <v>0.999</v>
      </c>
      <c r="E3200" s="16">
        <f>IFERROR(__xludf.DUMMYFUNCTION("""COMPUTED_VALUE"""),71.0)</f>
        <v>71</v>
      </c>
      <c r="F3200" s="19" t="str">
        <f>IFERROR(__xludf.DUMMYFUNCTION("""COMPUTED_VALUE"""),"BLUE")</f>
        <v>BLUE</v>
      </c>
      <c r="G3200" s="20" t="str">
        <f>IFERROR(__xludf.DUMMYFUNCTION("""COMPUTED_VALUE"""),"Uncle Sams Cider (04/04/2023)")</f>
        <v>Uncle Sams Cider (04/04/2023)</v>
      </c>
      <c r="H3200" s="19"/>
    </row>
    <row r="3201">
      <c r="A3201" s="9"/>
      <c r="B3201" s="15"/>
      <c r="C3201" s="9">
        <f>IFERROR(__xludf.DUMMYFUNCTION("""COMPUTED_VALUE"""),45111.0817309143)</f>
        <v>45111.08173</v>
      </c>
      <c r="D3201" s="15">
        <f>IFERROR(__xludf.DUMMYFUNCTION("""COMPUTED_VALUE"""),1.0)</f>
        <v>1</v>
      </c>
      <c r="E3201" s="16">
        <f>IFERROR(__xludf.DUMMYFUNCTION("""COMPUTED_VALUE"""),71.0)</f>
        <v>71</v>
      </c>
      <c r="F3201" s="19" t="str">
        <f>IFERROR(__xludf.DUMMYFUNCTION("""COMPUTED_VALUE"""),"BLUE")</f>
        <v>BLUE</v>
      </c>
      <c r="G3201" s="20" t="str">
        <f>IFERROR(__xludf.DUMMYFUNCTION("""COMPUTED_VALUE"""),"Uncle Sams Cider (04/04/2023)")</f>
        <v>Uncle Sams Cider (04/04/2023)</v>
      </c>
      <c r="H3201" s="19"/>
    </row>
    <row r="3202">
      <c r="A3202" s="9"/>
      <c r="B3202" s="15"/>
      <c r="C3202" s="9">
        <f>IFERROR(__xludf.DUMMYFUNCTION("""COMPUTED_VALUE"""),45111.0713103472)</f>
        <v>45111.07131</v>
      </c>
      <c r="D3202" s="15">
        <f>IFERROR(__xludf.DUMMYFUNCTION("""COMPUTED_VALUE"""),0.999)</f>
        <v>0.999</v>
      </c>
      <c r="E3202" s="16">
        <f>IFERROR(__xludf.DUMMYFUNCTION("""COMPUTED_VALUE"""),71.0)</f>
        <v>71</v>
      </c>
      <c r="F3202" s="19" t="str">
        <f>IFERROR(__xludf.DUMMYFUNCTION("""COMPUTED_VALUE"""),"BLUE")</f>
        <v>BLUE</v>
      </c>
      <c r="G3202" s="20" t="str">
        <f>IFERROR(__xludf.DUMMYFUNCTION("""COMPUTED_VALUE"""),"Uncle Sams Cider (04/04/2023)")</f>
        <v>Uncle Sams Cider (04/04/2023)</v>
      </c>
      <c r="H3202" s="19"/>
    </row>
    <row r="3203">
      <c r="A3203" s="9"/>
      <c r="B3203" s="15"/>
      <c r="C3203" s="9">
        <f>IFERROR(__xludf.DUMMYFUNCTION("""COMPUTED_VALUE"""),45111.0608897569)</f>
        <v>45111.06089</v>
      </c>
      <c r="D3203" s="15">
        <f>IFERROR(__xludf.DUMMYFUNCTION("""COMPUTED_VALUE"""),0.999)</f>
        <v>0.999</v>
      </c>
      <c r="E3203" s="16">
        <f>IFERROR(__xludf.DUMMYFUNCTION("""COMPUTED_VALUE"""),71.0)</f>
        <v>71</v>
      </c>
      <c r="F3203" s="19" t="str">
        <f>IFERROR(__xludf.DUMMYFUNCTION("""COMPUTED_VALUE"""),"BLUE")</f>
        <v>BLUE</v>
      </c>
      <c r="G3203" s="20" t="str">
        <f>IFERROR(__xludf.DUMMYFUNCTION("""COMPUTED_VALUE"""),"Uncle Sams Cider (04/04/2023)")</f>
        <v>Uncle Sams Cider (04/04/2023)</v>
      </c>
      <c r="H3203" s="19"/>
    </row>
    <row r="3204">
      <c r="A3204" s="9"/>
      <c r="B3204" s="15"/>
      <c r="C3204" s="9">
        <f>IFERROR(__xludf.DUMMYFUNCTION("""COMPUTED_VALUE"""),45111.0504690046)</f>
        <v>45111.05047</v>
      </c>
      <c r="D3204" s="15">
        <f>IFERROR(__xludf.DUMMYFUNCTION("""COMPUTED_VALUE"""),0.999)</f>
        <v>0.999</v>
      </c>
      <c r="E3204" s="16">
        <f>IFERROR(__xludf.DUMMYFUNCTION("""COMPUTED_VALUE"""),71.0)</f>
        <v>71</v>
      </c>
      <c r="F3204" s="19" t="str">
        <f>IFERROR(__xludf.DUMMYFUNCTION("""COMPUTED_VALUE"""),"BLUE")</f>
        <v>BLUE</v>
      </c>
      <c r="G3204" s="20" t="str">
        <f>IFERROR(__xludf.DUMMYFUNCTION("""COMPUTED_VALUE"""),"Uncle Sams Cider (04/04/2023)")</f>
        <v>Uncle Sams Cider (04/04/2023)</v>
      </c>
      <c r="H3204" s="19"/>
    </row>
    <row r="3205">
      <c r="A3205" s="9"/>
      <c r="B3205" s="15"/>
      <c r="C3205" s="9">
        <f>IFERROR(__xludf.DUMMYFUNCTION("""COMPUTED_VALUE"""),45111.0400346875)</f>
        <v>45111.04003</v>
      </c>
      <c r="D3205" s="15">
        <f>IFERROR(__xludf.DUMMYFUNCTION("""COMPUTED_VALUE"""),0.999)</f>
        <v>0.999</v>
      </c>
      <c r="E3205" s="16">
        <f>IFERROR(__xludf.DUMMYFUNCTION("""COMPUTED_VALUE"""),71.0)</f>
        <v>71</v>
      </c>
      <c r="F3205" s="19" t="str">
        <f>IFERROR(__xludf.DUMMYFUNCTION("""COMPUTED_VALUE"""),"BLUE")</f>
        <v>BLUE</v>
      </c>
      <c r="G3205" s="20" t="str">
        <f>IFERROR(__xludf.DUMMYFUNCTION("""COMPUTED_VALUE"""),"Uncle Sams Cider (04/04/2023)")</f>
        <v>Uncle Sams Cider (04/04/2023)</v>
      </c>
      <c r="H3205" s="19"/>
    </row>
    <row r="3206">
      <c r="A3206" s="9"/>
      <c r="B3206" s="15"/>
      <c r="C3206" s="9">
        <f>IFERROR(__xludf.DUMMYFUNCTION("""COMPUTED_VALUE"""),45111.029588993)</f>
        <v>45111.02959</v>
      </c>
      <c r="D3206" s="15">
        <f>IFERROR(__xludf.DUMMYFUNCTION("""COMPUTED_VALUE"""),0.999)</f>
        <v>0.999</v>
      </c>
      <c r="E3206" s="16">
        <f>IFERROR(__xludf.DUMMYFUNCTION("""COMPUTED_VALUE"""),71.0)</f>
        <v>71</v>
      </c>
      <c r="F3206" s="19" t="str">
        <f>IFERROR(__xludf.DUMMYFUNCTION("""COMPUTED_VALUE"""),"BLUE")</f>
        <v>BLUE</v>
      </c>
      <c r="G3206" s="20" t="str">
        <f>IFERROR(__xludf.DUMMYFUNCTION("""COMPUTED_VALUE"""),"Uncle Sams Cider (04/04/2023)")</f>
        <v>Uncle Sams Cider (04/04/2023)</v>
      </c>
      <c r="H3206" s="19"/>
    </row>
    <row r="3207">
      <c r="A3207" s="9"/>
      <c r="B3207" s="15"/>
      <c r="C3207" s="9">
        <f>IFERROR(__xludf.DUMMYFUNCTION("""COMPUTED_VALUE"""),45111.0191672569)</f>
        <v>45111.01917</v>
      </c>
      <c r="D3207" s="15">
        <f>IFERROR(__xludf.DUMMYFUNCTION("""COMPUTED_VALUE"""),0.999)</f>
        <v>0.999</v>
      </c>
      <c r="E3207" s="16">
        <f>IFERROR(__xludf.DUMMYFUNCTION("""COMPUTED_VALUE"""),71.0)</f>
        <v>71</v>
      </c>
      <c r="F3207" s="19" t="str">
        <f>IFERROR(__xludf.DUMMYFUNCTION("""COMPUTED_VALUE"""),"BLUE")</f>
        <v>BLUE</v>
      </c>
      <c r="G3207" s="20" t="str">
        <f>IFERROR(__xludf.DUMMYFUNCTION("""COMPUTED_VALUE"""),"Uncle Sams Cider (04/04/2023)")</f>
        <v>Uncle Sams Cider (04/04/2023)</v>
      </c>
      <c r="H3207" s="19"/>
    </row>
    <row r="3208">
      <c r="A3208" s="9"/>
      <c r="B3208" s="15"/>
      <c r="C3208" s="9">
        <f>IFERROR(__xludf.DUMMYFUNCTION("""COMPUTED_VALUE"""),45111.0087460416)</f>
        <v>45111.00875</v>
      </c>
      <c r="D3208" s="15">
        <f>IFERROR(__xludf.DUMMYFUNCTION("""COMPUTED_VALUE"""),0.999)</f>
        <v>0.999</v>
      </c>
      <c r="E3208" s="16">
        <f>IFERROR(__xludf.DUMMYFUNCTION("""COMPUTED_VALUE"""),71.0)</f>
        <v>71</v>
      </c>
      <c r="F3208" s="19" t="str">
        <f>IFERROR(__xludf.DUMMYFUNCTION("""COMPUTED_VALUE"""),"BLUE")</f>
        <v>BLUE</v>
      </c>
      <c r="G3208" s="20" t="str">
        <f>IFERROR(__xludf.DUMMYFUNCTION("""COMPUTED_VALUE"""),"Uncle Sams Cider (04/04/2023)")</f>
        <v>Uncle Sams Cider (04/04/2023)</v>
      </c>
      <c r="H3208" s="19"/>
    </row>
    <row r="3209">
      <c r="A3209" s="9"/>
      <c r="B3209" s="15"/>
      <c r="C3209" s="9">
        <f>IFERROR(__xludf.DUMMYFUNCTION("""COMPUTED_VALUE"""),45110.9983145023)</f>
        <v>45110.99831</v>
      </c>
      <c r="D3209" s="15">
        <f>IFERROR(__xludf.DUMMYFUNCTION("""COMPUTED_VALUE"""),1.0)</f>
        <v>1</v>
      </c>
      <c r="E3209" s="16">
        <f>IFERROR(__xludf.DUMMYFUNCTION("""COMPUTED_VALUE"""),70.0)</f>
        <v>70</v>
      </c>
      <c r="F3209" s="19" t="str">
        <f>IFERROR(__xludf.DUMMYFUNCTION("""COMPUTED_VALUE"""),"BLUE")</f>
        <v>BLUE</v>
      </c>
      <c r="G3209" s="20" t="str">
        <f>IFERROR(__xludf.DUMMYFUNCTION("""COMPUTED_VALUE"""),"Uncle Sams Cider (04/04/2023)")</f>
        <v>Uncle Sams Cider (04/04/2023)</v>
      </c>
      <c r="H3209" s="19"/>
    </row>
    <row r="3210">
      <c r="A3210" s="9"/>
      <c r="B3210" s="15"/>
      <c r="C3210" s="9">
        <f>IFERROR(__xludf.DUMMYFUNCTION("""COMPUTED_VALUE"""),45110.9878943981)</f>
        <v>45110.98789</v>
      </c>
      <c r="D3210" s="15">
        <f>IFERROR(__xludf.DUMMYFUNCTION("""COMPUTED_VALUE"""),1.0)</f>
        <v>1</v>
      </c>
      <c r="E3210" s="16">
        <f>IFERROR(__xludf.DUMMYFUNCTION("""COMPUTED_VALUE"""),71.0)</f>
        <v>71</v>
      </c>
      <c r="F3210" s="19" t="str">
        <f>IFERROR(__xludf.DUMMYFUNCTION("""COMPUTED_VALUE"""),"BLUE")</f>
        <v>BLUE</v>
      </c>
      <c r="G3210" s="20" t="str">
        <f>IFERROR(__xludf.DUMMYFUNCTION("""COMPUTED_VALUE"""),"Uncle Sams Cider (04/04/2023)")</f>
        <v>Uncle Sams Cider (04/04/2023)</v>
      </c>
      <c r="H3210" s="19"/>
    </row>
    <row r="3211">
      <c r="A3211" s="9"/>
      <c r="B3211" s="15"/>
      <c r="C3211" s="9">
        <f>IFERROR(__xludf.DUMMYFUNCTION("""COMPUTED_VALUE"""),45110.9774747106)</f>
        <v>45110.97747</v>
      </c>
      <c r="D3211" s="15">
        <f>IFERROR(__xludf.DUMMYFUNCTION("""COMPUTED_VALUE"""),0.999)</f>
        <v>0.999</v>
      </c>
      <c r="E3211" s="16">
        <f>IFERROR(__xludf.DUMMYFUNCTION("""COMPUTED_VALUE"""),71.0)</f>
        <v>71</v>
      </c>
      <c r="F3211" s="19" t="str">
        <f>IFERROR(__xludf.DUMMYFUNCTION("""COMPUTED_VALUE"""),"BLUE")</f>
        <v>BLUE</v>
      </c>
      <c r="G3211" s="20" t="str">
        <f>IFERROR(__xludf.DUMMYFUNCTION("""COMPUTED_VALUE"""),"Uncle Sams Cider (04/04/2023)")</f>
        <v>Uncle Sams Cider (04/04/2023)</v>
      </c>
      <c r="H3211" s="19"/>
    </row>
    <row r="3212">
      <c r="A3212" s="9"/>
      <c r="B3212" s="15"/>
      <c r="C3212" s="9">
        <f>IFERROR(__xludf.DUMMYFUNCTION("""COMPUTED_VALUE"""),45110.9670413541)</f>
        <v>45110.96704</v>
      </c>
      <c r="D3212" s="15">
        <f>IFERROR(__xludf.DUMMYFUNCTION("""COMPUTED_VALUE"""),0.999)</f>
        <v>0.999</v>
      </c>
      <c r="E3212" s="16">
        <f>IFERROR(__xludf.DUMMYFUNCTION("""COMPUTED_VALUE"""),71.0)</f>
        <v>71</v>
      </c>
      <c r="F3212" s="19" t="str">
        <f>IFERROR(__xludf.DUMMYFUNCTION("""COMPUTED_VALUE"""),"BLUE")</f>
        <v>BLUE</v>
      </c>
      <c r="G3212" s="20" t="str">
        <f>IFERROR(__xludf.DUMMYFUNCTION("""COMPUTED_VALUE"""),"Uncle Sams Cider (04/04/2023)")</f>
        <v>Uncle Sams Cider (04/04/2023)</v>
      </c>
      <c r="H3212" s="19"/>
    </row>
    <row r="3213">
      <c r="A3213" s="9"/>
      <c r="B3213" s="15"/>
      <c r="C3213" s="9">
        <f>IFERROR(__xludf.DUMMYFUNCTION("""COMPUTED_VALUE"""),45110.9566204976)</f>
        <v>45110.95662</v>
      </c>
      <c r="D3213" s="15">
        <f>IFERROR(__xludf.DUMMYFUNCTION("""COMPUTED_VALUE"""),0.999)</f>
        <v>0.999</v>
      </c>
      <c r="E3213" s="16">
        <f>IFERROR(__xludf.DUMMYFUNCTION("""COMPUTED_VALUE"""),71.0)</f>
        <v>71</v>
      </c>
      <c r="F3213" s="19" t="str">
        <f>IFERROR(__xludf.DUMMYFUNCTION("""COMPUTED_VALUE"""),"BLUE")</f>
        <v>BLUE</v>
      </c>
      <c r="G3213" s="20" t="str">
        <f>IFERROR(__xludf.DUMMYFUNCTION("""COMPUTED_VALUE"""),"Uncle Sams Cider (04/04/2023)")</f>
        <v>Uncle Sams Cider (04/04/2023)</v>
      </c>
      <c r="H3213" s="19"/>
    </row>
    <row r="3214">
      <c r="A3214" s="9"/>
      <c r="B3214" s="15"/>
      <c r="C3214" s="9">
        <f>IFERROR(__xludf.DUMMYFUNCTION("""COMPUTED_VALUE"""),45110.9462001273)</f>
        <v>45110.9462</v>
      </c>
      <c r="D3214" s="15">
        <f>IFERROR(__xludf.DUMMYFUNCTION("""COMPUTED_VALUE"""),0.999)</f>
        <v>0.999</v>
      </c>
      <c r="E3214" s="16">
        <f>IFERROR(__xludf.DUMMYFUNCTION("""COMPUTED_VALUE"""),71.0)</f>
        <v>71</v>
      </c>
      <c r="F3214" s="19" t="str">
        <f>IFERROR(__xludf.DUMMYFUNCTION("""COMPUTED_VALUE"""),"BLUE")</f>
        <v>BLUE</v>
      </c>
      <c r="G3214" s="20" t="str">
        <f>IFERROR(__xludf.DUMMYFUNCTION("""COMPUTED_VALUE"""),"Uncle Sams Cider (04/04/2023)")</f>
        <v>Uncle Sams Cider (04/04/2023)</v>
      </c>
      <c r="H3214" s="19"/>
    </row>
    <row r="3215">
      <c r="A3215" s="9"/>
      <c r="B3215" s="15"/>
      <c r="C3215" s="9">
        <f>IFERROR(__xludf.DUMMYFUNCTION("""COMPUTED_VALUE"""),45110.9357672685)</f>
        <v>45110.93577</v>
      </c>
      <c r="D3215" s="15">
        <f>IFERROR(__xludf.DUMMYFUNCTION("""COMPUTED_VALUE"""),0.999)</f>
        <v>0.999</v>
      </c>
      <c r="E3215" s="16">
        <f>IFERROR(__xludf.DUMMYFUNCTION("""COMPUTED_VALUE"""),71.0)</f>
        <v>71</v>
      </c>
      <c r="F3215" s="19" t="str">
        <f>IFERROR(__xludf.DUMMYFUNCTION("""COMPUTED_VALUE"""),"BLUE")</f>
        <v>BLUE</v>
      </c>
      <c r="G3215" s="20" t="str">
        <f>IFERROR(__xludf.DUMMYFUNCTION("""COMPUTED_VALUE"""),"Uncle Sams Cider (04/04/2023)")</f>
        <v>Uncle Sams Cider (04/04/2023)</v>
      </c>
      <c r="H3215" s="19"/>
    </row>
    <row r="3216">
      <c r="A3216" s="9"/>
      <c r="B3216" s="15"/>
      <c r="C3216" s="9">
        <f>IFERROR(__xludf.DUMMYFUNCTION("""COMPUTED_VALUE"""),45110.925345949)</f>
        <v>45110.92535</v>
      </c>
      <c r="D3216" s="15">
        <f>IFERROR(__xludf.DUMMYFUNCTION("""COMPUTED_VALUE"""),0.999)</f>
        <v>0.999</v>
      </c>
      <c r="E3216" s="16">
        <f>IFERROR(__xludf.DUMMYFUNCTION("""COMPUTED_VALUE"""),70.0)</f>
        <v>70</v>
      </c>
      <c r="F3216" s="19" t="str">
        <f>IFERROR(__xludf.DUMMYFUNCTION("""COMPUTED_VALUE"""),"BLUE")</f>
        <v>BLUE</v>
      </c>
      <c r="G3216" s="20" t="str">
        <f>IFERROR(__xludf.DUMMYFUNCTION("""COMPUTED_VALUE"""),"Uncle Sams Cider (04/04/2023)")</f>
        <v>Uncle Sams Cider (04/04/2023)</v>
      </c>
      <c r="H3216" s="19"/>
    </row>
    <row r="3217">
      <c r="A3217" s="9"/>
      <c r="B3217" s="15"/>
      <c r="C3217" s="9">
        <f>IFERROR(__xludf.DUMMYFUNCTION("""COMPUTED_VALUE"""),45110.9149266319)</f>
        <v>45110.91493</v>
      </c>
      <c r="D3217" s="15">
        <f>IFERROR(__xludf.DUMMYFUNCTION("""COMPUTED_VALUE"""),0.999)</f>
        <v>0.999</v>
      </c>
      <c r="E3217" s="16">
        <f>IFERROR(__xludf.DUMMYFUNCTION("""COMPUTED_VALUE"""),70.0)</f>
        <v>70</v>
      </c>
      <c r="F3217" s="19" t="str">
        <f>IFERROR(__xludf.DUMMYFUNCTION("""COMPUTED_VALUE"""),"BLUE")</f>
        <v>BLUE</v>
      </c>
      <c r="G3217" s="20" t="str">
        <f>IFERROR(__xludf.DUMMYFUNCTION("""COMPUTED_VALUE"""),"Uncle Sams Cider (04/04/2023)")</f>
        <v>Uncle Sams Cider (04/04/2023)</v>
      </c>
      <c r="H3217" s="19"/>
    </row>
    <row r="3218">
      <c r="A3218" s="9"/>
      <c r="B3218" s="15"/>
      <c r="C3218" s="9">
        <f>IFERROR(__xludf.DUMMYFUNCTION("""COMPUTED_VALUE"""),45110.9045063194)</f>
        <v>45110.90451</v>
      </c>
      <c r="D3218" s="15">
        <f>IFERROR(__xludf.DUMMYFUNCTION("""COMPUTED_VALUE"""),0.999)</f>
        <v>0.999</v>
      </c>
      <c r="E3218" s="16">
        <f>IFERROR(__xludf.DUMMYFUNCTION("""COMPUTED_VALUE"""),70.0)</f>
        <v>70</v>
      </c>
      <c r="F3218" s="19" t="str">
        <f>IFERROR(__xludf.DUMMYFUNCTION("""COMPUTED_VALUE"""),"BLUE")</f>
        <v>BLUE</v>
      </c>
      <c r="G3218" s="20" t="str">
        <f>IFERROR(__xludf.DUMMYFUNCTION("""COMPUTED_VALUE"""),"Uncle Sams Cider (04/04/2023)")</f>
        <v>Uncle Sams Cider (04/04/2023)</v>
      </c>
      <c r="H3218" s="19"/>
    </row>
    <row r="3219">
      <c r="A3219" s="9"/>
      <c r="B3219" s="15"/>
      <c r="C3219" s="9">
        <f>IFERROR(__xludf.DUMMYFUNCTION("""COMPUTED_VALUE"""),45110.8940834606)</f>
        <v>45110.89408</v>
      </c>
      <c r="D3219" s="15">
        <f>IFERROR(__xludf.DUMMYFUNCTION("""COMPUTED_VALUE"""),0.999)</f>
        <v>0.999</v>
      </c>
      <c r="E3219" s="16">
        <f>IFERROR(__xludf.DUMMYFUNCTION("""COMPUTED_VALUE"""),70.0)</f>
        <v>70</v>
      </c>
      <c r="F3219" s="19" t="str">
        <f>IFERROR(__xludf.DUMMYFUNCTION("""COMPUTED_VALUE"""),"BLUE")</f>
        <v>BLUE</v>
      </c>
      <c r="G3219" s="20" t="str">
        <f>IFERROR(__xludf.DUMMYFUNCTION("""COMPUTED_VALUE"""),"Uncle Sams Cider (04/04/2023)")</f>
        <v>Uncle Sams Cider (04/04/2023)</v>
      </c>
      <c r="H3219" s="19"/>
    </row>
    <row r="3220">
      <c r="A3220" s="9"/>
      <c r="B3220" s="15"/>
      <c r="C3220" s="9">
        <f>IFERROR(__xludf.DUMMYFUNCTION("""COMPUTED_VALUE"""),45110.883662905)</f>
        <v>45110.88366</v>
      </c>
      <c r="D3220" s="15">
        <f>IFERROR(__xludf.DUMMYFUNCTION("""COMPUTED_VALUE"""),0.999)</f>
        <v>0.999</v>
      </c>
      <c r="E3220" s="16">
        <f>IFERROR(__xludf.DUMMYFUNCTION("""COMPUTED_VALUE"""),70.0)</f>
        <v>70</v>
      </c>
      <c r="F3220" s="19" t="str">
        <f>IFERROR(__xludf.DUMMYFUNCTION("""COMPUTED_VALUE"""),"BLUE")</f>
        <v>BLUE</v>
      </c>
      <c r="G3220" s="20" t="str">
        <f>IFERROR(__xludf.DUMMYFUNCTION("""COMPUTED_VALUE"""),"Uncle Sams Cider (04/04/2023)")</f>
        <v>Uncle Sams Cider (04/04/2023)</v>
      </c>
      <c r="H3220" s="19"/>
    </row>
    <row r="3221">
      <c r="A3221" s="9"/>
      <c r="B3221" s="15"/>
      <c r="C3221" s="9">
        <f>IFERROR(__xludf.DUMMYFUNCTION("""COMPUTED_VALUE"""),45110.8732306365)</f>
        <v>45110.87323</v>
      </c>
      <c r="D3221" s="15">
        <f>IFERROR(__xludf.DUMMYFUNCTION("""COMPUTED_VALUE"""),0.999)</f>
        <v>0.999</v>
      </c>
      <c r="E3221" s="16">
        <f>IFERROR(__xludf.DUMMYFUNCTION("""COMPUTED_VALUE"""),70.0)</f>
        <v>70</v>
      </c>
      <c r="F3221" s="19" t="str">
        <f>IFERROR(__xludf.DUMMYFUNCTION("""COMPUTED_VALUE"""),"BLUE")</f>
        <v>BLUE</v>
      </c>
      <c r="G3221" s="20" t="str">
        <f>IFERROR(__xludf.DUMMYFUNCTION("""COMPUTED_VALUE"""),"Uncle Sams Cider (04/04/2023)")</f>
        <v>Uncle Sams Cider (04/04/2023)</v>
      </c>
      <c r="H3221" s="19"/>
    </row>
    <row r="3222">
      <c r="A3222" s="9"/>
      <c r="B3222" s="15"/>
      <c r="C3222" s="9">
        <f>IFERROR(__xludf.DUMMYFUNCTION("""COMPUTED_VALUE"""),45110.8628102662)</f>
        <v>45110.86281</v>
      </c>
      <c r="D3222" s="15">
        <f>IFERROR(__xludf.DUMMYFUNCTION("""COMPUTED_VALUE"""),0.999)</f>
        <v>0.999</v>
      </c>
      <c r="E3222" s="16">
        <f>IFERROR(__xludf.DUMMYFUNCTION("""COMPUTED_VALUE"""),71.0)</f>
        <v>71</v>
      </c>
      <c r="F3222" s="19" t="str">
        <f>IFERROR(__xludf.DUMMYFUNCTION("""COMPUTED_VALUE"""),"BLUE")</f>
        <v>BLUE</v>
      </c>
      <c r="G3222" s="20" t="str">
        <f>IFERROR(__xludf.DUMMYFUNCTION("""COMPUTED_VALUE"""),"Uncle Sams Cider (04/04/2023)")</f>
        <v>Uncle Sams Cider (04/04/2023)</v>
      </c>
      <c r="H3222" s="19"/>
    </row>
    <row r="3223">
      <c r="A3223" s="9"/>
      <c r="B3223" s="15"/>
      <c r="C3223" s="9">
        <f>IFERROR(__xludf.DUMMYFUNCTION("""COMPUTED_VALUE"""),45110.8523660879)</f>
        <v>45110.85237</v>
      </c>
      <c r="D3223" s="15">
        <f>IFERROR(__xludf.DUMMYFUNCTION("""COMPUTED_VALUE"""),0.999)</f>
        <v>0.999</v>
      </c>
      <c r="E3223" s="16">
        <f>IFERROR(__xludf.DUMMYFUNCTION("""COMPUTED_VALUE"""),70.0)</f>
        <v>70</v>
      </c>
      <c r="F3223" s="19" t="str">
        <f>IFERROR(__xludf.DUMMYFUNCTION("""COMPUTED_VALUE"""),"BLUE")</f>
        <v>BLUE</v>
      </c>
      <c r="G3223" s="20" t="str">
        <f>IFERROR(__xludf.DUMMYFUNCTION("""COMPUTED_VALUE"""),"Uncle Sams Cider (04/04/2023)")</f>
        <v>Uncle Sams Cider (04/04/2023)</v>
      </c>
      <c r="H3223" s="19"/>
    </row>
    <row r="3224">
      <c r="A3224" s="9"/>
      <c r="B3224" s="15"/>
      <c r="C3224" s="9">
        <f>IFERROR(__xludf.DUMMYFUNCTION("""COMPUTED_VALUE"""),45110.84194375)</f>
        <v>45110.84194</v>
      </c>
      <c r="D3224" s="15">
        <f>IFERROR(__xludf.DUMMYFUNCTION("""COMPUTED_VALUE"""),0.999)</f>
        <v>0.999</v>
      </c>
      <c r="E3224" s="16">
        <f>IFERROR(__xludf.DUMMYFUNCTION("""COMPUTED_VALUE"""),70.0)</f>
        <v>70</v>
      </c>
      <c r="F3224" s="19" t="str">
        <f>IFERROR(__xludf.DUMMYFUNCTION("""COMPUTED_VALUE"""),"BLUE")</f>
        <v>BLUE</v>
      </c>
      <c r="G3224" s="20" t="str">
        <f>IFERROR(__xludf.DUMMYFUNCTION("""COMPUTED_VALUE"""),"Uncle Sams Cider (04/04/2023)")</f>
        <v>Uncle Sams Cider (04/04/2023)</v>
      </c>
      <c r="H3224" s="19"/>
    </row>
    <row r="3225">
      <c r="A3225" s="9"/>
      <c r="B3225" s="15"/>
      <c r="C3225" s="9">
        <f>IFERROR(__xludf.DUMMYFUNCTION("""COMPUTED_VALUE"""),45110.8315228819)</f>
        <v>45110.83152</v>
      </c>
      <c r="D3225" s="15">
        <f>IFERROR(__xludf.DUMMYFUNCTION("""COMPUTED_VALUE"""),0.999)</f>
        <v>0.999</v>
      </c>
      <c r="E3225" s="16">
        <f>IFERROR(__xludf.DUMMYFUNCTION("""COMPUTED_VALUE"""),70.0)</f>
        <v>70</v>
      </c>
      <c r="F3225" s="19" t="str">
        <f>IFERROR(__xludf.DUMMYFUNCTION("""COMPUTED_VALUE"""),"BLUE")</f>
        <v>BLUE</v>
      </c>
      <c r="G3225" s="20" t="str">
        <f>IFERROR(__xludf.DUMMYFUNCTION("""COMPUTED_VALUE"""),"Uncle Sams Cider (04/04/2023)")</f>
        <v>Uncle Sams Cider (04/04/2023)</v>
      </c>
      <c r="H3225" s="19"/>
    </row>
    <row r="3226">
      <c r="A3226" s="9"/>
      <c r="B3226" s="15"/>
      <c r="C3226" s="9">
        <f>IFERROR(__xludf.DUMMYFUNCTION("""COMPUTED_VALUE"""),45110.8211022569)</f>
        <v>45110.8211</v>
      </c>
      <c r="D3226" s="15">
        <f>IFERROR(__xludf.DUMMYFUNCTION("""COMPUTED_VALUE"""),0.999)</f>
        <v>0.999</v>
      </c>
      <c r="E3226" s="16">
        <f>IFERROR(__xludf.DUMMYFUNCTION("""COMPUTED_VALUE"""),70.0)</f>
        <v>70</v>
      </c>
      <c r="F3226" s="19" t="str">
        <f>IFERROR(__xludf.DUMMYFUNCTION("""COMPUTED_VALUE"""),"BLUE")</f>
        <v>BLUE</v>
      </c>
      <c r="G3226" s="20" t="str">
        <f>IFERROR(__xludf.DUMMYFUNCTION("""COMPUTED_VALUE"""),"Uncle Sams Cider (04/04/2023)")</f>
        <v>Uncle Sams Cider (04/04/2023)</v>
      </c>
      <c r="H3226" s="19"/>
    </row>
    <row r="3227">
      <c r="A3227" s="9"/>
      <c r="B3227" s="15"/>
      <c r="C3227" s="9">
        <f>IFERROR(__xludf.DUMMYFUNCTION("""COMPUTED_VALUE"""),45110.810682037)</f>
        <v>45110.81068</v>
      </c>
      <c r="D3227" s="15">
        <f>IFERROR(__xludf.DUMMYFUNCTION("""COMPUTED_VALUE"""),0.999)</f>
        <v>0.999</v>
      </c>
      <c r="E3227" s="16">
        <f>IFERROR(__xludf.DUMMYFUNCTION("""COMPUTED_VALUE"""),70.0)</f>
        <v>70</v>
      </c>
      <c r="F3227" s="19" t="str">
        <f>IFERROR(__xludf.DUMMYFUNCTION("""COMPUTED_VALUE"""),"BLUE")</f>
        <v>BLUE</v>
      </c>
      <c r="G3227" s="20" t="str">
        <f>IFERROR(__xludf.DUMMYFUNCTION("""COMPUTED_VALUE"""),"Uncle Sams Cider (04/04/2023)")</f>
        <v>Uncle Sams Cider (04/04/2023)</v>
      </c>
      <c r="H3227" s="19"/>
    </row>
    <row r="3228">
      <c r="A3228" s="9"/>
      <c r="B3228" s="15"/>
      <c r="C3228" s="9">
        <f>IFERROR(__xludf.DUMMYFUNCTION("""COMPUTED_VALUE"""),45110.8002607407)</f>
        <v>45110.80026</v>
      </c>
      <c r="D3228" s="15">
        <f>IFERROR(__xludf.DUMMYFUNCTION("""COMPUTED_VALUE"""),1.0)</f>
        <v>1</v>
      </c>
      <c r="E3228" s="16">
        <f>IFERROR(__xludf.DUMMYFUNCTION("""COMPUTED_VALUE"""),70.0)</f>
        <v>70</v>
      </c>
      <c r="F3228" s="19" t="str">
        <f>IFERROR(__xludf.DUMMYFUNCTION("""COMPUTED_VALUE"""),"BLUE")</f>
        <v>BLUE</v>
      </c>
      <c r="G3228" s="20" t="str">
        <f>IFERROR(__xludf.DUMMYFUNCTION("""COMPUTED_VALUE"""),"Uncle Sams Cider (04/04/2023)")</f>
        <v>Uncle Sams Cider (04/04/2023)</v>
      </c>
      <c r="H3228" s="19"/>
    </row>
    <row r="3229">
      <c r="A3229" s="9"/>
      <c r="B3229" s="15"/>
      <c r="C3229" s="9">
        <f>IFERROR(__xludf.DUMMYFUNCTION("""COMPUTED_VALUE"""),45110.789839537)</f>
        <v>45110.78984</v>
      </c>
      <c r="D3229" s="15">
        <f>IFERROR(__xludf.DUMMYFUNCTION("""COMPUTED_VALUE"""),0.999)</f>
        <v>0.999</v>
      </c>
      <c r="E3229" s="16">
        <f>IFERROR(__xludf.DUMMYFUNCTION("""COMPUTED_VALUE"""),70.0)</f>
        <v>70</v>
      </c>
      <c r="F3229" s="19" t="str">
        <f>IFERROR(__xludf.DUMMYFUNCTION("""COMPUTED_VALUE"""),"BLUE")</f>
        <v>BLUE</v>
      </c>
      <c r="G3229" s="20" t="str">
        <f>IFERROR(__xludf.DUMMYFUNCTION("""COMPUTED_VALUE"""),"Uncle Sams Cider (04/04/2023)")</f>
        <v>Uncle Sams Cider (04/04/2023)</v>
      </c>
      <c r="H3229" s="19"/>
    </row>
    <row r="3230">
      <c r="A3230" s="9"/>
      <c r="B3230" s="15"/>
      <c r="C3230" s="9">
        <f>IFERROR(__xludf.DUMMYFUNCTION("""COMPUTED_VALUE"""),45110.77942)</f>
        <v>45110.77942</v>
      </c>
      <c r="D3230" s="15">
        <f>IFERROR(__xludf.DUMMYFUNCTION("""COMPUTED_VALUE"""),0.999)</f>
        <v>0.999</v>
      </c>
      <c r="E3230" s="16">
        <f>IFERROR(__xludf.DUMMYFUNCTION("""COMPUTED_VALUE"""),70.0)</f>
        <v>70</v>
      </c>
      <c r="F3230" s="19" t="str">
        <f>IFERROR(__xludf.DUMMYFUNCTION("""COMPUTED_VALUE"""),"BLUE")</f>
        <v>BLUE</v>
      </c>
      <c r="G3230" s="20" t="str">
        <f>IFERROR(__xludf.DUMMYFUNCTION("""COMPUTED_VALUE"""),"Uncle Sams Cider (04/04/2023)")</f>
        <v>Uncle Sams Cider (04/04/2023)</v>
      </c>
      <c r="H3230" s="19"/>
    </row>
    <row r="3231">
      <c r="A3231" s="9"/>
      <c r="B3231" s="15"/>
      <c r="C3231" s="9">
        <f>IFERROR(__xludf.DUMMYFUNCTION("""COMPUTED_VALUE"""),45110.7689856134)</f>
        <v>45110.76899</v>
      </c>
      <c r="D3231" s="15">
        <f>IFERROR(__xludf.DUMMYFUNCTION("""COMPUTED_VALUE"""),0.999)</f>
        <v>0.999</v>
      </c>
      <c r="E3231" s="16">
        <f>IFERROR(__xludf.DUMMYFUNCTION("""COMPUTED_VALUE"""),70.0)</f>
        <v>70</v>
      </c>
      <c r="F3231" s="19" t="str">
        <f>IFERROR(__xludf.DUMMYFUNCTION("""COMPUTED_VALUE"""),"BLUE")</f>
        <v>BLUE</v>
      </c>
      <c r="G3231" s="20" t="str">
        <f>IFERROR(__xludf.DUMMYFUNCTION("""COMPUTED_VALUE"""),"Uncle Sams Cider (04/04/2023)")</f>
        <v>Uncle Sams Cider (04/04/2023)</v>
      </c>
      <c r="H3231" s="19"/>
    </row>
    <row r="3232">
      <c r="A3232" s="9"/>
      <c r="B3232" s="15"/>
      <c r="C3232" s="9">
        <f>IFERROR(__xludf.DUMMYFUNCTION("""COMPUTED_VALUE"""),45110.758564618)</f>
        <v>45110.75856</v>
      </c>
      <c r="D3232" s="15">
        <f>IFERROR(__xludf.DUMMYFUNCTION("""COMPUTED_VALUE"""),1.0)</f>
        <v>1</v>
      </c>
      <c r="E3232" s="16">
        <f>IFERROR(__xludf.DUMMYFUNCTION("""COMPUTED_VALUE"""),70.0)</f>
        <v>70</v>
      </c>
      <c r="F3232" s="19" t="str">
        <f>IFERROR(__xludf.DUMMYFUNCTION("""COMPUTED_VALUE"""),"BLUE")</f>
        <v>BLUE</v>
      </c>
      <c r="G3232" s="20" t="str">
        <f>IFERROR(__xludf.DUMMYFUNCTION("""COMPUTED_VALUE"""),"Uncle Sams Cider (04/04/2023)")</f>
        <v>Uncle Sams Cider (04/04/2023)</v>
      </c>
      <c r="H3232" s="19"/>
    </row>
    <row r="3233">
      <c r="A3233" s="9"/>
      <c r="B3233" s="15"/>
      <c r="C3233" s="9">
        <f>IFERROR(__xludf.DUMMYFUNCTION("""COMPUTED_VALUE"""),45110.7481435879)</f>
        <v>45110.74814</v>
      </c>
      <c r="D3233" s="15">
        <f>IFERROR(__xludf.DUMMYFUNCTION("""COMPUTED_VALUE"""),0.999)</f>
        <v>0.999</v>
      </c>
      <c r="E3233" s="16">
        <f>IFERROR(__xludf.DUMMYFUNCTION("""COMPUTED_VALUE"""),70.0)</f>
        <v>70</v>
      </c>
      <c r="F3233" s="19" t="str">
        <f>IFERROR(__xludf.DUMMYFUNCTION("""COMPUTED_VALUE"""),"BLUE")</f>
        <v>BLUE</v>
      </c>
      <c r="G3233" s="20" t="str">
        <f>IFERROR(__xludf.DUMMYFUNCTION("""COMPUTED_VALUE"""),"Uncle Sams Cider (04/04/2023)")</f>
        <v>Uncle Sams Cider (04/04/2023)</v>
      </c>
      <c r="H3233" s="19"/>
    </row>
    <row r="3234">
      <c r="A3234" s="9"/>
      <c r="B3234" s="15"/>
      <c r="C3234" s="9">
        <f>IFERROR(__xludf.DUMMYFUNCTION("""COMPUTED_VALUE"""),45110.7377214004)</f>
        <v>45110.73772</v>
      </c>
      <c r="D3234" s="15">
        <f>IFERROR(__xludf.DUMMYFUNCTION("""COMPUTED_VALUE"""),0.999)</f>
        <v>0.999</v>
      </c>
      <c r="E3234" s="16">
        <f>IFERROR(__xludf.DUMMYFUNCTION("""COMPUTED_VALUE"""),70.0)</f>
        <v>70</v>
      </c>
      <c r="F3234" s="19" t="str">
        <f>IFERROR(__xludf.DUMMYFUNCTION("""COMPUTED_VALUE"""),"BLUE")</f>
        <v>BLUE</v>
      </c>
      <c r="G3234" s="20" t="str">
        <f>IFERROR(__xludf.DUMMYFUNCTION("""COMPUTED_VALUE"""),"Uncle Sams Cider (04/04/2023)")</f>
        <v>Uncle Sams Cider (04/04/2023)</v>
      </c>
      <c r="H3234" s="19"/>
    </row>
    <row r="3235">
      <c r="A3235" s="9"/>
      <c r="B3235" s="15"/>
      <c r="C3235" s="9">
        <f>IFERROR(__xludf.DUMMYFUNCTION("""COMPUTED_VALUE"""),45110.7273016088)</f>
        <v>45110.7273</v>
      </c>
      <c r="D3235" s="15">
        <f>IFERROR(__xludf.DUMMYFUNCTION("""COMPUTED_VALUE"""),0.999)</f>
        <v>0.999</v>
      </c>
      <c r="E3235" s="16">
        <f>IFERROR(__xludf.DUMMYFUNCTION("""COMPUTED_VALUE"""),70.0)</f>
        <v>70</v>
      </c>
      <c r="F3235" s="19" t="str">
        <f>IFERROR(__xludf.DUMMYFUNCTION("""COMPUTED_VALUE"""),"BLUE")</f>
        <v>BLUE</v>
      </c>
      <c r="G3235" s="20" t="str">
        <f>IFERROR(__xludf.DUMMYFUNCTION("""COMPUTED_VALUE"""),"Uncle Sams Cider (04/04/2023)")</f>
        <v>Uncle Sams Cider (04/04/2023)</v>
      </c>
      <c r="H3235" s="19"/>
    </row>
    <row r="3236">
      <c r="A3236" s="9"/>
      <c r="B3236" s="15"/>
      <c r="C3236" s="9">
        <f>IFERROR(__xludf.DUMMYFUNCTION("""COMPUTED_VALUE"""),45110.7168803588)</f>
        <v>45110.71688</v>
      </c>
      <c r="D3236" s="15">
        <f>IFERROR(__xludf.DUMMYFUNCTION("""COMPUTED_VALUE"""),0.999)</f>
        <v>0.999</v>
      </c>
      <c r="E3236" s="16">
        <f>IFERROR(__xludf.DUMMYFUNCTION("""COMPUTED_VALUE"""),70.0)</f>
        <v>70</v>
      </c>
      <c r="F3236" s="19" t="str">
        <f>IFERROR(__xludf.DUMMYFUNCTION("""COMPUTED_VALUE"""),"BLUE")</f>
        <v>BLUE</v>
      </c>
      <c r="G3236" s="20" t="str">
        <f>IFERROR(__xludf.DUMMYFUNCTION("""COMPUTED_VALUE"""),"Uncle Sams Cider (04/04/2023)")</f>
        <v>Uncle Sams Cider (04/04/2023)</v>
      </c>
      <c r="H3236" s="19"/>
    </row>
    <row r="3237">
      <c r="A3237" s="9"/>
      <c r="B3237" s="15"/>
      <c r="C3237" s="9">
        <f>IFERROR(__xludf.DUMMYFUNCTION("""COMPUTED_VALUE"""),45110.7064596875)</f>
        <v>45110.70646</v>
      </c>
      <c r="D3237" s="15">
        <f>IFERROR(__xludf.DUMMYFUNCTION("""COMPUTED_VALUE"""),1.0)</f>
        <v>1</v>
      </c>
      <c r="E3237" s="16">
        <f>IFERROR(__xludf.DUMMYFUNCTION("""COMPUTED_VALUE"""),70.0)</f>
        <v>70</v>
      </c>
      <c r="F3237" s="19" t="str">
        <f>IFERROR(__xludf.DUMMYFUNCTION("""COMPUTED_VALUE"""),"BLUE")</f>
        <v>BLUE</v>
      </c>
      <c r="G3237" s="20" t="str">
        <f>IFERROR(__xludf.DUMMYFUNCTION("""COMPUTED_VALUE"""),"Uncle Sams Cider (04/04/2023)")</f>
        <v>Uncle Sams Cider (04/04/2023)</v>
      </c>
      <c r="H3237" s="19"/>
    </row>
    <row r="3238">
      <c r="A3238" s="9"/>
      <c r="B3238" s="15"/>
      <c r="C3238" s="9">
        <f>IFERROR(__xludf.DUMMYFUNCTION("""COMPUTED_VALUE"""),45110.6960401388)</f>
        <v>45110.69604</v>
      </c>
      <c r="D3238" s="15">
        <f>IFERROR(__xludf.DUMMYFUNCTION("""COMPUTED_VALUE"""),0.999)</f>
        <v>0.999</v>
      </c>
      <c r="E3238" s="16">
        <f>IFERROR(__xludf.DUMMYFUNCTION("""COMPUTED_VALUE"""),70.0)</f>
        <v>70</v>
      </c>
      <c r="F3238" s="19" t="str">
        <f>IFERROR(__xludf.DUMMYFUNCTION("""COMPUTED_VALUE"""),"BLUE")</f>
        <v>BLUE</v>
      </c>
      <c r="G3238" s="20" t="str">
        <f>IFERROR(__xludf.DUMMYFUNCTION("""COMPUTED_VALUE"""),"Uncle Sams Cider (04/04/2023)")</f>
        <v>Uncle Sams Cider (04/04/2023)</v>
      </c>
      <c r="H3238" s="19"/>
    </row>
    <row r="3239">
      <c r="A3239" s="9"/>
      <c r="B3239" s="15"/>
      <c r="C3239" s="9">
        <f>IFERROR(__xludf.DUMMYFUNCTION("""COMPUTED_VALUE"""),45110.685619699)</f>
        <v>45110.68562</v>
      </c>
      <c r="D3239" s="15">
        <f>IFERROR(__xludf.DUMMYFUNCTION("""COMPUTED_VALUE"""),0.999)</f>
        <v>0.999</v>
      </c>
      <c r="E3239" s="16">
        <f>IFERROR(__xludf.DUMMYFUNCTION("""COMPUTED_VALUE"""),70.0)</f>
        <v>70</v>
      </c>
      <c r="F3239" s="19" t="str">
        <f>IFERROR(__xludf.DUMMYFUNCTION("""COMPUTED_VALUE"""),"BLUE")</f>
        <v>BLUE</v>
      </c>
      <c r="G3239" s="20" t="str">
        <f>IFERROR(__xludf.DUMMYFUNCTION("""COMPUTED_VALUE"""),"Uncle Sams Cider (04/04/2023)")</f>
        <v>Uncle Sams Cider (04/04/2023)</v>
      </c>
      <c r="H3239" s="19"/>
    </row>
    <row r="3240">
      <c r="A3240" s="9"/>
      <c r="B3240" s="15"/>
      <c r="C3240" s="9">
        <f>IFERROR(__xludf.DUMMYFUNCTION("""COMPUTED_VALUE"""),45110.6752005439)</f>
        <v>45110.6752</v>
      </c>
      <c r="D3240" s="15">
        <f>IFERROR(__xludf.DUMMYFUNCTION("""COMPUTED_VALUE"""),0.999)</f>
        <v>0.999</v>
      </c>
      <c r="E3240" s="16">
        <f>IFERROR(__xludf.DUMMYFUNCTION("""COMPUTED_VALUE"""),70.0)</f>
        <v>70</v>
      </c>
      <c r="F3240" s="19" t="str">
        <f>IFERROR(__xludf.DUMMYFUNCTION("""COMPUTED_VALUE"""),"BLUE")</f>
        <v>BLUE</v>
      </c>
      <c r="G3240" s="20" t="str">
        <f>IFERROR(__xludf.DUMMYFUNCTION("""COMPUTED_VALUE"""),"Uncle Sams Cider (04/04/2023)")</f>
        <v>Uncle Sams Cider (04/04/2023)</v>
      </c>
      <c r="H3240" s="19"/>
    </row>
    <row r="3241">
      <c r="A3241" s="9"/>
      <c r="B3241" s="15"/>
      <c r="C3241" s="9">
        <f>IFERROR(__xludf.DUMMYFUNCTION("""COMPUTED_VALUE"""),45110.664780787)</f>
        <v>45110.66478</v>
      </c>
      <c r="D3241" s="15">
        <f>IFERROR(__xludf.DUMMYFUNCTION("""COMPUTED_VALUE"""),1.0)</f>
        <v>1</v>
      </c>
      <c r="E3241" s="16">
        <f>IFERROR(__xludf.DUMMYFUNCTION("""COMPUTED_VALUE"""),70.0)</f>
        <v>70</v>
      </c>
      <c r="F3241" s="19" t="str">
        <f>IFERROR(__xludf.DUMMYFUNCTION("""COMPUTED_VALUE"""),"BLUE")</f>
        <v>BLUE</v>
      </c>
      <c r="G3241" s="20" t="str">
        <f>IFERROR(__xludf.DUMMYFUNCTION("""COMPUTED_VALUE"""),"Uncle Sams Cider (04/04/2023)")</f>
        <v>Uncle Sams Cider (04/04/2023)</v>
      </c>
      <c r="H3241" s="19"/>
    </row>
    <row r="3242">
      <c r="A3242" s="9"/>
      <c r="B3242" s="15"/>
      <c r="C3242" s="9">
        <f>IFERROR(__xludf.DUMMYFUNCTION("""COMPUTED_VALUE"""),45110.6543470717)</f>
        <v>45110.65435</v>
      </c>
      <c r="D3242" s="15">
        <f>IFERROR(__xludf.DUMMYFUNCTION("""COMPUTED_VALUE"""),0.999)</f>
        <v>0.999</v>
      </c>
      <c r="E3242" s="16">
        <f>IFERROR(__xludf.DUMMYFUNCTION("""COMPUTED_VALUE"""),70.0)</f>
        <v>70</v>
      </c>
      <c r="F3242" s="19" t="str">
        <f>IFERROR(__xludf.DUMMYFUNCTION("""COMPUTED_VALUE"""),"BLUE")</f>
        <v>BLUE</v>
      </c>
      <c r="G3242" s="20" t="str">
        <f>IFERROR(__xludf.DUMMYFUNCTION("""COMPUTED_VALUE"""),"Uncle Sams Cider (04/04/2023)")</f>
        <v>Uncle Sams Cider (04/04/2023)</v>
      </c>
      <c r="H3242" s="19"/>
    </row>
    <row r="3243">
      <c r="A3243" s="9"/>
      <c r="B3243" s="15"/>
      <c r="C3243" s="9">
        <f>IFERROR(__xludf.DUMMYFUNCTION("""COMPUTED_VALUE"""),45110.6439281828)</f>
        <v>45110.64393</v>
      </c>
      <c r="D3243" s="15">
        <f>IFERROR(__xludf.DUMMYFUNCTION("""COMPUTED_VALUE"""),0.999)</f>
        <v>0.999</v>
      </c>
      <c r="E3243" s="16">
        <f>IFERROR(__xludf.DUMMYFUNCTION("""COMPUTED_VALUE"""),70.0)</f>
        <v>70</v>
      </c>
      <c r="F3243" s="19" t="str">
        <f>IFERROR(__xludf.DUMMYFUNCTION("""COMPUTED_VALUE"""),"BLUE")</f>
        <v>BLUE</v>
      </c>
      <c r="G3243" s="20" t="str">
        <f>IFERROR(__xludf.DUMMYFUNCTION("""COMPUTED_VALUE"""),"Uncle Sams Cider (04/04/2023)")</f>
        <v>Uncle Sams Cider (04/04/2023)</v>
      </c>
      <c r="H3243" s="19"/>
    </row>
    <row r="3244">
      <c r="A3244" s="9"/>
      <c r="B3244" s="15"/>
      <c r="C3244" s="9">
        <f>IFERROR(__xludf.DUMMYFUNCTION("""COMPUTED_VALUE"""),45110.6335068171)</f>
        <v>45110.63351</v>
      </c>
      <c r="D3244" s="15">
        <f>IFERROR(__xludf.DUMMYFUNCTION("""COMPUTED_VALUE"""),1.0)</f>
        <v>1</v>
      </c>
      <c r="E3244" s="16">
        <f>IFERROR(__xludf.DUMMYFUNCTION("""COMPUTED_VALUE"""),70.0)</f>
        <v>70</v>
      </c>
      <c r="F3244" s="19" t="str">
        <f>IFERROR(__xludf.DUMMYFUNCTION("""COMPUTED_VALUE"""),"BLUE")</f>
        <v>BLUE</v>
      </c>
      <c r="G3244" s="20" t="str">
        <f>IFERROR(__xludf.DUMMYFUNCTION("""COMPUTED_VALUE"""),"Uncle Sams Cider (04/04/2023)")</f>
        <v>Uncle Sams Cider (04/04/2023)</v>
      </c>
      <c r="H3244" s="19"/>
    </row>
    <row r="3245">
      <c r="A3245" s="9"/>
      <c r="B3245" s="15"/>
      <c r="C3245" s="9">
        <f>IFERROR(__xludf.DUMMYFUNCTION("""COMPUTED_VALUE"""),45110.623085162)</f>
        <v>45110.62309</v>
      </c>
      <c r="D3245" s="15">
        <f>IFERROR(__xludf.DUMMYFUNCTION("""COMPUTED_VALUE"""),1.0)</f>
        <v>1</v>
      </c>
      <c r="E3245" s="16">
        <f>IFERROR(__xludf.DUMMYFUNCTION("""COMPUTED_VALUE"""),70.0)</f>
        <v>70</v>
      </c>
      <c r="F3245" s="19" t="str">
        <f>IFERROR(__xludf.DUMMYFUNCTION("""COMPUTED_VALUE"""),"BLUE")</f>
        <v>BLUE</v>
      </c>
      <c r="G3245" s="20" t="str">
        <f>IFERROR(__xludf.DUMMYFUNCTION("""COMPUTED_VALUE"""),"Uncle Sams Cider (04/04/2023)")</f>
        <v>Uncle Sams Cider (04/04/2023)</v>
      </c>
      <c r="H3245" s="19"/>
    </row>
    <row r="3246">
      <c r="A3246" s="9"/>
      <c r="B3246" s="15"/>
      <c r="C3246" s="9">
        <f>IFERROR(__xludf.DUMMYFUNCTION("""COMPUTED_VALUE"""),45110.6126519907)</f>
        <v>45110.61265</v>
      </c>
      <c r="D3246" s="15">
        <f>IFERROR(__xludf.DUMMYFUNCTION("""COMPUTED_VALUE"""),1.0)</f>
        <v>1</v>
      </c>
      <c r="E3246" s="16">
        <f>IFERROR(__xludf.DUMMYFUNCTION("""COMPUTED_VALUE"""),70.0)</f>
        <v>70</v>
      </c>
      <c r="F3246" s="19" t="str">
        <f>IFERROR(__xludf.DUMMYFUNCTION("""COMPUTED_VALUE"""),"BLUE")</f>
        <v>BLUE</v>
      </c>
      <c r="G3246" s="20" t="str">
        <f>IFERROR(__xludf.DUMMYFUNCTION("""COMPUTED_VALUE"""),"Uncle Sams Cider (04/04/2023)")</f>
        <v>Uncle Sams Cider (04/04/2023)</v>
      </c>
      <c r="H3246" s="19"/>
    </row>
    <row r="3247">
      <c r="A3247" s="9"/>
      <c r="B3247" s="15"/>
      <c r="C3247" s="9">
        <f>IFERROR(__xludf.DUMMYFUNCTION("""COMPUTED_VALUE"""),45110.602220243)</f>
        <v>45110.60222</v>
      </c>
      <c r="D3247" s="15">
        <f>IFERROR(__xludf.DUMMYFUNCTION("""COMPUTED_VALUE"""),0.999)</f>
        <v>0.999</v>
      </c>
      <c r="E3247" s="16">
        <f>IFERROR(__xludf.DUMMYFUNCTION("""COMPUTED_VALUE"""),70.0)</f>
        <v>70</v>
      </c>
      <c r="F3247" s="19" t="str">
        <f>IFERROR(__xludf.DUMMYFUNCTION("""COMPUTED_VALUE"""),"BLUE")</f>
        <v>BLUE</v>
      </c>
      <c r="G3247" s="20" t="str">
        <f>IFERROR(__xludf.DUMMYFUNCTION("""COMPUTED_VALUE"""),"Uncle Sams Cider (04/04/2023)")</f>
        <v>Uncle Sams Cider (04/04/2023)</v>
      </c>
      <c r="H3247" s="19"/>
    </row>
    <row r="3248">
      <c r="A3248" s="9"/>
      <c r="B3248" s="15"/>
      <c r="C3248" s="9">
        <f>IFERROR(__xludf.DUMMYFUNCTION("""COMPUTED_VALUE"""),45110.5917875463)</f>
        <v>45110.59179</v>
      </c>
      <c r="D3248" s="15">
        <f>IFERROR(__xludf.DUMMYFUNCTION("""COMPUTED_VALUE"""),0.999)</f>
        <v>0.999</v>
      </c>
      <c r="E3248" s="16">
        <f>IFERROR(__xludf.DUMMYFUNCTION("""COMPUTED_VALUE"""),70.0)</f>
        <v>70</v>
      </c>
      <c r="F3248" s="19" t="str">
        <f>IFERROR(__xludf.DUMMYFUNCTION("""COMPUTED_VALUE"""),"BLUE")</f>
        <v>BLUE</v>
      </c>
      <c r="G3248" s="20" t="str">
        <f>IFERROR(__xludf.DUMMYFUNCTION("""COMPUTED_VALUE"""),"Uncle Sams Cider (04/04/2023)")</f>
        <v>Uncle Sams Cider (04/04/2023)</v>
      </c>
      <c r="H3248" s="19"/>
    </row>
    <row r="3249">
      <c r="A3249" s="9"/>
      <c r="B3249" s="15"/>
      <c r="C3249" s="9">
        <f>IFERROR(__xludf.DUMMYFUNCTION("""COMPUTED_VALUE"""),45110.5813657754)</f>
        <v>45110.58137</v>
      </c>
      <c r="D3249" s="15">
        <f>IFERROR(__xludf.DUMMYFUNCTION("""COMPUTED_VALUE"""),0.999)</f>
        <v>0.999</v>
      </c>
      <c r="E3249" s="16">
        <f>IFERROR(__xludf.DUMMYFUNCTION("""COMPUTED_VALUE"""),70.0)</f>
        <v>70</v>
      </c>
      <c r="F3249" s="19" t="str">
        <f>IFERROR(__xludf.DUMMYFUNCTION("""COMPUTED_VALUE"""),"BLUE")</f>
        <v>BLUE</v>
      </c>
      <c r="G3249" s="20" t="str">
        <f>IFERROR(__xludf.DUMMYFUNCTION("""COMPUTED_VALUE"""),"Uncle Sams Cider (04/04/2023)")</f>
        <v>Uncle Sams Cider (04/04/2023)</v>
      </c>
      <c r="H3249" s="19"/>
    </row>
    <row r="3250">
      <c r="A3250" s="9"/>
      <c r="B3250" s="15"/>
      <c r="C3250" s="9">
        <f>IFERROR(__xludf.DUMMYFUNCTION("""COMPUTED_VALUE"""),45110.5709439699)</f>
        <v>45110.57094</v>
      </c>
      <c r="D3250" s="15">
        <f>IFERROR(__xludf.DUMMYFUNCTION("""COMPUTED_VALUE"""),0.999)</f>
        <v>0.999</v>
      </c>
      <c r="E3250" s="16">
        <f>IFERROR(__xludf.DUMMYFUNCTION("""COMPUTED_VALUE"""),70.0)</f>
        <v>70</v>
      </c>
      <c r="F3250" s="19" t="str">
        <f>IFERROR(__xludf.DUMMYFUNCTION("""COMPUTED_VALUE"""),"BLUE")</f>
        <v>BLUE</v>
      </c>
      <c r="G3250" s="20" t="str">
        <f>IFERROR(__xludf.DUMMYFUNCTION("""COMPUTED_VALUE"""),"Uncle Sams Cider (04/04/2023)")</f>
        <v>Uncle Sams Cider (04/04/2023)</v>
      </c>
      <c r="H3250" s="19"/>
    </row>
    <row r="3251">
      <c r="A3251" s="9"/>
      <c r="B3251" s="15"/>
      <c r="C3251" s="9">
        <f>IFERROR(__xludf.DUMMYFUNCTION("""COMPUTED_VALUE"""),45110.5605207638)</f>
        <v>45110.56052</v>
      </c>
      <c r="D3251" s="15">
        <f>IFERROR(__xludf.DUMMYFUNCTION("""COMPUTED_VALUE"""),0.999)</f>
        <v>0.999</v>
      </c>
      <c r="E3251" s="16">
        <f>IFERROR(__xludf.DUMMYFUNCTION("""COMPUTED_VALUE"""),70.0)</f>
        <v>70</v>
      </c>
      <c r="F3251" s="19" t="str">
        <f>IFERROR(__xludf.DUMMYFUNCTION("""COMPUTED_VALUE"""),"BLUE")</f>
        <v>BLUE</v>
      </c>
      <c r="G3251" s="20" t="str">
        <f>IFERROR(__xludf.DUMMYFUNCTION("""COMPUTED_VALUE"""),"Uncle Sams Cider (04/04/2023)")</f>
        <v>Uncle Sams Cider (04/04/2023)</v>
      </c>
      <c r="H3251" s="19"/>
    </row>
    <row r="3252">
      <c r="A3252" s="9"/>
      <c r="B3252" s="15"/>
      <c r="C3252" s="9">
        <f>IFERROR(__xludf.DUMMYFUNCTION("""COMPUTED_VALUE"""),45110.5500971064)</f>
        <v>45110.5501</v>
      </c>
      <c r="D3252" s="15">
        <f>IFERROR(__xludf.DUMMYFUNCTION("""COMPUTED_VALUE"""),0.999)</f>
        <v>0.999</v>
      </c>
      <c r="E3252" s="16">
        <f>IFERROR(__xludf.DUMMYFUNCTION("""COMPUTED_VALUE"""),70.0)</f>
        <v>70</v>
      </c>
      <c r="F3252" s="19" t="str">
        <f>IFERROR(__xludf.DUMMYFUNCTION("""COMPUTED_VALUE"""),"BLUE")</f>
        <v>BLUE</v>
      </c>
      <c r="G3252" s="20" t="str">
        <f>IFERROR(__xludf.DUMMYFUNCTION("""COMPUTED_VALUE"""),"Uncle Sams Cider (04/04/2023)")</f>
        <v>Uncle Sams Cider (04/04/2023)</v>
      </c>
      <c r="H3252" s="19"/>
    </row>
    <row r="3253">
      <c r="A3253" s="9"/>
      <c r="B3253" s="15"/>
      <c r="C3253" s="9">
        <f>IFERROR(__xludf.DUMMYFUNCTION("""COMPUTED_VALUE"""),45110.5396773148)</f>
        <v>45110.53968</v>
      </c>
      <c r="D3253" s="15">
        <f>IFERROR(__xludf.DUMMYFUNCTION("""COMPUTED_VALUE"""),0.999)</f>
        <v>0.999</v>
      </c>
      <c r="E3253" s="16">
        <f>IFERROR(__xludf.DUMMYFUNCTION("""COMPUTED_VALUE"""),70.0)</f>
        <v>70</v>
      </c>
      <c r="F3253" s="19" t="str">
        <f>IFERROR(__xludf.DUMMYFUNCTION("""COMPUTED_VALUE"""),"BLUE")</f>
        <v>BLUE</v>
      </c>
      <c r="G3253" s="20" t="str">
        <f>IFERROR(__xludf.DUMMYFUNCTION("""COMPUTED_VALUE"""),"Uncle Sams Cider (04/04/2023)")</f>
        <v>Uncle Sams Cider (04/04/2023)</v>
      </c>
      <c r="H3253" s="19"/>
    </row>
    <row r="3254">
      <c r="A3254" s="9"/>
      <c r="B3254" s="15"/>
      <c r="C3254" s="9">
        <f>IFERROR(__xludf.DUMMYFUNCTION("""COMPUTED_VALUE"""),45110.5292457291)</f>
        <v>45110.52925</v>
      </c>
      <c r="D3254" s="15">
        <f>IFERROR(__xludf.DUMMYFUNCTION("""COMPUTED_VALUE"""),1.0)</f>
        <v>1</v>
      </c>
      <c r="E3254" s="16">
        <f>IFERROR(__xludf.DUMMYFUNCTION("""COMPUTED_VALUE"""),70.0)</f>
        <v>70</v>
      </c>
      <c r="F3254" s="19" t="str">
        <f>IFERROR(__xludf.DUMMYFUNCTION("""COMPUTED_VALUE"""),"BLUE")</f>
        <v>BLUE</v>
      </c>
      <c r="G3254" s="20" t="str">
        <f>IFERROR(__xludf.DUMMYFUNCTION("""COMPUTED_VALUE"""),"Uncle Sams Cider (04/04/2023)")</f>
        <v>Uncle Sams Cider (04/04/2023)</v>
      </c>
      <c r="H3254" s="19"/>
    </row>
    <row r="3255">
      <c r="A3255" s="9"/>
      <c r="B3255" s="15"/>
      <c r="C3255" s="9">
        <f>IFERROR(__xludf.DUMMYFUNCTION("""COMPUTED_VALUE"""),45110.518826412)</f>
        <v>45110.51883</v>
      </c>
      <c r="D3255" s="15">
        <f>IFERROR(__xludf.DUMMYFUNCTION("""COMPUTED_VALUE"""),1.0)</f>
        <v>1</v>
      </c>
      <c r="E3255" s="16">
        <f>IFERROR(__xludf.DUMMYFUNCTION("""COMPUTED_VALUE"""),70.0)</f>
        <v>70</v>
      </c>
      <c r="F3255" s="19" t="str">
        <f>IFERROR(__xludf.DUMMYFUNCTION("""COMPUTED_VALUE"""),"BLUE")</f>
        <v>BLUE</v>
      </c>
      <c r="G3255" s="20" t="str">
        <f>IFERROR(__xludf.DUMMYFUNCTION("""COMPUTED_VALUE"""),"Uncle Sams Cider (04/04/2023)")</f>
        <v>Uncle Sams Cider (04/04/2023)</v>
      </c>
      <c r="H3255" s="19"/>
    </row>
    <row r="3256">
      <c r="A3256" s="9"/>
      <c r="B3256" s="15"/>
      <c r="C3256" s="9">
        <f>IFERROR(__xludf.DUMMYFUNCTION("""COMPUTED_VALUE"""),45110.5084065162)</f>
        <v>45110.50841</v>
      </c>
      <c r="D3256" s="15">
        <f>IFERROR(__xludf.DUMMYFUNCTION("""COMPUTED_VALUE"""),0.999)</f>
        <v>0.999</v>
      </c>
      <c r="E3256" s="16">
        <f>IFERROR(__xludf.DUMMYFUNCTION("""COMPUTED_VALUE"""),70.0)</f>
        <v>70</v>
      </c>
      <c r="F3256" s="19" t="str">
        <f>IFERROR(__xludf.DUMMYFUNCTION("""COMPUTED_VALUE"""),"BLUE")</f>
        <v>BLUE</v>
      </c>
      <c r="G3256" s="20" t="str">
        <f>IFERROR(__xludf.DUMMYFUNCTION("""COMPUTED_VALUE"""),"Uncle Sams Cider (04/04/2023)")</f>
        <v>Uncle Sams Cider (04/04/2023)</v>
      </c>
      <c r="H3256" s="19"/>
    </row>
    <row r="3257">
      <c r="A3257" s="9"/>
      <c r="B3257" s="15"/>
      <c r="C3257" s="9">
        <f>IFERROR(__xludf.DUMMYFUNCTION("""COMPUTED_VALUE"""),45110.4979855555)</f>
        <v>45110.49799</v>
      </c>
      <c r="D3257" s="15">
        <f>IFERROR(__xludf.DUMMYFUNCTION("""COMPUTED_VALUE"""),0.999)</f>
        <v>0.999</v>
      </c>
      <c r="E3257" s="16">
        <f>IFERROR(__xludf.DUMMYFUNCTION("""COMPUTED_VALUE"""),70.0)</f>
        <v>70</v>
      </c>
      <c r="F3257" s="19" t="str">
        <f>IFERROR(__xludf.DUMMYFUNCTION("""COMPUTED_VALUE"""),"BLUE")</f>
        <v>BLUE</v>
      </c>
      <c r="G3257" s="20" t="str">
        <f>IFERROR(__xludf.DUMMYFUNCTION("""COMPUTED_VALUE"""),"Uncle Sams Cider (04/04/2023)")</f>
        <v>Uncle Sams Cider (04/04/2023)</v>
      </c>
      <c r="H3257" s="19"/>
    </row>
    <row r="3258">
      <c r="A3258" s="9"/>
      <c r="B3258" s="15"/>
      <c r="C3258" s="9">
        <f>IFERROR(__xludf.DUMMYFUNCTION("""COMPUTED_VALUE"""),45110.4875627083)</f>
        <v>45110.48756</v>
      </c>
      <c r="D3258" s="15">
        <f>IFERROR(__xludf.DUMMYFUNCTION("""COMPUTED_VALUE"""),0.999)</f>
        <v>0.999</v>
      </c>
      <c r="E3258" s="16">
        <f>IFERROR(__xludf.DUMMYFUNCTION("""COMPUTED_VALUE"""),70.0)</f>
        <v>70</v>
      </c>
      <c r="F3258" s="19" t="str">
        <f>IFERROR(__xludf.DUMMYFUNCTION("""COMPUTED_VALUE"""),"BLUE")</f>
        <v>BLUE</v>
      </c>
      <c r="G3258" s="20" t="str">
        <f>IFERROR(__xludf.DUMMYFUNCTION("""COMPUTED_VALUE"""),"Uncle Sams Cider (04/04/2023)")</f>
        <v>Uncle Sams Cider (04/04/2023)</v>
      </c>
      <c r="H3258" s="19"/>
    </row>
    <row r="3259">
      <c r="A3259" s="9"/>
      <c r="B3259" s="15"/>
      <c r="C3259" s="9">
        <f>IFERROR(__xludf.DUMMYFUNCTION("""COMPUTED_VALUE"""),45110.477141331)</f>
        <v>45110.47714</v>
      </c>
      <c r="D3259" s="15">
        <f>IFERROR(__xludf.DUMMYFUNCTION("""COMPUTED_VALUE"""),1.0)</f>
        <v>1</v>
      </c>
      <c r="E3259" s="16">
        <f>IFERROR(__xludf.DUMMYFUNCTION("""COMPUTED_VALUE"""),70.0)</f>
        <v>70</v>
      </c>
      <c r="F3259" s="19" t="str">
        <f>IFERROR(__xludf.DUMMYFUNCTION("""COMPUTED_VALUE"""),"BLUE")</f>
        <v>BLUE</v>
      </c>
      <c r="G3259" s="20" t="str">
        <f>IFERROR(__xludf.DUMMYFUNCTION("""COMPUTED_VALUE"""),"Uncle Sams Cider (04/04/2023)")</f>
        <v>Uncle Sams Cider (04/04/2023)</v>
      </c>
      <c r="H3259" s="19"/>
    </row>
    <row r="3260">
      <c r="A3260" s="9"/>
      <c r="B3260" s="15"/>
      <c r="C3260" s="9">
        <f>IFERROR(__xludf.DUMMYFUNCTION("""COMPUTED_VALUE"""),45110.4666871064)</f>
        <v>45110.46669</v>
      </c>
      <c r="D3260" s="15">
        <f>IFERROR(__xludf.DUMMYFUNCTION("""COMPUTED_VALUE"""),0.999)</f>
        <v>0.999</v>
      </c>
      <c r="E3260" s="16">
        <f>IFERROR(__xludf.DUMMYFUNCTION("""COMPUTED_VALUE"""),70.0)</f>
        <v>70</v>
      </c>
      <c r="F3260" s="19" t="str">
        <f>IFERROR(__xludf.DUMMYFUNCTION("""COMPUTED_VALUE"""),"BLUE")</f>
        <v>BLUE</v>
      </c>
      <c r="G3260" s="20" t="str">
        <f>IFERROR(__xludf.DUMMYFUNCTION("""COMPUTED_VALUE"""),"Uncle Sams Cider (04/04/2023)")</f>
        <v>Uncle Sams Cider (04/04/2023)</v>
      </c>
      <c r="H3260" s="19"/>
    </row>
    <row r="3261">
      <c r="A3261" s="9"/>
      <c r="B3261" s="15"/>
      <c r="C3261" s="9">
        <f>IFERROR(__xludf.DUMMYFUNCTION("""COMPUTED_VALUE"""),45110.4562673726)</f>
        <v>45110.45627</v>
      </c>
      <c r="D3261" s="15">
        <f>IFERROR(__xludf.DUMMYFUNCTION("""COMPUTED_VALUE"""),1.0)</f>
        <v>1</v>
      </c>
      <c r="E3261" s="16">
        <f>IFERROR(__xludf.DUMMYFUNCTION("""COMPUTED_VALUE"""),70.0)</f>
        <v>70</v>
      </c>
      <c r="F3261" s="19" t="str">
        <f>IFERROR(__xludf.DUMMYFUNCTION("""COMPUTED_VALUE"""),"BLUE")</f>
        <v>BLUE</v>
      </c>
      <c r="G3261" s="20" t="str">
        <f>IFERROR(__xludf.DUMMYFUNCTION("""COMPUTED_VALUE"""),"Uncle Sams Cider (04/04/2023)")</f>
        <v>Uncle Sams Cider (04/04/2023)</v>
      </c>
      <c r="H3261" s="19"/>
    </row>
    <row r="3262">
      <c r="A3262" s="9"/>
      <c r="B3262" s="15"/>
      <c r="C3262" s="9">
        <f>IFERROR(__xludf.DUMMYFUNCTION("""COMPUTED_VALUE"""),45110.4458435879)</f>
        <v>45110.44584</v>
      </c>
      <c r="D3262" s="15">
        <f>IFERROR(__xludf.DUMMYFUNCTION("""COMPUTED_VALUE"""),1.0)</f>
        <v>1</v>
      </c>
      <c r="E3262" s="16">
        <f>IFERROR(__xludf.DUMMYFUNCTION("""COMPUTED_VALUE"""),70.0)</f>
        <v>70</v>
      </c>
      <c r="F3262" s="19" t="str">
        <f>IFERROR(__xludf.DUMMYFUNCTION("""COMPUTED_VALUE"""),"BLUE")</f>
        <v>BLUE</v>
      </c>
      <c r="G3262" s="20" t="str">
        <f>IFERROR(__xludf.DUMMYFUNCTION("""COMPUTED_VALUE"""),"Uncle Sams Cider (04/04/2023)")</f>
        <v>Uncle Sams Cider (04/04/2023)</v>
      </c>
      <c r="H3262" s="19"/>
    </row>
    <row r="3263">
      <c r="A3263" s="9"/>
      <c r="B3263" s="15"/>
      <c r="C3263" s="9">
        <f>IFERROR(__xludf.DUMMYFUNCTION("""COMPUTED_VALUE"""),45110.4354212847)</f>
        <v>45110.43542</v>
      </c>
      <c r="D3263" s="15">
        <f>IFERROR(__xludf.DUMMYFUNCTION("""COMPUTED_VALUE"""),0.999)</f>
        <v>0.999</v>
      </c>
      <c r="E3263" s="16">
        <f>IFERROR(__xludf.DUMMYFUNCTION("""COMPUTED_VALUE"""),70.0)</f>
        <v>70</v>
      </c>
      <c r="F3263" s="19" t="str">
        <f>IFERROR(__xludf.DUMMYFUNCTION("""COMPUTED_VALUE"""),"BLUE")</f>
        <v>BLUE</v>
      </c>
      <c r="G3263" s="20" t="str">
        <f>IFERROR(__xludf.DUMMYFUNCTION("""COMPUTED_VALUE"""),"Uncle Sams Cider (04/04/2023)")</f>
        <v>Uncle Sams Cider (04/04/2023)</v>
      </c>
      <c r="H3263" s="19"/>
    </row>
    <row r="3264">
      <c r="A3264" s="9"/>
      <c r="B3264" s="15"/>
      <c r="C3264" s="9">
        <f>IFERROR(__xludf.DUMMYFUNCTION("""COMPUTED_VALUE"""),45110.4250005902)</f>
        <v>45110.425</v>
      </c>
      <c r="D3264" s="15">
        <f>IFERROR(__xludf.DUMMYFUNCTION("""COMPUTED_VALUE"""),0.999)</f>
        <v>0.999</v>
      </c>
      <c r="E3264" s="16">
        <f>IFERROR(__xludf.DUMMYFUNCTION("""COMPUTED_VALUE"""),70.0)</f>
        <v>70</v>
      </c>
      <c r="F3264" s="19" t="str">
        <f>IFERROR(__xludf.DUMMYFUNCTION("""COMPUTED_VALUE"""),"BLUE")</f>
        <v>BLUE</v>
      </c>
      <c r="G3264" s="20" t="str">
        <f>IFERROR(__xludf.DUMMYFUNCTION("""COMPUTED_VALUE"""),"Uncle Sams Cider (04/04/2023)")</f>
        <v>Uncle Sams Cider (04/04/2023)</v>
      </c>
      <c r="H3264" s="19"/>
    </row>
    <row r="3265">
      <c r="A3265" s="9"/>
      <c r="B3265" s="15"/>
      <c r="C3265" s="9">
        <f>IFERROR(__xludf.DUMMYFUNCTION("""COMPUTED_VALUE"""),45110.4145808217)</f>
        <v>45110.41458</v>
      </c>
      <c r="D3265" s="15">
        <f>IFERROR(__xludf.DUMMYFUNCTION("""COMPUTED_VALUE"""),1.0)</f>
        <v>1</v>
      </c>
      <c r="E3265" s="16">
        <f>IFERROR(__xludf.DUMMYFUNCTION("""COMPUTED_VALUE"""),70.0)</f>
        <v>70</v>
      </c>
      <c r="F3265" s="19" t="str">
        <f>IFERROR(__xludf.DUMMYFUNCTION("""COMPUTED_VALUE"""),"BLUE")</f>
        <v>BLUE</v>
      </c>
      <c r="G3265" s="20" t="str">
        <f>IFERROR(__xludf.DUMMYFUNCTION("""COMPUTED_VALUE"""),"Uncle Sams Cider (04/04/2023)")</f>
        <v>Uncle Sams Cider (04/04/2023)</v>
      </c>
      <c r="H3265" s="19"/>
    </row>
    <row r="3266">
      <c r="A3266" s="9"/>
      <c r="B3266" s="15"/>
      <c r="C3266" s="9">
        <f>IFERROR(__xludf.DUMMYFUNCTION("""COMPUTED_VALUE"""),45110.4041580902)</f>
        <v>45110.40416</v>
      </c>
      <c r="D3266" s="15">
        <f>IFERROR(__xludf.DUMMYFUNCTION("""COMPUTED_VALUE"""),1.0)</f>
        <v>1</v>
      </c>
      <c r="E3266" s="16">
        <f>IFERROR(__xludf.DUMMYFUNCTION("""COMPUTED_VALUE"""),70.0)</f>
        <v>70</v>
      </c>
      <c r="F3266" s="19" t="str">
        <f>IFERROR(__xludf.DUMMYFUNCTION("""COMPUTED_VALUE"""),"BLUE")</f>
        <v>BLUE</v>
      </c>
      <c r="G3266" s="20" t="str">
        <f>IFERROR(__xludf.DUMMYFUNCTION("""COMPUTED_VALUE"""),"Uncle Sams Cider (04/04/2023)")</f>
        <v>Uncle Sams Cider (04/04/2023)</v>
      </c>
      <c r="H3266" s="19"/>
    </row>
    <row r="3267">
      <c r="A3267" s="9"/>
      <c r="B3267" s="15"/>
      <c r="C3267" s="9">
        <f>IFERROR(__xludf.DUMMYFUNCTION("""COMPUTED_VALUE"""),45110.3937401041)</f>
        <v>45110.39374</v>
      </c>
      <c r="D3267" s="15">
        <f>IFERROR(__xludf.DUMMYFUNCTION("""COMPUTED_VALUE"""),0.999)</f>
        <v>0.999</v>
      </c>
      <c r="E3267" s="16">
        <f>IFERROR(__xludf.DUMMYFUNCTION("""COMPUTED_VALUE"""),70.0)</f>
        <v>70</v>
      </c>
      <c r="F3267" s="19" t="str">
        <f>IFERROR(__xludf.DUMMYFUNCTION("""COMPUTED_VALUE"""),"BLUE")</f>
        <v>BLUE</v>
      </c>
      <c r="G3267" s="20" t="str">
        <f>IFERROR(__xludf.DUMMYFUNCTION("""COMPUTED_VALUE"""),"Uncle Sams Cider (04/04/2023)")</f>
        <v>Uncle Sams Cider (04/04/2023)</v>
      </c>
      <c r="H3267" s="19"/>
    </row>
    <row r="3268">
      <c r="A3268" s="9"/>
      <c r="B3268" s="15"/>
      <c r="C3268" s="9">
        <f>IFERROR(__xludf.DUMMYFUNCTION("""COMPUTED_VALUE"""),45110.3833199768)</f>
        <v>45110.38332</v>
      </c>
      <c r="D3268" s="15">
        <f>IFERROR(__xludf.DUMMYFUNCTION("""COMPUTED_VALUE"""),0.999)</f>
        <v>0.999</v>
      </c>
      <c r="E3268" s="16">
        <f>IFERROR(__xludf.DUMMYFUNCTION("""COMPUTED_VALUE"""),70.0)</f>
        <v>70</v>
      </c>
      <c r="F3268" s="19" t="str">
        <f>IFERROR(__xludf.DUMMYFUNCTION("""COMPUTED_VALUE"""),"BLUE")</f>
        <v>BLUE</v>
      </c>
      <c r="G3268" s="20" t="str">
        <f>IFERROR(__xludf.DUMMYFUNCTION("""COMPUTED_VALUE"""),"Uncle Sams Cider (04/04/2023)")</f>
        <v>Uncle Sams Cider (04/04/2023)</v>
      </c>
      <c r="H3268" s="19"/>
    </row>
    <row r="3269">
      <c r="A3269" s="9"/>
      <c r="B3269" s="15"/>
      <c r="C3269" s="9">
        <f>IFERROR(__xludf.DUMMYFUNCTION("""COMPUTED_VALUE"""),45110.372887118)</f>
        <v>45110.37289</v>
      </c>
      <c r="D3269" s="15">
        <f>IFERROR(__xludf.DUMMYFUNCTION("""COMPUTED_VALUE"""),0.999)</f>
        <v>0.999</v>
      </c>
      <c r="E3269" s="16">
        <f>IFERROR(__xludf.DUMMYFUNCTION("""COMPUTED_VALUE"""),70.0)</f>
        <v>70</v>
      </c>
      <c r="F3269" s="19" t="str">
        <f>IFERROR(__xludf.DUMMYFUNCTION("""COMPUTED_VALUE"""),"BLUE")</f>
        <v>BLUE</v>
      </c>
      <c r="G3269" s="20" t="str">
        <f>IFERROR(__xludf.DUMMYFUNCTION("""COMPUTED_VALUE"""),"Uncle Sams Cider (04/04/2023)")</f>
        <v>Uncle Sams Cider (04/04/2023)</v>
      </c>
      <c r="H3269" s="19"/>
    </row>
    <row r="3270">
      <c r="A3270" s="9"/>
      <c r="B3270" s="15"/>
      <c r="C3270" s="9">
        <f>IFERROR(__xludf.DUMMYFUNCTION("""COMPUTED_VALUE"""),45110.362466493)</f>
        <v>45110.36247</v>
      </c>
      <c r="D3270" s="15">
        <f>IFERROR(__xludf.DUMMYFUNCTION("""COMPUTED_VALUE"""),1.0)</f>
        <v>1</v>
      </c>
      <c r="E3270" s="16">
        <f>IFERROR(__xludf.DUMMYFUNCTION("""COMPUTED_VALUE"""),70.0)</f>
        <v>70</v>
      </c>
      <c r="F3270" s="19" t="str">
        <f>IFERROR(__xludf.DUMMYFUNCTION("""COMPUTED_VALUE"""),"BLUE")</f>
        <v>BLUE</v>
      </c>
      <c r="G3270" s="20" t="str">
        <f>IFERROR(__xludf.DUMMYFUNCTION("""COMPUTED_VALUE"""),"Uncle Sams Cider (04/04/2023)")</f>
        <v>Uncle Sams Cider (04/04/2023)</v>
      </c>
      <c r="H3270" s="19"/>
    </row>
    <row r="3271">
      <c r="A3271" s="9"/>
      <c r="B3271" s="15"/>
      <c r="C3271" s="9">
        <f>IFERROR(__xludf.DUMMYFUNCTION("""COMPUTED_VALUE"""),45110.3520448842)</f>
        <v>45110.35204</v>
      </c>
      <c r="D3271" s="15">
        <f>IFERROR(__xludf.DUMMYFUNCTION("""COMPUTED_VALUE"""),0.999)</f>
        <v>0.999</v>
      </c>
      <c r="E3271" s="16">
        <f>IFERROR(__xludf.DUMMYFUNCTION("""COMPUTED_VALUE"""),70.0)</f>
        <v>70</v>
      </c>
      <c r="F3271" s="19" t="str">
        <f>IFERROR(__xludf.DUMMYFUNCTION("""COMPUTED_VALUE"""),"BLUE")</f>
        <v>BLUE</v>
      </c>
      <c r="G3271" s="20" t="str">
        <f>IFERROR(__xludf.DUMMYFUNCTION("""COMPUTED_VALUE"""),"Uncle Sams Cider (04/04/2023)")</f>
        <v>Uncle Sams Cider (04/04/2023)</v>
      </c>
      <c r="H3271" s="19"/>
    </row>
    <row r="3272">
      <c r="A3272" s="9"/>
      <c r="B3272" s="15"/>
      <c r="C3272" s="9">
        <f>IFERROR(__xludf.DUMMYFUNCTION("""COMPUTED_VALUE"""),45110.3416235069)</f>
        <v>45110.34162</v>
      </c>
      <c r="D3272" s="15">
        <f>IFERROR(__xludf.DUMMYFUNCTION("""COMPUTED_VALUE"""),0.999)</f>
        <v>0.999</v>
      </c>
      <c r="E3272" s="16">
        <f>IFERROR(__xludf.DUMMYFUNCTION("""COMPUTED_VALUE"""),70.0)</f>
        <v>70</v>
      </c>
      <c r="F3272" s="19" t="str">
        <f>IFERROR(__xludf.DUMMYFUNCTION("""COMPUTED_VALUE"""),"BLUE")</f>
        <v>BLUE</v>
      </c>
      <c r="G3272" s="20" t="str">
        <f>IFERROR(__xludf.DUMMYFUNCTION("""COMPUTED_VALUE"""),"Uncle Sams Cider (04/04/2023)")</f>
        <v>Uncle Sams Cider (04/04/2023)</v>
      </c>
      <c r="H3272" s="19"/>
    </row>
    <row r="3273">
      <c r="A3273" s="9"/>
      <c r="B3273" s="15"/>
      <c r="C3273" s="9">
        <f>IFERROR(__xludf.DUMMYFUNCTION("""COMPUTED_VALUE"""),45110.3312013888)</f>
        <v>45110.3312</v>
      </c>
      <c r="D3273" s="15">
        <f>IFERROR(__xludf.DUMMYFUNCTION("""COMPUTED_VALUE"""),0.999)</f>
        <v>0.999</v>
      </c>
      <c r="E3273" s="16">
        <f>IFERROR(__xludf.DUMMYFUNCTION("""COMPUTED_VALUE"""),70.0)</f>
        <v>70</v>
      </c>
      <c r="F3273" s="19" t="str">
        <f>IFERROR(__xludf.DUMMYFUNCTION("""COMPUTED_VALUE"""),"BLUE")</f>
        <v>BLUE</v>
      </c>
      <c r="G3273" s="20" t="str">
        <f>IFERROR(__xludf.DUMMYFUNCTION("""COMPUTED_VALUE"""),"Uncle Sams Cider (04/04/2023)")</f>
        <v>Uncle Sams Cider (04/04/2023)</v>
      </c>
      <c r="H3273" s="19"/>
    </row>
    <row r="3274">
      <c r="A3274" s="9"/>
      <c r="B3274" s="15"/>
      <c r="C3274" s="9">
        <f>IFERROR(__xludf.DUMMYFUNCTION("""COMPUTED_VALUE"""),45110.320780324)</f>
        <v>45110.32078</v>
      </c>
      <c r="D3274" s="15">
        <f>IFERROR(__xludf.DUMMYFUNCTION("""COMPUTED_VALUE"""),0.999)</f>
        <v>0.999</v>
      </c>
      <c r="E3274" s="16">
        <f>IFERROR(__xludf.DUMMYFUNCTION("""COMPUTED_VALUE"""),70.0)</f>
        <v>70</v>
      </c>
      <c r="F3274" s="19" t="str">
        <f>IFERROR(__xludf.DUMMYFUNCTION("""COMPUTED_VALUE"""),"BLUE")</f>
        <v>BLUE</v>
      </c>
      <c r="G3274" s="20" t="str">
        <f>IFERROR(__xludf.DUMMYFUNCTION("""COMPUTED_VALUE"""),"Uncle Sams Cider (04/04/2023)")</f>
        <v>Uncle Sams Cider (04/04/2023)</v>
      </c>
      <c r="H3274" s="19"/>
    </row>
    <row r="3275">
      <c r="A3275" s="9"/>
      <c r="B3275" s="15"/>
      <c r="C3275" s="9">
        <f>IFERROR(__xludf.DUMMYFUNCTION("""COMPUTED_VALUE"""),45110.3103605671)</f>
        <v>45110.31036</v>
      </c>
      <c r="D3275" s="15">
        <f>IFERROR(__xludf.DUMMYFUNCTION("""COMPUTED_VALUE"""),0.999)</f>
        <v>0.999</v>
      </c>
      <c r="E3275" s="16">
        <f>IFERROR(__xludf.DUMMYFUNCTION("""COMPUTED_VALUE"""),70.0)</f>
        <v>70</v>
      </c>
      <c r="F3275" s="19" t="str">
        <f>IFERROR(__xludf.DUMMYFUNCTION("""COMPUTED_VALUE"""),"BLUE")</f>
        <v>BLUE</v>
      </c>
      <c r="G3275" s="20" t="str">
        <f>IFERROR(__xludf.DUMMYFUNCTION("""COMPUTED_VALUE"""),"Uncle Sams Cider (04/04/2023)")</f>
        <v>Uncle Sams Cider (04/04/2023)</v>
      </c>
      <c r="H3275" s="19"/>
    </row>
    <row r="3276">
      <c r="A3276" s="9"/>
      <c r="B3276" s="15"/>
      <c r="C3276" s="9">
        <f>IFERROR(__xludf.DUMMYFUNCTION("""COMPUTED_VALUE"""),45110.2999413657)</f>
        <v>45110.29994</v>
      </c>
      <c r="D3276" s="15">
        <f>IFERROR(__xludf.DUMMYFUNCTION("""COMPUTED_VALUE"""),0.999)</f>
        <v>0.999</v>
      </c>
      <c r="E3276" s="16">
        <f>IFERROR(__xludf.DUMMYFUNCTION("""COMPUTED_VALUE"""),70.0)</f>
        <v>70</v>
      </c>
      <c r="F3276" s="19" t="str">
        <f>IFERROR(__xludf.DUMMYFUNCTION("""COMPUTED_VALUE"""),"BLUE")</f>
        <v>BLUE</v>
      </c>
      <c r="G3276" s="20" t="str">
        <f>IFERROR(__xludf.DUMMYFUNCTION("""COMPUTED_VALUE"""),"Uncle Sams Cider (04/04/2023)")</f>
        <v>Uncle Sams Cider (04/04/2023)</v>
      </c>
      <c r="H3276" s="19"/>
    </row>
    <row r="3277">
      <c r="A3277" s="9"/>
      <c r="B3277" s="15"/>
      <c r="C3277" s="9">
        <f>IFERROR(__xludf.DUMMYFUNCTION("""COMPUTED_VALUE"""),45110.289520324)</f>
        <v>45110.28952</v>
      </c>
      <c r="D3277" s="15">
        <f>IFERROR(__xludf.DUMMYFUNCTION("""COMPUTED_VALUE"""),0.999)</f>
        <v>0.999</v>
      </c>
      <c r="E3277" s="16">
        <f>IFERROR(__xludf.DUMMYFUNCTION("""COMPUTED_VALUE"""),70.0)</f>
        <v>70</v>
      </c>
      <c r="F3277" s="19" t="str">
        <f>IFERROR(__xludf.DUMMYFUNCTION("""COMPUTED_VALUE"""),"BLUE")</f>
        <v>BLUE</v>
      </c>
      <c r="G3277" s="20" t="str">
        <f>IFERROR(__xludf.DUMMYFUNCTION("""COMPUTED_VALUE"""),"Uncle Sams Cider (04/04/2023)")</f>
        <v>Uncle Sams Cider (04/04/2023)</v>
      </c>
      <c r="H3277" s="19"/>
    </row>
    <row r="3278">
      <c r="A3278" s="9"/>
      <c r="B3278" s="15"/>
      <c r="C3278" s="9">
        <f>IFERROR(__xludf.DUMMYFUNCTION("""COMPUTED_VALUE"""),45110.2790883564)</f>
        <v>45110.27909</v>
      </c>
      <c r="D3278" s="15">
        <f>IFERROR(__xludf.DUMMYFUNCTION("""COMPUTED_VALUE"""),0.999)</f>
        <v>0.999</v>
      </c>
      <c r="E3278" s="16">
        <f>IFERROR(__xludf.DUMMYFUNCTION("""COMPUTED_VALUE"""),70.0)</f>
        <v>70</v>
      </c>
      <c r="F3278" s="19" t="str">
        <f>IFERROR(__xludf.DUMMYFUNCTION("""COMPUTED_VALUE"""),"BLUE")</f>
        <v>BLUE</v>
      </c>
      <c r="G3278" s="20" t="str">
        <f>IFERROR(__xludf.DUMMYFUNCTION("""COMPUTED_VALUE"""),"Uncle Sams Cider (04/04/2023)")</f>
        <v>Uncle Sams Cider (04/04/2023)</v>
      </c>
      <c r="H3278" s="19"/>
    </row>
    <row r="3279">
      <c r="A3279" s="9"/>
      <c r="B3279" s="15"/>
      <c r="C3279" s="9">
        <f>IFERROR(__xludf.DUMMYFUNCTION("""COMPUTED_VALUE"""),45110.2686668865)</f>
        <v>45110.26867</v>
      </c>
      <c r="D3279" s="15">
        <f>IFERROR(__xludf.DUMMYFUNCTION("""COMPUTED_VALUE"""),1.0)</f>
        <v>1</v>
      </c>
      <c r="E3279" s="16">
        <f>IFERROR(__xludf.DUMMYFUNCTION("""COMPUTED_VALUE"""),70.0)</f>
        <v>70</v>
      </c>
      <c r="F3279" s="19" t="str">
        <f>IFERROR(__xludf.DUMMYFUNCTION("""COMPUTED_VALUE"""),"BLUE")</f>
        <v>BLUE</v>
      </c>
      <c r="G3279" s="20" t="str">
        <f>IFERROR(__xludf.DUMMYFUNCTION("""COMPUTED_VALUE"""),"Uncle Sams Cider (04/04/2023)")</f>
        <v>Uncle Sams Cider (04/04/2023)</v>
      </c>
      <c r="H3279" s="19"/>
    </row>
    <row r="3280">
      <c r="A3280" s="9"/>
      <c r="B3280" s="15"/>
      <c r="C3280" s="9">
        <f>IFERROR(__xludf.DUMMYFUNCTION("""COMPUTED_VALUE"""),45110.2582449421)</f>
        <v>45110.25824</v>
      </c>
      <c r="D3280" s="15">
        <f>IFERROR(__xludf.DUMMYFUNCTION("""COMPUTED_VALUE"""),0.999)</f>
        <v>0.999</v>
      </c>
      <c r="E3280" s="16">
        <f>IFERROR(__xludf.DUMMYFUNCTION("""COMPUTED_VALUE"""),70.0)</f>
        <v>70</v>
      </c>
      <c r="F3280" s="19" t="str">
        <f>IFERROR(__xludf.DUMMYFUNCTION("""COMPUTED_VALUE"""),"BLUE")</f>
        <v>BLUE</v>
      </c>
      <c r="G3280" s="20" t="str">
        <f>IFERROR(__xludf.DUMMYFUNCTION("""COMPUTED_VALUE"""),"Uncle Sams Cider (04/04/2023)")</f>
        <v>Uncle Sams Cider (04/04/2023)</v>
      </c>
      <c r="H3280" s="19"/>
    </row>
    <row r="3281">
      <c r="A3281" s="9"/>
      <c r="B3281" s="15"/>
      <c r="C3281" s="9">
        <f>IFERROR(__xludf.DUMMYFUNCTION("""COMPUTED_VALUE"""),45110.2478239351)</f>
        <v>45110.24782</v>
      </c>
      <c r="D3281" s="15">
        <f>IFERROR(__xludf.DUMMYFUNCTION("""COMPUTED_VALUE"""),0.999)</f>
        <v>0.999</v>
      </c>
      <c r="E3281" s="16">
        <f>IFERROR(__xludf.DUMMYFUNCTION("""COMPUTED_VALUE"""),70.0)</f>
        <v>70</v>
      </c>
      <c r="F3281" s="19" t="str">
        <f>IFERROR(__xludf.DUMMYFUNCTION("""COMPUTED_VALUE"""),"BLUE")</f>
        <v>BLUE</v>
      </c>
      <c r="G3281" s="20" t="str">
        <f>IFERROR(__xludf.DUMMYFUNCTION("""COMPUTED_VALUE"""),"Uncle Sams Cider (04/04/2023)")</f>
        <v>Uncle Sams Cider (04/04/2023)</v>
      </c>
      <c r="H3281" s="19"/>
    </row>
    <row r="3282">
      <c r="A3282" s="9"/>
      <c r="B3282" s="15"/>
      <c r="C3282" s="9">
        <f>IFERROR(__xludf.DUMMYFUNCTION("""COMPUTED_VALUE"""),45110.2374037268)</f>
        <v>45110.2374</v>
      </c>
      <c r="D3282" s="15">
        <f>IFERROR(__xludf.DUMMYFUNCTION("""COMPUTED_VALUE"""),0.999)</f>
        <v>0.999</v>
      </c>
      <c r="E3282" s="16">
        <f>IFERROR(__xludf.DUMMYFUNCTION("""COMPUTED_VALUE"""),70.0)</f>
        <v>70</v>
      </c>
      <c r="F3282" s="19" t="str">
        <f>IFERROR(__xludf.DUMMYFUNCTION("""COMPUTED_VALUE"""),"BLUE")</f>
        <v>BLUE</v>
      </c>
      <c r="G3282" s="20" t="str">
        <f>IFERROR(__xludf.DUMMYFUNCTION("""COMPUTED_VALUE"""),"Uncle Sams Cider (04/04/2023)")</f>
        <v>Uncle Sams Cider (04/04/2023)</v>
      </c>
      <c r="H3282" s="19"/>
    </row>
    <row r="3283">
      <c r="A3283" s="9"/>
      <c r="B3283" s="15"/>
      <c r="C3283" s="9">
        <f>IFERROR(__xludf.DUMMYFUNCTION("""COMPUTED_VALUE"""),45110.2269711921)</f>
        <v>45110.22697</v>
      </c>
      <c r="D3283" s="15">
        <f>IFERROR(__xludf.DUMMYFUNCTION("""COMPUTED_VALUE"""),0.999)</f>
        <v>0.999</v>
      </c>
      <c r="E3283" s="16">
        <f>IFERROR(__xludf.DUMMYFUNCTION("""COMPUTED_VALUE"""),70.0)</f>
        <v>70</v>
      </c>
      <c r="F3283" s="19" t="str">
        <f>IFERROR(__xludf.DUMMYFUNCTION("""COMPUTED_VALUE"""),"BLUE")</f>
        <v>BLUE</v>
      </c>
      <c r="G3283" s="20" t="str">
        <f>IFERROR(__xludf.DUMMYFUNCTION("""COMPUTED_VALUE"""),"Uncle Sams Cider (04/04/2023)")</f>
        <v>Uncle Sams Cider (04/04/2023)</v>
      </c>
      <c r="H3283" s="19"/>
    </row>
    <row r="3284">
      <c r="A3284" s="9"/>
      <c r="B3284" s="15"/>
      <c r="C3284" s="9">
        <f>IFERROR(__xludf.DUMMYFUNCTION("""COMPUTED_VALUE"""),45110.2165492361)</f>
        <v>45110.21655</v>
      </c>
      <c r="D3284" s="15">
        <f>IFERROR(__xludf.DUMMYFUNCTION("""COMPUTED_VALUE"""),0.999)</f>
        <v>0.999</v>
      </c>
      <c r="E3284" s="16">
        <f>IFERROR(__xludf.DUMMYFUNCTION("""COMPUTED_VALUE"""),70.0)</f>
        <v>70</v>
      </c>
      <c r="F3284" s="19" t="str">
        <f>IFERROR(__xludf.DUMMYFUNCTION("""COMPUTED_VALUE"""),"BLUE")</f>
        <v>BLUE</v>
      </c>
      <c r="G3284" s="20" t="str">
        <f>IFERROR(__xludf.DUMMYFUNCTION("""COMPUTED_VALUE"""),"Uncle Sams Cider (04/04/2023)")</f>
        <v>Uncle Sams Cider (04/04/2023)</v>
      </c>
      <c r="H3284" s="19"/>
    </row>
    <row r="3285">
      <c r="A3285" s="9"/>
      <c r="B3285" s="15"/>
      <c r="C3285" s="9">
        <f>IFERROR(__xludf.DUMMYFUNCTION("""COMPUTED_VALUE"""),45110.2061162268)</f>
        <v>45110.20612</v>
      </c>
      <c r="D3285" s="15">
        <f>IFERROR(__xludf.DUMMYFUNCTION("""COMPUTED_VALUE"""),0.999)</f>
        <v>0.999</v>
      </c>
      <c r="E3285" s="16">
        <f>IFERROR(__xludf.DUMMYFUNCTION("""COMPUTED_VALUE"""),70.0)</f>
        <v>70</v>
      </c>
      <c r="F3285" s="19" t="str">
        <f>IFERROR(__xludf.DUMMYFUNCTION("""COMPUTED_VALUE"""),"BLUE")</f>
        <v>BLUE</v>
      </c>
      <c r="G3285" s="20" t="str">
        <f>IFERROR(__xludf.DUMMYFUNCTION("""COMPUTED_VALUE"""),"Uncle Sams Cider (04/04/2023)")</f>
        <v>Uncle Sams Cider (04/04/2023)</v>
      </c>
      <c r="H3285" s="19"/>
    </row>
    <row r="3286">
      <c r="A3286" s="9"/>
      <c r="B3286" s="15"/>
      <c r="C3286" s="9">
        <f>IFERROR(__xludf.DUMMYFUNCTION("""COMPUTED_VALUE"""),45110.1956826273)</f>
        <v>45110.19568</v>
      </c>
      <c r="D3286" s="15">
        <f>IFERROR(__xludf.DUMMYFUNCTION("""COMPUTED_VALUE"""),0.999)</f>
        <v>0.999</v>
      </c>
      <c r="E3286" s="16">
        <f>IFERROR(__xludf.DUMMYFUNCTION("""COMPUTED_VALUE"""),70.0)</f>
        <v>70</v>
      </c>
      <c r="F3286" s="19" t="str">
        <f>IFERROR(__xludf.DUMMYFUNCTION("""COMPUTED_VALUE"""),"BLUE")</f>
        <v>BLUE</v>
      </c>
      <c r="G3286" s="20" t="str">
        <f>IFERROR(__xludf.DUMMYFUNCTION("""COMPUTED_VALUE"""),"Uncle Sams Cider (04/04/2023)")</f>
        <v>Uncle Sams Cider (04/04/2023)</v>
      </c>
      <c r="H3286" s="19"/>
    </row>
    <row r="3287">
      <c r="A3287" s="9"/>
      <c r="B3287" s="15"/>
      <c r="C3287" s="9">
        <f>IFERROR(__xludf.DUMMYFUNCTION("""COMPUTED_VALUE"""),45110.1852617245)</f>
        <v>45110.18526</v>
      </c>
      <c r="D3287" s="15">
        <f>IFERROR(__xludf.DUMMYFUNCTION("""COMPUTED_VALUE"""),0.999)</f>
        <v>0.999</v>
      </c>
      <c r="E3287" s="16">
        <f>IFERROR(__xludf.DUMMYFUNCTION("""COMPUTED_VALUE"""),70.0)</f>
        <v>70</v>
      </c>
      <c r="F3287" s="19" t="str">
        <f>IFERROR(__xludf.DUMMYFUNCTION("""COMPUTED_VALUE"""),"BLUE")</f>
        <v>BLUE</v>
      </c>
      <c r="G3287" s="20" t="str">
        <f>IFERROR(__xludf.DUMMYFUNCTION("""COMPUTED_VALUE"""),"Uncle Sams Cider (04/04/2023)")</f>
        <v>Uncle Sams Cider (04/04/2023)</v>
      </c>
      <c r="H3287" s="19"/>
    </row>
    <row r="3288">
      <c r="A3288" s="9"/>
      <c r="B3288" s="15"/>
      <c r="C3288" s="9">
        <f>IFERROR(__xludf.DUMMYFUNCTION("""COMPUTED_VALUE"""),45110.1748371064)</f>
        <v>45110.17484</v>
      </c>
      <c r="D3288" s="15">
        <f>IFERROR(__xludf.DUMMYFUNCTION("""COMPUTED_VALUE"""),0.999)</f>
        <v>0.999</v>
      </c>
      <c r="E3288" s="16">
        <f>IFERROR(__xludf.DUMMYFUNCTION("""COMPUTED_VALUE"""),70.0)</f>
        <v>70</v>
      </c>
      <c r="F3288" s="19" t="str">
        <f>IFERROR(__xludf.DUMMYFUNCTION("""COMPUTED_VALUE"""),"BLUE")</f>
        <v>BLUE</v>
      </c>
      <c r="G3288" s="20" t="str">
        <f>IFERROR(__xludf.DUMMYFUNCTION("""COMPUTED_VALUE"""),"Uncle Sams Cider (04/04/2023)")</f>
        <v>Uncle Sams Cider (04/04/2023)</v>
      </c>
      <c r="H3288" s="19"/>
    </row>
    <row r="3289">
      <c r="A3289" s="9"/>
      <c r="B3289" s="15"/>
      <c r="C3289" s="9">
        <f>IFERROR(__xludf.DUMMYFUNCTION("""COMPUTED_VALUE"""),45110.1644136111)</f>
        <v>45110.16441</v>
      </c>
      <c r="D3289" s="15">
        <f>IFERROR(__xludf.DUMMYFUNCTION("""COMPUTED_VALUE"""),1.0)</f>
        <v>1</v>
      </c>
      <c r="E3289" s="16">
        <f>IFERROR(__xludf.DUMMYFUNCTION("""COMPUTED_VALUE"""),70.0)</f>
        <v>70</v>
      </c>
      <c r="F3289" s="19" t="str">
        <f>IFERROR(__xludf.DUMMYFUNCTION("""COMPUTED_VALUE"""),"BLUE")</f>
        <v>BLUE</v>
      </c>
      <c r="G3289" s="20" t="str">
        <f>IFERROR(__xludf.DUMMYFUNCTION("""COMPUTED_VALUE"""),"Uncle Sams Cider (04/04/2023)")</f>
        <v>Uncle Sams Cider (04/04/2023)</v>
      </c>
      <c r="H3289" s="19"/>
    </row>
    <row r="3290">
      <c r="A3290" s="9"/>
      <c r="B3290" s="15"/>
      <c r="C3290" s="9">
        <f>IFERROR(__xludf.DUMMYFUNCTION("""COMPUTED_VALUE"""),45110.1539923958)</f>
        <v>45110.15399</v>
      </c>
      <c r="D3290" s="15">
        <f>IFERROR(__xludf.DUMMYFUNCTION("""COMPUTED_VALUE"""),0.999)</f>
        <v>0.999</v>
      </c>
      <c r="E3290" s="16">
        <f>IFERROR(__xludf.DUMMYFUNCTION("""COMPUTED_VALUE"""),70.0)</f>
        <v>70</v>
      </c>
      <c r="F3290" s="19" t="str">
        <f>IFERROR(__xludf.DUMMYFUNCTION("""COMPUTED_VALUE"""),"BLUE")</f>
        <v>BLUE</v>
      </c>
      <c r="G3290" s="20" t="str">
        <f>IFERROR(__xludf.DUMMYFUNCTION("""COMPUTED_VALUE"""),"Uncle Sams Cider (04/04/2023)")</f>
        <v>Uncle Sams Cider (04/04/2023)</v>
      </c>
      <c r="H3290" s="19"/>
    </row>
    <row r="3291">
      <c r="A3291" s="9"/>
      <c r="B3291" s="15"/>
      <c r="C3291" s="9">
        <f>IFERROR(__xludf.DUMMYFUNCTION("""COMPUTED_VALUE"""),45110.1435579745)</f>
        <v>45110.14356</v>
      </c>
      <c r="D3291" s="15">
        <f>IFERROR(__xludf.DUMMYFUNCTION("""COMPUTED_VALUE"""),1.0)</f>
        <v>1</v>
      </c>
      <c r="E3291" s="16">
        <f>IFERROR(__xludf.DUMMYFUNCTION("""COMPUTED_VALUE"""),70.0)</f>
        <v>70</v>
      </c>
      <c r="F3291" s="19" t="str">
        <f>IFERROR(__xludf.DUMMYFUNCTION("""COMPUTED_VALUE"""),"BLUE")</f>
        <v>BLUE</v>
      </c>
      <c r="G3291" s="20" t="str">
        <f>IFERROR(__xludf.DUMMYFUNCTION("""COMPUTED_VALUE"""),"Uncle Sams Cider (04/04/2023)")</f>
        <v>Uncle Sams Cider (04/04/2023)</v>
      </c>
      <c r="H3291" s="19"/>
    </row>
    <row r="3292">
      <c r="A3292" s="9"/>
      <c r="B3292" s="15"/>
      <c r="C3292" s="9">
        <f>IFERROR(__xludf.DUMMYFUNCTION("""COMPUTED_VALUE"""),45110.1331353472)</f>
        <v>45110.13314</v>
      </c>
      <c r="D3292" s="15">
        <f>IFERROR(__xludf.DUMMYFUNCTION("""COMPUTED_VALUE"""),1.0)</f>
        <v>1</v>
      </c>
      <c r="E3292" s="16">
        <f>IFERROR(__xludf.DUMMYFUNCTION("""COMPUTED_VALUE"""),70.0)</f>
        <v>70</v>
      </c>
      <c r="F3292" s="19" t="str">
        <f>IFERROR(__xludf.DUMMYFUNCTION("""COMPUTED_VALUE"""),"BLUE")</f>
        <v>BLUE</v>
      </c>
      <c r="G3292" s="20" t="str">
        <f>IFERROR(__xludf.DUMMYFUNCTION("""COMPUTED_VALUE"""),"Uncle Sams Cider (04/04/2023)")</f>
        <v>Uncle Sams Cider (04/04/2023)</v>
      </c>
      <c r="H3292" s="19"/>
    </row>
    <row r="3293">
      <c r="A3293" s="9"/>
      <c r="B3293" s="15"/>
      <c r="C3293" s="9">
        <f>IFERROR(__xludf.DUMMYFUNCTION("""COMPUTED_VALUE"""),45110.1227129166)</f>
        <v>45110.12271</v>
      </c>
      <c r="D3293" s="15">
        <f>IFERROR(__xludf.DUMMYFUNCTION("""COMPUTED_VALUE"""),0.999)</f>
        <v>0.999</v>
      </c>
      <c r="E3293" s="16">
        <f>IFERROR(__xludf.DUMMYFUNCTION("""COMPUTED_VALUE"""),70.0)</f>
        <v>70</v>
      </c>
      <c r="F3293" s="19" t="str">
        <f>IFERROR(__xludf.DUMMYFUNCTION("""COMPUTED_VALUE"""),"BLUE")</f>
        <v>BLUE</v>
      </c>
      <c r="G3293" s="20" t="str">
        <f>IFERROR(__xludf.DUMMYFUNCTION("""COMPUTED_VALUE"""),"Uncle Sams Cider (04/04/2023)")</f>
        <v>Uncle Sams Cider (04/04/2023)</v>
      </c>
      <c r="H3293" s="19"/>
    </row>
    <row r="3294">
      <c r="A3294" s="9"/>
      <c r="B3294" s="15"/>
      <c r="C3294" s="9">
        <f>IFERROR(__xludf.DUMMYFUNCTION("""COMPUTED_VALUE"""),45110.1122925347)</f>
        <v>45110.11229</v>
      </c>
      <c r="D3294" s="15">
        <f>IFERROR(__xludf.DUMMYFUNCTION("""COMPUTED_VALUE"""),0.999)</f>
        <v>0.999</v>
      </c>
      <c r="E3294" s="16">
        <f>IFERROR(__xludf.DUMMYFUNCTION("""COMPUTED_VALUE"""),70.0)</f>
        <v>70</v>
      </c>
      <c r="F3294" s="19" t="str">
        <f>IFERROR(__xludf.DUMMYFUNCTION("""COMPUTED_VALUE"""),"BLUE")</f>
        <v>BLUE</v>
      </c>
      <c r="G3294" s="20" t="str">
        <f>IFERROR(__xludf.DUMMYFUNCTION("""COMPUTED_VALUE"""),"Uncle Sams Cider (04/04/2023)")</f>
        <v>Uncle Sams Cider (04/04/2023)</v>
      </c>
      <c r="H3294" s="19"/>
    </row>
    <row r="3295">
      <c r="A3295" s="9"/>
      <c r="B3295" s="15"/>
      <c r="C3295" s="9">
        <f>IFERROR(__xludf.DUMMYFUNCTION("""COMPUTED_VALUE"""),45110.1018714351)</f>
        <v>45110.10187</v>
      </c>
      <c r="D3295" s="15">
        <f>IFERROR(__xludf.DUMMYFUNCTION("""COMPUTED_VALUE"""),1.0)</f>
        <v>1</v>
      </c>
      <c r="E3295" s="16">
        <f>IFERROR(__xludf.DUMMYFUNCTION("""COMPUTED_VALUE"""),70.0)</f>
        <v>70</v>
      </c>
      <c r="F3295" s="19" t="str">
        <f>IFERROR(__xludf.DUMMYFUNCTION("""COMPUTED_VALUE"""),"BLUE")</f>
        <v>BLUE</v>
      </c>
      <c r="G3295" s="20" t="str">
        <f>IFERROR(__xludf.DUMMYFUNCTION("""COMPUTED_VALUE"""),"Uncle Sams Cider (04/04/2023)")</f>
        <v>Uncle Sams Cider (04/04/2023)</v>
      </c>
      <c r="H3295" s="19"/>
    </row>
    <row r="3296">
      <c r="A3296" s="9"/>
      <c r="B3296" s="15"/>
      <c r="C3296" s="9">
        <f>IFERROR(__xludf.DUMMYFUNCTION("""COMPUTED_VALUE"""),45110.091428287)</f>
        <v>45110.09143</v>
      </c>
      <c r="D3296" s="15">
        <f>IFERROR(__xludf.DUMMYFUNCTION("""COMPUTED_VALUE"""),0.999)</f>
        <v>0.999</v>
      </c>
      <c r="E3296" s="16">
        <f>IFERROR(__xludf.DUMMYFUNCTION("""COMPUTED_VALUE"""),70.0)</f>
        <v>70</v>
      </c>
      <c r="F3296" s="19" t="str">
        <f>IFERROR(__xludf.DUMMYFUNCTION("""COMPUTED_VALUE"""),"BLUE")</f>
        <v>BLUE</v>
      </c>
      <c r="G3296" s="20" t="str">
        <f>IFERROR(__xludf.DUMMYFUNCTION("""COMPUTED_VALUE"""),"Uncle Sams Cider (04/04/2023)")</f>
        <v>Uncle Sams Cider (04/04/2023)</v>
      </c>
      <c r="H3296" s="19"/>
    </row>
    <row r="3297">
      <c r="A3297" s="9"/>
      <c r="B3297" s="15"/>
      <c r="C3297" s="9">
        <f>IFERROR(__xludf.DUMMYFUNCTION("""COMPUTED_VALUE"""),45110.0810075347)</f>
        <v>45110.08101</v>
      </c>
      <c r="D3297" s="15">
        <f>IFERROR(__xludf.DUMMYFUNCTION("""COMPUTED_VALUE"""),0.999)</f>
        <v>0.999</v>
      </c>
      <c r="E3297" s="16">
        <f>IFERROR(__xludf.DUMMYFUNCTION("""COMPUTED_VALUE"""),70.0)</f>
        <v>70</v>
      </c>
      <c r="F3297" s="19" t="str">
        <f>IFERROR(__xludf.DUMMYFUNCTION("""COMPUTED_VALUE"""),"BLUE")</f>
        <v>BLUE</v>
      </c>
      <c r="G3297" s="20" t="str">
        <f>IFERROR(__xludf.DUMMYFUNCTION("""COMPUTED_VALUE"""),"Uncle Sams Cider (04/04/2023)")</f>
        <v>Uncle Sams Cider (04/04/2023)</v>
      </c>
      <c r="H3297" s="19"/>
    </row>
    <row r="3298">
      <c r="A3298" s="9"/>
      <c r="B3298" s="15"/>
      <c r="C3298" s="9">
        <f>IFERROR(__xludf.DUMMYFUNCTION("""COMPUTED_VALUE"""),45110.0705859838)</f>
        <v>45110.07059</v>
      </c>
      <c r="D3298" s="15">
        <f>IFERROR(__xludf.DUMMYFUNCTION("""COMPUTED_VALUE"""),0.999)</f>
        <v>0.999</v>
      </c>
      <c r="E3298" s="16">
        <f>IFERROR(__xludf.DUMMYFUNCTION("""COMPUTED_VALUE"""),70.0)</f>
        <v>70</v>
      </c>
      <c r="F3298" s="19" t="str">
        <f>IFERROR(__xludf.DUMMYFUNCTION("""COMPUTED_VALUE"""),"BLUE")</f>
        <v>BLUE</v>
      </c>
      <c r="G3298" s="20" t="str">
        <f>IFERROR(__xludf.DUMMYFUNCTION("""COMPUTED_VALUE"""),"Uncle Sams Cider (04/04/2023)")</f>
        <v>Uncle Sams Cider (04/04/2023)</v>
      </c>
      <c r="H3298" s="19"/>
    </row>
    <row r="3299">
      <c r="A3299" s="9"/>
      <c r="B3299" s="15"/>
      <c r="C3299" s="9">
        <f>IFERROR(__xludf.DUMMYFUNCTION("""COMPUTED_VALUE"""),45110.0601632407)</f>
        <v>45110.06016</v>
      </c>
      <c r="D3299" s="15">
        <f>IFERROR(__xludf.DUMMYFUNCTION("""COMPUTED_VALUE"""),1.0)</f>
        <v>1</v>
      </c>
      <c r="E3299" s="16">
        <f>IFERROR(__xludf.DUMMYFUNCTION("""COMPUTED_VALUE"""),70.0)</f>
        <v>70</v>
      </c>
      <c r="F3299" s="19" t="str">
        <f>IFERROR(__xludf.DUMMYFUNCTION("""COMPUTED_VALUE"""),"BLUE")</f>
        <v>BLUE</v>
      </c>
      <c r="G3299" s="20" t="str">
        <f>IFERROR(__xludf.DUMMYFUNCTION("""COMPUTED_VALUE"""),"Uncle Sams Cider (04/04/2023)")</f>
        <v>Uncle Sams Cider (04/04/2023)</v>
      </c>
      <c r="H3299" s="19"/>
    </row>
    <row r="3300">
      <c r="A3300" s="9"/>
      <c r="B3300" s="15"/>
      <c r="C3300" s="9">
        <f>IFERROR(__xludf.DUMMYFUNCTION("""COMPUTED_VALUE"""),45110.0497427199)</f>
        <v>45110.04974</v>
      </c>
      <c r="D3300" s="15">
        <f>IFERROR(__xludf.DUMMYFUNCTION("""COMPUTED_VALUE"""),1.0)</f>
        <v>1</v>
      </c>
      <c r="E3300" s="16">
        <f>IFERROR(__xludf.DUMMYFUNCTION("""COMPUTED_VALUE"""),70.0)</f>
        <v>70</v>
      </c>
      <c r="F3300" s="19" t="str">
        <f>IFERROR(__xludf.DUMMYFUNCTION("""COMPUTED_VALUE"""),"BLUE")</f>
        <v>BLUE</v>
      </c>
      <c r="G3300" s="20" t="str">
        <f>IFERROR(__xludf.DUMMYFUNCTION("""COMPUTED_VALUE"""),"Uncle Sams Cider (04/04/2023)")</f>
        <v>Uncle Sams Cider (04/04/2023)</v>
      </c>
      <c r="H3300" s="19"/>
    </row>
    <row r="3301">
      <c r="A3301" s="9"/>
      <c r="B3301" s="15"/>
      <c r="C3301" s="9">
        <f>IFERROR(__xludf.DUMMYFUNCTION("""COMPUTED_VALUE"""),45110.0393123611)</f>
        <v>45110.03931</v>
      </c>
      <c r="D3301" s="15">
        <f>IFERROR(__xludf.DUMMYFUNCTION("""COMPUTED_VALUE"""),1.0)</f>
        <v>1</v>
      </c>
      <c r="E3301" s="16">
        <f>IFERROR(__xludf.DUMMYFUNCTION("""COMPUTED_VALUE"""),70.0)</f>
        <v>70</v>
      </c>
      <c r="F3301" s="19" t="str">
        <f>IFERROR(__xludf.DUMMYFUNCTION("""COMPUTED_VALUE"""),"BLUE")</f>
        <v>BLUE</v>
      </c>
      <c r="G3301" s="20" t="str">
        <f>IFERROR(__xludf.DUMMYFUNCTION("""COMPUTED_VALUE"""),"Uncle Sams Cider (04/04/2023)")</f>
        <v>Uncle Sams Cider (04/04/2023)</v>
      </c>
      <c r="H3301" s="19"/>
    </row>
    <row r="3302">
      <c r="A3302" s="9"/>
      <c r="B3302" s="15"/>
      <c r="C3302" s="9">
        <f>IFERROR(__xludf.DUMMYFUNCTION("""COMPUTED_VALUE"""),45110.028891956)</f>
        <v>45110.02889</v>
      </c>
      <c r="D3302" s="15">
        <f>IFERROR(__xludf.DUMMYFUNCTION("""COMPUTED_VALUE"""),1.0)</f>
        <v>1</v>
      </c>
      <c r="E3302" s="16">
        <f>IFERROR(__xludf.DUMMYFUNCTION("""COMPUTED_VALUE"""),70.0)</f>
        <v>70</v>
      </c>
      <c r="F3302" s="19" t="str">
        <f>IFERROR(__xludf.DUMMYFUNCTION("""COMPUTED_VALUE"""),"BLUE")</f>
        <v>BLUE</v>
      </c>
      <c r="G3302" s="20" t="str">
        <f>IFERROR(__xludf.DUMMYFUNCTION("""COMPUTED_VALUE"""),"Uncle Sams Cider (04/04/2023)")</f>
        <v>Uncle Sams Cider (04/04/2023)</v>
      </c>
      <c r="H3302" s="19"/>
    </row>
    <row r="3303">
      <c r="A3303" s="9"/>
      <c r="B3303" s="15"/>
      <c r="C3303" s="9">
        <f>IFERROR(__xludf.DUMMYFUNCTION("""COMPUTED_VALUE"""),45110.0184707407)</f>
        <v>45110.01847</v>
      </c>
      <c r="D3303" s="15">
        <f>IFERROR(__xludf.DUMMYFUNCTION("""COMPUTED_VALUE"""),0.999)</f>
        <v>0.999</v>
      </c>
      <c r="E3303" s="16">
        <f>IFERROR(__xludf.DUMMYFUNCTION("""COMPUTED_VALUE"""),70.0)</f>
        <v>70</v>
      </c>
      <c r="F3303" s="19" t="str">
        <f>IFERROR(__xludf.DUMMYFUNCTION("""COMPUTED_VALUE"""),"BLUE")</f>
        <v>BLUE</v>
      </c>
      <c r="G3303" s="20" t="str">
        <f>IFERROR(__xludf.DUMMYFUNCTION("""COMPUTED_VALUE"""),"Uncle Sams Cider (04/04/2023)")</f>
        <v>Uncle Sams Cider (04/04/2023)</v>
      </c>
      <c r="H3303" s="19"/>
    </row>
    <row r="3304">
      <c r="A3304" s="9"/>
      <c r="B3304" s="15"/>
      <c r="C3304" s="9">
        <f>IFERROR(__xludf.DUMMYFUNCTION("""COMPUTED_VALUE"""),45110.0080487268)</f>
        <v>45110.00805</v>
      </c>
      <c r="D3304" s="15">
        <f>IFERROR(__xludf.DUMMYFUNCTION("""COMPUTED_VALUE"""),1.0)</f>
        <v>1</v>
      </c>
      <c r="E3304" s="16">
        <f>IFERROR(__xludf.DUMMYFUNCTION("""COMPUTED_VALUE"""),70.0)</f>
        <v>70</v>
      </c>
      <c r="F3304" s="19" t="str">
        <f>IFERROR(__xludf.DUMMYFUNCTION("""COMPUTED_VALUE"""),"BLUE")</f>
        <v>BLUE</v>
      </c>
      <c r="G3304" s="20" t="str">
        <f>IFERROR(__xludf.DUMMYFUNCTION("""COMPUTED_VALUE"""),"Uncle Sams Cider (04/04/2023)")</f>
        <v>Uncle Sams Cider (04/04/2023)</v>
      </c>
      <c r="H3304" s="19"/>
    </row>
    <row r="3305">
      <c r="A3305" s="9"/>
      <c r="B3305" s="15"/>
      <c r="C3305" s="9">
        <f>IFERROR(__xludf.DUMMYFUNCTION("""COMPUTED_VALUE"""),45109.9976287615)</f>
        <v>45109.99763</v>
      </c>
      <c r="D3305" s="15">
        <f>IFERROR(__xludf.DUMMYFUNCTION("""COMPUTED_VALUE"""),1.0)</f>
        <v>1</v>
      </c>
      <c r="E3305" s="16">
        <f>IFERROR(__xludf.DUMMYFUNCTION("""COMPUTED_VALUE"""),70.0)</f>
        <v>70</v>
      </c>
      <c r="F3305" s="19" t="str">
        <f>IFERROR(__xludf.DUMMYFUNCTION("""COMPUTED_VALUE"""),"BLUE")</f>
        <v>BLUE</v>
      </c>
      <c r="G3305" s="20" t="str">
        <f>IFERROR(__xludf.DUMMYFUNCTION("""COMPUTED_VALUE"""),"Uncle Sams Cider (04/04/2023)")</f>
        <v>Uncle Sams Cider (04/04/2023)</v>
      </c>
      <c r="H3305" s="19"/>
    </row>
    <row r="3306">
      <c r="A3306" s="9"/>
      <c r="B3306" s="15"/>
      <c r="C3306" s="9">
        <f>IFERROR(__xludf.DUMMYFUNCTION("""COMPUTED_VALUE"""),45109.9871966088)</f>
        <v>45109.9872</v>
      </c>
      <c r="D3306" s="15">
        <f>IFERROR(__xludf.DUMMYFUNCTION("""COMPUTED_VALUE"""),0.999)</f>
        <v>0.999</v>
      </c>
      <c r="E3306" s="16">
        <f>IFERROR(__xludf.DUMMYFUNCTION("""COMPUTED_VALUE"""),70.0)</f>
        <v>70</v>
      </c>
      <c r="F3306" s="19" t="str">
        <f>IFERROR(__xludf.DUMMYFUNCTION("""COMPUTED_VALUE"""),"BLUE")</f>
        <v>BLUE</v>
      </c>
      <c r="G3306" s="20" t="str">
        <f>IFERROR(__xludf.DUMMYFUNCTION("""COMPUTED_VALUE"""),"Uncle Sams Cider (04/04/2023)")</f>
        <v>Uncle Sams Cider (04/04/2023)</v>
      </c>
      <c r="H3306" s="19"/>
    </row>
    <row r="3307">
      <c r="A3307" s="9"/>
      <c r="B3307" s="15"/>
      <c r="C3307" s="9">
        <f>IFERROR(__xludf.DUMMYFUNCTION("""COMPUTED_VALUE"""),45109.976774537)</f>
        <v>45109.97677</v>
      </c>
      <c r="D3307" s="15">
        <f>IFERROR(__xludf.DUMMYFUNCTION("""COMPUTED_VALUE"""),1.0)</f>
        <v>1</v>
      </c>
      <c r="E3307" s="16">
        <f>IFERROR(__xludf.DUMMYFUNCTION("""COMPUTED_VALUE"""),70.0)</f>
        <v>70</v>
      </c>
      <c r="F3307" s="19" t="str">
        <f>IFERROR(__xludf.DUMMYFUNCTION("""COMPUTED_VALUE"""),"BLUE")</f>
        <v>BLUE</v>
      </c>
      <c r="G3307" s="20" t="str">
        <f>IFERROR(__xludf.DUMMYFUNCTION("""COMPUTED_VALUE"""),"Uncle Sams Cider (04/04/2023)")</f>
        <v>Uncle Sams Cider (04/04/2023)</v>
      </c>
      <c r="H3307" s="19"/>
    </row>
    <row r="3308">
      <c r="A3308" s="9"/>
      <c r="B3308" s="15"/>
      <c r="C3308" s="9">
        <f>IFERROR(__xludf.DUMMYFUNCTION("""COMPUTED_VALUE"""),45109.9663527199)</f>
        <v>45109.96635</v>
      </c>
      <c r="D3308" s="15">
        <f>IFERROR(__xludf.DUMMYFUNCTION("""COMPUTED_VALUE"""),0.999)</f>
        <v>0.999</v>
      </c>
      <c r="E3308" s="16">
        <f>IFERROR(__xludf.DUMMYFUNCTION("""COMPUTED_VALUE"""),70.0)</f>
        <v>70</v>
      </c>
      <c r="F3308" s="19" t="str">
        <f>IFERROR(__xludf.DUMMYFUNCTION("""COMPUTED_VALUE"""),"BLUE")</f>
        <v>BLUE</v>
      </c>
      <c r="G3308" s="20" t="str">
        <f>IFERROR(__xludf.DUMMYFUNCTION("""COMPUTED_VALUE"""),"Uncle Sams Cider (04/04/2023)")</f>
        <v>Uncle Sams Cider (04/04/2023)</v>
      </c>
      <c r="H3308" s="19"/>
    </row>
    <row r="3309">
      <c r="A3309" s="9"/>
      <c r="B3309" s="15"/>
      <c r="C3309" s="9">
        <f>IFERROR(__xludf.DUMMYFUNCTION("""COMPUTED_VALUE"""),45109.955933449)</f>
        <v>45109.95593</v>
      </c>
      <c r="D3309" s="15">
        <f>IFERROR(__xludf.DUMMYFUNCTION("""COMPUTED_VALUE"""),1.0)</f>
        <v>1</v>
      </c>
      <c r="E3309" s="16">
        <f>IFERROR(__xludf.DUMMYFUNCTION("""COMPUTED_VALUE"""),70.0)</f>
        <v>70</v>
      </c>
      <c r="F3309" s="19" t="str">
        <f>IFERROR(__xludf.DUMMYFUNCTION("""COMPUTED_VALUE"""),"BLUE")</f>
        <v>BLUE</v>
      </c>
      <c r="G3309" s="20" t="str">
        <f>IFERROR(__xludf.DUMMYFUNCTION("""COMPUTED_VALUE"""),"Uncle Sams Cider (04/04/2023)")</f>
        <v>Uncle Sams Cider (04/04/2023)</v>
      </c>
      <c r="H3309" s="19"/>
    </row>
    <row r="3310">
      <c r="A3310" s="9"/>
      <c r="B3310" s="15"/>
      <c r="C3310" s="9">
        <f>IFERROR(__xludf.DUMMYFUNCTION("""COMPUTED_VALUE"""),45109.9455122106)</f>
        <v>45109.94551</v>
      </c>
      <c r="D3310" s="15">
        <f>IFERROR(__xludf.DUMMYFUNCTION("""COMPUTED_VALUE"""),0.999)</f>
        <v>0.999</v>
      </c>
      <c r="E3310" s="16">
        <f>IFERROR(__xludf.DUMMYFUNCTION("""COMPUTED_VALUE"""),70.0)</f>
        <v>70</v>
      </c>
      <c r="F3310" s="19" t="str">
        <f>IFERROR(__xludf.DUMMYFUNCTION("""COMPUTED_VALUE"""),"BLUE")</f>
        <v>BLUE</v>
      </c>
      <c r="G3310" s="20" t="str">
        <f>IFERROR(__xludf.DUMMYFUNCTION("""COMPUTED_VALUE"""),"Uncle Sams Cider (04/04/2023)")</f>
        <v>Uncle Sams Cider (04/04/2023)</v>
      </c>
      <c r="H3310" s="19"/>
    </row>
    <row r="3311">
      <c r="A3311" s="9"/>
      <c r="B3311" s="15"/>
      <c r="C3311" s="9">
        <f>IFERROR(__xludf.DUMMYFUNCTION("""COMPUTED_VALUE"""),45109.9350911342)</f>
        <v>45109.93509</v>
      </c>
      <c r="D3311" s="15">
        <f>IFERROR(__xludf.DUMMYFUNCTION("""COMPUTED_VALUE"""),0.999)</f>
        <v>0.999</v>
      </c>
      <c r="E3311" s="16">
        <f>IFERROR(__xludf.DUMMYFUNCTION("""COMPUTED_VALUE"""),70.0)</f>
        <v>70</v>
      </c>
      <c r="F3311" s="19" t="str">
        <f>IFERROR(__xludf.DUMMYFUNCTION("""COMPUTED_VALUE"""),"BLUE")</f>
        <v>BLUE</v>
      </c>
      <c r="G3311" s="20" t="str">
        <f>IFERROR(__xludf.DUMMYFUNCTION("""COMPUTED_VALUE"""),"Uncle Sams Cider (04/04/2023)")</f>
        <v>Uncle Sams Cider (04/04/2023)</v>
      </c>
      <c r="H3311" s="19"/>
    </row>
    <row r="3312">
      <c r="A3312" s="9"/>
      <c r="B3312" s="15"/>
      <c r="C3312" s="9">
        <f>IFERROR(__xludf.DUMMYFUNCTION("""COMPUTED_VALUE"""),45109.9246711111)</f>
        <v>45109.92467</v>
      </c>
      <c r="D3312" s="15">
        <f>IFERROR(__xludf.DUMMYFUNCTION("""COMPUTED_VALUE"""),1.0)</f>
        <v>1</v>
      </c>
      <c r="E3312" s="16">
        <f>IFERROR(__xludf.DUMMYFUNCTION("""COMPUTED_VALUE"""),70.0)</f>
        <v>70</v>
      </c>
      <c r="F3312" s="19" t="str">
        <f>IFERROR(__xludf.DUMMYFUNCTION("""COMPUTED_VALUE"""),"BLUE")</f>
        <v>BLUE</v>
      </c>
      <c r="G3312" s="20" t="str">
        <f>IFERROR(__xludf.DUMMYFUNCTION("""COMPUTED_VALUE"""),"Uncle Sams Cider (04/04/2023)")</f>
        <v>Uncle Sams Cider (04/04/2023)</v>
      </c>
      <c r="H3312" s="19"/>
    </row>
    <row r="3313">
      <c r="A3313" s="9"/>
      <c r="B3313" s="15"/>
      <c r="C3313" s="9">
        <f>IFERROR(__xludf.DUMMYFUNCTION("""COMPUTED_VALUE"""),45109.9142462963)</f>
        <v>45109.91425</v>
      </c>
      <c r="D3313" s="15">
        <f>IFERROR(__xludf.DUMMYFUNCTION("""COMPUTED_VALUE"""),0.999)</f>
        <v>0.999</v>
      </c>
      <c r="E3313" s="16">
        <f>IFERROR(__xludf.DUMMYFUNCTION("""COMPUTED_VALUE"""),70.0)</f>
        <v>70</v>
      </c>
      <c r="F3313" s="19" t="str">
        <f>IFERROR(__xludf.DUMMYFUNCTION("""COMPUTED_VALUE"""),"BLUE")</f>
        <v>BLUE</v>
      </c>
      <c r="G3313" s="20" t="str">
        <f>IFERROR(__xludf.DUMMYFUNCTION("""COMPUTED_VALUE"""),"Uncle Sams Cider (04/04/2023)")</f>
        <v>Uncle Sams Cider (04/04/2023)</v>
      </c>
      <c r="H3313" s="19"/>
    </row>
    <row r="3314">
      <c r="A3314" s="9"/>
      <c r="B3314" s="15"/>
      <c r="C3314" s="9">
        <f>IFERROR(__xludf.DUMMYFUNCTION("""COMPUTED_VALUE"""),45109.9038137731)</f>
        <v>45109.90381</v>
      </c>
      <c r="D3314" s="15">
        <f>IFERROR(__xludf.DUMMYFUNCTION("""COMPUTED_VALUE"""),0.999)</f>
        <v>0.999</v>
      </c>
      <c r="E3314" s="16">
        <f>IFERROR(__xludf.DUMMYFUNCTION("""COMPUTED_VALUE"""),70.0)</f>
        <v>70</v>
      </c>
      <c r="F3314" s="19" t="str">
        <f>IFERROR(__xludf.DUMMYFUNCTION("""COMPUTED_VALUE"""),"BLUE")</f>
        <v>BLUE</v>
      </c>
      <c r="G3314" s="20" t="str">
        <f>IFERROR(__xludf.DUMMYFUNCTION("""COMPUTED_VALUE"""),"Uncle Sams Cider (04/04/2023)")</f>
        <v>Uncle Sams Cider (04/04/2023)</v>
      </c>
      <c r="H3314" s="19"/>
    </row>
    <row r="3315">
      <c r="A3315" s="9"/>
      <c r="B3315" s="15"/>
      <c r="C3315" s="9">
        <f>IFERROR(__xludf.DUMMYFUNCTION("""COMPUTED_VALUE"""),45109.8933825115)</f>
        <v>45109.89338</v>
      </c>
      <c r="D3315" s="15">
        <f>IFERROR(__xludf.DUMMYFUNCTION("""COMPUTED_VALUE"""),0.999)</f>
        <v>0.999</v>
      </c>
      <c r="E3315" s="16">
        <f>IFERROR(__xludf.DUMMYFUNCTION("""COMPUTED_VALUE"""),70.0)</f>
        <v>70</v>
      </c>
      <c r="F3315" s="19" t="str">
        <f>IFERROR(__xludf.DUMMYFUNCTION("""COMPUTED_VALUE"""),"BLUE")</f>
        <v>BLUE</v>
      </c>
      <c r="G3315" s="20" t="str">
        <f>IFERROR(__xludf.DUMMYFUNCTION("""COMPUTED_VALUE"""),"Uncle Sams Cider (04/04/2023)")</f>
        <v>Uncle Sams Cider (04/04/2023)</v>
      </c>
      <c r="H3315" s="19"/>
    </row>
    <row r="3316">
      <c r="A3316" s="9"/>
      <c r="B3316" s="15"/>
      <c r="C3316" s="9">
        <f>IFERROR(__xludf.DUMMYFUNCTION("""COMPUTED_VALUE"""),45109.882939456)</f>
        <v>45109.88294</v>
      </c>
      <c r="D3316" s="15">
        <f>IFERROR(__xludf.DUMMYFUNCTION("""COMPUTED_VALUE"""),1.0)</f>
        <v>1</v>
      </c>
      <c r="E3316" s="16">
        <f>IFERROR(__xludf.DUMMYFUNCTION("""COMPUTED_VALUE"""),70.0)</f>
        <v>70</v>
      </c>
      <c r="F3316" s="19" t="str">
        <f>IFERROR(__xludf.DUMMYFUNCTION("""COMPUTED_VALUE"""),"BLUE")</f>
        <v>BLUE</v>
      </c>
      <c r="G3316" s="20" t="str">
        <f>IFERROR(__xludf.DUMMYFUNCTION("""COMPUTED_VALUE"""),"Uncle Sams Cider (04/04/2023)")</f>
        <v>Uncle Sams Cider (04/04/2023)</v>
      </c>
      <c r="H3316" s="19"/>
    </row>
    <row r="3317">
      <c r="A3317" s="9"/>
      <c r="B3317" s="15"/>
      <c r="C3317" s="9">
        <f>IFERROR(__xludf.DUMMYFUNCTION("""COMPUTED_VALUE"""),45109.8725075462)</f>
        <v>45109.87251</v>
      </c>
      <c r="D3317" s="15">
        <f>IFERROR(__xludf.DUMMYFUNCTION("""COMPUTED_VALUE"""),1.0)</f>
        <v>1</v>
      </c>
      <c r="E3317" s="16">
        <f>IFERROR(__xludf.DUMMYFUNCTION("""COMPUTED_VALUE"""),70.0)</f>
        <v>70</v>
      </c>
      <c r="F3317" s="19" t="str">
        <f>IFERROR(__xludf.DUMMYFUNCTION("""COMPUTED_VALUE"""),"BLUE")</f>
        <v>BLUE</v>
      </c>
      <c r="G3317" s="20" t="str">
        <f>IFERROR(__xludf.DUMMYFUNCTION("""COMPUTED_VALUE"""),"Uncle Sams Cider (04/04/2023)")</f>
        <v>Uncle Sams Cider (04/04/2023)</v>
      </c>
      <c r="H3317" s="19"/>
    </row>
    <row r="3318">
      <c r="A3318" s="9"/>
      <c r="B3318" s="15"/>
      <c r="C3318" s="9">
        <f>IFERROR(__xludf.DUMMYFUNCTION("""COMPUTED_VALUE"""),45109.8620747222)</f>
        <v>45109.86207</v>
      </c>
      <c r="D3318" s="15">
        <f>IFERROR(__xludf.DUMMYFUNCTION("""COMPUTED_VALUE"""),0.999)</f>
        <v>0.999</v>
      </c>
      <c r="E3318" s="16">
        <f>IFERROR(__xludf.DUMMYFUNCTION("""COMPUTED_VALUE"""),70.0)</f>
        <v>70</v>
      </c>
      <c r="F3318" s="19" t="str">
        <f>IFERROR(__xludf.DUMMYFUNCTION("""COMPUTED_VALUE"""),"BLUE")</f>
        <v>BLUE</v>
      </c>
      <c r="G3318" s="20" t="str">
        <f>IFERROR(__xludf.DUMMYFUNCTION("""COMPUTED_VALUE"""),"Uncle Sams Cider (04/04/2023)")</f>
        <v>Uncle Sams Cider (04/04/2023)</v>
      </c>
      <c r="H3318" s="19"/>
    </row>
    <row r="3319">
      <c r="A3319" s="9"/>
      <c r="B3319" s="15"/>
      <c r="C3319" s="9">
        <f>IFERROR(__xludf.DUMMYFUNCTION("""COMPUTED_VALUE"""),45109.8516543055)</f>
        <v>45109.85165</v>
      </c>
      <c r="D3319" s="15">
        <f>IFERROR(__xludf.DUMMYFUNCTION("""COMPUTED_VALUE"""),0.999)</f>
        <v>0.999</v>
      </c>
      <c r="E3319" s="16">
        <f>IFERROR(__xludf.DUMMYFUNCTION("""COMPUTED_VALUE"""),70.0)</f>
        <v>70</v>
      </c>
      <c r="F3319" s="19" t="str">
        <f>IFERROR(__xludf.DUMMYFUNCTION("""COMPUTED_VALUE"""),"BLUE")</f>
        <v>BLUE</v>
      </c>
      <c r="G3319" s="20" t="str">
        <f>IFERROR(__xludf.DUMMYFUNCTION("""COMPUTED_VALUE"""),"Uncle Sams Cider (04/04/2023)")</f>
        <v>Uncle Sams Cider (04/04/2023)</v>
      </c>
      <c r="H3319" s="19"/>
    </row>
    <row r="3320">
      <c r="A3320" s="9"/>
      <c r="B3320" s="15"/>
      <c r="C3320" s="9">
        <f>IFERROR(__xludf.DUMMYFUNCTION("""COMPUTED_VALUE"""),45109.8412328356)</f>
        <v>45109.84123</v>
      </c>
      <c r="D3320" s="15">
        <f>IFERROR(__xludf.DUMMYFUNCTION("""COMPUTED_VALUE"""),1.0)</f>
        <v>1</v>
      </c>
      <c r="E3320" s="16">
        <f>IFERROR(__xludf.DUMMYFUNCTION("""COMPUTED_VALUE"""),70.0)</f>
        <v>70</v>
      </c>
      <c r="F3320" s="19" t="str">
        <f>IFERROR(__xludf.DUMMYFUNCTION("""COMPUTED_VALUE"""),"BLUE")</f>
        <v>BLUE</v>
      </c>
      <c r="G3320" s="20" t="str">
        <f>IFERROR(__xludf.DUMMYFUNCTION("""COMPUTED_VALUE"""),"Uncle Sams Cider (04/04/2023)")</f>
        <v>Uncle Sams Cider (04/04/2023)</v>
      </c>
      <c r="H3320" s="19"/>
    </row>
    <row r="3321">
      <c r="A3321" s="9"/>
      <c r="B3321" s="15"/>
      <c r="C3321" s="9">
        <f>IFERROR(__xludf.DUMMYFUNCTION("""COMPUTED_VALUE"""),45109.8307995601)</f>
        <v>45109.8308</v>
      </c>
      <c r="D3321" s="15">
        <f>IFERROR(__xludf.DUMMYFUNCTION("""COMPUTED_VALUE"""),0.999)</f>
        <v>0.999</v>
      </c>
      <c r="E3321" s="16">
        <f>IFERROR(__xludf.DUMMYFUNCTION("""COMPUTED_VALUE"""),70.0)</f>
        <v>70</v>
      </c>
      <c r="F3321" s="19" t="str">
        <f>IFERROR(__xludf.DUMMYFUNCTION("""COMPUTED_VALUE"""),"BLUE")</f>
        <v>BLUE</v>
      </c>
      <c r="G3321" s="20" t="str">
        <f>IFERROR(__xludf.DUMMYFUNCTION("""COMPUTED_VALUE"""),"Uncle Sams Cider (04/04/2023)")</f>
        <v>Uncle Sams Cider (04/04/2023)</v>
      </c>
      <c r="H3321" s="19"/>
    </row>
    <row r="3322">
      <c r="A3322" s="9"/>
      <c r="B3322" s="15"/>
      <c r="C3322" s="9">
        <f>IFERROR(__xludf.DUMMYFUNCTION("""COMPUTED_VALUE"""),45109.8203771527)</f>
        <v>45109.82038</v>
      </c>
      <c r="D3322" s="15">
        <f>IFERROR(__xludf.DUMMYFUNCTION("""COMPUTED_VALUE"""),0.999)</f>
        <v>0.999</v>
      </c>
      <c r="E3322" s="16">
        <f>IFERROR(__xludf.DUMMYFUNCTION("""COMPUTED_VALUE"""),70.0)</f>
        <v>70</v>
      </c>
      <c r="F3322" s="19" t="str">
        <f>IFERROR(__xludf.DUMMYFUNCTION("""COMPUTED_VALUE"""),"BLUE")</f>
        <v>BLUE</v>
      </c>
      <c r="G3322" s="20" t="str">
        <f>IFERROR(__xludf.DUMMYFUNCTION("""COMPUTED_VALUE"""),"Uncle Sams Cider (04/04/2023)")</f>
        <v>Uncle Sams Cider (04/04/2023)</v>
      </c>
      <c r="H3322" s="19"/>
    </row>
    <row r="3323">
      <c r="A3323" s="9"/>
      <c r="B3323" s="15"/>
      <c r="C3323" s="9">
        <f>IFERROR(__xludf.DUMMYFUNCTION("""COMPUTED_VALUE"""),45109.8099556597)</f>
        <v>45109.80996</v>
      </c>
      <c r="D3323" s="15">
        <f>IFERROR(__xludf.DUMMYFUNCTION("""COMPUTED_VALUE"""),1.0)</f>
        <v>1</v>
      </c>
      <c r="E3323" s="16">
        <f>IFERROR(__xludf.DUMMYFUNCTION("""COMPUTED_VALUE"""),70.0)</f>
        <v>70</v>
      </c>
      <c r="F3323" s="19" t="str">
        <f>IFERROR(__xludf.DUMMYFUNCTION("""COMPUTED_VALUE"""),"BLUE")</f>
        <v>BLUE</v>
      </c>
      <c r="G3323" s="20" t="str">
        <f>IFERROR(__xludf.DUMMYFUNCTION("""COMPUTED_VALUE"""),"Uncle Sams Cider (04/04/2023)")</f>
        <v>Uncle Sams Cider (04/04/2023)</v>
      </c>
      <c r="H3323" s="19"/>
    </row>
    <row r="3324">
      <c r="A3324" s="9"/>
      <c r="B3324" s="15"/>
      <c r="C3324" s="9">
        <f>IFERROR(__xludf.DUMMYFUNCTION("""COMPUTED_VALUE"""),45109.7995348495)</f>
        <v>45109.79953</v>
      </c>
      <c r="D3324" s="15">
        <f>IFERROR(__xludf.DUMMYFUNCTION("""COMPUTED_VALUE"""),1.0)</f>
        <v>1</v>
      </c>
      <c r="E3324" s="16">
        <f>IFERROR(__xludf.DUMMYFUNCTION("""COMPUTED_VALUE"""),70.0)</f>
        <v>70</v>
      </c>
      <c r="F3324" s="19" t="str">
        <f>IFERROR(__xludf.DUMMYFUNCTION("""COMPUTED_VALUE"""),"BLUE")</f>
        <v>BLUE</v>
      </c>
      <c r="G3324" s="20" t="str">
        <f>IFERROR(__xludf.DUMMYFUNCTION("""COMPUTED_VALUE"""),"Uncle Sams Cider (04/04/2023)")</f>
        <v>Uncle Sams Cider (04/04/2023)</v>
      </c>
      <c r="H3324" s="19"/>
    </row>
    <row r="3325">
      <c r="A3325" s="9"/>
      <c r="B3325" s="15"/>
      <c r="C3325" s="9">
        <f>IFERROR(__xludf.DUMMYFUNCTION("""COMPUTED_VALUE"""),45109.789115324)</f>
        <v>45109.78912</v>
      </c>
      <c r="D3325" s="15">
        <f>IFERROR(__xludf.DUMMYFUNCTION("""COMPUTED_VALUE"""),0.999)</f>
        <v>0.999</v>
      </c>
      <c r="E3325" s="16">
        <f>IFERROR(__xludf.DUMMYFUNCTION("""COMPUTED_VALUE"""),70.0)</f>
        <v>70</v>
      </c>
      <c r="F3325" s="19" t="str">
        <f>IFERROR(__xludf.DUMMYFUNCTION("""COMPUTED_VALUE"""),"BLUE")</f>
        <v>BLUE</v>
      </c>
      <c r="G3325" s="20" t="str">
        <f>IFERROR(__xludf.DUMMYFUNCTION("""COMPUTED_VALUE"""),"Uncle Sams Cider (04/04/2023)")</f>
        <v>Uncle Sams Cider (04/04/2023)</v>
      </c>
      <c r="H3325" s="19"/>
    </row>
    <row r="3326">
      <c r="A3326" s="9"/>
      <c r="B3326" s="15"/>
      <c r="C3326" s="9">
        <f>IFERROR(__xludf.DUMMYFUNCTION("""COMPUTED_VALUE"""),45109.7786948611)</f>
        <v>45109.77869</v>
      </c>
      <c r="D3326" s="15">
        <f>IFERROR(__xludf.DUMMYFUNCTION("""COMPUTED_VALUE"""),1.0)</f>
        <v>1</v>
      </c>
      <c r="E3326" s="16">
        <f>IFERROR(__xludf.DUMMYFUNCTION("""COMPUTED_VALUE"""),70.0)</f>
        <v>70</v>
      </c>
      <c r="F3326" s="19" t="str">
        <f>IFERROR(__xludf.DUMMYFUNCTION("""COMPUTED_VALUE"""),"BLUE")</f>
        <v>BLUE</v>
      </c>
      <c r="G3326" s="20" t="str">
        <f>IFERROR(__xludf.DUMMYFUNCTION("""COMPUTED_VALUE"""),"Uncle Sams Cider (04/04/2023)")</f>
        <v>Uncle Sams Cider (04/04/2023)</v>
      </c>
      <c r="H3326" s="19"/>
    </row>
    <row r="3327">
      <c r="A3327" s="9"/>
      <c r="B3327" s="15"/>
      <c r="C3327" s="9">
        <f>IFERROR(__xludf.DUMMYFUNCTION("""COMPUTED_VALUE"""),45109.768273368)</f>
        <v>45109.76827</v>
      </c>
      <c r="D3327" s="15">
        <f>IFERROR(__xludf.DUMMYFUNCTION("""COMPUTED_VALUE"""),0.999)</f>
        <v>0.999</v>
      </c>
      <c r="E3327" s="16">
        <f>IFERROR(__xludf.DUMMYFUNCTION("""COMPUTED_VALUE"""),70.0)</f>
        <v>70</v>
      </c>
      <c r="F3327" s="19" t="str">
        <f>IFERROR(__xludf.DUMMYFUNCTION("""COMPUTED_VALUE"""),"BLUE")</f>
        <v>BLUE</v>
      </c>
      <c r="G3327" s="20" t="str">
        <f>IFERROR(__xludf.DUMMYFUNCTION("""COMPUTED_VALUE"""),"Uncle Sams Cider (04/04/2023)")</f>
        <v>Uncle Sams Cider (04/04/2023)</v>
      </c>
      <c r="H3327" s="19"/>
    </row>
    <row r="3328">
      <c r="A3328" s="9"/>
      <c r="B3328" s="15"/>
      <c r="C3328" s="9">
        <f>IFERROR(__xludf.DUMMYFUNCTION("""COMPUTED_VALUE"""),45109.7578525578)</f>
        <v>45109.75785</v>
      </c>
      <c r="D3328" s="15">
        <f>IFERROR(__xludf.DUMMYFUNCTION("""COMPUTED_VALUE"""),0.999)</f>
        <v>0.999</v>
      </c>
      <c r="E3328" s="16">
        <f>IFERROR(__xludf.DUMMYFUNCTION("""COMPUTED_VALUE"""),70.0)</f>
        <v>70</v>
      </c>
      <c r="F3328" s="19" t="str">
        <f>IFERROR(__xludf.DUMMYFUNCTION("""COMPUTED_VALUE"""),"BLUE")</f>
        <v>BLUE</v>
      </c>
      <c r="G3328" s="20" t="str">
        <f>IFERROR(__xludf.DUMMYFUNCTION("""COMPUTED_VALUE"""),"Uncle Sams Cider (04/04/2023)")</f>
        <v>Uncle Sams Cider (04/04/2023)</v>
      </c>
      <c r="H3328" s="19"/>
    </row>
    <row r="3329">
      <c r="A3329" s="9"/>
      <c r="B3329" s="15"/>
      <c r="C3329" s="9">
        <f>IFERROR(__xludf.DUMMYFUNCTION("""COMPUTED_VALUE"""),45109.7474317708)</f>
        <v>45109.74743</v>
      </c>
      <c r="D3329" s="15">
        <f>IFERROR(__xludf.DUMMYFUNCTION("""COMPUTED_VALUE"""),1.0)</f>
        <v>1</v>
      </c>
      <c r="E3329" s="16">
        <f>IFERROR(__xludf.DUMMYFUNCTION("""COMPUTED_VALUE"""),70.0)</f>
        <v>70</v>
      </c>
      <c r="F3329" s="19" t="str">
        <f>IFERROR(__xludf.DUMMYFUNCTION("""COMPUTED_VALUE"""),"BLUE")</f>
        <v>BLUE</v>
      </c>
      <c r="G3329" s="20" t="str">
        <f>IFERROR(__xludf.DUMMYFUNCTION("""COMPUTED_VALUE"""),"Uncle Sams Cider (04/04/2023)")</f>
        <v>Uncle Sams Cider (04/04/2023)</v>
      </c>
      <c r="H3329" s="19"/>
    </row>
    <row r="3330">
      <c r="A3330" s="9"/>
      <c r="B3330" s="15"/>
      <c r="C3330" s="9">
        <f>IFERROR(__xludf.DUMMYFUNCTION("""COMPUTED_VALUE"""),45109.7370094907)</f>
        <v>45109.73701</v>
      </c>
      <c r="D3330" s="15">
        <f>IFERROR(__xludf.DUMMYFUNCTION("""COMPUTED_VALUE"""),0.999)</f>
        <v>0.999</v>
      </c>
      <c r="E3330" s="16">
        <f>IFERROR(__xludf.DUMMYFUNCTION("""COMPUTED_VALUE"""),70.0)</f>
        <v>70</v>
      </c>
      <c r="F3330" s="19" t="str">
        <f>IFERROR(__xludf.DUMMYFUNCTION("""COMPUTED_VALUE"""),"BLUE")</f>
        <v>BLUE</v>
      </c>
      <c r="G3330" s="20" t="str">
        <f>IFERROR(__xludf.DUMMYFUNCTION("""COMPUTED_VALUE"""),"Uncle Sams Cider (04/04/2023)")</f>
        <v>Uncle Sams Cider (04/04/2023)</v>
      </c>
      <c r="H3330" s="19"/>
    </row>
    <row r="3331">
      <c r="A3331" s="9"/>
      <c r="B3331" s="15"/>
      <c r="C3331" s="9">
        <f>IFERROR(__xludf.DUMMYFUNCTION("""COMPUTED_VALUE"""),45109.7265749074)</f>
        <v>45109.72657</v>
      </c>
      <c r="D3331" s="15">
        <f>IFERROR(__xludf.DUMMYFUNCTION("""COMPUTED_VALUE"""),1.0)</f>
        <v>1</v>
      </c>
      <c r="E3331" s="16">
        <f>IFERROR(__xludf.DUMMYFUNCTION("""COMPUTED_VALUE"""),70.0)</f>
        <v>70</v>
      </c>
      <c r="F3331" s="19" t="str">
        <f>IFERROR(__xludf.DUMMYFUNCTION("""COMPUTED_VALUE"""),"BLUE")</f>
        <v>BLUE</v>
      </c>
      <c r="G3331" s="20" t="str">
        <f>IFERROR(__xludf.DUMMYFUNCTION("""COMPUTED_VALUE"""),"Uncle Sams Cider (04/04/2023)")</f>
        <v>Uncle Sams Cider (04/04/2023)</v>
      </c>
      <c r="H3331" s="19"/>
    </row>
    <row r="3332">
      <c r="A3332" s="9"/>
      <c r="B3332" s="15"/>
      <c r="C3332" s="9">
        <f>IFERROR(__xludf.DUMMYFUNCTION("""COMPUTED_VALUE"""),45109.7161543287)</f>
        <v>45109.71615</v>
      </c>
      <c r="D3332" s="15">
        <f>IFERROR(__xludf.DUMMYFUNCTION("""COMPUTED_VALUE"""),0.999)</f>
        <v>0.999</v>
      </c>
      <c r="E3332" s="16">
        <f>IFERROR(__xludf.DUMMYFUNCTION("""COMPUTED_VALUE"""),70.0)</f>
        <v>70</v>
      </c>
      <c r="F3332" s="19" t="str">
        <f>IFERROR(__xludf.DUMMYFUNCTION("""COMPUTED_VALUE"""),"BLUE")</f>
        <v>BLUE</v>
      </c>
      <c r="G3332" s="20" t="str">
        <f>IFERROR(__xludf.DUMMYFUNCTION("""COMPUTED_VALUE"""),"Uncle Sams Cider (04/04/2023)")</f>
        <v>Uncle Sams Cider (04/04/2023)</v>
      </c>
      <c r="H3332" s="19"/>
    </row>
    <row r="3333">
      <c r="A3333" s="9"/>
      <c r="B3333" s="15"/>
      <c r="C3333" s="9">
        <f>IFERROR(__xludf.DUMMYFUNCTION("""COMPUTED_VALUE"""),45109.705733287)</f>
        <v>45109.70573</v>
      </c>
      <c r="D3333" s="15">
        <f>IFERROR(__xludf.DUMMYFUNCTION("""COMPUTED_VALUE"""),1.0)</f>
        <v>1</v>
      </c>
      <c r="E3333" s="16">
        <f>IFERROR(__xludf.DUMMYFUNCTION("""COMPUTED_VALUE"""),70.0)</f>
        <v>70</v>
      </c>
      <c r="F3333" s="19" t="str">
        <f>IFERROR(__xludf.DUMMYFUNCTION("""COMPUTED_VALUE"""),"BLUE")</f>
        <v>BLUE</v>
      </c>
      <c r="G3333" s="20" t="str">
        <f>IFERROR(__xludf.DUMMYFUNCTION("""COMPUTED_VALUE"""),"Uncle Sams Cider (04/04/2023)")</f>
        <v>Uncle Sams Cider (04/04/2023)</v>
      </c>
      <c r="H3333" s="19"/>
    </row>
    <row r="3334">
      <c r="A3334" s="9"/>
      <c r="B3334" s="15"/>
      <c r="C3334" s="9">
        <f>IFERROR(__xludf.DUMMYFUNCTION("""COMPUTED_VALUE"""),45109.6953000231)</f>
        <v>45109.6953</v>
      </c>
      <c r="D3334" s="15">
        <f>IFERROR(__xludf.DUMMYFUNCTION("""COMPUTED_VALUE"""),1.0)</f>
        <v>1</v>
      </c>
      <c r="E3334" s="16">
        <f>IFERROR(__xludf.DUMMYFUNCTION("""COMPUTED_VALUE"""),70.0)</f>
        <v>70</v>
      </c>
      <c r="F3334" s="19" t="str">
        <f>IFERROR(__xludf.DUMMYFUNCTION("""COMPUTED_VALUE"""),"BLUE")</f>
        <v>BLUE</v>
      </c>
      <c r="G3334" s="20" t="str">
        <f>IFERROR(__xludf.DUMMYFUNCTION("""COMPUTED_VALUE"""),"Uncle Sams Cider (04/04/2023)")</f>
        <v>Uncle Sams Cider (04/04/2023)</v>
      </c>
      <c r="H3334" s="19"/>
    </row>
    <row r="3335">
      <c r="A3335" s="9"/>
      <c r="B3335" s="15"/>
      <c r="C3335" s="9">
        <f>IFERROR(__xludf.DUMMYFUNCTION("""COMPUTED_VALUE"""),45109.6848814467)</f>
        <v>45109.68488</v>
      </c>
      <c r="D3335" s="15">
        <f>IFERROR(__xludf.DUMMYFUNCTION("""COMPUTED_VALUE"""),0.999)</f>
        <v>0.999</v>
      </c>
      <c r="E3335" s="16">
        <f>IFERROR(__xludf.DUMMYFUNCTION("""COMPUTED_VALUE"""),70.0)</f>
        <v>70</v>
      </c>
      <c r="F3335" s="19" t="str">
        <f>IFERROR(__xludf.DUMMYFUNCTION("""COMPUTED_VALUE"""),"BLUE")</f>
        <v>BLUE</v>
      </c>
      <c r="G3335" s="20" t="str">
        <f>IFERROR(__xludf.DUMMYFUNCTION("""COMPUTED_VALUE"""),"Uncle Sams Cider (04/04/2023)")</f>
        <v>Uncle Sams Cider (04/04/2023)</v>
      </c>
      <c r="H3335" s="19"/>
    </row>
    <row r="3336">
      <c r="A3336" s="9"/>
      <c r="B3336" s="15"/>
      <c r="C3336" s="9">
        <f>IFERROR(__xludf.DUMMYFUNCTION("""COMPUTED_VALUE"""),45109.6744612268)</f>
        <v>45109.67446</v>
      </c>
      <c r="D3336" s="15">
        <f>IFERROR(__xludf.DUMMYFUNCTION("""COMPUTED_VALUE"""),1.0)</f>
        <v>1</v>
      </c>
      <c r="E3336" s="16">
        <f>IFERROR(__xludf.DUMMYFUNCTION("""COMPUTED_VALUE"""),70.0)</f>
        <v>70</v>
      </c>
      <c r="F3336" s="19" t="str">
        <f>IFERROR(__xludf.DUMMYFUNCTION("""COMPUTED_VALUE"""),"BLUE")</f>
        <v>BLUE</v>
      </c>
      <c r="G3336" s="20" t="str">
        <f>IFERROR(__xludf.DUMMYFUNCTION("""COMPUTED_VALUE"""),"Uncle Sams Cider (04/04/2023)")</f>
        <v>Uncle Sams Cider (04/04/2023)</v>
      </c>
      <c r="H3336" s="19"/>
    </row>
    <row r="3337">
      <c r="A3337" s="9"/>
      <c r="B3337" s="15"/>
      <c r="C3337" s="9">
        <f>IFERROR(__xludf.DUMMYFUNCTION("""COMPUTED_VALUE"""),45109.6640387615)</f>
        <v>45109.66404</v>
      </c>
      <c r="D3337" s="15">
        <f>IFERROR(__xludf.DUMMYFUNCTION("""COMPUTED_VALUE"""),1.0)</f>
        <v>1</v>
      </c>
      <c r="E3337" s="16">
        <f>IFERROR(__xludf.DUMMYFUNCTION("""COMPUTED_VALUE"""),70.0)</f>
        <v>70</v>
      </c>
      <c r="F3337" s="19" t="str">
        <f>IFERROR(__xludf.DUMMYFUNCTION("""COMPUTED_VALUE"""),"BLUE")</f>
        <v>BLUE</v>
      </c>
      <c r="G3337" s="20" t="str">
        <f>IFERROR(__xludf.DUMMYFUNCTION("""COMPUTED_VALUE"""),"Uncle Sams Cider (04/04/2023)")</f>
        <v>Uncle Sams Cider (04/04/2023)</v>
      </c>
      <c r="H3337" s="19"/>
    </row>
    <row r="3338">
      <c r="A3338" s="9"/>
      <c r="B3338" s="15"/>
      <c r="C3338" s="9">
        <f>IFERROR(__xludf.DUMMYFUNCTION("""COMPUTED_VALUE"""),45109.6536160416)</f>
        <v>45109.65362</v>
      </c>
      <c r="D3338" s="15">
        <f>IFERROR(__xludf.DUMMYFUNCTION("""COMPUTED_VALUE"""),0.999)</f>
        <v>0.999</v>
      </c>
      <c r="E3338" s="16">
        <f>IFERROR(__xludf.DUMMYFUNCTION("""COMPUTED_VALUE"""),70.0)</f>
        <v>70</v>
      </c>
      <c r="F3338" s="19" t="str">
        <f>IFERROR(__xludf.DUMMYFUNCTION("""COMPUTED_VALUE"""),"BLUE")</f>
        <v>BLUE</v>
      </c>
      <c r="G3338" s="20" t="str">
        <f>IFERROR(__xludf.DUMMYFUNCTION("""COMPUTED_VALUE"""),"Uncle Sams Cider (04/04/2023)")</f>
        <v>Uncle Sams Cider (04/04/2023)</v>
      </c>
      <c r="H3338" s="19"/>
    </row>
    <row r="3339">
      <c r="A3339" s="9"/>
      <c r="B3339" s="15"/>
      <c r="C3339" s="9">
        <f>IFERROR(__xludf.DUMMYFUNCTION("""COMPUTED_VALUE"""),45109.6431956828)</f>
        <v>45109.6432</v>
      </c>
      <c r="D3339" s="15">
        <f>IFERROR(__xludf.DUMMYFUNCTION("""COMPUTED_VALUE"""),0.999)</f>
        <v>0.999</v>
      </c>
      <c r="E3339" s="16">
        <f>IFERROR(__xludf.DUMMYFUNCTION("""COMPUTED_VALUE"""),70.0)</f>
        <v>70</v>
      </c>
      <c r="F3339" s="19" t="str">
        <f>IFERROR(__xludf.DUMMYFUNCTION("""COMPUTED_VALUE"""),"BLUE")</f>
        <v>BLUE</v>
      </c>
      <c r="G3339" s="20" t="str">
        <f>IFERROR(__xludf.DUMMYFUNCTION("""COMPUTED_VALUE"""),"Uncle Sams Cider (04/04/2023)")</f>
        <v>Uncle Sams Cider (04/04/2023)</v>
      </c>
      <c r="H3339" s="19"/>
    </row>
    <row r="3340">
      <c r="A3340" s="9"/>
      <c r="B3340" s="15"/>
      <c r="C3340" s="9">
        <f>IFERROR(__xludf.DUMMYFUNCTION("""COMPUTED_VALUE"""),45109.6327755208)</f>
        <v>45109.63278</v>
      </c>
      <c r="D3340" s="15">
        <f>IFERROR(__xludf.DUMMYFUNCTION("""COMPUTED_VALUE"""),0.999)</f>
        <v>0.999</v>
      </c>
      <c r="E3340" s="16">
        <f>IFERROR(__xludf.DUMMYFUNCTION("""COMPUTED_VALUE"""),70.0)</f>
        <v>70</v>
      </c>
      <c r="F3340" s="19" t="str">
        <f>IFERROR(__xludf.DUMMYFUNCTION("""COMPUTED_VALUE"""),"BLUE")</f>
        <v>BLUE</v>
      </c>
      <c r="G3340" s="20" t="str">
        <f>IFERROR(__xludf.DUMMYFUNCTION("""COMPUTED_VALUE"""),"Uncle Sams Cider (04/04/2023)")</f>
        <v>Uncle Sams Cider (04/04/2023)</v>
      </c>
      <c r="H3340" s="19"/>
    </row>
    <row r="3341">
      <c r="A3341" s="9"/>
      <c r="B3341" s="15"/>
      <c r="C3341" s="9">
        <f>IFERROR(__xludf.DUMMYFUNCTION("""COMPUTED_VALUE"""),45109.6223537615)</f>
        <v>45109.62235</v>
      </c>
      <c r="D3341" s="15">
        <f>IFERROR(__xludf.DUMMYFUNCTION("""COMPUTED_VALUE"""),1.0)</f>
        <v>1</v>
      </c>
      <c r="E3341" s="16">
        <f>IFERROR(__xludf.DUMMYFUNCTION("""COMPUTED_VALUE"""),70.0)</f>
        <v>70</v>
      </c>
      <c r="F3341" s="19" t="str">
        <f>IFERROR(__xludf.DUMMYFUNCTION("""COMPUTED_VALUE"""),"BLUE")</f>
        <v>BLUE</v>
      </c>
      <c r="G3341" s="20" t="str">
        <f>IFERROR(__xludf.DUMMYFUNCTION("""COMPUTED_VALUE"""),"Uncle Sams Cider (04/04/2023)")</f>
        <v>Uncle Sams Cider (04/04/2023)</v>
      </c>
      <c r="H3341" s="19"/>
    </row>
    <row r="3342">
      <c r="A3342" s="9"/>
      <c r="B3342" s="15"/>
      <c r="C3342" s="9">
        <f>IFERROR(__xludf.DUMMYFUNCTION("""COMPUTED_VALUE"""),45109.6119329629)</f>
        <v>45109.61193</v>
      </c>
      <c r="D3342" s="15">
        <f>IFERROR(__xludf.DUMMYFUNCTION("""COMPUTED_VALUE"""),0.999)</f>
        <v>0.999</v>
      </c>
      <c r="E3342" s="16">
        <f>IFERROR(__xludf.DUMMYFUNCTION("""COMPUTED_VALUE"""),70.0)</f>
        <v>70</v>
      </c>
      <c r="F3342" s="19" t="str">
        <f>IFERROR(__xludf.DUMMYFUNCTION("""COMPUTED_VALUE"""),"BLUE")</f>
        <v>BLUE</v>
      </c>
      <c r="G3342" s="20" t="str">
        <f>IFERROR(__xludf.DUMMYFUNCTION("""COMPUTED_VALUE"""),"Uncle Sams Cider (04/04/2023)")</f>
        <v>Uncle Sams Cider (04/04/2023)</v>
      </c>
      <c r="H3342" s="19"/>
    </row>
    <row r="3343">
      <c r="A3343" s="9"/>
      <c r="B3343" s="15"/>
      <c r="C3343" s="9">
        <f>IFERROR(__xludf.DUMMYFUNCTION("""COMPUTED_VALUE"""),45109.601514074)</f>
        <v>45109.60151</v>
      </c>
      <c r="D3343" s="15">
        <f>IFERROR(__xludf.DUMMYFUNCTION("""COMPUTED_VALUE"""),0.999)</f>
        <v>0.999</v>
      </c>
      <c r="E3343" s="16">
        <f>IFERROR(__xludf.DUMMYFUNCTION("""COMPUTED_VALUE"""),70.0)</f>
        <v>70</v>
      </c>
      <c r="F3343" s="19" t="str">
        <f>IFERROR(__xludf.DUMMYFUNCTION("""COMPUTED_VALUE"""),"BLUE")</f>
        <v>BLUE</v>
      </c>
      <c r="G3343" s="20" t="str">
        <f>IFERROR(__xludf.DUMMYFUNCTION("""COMPUTED_VALUE"""),"Uncle Sams Cider (04/04/2023)")</f>
        <v>Uncle Sams Cider (04/04/2023)</v>
      </c>
      <c r="H3343" s="19"/>
    </row>
    <row r="3344">
      <c r="A3344" s="9"/>
      <c r="B3344" s="15"/>
      <c r="C3344" s="9">
        <f>IFERROR(__xludf.DUMMYFUNCTION("""COMPUTED_VALUE"""),45109.5910834375)</f>
        <v>45109.59108</v>
      </c>
      <c r="D3344" s="15">
        <f>IFERROR(__xludf.DUMMYFUNCTION("""COMPUTED_VALUE"""),1.0)</f>
        <v>1</v>
      </c>
      <c r="E3344" s="16">
        <f>IFERROR(__xludf.DUMMYFUNCTION("""COMPUTED_VALUE"""),70.0)</f>
        <v>70</v>
      </c>
      <c r="F3344" s="19" t="str">
        <f>IFERROR(__xludf.DUMMYFUNCTION("""COMPUTED_VALUE"""),"BLUE")</f>
        <v>BLUE</v>
      </c>
      <c r="G3344" s="20" t="str">
        <f>IFERROR(__xludf.DUMMYFUNCTION("""COMPUTED_VALUE"""),"Uncle Sams Cider (04/04/2023)")</f>
        <v>Uncle Sams Cider (04/04/2023)</v>
      </c>
      <c r="H3344" s="19"/>
    </row>
    <row r="3345">
      <c r="A3345" s="9"/>
      <c r="B3345" s="15"/>
      <c r="C3345" s="9">
        <f>IFERROR(__xludf.DUMMYFUNCTION("""COMPUTED_VALUE"""),45109.5806623842)</f>
        <v>45109.58066</v>
      </c>
      <c r="D3345" s="15">
        <f>IFERROR(__xludf.DUMMYFUNCTION("""COMPUTED_VALUE"""),1.0)</f>
        <v>1</v>
      </c>
      <c r="E3345" s="16">
        <f>IFERROR(__xludf.DUMMYFUNCTION("""COMPUTED_VALUE"""),70.0)</f>
        <v>70</v>
      </c>
      <c r="F3345" s="19" t="str">
        <f>IFERROR(__xludf.DUMMYFUNCTION("""COMPUTED_VALUE"""),"BLUE")</f>
        <v>BLUE</v>
      </c>
      <c r="G3345" s="20" t="str">
        <f>IFERROR(__xludf.DUMMYFUNCTION("""COMPUTED_VALUE"""),"Uncle Sams Cider (04/04/2023)")</f>
        <v>Uncle Sams Cider (04/04/2023)</v>
      </c>
      <c r="H3345" s="19"/>
    </row>
    <row r="3346">
      <c r="A3346" s="9"/>
      <c r="B3346" s="15"/>
      <c r="C3346" s="9">
        <f>IFERROR(__xludf.DUMMYFUNCTION("""COMPUTED_VALUE"""),45109.5702395717)</f>
        <v>45109.57024</v>
      </c>
      <c r="D3346" s="15">
        <f>IFERROR(__xludf.DUMMYFUNCTION("""COMPUTED_VALUE"""),0.999)</f>
        <v>0.999</v>
      </c>
      <c r="E3346" s="16">
        <f>IFERROR(__xludf.DUMMYFUNCTION("""COMPUTED_VALUE"""),70.0)</f>
        <v>70</v>
      </c>
      <c r="F3346" s="19" t="str">
        <f>IFERROR(__xludf.DUMMYFUNCTION("""COMPUTED_VALUE"""),"BLUE")</f>
        <v>BLUE</v>
      </c>
      <c r="G3346" s="20" t="str">
        <f>IFERROR(__xludf.DUMMYFUNCTION("""COMPUTED_VALUE"""),"Uncle Sams Cider (04/04/2023)")</f>
        <v>Uncle Sams Cider (04/04/2023)</v>
      </c>
      <c r="H3346" s="19"/>
    </row>
    <row r="3347">
      <c r="A3347" s="9"/>
      <c r="B3347" s="15"/>
      <c r="C3347" s="9">
        <f>IFERROR(__xludf.DUMMYFUNCTION("""COMPUTED_VALUE"""),45109.5598059838)</f>
        <v>45109.55981</v>
      </c>
      <c r="D3347" s="15">
        <f>IFERROR(__xludf.DUMMYFUNCTION("""COMPUTED_VALUE"""),1.0)</f>
        <v>1</v>
      </c>
      <c r="E3347" s="16">
        <f>IFERROR(__xludf.DUMMYFUNCTION("""COMPUTED_VALUE"""),70.0)</f>
        <v>70</v>
      </c>
      <c r="F3347" s="19" t="str">
        <f>IFERROR(__xludf.DUMMYFUNCTION("""COMPUTED_VALUE"""),"BLUE")</f>
        <v>BLUE</v>
      </c>
      <c r="G3347" s="20" t="str">
        <f>IFERROR(__xludf.DUMMYFUNCTION("""COMPUTED_VALUE"""),"Uncle Sams Cider (04/04/2023)")</f>
        <v>Uncle Sams Cider (04/04/2023)</v>
      </c>
      <c r="H3347" s="19"/>
    </row>
    <row r="3348">
      <c r="A3348" s="9"/>
      <c r="B3348" s="15"/>
      <c r="C3348" s="9">
        <f>IFERROR(__xludf.DUMMYFUNCTION("""COMPUTED_VALUE"""),45109.5493843981)</f>
        <v>45109.54938</v>
      </c>
      <c r="D3348" s="15">
        <f>IFERROR(__xludf.DUMMYFUNCTION("""COMPUTED_VALUE"""),0.999)</f>
        <v>0.999</v>
      </c>
      <c r="E3348" s="16">
        <f>IFERROR(__xludf.DUMMYFUNCTION("""COMPUTED_VALUE"""),70.0)</f>
        <v>70</v>
      </c>
      <c r="F3348" s="19" t="str">
        <f>IFERROR(__xludf.DUMMYFUNCTION("""COMPUTED_VALUE"""),"BLUE")</f>
        <v>BLUE</v>
      </c>
      <c r="G3348" s="20" t="str">
        <f>IFERROR(__xludf.DUMMYFUNCTION("""COMPUTED_VALUE"""),"Uncle Sams Cider (04/04/2023)")</f>
        <v>Uncle Sams Cider (04/04/2023)</v>
      </c>
      <c r="H3348" s="19"/>
    </row>
    <row r="3349">
      <c r="A3349" s="9"/>
      <c r="B3349" s="15"/>
      <c r="C3349" s="9">
        <f>IFERROR(__xludf.DUMMYFUNCTION("""COMPUTED_VALUE"""),45109.5389626736)</f>
        <v>45109.53896</v>
      </c>
      <c r="D3349" s="15">
        <f>IFERROR(__xludf.DUMMYFUNCTION("""COMPUTED_VALUE"""),0.999)</f>
        <v>0.999</v>
      </c>
      <c r="E3349" s="16">
        <f>IFERROR(__xludf.DUMMYFUNCTION("""COMPUTED_VALUE"""),70.0)</f>
        <v>70</v>
      </c>
      <c r="F3349" s="19" t="str">
        <f>IFERROR(__xludf.DUMMYFUNCTION("""COMPUTED_VALUE"""),"BLUE")</f>
        <v>BLUE</v>
      </c>
      <c r="G3349" s="20" t="str">
        <f>IFERROR(__xludf.DUMMYFUNCTION("""COMPUTED_VALUE"""),"Uncle Sams Cider (04/04/2023)")</f>
        <v>Uncle Sams Cider (04/04/2023)</v>
      </c>
      <c r="H3349" s="19"/>
    </row>
    <row r="3350">
      <c r="A3350" s="9"/>
      <c r="B3350" s="15"/>
      <c r="C3350" s="9">
        <f>IFERROR(__xludf.DUMMYFUNCTION("""COMPUTED_VALUE"""),45109.5285405092)</f>
        <v>45109.52854</v>
      </c>
      <c r="D3350" s="15">
        <f>IFERROR(__xludf.DUMMYFUNCTION("""COMPUTED_VALUE"""),1.0)</f>
        <v>1</v>
      </c>
      <c r="E3350" s="16">
        <f>IFERROR(__xludf.DUMMYFUNCTION("""COMPUTED_VALUE"""),70.0)</f>
        <v>70</v>
      </c>
      <c r="F3350" s="19" t="str">
        <f>IFERROR(__xludf.DUMMYFUNCTION("""COMPUTED_VALUE"""),"BLUE")</f>
        <v>BLUE</v>
      </c>
      <c r="G3350" s="20" t="str">
        <f>IFERROR(__xludf.DUMMYFUNCTION("""COMPUTED_VALUE"""),"Uncle Sams Cider (04/04/2023)")</f>
        <v>Uncle Sams Cider (04/04/2023)</v>
      </c>
      <c r="H3350" s="19"/>
    </row>
    <row r="3351">
      <c r="A3351" s="9"/>
      <c r="B3351" s="15"/>
      <c r="C3351" s="9">
        <f>IFERROR(__xludf.DUMMYFUNCTION("""COMPUTED_VALUE"""),45109.5181205902)</f>
        <v>45109.51812</v>
      </c>
      <c r="D3351" s="15">
        <f>IFERROR(__xludf.DUMMYFUNCTION("""COMPUTED_VALUE"""),1.0)</f>
        <v>1</v>
      </c>
      <c r="E3351" s="16">
        <f>IFERROR(__xludf.DUMMYFUNCTION("""COMPUTED_VALUE"""),70.0)</f>
        <v>70</v>
      </c>
      <c r="F3351" s="19" t="str">
        <f>IFERROR(__xludf.DUMMYFUNCTION("""COMPUTED_VALUE"""),"BLUE")</f>
        <v>BLUE</v>
      </c>
      <c r="G3351" s="20" t="str">
        <f>IFERROR(__xludf.DUMMYFUNCTION("""COMPUTED_VALUE"""),"Uncle Sams Cider (04/04/2023)")</f>
        <v>Uncle Sams Cider (04/04/2023)</v>
      </c>
      <c r="H3351" s="19"/>
    </row>
    <row r="3352">
      <c r="A3352" s="9"/>
      <c r="B3352" s="15"/>
      <c r="C3352" s="9">
        <f>IFERROR(__xludf.DUMMYFUNCTION("""COMPUTED_VALUE"""),45109.5077011574)</f>
        <v>45109.5077</v>
      </c>
      <c r="D3352" s="15">
        <f>IFERROR(__xludf.DUMMYFUNCTION("""COMPUTED_VALUE"""),0.999)</f>
        <v>0.999</v>
      </c>
      <c r="E3352" s="16">
        <f>IFERROR(__xludf.DUMMYFUNCTION("""COMPUTED_VALUE"""),70.0)</f>
        <v>70</v>
      </c>
      <c r="F3352" s="19" t="str">
        <f>IFERROR(__xludf.DUMMYFUNCTION("""COMPUTED_VALUE"""),"BLUE")</f>
        <v>BLUE</v>
      </c>
      <c r="G3352" s="20" t="str">
        <f>IFERROR(__xludf.DUMMYFUNCTION("""COMPUTED_VALUE"""),"Uncle Sams Cider (04/04/2023)")</f>
        <v>Uncle Sams Cider (04/04/2023)</v>
      </c>
      <c r="H3352" s="19"/>
    </row>
    <row r="3353">
      <c r="A3353" s="9"/>
      <c r="B3353" s="15"/>
      <c r="C3353" s="9">
        <f>IFERROR(__xludf.DUMMYFUNCTION("""COMPUTED_VALUE"""),45109.4972792361)</f>
        <v>45109.49728</v>
      </c>
      <c r="D3353" s="15">
        <f>IFERROR(__xludf.DUMMYFUNCTION("""COMPUTED_VALUE"""),1.0)</f>
        <v>1</v>
      </c>
      <c r="E3353" s="16">
        <f>IFERROR(__xludf.DUMMYFUNCTION("""COMPUTED_VALUE"""),70.0)</f>
        <v>70</v>
      </c>
      <c r="F3353" s="19" t="str">
        <f>IFERROR(__xludf.DUMMYFUNCTION("""COMPUTED_VALUE"""),"BLUE")</f>
        <v>BLUE</v>
      </c>
      <c r="G3353" s="20" t="str">
        <f>IFERROR(__xludf.DUMMYFUNCTION("""COMPUTED_VALUE"""),"Uncle Sams Cider (04/04/2023)")</f>
        <v>Uncle Sams Cider (04/04/2023)</v>
      </c>
      <c r="H3353" s="19"/>
    </row>
    <row r="3354">
      <c r="A3354" s="9"/>
      <c r="B3354" s="15"/>
      <c r="C3354" s="9">
        <f>IFERROR(__xludf.DUMMYFUNCTION("""COMPUTED_VALUE"""),45109.486858287)</f>
        <v>45109.48686</v>
      </c>
      <c r="D3354" s="15">
        <f>IFERROR(__xludf.DUMMYFUNCTION("""COMPUTED_VALUE"""),1.0)</f>
        <v>1</v>
      </c>
      <c r="E3354" s="16">
        <f>IFERROR(__xludf.DUMMYFUNCTION("""COMPUTED_VALUE"""),70.0)</f>
        <v>70</v>
      </c>
      <c r="F3354" s="19" t="str">
        <f>IFERROR(__xludf.DUMMYFUNCTION("""COMPUTED_VALUE"""),"BLUE")</f>
        <v>BLUE</v>
      </c>
      <c r="G3354" s="20" t="str">
        <f>IFERROR(__xludf.DUMMYFUNCTION("""COMPUTED_VALUE"""),"Uncle Sams Cider (04/04/2023)")</f>
        <v>Uncle Sams Cider (04/04/2023)</v>
      </c>
      <c r="H3354" s="19"/>
    </row>
    <row r="3355">
      <c r="A3355" s="9"/>
      <c r="B3355" s="15"/>
      <c r="C3355" s="9">
        <f>IFERROR(__xludf.DUMMYFUNCTION("""COMPUTED_VALUE"""),45109.4764369791)</f>
        <v>45109.47644</v>
      </c>
      <c r="D3355" s="15">
        <f>IFERROR(__xludf.DUMMYFUNCTION("""COMPUTED_VALUE"""),0.999)</f>
        <v>0.999</v>
      </c>
      <c r="E3355" s="16">
        <f>IFERROR(__xludf.DUMMYFUNCTION("""COMPUTED_VALUE"""),70.0)</f>
        <v>70</v>
      </c>
      <c r="F3355" s="19" t="str">
        <f>IFERROR(__xludf.DUMMYFUNCTION("""COMPUTED_VALUE"""),"BLUE")</f>
        <v>BLUE</v>
      </c>
      <c r="G3355" s="20" t="str">
        <f>IFERROR(__xludf.DUMMYFUNCTION("""COMPUTED_VALUE"""),"Uncle Sams Cider (04/04/2023)")</f>
        <v>Uncle Sams Cider (04/04/2023)</v>
      </c>
      <c r="H3355" s="19"/>
    </row>
    <row r="3356">
      <c r="A3356" s="9"/>
      <c r="B3356" s="15"/>
      <c r="C3356" s="9">
        <f>IFERROR(__xludf.DUMMYFUNCTION("""COMPUTED_VALUE"""),45109.4660172453)</f>
        <v>45109.46602</v>
      </c>
      <c r="D3356" s="15">
        <f>IFERROR(__xludf.DUMMYFUNCTION("""COMPUTED_VALUE"""),1.0)</f>
        <v>1</v>
      </c>
      <c r="E3356" s="16">
        <f>IFERROR(__xludf.DUMMYFUNCTION("""COMPUTED_VALUE"""),70.0)</f>
        <v>70</v>
      </c>
      <c r="F3356" s="19" t="str">
        <f>IFERROR(__xludf.DUMMYFUNCTION("""COMPUTED_VALUE"""),"BLUE")</f>
        <v>BLUE</v>
      </c>
      <c r="G3356" s="20" t="str">
        <f>IFERROR(__xludf.DUMMYFUNCTION("""COMPUTED_VALUE"""),"Uncle Sams Cider (04/04/2023)")</f>
        <v>Uncle Sams Cider (04/04/2023)</v>
      </c>
      <c r="H3356" s="19"/>
    </row>
    <row r="3357">
      <c r="A3357" s="9"/>
      <c r="B3357" s="15"/>
      <c r="C3357" s="9">
        <f>IFERROR(__xludf.DUMMYFUNCTION("""COMPUTED_VALUE"""),45109.455597037)</f>
        <v>45109.4556</v>
      </c>
      <c r="D3357" s="15">
        <f>IFERROR(__xludf.DUMMYFUNCTION("""COMPUTED_VALUE"""),1.0)</f>
        <v>1</v>
      </c>
      <c r="E3357" s="16">
        <f>IFERROR(__xludf.DUMMYFUNCTION("""COMPUTED_VALUE"""),70.0)</f>
        <v>70</v>
      </c>
      <c r="F3357" s="19" t="str">
        <f>IFERROR(__xludf.DUMMYFUNCTION("""COMPUTED_VALUE"""),"BLUE")</f>
        <v>BLUE</v>
      </c>
      <c r="G3357" s="20" t="str">
        <f>IFERROR(__xludf.DUMMYFUNCTION("""COMPUTED_VALUE"""),"Uncle Sams Cider (04/04/2023)")</f>
        <v>Uncle Sams Cider (04/04/2023)</v>
      </c>
      <c r="H3357" s="19"/>
    </row>
    <row r="3358">
      <c r="A3358" s="9"/>
      <c r="B3358" s="15"/>
      <c r="C3358" s="9">
        <f>IFERROR(__xludf.DUMMYFUNCTION("""COMPUTED_VALUE"""),45109.4451523379)</f>
        <v>45109.44515</v>
      </c>
      <c r="D3358" s="15">
        <f>IFERROR(__xludf.DUMMYFUNCTION("""COMPUTED_VALUE"""),0.999)</f>
        <v>0.999</v>
      </c>
      <c r="E3358" s="16">
        <f>IFERROR(__xludf.DUMMYFUNCTION("""COMPUTED_VALUE"""),70.0)</f>
        <v>70</v>
      </c>
      <c r="F3358" s="19" t="str">
        <f>IFERROR(__xludf.DUMMYFUNCTION("""COMPUTED_VALUE"""),"BLUE")</f>
        <v>BLUE</v>
      </c>
      <c r="G3358" s="20" t="str">
        <f>IFERROR(__xludf.DUMMYFUNCTION("""COMPUTED_VALUE"""),"Uncle Sams Cider (04/04/2023)")</f>
        <v>Uncle Sams Cider (04/04/2023)</v>
      </c>
      <c r="H3358" s="19"/>
    </row>
    <row r="3359">
      <c r="A3359" s="9"/>
      <c r="B3359" s="15"/>
      <c r="C3359" s="9">
        <f>IFERROR(__xludf.DUMMYFUNCTION("""COMPUTED_VALUE"""),45109.4347337731)</f>
        <v>45109.43473</v>
      </c>
      <c r="D3359" s="15">
        <f>IFERROR(__xludf.DUMMYFUNCTION("""COMPUTED_VALUE"""),1.0)</f>
        <v>1</v>
      </c>
      <c r="E3359" s="16">
        <f>IFERROR(__xludf.DUMMYFUNCTION("""COMPUTED_VALUE"""),70.0)</f>
        <v>70</v>
      </c>
      <c r="F3359" s="19" t="str">
        <f>IFERROR(__xludf.DUMMYFUNCTION("""COMPUTED_VALUE"""),"BLUE")</f>
        <v>BLUE</v>
      </c>
      <c r="G3359" s="20" t="str">
        <f>IFERROR(__xludf.DUMMYFUNCTION("""COMPUTED_VALUE"""),"Uncle Sams Cider (04/04/2023)")</f>
        <v>Uncle Sams Cider (04/04/2023)</v>
      </c>
      <c r="H3359" s="19"/>
    </row>
    <row r="3360">
      <c r="A3360" s="9"/>
      <c r="B3360" s="15"/>
      <c r="C3360" s="9">
        <f>IFERROR(__xludf.DUMMYFUNCTION("""COMPUTED_VALUE"""),45109.4243081597)</f>
        <v>45109.42431</v>
      </c>
      <c r="D3360" s="15">
        <f>IFERROR(__xludf.DUMMYFUNCTION("""COMPUTED_VALUE"""),0.999)</f>
        <v>0.999</v>
      </c>
      <c r="E3360" s="16">
        <f>IFERROR(__xludf.DUMMYFUNCTION("""COMPUTED_VALUE"""),70.0)</f>
        <v>70</v>
      </c>
      <c r="F3360" s="19" t="str">
        <f>IFERROR(__xludf.DUMMYFUNCTION("""COMPUTED_VALUE"""),"BLUE")</f>
        <v>BLUE</v>
      </c>
      <c r="G3360" s="20" t="str">
        <f>IFERROR(__xludf.DUMMYFUNCTION("""COMPUTED_VALUE"""),"Uncle Sams Cider (04/04/2023)")</f>
        <v>Uncle Sams Cider (04/04/2023)</v>
      </c>
      <c r="H3360" s="19"/>
    </row>
    <row r="3361">
      <c r="A3361" s="9"/>
      <c r="B3361" s="15"/>
      <c r="C3361" s="9">
        <f>IFERROR(__xludf.DUMMYFUNCTION("""COMPUTED_VALUE"""),45109.4138729629)</f>
        <v>45109.41387</v>
      </c>
      <c r="D3361" s="15">
        <f>IFERROR(__xludf.DUMMYFUNCTION("""COMPUTED_VALUE"""),0.999)</f>
        <v>0.999</v>
      </c>
      <c r="E3361" s="16">
        <f>IFERROR(__xludf.DUMMYFUNCTION("""COMPUTED_VALUE"""),70.0)</f>
        <v>70</v>
      </c>
      <c r="F3361" s="19" t="str">
        <f>IFERROR(__xludf.DUMMYFUNCTION("""COMPUTED_VALUE"""),"BLUE")</f>
        <v>BLUE</v>
      </c>
      <c r="G3361" s="20" t="str">
        <f>IFERROR(__xludf.DUMMYFUNCTION("""COMPUTED_VALUE"""),"Uncle Sams Cider (04/04/2023)")</f>
        <v>Uncle Sams Cider (04/04/2023)</v>
      </c>
      <c r="H3361" s="19"/>
    </row>
    <row r="3362">
      <c r="A3362" s="9"/>
      <c r="B3362" s="15"/>
      <c r="C3362" s="9">
        <f>IFERROR(__xludf.DUMMYFUNCTION("""COMPUTED_VALUE"""),45109.4034556828)</f>
        <v>45109.40346</v>
      </c>
      <c r="D3362" s="15">
        <f>IFERROR(__xludf.DUMMYFUNCTION("""COMPUTED_VALUE"""),0.999)</f>
        <v>0.999</v>
      </c>
      <c r="E3362" s="16">
        <f>IFERROR(__xludf.DUMMYFUNCTION("""COMPUTED_VALUE"""),70.0)</f>
        <v>70</v>
      </c>
      <c r="F3362" s="19" t="str">
        <f>IFERROR(__xludf.DUMMYFUNCTION("""COMPUTED_VALUE"""),"BLUE")</f>
        <v>BLUE</v>
      </c>
      <c r="G3362" s="20" t="str">
        <f>IFERROR(__xludf.DUMMYFUNCTION("""COMPUTED_VALUE"""),"Uncle Sams Cider (04/04/2023)")</f>
        <v>Uncle Sams Cider (04/04/2023)</v>
      </c>
      <c r="H3362" s="19"/>
    </row>
    <row r="3363">
      <c r="A3363" s="9"/>
      <c r="B3363" s="15"/>
      <c r="C3363" s="9">
        <f>IFERROR(__xludf.DUMMYFUNCTION("""COMPUTED_VALUE"""),45109.3930347916)</f>
        <v>45109.39303</v>
      </c>
      <c r="D3363" s="15">
        <f>IFERROR(__xludf.DUMMYFUNCTION("""COMPUTED_VALUE"""),1.0)</f>
        <v>1</v>
      </c>
      <c r="E3363" s="16">
        <f>IFERROR(__xludf.DUMMYFUNCTION("""COMPUTED_VALUE"""),70.0)</f>
        <v>70</v>
      </c>
      <c r="F3363" s="19" t="str">
        <f>IFERROR(__xludf.DUMMYFUNCTION("""COMPUTED_VALUE"""),"BLUE")</f>
        <v>BLUE</v>
      </c>
      <c r="G3363" s="20" t="str">
        <f>IFERROR(__xludf.DUMMYFUNCTION("""COMPUTED_VALUE"""),"Uncle Sams Cider (04/04/2023)")</f>
        <v>Uncle Sams Cider (04/04/2023)</v>
      </c>
      <c r="H3363" s="19"/>
    </row>
    <row r="3364">
      <c r="A3364" s="9"/>
      <c r="B3364" s="15"/>
      <c r="C3364" s="9">
        <f>IFERROR(__xludf.DUMMYFUNCTION("""COMPUTED_VALUE"""),45109.3826135069)</f>
        <v>45109.38261</v>
      </c>
      <c r="D3364" s="15">
        <f>IFERROR(__xludf.DUMMYFUNCTION("""COMPUTED_VALUE"""),1.0)</f>
        <v>1</v>
      </c>
      <c r="E3364" s="16">
        <f>IFERROR(__xludf.DUMMYFUNCTION("""COMPUTED_VALUE"""),70.0)</f>
        <v>70</v>
      </c>
      <c r="F3364" s="19" t="str">
        <f>IFERROR(__xludf.DUMMYFUNCTION("""COMPUTED_VALUE"""),"BLUE")</f>
        <v>BLUE</v>
      </c>
      <c r="G3364" s="20" t="str">
        <f>IFERROR(__xludf.DUMMYFUNCTION("""COMPUTED_VALUE"""),"Uncle Sams Cider (04/04/2023)")</f>
        <v>Uncle Sams Cider (04/04/2023)</v>
      </c>
      <c r="H3364" s="19"/>
    </row>
    <row r="3365">
      <c r="A3365" s="9"/>
      <c r="B3365" s="15"/>
      <c r="C3365" s="9">
        <f>IFERROR(__xludf.DUMMYFUNCTION("""COMPUTED_VALUE"""),45109.3721897338)</f>
        <v>45109.37219</v>
      </c>
      <c r="D3365" s="15">
        <f>IFERROR(__xludf.DUMMYFUNCTION("""COMPUTED_VALUE"""),0.999)</f>
        <v>0.999</v>
      </c>
      <c r="E3365" s="16">
        <f>IFERROR(__xludf.DUMMYFUNCTION("""COMPUTED_VALUE"""),70.0)</f>
        <v>70</v>
      </c>
      <c r="F3365" s="19" t="str">
        <f>IFERROR(__xludf.DUMMYFUNCTION("""COMPUTED_VALUE"""),"BLUE")</f>
        <v>BLUE</v>
      </c>
      <c r="G3365" s="20" t="str">
        <f>IFERROR(__xludf.DUMMYFUNCTION("""COMPUTED_VALUE"""),"Uncle Sams Cider (04/04/2023)")</f>
        <v>Uncle Sams Cider (04/04/2023)</v>
      </c>
      <c r="H3365" s="19"/>
    </row>
    <row r="3366">
      <c r="A3366" s="9"/>
      <c r="B3366" s="15"/>
      <c r="C3366" s="9">
        <f>IFERROR(__xludf.DUMMYFUNCTION("""COMPUTED_VALUE"""),45109.3617697222)</f>
        <v>45109.36177</v>
      </c>
      <c r="D3366" s="15">
        <f>IFERROR(__xludf.DUMMYFUNCTION("""COMPUTED_VALUE"""),1.0)</f>
        <v>1</v>
      </c>
      <c r="E3366" s="16">
        <f>IFERROR(__xludf.DUMMYFUNCTION("""COMPUTED_VALUE"""),70.0)</f>
        <v>70</v>
      </c>
      <c r="F3366" s="19" t="str">
        <f>IFERROR(__xludf.DUMMYFUNCTION("""COMPUTED_VALUE"""),"BLUE")</f>
        <v>BLUE</v>
      </c>
      <c r="G3366" s="20" t="str">
        <f>IFERROR(__xludf.DUMMYFUNCTION("""COMPUTED_VALUE"""),"Uncle Sams Cider (04/04/2023)")</f>
        <v>Uncle Sams Cider (04/04/2023)</v>
      </c>
      <c r="H3366" s="19"/>
    </row>
    <row r="3367">
      <c r="A3367" s="9"/>
      <c r="B3367" s="15"/>
      <c r="C3367" s="9">
        <f>IFERROR(__xludf.DUMMYFUNCTION("""COMPUTED_VALUE"""),45109.351335)</f>
        <v>45109.35134</v>
      </c>
      <c r="D3367" s="15">
        <f>IFERROR(__xludf.DUMMYFUNCTION("""COMPUTED_VALUE"""),0.999)</f>
        <v>0.999</v>
      </c>
      <c r="E3367" s="16">
        <f>IFERROR(__xludf.DUMMYFUNCTION("""COMPUTED_VALUE"""),70.0)</f>
        <v>70</v>
      </c>
      <c r="F3367" s="19" t="str">
        <f>IFERROR(__xludf.DUMMYFUNCTION("""COMPUTED_VALUE"""),"BLUE")</f>
        <v>BLUE</v>
      </c>
      <c r="G3367" s="20" t="str">
        <f>IFERROR(__xludf.DUMMYFUNCTION("""COMPUTED_VALUE"""),"Uncle Sams Cider (04/04/2023)")</f>
        <v>Uncle Sams Cider (04/04/2023)</v>
      </c>
      <c r="H3367" s="19"/>
    </row>
    <row r="3368">
      <c r="A3368" s="9"/>
      <c r="B3368" s="15"/>
      <c r="C3368" s="9">
        <f>IFERROR(__xludf.DUMMYFUNCTION("""COMPUTED_VALUE"""),45109.3408999884)</f>
        <v>45109.3409</v>
      </c>
      <c r="D3368" s="15">
        <f>IFERROR(__xludf.DUMMYFUNCTION("""COMPUTED_VALUE"""),1.0)</f>
        <v>1</v>
      </c>
      <c r="E3368" s="16">
        <f>IFERROR(__xludf.DUMMYFUNCTION("""COMPUTED_VALUE"""),70.0)</f>
        <v>70</v>
      </c>
      <c r="F3368" s="19" t="str">
        <f>IFERROR(__xludf.DUMMYFUNCTION("""COMPUTED_VALUE"""),"BLUE")</f>
        <v>BLUE</v>
      </c>
      <c r="G3368" s="20" t="str">
        <f>IFERROR(__xludf.DUMMYFUNCTION("""COMPUTED_VALUE"""),"Uncle Sams Cider (04/04/2023)")</f>
        <v>Uncle Sams Cider (04/04/2023)</v>
      </c>
      <c r="H3368" s="19"/>
    </row>
    <row r="3369">
      <c r="A3369" s="9"/>
      <c r="B3369" s="15"/>
      <c r="C3369" s="9">
        <f>IFERROR(__xludf.DUMMYFUNCTION("""COMPUTED_VALUE"""),45109.330476493)</f>
        <v>45109.33048</v>
      </c>
      <c r="D3369" s="15">
        <f>IFERROR(__xludf.DUMMYFUNCTION("""COMPUTED_VALUE"""),1.0)</f>
        <v>1</v>
      </c>
      <c r="E3369" s="16">
        <f>IFERROR(__xludf.DUMMYFUNCTION("""COMPUTED_VALUE"""),70.0)</f>
        <v>70</v>
      </c>
      <c r="F3369" s="19" t="str">
        <f>IFERROR(__xludf.DUMMYFUNCTION("""COMPUTED_VALUE"""),"BLUE")</f>
        <v>BLUE</v>
      </c>
      <c r="G3369" s="20" t="str">
        <f>IFERROR(__xludf.DUMMYFUNCTION("""COMPUTED_VALUE"""),"Uncle Sams Cider (04/04/2023)")</f>
        <v>Uncle Sams Cider (04/04/2023)</v>
      </c>
      <c r="H3369" s="19"/>
    </row>
    <row r="3370">
      <c r="A3370" s="9"/>
      <c r="B3370" s="15"/>
      <c r="C3370" s="9">
        <f>IFERROR(__xludf.DUMMYFUNCTION("""COMPUTED_VALUE"""),45109.3200577893)</f>
        <v>45109.32006</v>
      </c>
      <c r="D3370" s="15">
        <f>IFERROR(__xludf.DUMMYFUNCTION("""COMPUTED_VALUE"""),0.999)</f>
        <v>0.999</v>
      </c>
      <c r="E3370" s="16">
        <f>IFERROR(__xludf.DUMMYFUNCTION("""COMPUTED_VALUE"""),70.0)</f>
        <v>70</v>
      </c>
      <c r="F3370" s="19" t="str">
        <f>IFERROR(__xludf.DUMMYFUNCTION("""COMPUTED_VALUE"""),"BLUE")</f>
        <v>BLUE</v>
      </c>
      <c r="G3370" s="20" t="str">
        <f>IFERROR(__xludf.DUMMYFUNCTION("""COMPUTED_VALUE"""),"Uncle Sams Cider (04/04/2023)")</f>
        <v>Uncle Sams Cider (04/04/2023)</v>
      </c>
      <c r="H3370" s="19"/>
    </row>
    <row r="3371">
      <c r="A3371" s="9"/>
      <c r="B3371" s="15"/>
      <c r="C3371" s="9">
        <f>IFERROR(__xludf.DUMMYFUNCTION("""COMPUTED_VALUE"""),45109.3096339583)</f>
        <v>45109.30963</v>
      </c>
      <c r="D3371" s="15">
        <f>IFERROR(__xludf.DUMMYFUNCTION("""COMPUTED_VALUE"""),1.0)</f>
        <v>1</v>
      </c>
      <c r="E3371" s="16">
        <f>IFERROR(__xludf.DUMMYFUNCTION("""COMPUTED_VALUE"""),70.0)</f>
        <v>70</v>
      </c>
      <c r="F3371" s="19" t="str">
        <f>IFERROR(__xludf.DUMMYFUNCTION("""COMPUTED_VALUE"""),"BLUE")</f>
        <v>BLUE</v>
      </c>
      <c r="G3371" s="20" t="str">
        <f>IFERROR(__xludf.DUMMYFUNCTION("""COMPUTED_VALUE"""),"Uncle Sams Cider (04/04/2023)")</f>
        <v>Uncle Sams Cider (04/04/2023)</v>
      </c>
      <c r="H3371" s="19"/>
    </row>
    <row r="3372">
      <c r="A3372" s="9"/>
      <c r="B3372" s="15"/>
      <c r="C3372" s="9">
        <f>IFERROR(__xludf.DUMMYFUNCTION("""COMPUTED_VALUE"""),45109.2992036689)</f>
        <v>45109.2992</v>
      </c>
      <c r="D3372" s="15">
        <f>IFERROR(__xludf.DUMMYFUNCTION("""COMPUTED_VALUE"""),1.0)</f>
        <v>1</v>
      </c>
      <c r="E3372" s="16">
        <f>IFERROR(__xludf.DUMMYFUNCTION("""COMPUTED_VALUE"""),70.0)</f>
        <v>70</v>
      </c>
      <c r="F3372" s="19" t="str">
        <f>IFERROR(__xludf.DUMMYFUNCTION("""COMPUTED_VALUE"""),"BLUE")</f>
        <v>BLUE</v>
      </c>
      <c r="G3372" s="20" t="str">
        <f>IFERROR(__xludf.DUMMYFUNCTION("""COMPUTED_VALUE"""),"Uncle Sams Cider (04/04/2023)")</f>
        <v>Uncle Sams Cider (04/04/2023)</v>
      </c>
      <c r="H3372" s="19"/>
    </row>
    <row r="3373">
      <c r="A3373" s="9"/>
      <c r="B3373" s="15"/>
      <c r="C3373" s="9">
        <f>IFERROR(__xludf.DUMMYFUNCTION("""COMPUTED_VALUE"""),45109.2887822106)</f>
        <v>45109.28878</v>
      </c>
      <c r="D3373" s="15">
        <f>IFERROR(__xludf.DUMMYFUNCTION("""COMPUTED_VALUE"""),1.0)</f>
        <v>1</v>
      </c>
      <c r="E3373" s="16">
        <f>IFERROR(__xludf.DUMMYFUNCTION("""COMPUTED_VALUE"""),70.0)</f>
        <v>70</v>
      </c>
      <c r="F3373" s="19" t="str">
        <f>IFERROR(__xludf.DUMMYFUNCTION("""COMPUTED_VALUE"""),"BLUE")</f>
        <v>BLUE</v>
      </c>
      <c r="G3373" s="20" t="str">
        <f>IFERROR(__xludf.DUMMYFUNCTION("""COMPUTED_VALUE"""),"Uncle Sams Cider (04/04/2023)")</f>
        <v>Uncle Sams Cider (04/04/2023)</v>
      </c>
      <c r="H3373" s="19"/>
    </row>
    <row r="3374">
      <c r="A3374" s="9"/>
      <c r="B3374" s="15"/>
      <c r="C3374" s="9">
        <f>IFERROR(__xludf.DUMMYFUNCTION("""COMPUTED_VALUE"""),45109.2783615625)</f>
        <v>45109.27836</v>
      </c>
      <c r="D3374" s="15">
        <f>IFERROR(__xludf.DUMMYFUNCTION("""COMPUTED_VALUE"""),1.0)</f>
        <v>1</v>
      </c>
      <c r="E3374" s="16">
        <f>IFERROR(__xludf.DUMMYFUNCTION("""COMPUTED_VALUE"""),70.0)</f>
        <v>70</v>
      </c>
      <c r="F3374" s="19" t="str">
        <f>IFERROR(__xludf.DUMMYFUNCTION("""COMPUTED_VALUE"""),"BLUE")</f>
        <v>BLUE</v>
      </c>
      <c r="G3374" s="20" t="str">
        <f>IFERROR(__xludf.DUMMYFUNCTION("""COMPUTED_VALUE"""),"Uncle Sams Cider (04/04/2023)")</f>
        <v>Uncle Sams Cider (04/04/2023)</v>
      </c>
      <c r="H3374" s="19"/>
    </row>
    <row r="3375">
      <c r="A3375" s="9"/>
      <c r="B3375" s="15"/>
      <c r="C3375" s="9">
        <f>IFERROR(__xludf.DUMMYFUNCTION("""COMPUTED_VALUE"""),45109.2679401041)</f>
        <v>45109.26794</v>
      </c>
      <c r="D3375" s="15">
        <f>IFERROR(__xludf.DUMMYFUNCTION("""COMPUTED_VALUE"""),1.0)</f>
        <v>1</v>
      </c>
      <c r="E3375" s="16">
        <f>IFERROR(__xludf.DUMMYFUNCTION("""COMPUTED_VALUE"""),70.0)</f>
        <v>70</v>
      </c>
      <c r="F3375" s="19" t="str">
        <f>IFERROR(__xludf.DUMMYFUNCTION("""COMPUTED_VALUE"""),"BLUE")</f>
        <v>BLUE</v>
      </c>
      <c r="G3375" s="20" t="str">
        <f>IFERROR(__xludf.DUMMYFUNCTION("""COMPUTED_VALUE"""),"Uncle Sams Cider (04/04/2023)")</f>
        <v>Uncle Sams Cider (04/04/2023)</v>
      </c>
      <c r="H3375" s="19"/>
    </row>
    <row r="3376">
      <c r="A3376" s="9"/>
      <c r="B3376" s="15"/>
      <c r="C3376" s="9">
        <f>IFERROR(__xludf.DUMMYFUNCTION("""COMPUTED_VALUE"""),45109.2575066782)</f>
        <v>45109.25751</v>
      </c>
      <c r="D3376" s="15">
        <f>IFERROR(__xludf.DUMMYFUNCTION("""COMPUTED_VALUE"""),1.0)</f>
        <v>1</v>
      </c>
      <c r="E3376" s="16">
        <f>IFERROR(__xludf.DUMMYFUNCTION("""COMPUTED_VALUE"""),70.0)</f>
        <v>70</v>
      </c>
      <c r="F3376" s="19" t="str">
        <f>IFERROR(__xludf.DUMMYFUNCTION("""COMPUTED_VALUE"""),"BLUE")</f>
        <v>BLUE</v>
      </c>
      <c r="G3376" s="20" t="str">
        <f>IFERROR(__xludf.DUMMYFUNCTION("""COMPUTED_VALUE"""),"Uncle Sams Cider (04/04/2023)")</f>
        <v>Uncle Sams Cider (04/04/2023)</v>
      </c>
      <c r="H3376" s="19"/>
    </row>
    <row r="3377">
      <c r="A3377" s="9"/>
      <c r="B3377" s="15"/>
      <c r="C3377" s="9">
        <f>IFERROR(__xludf.DUMMYFUNCTION("""COMPUTED_VALUE"""),45109.2470856481)</f>
        <v>45109.24709</v>
      </c>
      <c r="D3377" s="15">
        <f>IFERROR(__xludf.DUMMYFUNCTION("""COMPUTED_VALUE"""),1.0)</f>
        <v>1</v>
      </c>
      <c r="E3377" s="16">
        <f>IFERROR(__xludf.DUMMYFUNCTION("""COMPUTED_VALUE"""),70.0)</f>
        <v>70</v>
      </c>
      <c r="F3377" s="19" t="str">
        <f>IFERROR(__xludf.DUMMYFUNCTION("""COMPUTED_VALUE"""),"BLUE")</f>
        <v>BLUE</v>
      </c>
      <c r="G3377" s="20" t="str">
        <f>IFERROR(__xludf.DUMMYFUNCTION("""COMPUTED_VALUE"""),"Uncle Sams Cider (04/04/2023)")</f>
        <v>Uncle Sams Cider (04/04/2023)</v>
      </c>
      <c r="H3377" s="19"/>
    </row>
    <row r="3378">
      <c r="A3378" s="9"/>
      <c r="B3378" s="15"/>
      <c r="C3378" s="9">
        <f>IFERROR(__xludf.DUMMYFUNCTION("""COMPUTED_VALUE"""),45109.2366663194)</f>
        <v>45109.23667</v>
      </c>
      <c r="D3378" s="15">
        <f>IFERROR(__xludf.DUMMYFUNCTION("""COMPUTED_VALUE"""),1.0)</f>
        <v>1</v>
      </c>
      <c r="E3378" s="16">
        <f>IFERROR(__xludf.DUMMYFUNCTION("""COMPUTED_VALUE"""),70.0)</f>
        <v>70</v>
      </c>
      <c r="F3378" s="19" t="str">
        <f>IFERROR(__xludf.DUMMYFUNCTION("""COMPUTED_VALUE"""),"BLUE")</f>
        <v>BLUE</v>
      </c>
      <c r="G3378" s="20" t="str">
        <f>IFERROR(__xludf.DUMMYFUNCTION("""COMPUTED_VALUE"""),"Uncle Sams Cider (04/04/2023)")</f>
        <v>Uncle Sams Cider (04/04/2023)</v>
      </c>
      <c r="H3378" s="19"/>
    </row>
    <row r="3379">
      <c r="A3379" s="9"/>
      <c r="B3379" s="15"/>
      <c r="C3379" s="9">
        <f>IFERROR(__xludf.DUMMYFUNCTION("""COMPUTED_VALUE"""),45109.2262446875)</f>
        <v>45109.22624</v>
      </c>
      <c r="D3379" s="15">
        <f>IFERROR(__xludf.DUMMYFUNCTION("""COMPUTED_VALUE"""),1.0)</f>
        <v>1</v>
      </c>
      <c r="E3379" s="16">
        <f>IFERROR(__xludf.DUMMYFUNCTION("""COMPUTED_VALUE"""),70.0)</f>
        <v>70</v>
      </c>
      <c r="F3379" s="19" t="str">
        <f>IFERROR(__xludf.DUMMYFUNCTION("""COMPUTED_VALUE"""),"BLUE")</f>
        <v>BLUE</v>
      </c>
      <c r="G3379" s="20" t="str">
        <f>IFERROR(__xludf.DUMMYFUNCTION("""COMPUTED_VALUE"""),"Uncle Sams Cider (04/04/2023)")</f>
        <v>Uncle Sams Cider (04/04/2023)</v>
      </c>
      <c r="H3379" s="19"/>
    </row>
    <row r="3380">
      <c r="A3380" s="9"/>
      <c r="B3380" s="15"/>
      <c r="C3380" s="9">
        <f>IFERROR(__xludf.DUMMYFUNCTION("""COMPUTED_VALUE"""),45109.2158005324)</f>
        <v>45109.2158</v>
      </c>
      <c r="D3380" s="15">
        <f>IFERROR(__xludf.DUMMYFUNCTION("""COMPUTED_VALUE"""),1.0)</f>
        <v>1</v>
      </c>
      <c r="E3380" s="16">
        <f>IFERROR(__xludf.DUMMYFUNCTION("""COMPUTED_VALUE"""),70.0)</f>
        <v>70</v>
      </c>
      <c r="F3380" s="19" t="str">
        <f>IFERROR(__xludf.DUMMYFUNCTION("""COMPUTED_VALUE"""),"BLUE")</f>
        <v>BLUE</v>
      </c>
      <c r="G3380" s="20" t="str">
        <f>IFERROR(__xludf.DUMMYFUNCTION("""COMPUTED_VALUE"""),"Uncle Sams Cider (04/04/2023)")</f>
        <v>Uncle Sams Cider (04/04/2023)</v>
      </c>
      <c r="H3380" s="19"/>
    </row>
    <row r="3381">
      <c r="A3381" s="9"/>
      <c r="B3381" s="15"/>
      <c r="C3381" s="9">
        <f>IFERROR(__xludf.DUMMYFUNCTION("""COMPUTED_VALUE"""),45109.2053794675)</f>
        <v>45109.20538</v>
      </c>
      <c r="D3381" s="15">
        <f>IFERROR(__xludf.DUMMYFUNCTION("""COMPUTED_VALUE"""),1.0)</f>
        <v>1</v>
      </c>
      <c r="E3381" s="16">
        <f>IFERROR(__xludf.DUMMYFUNCTION("""COMPUTED_VALUE"""),70.0)</f>
        <v>70</v>
      </c>
      <c r="F3381" s="19" t="str">
        <f>IFERROR(__xludf.DUMMYFUNCTION("""COMPUTED_VALUE"""),"BLUE")</f>
        <v>BLUE</v>
      </c>
      <c r="G3381" s="20" t="str">
        <f>IFERROR(__xludf.DUMMYFUNCTION("""COMPUTED_VALUE"""),"Uncle Sams Cider (04/04/2023)")</f>
        <v>Uncle Sams Cider (04/04/2023)</v>
      </c>
      <c r="H3381" s="19"/>
    </row>
    <row r="3382">
      <c r="A3382" s="9"/>
      <c r="B3382" s="15"/>
      <c r="C3382" s="9">
        <f>IFERROR(__xludf.DUMMYFUNCTION("""COMPUTED_VALUE"""),45109.1949572222)</f>
        <v>45109.19496</v>
      </c>
      <c r="D3382" s="15">
        <f>IFERROR(__xludf.DUMMYFUNCTION("""COMPUTED_VALUE"""),0.999)</f>
        <v>0.999</v>
      </c>
      <c r="E3382" s="16">
        <f>IFERROR(__xludf.DUMMYFUNCTION("""COMPUTED_VALUE"""),70.0)</f>
        <v>70</v>
      </c>
      <c r="F3382" s="19" t="str">
        <f>IFERROR(__xludf.DUMMYFUNCTION("""COMPUTED_VALUE"""),"BLUE")</f>
        <v>BLUE</v>
      </c>
      <c r="G3382" s="20" t="str">
        <f>IFERROR(__xludf.DUMMYFUNCTION("""COMPUTED_VALUE"""),"Uncle Sams Cider (04/04/2023)")</f>
        <v>Uncle Sams Cider (04/04/2023)</v>
      </c>
      <c r="H3382" s="19"/>
    </row>
    <row r="3383">
      <c r="A3383" s="9"/>
      <c r="B3383" s="15"/>
      <c r="C3383" s="9">
        <f>IFERROR(__xludf.DUMMYFUNCTION("""COMPUTED_VALUE"""),45109.1845373148)</f>
        <v>45109.18454</v>
      </c>
      <c r="D3383" s="15">
        <f>IFERROR(__xludf.DUMMYFUNCTION("""COMPUTED_VALUE"""),0.999)</f>
        <v>0.999</v>
      </c>
      <c r="E3383" s="16">
        <f>IFERROR(__xludf.DUMMYFUNCTION("""COMPUTED_VALUE"""),70.0)</f>
        <v>70</v>
      </c>
      <c r="F3383" s="19" t="str">
        <f>IFERROR(__xludf.DUMMYFUNCTION("""COMPUTED_VALUE"""),"BLUE")</f>
        <v>BLUE</v>
      </c>
      <c r="G3383" s="20" t="str">
        <f>IFERROR(__xludf.DUMMYFUNCTION("""COMPUTED_VALUE"""),"Uncle Sams Cider (04/04/2023)")</f>
        <v>Uncle Sams Cider (04/04/2023)</v>
      </c>
      <c r="H3383" s="19"/>
    </row>
    <row r="3384">
      <c r="A3384" s="9"/>
      <c r="B3384" s="15"/>
      <c r="C3384" s="9">
        <f>IFERROR(__xludf.DUMMYFUNCTION("""COMPUTED_VALUE"""),45109.1741153588)</f>
        <v>45109.17412</v>
      </c>
      <c r="D3384" s="15">
        <f>IFERROR(__xludf.DUMMYFUNCTION("""COMPUTED_VALUE"""),1.0)</f>
        <v>1</v>
      </c>
      <c r="E3384" s="16">
        <f>IFERROR(__xludf.DUMMYFUNCTION("""COMPUTED_VALUE"""),70.0)</f>
        <v>70</v>
      </c>
      <c r="F3384" s="19" t="str">
        <f>IFERROR(__xludf.DUMMYFUNCTION("""COMPUTED_VALUE"""),"BLUE")</f>
        <v>BLUE</v>
      </c>
      <c r="G3384" s="20" t="str">
        <f>IFERROR(__xludf.DUMMYFUNCTION("""COMPUTED_VALUE"""),"Uncle Sams Cider (04/04/2023)")</f>
        <v>Uncle Sams Cider (04/04/2023)</v>
      </c>
      <c r="H3384" s="19"/>
    </row>
    <row r="3385">
      <c r="A3385" s="9"/>
      <c r="B3385" s="15"/>
      <c r="C3385" s="9">
        <f>IFERROR(__xludf.DUMMYFUNCTION("""COMPUTED_VALUE"""),45109.1636942476)</f>
        <v>45109.16369</v>
      </c>
      <c r="D3385" s="15">
        <f>IFERROR(__xludf.DUMMYFUNCTION("""COMPUTED_VALUE"""),0.999)</f>
        <v>0.999</v>
      </c>
      <c r="E3385" s="16">
        <f>IFERROR(__xludf.DUMMYFUNCTION("""COMPUTED_VALUE"""),70.0)</f>
        <v>70</v>
      </c>
      <c r="F3385" s="19" t="str">
        <f>IFERROR(__xludf.DUMMYFUNCTION("""COMPUTED_VALUE"""),"BLUE")</f>
        <v>BLUE</v>
      </c>
      <c r="G3385" s="20" t="str">
        <f>IFERROR(__xludf.DUMMYFUNCTION("""COMPUTED_VALUE"""),"Uncle Sams Cider (04/04/2023)")</f>
        <v>Uncle Sams Cider (04/04/2023)</v>
      </c>
      <c r="H3385" s="19"/>
    </row>
    <row r="3386">
      <c r="A3386" s="9"/>
      <c r="B3386" s="15"/>
      <c r="C3386" s="9">
        <f>IFERROR(__xludf.DUMMYFUNCTION("""COMPUTED_VALUE"""),45109.1532605555)</f>
        <v>45109.15326</v>
      </c>
      <c r="D3386" s="15">
        <f>IFERROR(__xludf.DUMMYFUNCTION("""COMPUTED_VALUE"""),1.0)</f>
        <v>1</v>
      </c>
      <c r="E3386" s="16">
        <f>IFERROR(__xludf.DUMMYFUNCTION("""COMPUTED_VALUE"""),70.0)</f>
        <v>70</v>
      </c>
      <c r="F3386" s="19" t="str">
        <f>IFERROR(__xludf.DUMMYFUNCTION("""COMPUTED_VALUE"""),"BLUE")</f>
        <v>BLUE</v>
      </c>
      <c r="G3386" s="20" t="str">
        <f>IFERROR(__xludf.DUMMYFUNCTION("""COMPUTED_VALUE"""),"Uncle Sams Cider (04/04/2023)")</f>
        <v>Uncle Sams Cider (04/04/2023)</v>
      </c>
      <c r="H3386" s="19"/>
    </row>
    <row r="3387">
      <c r="A3387" s="9"/>
      <c r="B3387" s="15"/>
      <c r="C3387" s="9">
        <f>IFERROR(__xludf.DUMMYFUNCTION("""COMPUTED_VALUE"""),45109.1428275231)</f>
        <v>45109.14283</v>
      </c>
      <c r="D3387" s="15">
        <f>IFERROR(__xludf.DUMMYFUNCTION("""COMPUTED_VALUE"""),1.0)</f>
        <v>1</v>
      </c>
      <c r="E3387" s="16">
        <f>IFERROR(__xludf.DUMMYFUNCTION("""COMPUTED_VALUE"""),70.0)</f>
        <v>70</v>
      </c>
      <c r="F3387" s="19" t="str">
        <f>IFERROR(__xludf.DUMMYFUNCTION("""COMPUTED_VALUE"""),"BLUE")</f>
        <v>BLUE</v>
      </c>
      <c r="G3387" s="20" t="str">
        <f>IFERROR(__xludf.DUMMYFUNCTION("""COMPUTED_VALUE"""),"Uncle Sams Cider (04/04/2023)")</f>
        <v>Uncle Sams Cider (04/04/2023)</v>
      </c>
      <c r="H3387" s="19"/>
    </row>
    <row r="3388">
      <c r="A3388" s="9"/>
      <c r="B3388" s="15"/>
      <c r="C3388" s="9">
        <f>IFERROR(__xludf.DUMMYFUNCTION("""COMPUTED_VALUE"""),45109.1324067476)</f>
        <v>45109.13241</v>
      </c>
      <c r="D3388" s="15">
        <f>IFERROR(__xludf.DUMMYFUNCTION("""COMPUTED_VALUE"""),1.0)</f>
        <v>1</v>
      </c>
      <c r="E3388" s="16">
        <f>IFERROR(__xludf.DUMMYFUNCTION("""COMPUTED_VALUE"""),70.0)</f>
        <v>70</v>
      </c>
      <c r="F3388" s="19" t="str">
        <f>IFERROR(__xludf.DUMMYFUNCTION("""COMPUTED_VALUE"""),"BLUE")</f>
        <v>BLUE</v>
      </c>
      <c r="G3388" s="20" t="str">
        <f>IFERROR(__xludf.DUMMYFUNCTION("""COMPUTED_VALUE"""),"Uncle Sams Cider (04/04/2023)")</f>
        <v>Uncle Sams Cider (04/04/2023)</v>
      </c>
      <c r="H3388" s="19"/>
    </row>
    <row r="3389">
      <c r="A3389" s="9"/>
      <c r="B3389" s="15"/>
      <c r="C3389" s="9">
        <f>IFERROR(__xludf.DUMMYFUNCTION("""COMPUTED_VALUE"""),45109.1219751967)</f>
        <v>45109.12198</v>
      </c>
      <c r="D3389" s="15">
        <f>IFERROR(__xludf.DUMMYFUNCTION("""COMPUTED_VALUE"""),1.0)</f>
        <v>1</v>
      </c>
      <c r="E3389" s="16">
        <f>IFERROR(__xludf.DUMMYFUNCTION("""COMPUTED_VALUE"""),70.0)</f>
        <v>70</v>
      </c>
      <c r="F3389" s="19" t="str">
        <f>IFERROR(__xludf.DUMMYFUNCTION("""COMPUTED_VALUE"""),"BLUE")</f>
        <v>BLUE</v>
      </c>
      <c r="G3389" s="20" t="str">
        <f>IFERROR(__xludf.DUMMYFUNCTION("""COMPUTED_VALUE"""),"Uncle Sams Cider (04/04/2023)")</f>
        <v>Uncle Sams Cider (04/04/2023)</v>
      </c>
      <c r="H3389" s="19"/>
    </row>
    <row r="3390">
      <c r="A3390" s="9"/>
      <c r="B3390" s="15"/>
      <c r="C3390" s="9">
        <f>IFERROR(__xludf.DUMMYFUNCTION("""COMPUTED_VALUE"""),45109.1115545717)</f>
        <v>45109.11155</v>
      </c>
      <c r="D3390" s="15">
        <f>IFERROR(__xludf.DUMMYFUNCTION("""COMPUTED_VALUE"""),1.0)</f>
        <v>1</v>
      </c>
      <c r="E3390" s="16">
        <f>IFERROR(__xludf.DUMMYFUNCTION("""COMPUTED_VALUE"""),70.0)</f>
        <v>70</v>
      </c>
      <c r="F3390" s="19" t="str">
        <f>IFERROR(__xludf.DUMMYFUNCTION("""COMPUTED_VALUE"""),"BLUE")</f>
        <v>BLUE</v>
      </c>
      <c r="G3390" s="20" t="str">
        <f>IFERROR(__xludf.DUMMYFUNCTION("""COMPUTED_VALUE"""),"Uncle Sams Cider (04/04/2023)")</f>
        <v>Uncle Sams Cider (04/04/2023)</v>
      </c>
      <c r="H3390" s="19"/>
    </row>
    <row r="3391">
      <c r="A3391" s="9"/>
      <c r="B3391" s="15"/>
      <c r="C3391" s="9">
        <f>IFERROR(__xludf.DUMMYFUNCTION("""COMPUTED_VALUE"""),45109.1011225)</f>
        <v>45109.10112</v>
      </c>
      <c r="D3391" s="15">
        <f>IFERROR(__xludf.DUMMYFUNCTION("""COMPUTED_VALUE"""),1.0)</f>
        <v>1</v>
      </c>
      <c r="E3391" s="16">
        <f>IFERROR(__xludf.DUMMYFUNCTION("""COMPUTED_VALUE"""),70.0)</f>
        <v>70</v>
      </c>
      <c r="F3391" s="19" t="str">
        <f>IFERROR(__xludf.DUMMYFUNCTION("""COMPUTED_VALUE"""),"BLUE")</f>
        <v>BLUE</v>
      </c>
      <c r="G3391" s="20" t="str">
        <f>IFERROR(__xludf.DUMMYFUNCTION("""COMPUTED_VALUE"""),"Uncle Sams Cider (04/04/2023)")</f>
        <v>Uncle Sams Cider (04/04/2023)</v>
      </c>
      <c r="H3391" s="19"/>
    </row>
    <row r="3392">
      <c r="A3392" s="9"/>
      <c r="B3392" s="15"/>
      <c r="C3392" s="9">
        <f>IFERROR(__xludf.DUMMYFUNCTION("""COMPUTED_VALUE"""),45109.0907013194)</f>
        <v>45109.0907</v>
      </c>
      <c r="D3392" s="15">
        <f>IFERROR(__xludf.DUMMYFUNCTION("""COMPUTED_VALUE"""),1.0)</f>
        <v>1</v>
      </c>
      <c r="E3392" s="16">
        <f>IFERROR(__xludf.DUMMYFUNCTION("""COMPUTED_VALUE"""),70.0)</f>
        <v>70</v>
      </c>
      <c r="F3392" s="19" t="str">
        <f>IFERROR(__xludf.DUMMYFUNCTION("""COMPUTED_VALUE"""),"BLUE")</f>
        <v>BLUE</v>
      </c>
      <c r="G3392" s="20" t="str">
        <f>IFERROR(__xludf.DUMMYFUNCTION("""COMPUTED_VALUE"""),"Uncle Sams Cider (04/04/2023)")</f>
        <v>Uncle Sams Cider (04/04/2023)</v>
      </c>
      <c r="H3392" s="19"/>
    </row>
    <row r="3393">
      <c r="A3393" s="9"/>
      <c r="B3393" s="15"/>
      <c r="C3393" s="9">
        <f>IFERROR(__xludf.DUMMYFUNCTION("""COMPUTED_VALUE"""),45109.0802799884)</f>
        <v>45109.08028</v>
      </c>
      <c r="D3393" s="15">
        <f>IFERROR(__xludf.DUMMYFUNCTION("""COMPUTED_VALUE"""),1.0)</f>
        <v>1</v>
      </c>
      <c r="E3393" s="16">
        <f>IFERROR(__xludf.DUMMYFUNCTION("""COMPUTED_VALUE"""),70.0)</f>
        <v>70</v>
      </c>
      <c r="F3393" s="19" t="str">
        <f>IFERROR(__xludf.DUMMYFUNCTION("""COMPUTED_VALUE"""),"BLUE")</f>
        <v>BLUE</v>
      </c>
      <c r="G3393" s="20" t="str">
        <f>IFERROR(__xludf.DUMMYFUNCTION("""COMPUTED_VALUE"""),"Uncle Sams Cider (04/04/2023)")</f>
        <v>Uncle Sams Cider (04/04/2023)</v>
      </c>
      <c r="H3393" s="19"/>
    </row>
    <row r="3394">
      <c r="A3394" s="9"/>
      <c r="B3394" s="15"/>
      <c r="C3394" s="9">
        <f>IFERROR(__xludf.DUMMYFUNCTION("""COMPUTED_VALUE"""),45109.0698570833)</f>
        <v>45109.06986</v>
      </c>
      <c r="D3394" s="15">
        <f>IFERROR(__xludf.DUMMYFUNCTION("""COMPUTED_VALUE"""),1.0)</f>
        <v>1</v>
      </c>
      <c r="E3394" s="16">
        <f>IFERROR(__xludf.DUMMYFUNCTION("""COMPUTED_VALUE"""),70.0)</f>
        <v>70</v>
      </c>
      <c r="F3394" s="19" t="str">
        <f>IFERROR(__xludf.DUMMYFUNCTION("""COMPUTED_VALUE"""),"BLUE")</f>
        <v>BLUE</v>
      </c>
      <c r="G3394" s="20" t="str">
        <f>IFERROR(__xludf.DUMMYFUNCTION("""COMPUTED_VALUE"""),"Uncle Sams Cider (04/04/2023)")</f>
        <v>Uncle Sams Cider (04/04/2023)</v>
      </c>
      <c r="H3394" s="19"/>
    </row>
    <row r="3395">
      <c r="A3395" s="9"/>
      <c r="B3395" s="15"/>
      <c r="C3395" s="9">
        <f>IFERROR(__xludf.DUMMYFUNCTION("""COMPUTED_VALUE"""),45109.0594361458)</f>
        <v>45109.05944</v>
      </c>
      <c r="D3395" s="15">
        <f>IFERROR(__xludf.DUMMYFUNCTION("""COMPUTED_VALUE"""),1.0)</f>
        <v>1</v>
      </c>
      <c r="E3395" s="16">
        <f>IFERROR(__xludf.DUMMYFUNCTION("""COMPUTED_VALUE"""),70.0)</f>
        <v>70</v>
      </c>
      <c r="F3395" s="19" t="str">
        <f>IFERROR(__xludf.DUMMYFUNCTION("""COMPUTED_VALUE"""),"BLUE")</f>
        <v>BLUE</v>
      </c>
      <c r="G3395" s="20" t="str">
        <f>IFERROR(__xludf.DUMMYFUNCTION("""COMPUTED_VALUE"""),"Uncle Sams Cider (04/04/2023)")</f>
        <v>Uncle Sams Cider (04/04/2023)</v>
      </c>
      <c r="H3395" s="19"/>
    </row>
    <row r="3396">
      <c r="A3396" s="9"/>
      <c r="B3396" s="15"/>
      <c r="C3396" s="9">
        <f>IFERROR(__xludf.DUMMYFUNCTION("""COMPUTED_VALUE"""),45109.0490025)</f>
        <v>45109.049</v>
      </c>
      <c r="D3396" s="15">
        <f>IFERROR(__xludf.DUMMYFUNCTION("""COMPUTED_VALUE"""),1.0)</f>
        <v>1</v>
      </c>
      <c r="E3396" s="16">
        <f>IFERROR(__xludf.DUMMYFUNCTION("""COMPUTED_VALUE"""),70.0)</f>
        <v>70</v>
      </c>
      <c r="F3396" s="19" t="str">
        <f>IFERROR(__xludf.DUMMYFUNCTION("""COMPUTED_VALUE"""),"BLUE")</f>
        <v>BLUE</v>
      </c>
      <c r="G3396" s="20" t="str">
        <f>IFERROR(__xludf.DUMMYFUNCTION("""COMPUTED_VALUE"""),"Uncle Sams Cider (04/04/2023)")</f>
        <v>Uncle Sams Cider (04/04/2023)</v>
      </c>
      <c r="H3396" s="19"/>
    </row>
    <row r="3397">
      <c r="A3397" s="9"/>
      <c r="B3397" s="15"/>
      <c r="C3397" s="9">
        <f>IFERROR(__xludf.DUMMYFUNCTION("""COMPUTED_VALUE"""),45109.0385809722)</f>
        <v>45109.03858</v>
      </c>
      <c r="D3397" s="15">
        <f>IFERROR(__xludf.DUMMYFUNCTION("""COMPUTED_VALUE"""),1.0)</f>
        <v>1</v>
      </c>
      <c r="E3397" s="16">
        <f>IFERROR(__xludf.DUMMYFUNCTION("""COMPUTED_VALUE"""),69.0)</f>
        <v>69</v>
      </c>
      <c r="F3397" s="19" t="str">
        <f>IFERROR(__xludf.DUMMYFUNCTION("""COMPUTED_VALUE"""),"BLUE")</f>
        <v>BLUE</v>
      </c>
      <c r="G3397" s="20" t="str">
        <f>IFERROR(__xludf.DUMMYFUNCTION("""COMPUTED_VALUE"""),"Uncle Sams Cider (04/04/2023)")</f>
        <v>Uncle Sams Cider (04/04/2023)</v>
      </c>
      <c r="H3397" s="19"/>
    </row>
    <row r="3398">
      <c r="A3398" s="9"/>
      <c r="B3398" s="15"/>
      <c r="C3398" s="9">
        <f>IFERROR(__xludf.DUMMYFUNCTION("""COMPUTED_VALUE"""),45109.028158368)</f>
        <v>45109.02816</v>
      </c>
      <c r="D3398" s="15">
        <f>IFERROR(__xludf.DUMMYFUNCTION("""COMPUTED_VALUE"""),1.0)</f>
        <v>1</v>
      </c>
      <c r="E3398" s="16">
        <f>IFERROR(__xludf.DUMMYFUNCTION("""COMPUTED_VALUE"""),69.0)</f>
        <v>69</v>
      </c>
      <c r="F3398" s="19" t="str">
        <f>IFERROR(__xludf.DUMMYFUNCTION("""COMPUTED_VALUE"""),"BLUE")</f>
        <v>BLUE</v>
      </c>
      <c r="G3398" s="20" t="str">
        <f>IFERROR(__xludf.DUMMYFUNCTION("""COMPUTED_VALUE"""),"Uncle Sams Cider (04/04/2023)")</f>
        <v>Uncle Sams Cider (04/04/2023)</v>
      </c>
      <c r="H3398" s="19"/>
    </row>
    <row r="3399">
      <c r="A3399" s="9"/>
      <c r="B3399" s="15"/>
      <c r="C3399" s="9">
        <f>IFERROR(__xludf.DUMMYFUNCTION("""COMPUTED_VALUE"""),45109.017737199)</f>
        <v>45109.01774</v>
      </c>
      <c r="D3399" s="15">
        <f>IFERROR(__xludf.DUMMYFUNCTION("""COMPUTED_VALUE"""),1.0)</f>
        <v>1</v>
      </c>
      <c r="E3399" s="16">
        <f>IFERROR(__xludf.DUMMYFUNCTION("""COMPUTED_VALUE"""),70.0)</f>
        <v>70</v>
      </c>
      <c r="F3399" s="19" t="str">
        <f>IFERROR(__xludf.DUMMYFUNCTION("""COMPUTED_VALUE"""),"BLUE")</f>
        <v>BLUE</v>
      </c>
      <c r="G3399" s="20" t="str">
        <f>IFERROR(__xludf.DUMMYFUNCTION("""COMPUTED_VALUE"""),"Uncle Sams Cider (04/04/2023)")</f>
        <v>Uncle Sams Cider (04/04/2023)</v>
      </c>
      <c r="H3399" s="19"/>
    </row>
    <row r="3400">
      <c r="A3400" s="9"/>
      <c r="B3400" s="15"/>
      <c r="C3400" s="9">
        <f>IFERROR(__xludf.DUMMYFUNCTION("""COMPUTED_VALUE"""),45109.0073042708)</f>
        <v>45109.0073</v>
      </c>
      <c r="D3400" s="15">
        <f>IFERROR(__xludf.DUMMYFUNCTION("""COMPUTED_VALUE"""),1.0)</f>
        <v>1</v>
      </c>
      <c r="E3400" s="16">
        <f>IFERROR(__xludf.DUMMYFUNCTION("""COMPUTED_VALUE"""),69.0)</f>
        <v>69</v>
      </c>
      <c r="F3400" s="19" t="str">
        <f>IFERROR(__xludf.DUMMYFUNCTION("""COMPUTED_VALUE"""),"BLUE")</f>
        <v>BLUE</v>
      </c>
      <c r="G3400" s="20" t="str">
        <f>IFERROR(__xludf.DUMMYFUNCTION("""COMPUTED_VALUE"""),"Uncle Sams Cider (04/04/2023)")</f>
        <v>Uncle Sams Cider (04/04/2023)</v>
      </c>
      <c r="H3400" s="19"/>
    </row>
    <row r="3401">
      <c r="A3401" s="9"/>
      <c r="B3401" s="15"/>
      <c r="C3401" s="9">
        <f>IFERROR(__xludf.DUMMYFUNCTION("""COMPUTED_VALUE"""),45108.9968835069)</f>
        <v>45108.99688</v>
      </c>
      <c r="D3401" s="15">
        <f>IFERROR(__xludf.DUMMYFUNCTION("""COMPUTED_VALUE"""),1.0)</f>
        <v>1</v>
      </c>
      <c r="E3401" s="16">
        <f>IFERROR(__xludf.DUMMYFUNCTION("""COMPUTED_VALUE"""),69.0)</f>
        <v>69</v>
      </c>
      <c r="F3401" s="19" t="str">
        <f>IFERROR(__xludf.DUMMYFUNCTION("""COMPUTED_VALUE"""),"BLUE")</f>
        <v>BLUE</v>
      </c>
      <c r="G3401" s="20" t="str">
        <f>IFERROR(__xludf.DUMMYFUNCTION("""COMPUTED_VALUE"""),"Uncle Sams Cider (04/04/2023)")</f>
        <v>Uncle Sams Cider (04/04/2023)</v>
      </c>
      <c r="H3401" s="19"/>
    </row>
    <row r="3402">
      <c r="A3402" s="9"/>
      <c r="B3402" s="15"/>
      <c r="C3402" s="9">
        <f>IFERROR(__xludf.DUMMYFUNCTION("""COMPUTED_VALUE"""),45108.9864638426)</f>
        <v>45108.98646</v>
      </c>
      <c r="D3402" s="15">
        <f>IFERROR(__xludf.DUMMYFUNCTION("""COMPUTED_VALUE"""),1.0)</f>
        <v>1</v>
      </c>
      <c r="E3402" s="16">
        <f>IFERROR(__xludf.DUMMYFUNCTION("""COMPUTED_VALUE"""),69.0)</f>
        <v>69</v>
      </c>
      <c r="F3402" s="19" t="str">
        <f>IFERROR(__xludf.DUMMYFUNCTION("""COMPUTED_VALUE"""),"BLUE")</f>
        <v>BLUE</v>
      </c>
      <c r="G3402" s="20" t="str">
        <f>IFERROR(__xludf.DUMMYFUNCTION("""COMPUTED_VALUE"""),"Uncle Sams Cider (04/04/2023)")</f>
        <v>Uncle Sams Cider (04/04/2023)</v>
      </c>
      <c r="H3402" s="19"/>
    </row>
    <row r="3403">
      <c r="A3403" s="9"/>
      <c r="B3403" s="15"/>
      <c r="C3403" s="9">
        <f>IFERROR(__xludf.DUMMYFUNCTION("""COMPUTED_VALUE"""),45108.9760433333)</f>
        <v>45108.97604</v>
      </c>
      <c r="D3403" s="15">
        <f>IFERROR(__xludf.DUMMYFUNCTION("""COMPUTED_VALUE"""),1.0)</f>
        <v>1</v>
      </c>
      <c r="E3403" s="16">
        <f>IFERROR(__xludf.DUMMYFUNCTION("""COMPUTED_VALUE"""),69.0)</f>
        <v>69</v>
      </c>
      <c r="F3403" s="19" t="str">
        <f>IFERROR(__xludf.DUMMYFUNCTION("""COMPUTED_VALUE"""),"BLUE")</f>
        <v>BLUE</v>
      </c>
      <c r="G3403" s="20" t="str">
        <f>IFERROR(__xludf.DUMMYFUNCTION("""COMPUTED_VALUE"""),"Uncle Sams Cider (04/04/2023)")</f>
        <v>Uncle Sams Cider (04/04/2023)</v>
      </c>
      <c r="H3403" s="19"/>
    </row>
    <row r="3404">
      <c r="A3404" s="9"/>
      <c r="B3404" s="15"/>
      <c r="C3404" s="9">
        <f>IFERROR(__xludf.DUMMYFUNCTION("""COMPUTED_VALUE"""),45108.9656095833)</f>
        <v>45108.96561</v>
      </c>
      <c r="D3404" s="15">
        <f>IFERROR(__xludf.DUMMYFUNCTION("""COMPUTED_VALUE"""),1.0)</f>
        <v>1</v>
      </c>
      <c r="E3404" s="16">
        <f>IFERROR(__xludf.DUMMYFUNCTION("""COMPUTED_VALUE"""),70.0)</f>
        <v>70</v>
      </c>
      <c r="F3404" s="19" t="str">
        <f>IFERROR(__xludf.DUMMYFUNCTION("""COMPUTED_VALUE"""),"BLUE")</f>
        <v>BLUE</v>
      </c>
      <c r="G3404" s="20" t="str">
        <f>IFERROR(__xludf.DUMMYFUNCTION("""COMPUTED_VALUE"""),"Uncle Sams Cider (04/04/2023)")</f>
        <v>Uncle Sams Cider (04/04/2023)</v>
      </c>
      <c r="H3404" s="19"/>
    </row>
    <row r="3405">
      <c r="A3405" s="9"/>
      <c r="B3405" s="15"/>
      <c r="C3405" s="9">
        <f>IFERROR(__xludf.DUMMYFUNCTION("""COMPUTED_VALUE"""),45108.9551881944)</f>
        <v>45108.95519</v>
      </c>
      <c r="D3405" s="15">
        <f>IFERROR(__xludf.DUMMYFUNCTION("""COMPUTED_VALUE"""),1.0)</f>
        <v>1</v>
      </c>
      <c r="E3405" s="16">
        <f>IFERROR(__xludf.DUMMYFUNCTION("""COMPUTED_VALUE"""),69.0)</f>
        <v>69</v>
      </c>
      <c r="F3405" s="19" t="str">
        <f>IFERROR(__xludf.DUMMYFUNCTION("""COMPUTED_VALUE"""),"BLUE")</f>
        <v>BLUE</v>
      </c>
      <c r="G3405" s="20" t="str">
        <f>IFERROR(__xludf.DUMMYFUNCTION("""COMPUTED_VALUE"""),"Uncle Sams Cider (04/04/2023)")</f>
        <v>Uncle Sams Cider (04/04/2023)</v>
      </c>
      <c r="H3405" s="19"/>
    </row>
    <row r="3406">
      <c r="A3406" s="9"/>
      <c r="B3406" s="15"/>
      <c r="C3406" s="9">
        <f>IFERROR(__xludf.DUMMYFUNCTION("""COMPUTED_VALUE"""),45108.9447673148)</f>
        <v>45108.94477</v>
      </c>
      <c r="D3406" s="15">
        <f>IFERROR(__xludf.DUMMYFUNCTION("""COMPUTED_VALUE"""),1.0)</f>
        <v>1</v>
      </c>
      <c r="E3406" s="16">
        <f>IFERROR(__xludf.DUMMYFUNCTION("""COMPUTED_VALUE"""),69.0)</f>
        <v>69</v>
      </c>
      <c r="F3406" s="19" t="str">
        <f>IFERROR(__xludf.DUMMYFUNCTION("""COMPUTED_VALUE"""),"BLUE")</f>
        <v>BLUE</v>
      </c>
      <c r="G3406" s="20" t="str">
        <f>IFERROR(__xludf.DUMMYFUNCTION("""COMPUTED_VALUE"""),"Uncle Sams Cider (04/04/2023)")</f>
        <v>Uncle Sams Cider (04/04/2023)</v>
      </c>
      <c r="H3406" s="19"/>
    </row>
    <row r="3407">
      <c r="A3407" s="9"/>
      <c r="B3407" s="15"/>
      <c r="C3407" s="9">
        <f>IFERROR(__xludf.DUMMYFUNCTION("""COMPUTED_VALUE"""),45108.9343473263)</f>
        <v>45108.93435</v>
      </c>
      <c r="D3407" s="15">
        <f>IFERROR(__xludf.DUMMYFUNCTION("""COMPUTED_VALUE"""),1.0)</f>
        <v>1</v>
      </c>
      <c r="E3407" s="16">
        <f>IFERROR(__xludf.DUMMYFUNCTION("""COMPUTED_VALUE"""),70.0)</f>
        <v>70</v>
      </c>
      <c r="F3407" s="19" t="str">
        <f>IFERROR(__xludf.DUMMYFUNCTION("""COMPUTED_VALUE"""),"BLUE")</f>
        <v>BLUE</v>
      </c>
      <c r="G3407" s="20" t="str">
        <f>IFERROR(__xludf.DUMMYFUNCTION("""COMPUTED_VALUE"""),"Uncle Sams Cider (04/04/2023)")</f>
        <v>Uncle Sams Cider (04/04/2023)</v>
      </c>
      <c r="H3407" s="19"/>
    </row>
    <row r="3408">
      <c r="A3408" s="9"/>
      <c r="B3408" s="15"/>
      <c r="C3408" s="9">
        <f>IFERROR(__xludf.DUMMYFUNCTION("""COMPUTED_VALUE"""),45108.9239271412)</f>
        <v>45108.92393</v>
      </c>
      <c r="D3408" s="15">
        <f>IFERROR(__xludf.DUMMYFUNCTION("""COMPUTED_VALUE"""),0.999)</f>
        <v>0.999</v>
      </c>
      <c r="E3408" s="16">
        <f>IFERROR(__xludf.DUMMYFUNCTION("""COMPUTED_VALUE"""),69.0)</f>
        <v>69</v>
      </c>
      <c r="F3408" s="19" t="str">
        <f>IFERROR(__xludf.DUMMYFUNCTION("""COMPUTED_VALUE"""),"BLUE")</f>
        <v>BLUE</v>
      </c>
      <c r="G3408" s="20" t="str">
        <f>IFERROR(__xludf.DUMMYFUNCTION("""COMPUTED_VALUE"""),"Uncle Sams Cider (04/04/2023)")</f>
        <v>Uncle Sams Cider (04/04/2023)</v>
      </c>
      <c r="H3408" s="19"/>
    </row>
    <row r="3409">
      <c r="A3409" s="9"/>
      <c r="B3409" s="15"/>
      <c r="C3409" s="9">
        <f>IFERROR(__xludf.DUMMYFUNCTION("""COMPUTED_VALUE"""),45108.9134940046)</f>
        <v>45108.91349</v>
      </c>
      <c r="D3409" s="15">
        <f>IFERROR(__xludf.DUMMYFUNCTION("""COMPUTED_VALUE"""),1.0)</f>
        <v>1</v>
      </c>
      <c r="E3409" s="16">
        <f>IFERROR(__xludf.DUMMYFUNCTION("""COMPUTED_VALUE"""),69.0)</f>
        <v>69</v>
      </c>
      <c r="F3409" s="19" t="str">
        <f>IFERROR(__xludf.DUMMYFUNCTION("""COMPUTED_VALUE"""),"BLUE")</f>
        <v>BLUE</v>
      </c>
      <c r="G3409" s="20" t="str">
        <f>IFERROR(__xludf.DUMMYFUNCTION("""COMPUTED_VALUE"""),"Uncle Sams Cider (04/04/2023)")</f>
        <v>Uncle Sams Cider (04/04/2023)</v>
      </c>
      <c r="H3409" s="19"/>
    </row>
    <row r="3410">
      <c r="A3410" s="9"/>
      <c r="B3410" s="15"/>
      <c r="C3410" s="9">
        <f>IFERROR(__xludf.DUMMYFUNCTION("""COMPUTED_VALUE"""),45108.9030734027)</f>
        <v>45108.90307</v>
      </c>
      <c r="D3410" s="15">
        <f>IFERROR(__xludf.DUMMYFUNCTION("""COMPUTED_VALUE"""),1.0)</f>
        <v>1</v>
      </c>
      <c r="E3410" s="16">
        <f>IFERROR(__xludf.DUMMYFUNCTION("""COMPUTED_VALUE"""),69.0)</f>
        <v>69</v>
      </c>
      <c r="F3410" s="19" t="str">
        <f>IFERROR(__xludf.DUMMYFUNCTION("""COMPUTED_VALUE"""),"BLUE")</f>
        <v>BLUE</v>
      </c>
      <c r="G3410" s="20" t="str">
        <f>IFERROR(__xludf.DUMMYFUNCTION("""COMPUTED_VALUE"""),"Uncle Sams Cider (04/04/2023)")</f>
        <v>Uncle Sams Cider (04/04/2023)</v>
      </c>
      <c r="H3410" s="19"/>
    </row>
    <row r="3411">
      <c r="A3411" s="9"/>
      <c r="B3411" s="15"/>
      <c r="C3411" s="9">
        <f>IFERROR(__xludf.DUMMYFUNCTION("""COMPUTED_VALUE"""),45108.8926522222)</f>
        <v>45108.89265</v>
      </c>
      <c r="D3411" s="15">
        <f>IFERROR(__xludf.DUMMYFUNCTION("""COMPUTED_VALUE"""),1.0)</f>
        <v>1</v>
      </c>
      <c r="E3411" s="16">
        <f>IFERROR(__xludf.DUMMYFUNCTION("""COMPUTED_VALUE"""),69.0)</f>
        <v>69</v>
      </c>
      <c r="F3411" s="19" t="str">
        <f>IFERROR(__xludf.DUMMYFUNCTION("""COMPUTED_VALUE"""),"BLUE")</f>
        <v>BLUE</v>
      </c>
      <c r="G3411" s="20" t="str">
        <f>IFERROR(__xludf.DUMMYFUNCTION("""COMPUTED_VALUE"""),"Uncle Sams Cider (04/04/2023)")</f>
        <v>Uncle Sams Cider (04/04/2023)</v>
      </c>
      <c r="H3411" s="19"/>
    </row>
    <row r="3412">
      <c r="A3412" s="9"/>
      <c r="B3412" s="15"/>
      <c r="C3412" s="9">
        <f>IFERROR(__xludf.DUMMYFUNCTION("""COMPUTED_VALUE"""),45108.8822185185)</f>
        <v>45108.88222</v>
      </c>
      <c r="D3412" s="15">
        <f>IFERROR(__xludf.DUMMYFUNCTION("""COMPUTED_VALUE"""),1.0)</f>
        <v>1</v>
      </c>
      <c r="E3412" s="16">
        <f>IFERROR(__xludf.DUMMYFUNCTION("""COMPUTED_VALUE"""),69.0)</f>
        <v>69</v>
      </c>
      <c r="F3412" s="19" t="str">
        <f>IFERROR(__xludf.DUMMYFUNCTION("""COMPUTED_VALUE"""),"BLUE")</f>
        <v>BLUE</v>
      </c>
      <c r="G3412" s="20" t="str">
        <f>IFERROR(__xludf.DUMMYFUNCTION("""COMPUTED_VALUE"""),"Uncle Sams Cider (04/04/2023)")</f>
        <v>Uncle Sams Cider (04/04/2023)</v>
      </c>
      <c r="H3412" s="19"/>
    </row>
    <row r="3413">
      <c r="A3413" s="9"/>
      <c r="B3413" s="15"/>
      <c r="C3413" s="9">
        <f>IFERROR(__xludf.DUMMYFUNCTION("""COMPUTED_VALUE"""),45108.8717975694)</f>
        <v>45108.8718</v>
      </c>
      <c r="D3413" s="15">
        <f>IFERROR(__xludf.DUMMYFUNCTION("""COMPUTED_VALUE"""),1.0)</f>
        <v>1</v>
      </c>
      <c r="E3413" s="16">
        <f>IFERROR(__xludf.DUMMYFUNCTION("""COMPUTED_VALUE"""),69.0)</f>
        <v>69</v>
      </c>
      <c r="F3413" s="19" t="str">
        <f>IFERROR(__xludf.DUMMYFUNCTION("""COMPUTED_VALUE"""),"BLUE")</f>
        <v>BLUE</v>
      </c>
      <c r="G3413" s="20" t="str">
        <f>IFERROR(__xludf.DUMMYFUNCTION("""COMPUTED_VALUE"""),"Uncle Sams Cider (04/04/2023)")</f>
        <v>Uncle Sams Cider (04/04/2023)</v>
      </c>
      <c r="H3413" s="19"/>
    </row>
    <row r="3414">
      <c r="A3414" s="9"/>
      <c r="B3414" s="15"/>
      <c r="C3414" s="9">
        <f>IFERROR(__xludf.DUMMYFUNCTION("""COMPUTED_VALUE"""),45108.8613755439)</f>
        <v>45108.86138</v>
      </c>
      <c r="D3414" s="15">
        <f>IFERROR(__xludf.DUMMYFUNCTION("""COMPUTED_VALUE"""),1.0)</f>
        <v>1</v>
      </c>
      <c r="E3414" s="16">
        <f>IFERROR(__xludf.DUMMYFUNCTION("""COMPUTED_VALUE"""),69.0)</f>
        <v>69</v>
      </c>
      <c r="F3414" s="19" t="str">
        <f>IFERROR(__xludf.DUMMYFUNCTION("""COMPUTED_VALUE"""),"BLUE")</f>
        <v>BLUE</v>
      </c>
      <c r="G3414" s="20" t="str">
        <f>IFERROR(__xludf.DUMMYFUNCTION("""COMPUTED_VALUE"""),"Uncle Sams Cider (04/04/2023)")</f>
        <v>Uncle Sams Cider (04/04/2023)</v>
      </c>
      <c r="H3414" s="19"/>
    </row>
    <row r="3415">
      <c r="A3415" s="9"/>
      <c r="B3415" s="15"/>
      <c r="C3415" s="9">
        <f>IFERROR(__xludf.DUMMYFUNCTION("""COMPUTED_VALUE"""),45108.8509548842)</f>
        <v>45108.85095</v>
      </c>
      <c r="D3415" s="15">
        <f>IFERROR(__xludf.DUMMYFUNCTION("""COMPUTED_VALUE"""),1.0)</f>
        <v>1</v>
      </c>
      <c r="E3415" s="16">
        <f>IFERROR(__xludf.DUMMYFUNCTION("""COMPUTED_VALUE"""),69.0)</f>
        <v>69</v>
      </c>
      <c r="F3415" s="19" t="str">
        <f>IFERROR(__xludf.DUMMYFUNCTION("""COMPUTED_VALUE"""),"BLUE")</f>
        <v>BLUE</v>
      </c>
      <c r="G3415" s="20" t="str">
        <f>IFERROR(__xludf.DUMMYFUNCTION("""COMPUTED_VALUE"""),"Uncle Sams Cider (04/04/2023)")</f>
        <v>Uncle Sams Cider (04/04/2023)</v>
      </c>
      <c r="H3415" s="19"/>
    </row>
    <row r="3416">
      <c r="A3416" s="9"/>
      <c r="B3416" s="15"/>
      <c r="C3416" s="9">
        <f>IFERROR(__xludf.DUMMYFUNCTION("""COMPUTED_VALUE"""),45108.840532199)</f>
        <v>45108.84053</v>
      </c>
      <c r="D3416" s="15">
        <f>IFERROR(__xludf.DUMMYFUNCTION("""COMPUTED_VALUE"""),1.0)</f>
        <v>1</v>
      </c>
      <c r="E3416" s="16">
        <f>IFERROR(__xludf.DUMMYFUNCTION("""COMPUTED_VALUE"""),69.0)</f>
        <v>69</v>
      </c>
      <c r="F3416" s="19" t="str">
        <f>IFERROR(__xludf.DUMMYFUNCTION("""COMPUTED_VALUE"""),"BLUE")</f>
        <v>BLUE</v>
      </c>
      <c r="G3416" s="20" t="str">
        <f>IFERROR(__xludf.DUMMYFUNCTION("""COMPUTED_VALUE"""),"Uncle Sams Cider (04/04/2023)")</f>
        <v>Uncle Sams Cider (04/04/2023)</v>
      </c>
      <c r="H3416" s="19"/>
    </row>
    <row r="3417">
      <c r="A3417" s="9"/>
      <c r="B3417" s="15"/>
      <c r="C3417" s="9">
        <f>IFERROR(__xludf.DUMMYFUNCTION("""COMPUTED_VALUE"""),45108.8301132523)</f>
        <v>45108.83011</v>
      </c>
      <c r="D3417" s="15">
        <f>IFERROR(__xludf.DUMMYFUNCTION("""COMPUTED_VALUE"""),1.0)</f>
        <v>1</v>
      </c>
      <c r="E3417" s="16">
        <f>IFERROR(__xludf.DUMMYFUNCTION("""COMPUTED_VALUE"""),69.0)</f>
        <v>69</v>
      </c>
      <c r="F3417" s="19" t="str">
        <f>IFERROR(__xludf.DUMMYFUNCTION("""COMPUTED_VALUE"""),"BLUE")</f>
        <v>BLUE</v>
      </c>
      <c r="G3417" s="20" t="str">
        <f>IFERROR(__xludf.DUMMYFUNCTION("""COMPUTED_VALUE"""),"Uncle Sams Cider (04/04/2023)")</f>
        <v>Uncle Sams Cider (04/04/2023)</v>
      </c>
      <c r="H3417" s="19"/>
    </row>
    <row r="3418">
      <c r="A3418" s="9"/>
      <c r="B3418" s="15"/>
      <c r="C3418" s="9">
        <f>IFERROR(__xludf.DUMMYFUNCTION("""COMPUTED_VALUE"""),45108.8196920949)</f>
        <v>45108.81969</v>
      </c>
      <c r="D3418" s="15">
        <f>IFERROR(__xludf.DUMMYFUNCTION("""COMPUTED_VALUE"""),1.0)</f>
        <v>1</v>
      </c>
      <c r="E3418" s="16">
        <f>IFERROR(__xludf.DUMMYFUNCTION("""COMPUTED_VALUE"""),69.0)</f>
        <v>69</v>
      </c>
      <c r="F3418" s="19" t="str">
        <f>IFERROR(__xludf.DUMMYFUNCTION("""COMPUTED_VALUE"""),"BLUE")</f>
        <v>BLUE</v>
      </c>
      <c r="G3418" s="20" t="str">
        <f>IFERROR(__xludf.DUMMYFUNCTION("""COMPUTED_VALUE"""),"Uncle Sams Cider (04/04/2023)")</f>
        <v>Uncle Sams Cider (04/04/2023)</v>
      </c>
      <c r="H3418" s="19"/>
    </row>
    <row r="3419">
      <c r="A3419" s="9"/>
      <c r="B3419" s="15"/>
      <c r="C3419" s="9">
        <f>IFERROR(__xludf.DUMMYFUNCTION("""COMPUTED_VALUE"""),45108.8092702662)</f>
        <v>45108.80927</v>
      </c>
      <c r="D3419" s="15">
        <f>IFERROR(__xludf.DUMMYFUNCTION("""COMPUTED_VALUE"""),1.0)</f>
        <v>1</v>
      </c>
      <c r="E3419" s="16">
        <f>IFERROR(__xludf.DUMMYFUNCTION("""COMPUTED_VALUE"""),69.0)</f>
        <v>69</v>
      </c>
      <c r="F3419" s="19" t="str">
        <f>IFERROR(__xludf.DUMMYFUNCTION("""COMPUTED_VALUE"""),"BLUE")</f>
        <v>BLUE</v>
      </c>
      <c r="G3419" s="20" t="str">
        <f>IFERROR(__xludf.DUMMYFUNCTION("""COMPUTED_VALUE"""),"Uncle Sams Cider (04/04/2023)")</f>
        <v>Uncle Sams Cider (04/04/2023)</v>
      </c>
      <c r="H3419" s="19"/>
    </row>
    <row r="3420">
      <c r="A3420" s="9"/>
      <c r="B3420" s="15"/>
      <c r="C3420" s="9">
        <f>IFERROR(__xludf.DUMMYFUNCTION("""COMPUTED_VALUE"""),45108.7988478472)</f>
        <v>45108.79885</v>
      </c>
      <c r="D3420" s="15">
        <f>IFERROR(__xludf.DUMMYFUNCTION("""COMPUTED_VALUE"""),1.0)</f>
        <v>1</v>
      </c>
      <c r="E3420" s="16">
        <f>IFERROR(__xludf.DUMMYFUNCTION("""COMPUTED_VALUE"""),69.0)</f>
        <v>69</v>
      </c>
      <c r="F3420" s="19" t="str">
        <f>IFERROR(__xludf.DUMMYFUNCTION("""COMPUTED_VALUE"""),"BLUE")</f>
        <v>BLUE</v>
      </c>
      <c r="G3420" s="20" t="str">
        <f>IFERROR(__xludf.DUMMYFUNCTION("""COMPUTED_VALUE"""),"Uncle Sams Cider (04/04/2023)")</f>
        <v>Uncle Sams Cider (04/04/2023)</v>
      </c>
      <c r="H3420" s="19"/>
    </row>
    <row r="3421">
      <c r="A3421" s="9"/>
      <c r="B3421" s="15"/>
      <c r="C3421" s="9">
        <f>IFERROR(__xludf.DUMMYFUNCTION("""COMPUTED_VALUE"""),45108.7884271064)</f>
        <v>45108.78843</v>
      </c>
      <c r="D3421" s="15">
        <f>IFERROR(__xludf.DUMMYFUNCTION("""COMPUTED_VALUE"""),1.0)</f>
        <v>1</v>
      </c>
      <c r="E3421" s="16">
        <f>IFERROR(__xludf.DUMMYFUNCTION("""COMPUTED_VALUE"""),69.0)</f>
        <v>69</v>
      </c>
      <c r="F3421" s="19" t="str">
        <f>IFERROR(__xludf.DUMMYFUNCTION("""COMPUTED_VALUE"""),"BLUE")</f>
        <v>BLUE</v>
      </c>
      <c r="G3421" s="20" t="str">
        <f>IFERROR(__xludf.DUMMYFUNCTION("""COMPUTED_VALUE"""),"Uncle Sams Cider (04/04/2023)")</f>
        <v>Uncle Sams Cider (04/04/2023)</v>
      </c>
      <c r="H3421" s="19"/>
    </row>
    <row r="3422">
      <c r="A3422" s="9"/>
      <c r="B3422" s="15"/>
      <c r="C3422" s="9">
        <f>IFERROR(__xludf.DUMMYFUNCTION("""COMPUTED_VALUE"""),45108.7780054166)</f>
        <v>45108.77801</v>
      </c>
      <c r="D3422" s="15">
        <f>IFERROR(__xludf.DUMMYFUNCTION("""COMPUTED_VALUE"""),1.0)</f>
        <v>1</v>
      </c>
      <c r="E3422" s="16">
        <f>IFERROR(__xludf.DUMMYFUNCTION("""COMPUTED_VALUE"""),69.0)</f>
        <v>69</v>
      </c>
      <c r="F3422" s="19" t="str">
        <f>IFERROR(__xludf.DUMMYFUNCTION("""COMPUTED_VALUE"""),"BLUE")</f>
        <v>BLUE</v>
      </c>
      <c r="G3422" s="20" t="str">
        <f>IFERROR(__xludf.DUMMYFUNCTION("""COMPUTED_VALUE"""),"Uncle Sams Cider (04/04/2023)")</f>
        <v>Uncle Sams Cider (04/04/2023)</v>
      </c>
      <c r="H3422" s="19"/>
    </row>
    <row r="3423">
      <c r="A3423" s="9"/>
      <c r="B3423" s="15"/>
      <c r="C3423" s="9">
        <f>IFERROR(__xludf.DUMMYFUNCTION("""COMPUTED_VALUE"""),45108.7675740625)</f>
        <v>45108.76757</v>
      </c>
      <c r="D3423" s="15">
        <f>IFERROR(__xludf.DUMMYFUNCTION("""COMPUTED_VALUE"""),0.999)</f>
        <v>0.999</v>
      </c>
      <c r="E3423" s="16">
        <f>IFERROR(__xludf.DUMMYFUNCTION("""COMPUTED_VALUE"""),69.0)</f>
        <v>69</v>
      </c>
      <c r="F3423" s="19" t="str">
        <f>IFERROR(__xludf.DUMMYFUNCTION("""COMPUTED_VALUE"""),"BLUE")</f>
        <v>BLUE</v>
      </c>
      <c r="G3423" s="20" t="str">
        <f>IFERROR(__xludf.DUMMYFUNCTION("""COMPUTED_VALUE"""),"Uncle Sams Cider (04/04/2023)")</f>
        <v>Uncle Sams Cider (04/04/2023)</v>
      </c>
      <c r="H3423" s="19"/>
    </row>
    <row r="3424">
      <c r="A3424" s="9"/>
      <c r="B3424" s="15"/>
      <c r="C3424" s="9">
        <f>IFERROR(__xludf.DUMMYFUNCTION("""COMPUTED_VALUE"""),45108.7571519675)</f>
        <v>45108.75715</v>
      </c>
      <c r="D3424" s="15">
        <f>IFERROR(__xludf.DUMMYFUNCTION("""COMPUTED_VALUE"""),1.0)</f>
        <v>1</v>
      </c>
      <c r="E3424" s="16">
        <f>IFERROR(__xludf.DUMMYFUNCTION("""COMPUTED_VALUE"""),69.0)</f>
        <v>69</v>
      </c>
      <c r="F3424" s="19" t="str">
        <f>IFERROR(__xludf.DUMMYFUNCTION("""COMPUTED_VALUE"""),"BLUE")</f>
        <v>BLUE</v>
      </c>
      <c r="G3424" s="20" t="str">
        <f>IFERROR(__xludf.DUMMYFUNCTION("""COMPUTED_VALUE"""),"Uncle Sams Cider (04/04/2023)")</f>
        <v>Uncle Sams Cider (04/04/2023)</v>
      </c>
      <c r="H3424" s="19"/>
    </row>
    <row r="3425">
      <c r="A3425" s="9"/>
      <c r="B3425" s="15"/>
      <c r="C3425" s="9">
        <f>IFERROR(__xludf.DUMMYFUNCTION("""COMPUTED_VALUE"""),45108.7467298726)</f>
        <v>45108.74673</v>
      </c>
      <c r="D3425" s="15">
        <f>IFERROR(__xludf.DUMMYFUNCTION("""COMPUTED_VALUE"""),1.0)</f>
        <v>1</v>
      </c>
      <c r="E3425" s="16">
        <f>IFERROR(__xludf.DUMMYFUNCTION("""COMPUTED_VALUE"""),69.0)</f>
        <v>69</v>
      </c>
      <c r="F3425" s="19" t="str">
        <f>IFERROR(__xludf.DUMMYFUNCTION("""COMPUTED_VALUE"""),"BLUE")</f>
        <v>BLUE</v>
      </c>
      <c r="G3425" s="20" t="str">
        <f>IFERROR(__xludf.DUMMYFUNCTION("""COMPUTED_VALUE"""),"Uncle Sams Cider (04/04/2023)")</f>
        <v>Uncle Sams Cider (04/04/2023)</v>
      </c>
      <c r="H3425" s="19"/>
    </row>
    <row r="3426">
      <c r="A3426" s="9"/>
      <c r="B3426" s="15"/>
      <c r="C3426" s="9">
        <f>IFERROR(__xludf.DUMMYFUNCTION("""COMPUTED_VALUE"""),45108.7363080324)</f>
        <v>45108.73631</v>
      </c>
      <c r="D3426" s="15">
        <f>IFERROR(__xludf.DUMMYFUNCTION("""COMPUTED_VALUE"""),1.0)</f>
        <v>1</v>
      </c>
      <c r="E3426" s="16">
        <f>IFERROR(__xludf.DUMMYFUNCTION("""COMPUTED_VALUE"""),69.0)</f>
        <v>69</v>
      </c>
      <c r="F3426" s="19" t="str">
        <f>IFERROR(__xludf.DUMMYFUNCTION("""COMPUTED_VALUE"""),"BLUE")</f>
        <v>BLUE</v>
      </c>
      <c r="G3426" s="20" t="str">
        <f>IFERROR(__xludf.DUMMYFUNCTION("""COMPUTED_VALUE"""),"Uncle Sams Cider (04/04/2023)")</f>
        <v>Uncle Sams Cider (04/04/2023)</v>
      </c>
      <c r="H3426" s="19"/>
    </row>
    <row r="3427">
      <c r="A3427" s="9"/>
      <c r="B3427" s="15"/>
      <c r="C3427" s="9">
        <f>IFERROR(__xludf.DUMMYFUNCTION("""COMPUTED_VALUE"""),45108.7258874884)</f>
        <v>45108.72589</v>
      </c>
      <c r="D3427" s="15">
        <f>IFERROR(__xludf.DUMMYFUNCTION("""COMPUTED_VALUE"""),0.999)</f>
        <v>0.999</v>
      </c>
      <c r="E3427" s="16">
        <f>IFERROR(__xludf.DUMMYFUNCTION("""COMPUTED_VALUE"""),69.0)</f>
        <v>69</v>
      </c>
      <c r="F3427" s="19" t="str">
        <f>IFERROR(__xludf.DUMMYFUNCTION("""COMPUTED_VALUE"""),"BLUE")</f>
        <v>BLUE</v>
      </c>
      <c r="G3427" s="20" t="str">
        <f>IFERROR(__xludf.DUMMYFUNCTION("""COMPUTED_VALUE"""),"Uncle Sams Cider (04/04/2023)")</f>
        <v>Uncle Sams Cider (04/04/2023)</v>
      </c>
      <c r="H3427" s="19"/>
    </row>
    <row r="3428">
      <c r="A3428" s="9"/>
      <c r="B3428" s="15"/>
      <c r="C3428" s="9">
        <f>IFERROR(__xludf.DUMMYFUNCTION("""COMPUTED_VALUE"""),45108.715456412)</f>
        <v>45108.71546</v>
      </c>
      <c r="D3428" s="15">
        <f>IFERROR(__xludf.DUMMYFUNCTION("""COMPUTED_VALUE"""),1.0)</f>
        <v>1</v>
      </c>
      <c r="E3428" s="16">
        <f>IFERROR(__xludf.DUMMYFUNCTION("""COMPUTED_VALUE"""),69.0)</f>
        <v>69</v>
      </c>
      <c r="F3428" s="19" t="str">
        <f>IFERROR(__xludf.DUMMYFUNCTION("""COMPUTED_VALUE"""),"BLUE")</f>
        <v>BLUE</v>
      </c>
      <c r="G3428" s="20" t="str">
        <f>IFERROR(__xludf.DUMMYFUNCTION("""COMPUTED_VALUE"""),"Uncle Sams Cider (04/04/2023)")</f>
        <v>Uncle Sams Cider (04/04/2023)</v>
      </c>
      <c r="H3428" s="19"/>
    </row>
    <row r="3429">
      <c r="A3429" s="9"/>
      <c r="B3429" s="15"/>
      <c r="C3429" s="9">
        <f>IFERROR(__xludf.DUMMYFUNCTION("""COMPUTED_VALUE"""),45108.7050351851)</f>
        <v>45108.70504</v>
      </c>
      <c r="D3429" s="15">
        <f>IFERROR(__xludf.DUMMYFUNCTION("""COMPUTED_VALUE"""),1.0)</f>
        <v>1</v>
      </c>
      <c r="E3429" s="16">
        <f>IFERROR(__xludf.DUMMYFUNCTION("""COMPUTED_VALUE"""),69.0)</f>
        <v>69</v>
      </c>
      <c r="F3429" s="19" t="str">
        <f>IFERROR(__xludf.DUMMYFUNCTION("""COMPUTED_VALUE"""),"BLUE")</f>
        <v>BLUE</v>
      </c>
      <c r="G3429" s="20" t="str">
        <f>IFERROR(__xludf.DUMMYFUNCTION("""COMPUTED_VALUE"""),"Uncle Sams Cider (04/04/2023)")</f>
        <v>Uncle Sams Cider (04/04/2023)</v>
      </c>
      <c r="H3429" s="19"/>
    </row>
    <row r="3430">
      <c r="A3430" s="9"/>
      <c r="B3430" s="15"/>
      <c r="C3430" s="9">
        <f>IFERROR(__xludf.DUMMYFUNCTION("""COMPUTED_VALUE"""),45108.6946158796)</f>
        <v>45108.69462</v>
      </c>
      <c r="D3430" s="15">
        <f>IFERROR(__xludf.DUMMYFUNCTION("""COMPUTED_VALUE"""),1.0)</f>
        <v>1</v>
      </c>
      <c r="E3430" s="16">
        <f>IFERROR(__xludf.DUMMYFUNCTION("""COMPUTED_VALUE"""),69.0)</f>
        <v>69</v>
      </c>
      <c r="F3430" s="19" t="str">
        <f>IFERROR(__xludf.DUMMYFUNCTION("""COMPUTED_VALUE"""),"BLUE")</f>
        <v>BLUE</v>
      </c>
      <c r="G3430" s="20" t="str">
        <f>IFERROR(__xludf.DUMMYFUNCTION("""COMPUTED_VALUE"""),"Uncle Sams Cider (04/04/2023)")</f>
        <v>Uncle Sams Cider (04/04/2023)</v>
      </c>
      <c r="H3430" s="19"/>
    </row>
    <row r="3431">
      <c r="A3431" s="9"/>
      <c r="B3431" s="15"/>
      <c r="C3431" s="9">
        <f>IFERROR(__xludf.DUMMYFUNCTION("""COMPUTED_VALUE"""),45108.6841942013)</f>
        <v>45108.68419</v>
      </c>
      <c r="D3431" s="15">
        <f>IFERROR(__xludf.DUMMYFUNCTION("""COMPUTED_VALUE"""),1.0)</f>
        <v>1</v>
      </c>
      <c r="E3431" s="16">
        <f>IFERROR(__xludf.DUMMYFUNCTION("""COMPUTED_VALUE"""),69.0)</f>
        <v>69</v>
      </c>
      <c r="F3431" s="19" t="str">
        <f>IFERROR(__xludf.DUMMYFUNCTION("""COMPUTED_VALUE"""),"BLUE")</f>
        <v>BLUE</v>
      </c>
      <c r="G3431" s="20" t="str">
        <f>IFERROR(__xludf.DUMMYFUNCTION("""COMPUTED_VALUE"""),"Uncle Sams Cider (04/04/2023)")</f>
        <v>Uncle Sams Cider (04/04/2023)</v>
      </c>
      <c r="H3431" s="19"/>
    </row>
    <row r="3432">
      <c r="A3432" s="9"/>
      <c r="B3432" s="15"/>
      <c r="C3432" s="9">
        <f>IFERROR(__xludf.DUMMYFUNCTION("""COMPUTED_VALUE"""),45108.6737732638)</f>
        <v>45108.67377</v>
      </c>
      <c r="D3432" s="15">
        <f>IFERROR(__xludf.DUMMYFUNCTION("""COMPUTED_VALUE"""),1.0)</f>
        <v>1</v>
      </c>
      <c r="E3432" s="16">
        <f>IFERROR(__xludf.DUMMYFUNCTION("""COMPUTED_VALUE"""),69.0)</f>
        <v>69</v>
      </c>
      <c r="F3432" s="19" t="str">
        <f>IFERROR(__xludf.DUMMYFUNCTION("""COMPUTED_VALUE"""),"BLUE")</f>
        <v>BLUE</v>
      </c>
      <c r="G3432" s="20" t="str">
        <f>IFERROR(__xludf.DUMMYFUNCTION("""COMPUTED_VALUE"""),"Uncle Sams Cider (04/04/2023)")</f>
        <v>Uncle Sams Cider (04/04/2023)</v>
      </c>
      <c r="H3432" s="19"/>
    </row>
    <row r="3433">
      <c r="A3433" s="9"/>
      <c r="B3433" s="15"/>
      <c r="C3433" s="9">
        <f>IFERROR(__xludf.DUMMYFUNCTION("""COMPUTED_VALUE"""),45108.663353449)</f>
        <v>45108.66335</v>
      </c>
      <c r="D3433" s="15">
        <f>IFERROR(__xludf.DUMMYFUNCTION("""COMPUTED_VALUE"""),1.0)</f>
        <v>1</v>
      </c>
      <c r="E3433" s="16">
        <f>IFERROR(__xludf.DUMMYFUNCTION("""COMPUTED_VALUE"""),69.0)</f>
        <v>69</v>
      </c>
      <c r="F3433" s="19" t="str">
        <f>IFERROR(__xludf.DUMMYFUNCTION("""COMPUTED_VALUE"""),"BLUE")</f>
        <v>BLUE</v>
      </c>
      <c r="G3433" s="20" t="str">
        <f>IFERROR(__xludf.DUMMYFUNCTION("""COMPUTED_VALUE"""),"Uncle Sams Cider (04/04/2023)")</f>
        <v>Uncle Sams Cider (04/04/2023)</v>
      </c>
      <c r="H3433" s="19"/>
    </row>
    <row r="3434">
      <c r="A3434" s="9"/>
      <c r="B3434" s="15"/>
      <c r="C3434" s="9">
        <f>IFERROR(__xludf.DUMMYFUNCTION("""COMPUTED_VALUE"""),45108.6529320486)</f>
        <v>45108.65293</v>
      </c>
      <c r="D3434" s="15">
        <f>IFERROR(__xludf.DUMMYFUNCTION("""COMPUTED_VALUE"""),1.0)</f>
        <v>1</v>
      </c>
      <c r="E3434" s="16">
        <f>IFERROR(__xludf.DUMMYFUNCTION("""COMPUTED_VALUE"""),69.0)</f>
        <v>69</v>
      </c>
      <c r="F3434" s="19" t="str">
        <f>IFERROR(__xludf.DUMMYFUNCTION("""COMPUTED_VALUE"""),"BLUE")</f>
        <v>BLUE</v>
      </c>
      <c r="G3434" s="20" t="str">
        <f>IFERROR(__xludf.DUMMYFUNCTION("""COMPUTED_VALUE"""),"Uncle Sams Cider (04/04/2023)")</f>
        <v>Uncle Sams Cider (04/04/2023)</v>
      </c>
      <c r="H3434" s="19"/>
    </row>
    <row r="3435">
      <c r="A3435" s="9"/>
      <c r="B3435" s="15"/>
      <c r="C3435" s="9">
        <f>IFERROR(__xludf.DUMMYFUNCTION("""COMPUTED_VALUE"""),45108.6425101736)</f>
        <v>45108.64251</v>
      </c>
      <c r="D3435" s="15">
        <f>IFERROR(__xludf.DUMMYFUNCTION("""COMPUTED_VALUE"""),1.0)</f>
        <v>1</v>
      </c>
      <c r="E3435" s="16">
        <f>IFERROR(__xludf.DUMMYFUNCTION("""COMPUTED_VALUE"""),69.0)</f>
        <v>69</v>
      </c>
      <c r="F3435" s="19" t="str">
        <f>IFERROR(__xludf.DUMMYFUNCTION("""COMPUTED_VALUE"""),"BLUE")</f>
        <v>BLUE</v>
      </c>
      <c r="G3435" s="20" t="str">
        <f>IFERROR(__xludf.DUMMYFUNCTION("""COMPUTED_VALUE"""),"Uncle Sams Cider (04/04/2023)")</f>
        <v>Uncle Sams Cider (04/04/2023)</v>
      </c>
      <c r="H3435" s="19"/>
    </row>
    <row r="3436">
      <c r="A3436" s="9"/>
      <c r="B3436" s="15"/>
      <c r="C3436" s="9">
        <f>IFERROR(__xludf.DUMMYFUNCTION("""COMPUTED_VALUE"""),45108.6320904398)</f>
        <v>45108.63209</v>
      </c>
      <c r="D3436" s="15">
        <f>IFERROR(__xludf.DUMMYFUNCTION("""COMPUTED_VALUE"""),1.0)</f>
        <v>1</v>
      </c>
      <c r="E3436" s="16">
        <f>IFERROR(__xludf.DUMMYFUNCTION("""COMPUTED_VALUE"""),69.0)</f>
        <v>69</v>
      </c>
      <c r="F3436" s="19" t="str">
        <f>IFERROR(__xludf.DUMMYFUNCTION("""COMPUTED_VALUE"""),"BLUE")</f>
        <v>BLUE</v>
      </c>
      <c r="G3436" s="20" t="str">
        <f>IFERROR(__xludf.DUMMYFUNCTION("""COMPUTED_VALUE"""),"Uncle Sams Cider (04/04/2023)")</f>
        <v>Uncle Sams Cider (04/04/2023)</v>
      </c>
      <c r="H3436" s="19"/>
    </row>
    <row r="3437">
      <c r="A3437" s="9"/>
      <c r="B3437" s="15"/>
      <c r="C3437" s="9">
        <f>IFERROR(__xludf.DUMMYFUNCTION("""COMPUTED_VALUE"""),45108.6216711226)</f>
        <v>45108.62167</v>
      </c>
      <c r="D3437" s="15">
        <f>IFERROR(__xludf.DUMMYFUNCTION("""COMPUTED_VALUE"""),1.0)</f>
        <v>1</v>
      </c>
      <c r="E3437" s="16">
        <f>IFERROR(__xludf.DUMMYFUNCTION("""COMPUTED_VALUE"""),69.0)</f>
        <v>69</v>
      </c>
      <c r="F3437" s="19" t="str">
        <f>IFERROR(__xludf.DUMMYFUNCTION("""COMPUTED_VALUE"""),"BLUE")</f>
        <v>BLUE</v>
      </c>
      <c r="G3437" s="20" t="str">
        <f>IFERROR(__xludf.DUMMYFUNCTION("""COMPUTED_VALUE"""),"Uncle Sams Cider (04/04/2023)")</f>
        <v>Uncle Sams Cider (04/04/2023)</v>
      </c>
      <c r="H3437" s="19"/>
    </row>
    <row r="3438">
      <c r="A3438" s="9"/>
      <c r="B3438" s="15"/>
      <c r="C3438" s="9">
        <f>IFERROR(__xludf.DUMMYFUNCTION("""COMPUTED_VALUE"""),45108.6112511574)</f>
        <v>45108.61125</v>
      </c>
      <c r="D3438" s="15">
        <f>IFERROR(__xludf.DUMMYFUNCTION("""COMPUTED_VALUE"""),1.0)</f>
        <v>1</v>
      </c>
      <c r="E3438" s="16">
        <f>IFERROR(__xludf.DUMMYFUNCTION("""COMPUTED_VALUE"""),69.0)</f>
        <v>69</v>
      </c>
      <c r="F3438" s="19" t="str">
        <f>IFERROR(__xludf.DUMMYFUNCTION("""COMPUTED_VALUE"""),"BLUE")</f>
        <v>BLUE</v>
      </c>
      <c r="G3438" s="20" t="str">
        <f>IFERROR(__xludf.DUMMYFUNCTION("""COMPUTED_VALUE"""),"Uncle Sams Cider (04/04/2023)")</f>
        <v>Uncle Sams Cider (04/04/2023)</v>
      </c>
      <c r="H3438" s="19"/>
    </row>
    <row r="3439">
      <c r="A3439" s="9"/>
      <c r="B3439" s="15"/>
      <c r="C3439" s="9">
        <f>IFERROR(__xludf.DUMMYFUNCTION("""COMPUTED_VALUE"""),45108.6008308101)</f>
        <v>45108.60083</v>
      </c>
      <c r="D3439" s="15">
        <f>IFERROR(__xludf.DUMMYFUNCTION("""COMPUTED_VALUE"""),1.0)</f>
        <v>1</v>
      </c>
      <c r="E3439" s="16">
        <f>IFERROR(__xludf.DUMMYFUNCTION("""COMPUTED_VALUE"""),69.0)</f>
        <v>69</v>
      </c>
      <c r="F3439" s="19" t="str">
        <f>IFERROR(__xludf.DUMMYFUNCTION("""COMPUTED_VALUE"""),"BLUE")</f>
        <v>BLUE</v>
      </c>
      <c r="G3439" s="20" t="str">
        <f>IFERROR(__xludf.DUMMYFUNCTION("""COMPUTED_VALUE"""),"Uncle Sams Cider (04/04/2023)")</f>
        <v>Uncle Sams Cider (04/04/2023)</v>
      </c>
      <c r="H3439" s="19"/>
    </row>
    <row r="3440">
      <c r="A3440" s="9"/>
      <c r="B3440" s="15"/>
      <c r="C3440" s="9">
        <f>IFERROR(__xludf.DUMMYFUNCTION("""COMPUTED_VALUE"""),45108.5903866203)</f>
        <v>45108.59039</v>
      </c>
      <c r="D3440" s="15">
        <f>IFERROR(__xludf.DUMMYFUNCTION("""COMPUTED_VALUE"""),0.999)</f>
        <v>0.999</v>
      </c>
      <c r="E3440" s="16">
        <f>IFERROR(__xludf.DUMMYFUNCTION("""COMPUTED_VALUE"""),69.0)</f>
        <v>69</v>
      </c>
      <c r="F3440" s="19" t="str">
        <f>IFERROR(__xludf.DUMMYFUNCTION("""COMPUTED_VALUE"""),"BLUE")</f>
        <v>BLUE</v>
      </c>
      <c r="G3440" s="20" t="str">
        <f>IFERROR(__xludf.DUMMYFUNCTION("""COMPUTED_VALUE"""),"Uncle Sams Cider (04/04/2023)")</f>
        <v>Uncle Sams Cider (04/04/2023)</v>
      </c>
      <c r="H3440" s="19"/>
    </row>
    <row r="3441">
      <c r="A3441" s="9"/>
      <c r="B3441" s="15"/>
      <c r="C3441" s="9">
        <f>IFERROR(__xludf.DUMMYFUNCTION("""COMPUTED_VALUE"""),45108.5799648148)</f>
        <v>45108.57996</v>
      </c>
      <c r="D3441" s="15">
        <f>IFERROR(__xludf.DUMMYFUNCTION("""COMPUTED_VALUE"""),1.0)</f>
        <v>1</v>
      </c>
      <c r="E3441" s="16">
        <f>IFERROR(__xludf.DUMMYFUNCTION("""COMPUTED_VALUE"""),69.0)</f>
        <v>69</v>
      </c>
      <c r="F3441" s="19" t="str">
        <f>IFERROR(__xludf.DUMMYFUNCTION("""COMPUTED_VALUE"""),"BLUE")</f>
        <v>BLUE</v>
      </c>
      <c r="G3441" s="20" t="str">
        <f>IFERROR(__xludf.DUMMYFUNCTION("""COMPUTED_VALUE"""),"Uncle Sams Cider (04/04/2023)")</f>
        <v>Uncle Sams Cider (04/04/2023)</v>
      </c>
      <c r="H3441" s="19"/>
    </row>
    <row r="3442">
      <c r="A3442" s="9"/>
      <c r="B3442" s="15"/>
      <c r="C3442" s="9">
        <f>IFERROR(__xludf.DUMMYFUNCTION("""COMPUTED_VALUE"""),45108.5695413657)</f>
        <v>45108.56954</v>
      </c>
      <c r="D3442" s="15">
        <f>IFERROR(__xludf.DUMMYFUNCTION("""COMPUTED_VALUE"""),1.0)</f>
        <v>1</v>
      </c>
      <c r="E3442" s="16">
        <f>IFERROR(__xludf.DUMMYFUNCTION("""COMPUTED_VALUE"""),69.0)</f>
        <v>69</v>
      </c>
      <c r="F3442" s="19" t="str">
        <f>IFERROR(__xludf.DUMMYFUNCTION("""COMPUTED_VALUE"""),"BLUE")</f>
        <v>BLUE</v>
      </c>
      <c r="G3442" s="20" t="str">
        <f>IFERROR(__xludf.DUMMYFUNCTION("""COMPUTED_VALUE"""),"Uncle Sams Cider (04/04/2023)")</f>
        <v>Uncle Sams Cider (04/04/2023)</v>
      </c>
      <c r="H3442" s="19"/>
    </row>
    <row r="3443">
      <c r="A3443" s="9"/>
      <c r="B3443" s="15"/>
      <c r="C3443" s="9">
        <f>IFERROR(__xludf.DUMMYFUNCTION("""COMPUTED_VALUE"""),45108.5591202199)</f>
        <v>45108.55912</v>
      </c>
      <c r="D3443" s="15">
        <f>IFERROR(__xludf.DUMMYFUNCTION("""COMPUTED_VALUE"""),1.0)</f>
        <v>1</v>
      </c>
      <c r="E3443" s="16">
        <f>IFERROR(__xludf.DUMMYFUNCTION("""COMPUTED_VALUE"""),69.0)</f>
        <v>69</v>
      </c>
      <c r="F3443" s="19" t="str">
        <f>IFERROR(__xludf.DUMMYFUNCTION("""COMPUTED_VALUE"""),"BLUE")</f>
        <v>BLUE</v>
      </c>
      <c r="G3443" s="20" t="str">
        <f>IFERROR(__xludf.DUMMYFUNCTION("""COMPUTED_VALUE"""),"Uncle Sams Cider (04/04/2023)")</f>
        <v>Uncle Sams Cider (04/04/2023)</v>
      </c>
      <c r="H3443" s="19"/>
    </row>
    <row r="3444">
      <c r="A3444" s="9"/>
      <c r="B3444" s="15"/>
      <c r="C3444" s="9">
        <f>IFERROR(__xludf.DUMMYFUNCTION("""COMPUTED_VALUE"""),45108.5486990393)</f>
        <v>45108.5487</v>
      </c>
      <c r="D3444" s="15">
        <f>IFERROR(__xludf.DUMMYFUNCTION("""COMPUTED_VALUE"""),1.0)</f>
        <v>1</v>
      </c>
      <c r="E3444" s="16">
        <f>IFERROR(__xludf.DUMMYFUNCTION("""COMPUTED_VALUE"""),69.0)</f>
        <v>69</v>
      </c>
      <c r="F3444" s="19" t="str">
        <f>IFERROR(__xludf.DUMMYFUNCTION("""COMPUTED_VALUE"""),"BLUE")</f>
        <v>BLUE</v>
      </c>
      <c r="G3444" s="20" t="str">
        <f>IFERROR(__xludf.DUMMYFUNCTION("""COMPUTED_VALUE"""),"Uncle Sams Cider (04/04/2023)")</f>
        <v>Uncle Sams Cider (04/04/2023)</v>
      </c>
      <c r="H3444" s="19"/>
    </row>
    <row r="3445">
      <c r="A3445" s="9"/>
      <c r="B3445" s="15"/>
      <c r="C3445" s="9">
        <f>IFERROR(__xludf.DUMMYFUNCTION("""COMPUTED_VALUE"""),45108.5382534606)</f>
        <v>45108.53825</v>
      </c>
      <c r="D3445" s="15">
        <f>IFERROR(__xludf.DUMMYFUNCTION("""COMPUTED_VALUE"""),1.0)</f>
        <v>1</v>
      </c>
      <c r="E3445" s="16">
        <f>IFERROR(__xludf.DUMMYFUNCTION("""COMPUTED_VALUE"""),69.0)</f>
        <v>69</v>
      </c>
      <c r="F3445" s="19" t="str">
        <f>IFERROR(__xludf.DUMMYFUNCTION("""COMPUTED_VALUE"""),"BLUE")</f>
        <v>BLUE</v>
      </c>
      <c r="G3445" s="20" t="str">
        <f>IFERROR(__xludf.DUMMYFUNCTION("""COMPUTED_VALUE"""),"Uncle Sams Cider (04/04/2023)")</f>
        <v>Uncle Sams Cider (04/04/2023)</v>
      </c>
      <c r="H3445" s="19"/>
    </row>
    <row r="3446">
      <c r="A3446" s="9"/>
      <c r="B3446" s="15"/>
      <c r="C3446" s="9">
        <f>IFERROR(__xludf.DUMMYFUNCTION("""COMPUTED_VALUE"""),45108.5278317939)</f>
        <v>45108.52783</v>
      </c>
      <c r="D3446" s="15">
        <f>IFERROR(__xludf.DUMMYFUNCTION("""COMPUTED_VALUE"""),0.999)</f>
        <v>0.999</v>
      </c>
      <c r="E3446" s="16">
        <f>IFERROR(__xludf.DUMMYFUNCTION("""COMPUTED_VALUE"""),69.0)</f>
        <v>69</v>
      </c>
      <c r="F3446" s="19" t="str">
        <f>IFERROR(__xludf.DUMMYFUNCTION("""COMPUTED_VALUE"""),"BLUE")</f>
        <v>BLUE</v>
      </c>
      <c r="G3446" s="20" t="str">
        <f>IFERROR(__xludf.DUMMYFUNCTION("""COMPUTED_VALUE"""),"Uncle Sams Cider (04/04/2023)")</f>
        <v>Uncle Sams Cider (04/04/2023)</v>
      </c>
      <c r="H3446" s="19"/>
    </row>
    <row r="3447">
      <c r="A3447" s="9"/>
      <c r="B3447" s="15"/>
      <c r="C3447" s="9">
        <f>IFERROR(__xludf.DUMMYFUNCTION("""COMPUTED_VALUE"""),45108.5174110069)</f>
        <v>45108.51741</v>
      </c>
      <c r="D3447" s="15">
        <f>IFERROR(__xludf.DUMMYFUNCTION("""COMPUTED_VALUE"""),1.0)</f>
        <v>1</v>
      </c>
      <c r="E3447" s="16">
        <f>IFERROR(__xludf.DUMMYFUNCTION("""COMPUTED_VALUE"""),69.0)</f>
        <v>69</v>
      </c>
      <c r="F3447" s="19" t="str">
        <f>IFERROR(__xludf.DUMMYFUNCTION("""COMPUTED_VALUE"""),"BLUE")</f>
        <v>BLUE</v>
      </c>
      <c r="G3447" s="20" t="str">
        <f>IFERROR(__xludf.DUMMYFUNCTION("""COMPUTED_VALUE"""),"Uncle Sams Cider (04/04/2023)")</f>
        <v>Uncle Sams Cider (04/04/2023)</v>
      </c>
      <c r="H3447" s="19"/>
    </row>
    <row r="3448">
      <c r="A3448" s="9"/>
      <c r="B3448" s="15"/>
      <c r="C3448" s="9">
        <f>IFERROR(__xludf.DUMMYFUNCTION("""COMPUTED_VALUE"""),45108.5069893518)</f>
        <v>45108.50699</v>
      </c>
      <c r="D3448" s="15">
        <f>IFERROR(__xludf.DUMMYFUNCTION("""COMPUTED_VALUE"""),1.0)</f>
        <v>1</v>
      </c>
      <c r="E3448" s="16">
        <f>IFERROR(__xludf.DUMMYFUNCTION("""COMPUTED_VALUE"""),69.0)</f>
        <v>69</v>
      </c>
      <c r="F3448" s="19" t="str">
        <f>IFERROR(__xludf.DUMMYFUNCTION("""COMPUTED_VALUE"""),"BLUE")</f>
        <v>BLUE</v>
      </c>
      <c r="G3448" s="20" t="str">
        <f>IFERROR(__xludf.DUMMYFUNCTION("""COMPUTED_VALUE"""),"Uncle Sams Cider (04/04/2023)")</f>
        <v>Uncle Sams Cider (04/04/2023)</v>
      </c>
      <c r="H3448" s="19"/>
    </row>
    <row r="3449">
      <c r="A3449" s="9"/>
      <c r="B3449" s="15"/>
      <c r="C3449" s="9">
        <f>IFERROR(__xludf.DUMMYFUNCTION("""COMPUTED_VALUE"""),45108.4965684722)</f>
        <v>45108.49657</v>
      </c>
      <c r="D3449" s="15">
        <f>IFERROR(__xludf.DUMMYFUNCTION("""COMPUTED_VALUE"""),1.0)</f>
        <v>1</v>
      </c>
      <c r="E3449" s="16">
        <f>IFERROR(__xludf.DUMMYFUNCTION("""COMPUTED_VALUE"""),69.0)</f>
        <v>69</v>
      </c>
      <c r="F3449" s="19" t="str">
        <f>IFERROR(__xludf.DUMMYFUNCTION("""COMPUTED_VALUE"""),"BLUE")</f>
        <v>BLUE</v>
      </c>
      <c r="G3449" s="20" t="str">
        <f>IFERROR(__xludf.DUMMYFUNCTION("""COMPUTED_VALUE"""),"Uncle Sams Cider (04/04/2023)")</f>
        <v>Uncle Sams Cider (04/04/2023)</v>
      </c>
      <c r="H3449" s="19"/>
    </row>
    <row r="3450">
      <c r="A3450" s="9"/>
      <c r="B3450" s="15"/>
      <c r="C3450" s="9">
        <f>IFERROR(__xludf.DUMMYFUNCTION("""COMPUTED_VALUE"""),45108.4861456944)</f>
        <v>45108.48615</v>
      </c>
      <c r="D3450" s="15">
        <f>IFERROR(__xludf.DUMMYFUNCTION("""COMPUTED_VALUE"""),1.0)</f>
        <v>1</v>
      </c>
      <c r="E3450" s="16">
        <f>IFERROR(__xludf.DUMMYFUNCTION("""COMPUTED_VALUE"""),69.0)</f>
        <v>69</v>
      </c>
      <c r="F3450" s="19" t="str">
        <f>IFERROR(__xludf.DUMMYFUNCTION("""COMPUTED_VALUE"""),"BLUE")</f>
        <v>BLUE</v>
      </c>
      <c r="G3450" s="20" t="str">
        <f>IFERROR(__xludf.DUMMYFUNCTION("""COMPUTED_VALUE"""),"Uncle Sams Cider (04/04/2023)")</f>
        <v>Uncle Sams Cider (04/04/2023)</v>
      </c>
      <c r="H3450" s="19"/>
    </row>
    <row r="3451">
      <c r="A3451" s="9"/>
      <c r="B3451" s="15"/>
      <c r="C3451" s="9">
        <f>IFERROR(__xludf.DUMMYFUNCTION("""COMPUTED_VALUE"""),45108.4757252893)</f>
        <v>45108.47573</v>
      </c>
      <c r="D3451" s="15">
        <f>IFERROR(__xludf.DUMMYFUNCTION("""COMPUTED_VALUE"""),1.0)</f>
        <v>1</v>
      </c>
      <c r="E3451" s="16">
        <f>IFERROR(__xludf.DUMMYFUNCTION("""COMPUTED_VALUE"""),69.0)</f>
        <v>69</v>
      </c>
      <c r="F3451" s="19" t="str">
        <f>IFERROR(__xludf.DUMMYFUNCTION("""COMPUTED_VALUE"""),"BLUE")</f>
        <v>BLUE</v>
      </c>
      <c r="G3451" s="20" t="str">
        <f>IFERROR(__xludf.DUMMYFUNCTION("""COMPUTED_VALUE"""),"Uncle Sams Cider (04/04/2023)")</f>
        <v>Uncle Sams Cider (04/04/2023)</v>
      </c>
      <c r="H3451" s="19"/>
    </row>
    <row r="3452">
      <c r="A3452" s="9"/>
      <c r="B3452" s="15"/>
      <c r="C3452" s="9">
        <f>IFERROR(__xludf.DUMMYFUNCTION("""COMPUTED_VALUE"""),45108.4653052662)</f>
        <v>45108.46531</v>
      </c>
      <c r="D3452" s="15">
        <f>IFERROR(__xludf.DUMMYFUNCTION("""COMPUTED_VALUE"""),1.0)</f>
        <v>1</v>
      </c>
      <c r="E3452" s="16">
        <f>IFERROR(__xludf.DUMMYFUNCTION("""COMPUTED_VALUE"""),69.0)</f>
        <v>69</v>
      </c>
      <c r="F3452" s="19" t="str">
        <f>IFERROR(__xludf.DUMMYFUNCTION("""COMPUTED_VALUE"""),"BLUE")</f>
        <v>BLUE</v>
      </c>
      <c r="G3452" s="20" t="str">
        <f>IFERROR(__xludf.DUMMYFUNCTION("""COMPUTED_VALUE"""),"Uncle Sams Cider (04/04/2023)")</f>
        <v>Uncle Sams Cider (04/04/2023)</v>
      </c>
      <c r="H3452" s="19"/>
    </row>
    <row r="3453">
      <c r="A3453" s="9"/>
      <c r="B3453" s="15"/>
      <c r="C3453" s="9">
        <f>IFERROR(__xludf.DUMMYFUNCTION("""COMPUTED_VALUE"""),45108.4548844328)</f>
        <v>45108.45488</v>
      </c>
      <c r="D3453" s="15">
        <f>IFERROR(__xludf.DUMMYFUNCTION("""COMPUTED_VALUE"""),1.0)</f>
        <v>1</v>
      </c>
      <c r="E3453" s="16">
        <f>IFERROR(__xludf.DUMMYFUNCTION("""COMPUTED_VALUE"""),69.0)</f>
        <v>69</v>
      </c>
      <c r="F3453" s="19" t="str">
        <f>IFERROR(__xludf.DUMMYFUNCTION("""COMPUTED_VALUE"""),"BLUE")</f>
        <v>BLUE</v>
      </c>
      <c r="G3453" s="20" t="str">
        <f>IFERROR(__xludf.DUMMYFUNCTION("""COMPUTED_VALUE"""),"Uncle Sams Cider (04/04/2023)")</f>
        <v>Uncle Sams Cider (04/04/2023)</v>
      </c>
      <c r="H3453" s="19"/>
    </row>
    <row r="3454">
      <c r="A3454" s="9"/>
      <c r="B3454" s="15"/>
      <c r="C3454" s="9">
        <f>IFERROR(__xludf.DUMMYFUNCTION("""COMPUTED_VALUE"""),45108.4444638078)</f>
        <v>45108.44446</v>
      </c>
      <c r="D3454" s="15">
        <f>IFERROR(__xludf.DUMMYFUNCTION("""COMPUTED_VALUE"""),1.0)</f>
        <v>1</v>
      </c>
      <c r="E3454" s="16">
        <f>IFERROR(__xludf.DUMMYFUNCTION("""COMPUTED_VALUE"""),69.0)</f>
        <v>69</v>
      </c>
      <c r="F3454" s="19" t="str">
        <f>IFERROR(__xludf.DUMMYFUNCTION("""COMPUTED_VALUE"""),"BLUE")</f>
        <v>BLUE</v>
      </c>
      <c r="G3454" s="20" t="str">
        <f>IFERROR(__xludf.DUMMYFUNCTION("""COMPUTED_VALUE"""),"Uncle Sams Cider (04/04/2023)")</f>
        <v>Uncle Sams Cider (04/04/2023)</v>
      </c>
      <c r="H3454" s="19"/>
    </row>
    <row r="3455">
      <c r="A3455" s="9"/>
      <c r="B3455" s="15"/>
      <c r="C3455" s="9">
        <f>IFERROR(__xludf.DUMMYFUNCTION("""COMPUTED_VALUE"""),45108.4340434722)</f>
        <v>45108.43404</v>
      </c>
      <c r="D3455" s="15">
        <f>IFERROR(__xludf.DUMMYFUNCTION("""COMPUTED_VALUE"""),1.0)</f>
        <v>1</v>
      </c>
      <c r="E3455" s="16">
        <f>IFERROR(__xludf.DUMMYFUNCTION("""COMPUTED_VALUE"""),69.0)</f>
        <v>69</v>
      </c>
      <c r="F3455" s="19" t="str">
        <f>IFERROR(__xludf.DUMMYFUNCTION("""COMPUTED_VALUE"""),"BLUE")</f>
        <v>BLUE</v>
      </c>
      <c r="G3455" s="20" t="str">
        <f>IFERROR(__xludf.DUMMYFUNCTION("""COMPUTED_VALUE"""),"Uncle Sams Cider (04/04/2023)")</f>
        <v>Uncle Sams Cider (04/04/2023)</v>
      </c>
      <c r="H3455" s="19"/>
    </row>
    <row r="3456">
      <c r="A3456" s="9"/>
      <c r="B3456" s="15"/>
      <c r="C3456" s="9">
        <f>IFERROR(__xludf.DUMMYFUNCTION("""COMPUTED_VALUE"""),45108.4236010763)</f>
        <v>45108.4236</v>
      </c>
      <c r="D3456" s="15">
        <f>IFERROR(__xludf.DUMMYFUNCTION("""COMPUTED_VALUE"""),1.0)</f>
        <v>1</v>
      </c>
      <c r="E3456" s="16">
        <f>IFERROR(__xludf.DUMMYFUNCTION("""COMPUTED_VALUE"""),69.0)</f>
        <v>69</v>
      </c>
      <c r="F3456" s="19" t="str">
        <f>IFERROR(__xludf.DUMMYFUNCTION("""COMPUTED_VALUE"""),"BLUE")</f>
        <v>BLUE</v>
      </c>
      <c r="G3456" s="20" t="str">
        <f>IFERROR(__xludf.DUMMYFUNCTION("""COMPUTED_VALUE"""),"Uncle Sams Cider (04/04/2023)")</f>
        <v>Uncle Sams Cider (04/04/2023)</v>
      </c>
      <c r="H3456" s="19"/>
    </row>
    <row r="3457">
      <c r="A3457" s="9"/>
      <c r="B3457" s="15"/>
      <c r="C3457" s="9">
        <f>IFERROR(__xludf.DUMMYFUNCTION("""COMPUTED_VALUE"""),45108.4131799421)</f>
        <v>45108.41318</v>
      </c>
      <c r="D3457" s="15">
        <f>IFERROR(__xludf.DUMMYFUNCTION("""COMPUTED_VALUE"""),1.0)</f>
        <v>1</v>
      </c>
      <c r="E3457" s="16">
        <f>IFERROR(__xludf.DUMMYFUNCTION("""COMPUTED_VALUE"""),69.0)</f>
        <v>69</v>
      </c>
      <c r="F3457" s="19" t="str">
        <f>IFERROR(__xludf.DUMMYFUNCTION("""COMPUTED_VALUE"""),"BLUE")</f>
        <v>BLUE</v>
      </c>
      <c r="G3457" s="20" t="str">
        <f>IFERROR(__xludf.DUMMYFUNCTION("""COMPUTED_VALUE"""),"Uncle Sams Cider (04/04/2023)")</f>
        <v>Uncle Sams Cider (04/04/2023)</v>
      </c>
      <c r="H3457" s="19"/>
    </row>
    <row r="3458">
      <c r="A3458" s="9"/>
      <c r="B3458" s="15"/>
      <c r="C3458" s="9">
        <f>IFERROR(__xludf.DUMMYFUNCTION("""COMPUTED_VALUE"""),45108.40276)</f>
        <v>45108.40276</v>
      </c>
      <c r="D3458" s="15">
        <f>IFERROR(__xludf.DUMMYFUNCTION("""COMPUTED_VALUE"""),1.0)</f>
        <v>1</v>
      </c>
      <c r="E3458" s="16">
        <f>IFERROR(__xludf.DUMMYFUNCTION("""COMPUTED_VALUE"""),69.0)</f>
        <v>69</v>
      </c>
      <c r="F3458" s="19" t="str">
        <f>IFERROR(__xludf.DUMMYFUNCTION("""COMPUTED_VALUE"""),"BLUE")</f>
        <v>BLUE</v>
      </c>
      <c r="G3458" s="20" t="str">
        <f>IFERROR(__xludf.DUMMYFUNCTION("""COMPUTED_VALUE"""),"Uncle Sams Cider (04/04/2023)")</f>
        <v>Uncle Sams Cider (04/04/2023)</v>
      </c>
      <c r="H3458" s="19"/>
    </row>
    <row r="3459">
      <c r="A3459" s="9"/>
      <c r="B3459" s="15"/>
      <c r="C3459" s="9">
        <f>IFERROR(__xludf.DUMMYFUNCTION("""COMPUTED_VALUE"""),45108.3923394097)</f>
        <v>45108.39234</v>
      </c>
      <c r="D3459" s="15">
        <f>IFERROR(__xludf.DUMMYFUNCTION("""COMPUTED_VALUE"""),1.0)</f>
        <v>1</v>
      </c>
      <c r="E3459" s="16">
        <f>IFERROR(__xludf.DUMMYFUNCTION("""COMPUTED_VALUE"""),69.0)</f>
        <v>69</v>
      </c>
      <c r="F3459" s="19" t="str">
        <f>IFERROR(__xludf.DUMMYFUNCTION("""COMPUTED_VALUE"""),"BLUE")</f>
        <v>BLUE</v>
      </c>
      <c r="G3459" s="20" t="str">
        <f>IFERROR(__xludf.DUMMYFUNCTION("""COMPUTED_VALUE"""),"Uncle Sams Cider (04/04/2023)")</f>
        <v>Uncle Sams Cider (04/04/2023)</v>
      </c>
      <c r="H3459" s="19"/>
    </row>
    <row r="3460">
      <c r="A3460" s="9"/>
      <c r="B3460" s="15"/>
      <c r="C3460" s="9">
        <f>IFERROR(__xludf.DUMMYFUNCTION("""COMPUTED_VALUE"""),45108.3819059375)</f>
        <v>45108.38191</v>
      </c>
      <c r="D3460" s="15">
        <f>IFERROR(__xludf.DUMMYFUNCTION("""COMPUTED_VALUE"""),0.999)</f>
        <v>0.999</v>
      </c>
      <c r="E3460" s="16">
        <f>IFERROR(__xludf.DUMMYFUNCTION("""COMPUTED_VALUE"""),69.0)</f>
        <v>69</v>
      </c>
      <c r="F3460" s="19" t="str">
        <f>IFERROR(__xludf.DUMMYFUNCTION("""COMPUTED_VALUE"""),"BLUE")</f>
        <v>BLUE</v>
      </c>
      <c r="G3460" s="20" t="str">
        <f>IFERROR(__xludf.DUMMYFUNCTION("""COMPUTED_VALUE"""),"Uncle Sams Cider (04/04/2023)")</f>
        <v>Uncle Sams Cider (04/04/2023)</v>
      </c>
      <c r="H3460" s="19"/>
    </row>
    <row r="3461">
      <c r="A3461" s="9"/>
      <c r="B3461" s="15"/>
      <c r="C3461" s="9">
        <f>IFERROR(__xludf.DUMMYFUNCTION("""COMPUTED_VALUE"""),45108.3714859375)</f>
        <v>45108.37149</v>
      </c>
      <c r="D3461" s="15">
        <f>IFERROR(__xludf.DUMMYFUNCTION("""COMPUTED_VALUE"""),1.0)</f>
        <v>1</v>
      </c>
      <c r="E3461" s="16">
        <f>IFERROR(__xludf.DUMMYFUNCTION("""COMPUTED_VALUE"""),69.0)</f>
        <v>69</v>
      </c>
      <c r="F3461" s="19" t="str">
        <f>IFERROR(__xludf.DUMMYFUNCTION("""COMPUTED_VALUE"""),"BLUE")</f>
        <v>BLUE</v>
      </c>
      <c r="G3461" s="20" t="str">
        <f>IFERROR(__xludf.DUMMYFUNCTION("""COMPUTED_VALUE"""),"Uncle Sams Cider (04/04/2023)")</f>
        <v>Uncle Sams Cider (04/04/2023)</v>
      </c>
      <c r="H3461" s="19"/>
    </row>
    <row r="3462">
      <c r="A3462" s="9"/>
      <c r="B3462" s="15"/>
      <c r="C3462" s="9">
        <f>IFERROR(__xludf.DUMMYFUNCTION("""COMPUTED_VALUE"""),45108.3610659259)</f>
        <v>45108.36107</v>
      </c>
      <c r="D3462" s="15">
        <f>IFERROR(__xludf.DUMMYFUNCTION("""COMPUTED_VALUE"""),1.0)</f>
        <v>1</v>
      </c>
      <c r="E3462" s="16">
        <f>IFERROR(__xludf.DUMMYFUNCTION("""COMPUTED_VALUE"""),69.0)</f>
        <v>69</v>
      </c>
      <c r="F3462" s="19" t="str">
        <f>IFERROR(__xludf.DUMMYFUNCTION("""COMPUTED_VALUE"""),"BLUE")</f>
        <v>BLUE</v>
      </c>
      <c r="G3462" s="20" t="str">
        <f>IFERROR(__xludf.DUMMYFUNCTION("""COMPUTED_VALUE"""),"Uncle Sams Cider (04/04/2023)")</f>
        <v>Uncle Sams Cider (04/04/2023)</v>
      </c>
      <c r="H3462" s="19"/>
    </row>
    <row r="3463">
      <c r="A3463" s="9"/>
      <c r="B3463" s="15"/>
      <c r="C3463" s="9">
        <f>IFERROR(__xludf.DUMMYFUNCTION("""COMPUTED_VALUE"""),45108.3506460069)</f>
        <v>45108.35065</v>
      </c>
      <c r="D3463" s="15">
        <f>IFERROR(__xludf.DUMMYFUNCTION("""COMPUTED_VALUE"""),1.0)</f>
        <v>1</v>
      </c>
      <c r="E3463" s="16">
        <f>IFERROR(__xludf.DUMMYFUNCTION("""COMPUTED_VALUE"""),69.0)</f>
        <v>69</v>
      </c>
      <c r="F3463" s="19" t="str">
        <f>IFERROR(__xludf.DUMMYFUNCTION("""COMPUTED_VALUE"""),"BLUE")</f>
        <v>BLUE</v>
      </c>
      <c r="G3463" s="20" t="str">
        <f>IFERROR(__xludf.DUMMYFUNCTION("""COMPUTED_VALUE"""),"Uncle Sams Cider (04/04/2023)")</f>
        <v>Uncle Sams Cider (04/04/2023)</v>
      </c>
      <c r="H3463" s="19"/>
    </row>
    <row r="3464">
      <c r="A3464" s="9"/>
      <c r="B3464" s="15"/>
      <c r="C3464" s="9">
        <f>IFERROR(__xludf.DUMMYFUNCTION("""COMPUTED_VALUE"""),45108.3402261226)</f>
        <v>45108.34023</v>
      </c>
      <c r="D3464" s="15">
        <f>IFERROR(__xludf.DUMMYFUNCTION("""COMPUTED_VALUE"""),1.0)</f>
        <v>1</v>
      </c>
      <c r="E3464" s="16">
        <f>IFERROR(__xludf.DUMMYFUNCTION("""COMPUTED_VALUE"""),69.0)</f>
        <v>69</v>
      </c>
      <c r="F3464" s="19" t="str">
        <f>IFERROR(__xludf.DUMMYFUNCTION("""COMPUTED_VALUE"""),"BLUE")</f>
        <v>BLUE</v>
      </c>
      <c r="G3464" s="20" t="str">
        <f>IFERROR(__xludf.DUMMYFUNCTION("""COMPUTED_VALUE"""),"Uncle Sams Cider (04/04/2023)")</f>
        <v>Uncle Sams Cider (04/04/2023)</v>
      </c>
      <c r="H3464" s="19"/>
    </row>
    <row r="3465">
      <c r="A3465" s="9"/>
      <c r="B3465" s="15"/>
      <c r="C3465" s="9">
        <f>IFERROR(__xludf.DUMMYFUNCTION("""COMPUTED_VALUE"""),45108.329804155)</f>
        <v>45108.3298</v>
      </c>
      <c r="D3465" s="15">
        <f>IFERROR(__xludf.DUMMYFUNCTION("""COMPUTED_VALUE"""),1.0)</f>
        <v>1</v>
      </c>
      <c r="E3465" s="16">
        <f>IFERROR(__xludf.DUMMYFUNCTION("""COMPUTED_VALUE"""),69.0)</f>
        <v>69</v>
      </c>
      <c r="F3465" s="19" t="str">
        <f>IFERROR(__xludf.DUMMYFUNCTION("""COMPUTED_VALUE"""),"BLUE")</f>
        <v>BLUE</v>
      </c>
      <c r="G3465" s="20" t="str">
        <f>IFERROR(__xludf.DUMMYFUNCTION("""COMPUTED_VALUE"""),"Uncle Sams Cider (04/04/2023)")</f>
        <v>Uncle Sams Cider (04/04/2023)</v>
      </c>
      <c r="H3465" s="19"/>
    </row>
    <row r="3466">
      <c r="A3466" s="9"/>
      <c r="B3466" s="15"/>
      <c r="C3466" s="9">
        <f>IFERROR(__xludf.DUMMYFUNCTION("""COMPUTED_VALUE"""),45108.3193836921)</f>
        <v>45108.31938</v>
      </c>
      <c r="D3466" s="15">
        <f>IFERROR(__xludf.DUMMYFUNCTION("""COMPUTED_VALUE"""),1.0)</f>
        <v>1</v>
      </c>
      <c r="E3466" s="16">
        <f>IFERROR(__xludf.DUMMYFUNCTION("""COMPUTED_VALUE"""),69.0)</f>
        <v>69</v>
      </c>
      <c r="F3466" s="19" t="str">
        <f>IFERROR(__xludf.DUMMYFUNCTION("""COMPUTED_VALUE"""),"BLUE")</f>
        <v>BLUE</v>
      </c>
      <c r="G3466" s="20" t="str">
        <f>IFERROR(__xludf.DUMMYFUNCTION("""COMPUTED_VALUE"""),"Uncle Sams Cider (04/04/2023)")</f>
        <v>Uncle Sams Cider (04/04/2023)</v>
      </c>
      <c r="H3466" s="19"/>
    </row>
    <row r="3467">
      <c r="A3467" s="9"/>
      <c r="B3467" s="15"/>
      <c r="C3467" s="9">
        <f>IFERROR(__xludf.DUMMYFUNCTION("""COMPUTED_VALUE"""),45108.3089615162)</f>
        <v>45108.30896</v>
      </c>
      <c r="D3467" s="15">
        <f>IFERROR(__xludf.DUMMYFUNCTION("""COMPUTED_VALUE"""),1.0)</f>
        <v>1</v>
      </c>
      <c r="E3467" s="16">
        <f>IFERROR(__xludf.DUMMYFUNCTION("""COMPUTED_VALUE"""),69.0)</f>
        <v>69</v>
      </c>
      <c r="F3467" s="19" t="str">
        <f>IFERROR(__xludf.DUMMYFUNCTION("""COMPUTED_VALUE"""),"BLUE")</f>
        <v>BLUE</v>
      </c>
      <c r="G3467" s="20" t="str">
        <f>IFERROR(__xludf.DUMMYFUNCTION("""COMPUTED_VALUE"""),"Uncle Sams Cider (04/04/2023)")</f>
        <v>Uncle Sams Cider (04/04/2023)</v>
      </c>
      <c r="H3467" s="19"/>
    </row>
    <row r="3468">
      <c r="A3468" s="9"/>
      <c r="B3468" s="15"/>
      <c r="C3468" s="9">
        <f>IFERROR(__xludf.DUMMYFUNCTION("""COMPUTED_VALUE"""),45108.2985392939)</f>
        <v>45108.29854</v>
      </c>
      <c r="D3468" s="15">
        <f>IFERROR(__xludf.DUMMYFUNCTION("""COMPUTED_VALUE"""),1.0)</f>
        <v>1</v>
      </c>
      <c r="E3468" s="16">
        <f>IFERROR(__xludf.DUMMYFUNCTION("""COMPUTED_VALUE"""),69.0)</f>
        <v>69</v>
      </c>
      <c r="F3468" s="19" t="str">
        <f>IFERROR(__xludf.DUMMYFUNCTION("""COMPUTED_VALUE"""),"BLUE")</f>
        <v>BLUE</v>
      </c>
      <c r="G3468" s="20" t="str">
        <f>IFERROR(__xludf.DUMMYFUNCTION("""COMPUTED_VALUE"""),"Uncle Sams Cider (04/04/2023)")</f>
        <v>Uncle Sams Cider (04/04/2023)</v>
      </c>
      <c r="H3468" s="19"/>
    </row>
    <row r="3469">
      <c r="A3469" s="9"/>
      <c r="B3469" s="15"/>
      <c r="C3469" s="9">
        <f>IFERROR(__xludf.DUMMYFUNCTION("""COMPUTED_VALUE"""),45108.2881163541)</f>
        <v>45108.28812</v>
      </c>
      <c r="D3469" s="15">
        <f>IFERROR(__xludf.DUMMYFUNCTION("""COMPUTED_VALUE"""),1.0)</f>
        <v>1</v>
      </c>
      <c r="E3469" s="16">
        <f>IFERROR(__xludf.DUMMYFUNCTION("""COMPUTED_VALUE"""),69.0)</f>
        <v>69</v>
      </c>
      <c r="F3469" s="19" t="str">
        <f>IFERROR(__xludf.DUMMYFUNCTION("""COMPUTED_VALUE"""),"BLUE")</f>
        <v>BLUE</v>
      </c>
      <c r="G3469" s="20" t="str">
        <f>IFERROR(__xludf.DUMMYFUNCTION("""COMPUTED_VALUE"""),"Uncle Sams Cider (04/04/2023)")</f>
        <v>Uncle Sams Cider (04/04/2023)</v>
      </c>
      <c r="H3469" s="19"/>
    </row>
    <row r="3470">
      <c r="A3470" s="9"/>
      <c r="B3470" s="15"/>
      <c r="C3470" s="9">
        <f>IFERROR(__xludf.DUMMYFUNCTION("""COMPUTED_VALUE"""),45108.2776831828)</f>
        <v>45108.27768</v>
      </c>
      <c r="D3470" s="15">
        <f>IFERROR(__xludf.DUMMYFUNCTION("""COMPUTED_VALUE"""),1.0)</f>
        <v>1</v>
      </c>
      <c r="E3470" s="16">
        <f>IFERROR(__xludf.DUMMYFUNCTION("""COMPUTED_VALUE"""),69.0)</f>
        <v>69</v>
      </c>
      <c r="F3470" s="19" t="str">
        <f>IFERROR(__xludf.DUMMYFUNCTION("""COMPUTED_VALUE"""),"BLUE")</f>
        <v>BLUE</v>
      </c>
      <c r="G3470" s="20" t="str">
        <f>IFERROR(__xludf.DUMMYFUNCTION("""COMPUTED_VALUE"""),"Uncle Sams Cider (04/04/2023)")</f>
        <v>Uncle Sams Cider (04/04/2023)</v>
      </c>
      <c r="H3470" s="19"/>
    </row>
    <row r="3471">
      <c r="A3471" s="9"/>
      <c r="B3471" s="15"/>
      <c r="C3471" s="9">
        <f>IFERROR(__xludf.DUMMYFUNCTION("""COMPUTED_VALUE"""),45108.2672602777)</f>
        <v>45108.26726</v>
      </c>
      <c r="D3471" s="15">
        <f>IFERROR(__xludf.DUMMYFUNCTION("""COMPUTED_VALUE"""),1.0)</f>
        <v>1</v>
      </c>
      <c r="E3471" s="16">
        <f>IFERROR(__xludf.DUMMYFUNCTION("""COMPUTED_VALUE"""),69.0)</f>
        <v>69</v>
      </c>
      <c r="F3471" s="19" t="str">
        <f>IFERROR(__xludf.DUMMYFUNCTION("""COMPUTED_VALUE"""),"BLUE")</f>
        <v>BLUE</v>
      </c>
      <c r="G3471" s="20" t="str">
        <f>IFERROR(__xludf.DUMMYFUNCTION("""COMPUTED_VALUE"""),"Uncle Sams Cider (04/04/2023)")</f>
        <v>Uncle Sams Cider (04/04/2023)</v>
      </c>
      <c r="H3471" s="19"/>
    </row>
    <row r="3472">
      <c r="A3472" s="9"/>
      <c r="B3472" s="15"/>
      <c r="C3472" s="9">
        <f>IFERROR(__xludf.DUMMYFUNCTION("""COMPUTED_VALUE"""),45108.2568273148)</f>
        <v>45108.25683</v>
      </c>
      <c r="D3472" s="15">
        <f>IFERROR(__xludf.DUMMYFUNCTION("""COMPUTED_VALUE"""),1.0)</f>
        <v>1</v>
      </c>
      <c r="E3472" s="16">
        <f>IFERROR(__xludf.DUMMYFUNCTION("""COMPUTED_VALUE"""),69.0)</f>
        <v>69</v>
      </c>
      <c r="F3472" s="19" t="str">
        <f>IFERROR(__xludf.DUMMYFUNCTION("""COMPUTED_VALUE"""),"BLUE")</f>
        <v>BLUE</v>
      </c>
      <c r="G3472" s="20" t="str">
        <f>IFERROR(__xludf.DUMMYFUNCTION("""COMPUTED_VALUE"""),"Uncle Sams Cider (04/04/2023)")</f>
        <v>Uncle Sams Cider (04/04/2023)</v>
      </c>
      <c r="H3472" s="19"/>
    </row>
    <row r="3473">
      <c r="A3473" s="9"/>
      <c r="B3473" s="15"/>
      <c r="C3473" s="9">
        <f>IFERROR(__xludf.DUMMYFUNCTION("""COMPUTED_VALUE"""),45108.2464057176)</f>
        <v>45108.24641</v>
      </c>
      <c r="D3473" s="15">
        <f>IFERROR(__xludf.DUMMYFUNCTION("""COMPUTED_VALUE"""),0.999)</f>
        <v>0.999</v>
      </c>
      <c r="E3473" s="16">
        <f>IFERROR(__xludf.DUMMYFUNCTION("""COMPUTED_VALUE"""),69.0)</f>
        <v>69</v>
      </c>
      <c r="F3473" s="19" t="str">
        <f>IFERROR(__xludf.DUMMYFUNCTION("""COMPUTED_VALUE"""),"BLUE")</f>
        <v>BLUE</v>
      </c>
      <c r="G3473" s="20" t="str">
        <f>IFERROR(__xludf.DUMMYFUNCTION("""COMPUTED_VALUE"""),"Uncle Sams Cider (04/04/2023)")</f>
        <v>Uncle Sams Cider (04/04/2023)</v>
      </c>
      <c r="H3473" s="19"/>
    </row>
    <row r="3474">
      <c r="A3474" s="9"/>
      <c r="B3474" s="15"/>
      <c r="C3474" s="9">
        <f>IFERROR(__xludf.DUMMYFUNCTION("""COMPUTED_VALUE"""),45108.235984537)</f>
        <v>45108.23598</v>
      </c>
      <c r="D3474" s="15">
        <f>IFERROR(__xludf.DUMMYFUNCTION("""COMPUTED_VALUE"""),1.0)</f>
        <v>1</v>
      </c>
      <c r="E3474" s="16">
        <f>IFERROR(__xludf.DUMMYFUNCTION("""COMPUTED_VALUE"""),69.0)</f>
        <v>69</v>
      </c>
      <c r="F3474" s="19" t="str">
        <f>IFERROR(__xludf.DUMMYFUNCTION("""COMPUTED_VALUE"""),"BLUE")</f>
        <v>BLUE</v>
      </c>
      <c r="G3474" s="20" t="str">
        <f>IFERROR(__xludf.DUMMYFUNCTION("""COMPUTED_VALUE"""),"Uncle Sams Cider (04/04/2023)")</f>
        <v>Uncle Sams Cider (04/04/2023)</v>
      </c>
      <c r="H3474" s="19"/>
    </row>
    <row r="3475">
      <c r="A3475" s="9"/>
      <c r="B3475" s="15"/>
      <c r="C3475" s="9">
        <f>IFERROR(__xludf.DUMMYFUNCTION("""COMPUTED_VALUE"""),45108.2255528009)</f>
        <v>45108.22555</v>
      </c>
      <c r="D3475" s="15">
        <f>IFERROR(__xludf.DUMMYFUNCTION("""COMPUTED_VALUE"""),1.0)</f>
        <v>1</v>
      </c>
      <c r="E3475" s="16">
        <f>IFERROR(__xludf.DUMMYFUNCTION("""COMPUTED_VALUE"""),69.0)</f>
        <v>69</v>
      </c>
      <c r="F3475" s="19" t="str">
        <f>IFERROR(__xludf.DUMMYFUNCTION("""COMPUTED_VALUE"""),"BLUE")</f>
        <v>BLUE</v>
      </c>
      <c r="G3475" s="20" t="str">
        <f>IFERROR(__xludf.DUMMYFUNCTION("""COMPUTED_VALUE"""),"Uncle Sams Cider (04/04/2023)")</f>
        <v>Uncle Sams Cider (04/04/2023)</v>
      </c>
      <c r="H3475" s="19"/>
    </row>
    <row r="3476">
      <c r="A3476" s="9"/>
      <c r="B3476" s="15"/>
      <c r="C3476" s="9">
        <f>IFERROR(__xludf.DUMMYFUNCTION("""COMPUTED_VALUE"""),45108.2151205787)</f>
        <v>45108.21512</v>
      </c>
      <c r="D3476" s="15">
        <f>IFERROR(__xludf.DUMMYFUNCTION("""COMPUTED_VALUE"""),1.0)</f>
        <v>1</v>
      </c>
      <c r="E3476" s="16">
        <f>IFERROR(__xludf.DUMMYFUNCTION("""COMPUTED_VALUE"""),69.0)</f>
        <v>69</v>
      </c>
      <c r="F3476" s="19" t="str">
        <f>IFERROR(__xludf.DUMMYFUNCTION("""COMPUTED_VALUE"""),"BLUE")</f>
        <v>BLUE</v>
      </c>
      <c r="G3476" s="20" t="str">
        <f>IFERROR(__xludf.DUMMYFUNCTION("""COMPUTED_VALUE"""),"Uncle Sams Cider (04/04/2023)")</f>
        <v>Uncle Sams Cider (04/04/2023)</v>
      </c>
      <c r="H3476" s="19"/>
    </row>
    <row r="3477">
      <c r="A3477" s="9"/>
      <c r="B3477" s="15"/>
      <c r="C3477" s="9">
        <f>IFERROR(__xludf.DUMMYFUNCTION("""COMPUTED_VALUE"""),45108.2046984027)</f>
        <v>45108.2047</v>
      </c>
      <c r="D3477" s="15">
        <f>IFERROR(__xludf.DUMMYFUNCTION("""COMPUTED_VALUE"""),1.0)</f>
        <v>1</v>
      </c>
      <c r="E3477" s="16">
        <f>IFERROR(__xludf.DUMMYFUNCTION("""COMPUTED_VALUE"""),69.0)</f>
        <v>69</v>
      </c>
      <c r="F3477" s="19" t="str">
        <f>IFERROR(__xludf.DUMMYFUNCTION("""COMPUTED_VALUE"""),"BLUE")</f>
        <v>BLUE</v>
      </c>
      <c r="G3477" s="20" t="str">
        <f>IFERROR(__xludf.DUMMYFUNCTION("""COMPUTED_VALUE"""),"Uncle Sams Cider (04/04/2023)")</f>
        <v>Uncle Sams Cider (04/04/2023)</v>
      </c>
      <c r="H3477" s="19"/>
    </row>
    <row r="3478">
      <c r="A3478" s="9"/>
      <c r="B3478" s="15"/>
      <c r="C3478" s="9">
        <f>IFERROR(__xludf.DUMMYFUNCTION("""COMPUTED_VALUE"""),45108.1942771412)</f>
        <v>45108.19428</v>
      </c>
      <c r="D3478" s="15">
        <f>IFERROR(__xludf.DUMMYFUNCTION("""COMPUTED_VALUE"""),1.0)</f>
        <v>1</v>
      </c>
      <c r="E3478" s="16">
        <f>IFERROR(__xludf.DUMMYFUNCTION("""COMPUTED_VALUE"""),69.0)</f>
        <v>69</v>
      </c>
      <c r="F3478" s="19" t="str">
        <f>IFERROR(__xludf.DUMMYFUNCTION("""COMPUTED_VALUE"""),"BLUE")</f>
        <v>BLUE</v>
      </c>
      <c r="G3478" s="20" t="str">
        <f>IFERROR(__xludf.DUMMYFUNCTION("""COMPUTED_VALUE"""),"Uncle Sams Cider (04/04/2023)")</f>
        <v>Uncle Sams Cider (04/04/2023)</v>
      </c>
      <c r="H3478" s="19"/>
    </row>
    <row r="3479">
      <c r="A3479" s="9"/>
      <c r="B3479" s="15"/>
      <c r="C3479" s="9">
        <f>IFERROR(__xludf.DUMMYFUNCTION("""COMPUTED_VALUE"""),45108.1838208564)</f>
        <v>45108.18382</v>
      </c>
      <c r="D3479" s="15">
        <f>IFERROR(__xludf.DUMMYFUNCTION("""COMPUTED_VALUE"""),1.0)</f>
        <v>1</v>
      </c>
      <c r="E3479" s="16">
        <f>IFERROR(__xludf.DUMMYFUNCTION("""COMPUTED_VALUE"""),69.0)</f>
        <v>69</v>
      </c>
      <c r="F3479" s="19" t="str">
        <f>IFERROR(__xludf.DUMMYFUNCTION("""COMPUTED_VALUE"""),"BLUE")</f>
        <v>BLUE</v>
      </c>
      <c r="G3479" s="20" t="str">
        <f>IFERROR(__xludf.DUMMYFUNCTION("""COMPUTED_VALUE"""),"Uncle Sams Cider (04/04/2023)")</f>
        <v>Uncle Sams Cider (04/04/2023)</v>
      </c>
      <c r="H3479" s="19"/>
    </row>
    <row r="3480">
      <c r="A3480" s="9"/>
      <c r="B3480" s="15"/>
      <c r="C3480" s="9">
        <f>IFERROR(__xludf.DUMMYFUNCTION("""COMPUTED_VALUE"""),45108.173400706)</f>
        <v>45108.1734</v>
      </c>
      <c r="D3480" s="15">
        <f>IFERROR(__xludf.DUMMYFUNCTION("""COMPUTED_VALUE"""),1.0)</f>
        <v>1</v>
      </c>
      <c r="E3480" s="16">
        <f>IFERROR(__xludf.DUMMYFUNCTION("""COMPUTED_VALUE"""),69.0)</f>
        <v>69</v>
      </c>
      <c r="F3480" s="19" t="str">
        <f>IFERROR(__xludf.DUMMYFUNCTION("""COMPUTED_VALUE"""),"BLUE")</f>
        <v>BLUE</v>
      </c>
      <c r="G3480" s="20" t="str">
        <f>IFERROR(__xludf.DUMMYFUNCTION("""COMPUTED_VALUE"""),"Uncle Sams Cider (04/04/2023)")</f>
        <v>Uncle Sams Cider (04/04/2023)</v>
      </c>
      <c r="H3480" s="19"/>
    </row>
    <row r="3481">
      <c r="A3481" s="9"/>
      <c r="B3481" s="15"/>
      <c r="C3481" s="9">
        <f>IFERROR(__xludf.DUMMYFUNCTION("""COMPUTED_VALUE"""),45108.16297875)</f>
        <v>45108.16298</v>
      </c>
      <c r="D3481" s="15">
        <f>IFERROR(__xludf.DUMMYFUNCTION("""COMPUTED_VALUE"""),0.999)</f>
        <v>0.999</v>
      </c>
      <c r="E3481" s="16">
        <f>IFERROR(__xludf.DUMMYFUNCTION("""COMPUTED_VALUE"""),69.0)</f>
        <v>69</v>
      </c>
      <c r="F3481" s="19" t="str">
        <f>IFERROR(__xludf.DUMMYFUNCTION("""COMPUTED_VALUE"""),"BLUE")</f>
        <v>BLUE</v>
      </c>
      <c r="G3481" s="20" t="str">
        <f>IFERROR(__xludf.DUMMYFUNCTION("""COMPUTED_VALUE"""),"Uncle Sams Cider (04/04/2023)")</f>
        <v>Uncle Sams Cider (04/04/2023)</v>
      </c>
      <c r="H3481" s="19"/>
    </row>
    <row r="3482">
      <c r="A3482" s="9"/>
      <c r="B3482" s="15"/>
      <c r="C3482" s="9">
        <f>IFERROR(__xludf.DUMMYFUNCTION("""COMPUTED_VALUE"""),45108.1525464699)</f>
        <v>45108.15255</v>
      </c>
      <c r="D3482" s="15">
        <f>IFERROR(__xludf.DUMMYFUNCTION("""COMPUTED_VALUE"""),1.0)</f>
        <v>1</v>
      </c>
      <c r="E3482" s="16">
        <f>IFERROR(__xludf.DUMMYFUNCTION("""COMPUTED_VALUE"""),69.0)</f>
        <v>69</v>
      </c>
      <c r="F3482" s="19" t="str">
        <f>IFERROR(__xludf.DUMMYFUNCTION("""COMPUTED_VALUE"""),"BLUE")</f>
        <v>BLUE</v>
      </c>
      <c r="G3482" s="20" t="str">
        <f>IFERROR(__xludf.DUMMYFUNCTION("""COMPUTED_VALUE"""),"Uncle Sams Cider (04/04/2023)")</f>
        <v>Uncle Sams Cider (04/04/2023)</v>
      </c>
      <c r="H3482" s="19"/>
    </row>
    <row r="3483">
      <c r="A3483" s="9"/>
      <c r="B3483" s="15"/>
      <c r="C3483" s="9">
        <f>IFERROR(__xludf.DUMMYFUNCTION("""COMPUTED_VALUE"""),45108.1421271296)</f>
        <v>45108.14213</v>
      </c>
      <c r="D3483" s="15">
        <f>IFERROR(__xludf.DUMMYFUNCTION("""COMPUTED_VALUE"""),1.0)</f>
        <v>1</v>
      </c>
      <c r="E3483" s="16">
        <f>IFERROR(__xludf.DUMMYFUNCTION("""COMPUTED_VALUE"""),69.0)</f>
        <v>69</v>
      </c>
      <c r="F3483" s="19" t="str">
        <f>IFERROR(__xludf.DUMMYFUNCTION("""COMPUTED_VALUE"""),"BLUE")</f>
        <v>BLUE</v>
      </c>
      <c r="G3483" s="20" t="str">
        <f>IFERROR(__xludf.DUMMYFUNCTION("""COMPUTED_VALUE"""),"Uncle Sams Cider (04/04/2023)")</f>
        <v>Uncle Sams Cider (04/04/2023)</v>
      </c>
      <c r="H3483" s="19"/>
    </row>
    <row r="3484">
      <c r="A3484" s="9"/>
      <c r="B3484" s="15"/>
      <c r="C3484" s="9">
        <f>IFERROR(__xludf.DUMMYFUNCTION("""COMPUTED_VALUE"""),45108.1317068402)</f>
        <v>45108.13171</v>
      </c>
      <c r="D3484" s="15">
        <f>IFERROR(__xludf.DUMMYFUNCTION("""COMPUTED_VALUE"""),1.0)</f>
        <v>1</v>
      </c>
      <c r="E3484" s="16">
        <f>IFERROR(__xludf.DUMMYFUNCTION("""COMPUTED_VALUE"""),69.0)</f>
        <v>69</v>
      </c>
      <c r="F3484" s="19" t="str">
        <f>IFERROR(__xludf.DUMMYFUNCTION("""COMPUTED_VALUE"""),"BLUE")</f>
        <v>BLUE</v>
      </c>
      <c r="G3484" s="20" t="str">
        <f>IFERROR(__xludf.DUMMYFUNCTION("""COMPUTED_VALUE"""),"Uncle Sams Cider (04/04/2023)")</f>
        <v>Uncle Sams Cider (04/04/2023)</v>
      </c>
      <c r="H3484" s="19"/>
    </row>
    <row r="3485">
      <c r="A3485" s="9"/>
      <c r="B3485" s="15"/>
      <c r="C3485" s="9">
        <f>IFERROR(__xludf.DUMMYFUNCTION("""COMPUTED_VALUE"""),45108.1212861342)</f>
        <v>45108.12129</v>
      </c>
      <c r="D3485" s="15">
        <f>IFERROR(__xludf.DUMMYFUNCTION("""COMPUTED_VALUE"""),1.0)</f>
        <v>1</v>
      </c>
      <c r="E3485" s="16">
        <f>IFERROR(__xludf.DUMMYFUNCTION("""COMPUTED_VALUE"""),69.0)</f>
        <v>69</v>
      </c>
      <c r="F3485" s="19" t="str">
        <f>IFERROR(__xludf.DUMMYFUNCTION("""COMPUTED_VALUE"""),"BLUE")</f>
        <v>BLUE</v>
      </c>
      <c r="G3485" s="20" t="str">
        <f>IFERROR(__xludf.DUMMYFUNCTION("""COMPUTED_VALUE"""),"Uncle Sams Cider (04/04/2023)")</f>
        <v>Uncle Sams Cider (04/04/2023)</v>
      </c>
      <c r="H3485" s="19"/>
    </row>
    <row r="3486">
      <c r="A3486" s="9"/>
      <c r="B3486" s="15"/>
      <c r="C3486" s="9">
        <f>IFERROR(__xludf.DUMMYFUNCTION("""COMPUTED_VALUE"""),45108.1108633912)</f>
        <v>45108.11086</v>
      </c>
      <c r="D3486" s="15">
        <f>IFERROR(__xludf.DUMMYFUNCTION("""COMPUTED_VALUE"""),1.0)</f>
        <v>1</v>
      </c>
      <c r="E3486" s="16">
        <f>IFERROR(__xludf.DUMMYFUNCTION("""COMPUTED_VALUE"""),69.0)</f>
        <v>69</v>
      </c>
      <c r="F3486" s="19" t="str">
        <f>IFERROR(__xludf.DUMMYFUNCTION("""COMPUTED_VALUE"""),"BLUE")</f>
        <v>BLUE</v>
      </c>
      <c r="G3486" s="20" t="str">
        <f>IFERROR(__xludf.DUMMYFUNCTION("""COMPUTED_VALUE"""),"Uncle Sams Cider (04/04/2023)")</f>
        <v>Uncle Sams Cider (04/04/2023)</v>
      </c>
      <c r="H3486" s="19"/>
    </row>
    <row r="3487">
      <c r="A3487" s="9"/>
      <c r="B3487" s="15"/>
      <c r="C3487" s="9">
        <f>IFERROR(__xludf.DUMMYFUNCTION("""COMPUTED_VALUE"""),45108.1004417708)</f>
        <v>45108.10044</v>
      </c>
      <c r="D3487" s="15">
        <f>IFERROR(__xludf.DUMMYFUNCTION("""COMPUTED_VALUE"""),1.0)</f>
        <v>1</v>
      </c>
      <c r="E3487" s="16">
        <f>IFERROR(__xludf.DUMMYFUNCTION("""COMPUTED_VALUE"""),69.0)</f>
        <v>69</v>
      </c>
      <c r="F3487" s="19" t="str">
        <f>IFERROR(__xludf.DUMMYFUNCTION("""COMPUTED_VALUE"""),"BLUE")</f>
        <v>BLUE</v>
      </c>
      <c r="G3487" s="20" t="str">
        <f>IFERROR(__xludf.DUMMYFUNCTION("""COMPUTED_VALUE"""),"Uncle Sams Cider (04/04/2023)")</f>
        <v>Uncle Sams Cider (04/04/2023)</v>
      </c>
      <c r="H3487" s="19"/>
    </row>
    <row r="3488">
      <c r="A3488" s="9"/>
      <c r="B3488" s="15"/>
      <c r="C3488" s="9">
        <f>IFERROR(__xludf.DUMMYFUNCTION("""COMPUTED_VALUE"""),45108.0900197916)</f>
        <v>45108.09002</v>
      </c>
      <c r="D3488" s="15">
        <f>IFERROR(__xludf.DUMMYFUNCTION("""COMPUTED_VALUE"""),1.0)</f>
        <v>1</v>
      </c>
      <c r="E3488" s="16">
        <f>IFERROR(__xludf.DUMMYFUNCTION("""COMPUTED_VALUE"""),69.0)</f>
        <v>69</v>
      </c>
      <c r="F3488" s="19" t="str">
        <f>IFERROR(__xludf.DUMMYFUNCTION("""COMPUTED_VALUE"""),"BLUE")</f>
        <v>BLUE</v>
      </c>
      <c r="G3488" s="20" t="str">
        <f>IFERROR(__xludf.DUMMYFUNCTION("""COMPUTED_VALUE"""),"Uncle Sams Cider (04/04/2023)")</f>
        <v>Uncle Sams Cider (04/04/2023)</v>
      </c>
      <c r="H3488" s="19"/>
    </row>
    <row r="3489">
      <c r="A3489" s="9"/>
      <c r="B3489" s="15"/>
      <c r="C3489" s="9">
        <f>IFERROR(__xludf.DUMMYFUNCTION("""COMPUTED_VALUE"""),45108.0795974074)</f>
        <v>45108.0796</v>
      </c>
      <c r="D3489" s="15">
        <f>IFERROR(__xludf.DUMMYFUNCTION("""COMPUTED_VALUE"""),1.0)</f>
        <v>1</v>
      </c>
      <c r="E3489" s="16">
        <f>IFERROR(__xludf.DUMMYFUNCTION("""COMPUTED_VALUE"""),69.0)</f>
        <v>69</v>
      </c>
      <c r="F3489" s="19" t="str">
        <f>IFERROR(__xludf.DUMMYFUNCTION("""COMPUTED_VALUE"""),"BLUE")</f>
        <v>BLUE</v>
      </c>
      <c r="G3489" s="20" t="str">
        <f>IFERROR(__xludf.DUMMYFUNCTION("""COMPUTED_VALUE"""),"Uncle Sams Cider (04/04/2023)")</f>
        <v>Uncle Sams Cider (04/04/2023)</v>
      </c>
      <c r="H3489" s="19"/>
    </row>
    <row r="3490">
      <c r="A3490" s="9"/>
      <c r="B3490" s="15"/>
      <c r="C3490" s="9">
        <f>IFERROR(__xludf.DUMMYFUNCTION("""COMPUTED_VALUE"""),45108.0691548263)</f>
        <v>45108.06915</v>
      </c>
      <c r="D3490" s="15">
        <f>IFERROR(__xludf.DUMMYFUNCTION("""COMPUTED_VALUE"""),1.0)</f>
        <v>1</v>
      </c>
      <c r="E3490" s="16">
        <f>IFERROR(__xludf.DUMMYFUNCTION("""COMPUTED_VALUE"""),69.0)</f>
        <v>69</v>
      </c>
      <c r="F3490" s="19" t="str">
        <f>IFERROR(__xludf.DUMMYFUNCTION("""COMPUTED_VALUE"""),"BLUE")</f>
        <v>BLUE</v>
      </c>
      <c r="G3490" s="20" t="str">
        <f>IFERROR(__xludf.DUMMYFUNCTION("""COMPUTED_VALUE"""),"Uncle Sams Cider (04/04/2023)")</f>
        <v>Uncle Sams Cider (04/04/2023)</v>
      </c>
      <c r="H3490" s="19"/>
    </row>
    <row r="3491">
      <c r="A3491" s="9"/>
      <c r="B3491" s="15"/>
      <c r="C3491" s="9">
        <f>IFERROR(__xludf.DUMMYFUNCTION("""COMPUTED_VALUE"""),45108.0587341666)</f>
        <v>45108.05873</v>
      </c>
      <c r="D3491" s="15">
        <f>IFERROR(__xludf.DUMMYFUNCTION("""COMPUTED_VALUE"""),1.0)</f>
        <v>1</v>
      </c>
      <c r="E3491" s="16">
        <f>IFERROR(__xludf.DUMMYFUNCTION("""COMPUTED_VALUE"""),69.0)</f>
        <v>69</v>
      </c>
      <c r="F3491" s="19" t="str">
        <f>IFERROR(__xludf.DUMMYFUNCTION("""COMPUTED_VALUE"""),"BLUE")</f>
        <v>BLUE</v>
      </c>
      <c r="G3491" s="20" t="str">
        <f>IFERROR(__xludf.DUMMYFUNCTION("""COMPUTED_VALUE"""),"Uncle Sams Cider (04/04/2023)")</f>
        <v>Uncle Sams Cider (04/04/2023)</v>
      </c>
      <c r="H3491" s="19"/>
    </row>
    <row r="3492">
      <c r="A3492" s="9"/>
      <c r="B3492" s="15"/>
      <c r="C3492" s="9">
        <f>IFERROR(__xludf.DUMMYFUNCTION("""COMPUTED_VALUE"""),45108.0483143634)</f>
        <v>45108.04831</v>
      </c>
      <c r="D3492" s="15">
        <f>IFERROR(__xludf.DUMMYFUNCTION("""COMPUTED_VALUE"""),1.0)</f>
        <v>1</v>
      </c>
      <c r="E3492" s="16">
        <f>IFERROR(__xludf.DUMMYFUNCTION("""COMPUTED_VALUE"""),69.0)</f>
        <v>69</v>
      </c>
      <c r="F3492" s="19" t="str">
        <f>IFERROR(__xludf.DUMMYFUNCTION("""COMPUTED_VALUE"""),"BLUE")</f>
        <v>BLUE</v>
      </c>
      <c r="G3492" s="20" t="str">
        <f>IFERROR(__xludf.DUMMYFUNCTION("""COMPUTED_VALUE"""),"Uncle Sams Cider (04/04/2023)")</f>
        <v>Uncle Sams Cider (04/04/2023)</v>
      </c>
      <c r="H3492" s="19"/>
    </row>
    <row r="3493">
      <c r="A3493" s="9"/>
      <c r="B3493" s="15"/>
      <c r="C3493" s="9">
        <f>IFERROR(__xludf.DUMMYFUNCTION("""COMPUTED_VALUE"""),45108.0378936574)</f>
        <v>45108.03789</v>
      </c>
      <c r="D3493" s="15">
        <f>IFERROR(__xludf.DUMMYFUNCTION("""COMPUTED_VALUE"""),1.0)</f>
        <v>1</v>
      </c>
      <c r="E3493" s="16">
        <f>IFERROR(__xludf.DUMMYFUNCTION("""COMPUTED_VALUE"""),69.0)</f>
        <v>69</v>
      </c>
      <c r="F3493" s="19" t="str">
        <f>IFERROR(__xludf.DUMMYFUNCTION("""COMPUTED_VALUE"""),"BLUE")</f>
        <v>BLUE</v>
      </c>
      <c r="G3493" s="20" t="str">
        <f>IFERROR(__xludf.DUMMYFUNCTION("""COMPUTED_VALUE"""),"Uncle Sams Cider (04/04/2023)")</f>
        <v>Uncle Sams Cider (04/04/2023)</v>
      </c>
      <c r="H3493" s="19"/>
    </row>
    <row r="3494">
      <c r="A3494" s="9"/>
      <c r="B3494" s="15"/>
      <c r="C3494" s="9">
        <f>IFERROR(__xludf.DUMMYFUNCTION("""COMPUTED_VALUE"""),45108.0274716319)</f>
        <v>45108.02747</v>
      </c>
      <c r="D3494" s="15">
        <f>IFERROR(__xludf.DUMMYFUNCTION("""COMPUTED_VALUE"""),1.0)</f>
        <v>1</v>
      </c>
      <c r="E3494" s="16">
        <f>IFERROR(__xludf.DUMMYFUNCTION("""COMPUTED_VALUE"""),69.0)</f>
        <v>69</v>
      </c>
      <c r="F3494" s="19" t="str">
        <f>IFERROR(__xludf.DUMMYFUNCTION("""COMPUTED_VALUE"""),"BLUE")</f>
        <v>BLUE</v>
      </c>
      <c r="G3494" s="20" t="str">
        <f>IFERROR(__xludf.DUMMYFUNCTION("""COMPUTED_VALUE"""),"Uncle Sams Cider (04/04/2023)")</f>
        <v>Uncle Sams Cider (04/04/2023)</v>
      </c>
      <c r="H3494" s="19"/>
    </row>
    <row r="3495">
      <c r="A3495" s="9"/>
      <c r="B3495" s="15"/>
      <c r="C3495" s="9">
        <f>IFERROR(__xludf.DUMMYFUNCTION("""COMPUTED_VALUE"""),45108.0170509259)</f>
        <v>45108.01705</v>
      </c>
      <c r="D3495" s="15">
        <f>IFERROR(__xludf.DUMMYFUNCTION("""COMPUTED_VALUE"""),1.0)</f>
        <v>1</v>
      </c>
      <c r="E3495" s="16">
        <f>IFERROR(__xludf.DUMMYFUNCTION("""COMPUTED_VALUE"""),69.0)</f>
        <v>69</v>
      </c>
      <c r="F3495" s="19" t="str">
        <f>IFERROR(__xludf.DUMMYFUNCTION("""COMPUTED_VALUE"""),"BLUE")</f>
        <v>BLUE</v>
      </c>
      <c r="G3495" s="20" t="str">
        <f>IFERROR(__xludf.DUMMYFUNCTION("""COMPUTED_VALUE"""),"Uncle Sams Cider (04/04/2023)")</f>
        <v>Uncle Sams Cider (04/04/2023)</v>
      </c>
      <c r="H3495" s="19"/>
    </row>
    <row r="3496">
      <c r="A3496" s="9"/>
      <c r="B3496" s="15"/>
      <c r="C3496" s="9">
        <f>IFERROR(__xludf.DUMMYFUNCTION("""COMPUTED_VALUE"""),45108.006628125)</f>
        <v>45108.00663</v>
      </c>
      <c r="D3496" s="15">
        <f>IFERROR(__xludf.DUMMYFUNCTION("""COMPUTED_VALUE"""),1.0)</f>
        <v>1</v>
      </c>
      <c r="E3496" s="16">
        <f>IFERROR(__xludf.DUMMYFUNCTION("""COMPUTED_VALUE"""),69.0)</f>
        <v>69</v>
      </c>
      <c r="F3496" s="19" t="str">
        <f>IFERROR(__xludf.DUMMYFUNCTION("""COMPUTED_VALUE"""),"BLUE")</f>
        <v>BLUE</v>
      </c>
      <c r="G3496" s="20" t="str">
        <f>IFERROR(__xludf.DUMMYFUNCTION("""COMPUTED_VALUE"""),"Uncle Sams Cider (04/04/2023)")</f>
        <v>Uncle Sams Cider (04/04/2023)</v>
      </c>
      <c r="H3496" s="19"/>
    </row>
    <row r="3497">
      <c r="A3497" s="9"/>
      <c r="B3497" s="15"/>
      <c r="C3497" s="9">
        <f>IFERROR(__xludf.DUMMYFUNCTION("""COMPUTED_VALUE"""),45107.996207199)</f>
        <v>45107.99621</v>
      </c>
      <c r="D3497" s="15">
        <f>IFERROR(__xludf.DUMMYFUNCTION("""COMPUTED_VALUE"""),1.0)</f>
        <v>1</v>
      </c>
      <c r="E3497" s="16">
        <f>IFERROR(__xludf.DUMMYFUNCTION("""COMPUTED_VALUE"""),69.0)</f>
        <v>69</v>
      </c>
      <c r="F3497" s="19" t="str">
        <f>IFERROR(__xludf.DUMMYFUNCTION("""COMPUTED_VALUE"""),"BLUE")</f>
        <v>BLUE</v>
      </c>
      <c r="G3497" s="20" t="str">
        <f>IFERROR(__xludf.DUMMYFUNCTION("""COMPUTED_VALUE"""),"Uncle Sams Cider (04/04/2023)")</f>
        <v>Uncle Sams Cider (04/04/2023)</v>
      </c>
      <c r="H3497" s="19"/>
    </row>
    <row r="3498">
      <c r="A3498" s="9"/>
      <c r="B3498" s="15"/>
      <c r="C3498" s="9">
        <f>IFERROR(__xludf.DUMMYFUNCTION("""COMPUTED_VALUE"""),45107.9857866782)</f>
        <v>45107.98579</v>
      </c>
      <c r="D3498" s="15">
        <f>IFERROR(__xludf.DUMMYFUNCTION("""COMPUTED_VALUE"""),1.0)</f>
        <v>1</v>
      </c>
      <c r="E3498" s="16">
        <f>IFERROR(__xludf.DUMMYFUNCTION("""COMPUTED_VALUE"""),69.0)</f>
        <v>69</v>
      </c>
      <c r="F3498" s="19" t="str">
        <f>IFERROR(__xludf.DUMMYFUNCTION("""COMPUTED_VALUE"""),"BLUE")</f>
        <v>BLUE</v>
      </c>
      <c r="G3498" s="20" t="str">
        <f>IFERROR(__xludf.DUMMYFUNCTION("""COMPUTED_VALUE"""),"Uncle Sams Cider (04/04/2023)")</f>
        <v>Uncle Sams Cider (04/04/2023)</v>
      </c>
      <c r="H3498" s="19"/>
    </row>
    <row r="3499">
      <c r="A3499" s="9"/>
      <c r="B3499" s="15"/>
      <c r="C3499" s="9">
        <f>IFERROR(__xludf.DUMMYFUNCTION("""COMPUTED_VALUE"""),45107.9753647338)</f>
        <v>45107.97536</v>
      </c>
      <c r="D3499" s="15">
        <f>IFERROR(__xludf.DUMMYFUNCTION("""COMPUTED_VALUE"""),1.0)</f>
        <v>1</v>
      </c>
      <c r="E3499" s="16">
        <f>IFERROR(__xludf.DUMMYFUNCTION("""COMPUTED_VALUE"""),69.0)</f>
        <v>69</v>
      </c>
      <c r="F3499" s="19" t="str">
        <f>IFERROR(__xludf.DUMMYFUNCTION("""COMPUTED_VALUE"""),"BLUE")</f>
        <v>BLUE</v>
      </c>
      <c r="G3499" s="20" t="str">
        <f>IFERROR(__xludf.DUMMYFUNCTION("""COMPUTED_VALUE"""),"Uncle Sams Cider (04/04/2023)")</f>
        <v>Uncle Sams Cider (04/04/2023)</v>
      </c>
      <c r="H3499" s="19"/>
    </row>
    <row r="3500">
      <c r="A3500" s="9"/>
      <c r="B3500" s="15"/>
      <c r="C3500" s="9">
        <f>IFERROR(__xludf.DUMMYFUNCTION("""COMPUTED_VALUE"""),45107.9649452546)</f>
        <v>45107.96495</v>
      </c>
      <c r="D3500" s="15">
        <f>IFERROR(__xludf.DUMMYFUNCTION("""COMPUTED_VALUE"""),1.0)</f>
        <v>1</v>
      </c>
      <c r="E3500" s="16">
        <f>IFERROR(__xludf.DUMMYFUNCTION("""COMPUTED_VALUE"""),69.0)</f>
        <v>69</v>
      </c>
      <c r="F3500" s="19" t="str">
        <f>IFERROR(__xludf.DUMMYFUNCTION("""COMPUTED_VALUE"""),"BLUE")</f>
        <v>BLUE</v>
      </c>
      <c r="G3500" s="20" t="str">
        <f>IFERROR(__xludf.DUMMYFUNCTION("""COMPUTED_VALUE"""),"Uncle Sams Cider (04/04/2023)")</f>
        <v>Uncle Sams Cider (04/04/2023)</v>
      </c>
      <c r="H3500" s="19"/>
    </row>
    <row r="3501">
      <c r="A3501" s="9"/>
      <c r="B3501" s="15"/>
      <c r="C3501" s="9">
        <f>IFERROR(__xludf.DUMMYFUNCTION("""COMPUTED_VALUE"""),45107.9545255092)</f>
        <v>45107.95453</v>
      </c>
      <c r="D3501" s="15">
        <f>IFERROR(__xludf.DUMMYFUNCTION("""COMPUTED_VALUE"""),1.0)</f>
        <v>1</v>
      </c>
      <c r="E3501" s="16">
        <f>IFERROR(__xludf.DUMMYFUNCTION("""COMPUTED_VALUE"""),69.0)</f>
        <v>69</v>
      </c>
      <c r="F3501" s="19" t="str">
        <f>IFERROR(__xludf.DUMMYFUNCTION("""COMPUTED_VALUE"""),"BLUE")</f>
        <v>BLUE</v>
      </c>
      <c r="G3501" s="20" t="str">
        <f>IFERROR(__xludf.DUMMYFUNCTION("""COMPUTED_VALUE"""),"Uncle Sams Cider (04/04/2023)")</f>
        <v>Uncle Sams Cider (04/04/2023)</v>
      </c>
      <c r="H3501" s="19"/>
    </row>
    <row r="3502">
      <c r="A3502" s="9"/>
      <c r="B3502" s="15"/>
      <c r="C3502" s="9">
        <f>IFERROR(__xludf.DUMMYFUNCTION("""COMPUTED_VALUE"""),45107.9441042013)</f>
        <v>45107.9441</v>
      </c>
      <c r="D3502" s="15">
        <f>IFERROR(__xludf.DUMMYFUNCTION("""COMPUTED_VALUE"""),1.0)</f>
        <v>1</v>
      </c>
      <c r="E3502" s="16">
        <f>IFERROR(__xludf.DUMMYFUNCTION("""COMPUTED_VALUE"""),69.0)</f>
        <v>69</v>
      </c>
      <c r="F3502" s="19" t="str">
        <f>IFERROR(__xludf.DUMMYFUNCTION("""COMPUTED_VALUE"""),"BLUE")</f>
        <v>BLUE</v>
      </c>
      <c r="G3502" s="20" t="str">
        <f>IFERROR(__xludf.DUMMYFUNCTION("""COMPUTED_VALUE"""),"Uncle Sams Cider (04/04/2023)")</f>
        <v>Uncle Sams Cider (04/04/2023)</v>
      </c>
      <c r="H3502" s="19"/>
    </row>
    <row r="3503">
      <c r="A3503" s="9"/>
      <c r="B3503" s="15"/>
      <c r="C3503" s="9">
        <f>IFERROR(__xludf.DUMMYFUNCTION("""COMPUTED_VALUE"""),45107.9336808449)</f>
        <v>45107.93368</v>
      </c>
      <c r="D3503" s="15">
        <f>IFERROR(__xludf.DUMMYFUNCTION("""COMPUTED_VALUE"""),1.0)</f>
        <v>1</v>
      </c>
      <c r="E3503" s="16">
        <f>IFERROR(__xludf.DUMMYFUNCTION("""COMPUTED_VALUE"""),69.0)</f>
        <v>69</v>
      </c>
      <c r="F3503" s="19" t="str">
        <f>IFERROR(__xludf.DUMMYFUNCTION("""COMPUTED_VALUE"""),"BLUE")</f>
        <v>BLUE</v>
      </c>
      <c r="G3503" s="20" t="str">
        <f>IFERROR(__xludf.DUMMYFUNCTION("""COMPUTED_VALUE"""),"Uncle Sams Cider (04/04/2023)")</f>
        <v>Uncle Sams Cider (04/04/2023)</v>
      </c>
      <c r="H3503" s="19"/>
    </row>
    <row r="3504">
      <c r="A3504" s="9"/>
      <c r="B3504" s="15"/>
      <c r="C3504" s="9">
        <f>IFERROR(__xludf.DUMMYFUNCTION("""COMPUTED_VALUE"""),45107.9232587847)</f>
        <v>45107.92326</v>
      </c>
      <c r="D3504" s="15">
        <f>IFERROR(__xludf.DUMMYFUNCTION("""COMPUTED_VALUE"""),1.0)</f>
        <v>1</v>
      </c>
      <c r="E3504" s="16">
        <f>IFERROR(__xludf.DUMMYFUNCTION("""COMPUTED_VALUE"""),69.0)</f>
        <v>69</v>
      </c>
      <c r="F3504" s="19" t="str">
        <f>IFERROR(__xludf.DUMMYFUNCTION("""COMPUTED_VALUE"""),"BLUE")</f>
        <v>BLUE</v>
      </c>
      <c r="G3504" s="20" t="str">
        <f>IFERROR(__xludf.DUMMYFUNCTION("""COMPUTED_VALUE"""),"Uncle Sams Cider (04/04/2023)")</f>
        <v>Uncle Sams Cider (04/04/2023)</v>
      </c>
      <c r="H3504" s="19"/>
    </row>
    <row r="3505">
      <c r="A3505" s="9"/>
      <c r="B3505" s="15"/>
      <c r="C3505" s="9">
        <f>IFERROR(__xludf.DUMMYFUNCTION("""COMPUTED_VALUE"""),45107.9128379166)</f>
        <v>45107.91284</v>
      </c>
      <c r="D3505" s="15">
        <f>IFERROR(__xludf.DUMMYFUNCTION("""COMPUTED_VALUE"""),1.0)</f>
        <v>1</v>
      </c>
      <c r="E3505" s="16">
        <f>IFERROR(__xludf.DUMMYFUNCTION("""COMPUTED_VALUE"""),69.0)</f>
        <v>69</v>
      </c>
      <c r="F3505" s="19" t="str">
        <f>IFERROR(__xludf.DUMMYFUNCTION("""COMPUTED_VALUE"""),"BLUE")</f>
        <v>BLUE</v>
      </c>
      <c r="G3505" s="20" t="str">
        <f>IFERROR(__xludf.DUMMYFUNCTION("""COMPUTED_VALUE"""),"Uncle Sams Cider (04/04/2023)")</f>
        <v>Uncle Sams Cider (04/04/2023)</v>
      </c>
      <c r="H3505" s="19"/>
    </row>
    <row r="3506">
      <c r="A3506" s="9"/>
      <c r="B3506" s="15"/>
      <c r="C3506" s="9">
        <f>IFERROR(__xludf.DUMMYFUNCTION("""COMPUTED_VALUE"""),45107.9024180439)</f>
        <v>45107.90242</v>
      </c>
      <c r="D3506" s="15">
        <f>IFERROR(__xludf.DUMMYFUNCTION("""COMPUTED_VALUE"""),1.0)</f>
        <v>1</v>
      </c>
      <c r="E3506" s="16">
        <f>IFERROR(__xludf.DUMMYFUNCTION("""COMPUTED_VALUE"""),69.0)</f>
        <v>69</v>
      </c>
      <c r="F3506" s="19" t="str">
        <f>IFERROR(__xludf.DUMMYFUNCTION("""COMPUTED_VALUE"""),"BLUE")</f>
        <v>BLUE</v>
      </c>
      <c r="G3506" s="20" t="str">
        <f>IFERROR(__xludf.DUMMYFUNCTION("""COMPUTED_VALUE"""),"Uncle Sams Cider (04/04/2023)")</f>
        <v>Uncle Sams Cider (04/04/2023)</v>
      </c>
      <c r="H3506" s="19"/>
    </row>
    <row r="3507">
      <c r="A3507" s="9"/>
      <c r="B3507" s="15"/>
      <c r="C3507" s="9">
        <f>IFERROR(__xludf.DUMMYFUNCTION("""COMPUTED_VALUE"""),45107.8919956365)</f>
        <v>45107.892</v>
      </c>
      <c r="D3507" s="15">
        <f>IFERROR(__xludf.DUMMYFUNCTION("""COMPUTED_VALUE"""),1.0)</f>
        <v>1</v>
      </c>
      <c r="E3507" s="16">
        <f>IFERROR(__xludf.DUMMYFUNCTION("""COMPUTED_VALUE"""),69.0)</f>
        <v>69</v>
      </c>
      <c r="F3507" s="19" t="str">
        <f>IFERROR(__xludf.DUMMYFUNCTION("""COMPUTED_VALUE"""),"BLUE")</f>
        <v>BLUE</v>
      </c>
      <c r="G3507" s="20" t="str">
        <f>IFERROR(__xludf.DUMMYFUNCTION("""COMPUTED_VALUE"""),"Uncle Sams Cider (04/04/2023)")</f>
        <v>Uncle Sams Cider (04/04/2023)</v>
      </c>
      <c r="H3507" s="19"/>
    </row>
    <row r="3508">
      <c r="A3508" s="9"/>
      <c r="B3508" s="15"/>
      <c r="C3508" s="9">
        <f>IFERROR(__xludf.DUMMYFUNCTION("""COMPUTED_VALUE"""),45107.8815738078)</f>
        <v>45107.88157</v>
      </c>
      <c r="D3508" s="15">
        <f>IFERROR(__xludf.DUMMYFUNCTION("""COMPUTED_VALUE"""),1.0)</f>
        <v>1</v>
      </c>
      <c r="E3508" s="16">
        <f>IFERROR(__xludf.DUMMYFUNCTION("""COMPUTED_VALUE"""),69.0)</f>
        <v>69</v>
      </c>
      <c r="F3508" s="19" t="str">
        <f>IFERROR(__xludf.DUMMYFUNCTION("""COMPUTED_VALUE"""),"BLUE")</f>
        <v>BLUE</v>
      </c>
      <c r="G3508" s="20" t="str">
        <f>IFERROR(__xludf.DUMMYFUNCTION("""COMPUTED_VALUE"""),"Uncle Sams Cider (04/04/2023)")</f>
        <v>Uncle Sams Cider (04/04/2023)</v>
      </c>
      <c r="H3508" s="19"/>
    </row>
    <row r="3509">
      <c r="A3509" s="9"/>
      <c r="B3509" s="15"/>
      <c r="C3509" s="9">
        <f>IFERROR(__xludf.DUMMYFUNCTION("""COMPUTED_VALUE"""),45107.8711534143)</f>
        <v>45107.87115</v>
      </c>
      <c r="D3509" s="15">
        <f>IFERROR(__xludf.DUMMYFUNCTION("""COMPUTED_VALUE"""),1.0)</f>
        <v>1</v>
      </c>
      <c r="E3509" s="16">
        <f>IFERROR(__xludf.DUMMYFUNCTION("""COMPUTED_VALUE"""),69.0)</f>
        <v>69</v>
      </c>
      <c r="F3509" s="19" t="str">
        <f>IFERROR(__xludf.DUMMYFUNCTION("""COMPUTED_VALUE"""),"BLUE")</f>
        <v>BLUE</v>
      </c>
      <c r="G3509" s="20" t="str">
        <f>IFERROR(__xludf.DUMMYFUNCTION("""COMPUTED_VALUE"""),"Uncle Sams Cider (04/04/2023)")</f>
        <v>Uncle Sams Cider (04/04/2023)</v>
      </c>
      <c r="H3509" s="19"/>
    </row>
    <row r="3510">
      <c r="A3510" s="9"/>
      <c r="B3510" s="15"/>
      <c r="C3510" s="9">
        <f>IFERROR(__xludf.DUMMYFUNCTION("""COMPUTED_VALUE"""),45107.8607313541)</f>
        <v>45107.86073</v>
      </c>
      <c r="D3510" s="15">
        <f>IFERROR(__xludf.DUMMYFUNCTION("""COMPUTED_VALUE"""),1.0)</f>
        <v>1</v>
      </c>
      <c r="E3510" s="16">
        <f>IFERROR(__xludf.DUMMYFUNCTION("""COMPUTED_VALUE"""),69.0)</f>
        <v>69</v>
      </c>
      <c r="F3510" s="19" t="str">
        <f>IFERROR(__xludf.DUMMYFUNCTION("""COMPUTED_VALUE"""),"BLUE")</f>
        <v>BLUE</v>
      </c>
      <c r="G3510" s="20" t="str">
        <f>IFERROR(__xludf.DUMMYFUNCTION("""COMPUTED_VALUE"""),"Uncle Sams Cider (04/04/2023)")</f>
        <v>Uncle Sams Cider (04/04/2023)</v>
      </c>
      <c r="H3510" s="19"/>
    </row>
    <row r="3511">
      <c r="A3511" s="9"/>
      <c r="B3511" s="15"/>
      <c r="C3511" s="9">
        <f>IFERROR(__xludf.DUMMYFUNCTION("""COMPUTED_VALUE"""),45107.8503117824)</f>
        <v>45107.85031</v>
      </c>
      <c r="D3511" s="15">
        <f>IFERROR(__xludf.DUMMYFUNCTION("""COMPUTED_VALUE"""),1.0)</f>
        <v>1</v>
      </c>
      <c r="E3511" s="16">
        <f>IFERROR(__xludf.DUMMYFUNCTION("""COMPUTED_VALUE"""),69.0)</f>
        <v>69</v>
      </c>
      <c r="F3511" s="19" t="str">
        <f>IFERROR(__xludf.DUMMYFUNCTION("""COMPUTED_VALUE"""),"BLUE")</f>
        <v>BLUE</v>
      </c>
      <c r="G3511" s="20" t="str">
        <f>IFERROR(__xludf.DUMMYFUNCTION("""COMPUTED_VALUE"""),"Uncle Sams Cider (04/04/2023)")</f>
        <v>Uncle Sams Cider (04/04/2023)</v>
      </c>
      <c r="H3511" s="19"/>
    </row>
    <row r="3512">
      <c r="A3512" s="9"/>
      <c r="B3512" s="15"/>
      <c r="C3512" s="9">
        <f>IFERROR(__xludf.DUMMYFUNCTION("""COMPUTED_VALUE"""),45107.8398922685)</f>
        <v>45107.83989</v>
      </c>
      <c r="D3512" s="15">
        <f>IFERROR(__xludf.DUMMYFUNCTION("""COMPUTED_VALUE"""),1.0)</f>
        <v>1</v>
      </c>
      <c r="E3512" s="16">
        <f>IFERROR(__xludf.DUMMYFUNCTION("""COMPUTED_VALUE"""),69.0)</f>
        <v>69</v>
      </c>
      <c r="F3512" s="19" t="str">
        <f>IFERROR(__xludf.DUMMYFUNCTION("""COMPUTED_VALUE"""),"BLUE")</f>
        <v>BLUE</v>
      </c>
      <c r="G3512" s="20" t="str">
        <f>IFERROR(__xludf.DUMMYFUNCTION("""COMPUTED_VALUE"""),"Uncle Sams Cider (04/04/2023)")</f>
        <v>Uncle Sams Cider (04/04/2023)</v>
      </c>
      <c r="H3512" s="19"/>
    </row>
    <row r="3513">
      <c r="A3513" s="9"/>
      <c r="B3513" s="15"/>
      <c r="C3513" s="9">
        <f>IFERROR(__xludf.DUMMYFUNCTION("""COMPUTED_VALUE"""),45107.8294708912)</f>
        <v>45107.82947</v>
      </c>
      <c r="D3513" s="15">
        <f>IFERROR(__xludf.DUMMYFUNCTION("""COMPUTED_VALUE"""),1.0)</f>
        <v>1</v>
      </c>
      <c r="E3513" s="16">
        <f>IFERROR(__xludf.DUMMYFUNCTION("""COMPUTED_VALUE"""),69.0)</f>
        <v>69</v>
      </c>
      <c r="F3513" s="19" t="str">
        <f>IFERROR(__xludf.DUMMYFUNCTION("""COMPUTED_VALUE"""),"BLUE")</f>
        <v>BLUE</v>
      </c>
      <c r="G3513" s="20" t="str">
        <f>IFERROR(__xludf.DUMMYFUNCTION("""COMPUTED_VALUE"""),"Uncle Sams Cider (04/04/2023)")</f>
        <v>Uncle Sams Cider (04/04/2023)</v>
      </c>
      <c r="H3513" s="19"/>
    </row>
    <row r="3514">
      <c r="A3514" s="9"/>
      <c r="B3514" s="15"/>
      <c r="C3514" s="9">
        <f>IFERROR(__xludf.DUMMYFUNCTION("""COMPUTED_VALUE"""),45107.8190492129)</f>
        <v>45107.81905</v>
      </c>
      <c r="D3514" s="15">
        <f>IFERROR(__xludf.DUMMYFUNCTION("""COMPUTED_VALUE"""),1.0)</f>
        <v>1</v>
      </c>
      <c r="E3514" s="16">
        <f>IFERROR(__xludf.DUMMYFUNCTION("""COMPUTED_VALUE"""),69.0)</f>
        <v>69</v>
      </c>
      <c r="F3514" s="19" t="str">
        <f>IFERROR(__xludf.DUMMYFUNCTION("""COMPUTED_VALUE"""),"BLUE")</f>
        <v>BLUE</v>
      </c>
      <c r="G3514" s="20" t="str">
        <f>IFERROR(__xludf.DUMMYFUNCTION("""COMPUTED_VALUE"""),"Uncle Sams Cider (04/04/2023)")</f>
        <v>Uncle Sams Cider (04/04/2023)</v>
      </c>
      <c r="H3514" s="19"/>
    </row>
    <row r="3515">
      <c r="A3515" s="9"/>
      <c r="B3515" s="15"/>
      <c r="C3515" s="9">
        <f>IFERROR(__xludf.DUMMYFUNCTION("""COMPUTED_VALUE"""),45107.8086168865)</f>
        <v>45107.80862</v>
      </c>
      <c r="D3515" s="15">
        <f>IFERROR(__xludf.DUMMYFUNCTION("""COMPUTED_VALUE"""),1.0)</f>
        <v>1</v>
      </c>
      <c r="E3515" s="16">
        <f>IFERROR(__xludf.DUMMYFUNCTION("""COMPUTED_VALUE"""),69.0)</f>
        <v>69</v>
      </c>
      <c r="F3515" s="19" t="str">
        <f>IFERROR(__xludf.DUMMYFUNCTION("""COMPUTED_VALUE"""),"BLUE")</f>
        <v>BLUE</v>
      </c>
      <c r="G3515" s="20" t="str">
        <f>IFERROR(__xludf.DUMMYFUNCTION("""COMPUTED_VALUE"""),"Uncle Sams Cider (04/04/2023)")</f>
        <v>Uncle Sams Cider (04/04/2023)</v>
      </c>
      <c r="H3515" s="19"/>
    </row>
    <row r="3516">
      <c r="A3516" s="9"/>
      <c r="B3516" s="15"/>
      <c r="C3516" s="9">
        <f>IFERROR(__xludf.DUMMYFUNCTION("""COMPUTED_VALUE"""),45107.7981957523)</f>
        <v>45107.7982</v>
      </c>
      <c r="D3516" s="15">
        <f>IFERROR(__xludf.DUMMYFUNCTION("""COMPUTED_VALUE"""),1.0)</f>
        <v>1</v>
      </c>
      <c r="E3516" s="16">
        <f>IFERROR(__xludf.DUMMYFUNCTION("""COMPUTED_VALUE"""),69.0)</f>
        <v>69</v>
      </c>
      <c r="F3516" s="19" t="str">
        <f>IFERROR(__xludf.DUMMYFUNCTION("""COMPUTED_VALUE"""),"BLUE")</f>
        <v>BLUE</v>
      </c>
      <c r="G3516" s="20" t="str">
        <f>IFERROR(__xludf.DUMMYFUNCTION("""COMPUTED_VALUE"""),"Uncle Sams Cider (04/04/2023)")</f>
        <v>Uncle Sams Cider (04/04/2023)</v>
      </c>
      <c r="H3516" s="19"/>
    </row>
    <row r="3517">
      <c r="A3517" s="9"/>
      <c r="B3517" s="15"/>
      <c r="C3517" s="9">
        <f>IFERROR(__xludf.DUMMYFUNCTION("""COMPUTED_VALUE"""),45107.78777375)</f>
        <v>45107.78777</v>
      </c>
      <c r="D3517" s="15">
        <f>IFERROR(__xludf.DUMMYFUNCTION("""COMPUTED_VALUE"""),1.0)</f>
        <v>1</v>
      </c>
      <c r="E3517" s="16">
        <f>IFERROR(__xludf.DUMMYFUNCTION("""COMPUTED_VALUE"""),69.0)</f>
        <v>69</v>
      </c>
      <c r="F3517" s="19" t="str">
        <f>IFERROR(__xludf.DUMMYFUNCTION("""COMPUTED_VALUE"""),"BLUE")</f>
        <v>BLUE</v>
      </c>
      <c r="G3517" s="20" t="str">
        <f>IFERROR(__xludf.DUMMYFUNCTION("""COMPUTED_VALUE"""),"Uncle Sams Cider (04/04/2023)")</f>
        <v>Uncle Sams Cider (04/04/2023)</v>
      </c>
      <c r="H3517" s="19"/>
    </row>
    <row r="3518">
      <c r="A3518" s="9"/>
      <c r="B3518" s="15"/>
      <c r="C3518" s="9">
        <f>IFERROR(__xludf.DUMMYFUNCTION("""COMPUTED_VALUE"""),45107.7773503009)</f>
        <v>45107.77735</v>
      </c>
      <c r="D3518" s="15">
        <f>IFERROR(__xludf.DUMMYFUNCTION("""COMPUTED_VALUE"""),1.0)</f>
        <v>1</v>
      </c>
      <c r="E3518" s="16">
        <f>IFERROR(__xludf.DUMMYFUNCTION("""COMPUTED_VALUE"""),69.0)</f>
        <v>69</v>
      </c>
      <c r="F3518" s="19" t="str">
        <f>IFERROR(__xludf.DUMMYFUNCTION("""COMPUTED_VALUE"""),"BLUE")</f>
        <v>BLUE</v>
      </c>
      <c r="G3518" s="20" t="str">
        <f>IFERROR(__xludf.DUMMYFUNCTION("""COMPUTED_VALUE"""),"Uncle Sams Cider (04/04/2023)")</f>
        <v>Uncle Sams Cider (04/04/2023)</v>
      </c>
      <c r="H3518" s="19"/>
    </row>
    <row r="3519">
      <c r="A3519" s="9"/>
      <c r="B3519" s="15"/>
      <c r="C3519" s="9">
        <f>IFERROR(__xludf.DUMMYFUNCTION("""COMPUTED_VALUE"""),45107.7669291782)</f>
        <v>45107.76693</v>
      </c>
      <c r="D3519" s="15">
        <f>IFERROR(__xludf.DUMMYFUNCTION("""COMPUTED_VALUE"""),1.0)</f>
        <v>1</v>
      </c>
      <c r="E3519" s="16">
        <f>IFERROR(__xludf.DUMMYFUNCTION("""COMPUTED_VALUE"""),69.0)</f>
        <v>69</v>
      </c>
      <c r="F3519" s="19" t="str">
        <f>IFERROR(__xludf.DUMMYFUNCTION("""COMPUTED_VALUE"""),"BLUE")</f>
        <v>BLUE</v>
      </c>
      <c r="G3519" s="20" t="str">
        <f>IFERROR(__xludf.DUMMYFUNCTION("""COMPUTED_VALUE"""),"Uncle Sams Cider (04/04/2023)")</f>
        <v>Uncle Sams Cider (04/04/2023)</v>
      </c>
      <c r="H3519" s="19"/>
    </row>
    <row r="3520">
      <c r="A3520" s="9"/>
      <c r="B3520" s="15"/>
      <c r="C3520" s="9">
        <f>IFERROR(__xludf.DUMMYFUNCTION("""COMPUTED_VALUE"""),45107.7565070254)</f>
        <v>45107.75651</v>
      </c>
      <c r="D3520" s="15">
        <f>IFERROR(__xludf.DUMMYFUNCTION("""COMPUTED_VALUE"""),1.0)</f>
        <v>1</v>
      </c>
      <c r="E3520" s="16">
        <f>IFERROR(__xludf.DUMMYFUNCTION("""COMPUTED_VALUE"""),69.0)</f>
        <v>69</v>
      </c>
      <c r="F3520" s="19" t="str">
        <f>IFERROR(__xludf.DUMMYFUNCTION("""COMPUTED_VALUE"""),"BLUE")</f>
        <v>BLUE</v>
      </c>
      <c r="G3520" s="20" t="str">
        <f>IFERROR(__xludf.DUMMYFUNCTION("""COMPUTED_VALUE"""),"Uncle Sams Cider (04/04/2023)")</f>
        <v>Uncle Sams Cider (04/04/2023)</v>
      </c>
      <c r="H3520" s="19"/>
    </row>
    <row r="3521">
      <c r="A3521" s="9"/>
      <c r="B3521" s="15"/>
      <c r="C3521" s="9">
        <f>IFERROR(__xludf.DUMMYFUNCTION("""COMPUTED_VALUE"""),45107.7460861805)</f>
        <v>45107.74609</v>
      </c>
      <c r="D3521" s="15">
        <f>IFERROR(__xludf.DUMMYFUNCTION("""COMPUTED_VALUE"""),1.0)</f>
        <v>1</v>
      </c>
      <c r="E3521" s="16">
        <f>IFERROR(__xludf.DUMMYFUNCTION("""COMPUTED_VALUE"""),69.0)</f>
        <v>69</v>
      </c>
      <c r="F3521" s="19" t="str">
        <f>IFERROR(__xludf.DUMMYFUNCTION("""COMPUTED_VALUE"""),"BLUE")</f>
        <v>BLUE</v>
      </c>
      <c r="G3521" s="20" t="str">
        <f>IFERROR(__xludf.DUMMYFUNCTION("""COMPUTED_VALUE"""),"Uncle Sams Cider (04/04/2023)")</f>
        <v>Uncle Sams Cider (04/04/2023)</v>
      </c>
      <c r="H3521" s="19"/>
    </row>
    <row r="3522">
      <c r="A3522" s="9"/>
      <c r="B3522" s="15"/>
      <c r="C3522" s="9">
        <f>IFERROR(__xludf.DUMMYFUNCTION("""COMPUTED_VALUE"""),45107.7356539583)</f>
        <v>45107.73565</v>
      </c>
      <c r="D3522" s="15">
        <f>IFERROR(__xludf.DUMMYFUNCTION("""COMPUTED_VALUE"""),1.0)</f>
        <v>1</v>
      </c>
      <c r="E3522" s="16">
        <f>IFERROR(__xludf.DUMMYFUNCTION("""COMPUTED_VALUE"""),69.0)</f>
        <v>69</v>
      </c>
      <c r="F3522" s="19" t="str">
        <f>IFERROR(__xludf.DUMMYFUNCTION("""COMPUTED_VALUE"""),"BLUE")</f>
        <v>BLUE</v>
      </c>
      <c r="G3522" s="20" t="str">
        <f>IFERROR(__xludf.DUMMYFUNCTION("""COMPUTED_VALUE"""),"Uncle Sams Cider (04/04/2023)")</f>
        <v>Uncle Sams Cider (04/04/2023)</v>
      </c>
      <c r="H3522" s="19"/>
    </row>
    <row r="3523">
      <c r="A3523" s="9"/>
      <c r="B3523" s="15"/>
      <c r="C3523" s="9">
        <f>IFERROR(__xludf.DUMMYFUNCTION("""COMPUTED_VALUE"""),45107.7252319676)</f>
        <v>45107.72523</v>
      </c>
      <c r="D3523" s="15">
        <f>IFERROR(__xludf.DUMMYFUNCTION("""COMPUTED_VALUE"""),1.0)</f>
        <v>1</v>
      </c>
      <c r="E3523" s="16">
        <f>IFERROR(__xludf.DUMMYFUNCTION("""COMPUTED_VALUE"""),69.0)</f>
        <v>69</v>
      </c>
      <c r="F3523" s="19" t="str">
        <f>IFERROR(__xludf.DUMMYFUNCTION("""COMPUTED_VALUE"""),"BLUE")</f>
        <v>BLUE</v>
      </c>
      <c r="G3523" s="20" t="str">
        <f>IFERROR(__xludf.DUMMYFUNCTION("""COMPUTED_VALUE"""),"Uncle Sams Cider (04/04/2023)")</f>
        <v>Uncle Sams Cider (04/04/2023)</v>
      </c>
      <c r="H3523" s="19"/>
    </row>
    <row r="3524">
      <c r="A3524" s="9"/>
      <c r="B3524" s="15"/>
      <c r="C3524" s="9">
        <f>IFERROR(__xludf.DUMMYFUNCTION("""COMPUTED_VALUE"""),45107.7148096527)</f>
        <v>45107.71481</v>
      </c>
      <c r="D3524" s="15">
        <f>IFERROR(__xludf.DUMMYFUNCTION("""COMPUTED_VALUE"""),1.0)</f>
        <v>1</v>
      </c>
      <c r="E3524" s="16">
        <f>IFERROR(__xludf.DUMMYFUNCTION("""COMPUTED_VALUE"""),69.0)</f>
        <v>69</v>
      </c>
      <c r="F3524" s="19" t="str">
        <f>IFERROR(__xludf.DUMMYFUNCTION("""COMPUTED_VALUE"""),"BLUE")</f>
        <v>BLUE</v>
      </c>
      <c r="G3524" s="20" t="str">
        <f>IFERROR(__xludf.DUMMYFUNCTION("""COMPUTED_VALUE"""),"Uncle Sams Cider (04/04/2023)")</f>
        <v>Uncle Sams Cider (04/04/2023)</v>
      </c>
      <c r="H3524" s="19"/>
    </row>
    <row r="3525">
      <c r="A3525" s="9"/>
      <c r="B3525" s="15"/>
      <c r="C3525" s="9">
        <f>IFERROR(__xludf.DUMMYFUNCTION("""COMPUTED_VALUE"""),45107.7043871412)</f>
        <v>45107.70439</v>
      </c>
      <c r="D3525" s="15">
        <f>IFERROR(__xludf.DUMMYFUNCTION("""COMPUTED_VALUE"""),1.0)</f>
        <v>1</v>
      </c>
      <c r="E3525" s="16">
        <f>IFERROR(__xludf.DUMMYFUNCTION("""COMPUTED_VALUE"""),69.0)</f>
        <v>69</v>
      </c>
      <c r="F3525" s="19" t="str">
        <f>IFERROR(__xludf.DUMMYFUNCTION("""COMPUTED_VALUE"""),"BLUE")</f>
        <v>BLUE</v>
      </c>
      <c r="G3525" s="20" t="str">
        <f>IFERROR(__xludf.DUMMYFUNCTION("""COMPUTED_VALUE"""),"Uncle Sams Cider (04/04/2023)")</f>
        <v>Uncle Sams Cider (04/04/2023)</v>
      </c>
      <c r="H3525" s="19"/>
    </row>
    <row r="3526">
      <c r="A3526" s="9"/>
      <c r="B3526" s="15"/>
      <c r="C3526" s="9">
        <f>IFERROR(__xludf.DUMMYFUNCTION("""COMPUTED_VALUE"""),45107.6939664351)</f>
        <v>45107.69397</v>
      </c>
      <c r="D3526" s="15">
        <f>IFERROR(__xludf.DUMMYFUNCTION("""COMPUTED_VALUE"""),1.0)</f>
        <v>1</v>
      </c>
      <c r="E3526" s="16">
        <f>IFERROR(__xludf.DUMMYFUNCTION("""COMPUTED_VALUE"""),69.0)</f>
        <v>69</v>
      </c>
      <c r="F3526" s="19" t="str">
        <f>IFERROR(__xludf.DUMMYFUNCTION("""COMPUTED_VALUE"""),"BLUE")</f>
        <v>BLUE</v>
      </c>
      <c r="G3526" s="20" t="str">
        <f>IFERROR(__xludf.DUMMYFUNCTION("""COMPUTED_VALUE"""),"Uncle Sams Cider (04/04/2023)")</f>
        <v>Uncle Sams Cider (04/04/2023)</v>
      </c>
      <c r="H3526" s="19"/>
    </row>
    <row r="3527">
      <c r="A3527" s="9"/>
      <c r="B3527" s="15"/>
      <c r="C3527" s="9">
        <f>IFERROR(__xludf.DUMMYFUNCTION("""COMPUTED_VALUE"""),45107.683545625)</f>
        <v>45107.68355</v>
      </c>
      <c r="D3527" s="15">
        <f>IFERROR(__xludf.DUMMYFUNCTION("""COMPUTED_VALUE"""),1.0)</f>
        <v>1</v>
      </c>
      <c r="E3527" s="16">
        <f>IFERROR(__xludf.DUMMYFUNCTION("""COMPUTED_VALUE"""),69.0)</f>
        <v>69</v>
      </c>
      <c r="F3527" s="19" t="str">
        <f>IFERROR(__xludf.DUMMYFUNCTION("""COMPUTED_VALUE"""),"BLUE")</f>
        <v>BLUE</v>
      </c>
      <c r="G3527" s="20" t="str">
        <f>IFERROR(__xludf.DUMMYFUNCTION("""COMPUTED_VALUE"""),"Uncle Sams Cider (04/04/2023)")</f>
        <v>Uncle Sams Cider (04/04/2023)</v>
      </c>
      <c r="H3527" s="19"/>
    </row>
    <row r="3528">
      <c r="A3528" s="9"/>
      <c r="B3528" s="15"/>
      <c r="C3528" s="9">
        <f>IFERROR(__xludf.DUMMYFUNCTION("""COMPUTED_VALUE"""),45107.6731148148)</f>
        <v>45107.67311</v>
      </c>
      <c r="D3528" s="15">
        <f>IFERROR(__xludf.DUMMYFUNCTION("""COMPUTED_VALUE"""),1.0)</f>
        <v>1</v>
      </c>
      <c r="E3528" s="16">
        <f>IFERROR(__xludf.DUMMYFUNCTION("""COMPUTED_VALUE"""),69.0)</f>
        <v>69</v>
      </c>
      <c r="F3528" s="19" t="str">
        <f>IFERROR(__xludf.DUMMYFUNCTION("""COMPUTED_VALUE"""),"BLUE")</f>
        <v>BLUE</v>
      </c>
      <c r="G3528" s="20" t="str">
        <f>IFERROR(__xludf.DUMMYFUNCTION("""COMPUTED_VALUE"""),"Uncle Sams Cider (04/04/2023)")</f>
        <v>Uncle Sams Cider (04/04/2023)</v>
      </c>
      <c r="H3528" s="19"/>
    </row>
    <row r="3529">
      <c r="A3529" s="9"/>
      <c r="B3529" s="15"/>
      <c r="C3529" s="9">
        <f>IFERROR(__xludf.DUMMYFUNCTION("""COMPUTED_VALUE"""),45107.6626942708)</f>
        <v>45107.66269</v>
      </c>
      <c r="D3529" s="15">
        <f>IFERROR(__xludf.DUMMYFUNCTION("""COMPUTED_VALUE"""),1.0)</f>
        <v>1</v>
      </c>
      <c r="E3529" s="16">
        <f>IFERROR(__xludf.DUMMYFUNCTION("""COMPUTED_VALUE"""),69.0)</f>
        <v>69</v>
      </c>
      <c r="F3529" s="19" t="str">
        <f>IFERROR(__xludf.DUMMYFUNCTION("""COMPUTED_VALUE"""),"BLUE")</f>
        <v>BLUE</v>
      </c>
      <c r="G3529" s="20" t="str">
        <f>IFERROR(__xludf.DUMMYFUNCTION("""COMPUTED_VALUE"""),"Uncle Sams Cider (04/04/2023)")</f>
        <v>Uncle Sams Cider (04/04/2023)</v>
      </c>
      <c r="H3529" s="19"/>
    </row>
    <row r="3530">
      <c r="A3530" s="9"/>
      <c r="B3530" s="15"/>
      <c r="C3530" s="9">
        <f>IFERROR(__xludf.DUMMYFUNCTION("""COMPUTED_VALUE"""),45107.6522744097)</f>
        <v>45107.65227</v>
      </c>
      <c r="D3530" s="15">
        <f>IFERROR(__xludf.DUMMYFUNCTION("""COMPUTED_VALUE"""),1.0)</f>
        <v>1</v>
      </c>
      <c r="E3530" s="16">
        <f>IFERROR(__xludf.DUMMYFUNCTION("""COMPUTED_VALUE"""),69.0)</f>
        <v>69</v>
      </c>
      <c r="F3530" s="19" t="str">
        <f>IFERROR(__xludf.DUMMYFUNCTION("""COMPUTED_VALUE"""),"BLUE")</f>
        <v>BLUE</v>
      </c>
      <c r="G3530" s="20" t="str">
        <f>IFERROR(__xludf.DUMMYFUNCTION("""COMPUTED_VALUE"""),"Uncle Sams Cider (04/04/2023)")</f>
        <v>Uncle Sams Cider (04/04/2023)</v>
      </c>
      <c r="H3530" s="19"/>
    </row>
    <row r="3531">
      <c r="A3531" s="9"/>
      <c r="B3531" s="15"/>
      <c r="C3531" s="9">
        <f>IFERROR(__xludf.DUMMYFUNCTION("""COMPUTED_VALUE"""),45107.641854155)</f>
        <v>45107.64185</v>
      </c>
      <c r="D3531" s="15">
        <f>IFERROR(__xludf.DUMMYFUNCTION("""COMPUTED_VALUE"""),1.0)</f>
        <v>1</v>
      </c>
      <c r="E3531" s="16">
        <f>IFERROR(__xludf.DUMMYFUNCTION("""COMPUTED_VALUE"""),69.0)</f>
        <v>69</v>
      </c>
      <c r="F3531" s="19" t="str">
        <f>IFERROR(__xludf.DUMMYFUNCTION("""COMPUTED_VALUE"""),"BLUE")</f>
        <v>BLUE</v>
      </c>
      <c r="G3531" s="20" t="str">
        <f>IFERROR(__xludf.DUMMYFUNCTION("""COMPUTED_VALUE"""),"Uncle Sams Cider (04/04/2023)")</f>
        <v>Uncle Sams Cider (04/04/2023)</v>
      </c>
      <c r="H3531" s="19"/>
    </row>
    <row r="3532">
      <c r="A3532" s="9"/>
      <c r="B3532" s="15"/>
      <c r="C3532" s="9">
        <f>IFERROR(__xludf.DUMMYFUNCTION("""COMPUTED_VALUE"""),45107.6314334027)</f>
        <v>45107.63143</v>
      </c>
      <c r="D3532" s="15">
        <f>IFERROR(__xludf.DUMMYFUNCTION("""COMPUTED_VALUE"""),1.0)</f>
        <v>1</v>
      </c>
      <c r="E3532" s="16">
        <f>IFERROR(__xludf.DUMMYFUNCTION("""COMPUTED_VALUE"""),69.0)</f>
        <v>69</v>
      </c>
      <c r="F3532" s="19" t="str">
        <f>IFERROR(__xludf.DUMMYFUNCTION("""COMPUTED_VALUE"""),"BLUE")</f>
        <v>BLUE</v>
      </c>
      <c r="G3532" s="20" t="str">
        <f>IFERROR(__xludf.DUMMYFUNCTION("""COMPUTED_VALUE"""),"Uncle Sams Cider (04/04/2023)")</f>
        <v>Uncle Sams Cider (04/04/2023)</v>
      </c>
      <c r="H3532" s="19"/>
    </row>
    <row r="3533">
      <c r="A3533" s="9"/>
      <c r="B3533" s="15"/>
      <c r="C3533" s="9">
        <f>IFERROR(__xludf.DUMMYFUNCTION("""COMPUTED_VALUE"""),45107.6210122222)</f>
        <v>45107.62101</v>
      </c>
      <c r="D3533" s="15">
        <f>IFERROR(__xludf.DUMMYFUNCTION("""COMPUTED_VALUE"""),1.0)</f>
        <v>1</v>
      </c>
      <c r="E3533" s="16">
        <f>IFERROR(__xludf.DUMMYFUNCTION("""COMPUTED_VALUE"""),69.0)</f>
        <v>69</v>
      </c>
      <c r="F3533" s="19" t="str">
        <f>IFERROR(__xludf.DUMMYFUNCTION("""COMPUTED_VALUE"""),"BLUE")</f>
        <v>BLUE</v>
      </c>
      <c r="G3533" s="20" t="str">
        <f>IFERROR(__xludf.DUMMYFUNCTION("""COMPUTED_VALUE"""),"Uncle Sams Cider (04/04/2023)")</f>
        <v>Uncle Sams Cider (04/04/2023)</v>
      </c>
      <c r="H3533" s="19"/>
    </row>
    <row r="3534">
      <c r="A3534" s="9"/>
      <c r="B3534" s="15"/>
      <c r="C3534" s="9">
        <f>IFERROR(__xludf.DUMMYFUNCTION("""COMPUTED_VALUE"""),45107.610557199)</f>
        <v>45107.61056</v>
      </c>
      <c r="D3534" s="15">
        <f>IFERROR(__xludf.DUMMYFUNCTION("""COMPUTED_VALUE"""),0.999)</f>
        <v>0.999</v>
      </c>
      <c r="E3534" s="16">
        <f>IFERROR(__xludf.DUMMYFUNCTION("""COMPUTED_VALUE"""),69.0)</f>
        <v>69</v>
      </c>
      <c r="F3534" s="19" t="str">
        <f>IFERROR(__xludf.DUMMYFUNCTION("""COMPUTED_VALUE"""),"BLUE")</f>
        <v>BLUE</v>
      </c>
      <c r="G3534" s="20" t="str">
        <f>IFERROR(__xludf.DUMMYFUNCTION("""COMPUTED_VALUE"""),"Uncle Sams Cider (04/04/2023)")</f>
        <v>Uncle Sams Cider (04/04/2023)</v>
      </c>
      <c r="H3534" s="19"/>
    </row>
    <row r="3535">
      <c r="A3535" s="9"/>
      <c r="B3535" s="15"/>
      <c r="C3535" s="9">
        <f>IFERROR(__xludf.DUMMYFUNCTION("""COMPUTED_VALUE"""),45107.6001359259)</f>
        <v>45107.60014</v>
      </c>
      <c r="D3535" s="15">
        <f>IFERROR(__xludf.DUMMYFUNCTION("""COMPUTED_VALUE"""),1.0)</f>
        <v>1</v>
      </c>
      <c r="E3535" s="16">
        <f>IFERROR(__xludf.DUMMYFUNCTION("""COMPUTED_VALUE"""),69.0)</f>
        <v>69</v>
      </c>
      <c r="F3535" s="19" t="str">
        <f>IFERROR(__xludf.DUMMYFUNCTION("""COMPUTED_VALUE"""),"BLUE")</f>
        <v>BLUE</v>
      </c>
      <c r="G3535" s="20" t="str">
        <f>IFERROR(__xludf.DUMMYFUNCTION("""COMPUTED_VALUE"""),"Uncle Sams Cider (04/04/2023)")</f>
        <v>Uncle Sams Cider (04/04/2023)</v>
      </c>
      <c r="H3535" s="19"/>
    </row>
    <row r="3536">
      <c r="A3536" s="9"/>
      <c r="B3536" s="15"/>
      <c r="C3536" s="9">
        <f>IFERROR(__xludf.DUMMYFUNCTION("""COMPUTED_VALUE"""),45107.5897160763)</f>
        <v>45107.58972</v>
      </c>
      <c r="D3536" s="15">
        <f>IFERROR(__xludf.DUMMYFUNCTION("""COMPUTED_VALUE"""),1.0)</f>
        <v>1</v>
      </c>
      <c r="E3536" s="16">
        <f>IFERROR(__xludf.DUMMYFUNCTION("""COMPUTED_VALUE"""),69.0)</f>
        <v>69</v>
      </c>
      <c r="F3536" s="19" t="str">
        <f>IFERROR(__xludf.DUMMYFUNCTION("""COMPUTED_VALUE"""),"BLUE")</f>
        <v>BLUE</v>
      </c>
      <c r="G3536" s="20" t="str">
        <f>IFERROR(__xludf.DUMMYFUNCTION("""COMPUTED_VALUE"""),"Uncle Sams Cider (04/04/2023)")</f>
        <v>Uncle Sams Cider (04/04/2023)</v>
      </c>
      <c r="H3536" s="19"/>
    </row>
    <row r="3537">
      <c r="A3537" s="9"/>
      <c r="B3537" s="15"/>
      <c r="C3537" s="9">
        <f>IFERROR(__xludf.DUMMYFUNCTION("""COMPUTED_VALUE"""),45107.5792944097)</f>
        <v>45107.57929</v>
      </c>
      <c r="D3537" s="15">
        <f>IFERROR(__xludf.DUMMYFUNCTION("""COMPUTED_VALUE"""),1.0)</f>
        <v>1</v>
      </c>
      <c r="E3537" s="16">
        <f>IFERROR(__xludf.DUMMYFUNCTION("""COMPUTED_VALUE"""),69.0)</f>
        <v>69</v>
      </c>
      <c r="F3537" s="19" t="str">
        <f>IFERROR(__xludf.DUMMYFUNCTION("""COMPUTED_VALUE"""),"BLUE")</f>
        <v>BLUE</v>
      </c>
      <c r="G3537" s="20" t="str">
        <f>IFERROR(__xludf.DUMMYFUNCTION("""COMPUTED_VALUE"""),"Uncle Sams Cider (04/04/2023)")</f>
        <v>Uncle Sams Cider (04/04/2023)</v>
      </c>
      <c r="H3537" s="19"/>
    </row>
    <row r="3538">
      <c r="A3538" s="9"/>
      <c r="B3538" s="15"/>
      <c r="C3538" s="9">
        <f>IFERROR(__xludf.DUMMYFUNCTION("""COMPUTED_VALUE"""),45107.5688738773)</f>
        <v>45107.56887</v>
      </c>
      <c r="D3538" s="15">
        <f>IFERROR(__xludf.DUMMYFUNCTION("""COMPUTED_VALUE"""),1.0)</f>
        <v>1</v>
      </c>
      <c r="E3538" s="16">
        <f>IFERROR(__xludf.DUMMYFUNCTION("""COMPUTED_VALUE"""),69.0)</f>
        <v>69</v>
      </c>
      <c r="F3538" s="19" t="str">
        <f>IFERROR(__xludf.DUMMYFUNCTION("""COMPUTED_VALUE"""),"BLUE")</f>
        <v>BLUE</v>
      </c>
      <c r="G3538" s="20" t="str">
        <f>IFERROR(__xludf.DUMMYFUNCTION("""COMPUTED_VALUE"""),"Uncle Sams Cider (04/04/2023)")</f>
        <v>Uncle Sams Cider (04/04/2023)</v>
      </c>
      <c r="H3538" s="19"/>
    </row>
    <row r="3539">
      <c r="A3539" s="9"/>
      <c r="B3539" s="15"/>
      <c r="C3539" s="9">
        <f>IFERROR(__xludf.DUMMYFUNCTION("""COMPUTED_VALUE"""),45107.5584415509)</f>
        <v>45107.55844</v>
      </c>
      <c r="D3539" s="15">
        <f>IFERROR(__xludf.DUMMYFUNCTION("""COMPUTED_VALUE"""),1.0)</f>
        <v>1</v>
      </c>
      <c r="E3539" s="16">
        <f>IFERROR(__xludf.DUMMYFUNCTION("""COMPUTED_VALUE"""),69.0)</f>
        <v>69</v>
      </c>
      <c r="F3539" s="19" t="str">
        <f>IFERROR(__xludf.DUMMYFUNCTION("""COMPUTED_VALUE"""),"BLUE")</f>
        <v>BLUE</v>
      </c>
      <c r="G3539" s="20" t="str">
        <f>IFERROR(__xludf.DUMMYFUNCTION("""COMPUTED_VALUE"""),"Uncle Sams Cider (04/04/2023)")</f>
        <v>Uncle Sams Cider (04/04/2023)</v>
      </c>
      <c r="H3539" s="19"/>
    </row>
    <row r="3540">
      <c r="A3540" s="9"/>
      <c r="B3540" s="15"/>
      <c r="C3540" s="9">
        <f>IFERROR(__xludf.DUMMYFUNCTION("""COMPUTED_VALUE"""),45107.5480221643)</f>
        <v>45107.54802</v>
      </c>
      <c r="D3540" s="15">
        <f>IFERROR(__xludf.DUMMYFUNCTION("""COMPUTED_VALUE"""),1.0)</f>
        <v>1</v>
      </c>
      <c r="E3540" s="16">
        <f>IFERROR(__xludf.DUMMYFUNCTION("""COMPUTED_VALUE"""),69.0)</f>
        <v>69</v>
      </c>
      <c r="F3540" s="19" t="str">
        <f>IFERROR(__xludf.DUMMYFUNCTION("""COMPUTED_VALUE"""),"BLUE")</f>
        <v>BLUE</v>
      </c>
      <c r="G3540" s="20" t="str">
        <f>IFERROR(__xludf.DUMMYFUNCTION("""COMPUTED_VALUE"""),"Uncle Sams Cider (04/04/2023)")</f>
        <v>Uncle Sams Cider (04/04/2023)</v>
      </c>
      <c r="H3540" s="19"/>
    </row>
    <row r="3541">
      <c r="A3541" s="9"/>
      <c r="B3541" s="15"/>
      <c r="C3541" s="9">
        <f>IFERROR(__xludf.DUMMYFUNCTION("""COMPUTED_VALUE"""),45107.5375920138)</f>
        <v>45107.53759</v>
      </c>
      <c r="D3541" s="15">
        <f>IFERROR(__xludf.DUMMYFUNCTION("""COMPUTED_VALUE"""),1.0)</f>
        <v>1</v>
      </c>
      <c r="E3541" s="16">
        <f>IFERROR(__xludf.DUMMYFUNCTION("""COMPUTED_VALUE"""),69.0)</f>
        <v>69</v>
      </c>
      <c r="F3541" s="19" t="str">
        <f>IFERROR(__xludf.DUMMYFUNCTION("""COMPUTED_VALUE"""),"BLUE")</f>
        <v>BLUE</v>
      </c>
      <c r="G3541" s="20" t="str">
        <f>IFERROR(__xludf.DUMMYFUNCTION("""COMPUTED_VALUE"""),"Uncle Sams Cider (04/04/2023)")</f>
        <v>Uncle Sams Cider (04/04/2023)</v>
      </c>
      <c r="H3541" s="19"/>
    </row>
    <row r="3542">
      <c r="A3542" s="9"/>
      <c r="B3542" s="15"/>
      <c r="C3542" s="9">
        <f>IFERROR(__xludf.DUMMYFUNCTION("""COMPUTED_VALUE"""),45107.5271579051)</f>
        <v>45107.52716</v>
      </c>
      <c r="D3542" s="15">
        <f>IFERROR(__xludf.DUMMYFUNCTION("""COMPUTED_VALUE"""),1.0)</f>
        <v>1</v>
      </c>
      <c r="E3542" s="16">
        <f>IFERROR(__xludf.DUMMYFUNCTION("""COMPUTED_VALUE"""),69.0)</f>
        <v>69</v>
      </c>
      <c r="F3542" s="19" t="str">
        <f>IFERROR(__xludf.DUMMYFUNCTION("""COMPUTED_VALUE"""),"BLUE")</f>
        <v>BLUE</v>
      </c>
      <c r="G3542" s="20" t="str">
        <f>IFERROR(__xludf.DUMMYFUNCTION("""COMPUTED_VALUE"""),"Uncle Sams Cider (04/04/2023)")</f>
        <v>Uncle Sams Cider (04/04/2023)</v>
      </c>
      <c r="H3542" s="19"/>
    </row>
    <row r="3543">
      <c r="A3543" s="9"/>
      <c r="B3543" s="15"/>
      <c r="C3543" s="9">
        <f>IFERROR(__xludf.DUMMYFUNCTION("""COMPUTED_VALUE"""),45107.5167369791)</f>
        <v>45107.51674</v>
      </c>
      <c r="D3543" s="15">
        <f>IFERROR(__xludf.DUMMYFUNCTION("""COMPUTED_VALUE"""),1.0)</f>
        <v>1</v>
      </c>
      <c r="E3543" s="16">
        <f>IFERROR(__xludf.DUMMYFUNCTION("""COMPUTED_VALUE"""),69.0)</f>
        <v>69</v>
      </c>
      <c r="F3543" s="19" t="str">
        <f>IFERROR(__xludf.DUMMYFUNCTION("""COMPUTED_VALUE"""),"BLUE")</f>
        <v>BLUE</v>
      </c>
      <c r="G3543" s="20" t="str">
        <f>IFERROR(__xludf.DUMMYFUNCTION("""COMPUTED_VALUE"""),"Uncle Sams Cider (04/04/2023)")</f>
        <v>Uncle Sams Cider (04/04/2023)</v>
      </c>
      <c r="H3543" s="19"/>
    </row>
    <row r="3544">
      <c r="A3544" s="9"/>
      <c r="B3544" s="15"/>
      <c r="C3544" s="9">
        <f>IFERROR(__xludf.DUMMYFUNCTION("""COMPUTED_VALUE"""),45107.5063159027)</f>
        <v>45107.50632</v>
      </c>
      <c r="D3544" s="15">
        <f>IFERROR(__xludf.DUMMYFUNCTION("""COMPUTED_VALUE"""),1.0)</f>
        <v>1</v>
      </c>
      <c r="E3544" s="16">
        <f>IFERROR(__xludf.DUMMYFUNCTION("""COMPUTED_VALUE"""),69.0)</f>
        <v>69</v>
      </c>
      <c r="F3544" s="19" t="str">
        <f>IFERROR(__xludf.DUMMYFUNCTION("""COMPUTED_VALUE"""),"BLUE")</f>
        <v>BLUE</v>
      </c>
      <c r="G3544" s="20" t="str">
        <f>IFERROR(__xludf.DUMMYFUNCTION("""COMPUTED_VALUE"""),"Uncle Sams Cider (04/04/2023)")</f>
        <v>Uncle Sams Cider (04/04/2023)</v>
      </c>
      <c r="H3544" s="19"/>
    </row>
    <row r="3545">
      <c r="A3545" s="9"/>
      <c r="B3545" s="15"/>
      <c r="C3545" s="9">
        <f>IFERROR(__xludf.DUMMYFUNCTION("""COMPUTED_VALUE"""),45107.4958946064)</f>
        <v>45107.49589</v>
      </c>
      <c r="D3545" s="15">
        <f>IFERROR(__xludf.DUMMYFUNCTION("""COMPUTED_VALUE"""),1.0)</f>
        <v>1</v>
      </c>
      <c r="E3545" s="16">
        <f>IFERROR(__xludf.DUMMYFUNCTION("""COMPUTED_VALUE"""),69.0)</f>
        <v>69</v>
      </c>
      <c r="F3545" s="19" t="str">
        <f>IFERROR(__xludf.DUMMYFUNCTION("""COMPUTED_VALUE"""),"BLUE")</f>
        <v>BLUE</v>
      </c>
      <c r="G3545" s="20" t="str">
        <f>IFERROR(__xludf.DUMMYFUNCTION("""COMPUTED_VALUE"""),"Uncle Sams Cider (04/04/2023)")</f>
        <v>Uncle Sams Cider (04/04/2023)</v>
      </c>
      <c r="H3545" s="19"/>
    </row>
    <row r="3546">
      <c r="A3546" s="9"/>
      <c r="B3546" s="15"/>
      <c r="C3546" s="9">
        <f>IFERROR(__xludf.DUMMYFUNCTION("""COMPUTED_VALUE"""),45107.4854710763)</f>
        <v>45107.48547</v>
      </c>
      <c r="D3546" s="15">
        <f>IFERROR(__xludf.DUMMYFUNCTION("""COMPUTED_VALUE"""),1.0)</f>
        <v>1</v>
      </c>
      <c r="E3546" s="16">
        <f>IFERROR(__xludf.DUMMYFUNCTION("""COMPUTED_VALUE"""),69.0)</f>
        <v>69</v>
      </c>
      <c r="F3546" s="19" t="str">
        <f>IFERROR(__xludf.DUMMYFUNCTION("""COMPUTED_VALUE"""),"BLUE")</f>
        <v>BLUE</v>
      </c>
      <c r="G3546" s="20" t="str">
        <f>IFERROR(__xludf.DUMMYFUNCTION("""COMPUTED_VALUE"""),"Uncle Sams Cider (04/04/2023)")</f>
        <v>Uncle Sams Cider (04/04/2023)</v>
      </c>
      <c r="H3546" s="19"/>
    </row>
    <row r="3547">
      <c r="A3547" s="9"/>
      <c r="B3547" s="15"/>
      <c r="C3547" s="9">
        <f>IFERROR(__xludf.DUMMYFUNCTION("""COMPUTED_VALUE"""),45107.4750472338)</f>
        <v>45107.47505</v>
      </c>
      <c r="D3547" s="15">
        <f>IFERROR(__xludf.DUMMYFUNCTION("""COMPUTED_VALUE"""),1.0)</f>
        <v>1</v>
      </c>
      <c r="E3547" s="16">
        <f>IFERROR(__xludf.DUMMYFUNCTION("""COMPUTED_VALUE"""),69.0)</f>
        <v>69</v>
      </c>
      <c r="F3547" s="19" t="str">
        <f>IFERROR(__xludf.DUMMYFUNCTION("""COMPUTED_VALUE"""),"BLUE")</f>
        <v>BLUE</v>
      </c>
      <c r="G3547" s="20" t="str">
        <f>IFERROR(__xludf.DUMMYFUNCTION("""COMPUTED_VALUE"""),"Uncle Sams Cider (04/04/2023)")</f>
        <v>Uncle Sams Cider (04/04/2023)</v>
      </c>
      <c r="H3547" s="19"/>
    </row>
    <row r="3548">
      <c r="A3548" s="9"/>
      <c r="B3548" s="15"/>
      <c r="C3548" s="9">
        <f>IFERROR(__xludf.DUMMYFUNCTION("""COMPUTED_VALUE"""),45107.4646275)</f>
        <v>45107.46463</v>
      </c>
      <c r="D3548" s="15">
        <f>IFERROR(__xludf.DUMMYFUNCTION("""COMPUTED_VALUE"""),1.0)</f>
        <v>1</v>
      </c>
      <c r="E3548" s="16">
        <f>IFERROR(__xludf.DUMMYFUNCTION("""COMPUTED_VALUE"""),69.0)</f>
        <v>69</v>
      </c>
      <c r="F3548" s="19" t="str">
        <f>IFERROR(__xludf.DUMMYFUNCTION("""COMPUTED_VALUE"""),"BLUE")</f>
        <v>BLUE</v>
      </c>
      <c r="G3548" s="20" t="str">
        <f>IFERROR(__xludf.DUMMYFUNCTION("""COMPUTED_VALUE"""),"Uncle Sams Cider (04/04/2023)")</f>
        <v>Uncle Sams Cider (04/04/2023)</v>
      </c>
      <c r="H3548" s="19"/>
    </row>
    <row r="3549">
      <c r="A3549" s="9"/>
      <c r="B3549" s="15"/>
      <c r="C3549" s="9">
        <f>IFERROR(__xludf.DUMMYFUNCTION("""COMPUTED_VALUE"""),45107.4542061342)</f>
        <v>45107.45421</v>
      </c>
      <c r="D3549" s="15">
        <f>IFERROR(__xludf.DUMMYFUNCTION("""COMPUTED_VALUE"""),1.0)</f>
        <v>1</v>
      </c>
      <c r="E3549" s="16">
        <f>IFERROR(__xludf.DUMMYFUNCTION("""COMPUTED_VALUE"""),69.0)</f>
        <v>69</v>
      </c>
      <c r="F3549" s="19" t="str">
        <f>IFERROR(__xludf.DUMMYFUNCTION("""COMPUTED_VALUE"""),"BLUE")</f>
        <v>BLUE</v>
      </c>
      <c r="G3549" s="20" t="str">
        <f>IFERROR(__xludf.DUMMYFUNCTION("""COMPUTED_VALUE"""),"Uncle Sams Cider (04/04/2023)")</f>
        <v>Uncle Sams Cider (04/04/2023)</v>
      </c>
      <c r="H3549" s="19"/>
    </row>
    <row r="3550">
      <c r="A3550" s="9"/>
      <c r="B3550" s="15"/>
      <c r="C3550" s="9">
        <f>IFERROR(__xludf.DUMMYFUNCTION("""COMPUTED_VALUE"""),45107.4437845254)</f>
        <v>45107.44378</v>
      </c>
      <c r="D3550" s="15">
        <f>IFERROR(__xludf.DUMMYFUNCTION("""COMPUTED_VALUE"""),1.0)</f>
        <v>1</v>
      </c>
      <c r="E3550" s="16">
        <f>IFERROR(__xludf.DUMMYFUNCTION("""COMPUTED_VALUE"""),69.0)</f>
        <v>69</v>
      </c>
      <c r="F3550" s="19" t="str">
        <f>IFERROR(__xludf.DUMMYFUNCTION("""COMPUTED_VALUE"""),"BLUE")</f>
        <v>BLUE</v>
      </c>
      <c r="G3550" s="20" t="str">
        <f>IFERROR(__xludf.DUMMYFUNCTION("""COMPUTED_VALUE"""),"Uncle Sams Cider (04/04/2023)")</f>
        <v>Uncle Sams Cider (04/04/2023)</v>
      </c>
      <c r="H3550" s="19"/>
    </row>
    <row r="3551">
      <c r="A3551" s="9"/>
      <c r="B3551" s="15"/>
      <c r="C3551" s="9">
        <f>IFERROR(__xludf.DUMMYFUNCTION("""COMPUTED_VALUE"""),45107.4333629861)</f>
        <v>45107.43336</v>
      </c>
      <c r="D3551" s="15">
        <f>IFERROR(__xludf.DUMMYFUNCTION("""COMPUTED_VALUE"""),1.0)</f>
        <v>1</v>
      </c>
      <c r="E3551" s="16">
        <f>IFERROR(__xludf.DUMMYFUNCTION("""COMPUTED_VALUE"""),69.0)</f>
        <v>69</v>
      </c>
      <c r="F3551" s="19" t="str">
        <f>IFERROR(__xludf.DUMMYFUNCTION("""COMPUTED_VALUE"""),"BLUE")</f>
        <v>BLUE</v>
      </c>
      <c r="G3551" s="20" t="str">
        <f>IFERROR(__xludf.DUMMYFUNCTION("""COMPUTED_VALUE"""),"Uncle Sams Cider (04/04/2023)")</f>
        <v>Uncle Sams Cider (04/04/2023)</v>
      </c>
      <c r="H3551" s="19"/>
    </row>
    <row r="3552">
      <c r="A3552" s="9"/>
      <c r="B3552" s="15"/>
      <c r="C3552" s="9">
        <f>IFERROR(__xludf.DUMMYFUNCTION("""COMPUTED_VALUE"""),45107.422941655)</f>
        <v>45107.42294</v>
      </c>
      <c r="D3552" s="15">
        <f>IFERROR(__xludf.DUMMYFUNCTION("""COMPUTED_VALUE"""),1.0)</f>
        <v>1</v>
      </c>
      <c r="E3552" s="16">
        <f>IFERROR(__xludf.DUMMYFUNCTION("""COMPUTED_VALUE"""),69.0)</f>
        <v>69</v>
      </c>
      <c r="F3552" s="19" t="str">
        <f>IFERROR(__xludf.DUMMYFUNCTION("""COMPUTED_VALUE"""),"BLUE")</f>
        <v>BLUE</v>
      </c>
      <c r="G3552" s="20" t="str">
        <f>IFERROR(__xludf.DUMMYFUNCTION("""COMPUTED_VALUE"""),"Uncle Sams Cider (04/04/2023)")</f>
        <v>Uncle Sams Cider (04/04/2023)</v>
      </c>
      <c r="H3552" s="19"/>
    </row>
    <row r="3553">
      <c r="A3553" s="9"/>
      <c r="B3553" s="15"/>
      <c r="C3553" s="9">
        <f>IFERROR(__xludf.DUMMYFUNCTION("""COMPUTED_VALUE"""),45107.4125191666)</f>
        <v>45107.41252</v>
      </c>
      <c r="D3553" s="15">
        <f>IFERROR(__xludf.DUMMYFUNCTION("""COMPUTED_VALUE"""),1.0)</f>
        <v>1</v>
      </c>
      <c r="E3553" s="16">
        <f>IFERROR(__xludf.DUMMYFUNCTION("""COMPUTED_VALUE"""),69.0)</f>
        <v>69</v>
      </c>
      <c r="F3553" s="19" t="str">
        <f>IFERROR(__xludf.DUMMYFUNCTION("""COMPUTED_VALUE"""),"BLUE")</f>
        <v>BLUE</v>
      </c>
      <c r="G3553" s="20" t="str">
        <f>IFERROR(__xludf.DUMMYFUNCTION("""COMPUTED_VALUE"""),"Uncle Sams Cider (04/04/2023)")</f>
        <v>Uncle Sams Cider (04/04/2023)</v>
      </c>
      <c r="H3553" s="19"/>
    </row>
    <row r="3554">
      <c r="A3554" s="9"/>
      <c r="B3554" s="15"/>
      <c r="C3554" s="9">
        <f>IFERROR(__xludf.DUMMYFUNCTION("""COMPUTED_VALUE"""),45107.3916659606)</f>
        <v>45107.39167</v>
      </c>
      <c r="D3554" s="15">
        <f>IFERROR(__xludf.DUMMYFUNCTION("""COMPUTED_VALUE"""),1.0)</f>
        <v>1</v>
      </c>
      <c r="E3554" s="16">
        <f>IFERROR(__xludf.DUMMYFUNCTION("""COMPUTED_VALUE"""),69.0)</f>
        <v>69</v>
      </c>
      <c r="F3554" s="19" t="str">
        <f>IFERROR(__xludf.DUMMYFUNCTION("""COMPUTED_VALUE"""),"BLUE")</f>
        <v>BLUE</v>
      </c>
      <c r="G3554" s="20" t="str">
        <f>IFERROR(__xludf.DUMMYFUNCTION("""COMPUTED_VALUE"""),"Uncle Sams Cider (04/04/2023)")</f>
        <v>Uncle Sams Cider (04/04/2023)</v>
      </c>
      <c r="H3554" s="19"/>
    </row>
    <row r="3555">
      <c r="A3555" s="9"/>
      <c r="B3555" s="15"/>
      <c r="C3555" s="9">
        <f>IFERROR(__xludf.DUMMYFUNCTION("""COMPUTED_VALUE"""),45107.381244155)</f>
        <v>45107.38124</v>
      </c>
      <c r="D3555" s="15">
        <f>IFERROR(__xludf.DUMMYFUNCTION("""COMPUTED_VALUE"""),1.0)</f>
        <v>1</v>
      </c>
      <c r="E3555" s="16">
        <f>IFERROR(__xludf.DUMMYFUNCTION("""COMPUTED_VALUE"""),69.0)</f>
        <v>69</v>
      </c>
      <c r="F3555" s="19" t="str">
        <f>IFERROR(__xludf.DUMMYFUNCTION("""COMPUTED_VALUE"""),"BLUE")</f>
        <v>BLUE</v>
      </c>
      <c r="G3555" s="20" t="str">
        <f>IFERROR(__xludf.DUMMYFUNCTION("""COMPUTED_VALUE"""),"Uncle Sams Cider (04/04/2023)")</f>
        <v>Uncle Sams Cider (04/04/2023)</v>
      </c>
      <c r="H3555" s="19"/>
    </row>
    <row r="3556">
      <c r="A3556" s="9"/>
      <c r="B3556" s="15"/>
      <c r="C3556" s="9">
        <f>IFERROR(__xludf.DUMMYFUNCTION("""COMPUTED_VALUE"""),45107.3708215162)</f>
        <v>45107.37082</v>
      </c>
      <c r="D3556" s="15">
        <f>IFERROR(__xludf.DUMMYFUNCTION("""COMPUTED_VALUE"""),1.0)</f>
        <v>1</v>
      </c>
      <c r="E3556" s="16">
        <f>IFERROR(__xludf.DUMMYFUNCTION("""COMPUTED_VALUE"""),69.0)</f>
        <v>69</v>
      </c>
      <c r="F3556" s="19" t="str">
        <f>IFERROR(__xludf.DUMMYFUNCTION("""COMPUTED_VALUE"""),"BLUE")</f>
        <v>BLUE</v>
      </c>
      <c r="G3556" s="20" t="str">
        <f>IFERROR(__xludf.DUMMYFUNCTION("""COMPUTED_VALUE"""),"Uncle Sams Cider (04/04/2023)")</f>
        <v>Uncle Sams Cider (04/04/2023)</v>
      </c>
      <c r="H3556" s="19"/>
    </row>
    <row r="3557">
      <c r="A3557" s="9"/>
      <c r="B3557" s="15"/>
      <c r="C3557" s="9">
        <f>IFERROR(__xludf.DUMMYFUNCTION("""COMPUTED_VALUE"""),45107.3604016203)</f>
        <v>45107.3604</v>
      </c>
      <c r="D3557" s="15">
        <f>IFERROR(__xludf.DUMMYFUNCTION("""COMPUTED_VALUE"""),1.0)</f>
        <v>1</v>
      </c>
      <c r="E3557" s="16">
        <f>IFERROR(__xludf.DUMMYFUNCTION("""COMPUTED_VALUE"""),69.0)</f>
        <v>69</v>
      </c>
      <c r="F3557" s="19" t="str">
        <f>IFERROR(__xludf.DUMMYFUNCTION("""COMPUTED_VALUE"""),"BLUE")</f>
        <v>BLUE</v>
      </c>
      <c r="G3557" s="20" t="str">
        <f>IFERROR(__xludf.DUMMYFUNCTION("""COMPUTED_VALUE"""),"Uncle Sams Cider (04/04/2023)")</f>
        <v>Uncle Sams Cider (04/04/2023)</v>
      </c>
      <c r="H3557" s="19"/>
    </row>
    <row r="3558">
      <c r="A3558" s="9"/>
      <c r="B3558" s="15"/>
      <c r="C3558" s="9">
        <f>IFERROR(__xludf.DUMMYFUNCTION("""COMPUTED_VALUE"""),45107.3499812615)</f>
        <v>45107.34998</v>
      </c>
      <c r="D3558" s="15">
        <f>IFERROR(__xludf.DUMMYFUNCTION("""COMPUTED_VALUE"""),1.0)</f>
        <v>1</v>
      </c>
      <c r="E3558" s="16">
        <f>IFERROR(__xludf.DUMMYFUNCTION("""COMPUTED_VALUE"""),69.0)</f>
        <v>69</v>
      </c>
      <c r="F3558" s="19" t="str">
        <f>IFERROR(__xludf.DUMMYFUNCTION("""COMPUTED_VALUE"""),"BLUE")</f>
        <v>BLUE</v>
      </c>
      <c r="G3558" s="20" t="str">
        <f>IFERROR(__xludf.DUMMYFUNCTION("""COMPUTED_VALUE"""),"Uncle Sams Cider (04/04/2023)")</f>
        <v>Uncle Sams Cider (04/04/2023)</v>
      </c>
      <c r="H3558" s="19"/>
    </row>
    <row r="3559">
      <c r="A3559" s="9"/>
      <c r="B3559" s="15"/>
      <c r="C3559" s="9">
        <f>IFERROR(__xludf.DUMMYFUNCTION("""COMPUTED_VALUE"""),45107.3395478819)</f>
        <v>45107.33955</v>
      </c>
      <c r="D3559" s="15">
        <f>IFERROR(__xludf.DUMMYFUNCTION("""COMPUTED_VALUE"""),1.0)</f>
        <v>1</v>
      </c>
      <c r="E3559" s="16">
        <f>IFERROR(__xludf.DUMMYFUNCTION("""COMPUTED_VALUE"""),69.0)</f>
        <v>69</v>
      </c>
      <c r="F3559" s="19" t="str">
        <f>IFERROR(__xludf.DUMMYFUNCTION("""COMPUTED_VALUE"""),"BLUE")</f>
        <v>BLUE</v>
      </c>
      <c r="G3559" s="20" t="str">
        <f>IFERROR(__xludf.DUMMYFUNCTION("""COMPUTED_VALUE"""),"Uncle Sams Cider (04/04/2023)")</f>
        <v>Uncle Sams Cider (04/04/2023)</v>
      </c>
      <c r="H3559" s="19"/>
    </row>
    <row r="3560">
      <c r="A3560" s="9"/>
      <c r="B3560" s="15"/>
      <c r="C3560" s="9">
        <f>IFERROR(__xludf.DUMMYFUNCTION("""COMPUTED_VALUE"""),45107.3291266319)</f>
        <v>45107.32913</v>
      </c>
      <c r="D3560" s="15">
        <f>IFERROR(__xludf.DUMMYFUNCTION("""COMPUTED_VALUE"""),1.0)</f>
        <v>1</v>
      </c>
      <c r="E3560" s="16">
        <f>IFERROR(__xludf.DUMMYFUNCTION("""COMPUTED_VALUE"""),69.0)</f>
        <v>69</v>
      </c>
      <c r="F3560" s="19" t="str">
        <f>IFERROR(__xludf.DUMMYFUNCTION("""COMPUTED_VALUE"""),"BLUE")</f>
        <v>BLUE</v>
      </c>
      <c r="G3560" s="20" t="str">
        <f>IFERROR(__xludf.DUMMYFUNCTION("""COMPUTED_VALUE"""),"Uncle Sams Cider (04/04/2023)")</f>
        <v>Uncle Sams Cider (04/04/2023)</v>
      </c>
      <c r="H3560" s="19"/>
    </row>
    <row r="3561">
      <c r="A3561" s="9"/>
      <c r="B3561" s="15"/>
      <c r="C3561" s="9">
        <f>IFERROR(__xludf.DUMMYFUNCTION("""COMPUTED_VALUE"""),45107.318692824)</f>
        <v>45107.31869</v>
      </c>
      <c r="D3561" s="15">
        <f>IFERROR(__xludf.DUMMYFUNCTION("""COMPUTED_VALUE"""),1.0)</f>
        <v>1</v>
      </c>
      <c r="E3561" s="16">
        <f>IFERROR(__xludf.DUMMYFUNCTION("""COMPUTED_VALUE"""),69.0)</f>
        <v>69</v>
      </c>
      <c r="F3561" s="19" t="str">
        <f>IFERROR(__xludf.DUMMYFUNCTION("""COMPUTED_VALUE"""),"BLUE")</f>
        <v>BLUE</v>
      </c>
      <c r="G3561" s="20" t="str">
        <f>IFERROR(__xludf.DUMMYFUNCTION("""COMPUTED_VALUE"""),"Uncle Sams Cider (04/04/2023)")</f>
        <v>Uncle Sams Cider (04/04/2023)</v>
      </c>
      <c r="H3561" s="19"/>
    </row>
    <row r="3562">
      <c r="A3562" s="9"/>
      <c r="B3562" s="15"/>
      <c r="C3562" s="9">
        <f>IFERROR(__xludf.DUMMYFUNCTION("""COMPUTED_VALUE"""),45107.3082504976)</f>
        <v>45107.30825</v>
      </c>
      <c r="D3562" s="15">
        <f>IFERROR(__xludf.DUMMYFUNCTION("""COMPUTED_VALUE"""),1.0)</f>
        <v>1</v>
      </c>
      <c r="E3562" s="16">
        <f>IFERROR(__xludf.DUMMYFUNCTION("""COMPUTED_VALUE"""),69.0)</f>
        <v>69</v>
      </c>
      <c r="F3562" s="19" t="str">
        <f>IFERROR(__xludf.DUMMYFUNCTION("""COMPUTED_VALUE"""),"BLUE")</f>
        <v>BLUE</v>
      </c>
      <c r="G3562" s="20" t="str">
        <f>IFERROR(__xludf.DUMMYFUNCTION("""COMPUTED_VALUE"""),"Uncle Sams Cider (04/04/2023)")</f>
        <v>Uncle Sams Cider (04/04/2023)</v>
      </c>
      <c r="H3562" s="19"/>
    </row>
    <row r="3563">
      <c r="A3563" s="9"/>
      <c r="B3563" s="15"/>
      <c r="C3563" s="9">
        <f>IFERROR(__xludf.DUMMYFUNCTION("""COMPUTED_VALUE"""),45107.297817037)</f>
        <v>45107.29782</v>
      </c>
      <c r="D3563" s="15">
        <f>IFERROR(__xludf.DUMMYFUNCTION("""COMPUTED_VALUE"""),1.0)</f>
        <v>1</v>
      </c>
      <c r="E3563" s="16">
        <f>IFERROR(__xludf.DUMMYFUNCTION("""COMPUTED_VALUE"""),69.0)</f>
        <v>69</v>
      </c>
      <c r="F3563" s="19" t="str">
        <f>IFERROR(__xludf.DUMMYFUNCTION("""COMPUTED_VALUE"""),"BLUE")</f>
        <v>BLUE</v>
      </c>
      <c r="G3563" s="20" t="str">
        <f>IFERROR(__xludf.DUMMYFUNCTION("""COMPUTED_VALUE"""),"Uncle Sams Cider (04/04/2023)")</f>
        <v>Uncle Sams Cider (04/04/2023)</v>
      </c>
      <c r="H3563" s="19"/>
    </row>
    <row r="3564">
      <c r="A3564" s="9"/>
      <c r="B3564" s="15"/>
      <c r="C3564" s="9">
        <f>IFERROR(__xludf.DUMMYFUNCTION("""COMPUTED_VALUE"""),45107.2873843402)</f>
        <v>45107.28738</v>
      </c>
      <c r="D3564" s="15">
        <f>IFERROR(__xludf.DUMMYFUNCTION("""COMPUTED_VALUE"""),1.0)</f>
        <v>1</v>
      </c>
      <c r="E3564" s="16">
        <f>IFERROR(__xludf.DUMMYFUNCTION("""COMPUTED_VALUE"""),69.0)</f>
        <v>69</v>
      </c>
      <c r="F3564" s="19" t="str">
        <f>IFERROR(__xludf.DUMMYFUNCTION("""COMPUTED_VALUE"""),"BLUE")</f>
        <v>BLUE</v>
      </c>
      <c r="G3564" s="20" t="str">
        <f>IFERROR(__xludf.DUMMYFUNCTION("""COMPUTED_VALUE"""),"Uncle Sams Cider (04/04/2023)")</f>
        <v>Uncle Sams Cider (04/04/2023)</v>
      </c>
      <c r="H3564" s="19"/>
    </row>
    <row r="3565">
      <c r="A3565" s="9"/>
      <c r="B3565" s="15"/>
      <c r="C3565" s="9">
        <f>IFERROR(__xludf.DUMMYFUNCTION("""COMPUTED_VALUE"""),45107.2769633912)</f>
        <v>45107.27696</v>
      </c>
      <c r="D3565" s="15">
        <f>IFERROR(__xludf.DUMMYFUNCTION("""COMPUTED_VALUE"""),1.0)</f>
        <v>1</v>
      </c>
      <c r="E3565" s="16">
        <f>IFERROR(__xludf.DUMMYFUNCTION("""COMPUTED_VALUE"""),69.0)</f>
        <v>69</v>
      </c>
      <c r="F3565" s="19" t="str">
        <f>IFERROR(__xludf.DUMMYFUNCTION("""COMPUTED_VALUE"""),"BLUE")</f>
        <v>BLUE</v>
      </c>
      <c r="G3565" s="20" t="str">
        <f>IFERROR(__xludf.DUMMYFUNCTION("""COMPUTED_VALUE"""),"Uncle Sams Cider (04/04/2023)")</f>
        <v>Uncle Sams Cider (04/04/2023)</v>
      </c>
      <c r="H3565" s="19"/>
    </row>
    <row r="3566">
      <c r="A3566" s="9"/>
      <c r="B3566" s="15"/>
      <c r="C3566" s="9">
        <f>IFERROR(__xludf.DUMMYFUNCTION("""COMPUTED_VALUE"""),45107.2665429398)</f>
        <v>45107.26654</v>
      </c>
      <c r="D3566" s="15">
        <f>IFERROR(__xludf.DUMMYFUNCTION("""COMPUTED_VALUE"""),1.0)</f>
        <v>1</v>
      </c>
      <c r="E3566" s="16">
        <f>IFERROR(__xludf.DUMMYFUNCTION("""COMPUTED_VALUE"""),69.0)</f>
        <v>69</v>
      </c>
      <c r="F3566" s="19" t="str">
        <f>IFERROR(__xludf.DUMMYFUNCTION("""COMPUTED_VALUE"""),"BLUE")</f>
        <v>BLUE</v>
      </c>
      <c r="G3566" s="20" t="str">
        <f>IFERROR(__xludf.DUMMYFUNCTION("""COMPUTED_VALUE"""),"Uncle Sams Cider (04/04/2023)")</f>
        <v>Uncle Sams Cider (04/04/2023)</v>
      </c>
      <c r="H3566" s="19"/>
    </row>
    <row r="3567">
      <c r="A3567" s="9"/>
      <c r="B3567" s="15"/>
      <c r="C3567" s="9">
        <f>IFERROR(__xludf.DUMMYFUNCTION("""COMPUTED_VALUE"""),45107.2561219675)</f>
        <v>45107.25612</v>
      </c>
      <c r="D3567" s="15">
        <f>IFERROR(__xludf.DUMMYFUNCTION("""COMPUTED_VALUE"""),1.0)</f>
        <v>1</v>
      </c>
      <c r="E3567" s="16">
        <f>IFERROR(__xludf.DUMMYFUNCTION("""COMPUTED_VALUE"""),69.0)</f>
        <v>69</v>
      </c>
      <c r="F3567" s="19" t="str">
        <f>IFERROR(__xludf.DUMMYFUNCTION("""COMPUTED_VALUE"""),"BLUE")</f>
        <v>BLUE</v>
      </c>
      <c r="G3567" s="20" t="str">
        <f>IFERROR(__xludf.DUMMYFUNCTION("""COMPUTED_VALUE"""),"Uncle Sams Cider (04/04/2023)")</f>
        <v>Uncle Sams Cider (04/04/2023)</v>
      </c>
      <c r="H3567" s="19"/>
    </row>
    <row r="3568">
      <c r="A3568" s="9"/>
      <c r="B3568" s="15"/>
      <c r="C3568" s="9">
        <f>IFERROR(__xludf.DUMMYFUNCTION("""COMPUTED_VALUE"""),45107.2456996759)</f>
        <v>45107.2457</v>
      </c>
      <c r="D3568" s="15">
        <f>IFERROR(__xludf.DUMMYFUNCTION("""COMPUTED_VALUE"""),1.0)</f>
        <v>1</v>
      </c>
      <c r="E3568" s="16">
        <f>IFERROR(__xludf.DUMMYFUNCTION("""COMPUTED_VALUE"""),69.0)</f>
        <v>69</v>
      </c>
      <c r="F3568" s="19" t="str">
        <f>IFERROR(__xludf.DUMMYFUNCTION("""COMPUTED_VALUE"""),"BLUE")</f>
        <v>BLUE</v>
      </c>
      <c r="G3568" s="20" t="str">
        <f>IFERROR(__xludf.DUMMYFUNCTION("""COMPUTED_VALUE"""),"Uncle Sams Cider (04/04/2023)")</f>
        <v>Uncle Sams Cider (04/04/2023)</v>
      </c>
      <c r="H3568" s="19"/>
    </row>
    <row r="3569">
      <c r="A3569" s="9"/>
      <c r="B3569" s="15"/>
      <c r="C3569" s="9">
        <f>IFERROR(__xludf.DUMMYFUNCTION("""COMPUTED_VALUE"""),45107.2352772569)</f>
        <v>45107.23528</v>
      </c>
      <c r="D3569" s="15">
        <f>IFERROR(__xludf.DUMMYFUNCTION("""COMPUTED_VALUE"""),1.0)</f>
        <v>1</v>
      </c>
      <c r="E3569" s="16">
        <f>IFERROR(__xludf.DUMMYFUNCTION("""COMPUTED_VALUE"""),69.0)</f>
        <v>69</v>
      </c>
      <c r="F3569" s="19" t="str">
        <f>IFERROR(__xludf.DUMMYFUNCTION("""COMPUTED_VALUE"""),"BLUE")</f>
        <v>BLUE</v>
      </c>
      <c r="G3569" s="20" t="str">
        <f>IFERROR(__xludf.DUMMYFUNCTION("""COMPUTED_VALUE"""),"Uncle Sams Cider (04/04/2023)")</f>
        <v>Uncle Sams Cider (04/04/2023)</v>
      </c>
      <c r="H3569" s="19"/>
    </row>
    <row r="3570">
      <c r="A3570" s="9"/>
      <c r="B3570" s="15"/>
      <c r="C3570" s="9">
        <f>IFERROR(__xludf.DUMMYFUNCTION("""COMPUTED_VALUE"""),45107.2248320023)</f>
        <v>45107.22483</v>
      </c>
      <c r="D3570" s="15">
        <f>IFERROR(__xludf.DUMMYFUNCTION("""COMPUTED_VALUE"""),1.0)</f>
        <v>1</v>
      </c>
      <c r="E3570" s="16">
        <f>IFERROR(__xludf.DUMMYFUNCTION("""COMPUTED_VALUE"""),69.0)</f>
        <v>69</v>
      </c>
      <c r="F3570" s="19" t="str">
        <f>IFERROR(__xludf.DUMMYFUNCTION("""COMPUTED_VALUE"""),"BLUE")</f>
        <v>BLUE</v>
      </c>
      <c r="G3570" s="20" t="str">
        <f>IFERROR(__xludf.DUMMYFUNCTION("""COMPUTED_VALUE"""),"Uncle Sams Cider (04/04/2023)")</f>
        <v>Uncle Sams Cider (04/04/2023)</v>
      </c>
      <c r="H3570" s="19"/>
    </row>
    <row r="3571">
      <c r="A3571" s="9"/>
      <c r="B3571" s="15"/>
      <c r="C3571" s="9">
        <f>IFERROR(__xludf.DUMMYFUNCTION("""COMPUTED_VALUE"""),45107.2144115972)</f>
        <v>45107.21441</v>
      </c>
      <c r="D3571" s="15">
        <f>IFERROR(__xludf.DUMMYFUNCTION("""COMPUTED_VALUE"""),1.0)</f>
        <v>1</v>
      </c>
      <c r="E3571" s="16">
        <f>IFERROR(__xludf.DUMMYFUNCTION("""COMPUTED_VALUE"""),69.0)</f>
        <v>69</v>
      </c>
      <c r="F3571" s="19" t="str">
        <f>IFERROR(__xludf.DUMMYFUNCTION("""COMPUTED_VALUE"""),"BLUE")</f>
        <v>BLUE</v>
      </c>
      <c r="G3571" s="20" t="str">
        <f>IFERROR(__xludf.DUMMYFUNCTION("""COMPUTED_VALUE"""),"Uncle Sams Cider (04/04/2023)")</f>
        <v>Uncle Sams Cider (04/04/2023)</v>
      </c>
      <c r="H3571" s="19"/>
    </row>
    <row r="3572">
      <c r="A3572" s="9"/>
      <c r="B3572" s="15"/>
      <c r="C3572" s="9">
        <f>IFERROR(__xludf.DUMMYFUNCTION("""COMPUTED_VALUE"""),45107.2039915625)</f>
        <v>45107.20399</v>
      </c>
      <c r="D3572" s="15">
        <f>IFERROR(__xludf.DUMMYFUNCTION("""COMPUTED_VALUE"""),1.0)</f>
        <v>1</v>
      </c>
      <c r="E3572" s="16">
        <f>IFERROR(__xludf.DUMMYFUNCTION("""COMPUTED_VALUE"""),69.0)</f>
        <v>69</v>
      </c>
      <c r="F3572" s="19" t="str">
        <f>IFERROR(__xludf.DUMMYFUNCTION("""COMPUTED_VALUE"""),"BLUE")</f>
        <v>BLUE</v>
      </c>
      <c r="G3572" s="20" t="str">
        <f>IFERROR(__xludf.DUMMYFUNCTION("""COMPUTED_VALUE"""),"Uncle Sams Cider (04/04/2023)")</f>
        <v>Uncle Sams Cider (04/04/2023)</v>
      </c>
      <c r="H3572" s="19"/>
    </row>
    <row r="3573">
      <c r="A3573" s="9"/>
      <c r="B3573" s="15"/>
      <c r="C3573" s="9">
        <f>IFERROR(__xludf.DUMMYFUNCTION("""COMPUTED_VALUE"""),45107.1935699074)</f>
        <v>45107.19357</v>
      </c>
      <c r="D3573" s="15">
        <f>IFERROR(__xludf.DUMMYFUNCTION("""COMPUTED_VALUE"""),1.0)</f>
        <v>1</v>
      </c>
      <c r="E3573" s="16">
        <f>IFERROR(__xludf.DUMMYFUNCTION("""COMPUTED_VALUE"""),69.0)</f>
        <v>69</v>
      </c>
      <c r="F3573" s="19" t="str">
        <f>IFERROR(__xludf.DUMMYFUNCTION("""COMPUTED_VALUE"""),"BLUE")</f>
        <v>BLUE</v>
      </c>
      <c r="G3573" s="20" t="str">
        <f>IFERROR(__xludf.DUMMYFUNCTION("""COMPUTED_VALUE"""),"Uncle Sams Cider (04/04/2023)")</f>
        <v>Uncle Sams Cider (04/04/2023)</v>
      </c>
      <c r="H3573" s="19"/>
    </row>
    <row r="3574">
      <c r="A3574" s="9"/>
      <c r="B3574" s="15"/>
      <c r="C3574" s="9">
        <f>IFERROR(__xludf.DUMMYFUNCTION("""COMPUTED_VALUE"""),45107.1831467824)</f>
        <v>45107.18315</v>
      </c>
      <c r="D3574" s="15">
        <f>IFERROR(__xludf.DUMMYFUNCTION("""COMPUTED_VALUE"""),1.0)</f>
        <v>1</v>
      </c>
      <c r="E3574" s="16">
        <f>IFERROR(__xludf.DUMMYFUNCTION("""COMPUTED_VALUE"""),69.0)</f>
        <v>69</v>
      </c>
      <c r="F3574" s="19" t="str">
        <f>IFERROR(__xludf.DUMMYFUNCTION("""COMPUTED_VALUE"""),"BLUE")</f>
        <v>BLUE</v>
      </c>
      <c r="G3574" s="20" t="str">
        <f>IFERROR(__xludf.DUMMYFUNCTION("""COMPUTED_VALUE"""),"Uncle Sams Cider (04/04/2023)")</f>
        <v>Uncle Sams Cider (04/04/2023)</v>
      </c>
      <c r="H3574" s="19"/>
    </row>
    <row r="3575">
      <c r="A3575" s="9"/>
      <c r="B3575" s="15"/>
      <c r="C3575" s="9">
        <f>IFERROR(__xludf.DUMMYFUNCTION("""COMPUTED_VALUE"""),45107.1727255439)</f>
        <v>45107.17273</v>
      </c>
      <c r="D3575" s="15">
        <f>IFERROR(__xludf.DUMMYFUNCTION("""COMPUTED_VALUE"""),1.0)</f>
        <v>1</v>
      </c>
      <c r="E3575" s="16">
        <f>IFERROR(__xludf.DUMMYFUNCTION("""COMPUTED_VALUE"""),69.0)</f>
        <v>69</v>
      </c>
      <c r="F3575" s="19" t="str">
        <f>IFERROR(__xludf.DUMMYFUNCTION("""COMPUTED_VALUE"""),"BLUE")</f>
        <v>BLUE</v>
      </c>
      <c r="G3575" s="20" t="str">
        <f>IFERROR(__xludf.DUMMYFUNCTION("""COMPUTED_VALUE"""),"Uncle Sams Cider (04/04/2023)")</f>
        <v>Uncle Sams Cider (04/04/2023)</v>
      </c>
      <c r="H3575" s="19"/>
    </row>
    <row r="3576">
      <c r="A3576" s="9"/>
      <c r="B3576" s="15"/>
      <c r="C3576" s="9">
        <f>IFERROR(__xludf.DUMMYFUNCTION("""COMPUTED_VALUE"""),45107.1623044097)</f>
        <v>45107.1623</v>
      </c>
      <c r="D3576" s="15">
        <f>IFERROR(__xludf.DUMMYFUNCTION("""COMPUTED_VALUE"""),1.0)</f>
        <v>1</v>
      </c>
      <c r="E3576" s="16">
        <f>IFERROR(__xludf.DUMMYFUNCTION("""COMPUTED_VALUE"""),69.0)</f>
        <v>69</v>
      </c>
      <c r="F3576" s="19" t="str">
        <f>IFERROR(__xludf.DUMMYFUNCTION("""COMPUTED_VALUE"""),"BLUE")</f>
        <v>BLUE</v>
      </c>
      <c r="G3576" s="20" t="str">
        <f>IFERROR(__xludf.DUMMYFUNCTION("""COMPUTED_VALUE"""),"Uncle Sams Cider (04/04/2023)")</f>
        <v>Uncle Sams Cider (04/04/2023)</v>
      </c>
      <c r="H3576" s="19"/>
    </row>
    <row r="3577">
      <c r="A3577" s="9"/>
      <c r="B3577" s="15"/>
      <c r="C3577" s="9">
        <f>IFERROR(__xludf.DUMMYFUNCTION("""COMPUTED_VALUE"""),45107.1518831828)</f>
        <v>45107.15188</v>
      </c>
      <c r="D3577" s="15">
        <f>IFERROR(__xludf.DUMMYFUNCTION("""COMPUTED_VALUE"""),1.0)</f>
        <v>1</v>
      </c>
      <c r="E3577" s="16">
        <f>IFERROR(__xludf.DUMMYFUNCTION("""COMPUTED_VALUE"""),69.0)</f>
        <v>69</v>
      </c>
      <c r="F3577" s="19" t="str">
        <f>IFERROR(__xludf.DUMMYFUNCTION("""COMPUTED_VALUE"""),"BLUE")</f>
        <v>BLUE</v>
      </c>
      <c r="G3577" s="20" t="str">
        <f>IFERROR(__xludf.DUMMYFUNCTION("""COMPUTED_VALUE"""),"Uncle Sams Cider (04/04/2023)")</f>
        <v>Uncle Sams Cider (04/04/2023)</v>
      </c>
      <c r="H3577" s="19"/>
    </row>
    <row r="3578">
      <c r="A3578" s="9"/>
      <c r="B3578" s="15"/>
      <c r="C3578" s="9">
        <f>IFERROR(__xludf.DUMMYFUNCTION("""COMPUTED_VALUE"""),45107.1414501273)</f>
        <v>45107.14145</v>
      </c>
      <c r="D3578" s="15">
        <f>IFERROR(__xludf.DUMMYFUNCTION("""COMPUTED_VALUE"""),1.0)</f>
        <v>1</v>
      </c>
      <c r="E3578" s="16">
        <f>IFERROR(__xludf.DUMMYFUNCTION("""COMPUTED_VALUE"""),69.0)</f>
        <v>69</v>
      </c>
      <c r="F3578" s="19" t="str">
        <f>IFERROR(__xludf.DUMMYFUNCTION("""COMPUTED_VALUE"""),"BLUE")</f>
        <v>BLUE</v>
      </c>
      <c r="G3578" s="20" t="str">
        <f>IFERROR(__xludf.DUMMYFUNCTION("""COMPUTED_VALUE"""),"Uncle Sams Cider (04/04/2023)")</f>
        <v>Uncle Sams Cider (04/04/2023)</v>
      </c>
      <c r="H3578" s="19"/>
    </row>
    <row r="3579">
      <c r="A3579" s="9"/>
      <c r="B3579" s="15"/>
      <c r="C3579" s="9">
        <f>IFERROR(__xludf.DUMMYFUNCTION("""COMPUTED_VALUE"""),45107.1310293518)</f>
        <v>45107.13103</v>
      </c>
      <c r="D3579" s="15">
        <f>IFERROR(__xludf.DUMMYFUNCTION("""COMPUTED_VALUE"""),1.0)</f>
        <v>1</v>
      </c>
      <c r="E3579" s="16">
        <f>IFERROR(__xludf.DUMMYFUNCTION("""COMPUTED_VALUE"""),69.0)</f>
        <v>69</v>
      </c>
      <c r="F3579" s="19" t="str">
        <f>IFERROR(__xludf.DUMMYFUNCTION("""COMPUTED_VALUE"""),"BLUE")</f>
        <v>BLUE</v>
      </c>
      <c r="G3579" s="20" t="str">
        <f>IFERROR(__xludf.DUMMYFUNCTION("""COMPUTED_VALUE"""),"Uncle Sams Cider (04/04/2023)")</f>
        <v>Uncle Sams Cider (04/04/2023)</v>
      </c>
      <c r="H3579" s="19"/>
    </row>
    <row r="3580">
      <c r="A3580" s="9"/>
      <c r="B3580" s="15"/>
      <c r="C3580" s="9">
        <f>IFERROR(__xludf.DUMMYFUNCTION("""COMPUTED_VALUE"""),45107.1206088194)</f>
        <v>45107.12061</v>
      </c>
      <c r="D3580" s="15">
        <f>IFERROR(__xludf.DUMMYFUNCTION("""COMPUTED_VALUE"""),1.0)</f>
        <v>1</v>
      </c>
      <c r="E3580" s="16">
        <f>IFERROR(__xludf.DUMMYFUNCTION("""COMPUTED_VALUE"""),69.0)</f>
        <v>69</v>
      </c>
      <c r="F3580" s="19" t="str">
        <f>IFERROR(__xludf.DUMMYFUNCTION("""COMPUTED_VALUE"""),"BLUE")</f>
        <v>BLUE</v>
      </c>
      <c r="G3580" s="20" t="str">
        <f>IFERROR(__xludf.DUMMYFUNCTION("""COMPUTED_VALUE"""),"Uncle Sams Cider (04/04/2023)")</f>
        <v>Uncle Sams Cider (04/04/2023)</v>
      </c>
      <c r="H3580" s="19"/>
    </row>
    <row r="3581">
      <c r="A3581" s="9"/>
      <c r="B3581" s="15"/>
      <c r="C3581" s="9">
        <f>IFERROR(__xludf.DUMMYFUNCTION("""COMPUTED_VALUE"""),45107.1101872106)</f>
        <v>45107.11019</v>
      </c>
      <c r="D3581" s="15">
        <f>IFERROR(__xludf.DUMMYFUNCTION("""COMPUTED_VALUE"""),1.0)</f>
        <v>1</v>
      </c>
      <c r="E3581" s="16">
        <f>IFERROR(__xludf.DUMMYFUNCTION("""COMPUTED_VALUE"""),69.0)</f>
        <v>69</v>
      </c>
      <c r="F3581" s="19" t="str">
        <f>IFERROR(__xludf.DUMMYFUNCTION("""COMPUTED_VALUE"""),"BLUE")</f>
        <v>BLUE</v>
      </c>
      <c r="G3581" s="20" t="str">
        <f>IFERROR(__xludf.DUMMYFUNCTION("""COMPUTED_VALUE"""),"Uncle Sams Cider (04/04/2023)")</f>
        <v>Uncle Sams Cider (04/04/2023)</v>
      </c>
      <c r="H3581" s="19"/>
    </row>
    <row r="3582">
      <c r="A3582" s="9"/>
      <c r="B3582" s="15"/>
      <c r="C3582" s="9">
        <f>IFERROR(__xludf.DUMMYFUNCTION("""COMPUTED_VALUE"""),45107.099766331)</f>
        <v>45107.09977</v>
      </c>
      <c r="D3582" s="15">
        <f>IFERROR(__xludf.DUMMYFUNCTION("""COMPUTED_VALUE"""),1.0)</f>
        <v>1</v>
      </c>
      <c r="E3582" s="16">
        <f>IFERROR(__xludf.DUMMYFUNCTION("""COMPUTED_VALUE"""),69.0)</f>
        <v>69</v>
      </c>
      <c r="F3582" s="19" t="str">
        <f>IFERROR(__xludf.DUMMYFUNCTION("""COMPUTED_VALUE"""),"BLUE")</f>
        <v>BLUE</v>
      </c>
      <c r="G3582" s="20" t="str">
        <f>IFERROR(__xludf.DUMMYFUNCTION("""COMPUTED_VALUE"""),"Uncle Sams Cider (04/04/2023)")</f>
        <v>Uncle Sams Cider (04/04/2023)</v>
      </c>
      <c r="H3582" s="19"/>
    </row>
    <row r="3583">
      <c r="A3583" s="9"/>
      <c r="B3583" s="15"/>
      <c r="C3583" s="9">
        <f>IFERROR(__xludf.DUMMYFUNCTION("""COMPUTED_VALUE"""),45107.0893344907)</f>
        <v>45107.08933</v>
      </c>
      <c r="D3583" s="15">
        <f>IFERROR(__xludf.DUMMYFUNCTION("""COMPUTED_VALUE"""),1.0)</f>
        <v>1</v>
      </c>
      <c r="E3583" s="16">
        <f>IFERROR(__xludf.DUMMYFUNCTION("""COMPUTED_VALUE"""),69.0)</f>
        <v>69</v>
      </c>
      <c r="F3583" s="19" t="str">
        <f>IFERROR(__xludf.DUMMYFUNCTION("""COMPUTED_VALUE"""),"BLUE")</f>
        <v>BLUE</v>
      </c>
      <c r="G3583" s="20" t="str">
        <f>IFERROR(__xludf.DUMMYFUNCTION("""COMPUTED_VALUE"""),"Uncle Sams Cider (04/04/2023)")</f>
        <v>Uncle Sams Cider (04/04/2023)</v>
      </c>
      <c r="H3583" s="19"/>
    </row>
    <row r="3584">
      <c r="A3584" s="9"/>
      <c r="B3584" s="15"/>
      <c r="C3584" s="9">
        <f>IFERROR(__xludf.DUMMYFUNCTION("""COMPUTED_VALUE"""),45107.0788885185)</f>
        <v>45107.07889</v>
      </c>
      <c r="D3584" s="15">
        <f>IFERROR(__xludf.DUMMYFUNCTION("""COMPUTED_VALUE"""),1.0)</f>
        <v>1</v>
      </c>
      <c r="E3584" s="16">
        <f>IFERROR(__xludf.DUMMYFUNCTION("""COMPUTED_VALUE"""),69.0)</f>
        <v>69</v>
      </c>
      <c r="F3584" s="19" t="str">
        <f>IFERROR(__xludf.DUMMYFUNCTION("""COMPUTED_VALUE"""),"BLUE")</f>
        <v>BLUE</v>
      </c>
      <c r="G3584" s="20" t="str">
        <f>IFERROR(__xludf.DUMMYFUNCTION("""COMPUTED_VALUE"""),"Uncle Sams Cider (04/04/2023)")</f>
        <v>Uncle Sams Cider (04/04/2023)</v>
      </c>
      <c r="H3584" s="19"/>
    </row>
    <row r="3585">
      <c r="A3585" s="9"/>
      <c r="B3585" s="15"/>
      <c r="C3585" s="9">
        <f>IFERROR(__xludf.DUMMYFUNCTION("""COMPUTED_VALUE"""),45107.0684691666)</f>
        <v>45107.06847</v>
      </c>
      <c r="D3585" s="15">
        <f>IFERROR(__xludf.DUMMYFUNCTION("""COMPUTED_VALUE"""),1.0)</f>
        <v>1</v>
      </c>
      <c r="E3585" s="16">
        <f>IFERROR(__xludf.DUMMYFUNCTION("""COMPUTED_VALUE"""),69.0)</f>
        <v>69</v>
      </c>
      <c r="F3585" s="19" t="str">
        <f>IFERROR(__xludf.DUMMYFUNCTION("""COMPUTED_VALUE"""),"BLUE")</f>
        <v>BLUE</v>
      </c>
      <c r="G3585" s="20" t="str">
        <f>IFERROR(__xludf.DUMMYFUNCTION("""COMPUTED_VALUE"""),"Uncle Sams Cider (04/04/2023)")</f>
        <v>Uncle Sams Cider (04/04/2023)</v>
      </c>
      <c r="H3585" s="19"/>
    </row>
    <row r="3586">
      <c r="A3586" s="9"/>
      <c r="B3586" s="15"/>
      <c r="C3586" s="9">
        <f>IFERROR(__xludf.DUMMYFUNCTION("""COMPUTED_VALUE"""),45107.0580479745)</f>
        <v>45107.05805</v>
      </c>
      <c r="D3586" s="15">
        <f>IFERROR(__xludf.DUMMYFUNCTION("""COMPUTED_VALUE"""),1.0)</f>
        <v>1</v>
      </c>
      <c r="E3586" s="16">
        <f>IFERROR(__xludf.DUMMYFUNCTION("""COMPUTED_VALUE"""),69.0)</f>
        <v>69</v>
      </c>
      <c r="F3586" s="19" t="str">
        <f>IFERROR(__xludf.DUMMYFUNCTION("""COMPUTED_VALUE"""),"BLUE")</f>
        <v>BLUE</v>
      </c>
      <c r="G3586" s="20" t="str">
        <f>IFERROR(__xludf.DUMMYFUNCTION("""COMPUTED_VALUE"""),"Uncle Sams Cider (04/04/2023)")</f>
        <v>Uncle Sams Cider (04/04/2023)</v>
      </c>
      <c r="H3586" s="19"/>
    </row>
    <row r="3587">
      <c r="A3587" s="9"/>
      <c r="B3587" s="15"/>
      <c r="C3587" s="9">
        <f>IFERROR(__xludf.DUMMYFUNCTION("""COMPUTED_VALUE"""),45107.0476275115)</f>
        <v>45107.04763</v>
      </c>
      <c r="D3587" s="15">
        <f>IFERROR(__xludf.DUMMYFUNCTION("""COMPUTED_VALUE"""),1.0)</f>
        <v>1</v>
      </c>
      <c r="E3587" s="16">
        <f>IFERROR(__xludf.DUMMYFUNCTION("""COMPUTED_VALUE"""),69.0)</f>
        <v>69</v>
      </c>
      <c r="F3587" s="19" t="str">
        <f>IFERROR(__xludf.DUMMYFUNCTION("""COMPUTED_VALUE"""),"BLUE")</f>
        <v>BLUE</v>
      </c>
      <c r="G3587" s="20" t="str">
        <f>IFERROR(__xludf.DUMMYFUNCTION("""COMPUTED_VALUE"""),"Uncle Sams Cider (04/04/2023)")</f>
        <v>Uncle Sams Cider (04/04/2023)</v>
      </c>
      <c r="H3587" s="19"/>
    </row>
    <row r="3588">
      <c r="A3588" s="9"/>
      <c r="B3588" s="15"/>
      <c r="C3588" s="9">
        <f>IFERROR(__xludf.DUMMYFUNCTION("""COMPUTED_VALUE"""),45107.0371948148)</f>
        <v>45107.03719</v>
      </c>
      <c r="D3588" s="15">
        <f>IFERROR(__xludf.DUMMYFUNCTION("""COMPUTED_VALUE"""),1.0)</f>
        <v>1</v>
      </c>
      <c r="E3588" s="16">
        <f>IFERROR(__xludf.DUMMYFUNCTION("""COMPUTED_VALUE"""),69.0)</f>
        <v>69</v>
      </c>
      <c r="F3588" s="19" t="str">
        <f>IFERROR(__xludf.DUMMYFUNCTION("""COMPUTED_VALUE"""),"BLUE")</f>
        <v>BLUE</v>
      </c>
      <c r="G3588" s="20" t="str">
        <f>IFERROR(__xludf.DUMMYFUNCTION("""COMPUTED_VALUE"""),"Uncle Sams Cider (04/04/2023)")</f>
        <v>Uncle Sams Cider (04/04/2023)</v>
      </c>
      <c r="H3588" s="19"/>
    </row>
    <row r="3589">
      <c r="A3589" s="9"/>
      <c r="B3589" s="15"/>
      <c r="C3589" s="9">
        <f>IFERROR(__xludf.DUMMYFUNCTION("""COMPUTED_VALUE"""),45107.0267618981)</f>
        <v>45107.02676</v>
      </c>
      <c r="D3589" s="15">
        <f>IFERROR(__xludf.DUMMYFUNCTION("""COMPUTED_VALUE"""),1.0)</f>
        <v>1</v>
      </c>
      <c r="E3589" s="16">
        <f>IFERROR(__xludf.DUMMYFUNCTION("""COMPUTED_VALUE"""),69.0)</f>
        <v>69</v>
      </c>
      <c r="F3589" s="19" t="str">
        <f>IFERROR(__xludf.DUMMYFUNCTION("""COMPUTED_VALUE"""),"BLUE")</f>
        <v>BLUE</v>
      </c>
      <c r="G3589" s="20" t="str">
        <f>IFERROR(__xludf.DUMMYFUNCTION("""COMPUTED_VALUE"""),"Uncle Sams Cider (04/04/2023)")</f>
        <v>Uncle Sams Cider (04/04/2023)</v>
      </c>
      <c r="H3589" s="19"/>
    </row>
    <row r="3590">
      <c r="A3590" s="9"/>
      <c r="B3590" s="15"/>
      <c r="C3590" s="9">
        <f>IFERROR(__xludf.DUMMYFUNCTION("""COMPUTED_VALUE"""),45107.0163416435)</f>
        <v>45107.01634</v>
      </c>
      <c r="D3590" s="15">
        <f>IFERROR(__xludf.DUMMYFUNCTION("""COMPUTED_VALUE"""),1.0)</f>
        <v>1</v>
      </c>
      <c r="E3590" s="16">
        <f>IFERROR(__xludf.DUMMYFUNCTION("""COMPUTED_VALUE"""),69.0)</f>
        <v>69</v>
      </c>
      <c r="F3590" s="19" t="str">
        <f>IFERROR(__xludf.DUMMYFUNCTION("""COMPUTED_VALUE"""),"BLUE")</f>
        <v>BLUE</v>
      </c>
      <c r="G3590" s="20" t="str">
        <f>IFERROR(__xludf.DUMMYFUNCTION("""COMPUTED_VALUE"""),"Uncle Sams Cider (04/04/2023)")</f>
        <v>Uncle Sams Cider (04/04/2023)</v>
      </c>
      <c r="H3590" s="19"/>
    </row>
    <row r="3591">
      <c r="A3591" s="9"/>
      <c r="B3591" s="15"/>
      <c r="C3591" s="9">
        <f>IFERROR(__xludf.DUMMYFUNCTION("""COMPUTED_VALUE"""),45107.005920243)</f>
        <v>45107.00592</v>
      </c>
      <c r="D3591" s="15">
        <f>IFERROR(__xludf.DUMMYFUNCTION("""COMPUTED_VALUE"""),1.0)</f>
        <v>1</v>
      </c>
      <c r="E3591" s="16">
        <f>IFERROR(__xludf.DUMMYFUNCTION("""COMPUTED_VALUE"""),69.0)</f>
        <v>69</v>
      </c>
      <c r="F3591" s="19" t="str">
        <f>IFERROR(__xludf.DUMMYFUNCTION("""COMPUTED_VALUE"""),"BLUE")</f>
        <v>BLUE</v>
      </c>
      <c r="G3591" s="20" t="str">
        <f>IFERROR(__xludf.DUMMYFUNCTION("""COMPUTED_VALUE"""),"Uncle Sams Cider (04/04/2023)")</f>
        <v>Uncle Sams Cider (04/04/2023)</v>
      </c>
      <c r="H3591" s="19"/>
    </row>
    <row r="3592">
      <c r="A3592" s="9"/>
      <c r="B3592" s="15"/>
      <c r="C3592" s="9">
        <f>IFERROR(__xludf.DUMMYFUNCTION("""COMPUTED_VALUE"""),45106.9954868171)</f>
        <v>45106.99549</v>
      </c>
      <c r="D3592" s="15">
        <f>IFERROR(__xludf.DUMMYFUNCTION("""COMPUTED_VALUE"""),1.0)</f>
        <v>1</v>
      </c>
      <c r="E3592" s="16">
        <f>IFERROR(__xludf.DUMMYFUNCTION("""COMPUTED_VALUE"""),69.0)</f>
        <v>69</v>
      </c>
      <c r="F3592" s="19" t="str">
        <f>IFERROR(__xludf.DUMMYFUNCTION("""COMPUTED_VALUE"""),"BLUE")</f>
        <v>BLUE</v>
      </c>
      <c r="G3592" s="20" t="str">
        <f>IFERROR(__xludf.DUMMYFUNCTION("""COMPUTED_VALUE"""),"Uncle Sams Cider (04/04/2023)")</f>
        <v>Uncle Sams Cider (04/04/2023)</v>
      </c>
      <c r="H3592" s="19"/>
    </row>
    <row r="3593">
      <c r="A3593" s="9"/>
      <c r="B3593" s="15"/>
      <c r="C3593" s="9">
        <f>IFERROR(__xludf.DUMMYFUNCTION("""COMPUTED_VALUE"""),45106.9850656597)</f>
        <v>45106.98507</v>
      </c>
      <c r="D3593" s="15">
        <f>IFERROR(__xludf.DUMMYFUNCTION("""COMPUTED_VALUE"""),1.0)</f>
        <v>1</v>
      </c>
      <c r="E3593" s="16">
        <f>IFERROR(__xludf.DUMMYFUNCTION("""COMPUTED_VALUE"""),69.0)</f>
        <v>69</v>
      </c>
      <c r="F3593" s="19" t="str">
        <f>IFERROR(__xludf.DUMMYFUNCTION("""COMPUTED_VALUE"""),"BLUE")</f>
        <v>BLUE</v>
      </c>
      <c r="G3593" s="20" t="str">
        <f>IFERROR(__xludf.DUMMYFUNCTION("""COMPUTED_VALUE"""),"Uncle Sams Cider (04/04/2023)")</f>
        <v>Uncle Sams Cider (04/04/2023)</v>
      </c>
      <c r="H3593" s="19"/>
    </row>
    <row r="3594">
      <c r="A3594" s="9"/>
      <c r="B3594" s="15"/>
      <c r="C3594" s="9">
        <f>IFERROR(__xludf.DUMMYFUNCTION("""COMPUTED_VALUE"""),45106.9746454976)</f>
        <v>45106.97465</v>
      </c>
      <c r="D3594" s="15">
        <f>IFERROR(__xludf.DUMMYFUNCTION("""COMPUTED_VALUE"""),1.0)</f>
        <v>1</v>
      </c>
      <c r="E3594" s="16">
        <f>IFERROR(__xludf.DUMMYFUNCTION("""COMPUTED_VALUE"""),69.0)</f>
        <v>69</v>
      </c>
      <c r="F3594" s="19" t="str">
        <f>IFERROR(__xludf.DUMMYFUNCTION("""COMPUTED_VALUE"""),"BLUE")</f>
        <v>BLUE</v>
      </c>
      <c r="G3594" s="20" t="str">
        <f>IFERROR(__xludf.DUMMYFUNCTION("""COMPUTED_VALUE"""),"Uncle Sams Cider (04/04/2023)")</f>
        <v>Uncle Sams Cider (04/04/2023)</v>
      </c>
      <c r="H3594" s="19"/>
    </row>
    <row r="3595">
      <c r="A3595" s="9"/>
      <c r="B3595" s="15"/>
      <c r="C3595" s="9">
        <f>IFERROR(__xludf.DUMMYFUNCTION("""COMPUTED_VALUE"""),45106.964223831)</f>
        <v>45106.96422</v>
      </c>
      <c r="D3595" s="15">
        <f>IFERROR(__xludf.DUMMYFUNCTION("""COMPUTED_VALUE"""),1.0)</f>
        <v>1</v>
      </c>
      <c r="E3595" s="16">
        <f>IFERROR(__xludf.DUMMYFUNCTION("""COMPUTED_VALUE"""),69.0)</f>
        <v>69</v>
      </c>
      <c r="F3595" s="19" t="str">
        <f>IFERROR(__xludf.DUMMYFUNCTION("""COMPUTED_VALUE"""),"BLUE")</f>
        <v>BLUE</v>
      </c>
      <c r="G3595" s="20" t="str">
        <f>IFERROR(__xludf.DUMMYFUNCTION("""COMPUTED_VALUE"""),"Uncle Sams Cider (04/04/2023)")</f>
        <v>Uncle Sams Cider (04/04/2023)</v>
      </c>
      <c r="H3595" s="19"/>
    </row>
    <row r="3596">
      <c r="A3596" s="9"/>
      <c r="B3596" s="15"/>
      <c r="C3596" s="9">
        <f>IFERROR(__xludf.DUMMYFUNCTION("""COMPUTED_VALUE"""),45106.9537793402)</f>
        <v>45106.95378</v>
      </c>
      <c r="D3596" s="15">
        <f>IFERROR(__xludf.DUMMYFUNCTION("""COMPUTED_VALUE"""),1.0)</f>
        <v>1</v>
      </c>
      <c r="E3596" s="16">
        <f>IFERROR(__xludf.DUMMYFUNCTION("""COMPUTED_VALUE"""),69.0)</f>
        <v>69</v>
      </c>
      <c r="F3596" s="19" t="str">
        <f>IFERROR(__xludf.DUMMYFUNCTION("""COMPUTED_VALUE"""),"BLUE")</f>
        <v>BLUE</v>
      </c>
      <c r="G3596" s="20" t="str">
        <f>IFERROR(__xludf.DUMMYFUNCTION("""COMPUTED_VALUE"""),"Uncle Sams Cider (04/04/2023)")</f>
        <v>Uncle Sams Cider (04/04/2023)</v>
      </c>
      <c r="H3596" s="19"/>
    </row>
    <row r="3597">
      <c r="A3597" s="9"/>
      <c r="B3597" s="15"/>
      <c r="C3597" s="9">
        <f>IFERROR(__xludf.DUMMYFUNCTION("""COMPUTED_VALUE"""),45106.9433345486)</f>
        <v>45106.94333</v>
      </c>
      <c r="D3597" s="15">
        <f>IFERROR(__xludf.DUMMYFUNCTION("""COMPUTED_VALUE"""),1.0)</f>
        <v>1</v>
      </c>
      <c r="E3597" s="16">
        <f>IFERROR(__xludf.DUMMYFUNCTION("""COMPUTED_VALUE"""),69.0)</f>
        <v>69</v>
      </c>
      <c r="F3597" s="19" t="str">
        <f>IFERROR(__xludf.DUMMYFUNCTION("""COMPUTED_VALUE"""),"BLUE")</f>
        <v>BLUE</v>
      </c>
      <c r="G3597" s="20" t="str">
        <f>IFERROR(__xludf.DUMMYFUNCTION("""COMPUTED_VALUE"""),"Uncle Sams Cider (04/04/2023)")</f>
        <v>Uncle Sams Cider (04/04/2023)</v>
      </c>
      <c r="H3597" s="19"/>
    </row>
    <row r="3598">
      <c r="A3598" s="9"/>
      <c r="B3598" s="15"/>
      <c r="C3598" s="9">
        <f>IFERROR(__xludf.DUMMYFUNCTION("""COMPUTED_VALUE"""),45106.9329118171)</f>
        <v>45106.93291</v>
      </c>
      <c r="D3598" s="15">
        <f>IFERROR(__xludf.DUMMYFUNCTION("""COMPUTED_VALUE"""),1.0)</f>
        <v>1</v>
      </c>
      <c r="E3598" s="16">
        <f>IFERROR(__xludf.DUMMYFUNCTION("""COMPUTED_VALUE"""),69.0)</f>
        <v>69</v>
      </c>
      <c r="F3598" s="19" t="str">
        <f>IFERROR(__xludf.DUMMYFUNCTION("""COMPUTED_VALUE"""),"BLUE")</f>
        <v>BLUE</v>
      </c>
      <c r="G3598" s="20" t="str">
        <f>IFERROR(__xludf.DUMMYFUNCTION("""COMPUTED_VALUE"""),"Uncle Sams Cider (04/04/2023)")</f>
        <v>Uncle Sams Cider (04/04/2023)</v>
      </c>
      <c r="H3598" s="19"/>
    </row>
    <row r="3599">
      <c r="A3599" s="9"/>
      <c r="B3599" s="15"/>
      <c r="C3599" s="9">
        <f>IFERROR(__xludf.DUMMYFUNCTION("""COMPUTED_VALUE"""),45106.9224789351)</f>
        <v>45106.92248</v>
      </c>
      <c r="D3599" s="15">
        <f>IFERROR(__xludf.DUMMYFUNCTION("""COMPUTED_VALUE"""),1.0)</f>
        <v>1</v>
      </c>
      <c r="E3599" s="16">
        <f>IFERROR(__xludf.DUMMYFUNCTION("""COMPUTED_VALUE"""),69.0)</f>
        <v>69</v>
      </c>
      <c r="F3599" s="19" t="str">
        <f>IFERROR(__xludf.DUMMYFUNCTION("""COMPUTED_VALUE"""),"BLUE")</f>
        <v>BLUE</v>
      </c>
      <c r="G3599" s="20" t="str">
        <f>IFERROR(__xludf.DUMMYFUNCTION("""COMPUTED_VALUE"""),"Uncle Sams Cider (04/04/2023)")</f>
        <v>Uncle Sams Cider (04/04/2023)</v>
      </c>
      <c r="H3599" s="19"/>
    </row>
    <row r="3600">
      <c r="A3600" s="9"/>
      <c r="B3600" s="15"/>
      <c r="C3600" s="9">
        <f>IFERROR(__xludf.DUMMYFUNCTION("""COMPUTED_VALUE"""),45106.9120573379)</f>
        <v>45106.91206</v>
      </c>
      <c r="D3600" s="15">
        <f>IFERROR(__xludf.DUMMYFUNCTION("""COMPUTED_VALUE"""),1.0)</f>
        <v>1</v>
      </c>
      <c r="E3600" s="16">
        <f>IFERROR(__xludf.DUMMYFUNCTION("""COMPUTED_VALUE"""),69.0)</f>
        <v>69</v>
      </c>
      <c r="F3600" s="19" t="str">
        <f>IFERROR(__xludf.DUMMYFUNCTION("""COMPUTED_VALUE"""),"BLUE")</f>
        <v>BLUE</v>
      </c>
      <c r="G3600" s="20" t="str">
        <f>IFERROR(__xludf.DUMMYFUNCTION("""COMPUTED_VALUE"""),"Uncle Sams Cider (04/04/2023)")</f>
        <v>Uncle Sams Cider (04/04/2023)</v>
      </c>
      <c r="H3600" s="19"/>
    </row>
    <row r="3601">
      <c r="A3601" s="9"/>
      <c r="B3601" s="15"/>
      <c r="C3601" s="9">
        <f>IFERROR(__xludf.DUMMYFUNCTION("""COMPUTED_VALUE"""),45106.9016372106)</f>
        <v>45106.90164</v>
      </c>
      <c r="D3601" s="15">
        <f>IFERROR(__xludf.DUMMYFUNCTION("""COMPUTED_VALUE"""),1.0)</f>
        <v>1</v>
      </c>
      <c r="E3601" s="16">
        <f>IFERROR(__xludf.DUMMYFUNCTION("""COMPUTED_VALUE"""),69.0)</f>
        <v>69</v>
      </c>
      <c r="F3601" s="19" t="str">
        <f>IFERROR(__xludf.DUMMYFUNCTION("""COMPUTED_VALUE"""),"BLUE")</f>
        <v>BLUE</v>
      </c>
      <c r="G3601" s="20" t="str">
        <f>IFERROR(__xludf.DUMMYFUNCTION("""COMPUTED_VALUE"""),"Uncle Sams Cider (04/04/2023)")</f>
        <v>Uncle Sams Cider (04/04/2023)</v>
      </c>
      <c r="H3601" s="19"/>
    </row>
    <row r="3602">
      <c r="A3602" s="9"/>
      <c r="B3602" s="15"/>
      <c r="C3602" s="9">
        <f>IFERROR(__xludf.DUMMYFUNCTION("""COMPUTED_VALUE"""),45106.8912150926)</f>
        <v>45106.89122</v>
      </c>
      <c r="D3602" s="15">
        <f>IFERROR(__xludf.DUMMYFUNCTION("""COMPUTED_VALUE"""),1.0)</f>
        <v>1</v>
      </c>
      <c r="E3602" s="16">
        <f>IFERROR(__xludf.DUMMYFUNCTION("""COMPUTED_VALUE"""),69.0)</f>
        <v>69</v>
      </c>
      <c r="F3602" s="19" t="str">
        <f>IFERROR(__xludf.DUMMYFUNCTION("""COMPUTED_VALUE"""),"BLUE")</f>
        <v>BLUE</v>
      </c>
      <c r="G3602" s="20" t="str">
        <f>IFERROR(__xludf.DUMMYFUNCTION("""COMPUTED_VALUE"""),"Uncle Sams Cider (04/04/2023)")</f>
        <v>Uncle Sams Cider (04/04/2023)</v>
      </c>
      <c r="H3602" s="19"/>
    </row>
    <row r="3603">
      <c r="A3603" s="9"/>
      <c r="B3603" s="15"/>
      <c r="C3603" s="9">
        <f>IFERROR(__xludf.DUMMYFUNCTION("""COMPUTED_VALUE"""),45106.8807944676)</f>
        <v>45106.88079</v>
      </c>
      <c r="D3603" s="15">
        <f>IFERROR(__xludf.DUMMYFUNCTION("""COMPUTED_VALUE"""),1.0)</f>
        <v>1</v>
      </c>
      <c r="E3603" s="16">
        <f>IFERROR(__xludf.DUMMYFUNCTION("""COMPUTED_VALUE"""),69.0)</f>
        <v>69</v>
      </c>
      <c r="F3603" s="19" t="str">
        <f>IFERROR(__xludf.DUMMYFUNCTION("""COMPUTED_VALUE"""),"BLUE")</f>
        <v>BLUE</v>
      </c>
      <c r="G3603" s="20" t="str">
        <f>IFERROR(__xludf.DUMMYFUNCTION("""COMPUTED_VALUE"""),"Uncle Sams Cider (04/04/2023)")</f>
        <v>Uncle Sams Cider (04/04/2023)</v>
      </c>
      <c r="H3603" s="19"/>
    </row>
    <row r="3604">
      <c r="A3604" s="9"/>
      <c r="B3604" s="15"/>
      <c r="C3604" s="9">
        <f>IFERROR(__xludf.DUMMYFUNCTION("""COMPUTED_VALUE"""),45106.8703724537)</f>
        <v>45106.87037</v>
      </c>
      <c r="D3604" s="15">
        <f>IFERROR(__xludf.DUMMYFUNCTION("""COMPUTED_VALUE"""),1.0)</f>
        <v>1</v>
      </c>
      <c r="E3604" s="16">
        <f>IFERROR(__xludf.DUMMYFUNCTION("""COMPUTED_VALUE"""),69.0)</f>
        <v>69</v>
      </c>
      <c r="F3604" s="19" t="str">
        <f>IFERROR(__xludf.DUMMYFUNCTION("""COMPUTED_VALUE"""),"BLUE")</f>
        <v>BLUE</v>
      </c>
      <c r="G3604" s="20" t="str">
        <f>IFERROR(__xludf.DUMMYFUNCTION("""COMPUTED_VALUE"""),"Uncle Sams Cider (04/04/2023)")</f>
        <v>Uncle Sams Cider (04/04/2023)</v>
      </c>
      <c r="H3604" s="19"/>
    </row>
    <row r="3605">
      <c r="A3605" s="9"/>
      <c r="B3605" s="15"/>
      <c r="C3605" s="9">
        <f>IFERROR(__xludf.DUMMYFUNCTION("""COMPUTED_VALUE"""),45106.8599413888)</f>
        <v>45106.85994</v>
      </c>
      <c r="D3605" s="15">
        <f>IFERROR(__xludf.DUMMYFUNCTION("""COMPUTED_VALUE"""),1.0)</f>
        <v>1</v>
      </c>
      <c r="E3605" s="16">
        <f>IFERROR(__xludf.DUMMYFUNCTION("""COMPUTED_VALUE"""),69.0)</f>
        <v>69</v>
      </c>
      <c r="F3605" s="19" t="str">
        <f>IFERROR(__xludf.DUMMYFUNCTION("""COMPUTED_VALUE"""),"BLUE")</f>
        <v>BLUE</v>
      </c>
      <c r="G3605" s="20" t="str">
        <f>IFERROR(__xludf.DUMMYFUNCTION("""COMPUTED_VALUE"""),"Uncle Sams Cider (04/04/2023)")</f>
        <v>Uncle Sams Cider (04/04/2023)</v>
      </c>
      <c r="H3605" s="19"/>
    </row>
    <row r="3606">
      <c r="A3606" s="9"/>
      <c r="B3606" s="15"/>
      <c r="C3606" s="9">
        <f>IFERROR(__xludf.DUMMYFUNCTION("""COMPUTED_VALUE"""),45106.8495095254)</f>
        <v>45106.84951</v>
      </c>
      <c r="D3606" s="15">
        <f>IFERROR(__xludf.DUMMYFUNCTION("""COMPUTED_VALUE"""),1.0)</f>
        <v>1</v>
      </c>
      <c r="E3606" s="16">
        <f>IFERROR(__xludf.DUMMYFUNCTION("""COMPUTED_VALUE"""),69.0)</f>
        <v>69</v>
      </c>
      <c r="F3606" s="19" t="str">
        <f>IFERROR(__xludf.DUMMYFUNCTION("""COMPUTED_VALUE"""),"BLUE")</f>
        <v>BLUE</v>
      </c>
      <c r="G3606" s="20" t="str">
        <f>IFERROR(__xludf.DUMMYFUNCTION("""COMPUTED_VALUE"""),"Uncle Sams Cider (04/04/2023)")</f>
        <v>Uncle Sams Cider (04/04/2023)</v>
      </c>
      <c r="H3606" s="19"/>
    </row>
    <row r="3607">
      <c r="A3607" s="9"/>
      <c r="B3607" s="15"/>
      <c r="C3607" s="9">
        <f>IFERROR(__xludf.DUMMYFUNCTION("""COMPUTED_VALUE"""),45106.8390762963)</f>
        <v>45106.83908</v>
      </c>
      <c r="D3607" s="15">
        <f>IFERROR(__xludf.DUMMYFUNCTION("""COMPUTED_VALUE"""),1.0)</f>
        <v>1</v>
      </c>
      <c r="E3607" s="16">
        <f>IFERROR(__xludf.DUMMYFUNCTION("""COMPUTED_VALUE"""),69.0)</f>
        <v>69</v>
      </c>
      <c r="F3607" s="19" t="str">
        <f>IFERROR(__xludf.DUMMYFUNCTION("""COMPUTED_VALUE"""),"BLUE")</f>
        <v>BLUE</v>
      </c>
      <c r="G3607" s="20" t="str">
        <f>IFERROR(__xludf.DUMMYFUNCTION("""COMPUTED_VALUE"""),"Uncle Sams Cider (04/04/2023)")</f>
        <v>Uncle Sams Cider (04/04/2023)</v>
      </c>
      <c r="H3607" s="19"/>
    </row>
    <row r="3608">
      <c r="A3608" s="9"/>
      <c r="B3608" s="15"/>
      <c r="C3608" s="9">
        <f>IFERROR(__xludf.DUMMYFUNCTION("""COMPUTED_VALUE"""),45106.8286566088)</f>
        <v>45106.82866</v>
      </c>
      <c r="D3608" s="15">
        <f>IFERROR(__xludf.DUMMYFUNCTION("""COMPUTED_VALUE"""),1.0)</f>
        <v>1</v>
      </c>
      <c r="E3608" s="16">
        <f>IFERROR(__xludf.DUMMYFUNCTION("""COMPUTED_VALUE"""),69.0)</f>
        <v>69</v>
      </c>
      <c r="F3608" s="19" t="str">
        <f>IFERROR(__xludf.DUMMYFUNCTION("""COMPUTED_VALUE"""),"BLUE")</f>
        <v>BLUE</v>
      </c>
      <c r="G3608" s="20" t="str">
        <f>IFERROR(__xludf.DUMMYFUNCTION("""COMPUTED_VALUE"""),"Uncle Sams Cider (04/04/2023)")</f>
        <v>Uncle Sams Cider (04/04/2023)</v>
      </c>
      <c r="H3608" s="19"/>
    </row>
    <row r="3609">
      <c r="A3609" s="9"/>
      <c r="B3609" s="15"/>
      <c r="C3609" s="9">
        <f>IFERROR(__xludf.DUMMYFUNCTION("""COMPUTED_VALUE"""),45106.8182348263)</f>
        <v>45106.81823</v>
      </c>
      <c r="D3609" s="15">
        <f>IFERROR(__xludf.DUMMYFUNCTION("""COMPUTED_VALUE"""),1.0)</f>
        <v>1</v>
      </c>
      <c r="E3609" s="16">
        <f>IFERROR(__xludf.DUMMYFUNCTION("""COMPUTED_VALUE"""),69.0)</f>
        <v>69</v>
      </c>
      <c r="F3609" s="19" t="str">
        <f>IFERROR(__xludf.DUMMYFUNCTION("""COMPUTED_VALUE"""),"BLUE")</f>
        <v>BLUE</v>
      </c>
      <c r="G3609" s="20" t="str">
        <f>IFERROR(__xludf.DUMMYFUNCTION("""COMPUTED_VALUE"""),"Uncle Sams Cider (04/04/2023)")</f>
        <v>Uncle Sams Cider (04/04/2023)</v>
      </c>
      <c r="H3609" s="19"/>
    </row>
    <row r="3610">
      <c r="A3610" s="9"/>
      <c r="B3610" s="15"/>
      <c r="C3610" s="9">
        <f>IFERROR(__xludf.DUMMYFUNCTION("""COMPUTED_VALUE"""),45106.8078137037)</f>
        <v>45106.80781</v>
      </c>
      <c r="D3610" s="15">
        <f>IFERROR(__xludf.DUMMYFUNCTION("""COMPUTED_VALUE"""),1.0)</f>
        <v>1</v>
      </c>
      <c r="E3610" s="16">
        <f>IFERROR(__xludf.DUMMYFUNCTION("""COMPUTED_VALUE"""),69.0)</f>
        <v>69</v>
      </c>
      <c r="F3610" s="19" t="str">
        <f>IFERROR(__xludf.DUMMYFUNCTION("""COMPUTED_VALUE"""),"BLUE")</f>
        <v>BLUE</v>
      </c>
      <c r="G3610" s="20" t="str">
        <f>IFERROR(__xludf.DUMMYFUNCTION("""COMPUTED_VALUE"""),"Uncle Sams Cider (04/04/2023)")</f>
        <v>Uncle Sams Cider (04/04/2023)</v>
      </c>
      <c r="H3610" s="19"/>
    </row>
    <row r="3611">
      <c r="A3611" s="9"/>
      <c r="B3611" s="15"/>
      <c r="C3611" s="9">
        <f>IFERROR(__xludf.DUMMYFUNCTION("""COMPUTED_VALUE"""),45106.7973927893)</f>
        <v>45106.79739</v>
      </c>
      <c r="D3611" s="15">
        <f>IFERROR(__xludf.DUMMYFUNCTION("""COMPUTED_VALUE"""),1.0)</f>
        <v>1</v>
      </c>
      <c r="E3611" s="16">
        <f>IFERROR(__xludf.DUMMYFUNCTION("""COMPUTED_VALUE"""),69.0)</f>
        <v>69</v>
      </c>
      <c r="F3611" s="19" t="str">
        <f>IFERROR(__xludf.DUMMYFUNCTION("""COMPUTED_VALUE"""),"BLUE")</f>
        <v>BLUE</v>
      </c>
      <c r="G3611" s="20" t="str">
        <f>IFERROR(__xludf.DUMMYFUNCTION("""COMPUTED_VALUE"""),"Uncle Sams Cider (04/04/2023)")</f>
        <v>Uncle Sams Cider (04/04/2023)</v>
      </c>
      <c r="H3611" s="19"/>
    </row>
    <row r="3612">
      <c r="A3612" s="9"/>
      <c r="B3612" s="15"/>
      <c r="C3612" s="9">
        <f>IFERROR(__xludf.DUMMYFUNCTION("""COMPUTED_VALUE"""),45106.7869716898)</f>
        <v>45106.78697</v>
      </c>
      <c r="D3612" s="15">
        <f>IFERROR(__xludf.DUMMYFUNCTION("""COMPUTED_VALUE"""),1.0)</f>
        <v>1</v>
      </c>
      <c r="E3612" s="16">
        <f>IFERROR(__xludf.DUMMYFUNCTION("""COMPUTED_VALUE"""),69.0)</f>
        <v>69</v>
      </c>
      <c r="F3612" s="19" t="str">
        <f>IFERROR(__xludf.DUMMYFUNCTION("""COMPUTED_VALUE"""),"BLUE")</f>
        <v>BLUE</v>
      </c>
      <c r="G3612" s="20" t="str">
        <f>IFERROR(__xludf.DUMMYFUNCTION("""COMPUTED_VALUE"""),"Uncle Sams Cider (04/04/2023)")</f>
        <v>Uncle Sams Cider (04/04/2023)</v>
      </c>
      <c r="H3612" s="19"/>
    </row>
    <row r="3613">
      <c r="A3613" s="9"/>
      <c r="B3613" s="15"/>
      <c r="C3613" s="9">
        <f>IFERROR(__xludf.DUMMYFUNCTION("""COMPUTED_VALUE"""),45106.7765501388)</f>
        <v>45106.77655</v>
      </c>
      <c r="D3613" s="15">
        <f>IFERROR(__xludf.DUMMYFUNCTION("""COMPUTED_VALUE"""),1.0)</f>
        <v>1</v>
      </c>
      <c r="E3613" s="16">
        <f>IFERROR(__xludf.DUMMYFUNCTION("""COMPUTED_VALUE"""),69.0)</f>
        <v>69</v>
      </c>
      <c r="F3613" s="19" t="str">
        <f>IFERROR(__xludf.DUMMYFUNCTION("""COMPUTED_VALUE"""),"BLUE")</f>
        <v>BLUE</v>
      </c>
      <c r="G3613" s="20" t="str">
        <f>IFERROR(__xludf.DUMMYFUNCTION("""COMPUTED_VALUE"""),"Uncle Sams Cider (04/04/2023)")</f>
        <v>Uncle Sams Cider (04/04/2023)</v>
      </c>
      <c r="H3613" s="19"/>
    </row>
    <row r="3614">
      <c r="A3614" s="9"/>
      <c r="B3614" s="15"/>
      <c r="C3614" s="9">
        <f>IFERROR(__xludf.DUMMYFUNCTION("""COMPUTED_VALUE"""),45106.7661299768)</f>
        <v>45106.76613</v>
      </c>
      <c r="D3614" s="15">
        <f>IFERROR(__xludf.DUMMYFUNCTION("""COMPUTED_VALUE"""),1.0)</f>
        <v>1</v>
      </c>
      <c r="E3614" s="16">
        <f>IFERROR(__xludf.DUMMYFUNCTION("""COMPUTED_VALUE"""),69.0)</f>
        <v>69</v>
      </c>
      <c r="F3614" s="19" t="str">
        <f>IFERROR(__xludf.DUMMYFUNCTION("""COMPUTED_VALUE"""),"BLUE")</f>
        <v>BLUE</v>
      </c>
      <c r="G3614" s="20" t="str">
        <f>IFERROR(__xludf.DUMMYFUNCTION("""COMPUTED_VALUE"""),"Uncle Sams Cider (04/04/2023)")</f>
        <v>Uncle Sams Cider (04/04/2023)</v>
      </c>
      <c r="H3614" s="19"/>
    </row>
    <row r="3615">
      <c r="A3615" s="9"/>
      <c r="B3615" s="15"/>
      <c r="C3615" s="9">
        <f>IFERROR(__xludf.DUMMYFUNCTION("""COMPUTED_VALUE"""),45106.7556627199)</f>
        <v>45106.75566</v>
      </c>
      <c r="D3615" s="15">
        <f>IFERROR(__xludf.DUMMYFUNCTION("""COMPUTED_VALUE"""),1.0)</f>
        <v>1</v>
      </c>
      <c r="E3615" s="16">
        <f>IFERROR(__xludf.DUMMYFUNCTION("""COMPUTED_VALUE"""),69.0)</f>
        <v>69</v>
      </c>
      <c r="F3615" s="19" t="str">
        <f>IFERROR(__xludf.DUMMYFUNCTION("""COMPUTED_VALUE"""),"BLUE")</f>
        <v>BLUE</v>
      </c>
      <c r="G3615" s="20" t="str">
        <f>IFERROR(__xludf.DUMMYFUNCTION("""COMPUTED_VALUE"""),"Uncle Sams Cider (04/04/2023)")</f>
        <v>Uncle Sams Cider (04/04/2023)</v>
      </c>
      <c r="H3615" s="19"/>
    </row>
    <row r="3616">
      <c r="A3616" s="9"/>
      <c r="B3616" s="15"/>
      <c r="C3616" s="9">
        <f>IFERROR(__xludf.DUMMYFUNCTION("""COMPUTED_VALUE"""),45106.7452288425)</f>
        <v>45106.74523</v>
      </c>
      <c r="D3616" s="15">
        <f>IFERROR(__xludf.DUMMYFUNCTION("""COMPUTED_VALUE"""),1.0)</f>
        <v>1</v>
      </c>
      <c r="E3616" s="16">
        <f>IFERROR(__xludf.DUMMYFUNCTION("""COMPUTED_VALUE"""),69.0)</f>
        <v>69</v>
      </c>
      <c r="F3616" s="19" t="str">
        <f>IFERROR(__xludf.DUMMYFUNCTION("""COMPUTED_VALUE"""),"BLUE")</f>
        <v>BLUE</v>
      </c>
      <c r="G3616" s="20" t="str">
        <f>IFERROR(__xludf.DUMMYFUNCTION("""COMPUTED_VALUE"""),"Uncle Sams Cider (04/04/2023)")</f>
        <v>Uncle Sams Cider (04/04/2023)</v>
      </c>
      <c r="H3616" s="19"/>
    </row>
    <row r="3617">
      <c r="A3617" s="9"/>
      <c r="B3617" s="15"/>
      <c r="C3617" s="9">
        <f>IFERROR(__xludf.DUMMYFUNCTION("""COMPUTED_VALUE"""),45106.7348077199)</f>
        <v>45106.73481</v>
      </c>
      <c r="D3617" s="15">
        <f>IFERROR(__xludf.DUMMYFUNCTION("""COMPUTED_VALUE"""),1.0)</f>
        <v>1</v>
      </c>
      <c r="E3617" s="16">
        <f>IFERROR(__xludf.DUMMYFUNCTION("""COMPUTED_VALUE"""),69.0)</f>
        <v>69</v>
      </c>
      <c r="F3617" s="19" t="str">
        <f>IFERROR(__xludf.DUMMYFUNCTION("""COMPUTED_VALUE"""),"BLUE")</f>
        <v>BLUE</v>
      </c>
      <c r="G3617" s="20" t="str">
        <f>IFERROR(__xludf.DUMMYFUNCTION("""COMPUTED_VALUE"""),"Uncle Sams Cider (04/04/2023)")</f>
        <v>Uncle Sams Cider (04/04/2023)</v>
      </c>
      <c r="H3617" s="19"/>
    </row>
    <row r="3618">
      <c r="A3618" s="9"/>
      <c r="B3618" s="15"/>
      <c r="C3618" s="9">
        <f>IFERROR(__xludf.DUMMYFUNCTION("""COMPUTED_VALUE"""),45106.7243852662)</f>
        <v>45106.72439</v>
      </c>
      <c r="D3618" s="15">
        <f>IFERROR(__xludf.DUMMYFUNCTION("""COMPUTED_VALUE"""),1.0)</f>
        <v>1</v>
      </c>
      <c r="E3618" s="16">
        <f>IFERROR(__xludf.DUMMYFUNCTION("""COMPUTED_VALUE"""),69.0)</f>
        <v>69</v>
      </c>
      <c r="F3618" s="19" t="str">
        <f>IFERROR(__xludf.DUMMYFUNCTION("""COMPUTED_VALUE"""),"BLUE")</f>
        <v>BLUE</v>
      </c>
      <c r="G3618" s="20" t="str">
        <f>IFERROR(__xludf.DUMMYFUNCTION("""COMPUTED_VALUE"""),"Uncle Sams Cider (04/04/2023)")</f>
        <v>Uncle Sams Cider (04/04/2023)</v>
      </c>
      <c r="H3618" s="19"/>
    </row>
    <row r="3619">
      <c r="A3619" s="9"/>
      <c r="B3619" s="15"/>
      <c r="C3619" s="9">
        <f>IFERROR(__xludf.DUMMYFUNCTION("""COMPUTED_VALUE"""),45106.7139656944)</f>
        <v>45106.71397</v>
      </c>
      <c r="D3619" s="15">
        <f>IFERROR(__xludf.DUMMYFUNCTION("""COMPUTED_VALUE"""),1.0)</f>
        <v>1</v>
      </c>
      <c r="E3619" s="16">
        <f>IFERROR(__xludf.DUMMYFUNCTION("""COMPUTED_VALUE"""),69.0)</f>
        <v>69</v>
      </c>
      <c r="F3619" s="19" t="str">
        <f>IFERROR(__xludf.DUMMYFUNCTION("""COMPUTED_VALUE"""),"BLUE")</f>
        <v>BLUE</v>
      </c>
      <c r="G3619" s="20" t="str">
        <f>IFERROR(__xludf.DUMMYFUNCTION("""COMPUTED_VALUE"""),"Uncle Sams Cider (04/04/2023)")</f>
        <v>Uncle Sams Cider (04/04/2023)</v>
      </c>
      <c r="H3619" s="19"/>
    </row>
    <row r="3620">
      <c r="A3620" s="9"/>
      <c r="B3620" s="15"/>
      <c r="C3620" s="9">
        <f>IFERROR(__xludf.DUMMYFUNCTION("""COMPUTED_VALUE"""),45106.703544537)</f>
        <v>45106.70354</v>
      </c>
      <c r="D3620" s="15">
        <f>IFERROR(__xludf.DUMMYFUNCTION("""COMPUTED_VALUE"""),1.0)</f>
        <v>1</v>
      </c>
      <c r="E3620" s="16">
        <f>IFERROR(__xludf.DUMMYFUNCTION("""COMPUTED_VALUE"""),69.0)</f>
        <v>69</v>
      </c>
      <c r="F3620" s="19" t="str">
        <f>IFERROR(__xludf.DUMMYFUNCTION("""COMPUTED_VALUE"""),"BLUE")</f>
        <v>BLUE</v>
      </c>
      <c r="G3620" s="20" t="str">
        <f>IFERROR(__xludf.DUMMYFUNCTION("""COMPUTED_VALUE"""),"Uncle Sams Cider (04/04/2023)")</f>
        <v>Uncle Sams Cider (04/04/2023)</v>
      </c>
      <c r="H3620" s="19"/>
    </row>
    <row r="3621">
      <c r="A3621" s="9"/>
      <c r="B3621" s="15"/>
      <c r="C3621" s="9">
        <f>IFERROR(__xludf.DUMMYFUNCTION("""COMPUTED_VALUE"""),45106.6931240046)</f>
        <v>45106.69312</v>
      </c>
      <c r="D3621" s="15">
        <f>IFERROR(__xludf.DUMMYFUNCTION("""COMPUTED_VALUE"""),1.0)</f>
        <v>1</v>
      </c>
      <c r="E3621" s="16">
        <f>IFERROR(__xludf.DUMMYFUNCTION("""COMPUTED_VALUE"""),69.0)</f>
        <v>69</v>
      </c>
      <c r="F3621" s="19" t="str">
        <f>IFERROR(__xludf.DUMMYFUNCTION("""COMPUTED_VALUE"""),"BLUE")</f>
        <v>BLUE</v>
      </c>
      <c r="G3621" s="20" t="str">
        <f>IFERROR(__xludf.DUMMYFUNCTION("""COMPUTED_VALUE"""),"Uncle Sams Cider (04/04/2023)")</f>
        <v>Uncle Sams Cider (04/04/2023)</v>
      </c>
      <c r="H3621" s="19"/>
    </row>
    <row r="3622">
      <c r="A3622" s="9"/>
      <c r="B3622" s="15"/>
      <c r="C3622" s="9">
        <f>IFERROR(__xludf.DUMMYFUNCTION("""COMPUTED_VALUE"""),45106.6827037384)</f>
        <v>45106.6827</v>
      </c>
      <c r="D3622" s="15">
        <f>IFERROR(__xludf.DUMMYFUNCTION("""COMPUTED_VALUE"""),1.0)</f>
        <v>1</v>
      </c>
      <c r="E3622" s="16">
        <f>IFERROR(__xludf.DUMMYFUNCTION("""COMPUTED_VALUE"""),69.0)</f>
        <v>69</v>
      </c>
      <c r="F3622" s="19" t="str">
        <f>IFERROR(__xludf.DUMMYFUNCTION("""COMPUTED_VALUE"""),"BLUE")</f>
        <v>BLUE</v>
      </c>
      <c r="G3622" s="20" t="str">
        <f>IFERROR(__xludf.DUMMYFUNCTION("""COMPUTED_VALUE"""),"Uncle Sams Cider (04/04/2023)")</f>
        <v>Uncle Sams Cider (04/04/2023)</v>
      </c>
      <c r="H3622" s="19"/>
    </row>
    <row r="3623">
      <c r="A3623" s="9"/>
      <c r="B3623" s="15"/>
      <c r="C3623" s="9">
        <f>IFERROR(__xludf.DUMMYFUNCTION("""COMPUTED_VALUE"""),45106.672270324)</f>
        <v>45106.67227</v>
      </c>
      <c r="D3623" s="15">
        <f>IFERROR(__xludf.DUMMYFUNCTION("""COMPUTED_VALUE"""),1.0)</f>
        <v>1</v>
      </c>
      <c r="E3623" s="16">
        <f>IFERROR(__xludf.DUMMYFUNCTION("""COMPUTED_VALUE"""),69.0)</f>
        <v>69</v>
      </c>
      <c r="F3623" s="19" t="str">
        <f>IFERROR(__xludf.DUMMYFUNCTION("""COMPUTED_VALUE"""),"BLUE")</f>
        <v>BLUE</v>
      </c>
      <c r="G3623" s="20" t="str">
        <f>IFERROR(__xludf.DUMMYFUNCTION("""COMPUTED_VALUE"""),"Uncle Sams Cider (04/04/2023)")</f>
        <v>Uncle Sams Cider (04/04/2023)</v>
      </c>
      <c r="H3623" s="19"/>
    </row>
    <row r="3624">
      <c r="A3624" s="9"/>
      <c r="B3624" s="15"/>
      <c r="C3624" s="9">
        <f>IFERROR(__xludf.DUMMYFUNCTION("""COMPUTED_VALUE"""),45106.6618504398)</f>
        <v>45106.66185</v>
      </c>
      <c r="D3624" s="15">
        <f>IFERROR(__xludf.DUMMYFUNCTION("""COMPUTED_VALUE"""),1.0)</f>
        <v>1</v>
      </c>
      <c r="E3624" s="16">
        <f>IFERROR(__xludf.DUMMYFUNCTION("""COMPUTED_VALUE"""),69.0)</f>
        <v>69</v>
      </c>
      <c r="F3624" s="19" t="str">
        <f>IFERROR(__xludf.DUMMYFUNCTION("""COMPUTED_VALUE"""),"BLUE")</f>
        <v>BLUE</v>
      </c>
      <c r="G3624" s="20" t="str">
        <f>IFERROR(__xludf.DUMMYFUNCTION("""COMPUTED_VALUE"""),"Uncle Sams Cider (04/04/2023)")</f>
        <v>Uncle Sams Cider (04/04/2023)</v>
      </c>
      <c r="H3624" s="19"/>
    </row>
    <row r="3625">
      <c r="A3625" s="9"/>
      <c r="B3625" s="15"/>
      <c r="C3625" s="9">
        <f>IFERROR(__xludf.DUMMYFUNCTION("""COMPUTED_VALUE"""),45106.651429618)</f>
        <v>45106.65143</v>
      </c>
      <c r="D3625" s="15">
        <f>IFERROR(__xludf.DUMMYFUNCTION("""COMPUTED_VALUE"""),1.0)</f>
        <v>1</v>
      </c>
      <c r="E3625" s="16">
        <f>IFERROR(__xludf.DUMMYFUNCTION("""COMPUTED_VALUE"""),69.0)</f>
        <v>69</v>
      </c>
      <c r="F3625" s="19" t="str">
        <f>IFERROR(__xludf.DUMMYFUNCTION("""COMPUTED_VALUE"""),"BLUE")</f>
        <v>BLUE</v>
      </c>
      <c r="G3625" s="20" t="str">
        <f>IFERROR(__xludf.DUMMYFUNCTION("""COMPUTED_VALUE"""),"Uncle Sams Cider (04/04/2023)")</f>
        <v>Uncle Sams Cider (04/04/2023)</v>
      </c>
      <c r="H3625" s="19"/>
    </row>
    <row r="3626">
      <c r="A3626" s="9"/>
      <c r="B3626" s="15"/>
      <c r="C3626" s="9">
        <f>IFERROR(__xludf.DUMMYFUNCTION("""COMPUTED_VALUE"""),45106.6410103009)</f>
        <v>45106.64101</v>
      </c>
      <c r="D3626" s="15">
        <f>IFERROR(__xludf.DUMMYFUNCTION("""COMPUTED_VALUE"""),1.0)</f>
        <v>1</v>
      </c>
      <c r="E3626" s="16">
        <f>IFERROR(__xludf.DUMMYFUNCTION("""COMPUTED_VALUE"""),69.0)</f>
        <v>69</v>
      </c>
      <c r="F3626" s="19" t="str">
        <f>IFERROR(__xludf.DUMMYFUNCTION("""COMPUTED_VALUE"""),"BLUE")</f>
        <v>BLUE</v>
      </c>
      <c r="G3626" s="20" t="str">
        <f>IFERROR(__xludf.DUMMYFUNCTION("""COMPUTED_VALUE"""),"Uncle Sams Cider (04/04/2023)")</f>
        <v>Uncle Sams Cider (04/04/2023)</v>
      </c>
      <c r="H3626" s="19"/>
    </row>
    <row r="3627">
      <c r="A3627" s="9"/>
      <c r="B3627" s="15"/>
      <c r="C3627" s="9">
        <f>IFERROR(__xludf.DUMMYFUNCTION("""COMPUTED_VALUE"""),45106.6305882986)</f>
        <v>45106.63059</v>
      </c>
      <c r="D3627" s="15">
        <f>IFERROR(__xludf.DUMMYFUNCTION("""COMPUTED_VALUE"""),1.0)</f>
        <v>1</v>
      </c>
      <c r="E3627" s="16">
        <f>IFERROR(__xludf.DUMMYFUNCTION("""COMPUTED_VALUE"""),69.0)</f>
        <v>69</v>
      </c>
      <c r="F3627" s="19" t="str">
        <f>IFERROR(__xludf.DUMMYFUNCTION("""COMPUTED_VALUE"""),"BLUE")</f>
        <v>BLUE</v>
      </c>
      <c r="G3627" s="20" t="str">
        <f>IFERROR(__xludf.DUMMYFUNCTION("""COMPUTED_VALUE"""),"Uncle Sams Cider (04/04/2023)")</f>
        <v>Uncle Sams Cider (04/04/2023)</v>
      </c>
      <c r="H3627" s="19"/>
    </row>
    <row r="3628">
      <c r="A3628" s="9"/>
      <c r="B3628" s="15"/>
      <c r="C3628" s="9">
        <f>IFERROR(__xludf.DUMMYFUNCTION("""COMPUTED_VALUE"""),45106.6201661921)</f>
        <v>45106.62017</v>
      </c>
      <c r="D3628" s="15">
        <f>IFERROR(__xludf.DUMMYFUNCTION("""COMPUTED_VALUE"""),1.0)</f>
        <v>1</v>
      </c>
      <c r="E3628" s="16">
        <f>IFERROR(__xludf.DUMMYFUNCTION("""COMPUTED_VALUE"""),69.0)</f>
        <v>69</v>
      </c>
      <c r="F3628" s="19" t="str">
        <f>IFERROR(__xludf.DUMMYFUNCTION("""COMPUTED_VALUE"""),"BLUE")</f>
        <v>BLUE</v>
      </c>
      <c r="G3628" s="20" t="str">
        <f>IFERROR(__xludf.DUMMYFUNCTION("""COMPUTED_VALUE"""),"Uncle Sams Cider (04/04/2023)")</f>
        <v>Uncle Sams Cider (04/04/2023)</v>
      </c>
      <c r="H3628" s="19"/>
    </row>
    <row r="3629">
      <c r="A3629" s="9"/>
      <c r="B3629" s="15"/>
      <c r="C3629" s="9">
        <f>IFERROR(__xludf.DUMMYFUNCTION("""COMPUTED_VALUE"""),45106.6097451273)</f>
        <v>45106.60975</v>
      </c>
      <c r="D3629" s="15">
        <f>IFERROR(__xludf.DUMMYFUNCTION("""COMPUTED_VALUE"""),1.0)</f>
        <v>1</v>
      </c>
      <c r="E3629" s="16">
        <f>IFERROR(__xludf.DUMMYFUNCTION("""COMPUTED_VALUE"""),69.0)</f>
        <v>69</v>
      </c>
      <c r="F3629" s="19" t="str">
        <f>IFERROR(__xludf.DUMMYFUNCTION("""COMPUTED_VALUE"""),"BLUE")</f>
        <v>BLUE</v>
      </c>
      <c r="G3629" s="20" t="str">
        <f>IFERROR(__xludf.DUMMYFUNCTION("""COMPUTED_VALUE"""),"Uncle Sams Cider (04/04/2023)")</f>
        <v>Uncle Sams Cider (04/04/2023)</v>
      </c>
      <c r="H3629" s="19"/>
    </row>
    <row r="3630">
      <c r="A3630" s="9"/>
      <c r="B3630" s="15"/>
      <c r="C3630" s="9">
        <f>IFERROR(__xludf.DUMMYFUNCTION("""COMPUTED_VALUE"""),45106.5993236226)</f>
        <v>45106.59932</v>
      </c>
      <c r="D3630" s="15">
        <f>IFERROR(__xludf.DUMMYFUNCTION("""COMPUTED_VALUE"""),1.0)</f>
        <v>1</v>
      </c>
      <c r="E3630" s="16">
        <f>IFERROR(__xludf.DUMMYFUNCTION("""COMPUTED_VALUE"""),69.0)</f>
        <v>69</v>
      </c>
      <c r="F3630" s="19" t="str">
        <f>IFERROR(__xludf.DUMMYFUNCTION("""COMPUTED_VALUE"""),"BLUE")</f>
        <v>BLUE</v>
      </c>
      <c r="G3630" s="20" t="str">
        <f>IFERROR(__xludf.DUMMYFUNCTION("""COMPUTED_VALUE"""),"Uncle Sams Cider (04/04/2023)")</f>
        <v>Uncle Sams Cider (04/04/2023)</v>
      </c>
      <c r="H3630" s="19"/>
    </row>
    <row r="3631">
      <c r="A3631" s="9"/>
      <c r="B3631" s="15"/>
      <c r="C3631" s="9">
        <f>IFERROR(__xludf.DUMMYFUNCTION("""COMPUTED_VALUE"""),45106.5888916087)</f>
        <v>45106.58889</v>
      </c>
      <c r="D3631" s="15">
        <f>IFERROR(__xludf.DUMMYFUNCTION("""COMPUTED_VALUE"""),1.0)</f>
        <v>1</v>
      </c>
      <c r="E3631" s="16">
        <f>IFERROR(__xludf.DUMMYFUNCTION("""COMPUTED_VALUE"""),69.0)</f>
        <v>69</v>
      </c>
      <c r="F3631" s="19" t="str">
        <f>IFERROR(__xludf.DUMMYFUNCTION("""COMPUTED_VALUE"""),"BLUE")</f>
        <v>BLUE</v>
      </c>
      <c r="G3631" s="20" t="str">
        <f>IFERROR(__xludf.DUMMYFUNCTION("""COMPUTED_VALUE"""),"Uncle Sams Cider (04/04/2023)")</f>
        <v>Uncle Sams Cider (04/04/2023)</v>
      </c>
      <c r="H3631" s="19"/>
    </row>
    <row r="3632">
      <c r="A3632" s="9"/>
      <c r="B3632" s="15"/>
      <c r="C3632" s="9">
        <f>IFERROR(__xludf.DUMMYFUNCTION("""COMPUTED_VALUE"""),45106.5784579861)</f>
        <v>45106.57846</v>
      </c>
      <c r="D3632" s="15">
        <f>IFERROR(__xludf.DUMMYFUNCTION("""COMPUTED_VALUE"""),1.0)</f>
        <v>1</v>
      </c>
      <c r="E3632" s="16">
        <f>IFERROR(__xludf.DUMMYFUNCTION("""COMPUTED_VALUE"""),69.0)</f>
        <v>69</v>
      </c>
      <c r="F3632" s="19" t="str">
        <f>IFERROR(__xludf.DUMMYFUNCTION("""COMPUTED_VALUE"""),"BLUE")</f>
        <v>BLUE</v>
      </c>
      <c r="G3632" s="20" t="str">
        <f>IFERROR(__xludf.DUMMYFUNCTION("""COMPUTED_VALUE"""),"Uncle Sams Cider (04/04/2023)")</f>
        <v>Uncle Sams Cider (04/04/2023)</v>
      </c>
      <c r="H3632" s="19"/>
    </row>
    <row r="3633">
      <c r="A3633" s="9"/>
      <c r="B3633" s="15"/>
      <c r="C3633" s="9">
        <f>IFERROR(__xludf.DUMMYFUNCTION("""COMPUTED_VALUE"""),45106.568026412)</f>
        <v>45106.56803</v>
      </c>
      <c r="D3633" s="15">
        <f>IFERROR(__xludf.DUMMYFUNCTION("""COMPUTED_VALUE"""),1.0)</f>
        <v>1</v>
      </c>
      <c r="E3633" s="16">
        <f>IFERROR(__xludf.DUMMYFUNCTION("""COMPUTED_VALUE"""),69.0)</f>
        <v>69</v>
      </c>
      <c r="F3633" s="19" t="str">
        <f>IFERROR(__xludf.DUMMYFUNCTION("""COMPUTED_VALUE"""),"BLUE")</f>
        <v>BLUE</v>
      </c>
      <c r="G3633" s="20" t="str">
        <f>IFERROR(__xludf.DUMMYFUNCTION("""COMPUTED_VALUE"""),"Uncle Sams Cider (04/04/2023)")</f>
        <v>Uncle Sams Cider (04/04/2023)</v>
      </c>
      <c r="H3633" s="19"/>
    </row>
    <row r="3634">
      <c r="A3634" s="9"/>
      <c r="B3634" s="15"/>
      <c r="C3634" s="9">
        <f>IFERROR(__xludf.DUMMYFUNCTION("""COMPUTED_VALUE"""),45106.5576038657)</f>
        <v>45106.5576</v>
      </c>
      <c r="D3634" s="15">
        <f>IFERROR(__xludf.DUMMYFUNCTION("""COMPUTED_VALUE"""),1.0)</f>
        <v>1</v>
      </c>
      <c r="E3634" s="16">
        <f>IFERROR(__xludf.DUMMYFUNCTION("""COMPUTED_VALUE"""),69.0)</f>
        <v>69</v>
      </c>
      <c r="F3634" s="19" t="str">
        <f>IFERROR(__xludf.DUMMYFUNCTION("""COMPUTED_VALUE"""),"BLUE")</f>
        <v>BLUE</v>
      </c>
      <c r="G3634" s="20" t="str">
        <f>IFERROR(__xludf.DUMMYFUNCTION("""COMPUTED_VALUE"""),"Uncle Sams Cider (04/04/2023)")</f>
        <v>Uncle Sams Cider (04/04/2023)</v>
      </c>
      <c r="H3634" s="19"/>
    </row>
    <row r="3635">
      <c r="A3635" s="9"/>
      <c r="B3635" s="15"/>
      <c r="C3635" s="9">
        <f>IFERROR(__xludf.DUMMYFUNCTION("""COMPUTED_VALUE"""),45106.5471802662)</f>
        <v>45106.54718</v>
      </c>
      <c r="D3635" s="15">
        <f>IFERROR(__xludf.DUMMYFUNCTION("""COMPUTED_VALUE"""),1.0)</f>
        <v>1</v>
      </c>
      <c r="E3635" s="16">
        <f>IFERROR(__xludf.DUMMYFUNCTION("""COMPUTED_VALUE"""),69.0)</f>
        <v>69</v>
      </c>
      <c r="F3635" s="19" t="str">
        <f>IFERROR(__xludf.DUMMYFUNCTION("""COMPUTED_VALUE"""),"BLUE")</f>
        <v>BLUE</v>
      </c>
      <c r="G3635" s="20" t="str">
        <f>IFERROR(__xludf.DUMMYFUNCTION("""COMPUTED_VALUE"""),"Uncle Sams Cider (04/04/2023)")</f>
        <v>Uncle Sams Cider (04/04/2023)</v>
      </c>
      <c r="H3635" s="19"/>
    </row>
    <row r="3636">
      <c r="A3636" s="9"/>
      <c r="B3636" s="15"/>
      <c r="C3636" s="9">
        <f>IFERROR(__xludf.DUMMYFUNCTION("""COMPUTED_VALUE"""),45106.5367593865)</f>
        <v>45106.53676</v>
      </c>
      <c r="D3636" s="15">
        <f>IFERROR(__xludf.DUMMYFUNCTION("""COMPUTED_VALUE"""),1.0)</f>
        <v>1</v>
      </c>
      <c r="E3636" s="16">
        <f>IFERROR(__xludf.DUMMYFUNCTION("""COMPUTED_VALUE"""),69.0)</f>
        <v>69</v>
      </c>
      <c r="F3636" s="19" t="str">
        <f>IFERROR(__xludf.DUMMYFUNCTION("""COMPUTED_VALUE"""),"BLUE")</f>
        <v>BLUE</v>
      </c>
      <c r="G3636" s="20" t="str">
        <f>IFERROR(__xludf.DUMMYFUNCTION("""COMPUTED_VALUE"""),"Uncle Sams Cider (04/04/2023)")</f>
        <v>Uncle Sams Cider (04/04/2023)</v>
      </c>
      <c r="H3636" s="19"/>
    </row>
    <row r="3637">
      <c r="A3637" s="9"/>
      <c r="B3637" s="15"/>
      <c r="C3637" s="9">
        <f>IFERROR(__xludf.DUMMYFUNCTION("""COMPUTED_VALUE"""),45106.5263382176)</f>
        <v>45106.52634</v>
      </c>
      <c r="D3637" s="15">
        <f>IFERROR(__xludf.DUMMYFUNCTION("""COMPUTED_VALUE"""),1.0)</f>
        <v>1</v>
      </c>
      <c r="E3637" s="16">
        <f>IFERROR(__xludf.DUMMYFUNCTION("""COMPUTED_VALUE"""),69.0)</f>
        <v>69</v>
      </c>
      <c r="F3637" s="19" t="str">
        <f>IFERROR(__xludf.DUMMYFUNCTION("""COMPUTED_VALUE"""),"BLUE")</f>
        <v>BLUE</v>
      </c>
      <c r="G3637" s="20" t="str">
        <f>IFERROR(__xludf.DUMMYFUNCTION("""COMPUTED_VALUE"""),"Uncle Sams Cider (04/04/2023)")</f>
        <v>Uncle Sams Cider (04/04/2023)</v>
      </c>
      <c r="H3637" s="19"/>
    </row>
    <row r="3638">
      <c r="A3638" s="9"/>
      <c r="B3638" s="15"/>
      <c r="C3638" s="9">
        <f>IFERROR(__xludf.DUMMYFUNCTION("""COMPUTED_VALUE"""),45106.5159178009)</f>
        <v>45106.51592</v>
      </c>
      <c r="D3638" s="15">
        <f>IFERROR(__xludf.DUMMYFUNCTION("""COMPUTED_VALUE"""),1.0)</f>
        <v>1</v>
      </c>
      <c r="E3638" s="16">
        <f>IFERROR(__xludf.DUMMYFUNCTION("""COMPUTED_VALUE"""),69.0)</f>
        <v>69</v>
      </c>
      <c r="F3638" s="19" t="str">
        <f>IFERROR(__xludf.DUMMYFUNCTION("""COMPUTED_VALUE"""),"BLUE")</f>
        <v>BLUE</v>
      </c>
      <c r="G3638" s="20" t="str">
        <f>IFERROR(__xludf.DUMMYFUNCTION("""COMPUTED_VALUE"""),"Uncle Sams Cider (04/04/2023)")</f>
        <v>Uncle Sams Cider (04/04/2023)</v>
      </c>
      <c r="H3638" s="19"/>
    </row>
    <row r="3639">
      <c r="A3639" s="9"/>
      <c r="B3639" s="15"/>
      <c r="C3639" s="9">
        <f>IFERROR(__xludf.DUMMYFUNCTION("""COMPUTED_VALUE"""),45106.5054856828)</f>
        <v>45106.50549</v>
      </c>
      <c r="D3639" s="15">
        <f>IFERROR(__xludf.DUMMYFUNCTION("""COMPUTED_VALUE"""),1.0)</f>
        <v>1</v>
      </c>
      <c r="E3639" s="16">
        <f>IFERROR(__xludf.DUMMYFUNCTION("""COMPUTED_VALUE"""),69.0)</f>
        <v>69</v>
      </c>
      <c r="F3639" s="19" t="str">
        <f>IFERROR(__xludf.DUMMYFUNCTION("""COMPUTED_VALUE"""),"BLUE")</f>
        <v>BLUE</v>
      </c>
      <c r="G3639" s="20" t="str">
        <f>IFERROR(__xludf.DUMMYFUNCTION("""COMPUTED_VALUE"""),"Uncle Sams Cider (04/04/2023)")</f>
        <v>Uncle Sams Cider (04/04/2023)</v>
      </c>
      <c r="H3639" s="19"/>
    </row>
    <row r="3640">
      <c r="A3640" s="9"/>
      <c r="B3640" s="15"/>
      <c r="C3640" s="9">
        <f>IFERROR(__xludf.DUMMYFUNCTION("""COMPUTED_VALUE"""),45106.4950411458)</f>
        <v>45106.49504</v>
      </c>
      <c r="D3640" s="15">
        <f>IFERROR(__xludf.DUMMYFUNCTION("""COMPUTED_VALUE"""),1.0)</f>
        <v>1</v>
      </c>
      <c r="E3640" s="16">
        <f>IFERROR(__xludf.DUMMYFUNCTION("""COMPUTED_VALUE"""),69.0)</f>
        <v>69</v>
      </c>
      <c r="F3640" s="19" t="str">
        <f>IFERROR(__xludf.DUMMYFUNCTION("""COMPUTED_VALUE"""),"BLUE")</f>
        <v>BLUE</v>
      </c>
      <c r="G3640" s="20" t="str">
        <f>IFERROR(__xludf.DUMMYFUNCTION("""COMPUTED_VALUE"""),"Uncle Sams Cider (04/04/2023)")</f>
        <v>Uncle Sams Cider (04/04/2023)</v>
      </c>
      <c r="H3640" s="19"/>
    </row>
    <row r="3641">
      <c r="A3641" s="9"/>
      <c r="B3641" s="15"/>
      <c r="C3641" s="9">
        <f>IFERROR(__xludf.DUMMYFUNCTION("""COMPUTED_VALUE"""),45106.4846204398)</f>
        <v>45106.48462</v>
      </c>
      <c r="D3641" s="15">
        <f>IFERROR(__xludf.DUMMYFUNCTION("""COMPUTED_VALUE"""),1.0)</f>
        <v>1</v>
      </c>
      <c r="E3641" s="16">
        <f>IFERROR(__xludf.DUMMYFUNCTION("""COMPUTED_VALUE"""),69.0)</f>
        <v>69</v>
      </c>
      <c r="F3641" s="19" t="str">
        <f>IFERROR(__xludf.DUMMYFUNCTION("""COMPUTED_VALUE"""),"BLUE")</f>
        <v>BLUE</v>
      </c>
      <c r="G3641" s="20" t="str">
        <f>IFERROR(__xludf.DUMMYFUNCTION("""COMPUTED_VALUE"""),"Uncle Sams Cider (04/04/2023)")</f>
        <v>Uncle Sams Cider (04/04/2023)</v>
      </c>
      <c r="H3641" s="19"/>
    </row>
    <row r="3642">
      <c r="A3642" s="9"/>
      <c r="B3642" s="15"/>
      <c r="C3642" s="9">
        <f>IFERROR(__xludf.DUMMYFUNCTION("""COMPUTED_VALUE"""),45106.474189618)</f>
        <v>45106.47419</v>
      </c>
      <c r="D3642" s="15">
        <f>IFERROR(__xludf.DUMMYFUNCTION("""COMPUTED_VALUE"""),1.0)</f>
        <v>1</v>
      </c>
      <c r="E3642" s="16">
        <f>IFERROR(__xludf.DUMMYFUNCTION("""COMPUTED_VALUE"""),69.0)</f>
        <v>69</v>
      </c>
      <c r="F3642" s="19" t="str">
        <f>IFERROR(__xludf.DUMMYFUNCTION("""COMPUTED_VALUE"""),"BLUE")</f>
        <v>BLUE</v>
      </c>
      <c r="G3642" s="20" t="str">
        <f>IFERROR(__xludf.DUMMYFUNCTION("""COMPUTED_VALUE"""),"Uncle Sams Cider (04/04/2023)")</f>
        <v>Uncle Sams Cider (04/04/2023)</v>
      </c>
      <c r="H3642" s="19"/>
    </row>
    <row r="3643">
      <c r="A3643" s="9"/>
      <c r="B3643" s="15"/>
      <c r="C3643" s="9">
        <f>IFERROR(__xludf.DUMMYFUNCTION("""COMPUTED_VALUE"""),45106.4637675926)</f>
        <v>45106.46377</v>
      </c>
      <c r="D3643" s="15">
        <f>IFERROR(__xludf.DUMMYFUNCTION("""COMPUTED_VALUE"""),1.0)</f>
        <v>1</v>
      </c>
      <c r="E3643" s="16">
        <f>IFERROR(__xludf.DUMMYFUNCTION("""COMPUTED_VALUE"""),69.0)</f>
        <v>69</v>
      </c>
      <c r="F3643" s="19" t="str">
        <f>IFERROR(__xludf.DUMMYFUNCTION("""COMPUTED_VALUE"""),"BLUE")</f>
        <v>BLUE</v>
      </c>
      <c r="G3643" s="20" t="str">
        <f>IFERROR(__xludf.DUMMYFUNCTION("""COMPUTED_VALUE"""),"Uncle Sams Cider (04/04/2023)")</f>
        <v>Uncle Sams Cider (04/04/2023)</v>
      </c>
      <c r="H3643" s="19"/>
    </row>
    <row r="3644">
      <c r="A3644" s="9"/>
      <c r="B3644" s="15"/>
      <c r="C3644" s="9">
        <f>IFERROR(__xludf.DUMMYFUNCTION("""COMPUTED_VALUE"""),45106.4533475694)</f>
        <v>45106.45335</v>
      </c>
      <c r="D3644" s="15">
        <f>IFERROR(__xludf.DUMMYFUNCTION("""COMPUTED_VALUE"""),1.0)</f>
        <v>1</v>
      </c>
      <c r="E3644" s="16">
        <f>IFERROR(__xludf.DUMMYFUNCTION("""COMPUTED_VALUE"""),69.0)</f>
        <v>69</v>
      </c>
      <c r="F3644" s="19" t="str">
        <f>IFERROR(__xludf.DUMMYFUNCTION("""COMPUTED_VALUE"""),"BLUE")</f>
        <v>BLUE</v>
      </c>
      <c r="G3644" s="20" t="str">
        <f>IFERROR(__xludf.DUMMYFUNCTION("""COMPUTED_VALUE"""),"Uncle Sams Cider (04/04/2023)")</f>
        <v>Uncle Sams Cider (04/04/2023)</v>
      </c>
      <c r="H3644" s="19"/>
    </row>
    <row r="3645">
      <c r="A3645" s="9"/>
      <c r="B3645" s="15"/>
      <c r="C3645" s="9">
        <f>IFERROR(__xludf.DUMMYFUNCTION("""COMPUTED_VALUE"""),45106.4429261226)</f>
        <v>45106.44293</v>
      </c>
      <c r="D3645" s="15">
        <f>IFERROR(__xludf.DUMMYFUNCTION("""COMPUTED_VALUE"""),1.0)</f>
        <v>1</v>
      </c>
      <c r="E3645" s="16">
        <f>IFERROR(__xludf.DUMMYFUNCTION("""COMPUTED_VALUE"""),69.0)</f>
        <v>69</v>
      </c>
      <c r="F3645" s="19" t="str">
        <f>IFERROR(__xludf.DUMMYFUNCTION("""COMPUTED_VALUE"""),"BLUE")</f>
        <v>BLUE</v>
      </c>
      <c r="G3645" s="20" t="str">
        <f>IFERROR(__xludf.DUMMYFUNCTION("""COMPUTED_VALUE"""),"Uncle Sams Cider (04/04/2023)")</f>
        <v>Uncle Sams Cider (04/04/2023)</v>
      </c>
      <c r="H3645" s="19"/>
    </row>
    <row r="3646">
      <c r="A3646" s="9"/>
      <c r="B3646" s="15"/>
      <c r="C3646" s="9">
        <f>IFERROR(__xludf.DUMMYFUNCTION("""COMPUTED_VALUE"""),45106.4325065972)</f>
        <v>45106.43251</v>
      </c>
      <c r="D3646" s="15">
        <f>IFERROR(__xludf.DUMMYFUNCTION("""COMPUTED_VALUE"""),1.0)</f>
        <v>1</v>
      </c>
      <c r="E3646" s="16">
        <f>IFERROR(__xludf.DUMMYFUNCTION("""COMPUTED_VALUE"""),69.0)</f>
        <v>69</v>
      </c>
      <c r="F3646" s="19" t="str">
        <f>IFERROR(__xludf.DUMMYFUNCTION("""COMPUTED_VALUE"""),"BLUE")</f>
        <v>BLUE</v>
      </c>
      <c r="G3646" s="20" t="str">
        <f>IFERROR(__xludf.DUMMYFUNCTION("""COMPUTED_VALUE"""),"Uncle Sams Cider (04/04/2023)")</f>
        <v>Uncle Sams Cider (04/04/2023)</v>
      </c>
      <c r="H3646" s="19"/>
    </row>
    <row r="3647">
      <c r="A3647" s="9"/>
      <c r="B3647" s="15"/>
      <c r="C3647" s="9">
        <f>IFERROR(__xludf.DUMMYFUNCTION("""COMPUTED_VALUE"""),45106.4220844444)</f>
        <v>45106.42208</v>
      </c>
      <c r="D3647" s="15">
        <f>IFERROR(__xludf.DUMMYFUNCTION("""COMPUTED_VALUE"""),1.0)</f>
        <v>1</v>
      </c>
      <c r="E3647" s="16">
        <f>IFERROR(__xludf.DUMMYFUNCTION("""COMPUTED_VALUE"""),69.0)</f>
        <v>69</v>
      </c>
      <c r="F3647" s="19" t="str">
        <f>IFERROR(__xludf.DUMMYFUNCTION("""COMPUTED_VALUE"""),"BLUE")</f>
        <v>BLUE</v>
      </c>
      <c r="G3647" s="20" t="str">
        <f>IFERROR(__xludf.DUMMYFUNCTION("""COMPUTED_VALUE"""),"Uncle Sams Cider (04/04/2023)")</f>
        <v>Uncle Sams Cider (04/04/2023)</v>
      </c>
      <c r="H3647" s="19"/>
    </row>
    <row r="3648">
      <c r="A3648" s="9"/>
      <c r="B3648" s="15"/>
      <c r="C3648" s="9">
        <f>IFERROR(__xludf.DUMMYFUNCTION("""COMPUTED_VALUE"""),45106.4116522916)</f>
        <v>45106.41165</v>
      </c>
      <c r="D3648" s="15">
        <f>IFERROR(__xludf.DUMMYFUNCTION("""COMPUTED_VALUE"""),1.0)</f>
        <v>1</v>
      </c>
      <c r="E3648" s="16">
        <f>IFERROR(__xludf.DUMMYFUNCTION("""COMPUTED_VALUE"""),69.0)</f>
        <v>69</v>
      </c>
      <c r="F3648" s="19" t="str">
        <f>IFERROR(__xludf.DUMMYFUNCTION("""COMPUTED_VALUE"""),"BLUE")</f>
        <v>BLUE</v>
      </c>
      <c r="G3648" s="20" t="str">
        <f>IFERROR(__xludf.DUMMYFUNCTION("""COMPUTED_VALUE"""),"Uncle Sams Cider (04/04/2023)")</f>
        <v>Uncle Sams Cider (04/04/2023)</v>
      </c>
      <c r="H3648" s="19"/>
    </row>
    <row r="3649">
      <c r="A3649" s="9"/>
      <c r="B3649" s="15"/>
      <c r="C3649" s="9">
        <f>IFERROR(__xludf.DUMMYFUNCTION("""COMPUTED_VALUE"""),45106.4012179051)</f>
        <v>45106.40122</v>
      </c>
      <c r="D3649" s="15">
        <f>IFERROR(__xludf.DUMMYFUNCTION("""COMPUTED_VALUE"""),1.0)</f>
        <v>1</v>
      </c>
      <c r="E3649" s="16">
        <f>IFERROR(__xludf.DUMMYFUNCTION("""COMPUTED_VALUE"""),69.0)</f>
        <v>69</v>
      </c>
      <c r="F3649" s="19" t="str">
        <f>IFERROR(__xludf.DUMMYFUNCTION("""COMPUTED_VALUE"""),"BLUE")</f>
        <v>BLUE</v>
      </c>
      <c r="G3649" s="20" t="str">
        <f>IFERROR(__xludf.DUMMYFUNCTION("""COMPUTED_VALUE"""),"Uncle Sams Cider (04/04/2023)")</f>
        <v>Uncle Sams Cider (04/04/2023)</v>
      </c>
      <c r="H3649" s="19"/>
    </row>
    <row r="3650">
      <c r="A3650" s="9"/>
      <c r="B3650" s="15"/>
      <c r="C3650" s="9">
        <f>IFERROR(__xludf.DUMMYFUNCTION("""COMPUTED_VALUE"""),45106.3907992476)</f>
        <v>45106.3908</v>
      </c>
      <c r="D3650" s="15">
        <f>IFERROR(__xludf.DUMMYFUNCTION("""COMPUTED_VALUE"""),1.0)</f>
        <v>1</v>
      </c>
      <c r="E3650" s="16">
        <f>IFERROR(__xludf.DUMMYFUNCTION("""COMPUTED_VALUE"""),69.0)</f>
        <v>69</v>
      </c>
      <c r="F3650" s="19" t="str">
        <f>IFERROR(__xludf.DUMMYFUNCTION("""COMPUTED_VALUE"""),"BLUE")</f>
        <v>BLUE</v>
      </c>
      <c r="G3650" s="20" t="str">
        <f>IFERROR(__xludf.DUMMYFUNCTION("""COMPUTED_VALUE"""),"Uncle Sams Cider (04/04/2023)")</f>
        <v>Uncle Sams Cider (04/04/2023)</v>
      </c>
      <c r="H3650" s="19"/>
    </row>
    <row r="3651">
      <c r="A3651" s="9"/>
      <c r="B3651" s="15"/>
      <c r="C3651" s="9">
        <f>IFERROR(__xludf.DUMMYFUNCTION("""COMPUTED_VALUE"""),45106.3803433333)</f>
        <v>45106.38034</v>
      </c>
      <c r="D3651" s="15">
        <f>IFERROR(__xludf.DUMMYFUNCTION("""COMPUTED_VALUE"""),1.0)</f>
        <v>1</v>
      </c>
      <c r="E3651" s="16">
        <f>IFERROR(__xludf.DUMMYFUNCTION("""COMPUTED_VALUE"""),69.0)</f>
        <v>69</v>
      </c>
      <c r="F3651" s="19" t="str">
        <f>IFERROR(__xludf.DUMMYFUNCTION("""COMPUTED_VALUE"""),"BLUE")</f>
        <v>BLUE</v>
      </c>
      <c r="G3651" s="20" t="str">
        <f>IFERROR(__xludf.DUMMYFUNCTION("""COMPUTED_VALUE"""),"Uncle Sams Cider (04/04/2023)")</f>
        <v>Uncle Sams Cider (04/04/2023)</v>
      </c>
      <c r="H3651" s="19"/>
    </row>
    <row r="3652">
      <c r="A3652" s="9"/>
      <c r="B3652" s="15"/>
      <c r="C3652" s="9">
        <f>IFERROR(__xludf.DUMMYFUNCTION("""COMPUTED_VALUE"""),45106.3699102314)</f>
        <v>45106.36991</v>
      </c>
      <c r="D3652" s="15">
        <f>IFERROR(__xludf.DUMMYFUNCTION("""COMPUTED_VALUE"""),1.0)</f>
        <v>1</v>
      </c>
      <c r="E3652" s="16">
        <f>IFERROR(__xludf.DUMMYFUNCTION("""COMPUTED_VALUE"""),69.0)</f>
        <v>69</v>
      </c>
      <c r="F3652" s="19" t="str">
        <f>IFERROR(__xludf.DUMMYFUNCTION("""COMPUTED_VALUE"""),"BLUE")</f>
        <v>BLUE</v>
      </c>
      <c r="G3652" s="20" t="str">
        <f>IFERROR(__xludf.DUMMYFUNCTION("""COMPUTED_VALUE"""),"Uncle Sams Cider (04/04/2023)")</f>
        <v>Uncle Sams Cider (04/04/2023)</v>
      </c>
      <c r="H3652" s="19"/>
    </row>
    <row r="3653">
      <c r="A3653" s="9"/>
      <c r="B3653" s="15"/>
      <c r="C3653" s="9">
        <f>IFERROR(__xludf.DUMMYFUNCTION("""COMPUTED_VALUE"""),45106.3594883101)</f>
        <v>45106.35949</v>
      </c>
      <c r="D3653" s="15">
        <f>IFERROR(__xludf.DUMMYFUNCTION("""COMPUTED_VALUE"""),1.0)</f>
        <v>1</v>
      </c>
      <c r="E3653" s="16">
        <f>IFERROR(__xludf.DUMMYFUNCTION("""COMPUTED_VALUE"""),69.0)</f>
        <v>69</v>
      </c>
      <c r="F3653" s="19" t="str">
        <f>IFERROR(__xludf.DUMMYFUNCTION("""COMPUTED_VALUE"""),"BLUE")</f>
        <v>BLUE</v>
      </c>
      <c r="G3653" s="20" t="str">
        <f>IFERROR(__xludf.DUMMYFUNCTION("""COMPUTED_VALUE"""),"Uncle Sams Cider (04/04/2023)")</f>
        <v>Uncle Sams Cider (04/04/2023)</v>
      </c>
      <c r="H3653" s="19"/>
    </row>
    <row r="3654">
      <c r="A3654" s="9"/>
      <c r="B3654" s="15"/>
      <c r="C3654" s="9">
        <f>IFERROR(__xludf.DUMMYFUNCTION("""COMPUTED_VALUE"""),45106.3386443171)</f>
        <v>45106.33864</v>
      </c>
      <c r="D3654" s="15">
        <f>IFERROR(__xludf.DUMMYFUNCTION("""COMPUTED_VALUE"""),1.0)</f>
        <v>1</v>
      </c>
      <c r="E3654" s="16">
        <f>IFERROR(__xludf.DUMMYFUNCTION("""COMPUTED_VALUE"""),69.0)</f>
        <v>69</v>
      </c>
      <c r="F3654" s="19" t="str">
        <f>IFERROR(__xludf.DUMMYFUNCTION("""COMPUTED_VALUE"""),"BLUE")</f>
        <v>BLUE</v>
      </c>
      <c r="G3654" s="20" t="str">
        <f>IFERROR(__xludf.DUMMYFUNCTION("""COMPUTED_VALUE"""),"Uncle Sams Cider (04/04/2023)")</f>
        <v>Uncle Sams Cider (04/04/2023)</v>
      </c>
      <c r="H3654" s="19"/>
    </row>
    <row r="3655">
      <c r="A3655" s="9"/>
      <c r="B3655" s="15"/>
      <c r="C3655" s="9">
        <f>IFERROR(__xludf.DUMMYFUNCTION("""COMPUTED_VALUE"""),45106.3282217013)</f>
        <v>45106.32822</v>
      </c>
      <c r="D3655" s="15">
        <f>IFERROR(__xludf.DUMMYFUNCTION("""COMPUTED_VALUE"""),1.0)</f>
        <v>1</v>
      </c>
      <c r="E3655" s="16">
        <f>IFERROR(__xludf.DUMMYFUNCTION("""COMPUTED_VALUE"""),69.0)</f>
        <v>69</v>
      </c>
      <c r="F3655" s="19" t="str">
        <f>IFERROR(__xludf.DUMMYFUNCTION("""COMPUTED_VALUE"""),"BLUE")</f>
        <v>BLUE</v>
      </c>
      <c r="G3655" s="20" t="str">
        <f>IFERROR(__xludf.DUMMYFUNCTION("""COMPUTED_VALUE"""),"Uncle Sams Cider (04/04/2023)")</f>
        <v>Uncle Sams Cider (04/04/2023)</v>
      </c>
      <c r="H3655" s="19"/>
    </row>
    <row r="3656">
      <c r="A3656" s="9"/>
      <c r="B3656" s="15"/>
      <c r="C3656" s="9">
        <f>IFERROR(__xludf.DUMMYFUNCTION("""COMPUTED_VALUE"""),45106.3178014351)</f>
        <v>45106.3178</v>
      </c>
      <c r="D3656" s="15">
        <f>IFERROR(__xludf.DUMMYFUNCTION("""COMPUTED_VALUE"""),1.0)</f>
        <v>1</v>
      </c>
      <c r="E3656" s="16">
        <f>IFERROR(__xludf.DUMMYFUNCTION("""COMPUTED_VALUE"""),69.0)</f>
        <v>69</v>
      </c>
      <c r="F3656" s="19" t="str">
        <f>IFERROR(__xludf.DUMMYFUNCTION("""COMPUTED_VALUE"""),"BLUE")</f>
        <v>BLUE</v>
      </c>
      <c r="G3656" s="20" t="str">
        <f>IFERROR(__xludf.DUMMYFUNCTION("""COMPUTED_VALUE"""),"Uncle Sams Cider (04/04/2023)")</f>
        <v>Uncle Sams Cider (04/04/2023)</v>
      </c>
      <c r="H3656" s="19"/>
    </row>
    <row r="3657">
      <c r="A3657" s="9"/>
      <c r="B3657" s="15"/>
      <c r="C3657" s="9">
        <f>IFERROR(__xludf.DUMMYFUNCTION("""COMPUTED_VALUE"""),45106.307379618)</f>
        <v>45106.30738</v>
      </c>
      <c r="D3657" s="15">
        <f>IFERROR(__xludf.DUMMYFUNCTION("""COMPUTED_VALUE"""),1.0)</f>
        <v>1</v>
      </c>
      <c r="E3657" s="16">
        <f>IFERROR(__xludf.DUMMYFUNCTION("""COMPUTED_VALUE"""),69.0)</f>
        <v>69</v>
      </c>
      <c r="F3657" s="19" t="str">
        <f>IFERROR(__xludf.DUMMYFUNCTION("""COMPUTED_VALUE"""),"BLUE")</f>
        <v>BLUE</v>
      </c>
      <c r="G3657" s="20" t="str">
        <f>IFERROR(__xludf.DUMMYFUNCTION("""COMPUTED_VALUE"""),"Uncle Sams Cider (04/04/2023)")</f>
        <v>Uncle Sams Cider (04/04/2023)</v>
      </c>
      <c r="H3657" s="19"/>
    </row>
    <row r="3658">
      <c r="A3658" s="9"/>
      <c r="B3658" s="15"/>
      <c r="C3658" s="9">
        <f>IFERROR(__xludf.DUMMYFUNCTION("""COMPUTED_VALUE"""),45106.2969571064)</f>
        <v>45106.29696</v>
      </c>
      <c r="D3658" s="15">
        <f>IFERROR(__xludf.DUMMYFUNCTION("""COMPUTED_VALUE"""),1.0)</f>
        <v>1</v>
      </c>
      <c r="E3658" s="16">
        <f>IFERROR(__xludf.DUMMYFUNCTION("""COMPUTED_VALUE"""),69.0)</f>
        <v>69</v>
      </c>
      <c r="F3658" s="19" t="str">
        <f>IFERROR(__xludf.DUMMYFUNCTION("""COMPUTED_VALUE"""),"BLUE")</f>
        <v>BLUE</v>
      </c>
      <c r="G3658" s="20" t="str">
        <f>IFERROR(__xludf.DUMMYFUNCTION("""COMPUTED_VALUE"""),"Uncle Sams Cider (04/04/2023)")</f>
        <v>Uncle Sams Cider (04/04/2023)</v>
      </c>
      <c r="H3658" s="19"/>
    </row>
    <row r="3659">
      <c r="A3659" s="9"/>
      <c r="B3659" s="15"/>
      <c r="C3659" s="9">
        <f>IFERROR(__xludf.DUMMYFUNCTION("""COMPUTED_VALUE"""),45106.2865361342)</f>
        <v>45106.28654</v>
      </c>
      <c r="D3659" s="15">
        <f>IFERROR(__xludf.DUMMYFUNCTION("""COMPUTED_VALUE"""),1.0)</f>
        <v>1</v>
      </c>
      <c r="E3659" s="16">
        <f>IFERROR(__xludf.DUMMYFUNCTION("""COMPUTED_VALUE"""),69.0)</f>
        <v>69</v>
      </c>
      <c r="F3659" s="19" t="str">
        <f>IFERROR(__xludf.DUMMYFUNCTION("""COMPUTED_VALUE"""),"BLUE")</f>
        <v>BLUE</v>
      </c>
      <c r="G3659" s="20" t="str">
        <f>IFERROR(__xludf.DUMMYFUNCTION("""COMPUTED_VALUE"""),"Uncle Sams Cider (04/04/2023)")</f>
        <v>Uncle Sams Cider (04/04/2023)</v>
      </c>
      <c r="H3659" s="19"/>
    </row>
    <row r="3660">
      <c r="A3660" s="9"/>
      <c r="B3660" s="15"/>
      <c r="C3660" s="9">
        <f>IFERROR(__xludf.DUMMYFUNCTION("""COMPUTED_VALUE"""),45106.2761151736)</f>
        <v>45106.27612</v>
      </c>
      <c r="D3660" s="15">
        <f>IFERROR(__xludf.DUMMYFUNCTION("""COMPUTED_VALUE"""),1.0)</f>
        <v>1</v>
      </c>
      <c r="E3660" s="16">
        <f>IFERROR(__xludf.DUMMYFUNCTION("""COMPUTED_VALUE"""),69.0)</f>
        <v>69</v>
      </c>
      <c r="F3660" s="19" t="str">
        <f>IFERROR(__xludf.DUMMYFUNCTION("""COMPUTED_VALUE"""),"BLUE")</f>
        <v>BLUE</v>
      </c>
      <c r="G3660" s="20" t="str">
        <f>IFERROR(__xludf.DUMMYFUNCTION("""COMPUTED_VALUE"""),"Uncle Sams Cider (04/04/2023)")</f>
        <v>Uncle Sams Cider (04/04/2023)</v>
      </c>
      <c r="H3660" s="19"/>
    </row>
    <row r="3661">
      <c r="A3661" s="9"/>
      <c r="B3661" s="15"/>
      <c r="C3661" s="9">
        <f>IFERROR(__xludf.DUMMYFUNCTION("""COMPUTED_VALUE"""),45106.2656838888)</f>
        <v>45106.26568</v>
      </c>
      <c r="D3661" s="15">
        <f>IFERROR(__xludf.DUMMYFUNCTION("""COMPUTED_VALUE"""),1.0)</f>
        <v>1</v>
      </c>
      <c r="E3661" s="16">
        <f>IFERROR(__xludf.DUMMYFUNCTION("""COMPUTED_VALUE"""),69.0)</f>
        <v>69</v>
      </c>
      <c r="F3661" s="19" t="str">
        <f>IFERROR(__xludf.DUMMYFUNCTION("""COMPUTED_VALUE"""),"BLUE")</f>
        <v>BLUE</v>
      </c>
      <c r="G3661" s="20" t="str">
        <f>IFERROR(__xludf.DUMMYFUNCTION("""COMPUTED_VALUE"""),"Uncle Sams Cider (04/04/2023)")</f>
        <v>Uncle Sams Cider (04/04/2023)</v>
      </c>
      <c r="H3661" s="19"/>
    </row>
    <row r="3662">
      <c r="A3662" s="9"/>
      <c r="B3662" s="15"/>
      <c r="C3662" s="9">
        <f>IFERROR(__xludf.DUMMYFUNCTION("""COMPUTED_VALUE"""),45106.2552627777)</f>
        <v>45106.25526</v>
      </c>
      <c r="D3662" s="15">
        <f>IFERROR(__xludf.DUMMYFUNCTION("""COMPUTED_VALUE"""),1.0)</f>
        <v>1</v>
      </c>
      <c r="E3662" s="16">
        <f>IFERROR(__xludf.DUMMYFUNCTION("""COMPUTED_VALUE"""),69.0)</f>
        <v>69</v>
      </c>
      <c r="F3662" s="19" t="str">
        <f>IFERROR(__xludf.DUMMYFUNCTION("""COMPUTED_VALUE"""),"BLUE")</f>
        <v>BLUE</v>
      </c>
      <c r="G3662" s="20" t="str">
        <f>IFERROR(__xludf.DUMMYFUNCTION("""COMPUTED_VALUE"""),"Uncle Sams Cider (04/04/2023)")</f>
        <v>Uncle Sams Cider (04/04/2023)</v>
      </c>
      <c r="H3662" s="19"/>
    </row>
    <row r="3663">
      <c r="A3663" s="9"/>
      <c r="B3663" s="15"/>
      <c r="C3663" s="9">
        <f>IFERROR(__xludf.DUMMYFUNCTION("""COMPUTED_VALUE"""),45106.2448440046)</f>
        <v>45106.24484</v>
      </c>
      <c r="D3663" s="15">
        <f>IFERROR(__xludf.DUMMYFUNCTION("""COMPUTED_VALUE"""),1.0)</f>
        <v>1</v>
      </c>
      <c r="E3663" s="16">
        <f>IFERROR(__xludf.DUMMYFUNCTION("""COMPUTED_VALUE"""),69.0)</f>
        <v>69</v>
      </c>
      <c r="F3663" s="19" t="str">
        <f>IFERROR(__xludf.DUMMYFUNCTION("""COMPUTED_VALUE"""),"BLUE")</f>
        <v>BLUE</v>
      </c>
      <c r="G3663" s="20" t="str">
        <f>IFERROR(__xludf.DUMMYFUNCTION("""COMPUTED_VALUE"""),"Uncle Sams Cider (04/04/2023)")</f>
        <v>Uncle Sams Cider (04/04/2023)</v>
      </c>
      <c r="H3663" s="19"/>
    </row>
    <row r="3664">
      <c r="A3664" s="9"/>
      <c r="B3664" s="15"/>
      <c r="C3664" s="9">
        <f>IFERROR(__xludf.DUMMYFUNCTION("""COMPUTED_VALUE"""),45106.2344242361)</f>
        <v>45106.23442</v>
      </c>
      <c r="D3664" s="15">
        <f>IFERROR(__xludf.DUMMYFUNCTION("""COMPUTED_VALUE"""),1.0)</f>
        <v>1</v>
      </c>
      <c r="E3664" s="16">
        <f>IFERROR(__xludf.DUMMYFUNCTION("""COMPUTED_VALUE"""),69.0)</f>
        <v>69</v>
      </c>
      <c r="F3664" s="19" t="str">
        <f>IFERROR(__xludf.DUMMYFUNCTION("""COMPUTED_VALUE"""),"BLUE")</f>
        <v>BLUE</v>
      </c>
      <c r="G3664" s="20" t="str">
        <f>IFERROR(__xludf.DUMMYFUNCTION("""COMPUTED_VALUE"""),"Uncle Sams Cider (04/04/2023)")</f>
        <v>Uncle Sams Cider (04/04/2023)</v>
      </c>
      <c r="H3664" s="19"/>
    </row>
    <row r="3665">
      <c r="A3665" s="9"/>
      <c r="B3665" s="15"/>
      <c r="C3665" s="9">
        <f>IFERROR(__xludf.DUMMYFUNCTION("""COMPUTED_VALUE"""),45106.2239912615)</f>
        <v>45106.22399</v>
      </c>
      <c r="D3665" s="15">
        <f>IFERROR(__xludf.DUMMYFUNCTION("""COMPUTED_VALUE"""),1.0)</f>
        <v>1</v>
      </c>
      <c r="E3665" s="16">
        <f>IFERROR(__xludf.DUMMYFUNCTION("""COMPUTED_VALUE"""),69.0)</f>
        <v>69</v>
      </c>
      <c r="F3665" s="19" t="str">
        <f>IFERROR(__xludf.DUMMYFUNCTION("""COMPUTED_VALUE"""),"BLUE")</f>
        <v>BLUE</v>
      </c>
      <c r="G3665" s="20" t="str">
        <f>IFERROR(__xludf.DUMMYFUNCTION("""COMPUTED_VALUE"""),"Uncle Sams Cider (04/04/2023)")</f>
        <v>Uncle Sams Cider (04/04/2023)</v>
      </c>
      <c r="H3665" s="19"/>
    </row>
    <row r="3666">
      <c r="A3666" s="9"/>
      <c r="B3666" s="15"/>
      <c r="C3666" s="9">
        <f>IFERROR(__xludf.DUMMYFUNCTION("""COMPUTED_VALUE"""),45106.2135694097)</f>
        <v>45106.21357</v>
      </c>
      <c r="D3666" s="15">
        <f>IFERROR(__xludf.DUMMYFUNCTION("""COMPUTED_VALUE"""),1.0)</f>
        <v>1</v>
      </c>
      <c r="E3666" s="16">
        <f>IFERROR(__xludf.DUMMYFUNCTION("""COMPUTED_VALUE"""),69.0)</f>
        <v>69</v>
      </c>
      <c r="F3666" s="19" t="str">
        <f>IFERROR(__xludf.DUMMYFUNCTION("""COMPUTED_VALUE"""),"BLUE")</f>
        <v>BLUE</v>
      </c>
      <c r="G3666" s="20" t="str">
        <f>IFERROR(__xludf.DUMMYFUNCTION("""COMPUTED_VALUE"""),"Uncle Sams Cider (04/04/2023)")</f>
        <v>Uncle Sams Cider (04/04/2023)</v>
      </c>
      <c r="H3666" s="19"/>
    </row>
    <row r="3667">
      <c r="A3667" s="9"/>
      <c r="B3667" s="15"/>
      <c r="C3667" s="9">
        <f>IFERROR(__xludf.DUMMYFUNCTION("""COMPUTED_VALUE"""),45106.2031487384)</f>
        <v>45106.20315</v>
      </c>
      <c r="D3667" s="15">
        <f>IFERROR(__xludf.DUMMYFUNCTION("""COMPUTED_VALUE"""),1.0)</f>
        <v>1</v>
      </c>
      <c r="E3667" s="16">
        <f>IFERROR(__xludf.DUMMYFUNCTION("""COMPUTED_VALUE"""),69.0)</f>
        <v>69</v>
      </c>
      <c r="F3667" s="19" t="str">
        <f>IFERROR(__xludf.DUMMYFUNCTION("""COMPUTED_VALUE"""),"BLUE")</f>
        <v>BLUE</v>
      </c>
      <c r="G3667" s="20" t="str">
        <f>IFERROR(__xludf.DUMMYFUNCTION("""COMPUTED_VALUE"""),"Uncle Sams Cider (04/04/2023)")</f>
        <v>Uncle Sams Cider (04/04/2023)</v>
      </c>
      <c r="H3667" s="19"/>
    </row>
    <row r="3668">
      <c r="A3668" s="9"/>
      <c r="B3668" s="15"/>
      <c r="C3668" s="9">
        <f>IFERROR(__xludf.DUMMYFUNCTION("""COMPUTED_VALUE"""),45106.1927146296)</f>
        <v>45106.19271</v>
      </c>
      <c r="D3668" s="15">
        <f>IFERROR(__xludf.DUMMYFUNCTION("""COMPUTED_VALUE"""),1.0)</f>
        <v>1</v>
      </c>
      <c r="E3668" s="16">
        <f>IFERROR(__xludf.DUMMYFUNCTION("""COMPUTED_VALUE"""),69.0)</f>
        <v>69</v>
      </c>
      <c r="F3668" s="19" t="str">
        <f>IFERROR(__xludf.DUMMYFUNCTION("""COMPUTED_VALUE"""),"BLUE")</f>
        <v>BLUE</v>
      </c>
      <c r="G3668" s="20" t="str">
        <f>IFERROR(__xludf.DUMMYFUNCTION("""COMPUTED_VALUE"""),"Uncle Sams Cider (04/04/2023)")</f>
        <v>Uncle Sams Cider (04/04/2023)</v>
      </c>
      <c r="H3668" s="19"/>
    </row>
    <row r="3669">
      <c r="A3669" s="9"/>
      <c r="B3669" s="15"/>
      <c r="C3669" s="9">
        <f>IFERROR(__xludf.DUMMYFUNCTION("""COMPUTED_VALUE"""),45106.1822940277)</f>
        <v>45106.18229</v>
      </c>
      <c r="D3669" s="15">
        <f>IFERROR(__xludf.DUMMYFUNCTION("""COMPUTED_VALUE"""),1.0)</f>
        <v>1</v>
      </c>
      <c r="E3669" s="16">
        <f>IFERROR(__xludf.DUMMYFUNCTION("""COMPUTED_VALUE"""),69.0)</f>
        <v>69</v>
      </c>
      <c r="F3669" s="19" t="str">
        <f>IFERROR(__xludf.DUMMYFUNCTION("""COMPUTED_VALUE"""),"BLUE")</f>
        <v>BLUE</v>
      </c>
      <c r="G3669" s="20" t="str">
        <f>IFERROR(__xludf.DUMMYFUNCTION("""COMPUTED_VALUE"""),"Uncle Sams Cider (04/04/2023)")</f>
        <v>Uncle Sams Cider (04/04/2023)</v>
      </c>
      <c r="H3669" s="19"/>
    </row>
    <row r="3670">
      <c r="A3670" s="9"/>
      <c r="B3670" s="15"/>
      <c r="C3670" s="9">
        <f>IFERROR(__xludf.DUMMYFUNCTION("""COMPUTED_VALUE"""),45106.1718729513)</f>
        <v>45106.17187</v>
      </c>
      <c r="D3670" s="15">
        <f>IFERROR(__xludf.DUMMYFUNCTION("""COMPUTED_VALUE"""),1.0)</f>
        <v>1</v>
      </c>
      <c r="E3670" s="16">
        <f>IFERROR(__xludf.DUMMYFUNCTION("""COMPUTED_VALUE"""),69.0)</f>
        <v>69</v>
      </c>
      <c r="F3670" s="19" t="str">
        <f>IFERROR(__xludf.DUMMYFUNCTION("""COMPUTED_VALUE"""),"BLUE")</f>
        <v>BLUE</v>
      </c>
      <c r="G3670" s="20" t="str">
        <f>IFERROR(__xludf.DUMMYFUNCTION("""COMPUTED_VALUE"""),"Uncle Sams Cider (04/04/2023)")</f>
        <v>Uncle Sams Cider (04/04/2023)</v>
      </c>
      <c r="H3670" s="19"/>
    </row>
    <row r="3671">
      <c r="A3671" s="9"/>
      <c r="B3671" s="15"/>
      <c r="C3671" s="9">
        <f>IFERROR(__xludf.DUMMYFUNCTION("""COMPUTED_VALUE"""),45106.1614507638)</f>
        <v>45106.16145</v>
      </c>
      <c r="D3671" s="15">
        <f>IFERROR(__xludf.DUMMYFUNCTION("""COMPUTED_VALUE"""),1.0)</f>
        <v>1</v>
      </c>
      <c r="E3671" s="16">
        <f>IFERROR(__xludf.DUMMYFUNCTION("""COMPUTED_VALUE"""),69.0)</f>
        <v>69</v>
      </c>
      <c r="F3671" s="19" t="str">
        <f>IFERROR(__xludf.DUMMYFUNCTION("""COMPUTED_VALUE"""),"BLUE")</f>
        <v>BLUE</v>
      </c>
      <c r="G3671" s="20" t="str">
        <f>IFERROR(__xludf.DUMMYFUNCTION("""COMPUTED_VALUE"""),"Uncle Sams Cider (04/04/2023)")</f>
        <v>Uncle Sams Cider (04/04/2023)</v>
      </c>
      <c r="H3671" s="19"/>
    </row>
    <row r="3672">
      <c r="A3672" s="9"/>
      <c r="B3672" s="15"/>
      <c r="C3672" s="9">
        <f>IFERROR(__xludf.DUMMYFUNCTION("""COMPUTED_VALUE"""),45106.1510194328)</f>
        <v>45106.15102</v>
      </c>
      <c r="D3672" s="15">
        <f>IFERROR(__xludf.DUMMYFUNCTION("""COMPUTED_VALUE"""),1.0)</f>
        <v>1</v>
      </c>
      <c r="E3672" s="16">
        <f>IFERROR(__xludf.DUMMYFUNCTION("""COMPUTED_VALUE"""),69.0)</f>
        <v>69</v>
      </c>
      <c r="F3672" s="19" t="str">
        <f>IFERROR(__xludf.DUMMYFUNCTION("""COMPUTED_VALUE"""),"BLUE")</f>
        <v>BLUE</v>
      </c>
      <c r="G3672" s="20" t="str">
        <f>IFERROR(__xludf.DUMMYFUNCTION("""COMPUTED_VALUE"""),"Uncle Sams Cider (04/04/2023)")</f>
        <v>Uncle Sams Cider (04/04/2023)</v>
      </c>
      <c r="H3672" s="19"/>
    </row>
    <row r="3673">
      <c r="A3673" s="9"/>
      <c r="B3673" s="15"/>
      <c r="C3673" s="9">
        <f>IFERROR(__xludf.DUMMYFUNCTION("""COMPUTED_VALUE"""),45106.1405968634)</f>
        <v>45106.1406</v>
      </c>
      <c r="D3673" s="15">
        <f>IFERROR(__xludf.DUMMYFUNCTION("""COMPUTED_VALUE"""),1.0)</f>
        <v>1</v>
      </c>
      <c r="E3673" s="16">
        <f>IFERROR(__xludf.DUMMYFUNCTION("""COMPUTED_VALUE"""),69.0)</f>
        <v>69</v>
      </c>
      <c r="F3673" s="19" t="str">
        <f>IFERROR(__xludf.DUMMYFUNCTION("""COMPUTED_VALUE"""),"BLUE")</f>
        <v>BLUE</v>
      </c>
      <c r="G3673" s="20" t="str">
        <f>IFERROR(__xludf.DUMMYFUNCTION("""COMPUTED_VALUE"""),"Uncle Sams Cider (04/04/2023)")</f>
        <v>Uncle Sams Cider (04/04/2023)</v>
      </c>
      <c r="H3673" s="19"/>
    </row>
    <row r="3674">
      <c r="A3674" s="9"/>
      <c r="B3674" s="15"/>
      <c r="C3674" s="9">
        <f>IFERROR(__xludf.DUMMYFUNCTION("""COMPUTED_VALUE"""),45106.1301645833)</f>
        <v>45106.13016</v>
      </c>
      <c r="D3674" s="15">
        <f>IFERROR(__xludf.DUMMYFUNCTION("""COMPUTED_VALUE"""),1.0)</f>
        <v>1</v>
      </c>
      <c r="E3674" s="16">
        <f>IFERROR(__xludf.DUMMYFUNCTION("""COMPUTED_VALUE"""),69.0)</f>
        <v>69</v>
      </c>
      <c r="F3674" s="19" t="str">
        <f>IFERROR(__xludf.DUMMYFUNCTION("""COMPUTED_VALUE"""),"BLUE")</f>
        <v>BLUE</v>
      </c>
      <c r="G3674" s="20" t="str">
        <f>IFERROR(__xludf.DUMMYFUNCTION("""COMPUTED_VALUE"""),"Uncle Sams Cider (04/04/2023)")</f>
        <v>Uncle Sams Cider (04/04/2023)</v>
      </c>
      <c r="H3674" s="19"/>
    </row>
    <row r="3675">
      <c r="A3675" s="9"/>
      <c r="B3675" s="15"/>
      <c r="C3675" s="9">
        <f>IFERROR(__xludf.DUMMYFUNCTION("""COMPUTED_VALUE"""),45106.1197437731)</f>
        <v>45106.11974</v>
      </c>
      <c r="D3675" s="15">
        <f>IFERROR(__xludf.DUMMYFUNCTION("""COMPUTED_VALUE"""),1.0)</f>
        <v>1</v>
      </c>
      <c r="E3675" s="16">
        <f>IFERROR(__xludf.DUMMYFUNCTION("""COMPUTED_VALUE"""),69.0)</f>
        <v>69</v>
      </c>
      <c r="F3675" s="19" t="str">
        <f>IFERROR(__xludf.DUMMYFUNCTION("""COMPUTED_VALUE"""),"BLUE")</f>
        <v>BLUE</v>
      </c>
      <c r="G3675" s="20" t="str">
        <f>IFERROR(__xludf.DUMMYFUNCTION("""COMPUTED_VALUE"""),"Uncle Sams Cider (04/04/2023)")</f>
        <v>Uncle Sams Cider (04/04/2023)</v>
      </c>
      <c r="H3675" s="19"/>
    </row>
    <row r="3676">
      <c r="A3676" s="9"/>
      <c r="B3676" s="15"/>
      <c r="C3676" s="9">
        <f>IFERROR(__xludf.DUMMYFUNCTION("""COMPUTED_VALUE"""),45106.1093115277)</f>
        <v>45106.10931</v>
      </c>
      <c r="D3676" s="15">
        <f>IFERROR(__xludf.DUMMYFUNCTION("""COMPUTED_VALUE"""),1.0)</f>
        <v>1</v>
      </c>
      <c r="E3676" s="16">
        <f>IFERROR(__xludf.DUMMYFUNCTION("""COMPUTED_VALUE"""),69.0)</f>
        <v>69</v>
      </c>
      <c r="F3676" s="19" t="str">
        <f>IFERROR(__xludf.DUMMYFUNCTION("""COMPUTED_VALUE"""),"BLUE")</f>
        <v>BLUE</v>
      </c>
      <c r="G3676" s="20" t="str">
        <f>IFERROR(__xludf.DUMMYFUNCTION("""COMPUTED_VALUE"""),"Uncle Sams Cider (04/04/2023)")</f>
        <v>Uncle Sams Cider (04/04/2023)</v>
      </c>
      <c r="H3676" s="19"/>
    </row>
    <row r="3677">
      <c r="A3677" s="9"/>
      <c r="B3677" s="15"/>
      <c r="C3677" s="9">
        <f>IFERROR(__xludf.DUMMYFUNCTION("""COMPUTED_VALUE"""),45106.098892118)</f>
        <v>45106.09889</v>
      </c>
      <c r="D3677" s="15">
        <f>IFERROR(__xludf.DUMMYFUNCTION("""COMPUTED_VALUE"""),1.0)</f>
        <v>1</v>
      </c>
      <c r="E3677" s="16">
        <f>IFERROR(__xludf.DUMMYFUNCTION("""COMPUTED_VALUE"""),69.0)</f>
        <v>69</v>
      </c>
      <c r="F3677" s="19" t="str">
        <f>IFERROR(__xludf.DUMMYFUNCTION("""COMPUTED_VALUE"""),"BLUE")</f>
        <v>BLUE</v>
      </c>
      <c r="G3677" s="20" t="str">
        <f>IFERROR(__xludf.DUMMYFUNCTION("""COMPUTED_VALUE"""),"Uncle Sams Cider (04/04/2023)")</f>
        <v>Uncle Sams Cider (04/04/2023)</v>
      </c>
      <c r="H3677" s="19"/>
    </row>
    <row r="3678">
      <c r="A3678" s="9"/>
      <c r="B3678" s="15"/>
      <c r="C3678" s="9">
        <f>IFERROR(__xludf.DUMMYFUNCTION("""COMPUTED_VALUE"""),45106.0884716782)</f>
        <v>45106.08847</v>
      </c>
      <c r="D3678" s="15">
        <f>IFERROR(__xludf.DUMMYFUNCTION("""COMPUTED_VALUE"""),1.0)</f>
        <v>1</v>
      </c>
      <c r="E3678" s="16">
        <f>IFERROR(__xludf.DUMMYFUNCTION("""COMPUTED_VALUE"""),69.0)</f>
        <v>69</v>
      </c>
      <c r="F3678" s="19" t="str">
        <f>IFERROR(__xludf.DUMMYFUNCTION("""COMPUTED_VALUE"""),"BLUE")</f>
        <v>BLUE</v>
      </c>
      <c r="G3678" s="20" t="str">
        <f>IFERROR(__xludf.DUMMYFUNCTION("""COMPUTED_VALUE"""),"Uncle Sams Cider (04/04/2023)")</f>
        <v>Uncle Sams Cider (04/04/2023)</v>
      </c>
      <c r="H3678" s="19"/>
    </row>
    <row r="3679">
      <c r="A3679" s="9"/>
      <c r="B3679" s="15"/>
      <c r="C3679" s="9">
        <f>IFERROR(__xludf.DUMMYFUNCTION("""COMPUTED_VALUE"""),45106.0780481944)</f>
        <v>45106.07805</v>
      </c>
      <c r="D3679" s="15">
        <f>IFERROR(__xludf.DUMMYFUNCTION("""COMPUTED_VALUE"""),1.0)</f>
        <v>1</v>
      </c>
      <c r="E3679" s="16">
        <f>IFERROR(__xludf.DUMMYFUNCTION("""COMPUTED_VALUE"""),69.0)</f>
        <v>69</v>
      </c>
      <c r="F3679" s="19" t="str">
        <f>IFERROR(__xludf.DUMMYFUNCTION("""COMPUTED_VALUE"""),"BLUE")</f>
        <v>BLUE</v>
      </c>
      <c r="G3679" s="20" t="str">
        <f>IFERROR(__xludf.DUMMYFUNCTION("""COMPUTED_VALUE"""),"Uncle Sams Cider (04/04/2023)")</f>
        <v>Uncle Sams Cider (04/04/2023)</v>
      </c>
      <c r="H3679" s="19"/>
    </row>
    <row r="3680">
      <c r="A3680" s="9"/>
      <c r="B3680" s="15"/>
      <c r="C3680" s="9">
        <f>IFERROR(__xludf.DUMMYFUNCTION("""COMPUTED_VALUE"""),45106.0676260648)</f>
        <v>45106.06763</v>
      </c>
      <c r="D3680" s="15">
        <f>IFERROR(__xludf.DUMMYFUNCTION("""COMPUTED_VALUE"""),1.0)</f>
        <v>1</v>
      </c>
      <c r="E3680" s="16">
        <f>IFERROR(__xludf.DUMMYFUNCTION("""COMPUTED_VALUE"""),69.0)</f>
        <v>69</v>
      </c>
      <c r="F3680" s="19" t="str">
        <f>IFERROR(__xludf.DUMMYFUNCTION("""COMPUTED_VALUE"""),"BLUE")</f>
        <v>BLUE</v>
      </c>
      <c r="G3680" s="20" t="str">
        <f>IFERROR(__xludf.DUMMYFUNCTION("""COMPUTED_VALUE"""),"Uncle Sams Cider (04/04/2023)")</f>
        <v>Uncle Sams Cider (04/04/2023)</v>
      </c>
      <c r="H3680" s="19"/>
    </row>
    <row r="3681">
      <c r="A3681" s="9"/>
      <c r="B3681" s="15"/>
      <c r="C3681" s="9">
        <f>IFERROR(__xludf.DUMMYFUNCTION("""COMPUTED_VALUE"""),45106.0572063194)</f>
        <v>45106.05721</v>
      </c>
      <c r="D3681" s="15">
        <f>IFERROR(__xludf.DUMMYFUNCTION("""COMPUTED_VALUE"""),1.0)</f>
        <v>1</v>
      </c>
      <c r="E3681" s="16">
        <f>IFERROR(__xludf.DUMMYFUNCTION("""COMPUTED_VALUE"""),69.0)</f>
        <v>69</v>
      </c>
      <c r="F3681" s="19" t="str">
        <f>IFERROR(__xludf.DUMMYFUNCTION("""COMPUTED_VALUE"""),"BLUE")</f>
        <v>BLUE</v>
      </c>
      <c r="G3681" s="20" t="str">
        <f>IFERROR(__xludf.DUMMYFUNCTION("""COMPUTED_VALUE"""),"Uncle Sams Cider (04/04/2023)")</f>
        <v>Uncle Sams Cider (04/04/2023)</v>
      </c>
      <c r="H3681" s="19"/>
    </row>
    <row r="3682">
      <c r="A3682" s="9"/>
      <c r="B3682" s="15"/>
      <c r="C3682" s="9">
        <f>IFERROR(__xludf.DUMMYFUNCTION("""COMPUTED_VALUE"""),45106.0467839236)</f>
        <v>45106.04678</v>
      </c>
      <c r="D3682" s="15">
        <f>IFERROR(__xludf.DUMMYFUNCTION("""COMPUTED_VALUE"""),1.0)</f>
        <v>1</v>
      </c>
      <c r="E3682" s="16">
        <f>IFERROR(__xludf.DUMMYFUNCTION("""COMPUTED_VALUE"""),69.0)</f>
        <v>69</v>
      </c>
      <c r="F3682" s="19" t="str">
        <f>IFERROR(__xludf.DUMMYFUNCTION("""COMPUTED_VALUE"""),"BLUE")</f>
        <v>BLUE</v>
      </c>
      <c r="G3682" s="20" t="str">
        <f>IFERROR(__xludf.DUMMYFUNCTION("""COMPUTED_VALUE"""),"Uncle Sams Cider (04/04/2023)")</f>
        <v>Uncle Sams Cider (04/04/2023)</v>
      </c>
      <c r="H3682" s="19"/>
    </row>
    <row r="3683">
      <c r="A3683" s="9"/>
      <c r="B3683" s="15"/>
      <c r="C3683" s="9">
        <f>IFERROR(__xludf.DUMMYFUNCTION("""COMPUTED_VALUE"""),45106.0259426967)</f>
        <v>45106.02594</v>
      </c>
      <c r="D3683" s="15">
        <f>IFERROR(__xludf.DUMMYFUNCTION("""COMPUTED_VALUE"""),1.0)</f>
        <v>1</v>
      </c>
      <c r="E3683" s="16">
        <f>IFERROR(__xludf.DUMMYFUNCTION("""COMPUTED_VALUE"""),69.0)</f>
        <v>69</v>
      </c>
      <c r="F3683" s="19" t="str">
        <f>IFERROR(__xludf.DUMMYFUNCTION("""COMPUTED_VALUE"""),"BLUE")</f>
        <v>BLUE</v>
      </c>
      <c r="G3683" s="20" t="str">
        <f>IFERROR(__xludf.DUMMYFUNCTION("""COMPUTED_VALUE"""),"Uncle Sams Cider (04/04/2023)")</f>
        <v>Uncle Sams Cider (04/04/2023)</v>
      </c>
      <c r="H3683" s="19"/>
    </row>
    <row r="3684">
      <c r="A3684" s="9"/>
      <c r="B3684" s="15"/>
      <c r="C3684" s="9">
        <f>IFERROR(__xludf.DUMMYFUNCTION("""COMPUTED_VALUE"""),45106.0155213541)</f>
        <v>45106.01552</v>
      </c>
      <c r="D3684" s="15">
        <f>IFERROR(__xludf.DUMMYFUNCTION("""COMPUTED_VALUE"""),1.0)</f>
        <v>1</v>
      </c>
      <c r="E3684" s="16">
        <f>IFERROR(__xludf.DUMMYFUNCTION("""COMPUTED_VALUE"""),69.0)</f>
        <v>69</v>
      </c>
      <c r="F3684" s="19" t="str">
        <f>IFERROR(__xludf.DUMMYFUNCTION("""COMPUTED_VALUE"""),"BLUE")</f>
        <v>BLUE</v>
      </c>
      <c r="G3684" s="20" t="str">
        <f>IFERROR(__xludf.DUMMYFUNCTION("""COMPUTED_VALUE"""),"Uncle Sams Cider (04/04/2023)")</f>
        <v>Uncle Sams Cider (04/04/2023)</v>
      </c>
      <c r="H3684" s="19"/>
    </row>
    <row r="3685">
      <c r="A3685" s="9"/>
      <c r="B3685" s="15"/>
      <c r="C3685" s="9">
        <f>IFERROR(__xludf.DUMMYFUNCTION("""COMPUTED_VALUE"""),45106.0050896759)</f>
        <v>45106.00509</v>
      </c>
      <c r="D3685" s="15">
        <f>IFERROR(__xludf.DUMMYFUNCTION("""COMPUTED_VALUE"""),1.0)</f>
        <v>1</v>
      </c>
      <c r="E3685" s="16">
        <f>IFERROR(__xludf.DUMMYFUNCTION("""COMPUTED_VALUE"""),69.0)</f>
        <v>69</v>
      </c>
      <c r="F3685" s="19" t="str">
        <f>IFERROR(__xludf.DUMMYFUNCTION("""COMPUTED_VALUE"""),"BLUE")</f>
        <v>BLUE</v>
      </c>
      <c r="G3685" s="20" t="str">
        <f>IFERROR(__xludf.DUMMYFUNCTION("""COMPUTED_VALUE"""),"Uncle Sams Cider (04/04/2023)")</f>
        <v>Uncle Sams Cider (04/04/2023)</v>
      </c>
      <c r="H3685" s="19"/>
    </row>
    <row r="3686">
      <c r="A3686" s="9"/>
      <c r="B3686" s="15"/>
      <c r="C3686" s="9">
        <f>IFERROR(__xludf.DUMMYFUNCTION("""COMPUTED_VALUE"""),45105.9946683333)</f>
        <v>45105.99467</v>
      </c>
      <c r="D3686" s="15">
        <f>IFERROR(__xludf.DUMMYFUNCTION("""COMPUTED_VALUE"""),1.0)</f>
        <v>1</v>
      </c>
      <c r="E3686" s="16">
        <f>IFERROR(__xludf.DUMMYFUNCTION("""COMPUTED_VALUE"""),69.0)</f>
        <v>69</v>
      </c>
      <c r="F3686" s="19" t="str">
        <f>IFERROR(__xludf.DUMMYFUNCTION("""COMPUTED_VALUE"""),"BLUE")</f>
        <v>BLUE</v>
      </c>
      <c r="G3686" s="20" t="str">
        <f>IFERROR(__xludf.DUMMYFUNCTION("""COMPUTED_VALUE"""),"Uncle Sams Cider (04/04/2023)")</f>
        <v>Uncle Sams Cider (04/04/2023)</v>
      </c>
      <c r="H3686" s="19"/>
    </row>
    <row r="3687">
      <c r="A3687" s="9"/>
      <c r="B3687" s="15"/>
      <c r="C3687" s="9">
        <f>IFERROR(__xludf.DUMMYFUNCTION("""COMPUTED_VALUE"""),45105.9842477546)</f>
        <v>45105.98425</v>
      </c>
      <c r="D3687" s="15">
        <f>IFERROR(__xludf.DUMMYFUNCTION("""COMPUTED_VALUE"""),1.0)</f>
        <v>1</v>
      </c>
      <c r="E3687" s="16">
        <f>IFERROR(__xludf.DUMMYFUNCTION("""COMPUTED_VALUE"""),69.0)</f>
        <v>69</v>
      </c>
      <c r="F3687" s="19" t="str">
        <f>IFERROR(__xludf.DUMMYFUNCTION("""COMPUTED_VALUE"""),"BLUE")</f>
        <v>BLUE</v>
      </c>
      <c r="G3687" s="20" t="str">
        <f>IFERROR(__xludf.DUMMYFUNCTION("""COMPUTED_VALUE"""),"Uncle Sams Cider (04/04/2023)")</f>
        <v>Uncle Sams Cider (04/04/2023)</v>
      </c>
      <c r="H3687" s="19"/>
    </row>
    <row r="3688">
      <c r="A3688" s="9"/>
      <c r="B3688" s="15"/>
      <c r="C3688" s="9">
        <f>IFERROR(__xludf.DUMMYFUNCTION("""COMPUTED_VALUE"""),45105.9738160995)</f>
        <v>45105.97382</v>
      </c>
      <c r="D3688" s="15">
        <f>IFERROR(__xludf.DUMMYFUNCTION("""COMPUTED_VALUE"""),1.0)</f>
        <v>1</v>
      </c>
      <c r="E3688" s="16">
        <f>IFERROR(__xludf.DUMMYFUNCTION("""COMPUTED_VALUE"""),69.0)</f>
        <v>69</v>
      </c>
      <c r="F3688" s="19" t="str">
        <f>IFERROR(__xludf.DUMMYFUNCTION("""COMPUTED_VALUE"""),"BLUE")</f>
        <v>BLUE</v>
      </c>
      <c r="G3688" s="20" t="str">
        <f>IFERROR(__xludf.DUMMYFUNCTION("""COMPUTED_VALUE"""),"Uncle Sams Cider (04/04/2023)")</f>
        <v>Uncle Sams Cider (04/04/2023)</v>
      </c>
      <c r="H3688" s="19"/>
    </row>
    <row r="3689">
      <c r="A3689" s="9"/>
      <c r="B3689" s="15"/>
      <c r="C3689" s="9">
        <f>IFERROR(__xludf.DUMMYFUNCTION("""COMPUTED_VALUE"""),45105.9633954629)</f>
        <v>45105.9634</v>
      </c>
      <c r="D3689" s="15">
        <f>IFERROR(__xludf.DUMMYFUNCTION("""COMPUTED_VALUE"""),1.0)</f>
        <v>1</v>
      </c>
      <c r="E3689" s="16">
        <f>IFERROR(__xludf.DUMMYFUNCTION("""COMPUTED_VALUE"""),69.0)</f>
        <v>69</v>
      </c>
      <c r="F3689" s="19" t="str">
        <f>IFERROR(__xludf.DUMMYFUNCTION("""COMPUTED_VALUE"""),"BLUE")</f>
        <v>BLUE</v>
      </c>
      <c r="G3689" s="20" t="str">
        <f>IFERROR(__xludf.DUMMYFUNCTION("""COMPUTED_VALUE"""),"Uncle Sams Cider (04/04/2023)")</f>
        <v>Uncle Sams Cider (04/04/2023)</v>
      </c>
      <c r="H3689" s="19"/>
    </row>
    <row r="3690">
      <c r="A3690" s="9"/>
      <c r="B3690" s="15"/>
      <c r="C3690" s="9">
        <f>IFERROR(__xludf.DUMMYFUNCTION("""COMPUTED_VALUE"""),45105.9529740162)</f>
        <v>45105.95297</v>
      </c>
      <c r="D3690" s="15">
        <f>IFERROR(__xludf.DUMMYFUNCTION("""COMPUTED_VALUE"""),1.0)</f>
        <v>1</v>
      </c>
      <c r="E3690" s="16">
        <f>IFERROR(__xludf.DUMMYFUNCTION("""COMPUTED_VALUE"""),69.0)</f>
        <v>69</v>
      </c>
      <c r="F3690" s="19" t="str">
        <f>IFERROR(__xludf.DUMMYFUNCTION("""COMPUTED_VALUE"""),"BLUE")</f>
        <v>BLUE</v>
      </c>
      <c r="G3690" s="20" t="str">
        <f>IFERROR(__xludf.DUMMYFUNCTION("""COMPUTED_VALUE"""),"Uncle Sams Cider (04/04/2023)")</f>
        <v>Uncle Sams Cider (04/04/2023)</v>
      </c>
      <c r="H3690" s="19"/>
    </row>
    <row r="3691">
      <c r="A3691" s="9"/>
      <c r="B3691" s="15"/>
      <c r="C3691" s="9">
        <f>IFERROR(__xludf.DUMMYFUNCTION("""COMPUTED_VALUE"""),45105.9425535532)</f>
        <v>45105.94255</v>
      </c>
      <c r="D3691" s="15">
        <f>IFERROR(__xludf.DUMMYFUNCTION("""COMPUTED_VALUE"""),1.0)</f>
        <v>1</v>
      </c>
      <c r="E3691" s="16">
        <f>IFERROR(__xludf.DUMMYFUNCTION("""COMPUTED_VALUE"""),69.0)</f>
        <v>69</v>
      </c>
      <c r="F3691" s="19" t="str">
        <f>IFERROR(__xludf.DUMMYFUNCTION("""COMPUTED_VALUE"""),"BLUE")</f>
        <v>BLUE</v>
      </c>
      <c r="G3691" s="20" t="str">
        <f>IFERROR(__xludf.DUMMYFUNCTION("""COMPUTED_VALUE"""),"Uncle Sams Cider (04/04/2023)")</f>
        <v>Uncle Sams Cider (04/04/2023)</v>
      </c>
      <c r="H3691" s="19"/>
    </row>
    <row r="3692">
      <c r="A3692" s="9"/>
      <c r="B3692" s="15"/>
      <c r="C3692" s="9">
        <f>IFERROR(__xludf.DUMMYFUNCTION("""COMPUTED_VALUE"""),45105.932133449)</f>
        <v>45105.93213</v>
      </c>
      <c r="D3692" s="15">
        <f>IFERROR(__xludf.DUMMYFUNCTION("""COMPUTED_VALUE"""),1.0)</f>
        <v>1</v>
      </c>
      <c r="E3692" s="16">
        <f>IFERROR(__xludf.DUMMYFUNCTION("""COMPUTED_VALUE"""),69.0)</f>
        <v>69</v>
      </c>
      <c r="F3692" s="19" t="str">
        <f>IFERROR(__xludf.DUMMYFUNCTION("""COMPUTED_VALUE"""),"BLUE")</f>
        <v>BLUE</v>
      </c>
      <c r="G3692" s="20" t="str">
        <f>IFERROR(__xludf.DUMMYFUNCTION("""COMPUTED_VALUE"""),"Uncle Sams Cider (04/04/2023)")</f>
        <v>Uncle Sams Cider (04/04/2023)</v>
      </c>
      <c r="H3692" s="19"/>
    </row>
    <row r="3693">
      <c r="A3693" s="9"/>
      <c r="B3693" s="15"/>
      <c r="C3693" s="9">
        <f>IFERROR(__xludf.DUMMYFUNCTION("""COMPUTED_VALUE"""),45105.9217120254)</f>
        <v>45105.92171</v>
      </c>
      <c r="D3693" s="15">
        <f>IFERROR(__xludf.DUMMYFUNCTION("""COMPUTED_VALUE"""),1.0)</f>
        <v>1</v>
      </c>
      <c r="E3693" s="16">
        <f>IFERROR(__xludf.DUMMYFUNCTION("""COMPUTED_VALUE"""),69.0)</f>
        <v>69</v>
      </c>
      <c r="F3693" s="19" t="str">
        <f>IFERROR(__xludf.DUMMYFUNCTION("""COMPUTED_VALUE"""),"BLUE")</f>
        <v>BLUE</v>
      </c>
      <c r="G3693" s="20" t="str">
        <f>IFERROR(__xludf.DUMMYFUNCTION("""COMPUTED_VALUE"""),"Uncle Sams Cider (04/04/2023)")</f>
        <v>Uncle Sams Cider (04/04/2023)</v>
      </c>
      <c r="H3693" s="19"/>
    </row>
    <row r="3694">
      <c r="A3694" s="9"/>
      <c r="B3694" s="15"/>
      <c r="C3694" s="9">
        <f>IFERROR(__xludf.DUMMYFUNCTION("""COMPUTED_VALUE"""),45105.9112931712)</f>
        <v>45105.91129</v>
      </c>
      <c r="D3694" s="15">
        <f>IFERROR(__xludf.DUMMYFUNCTION("""COMPUTED_VALUE"""),1.0)</f>
        <v>1</v>
      </c>
      <c r="E3694" s="16">
        <f>IFERROR(__xludf.DUMMYFUNCTION("""COMPUTED_VALUE"""),69.0)</f>
        <v>69</v>
      </c>
      <c r="F3694" s="19" t="str">
        <f>IFERROR(__xludf.DUMMYFUNCTION("""COMPUTED_VALUE"""),"BLUE")</f>
        <v>BLUE</v>
      </c>
      <c r="G3694" s="20" t="str">
        <f>IFERROR(__xludf.DUMMYFUNCTION("""COMPUTED_VALUE"""),"Uncle Sams Cider (04/04/2023)")</f>
        <v>Uncle Sams Cider (04/04/2023)</v>
      </c>
      <c r="H3694" s="19"/>
    </row>
    <row r="3695">
      <c r="A3695" s="9"/>
      <c r="B3695" s="15"/>
      <c r="C3695" s="9">
        <f>IFERROR(__xludf.DUMMYFUNCTION("""COMPUTED_VALUE"""),45105.9008730902)</f>
        <v>45105.90087</v>
      </c>
      <c r="D3695" s="15">
        <f>IFERROR(__xludf.DUMMYFUNCTION("""COMPUTED_VALUE"""),1.0)</f>
        <v>1</v>
      </c>
      <c r="E3695" s="16">
        <f>IFERROR(__xludf.DUMMYFUNCTION("""COMPUTED_VALUE"""),69.0)</f>
        <v>69</v>
      </c>
      <c r="F3695" s="19" t="str">
        <f>IFERROR(__xludf.DUMMYFUNCTION("""COMPUTED_VALUE"""),"BLUE")</f>
        <v>BLUE</v>
      </c>
      <c r="G3695" s="20" t="str">
        <f>IFERROR(__xludf.DUMMYFUNCTION("""COMPUTED_VALUE"""),"Uncle Sams Cider (04/04/2023)")</f>
        <v>Uncle Sams Cider (04/04/2023)</v>
      </c>
      <c r="H3695" s="19"/>
    </row>
    <row r="3696">
      <c r="A3696" s="9"/>
      <c r="B3696" s="15"/>
      <c r="C3696" s="9">
        <f>IFERROR(__xludf.DUMMYFUNCTION("""COMPUTED_VALUE"""),45105.8904517013)</f>
        <v>45105.89045</v>
      </c>
      <c r="D3696" s="15">
        <f>IFERROR(__xludf.DUMMYFUNCTION("""COMPUTED_VALUE"""),1.0)</f>
        <v>1</v>
      </c>
      <c r="E3696" s="16">
        <f>IFERROR(__xludf.DUMMYFUNCTION("""COMPUTED_VALUE"""),69.0)</f>
        <v>69</v>
      </c>
      <c r="F3696" s="19" t="str">
        <f>IFERROR(__xludf.DUMMYFUNCTION("""COMPUTED_VALUE"""),"BLUE")</f>
        <v>BLUE</v>
      </c>
      <c r="G3696" s="20" t="str">
        <f>IFERROR(__xludf.DUMMYFUNCTION("""COMPUTED_VALUE"""),"Uncle Sams Cider (04/04/2023)")</f>
        <v>Uncle Sams Cider (04/04/2023)</v>
      </c>
      <c r="H3696" s="19"/>
    </row>
    <row r="3697">
      <c r="A3697" s="9"/>
      <c r="B3697" s="15"/>
      <c r="C3697" s="9">
        <f>IFERROR(__xludf.DUMMYFUNCTION("""COMPUTED_VALUE"""),45105.8800304398)</f>
        <v>45105.88003</v>
      </c>
      <c r="D3697" s="15">
        <f>IFERROR(__xludf.DUMMYFUNCTION("""COMPUTED_VALUE"""),1.0)</f>
        <v>1</v>
      </c>
      <c r="E3697" s="16">
        <f>IFERROR(__xludf.DUMMYFUNCTION("""COMPUTED_VALUE"""),69.0)</f>
        <v>69</v>
      </c>
      <c r="F3697" s="19" t="str">
        <f>IFERROR(__xludf.DUMMYFUNCTION("""COMPUTED_VALUE"""),"BLUE")</f>
        <v>BLUE</v>
      </c>
      <c r="G3697" s="20" t="str">
        <f>IFERROR(__xludf.DUMMYFUNCTION("""COMPUTED_VALUE"""),"Uncle Sams Cider (04/04/2023)")</f>
        <v>Uncle Sams Cider (04/04/2023)</v>
      </c>
      <c r="H3697" s="19"/>
    </row>
    <row r="3698">
      <c r="A3698" s="9"/>
      <c r="B3698" s="15"/>
      <c r="C3698" s="9">
        <f>IFERROR(__xludf.DUMMYFUNCTION("""COMPUTED_VALUE"""),45105.8696103009)</f>
        <v>45105.86961</v>
      </c>
      <c r="D3698" s="15">
        <f>IFERROR(__xludf.DUMMYFUNCTION("""COMPUTED_VALUE"""),1.0)</f>
        <v>1</v>
      </c>
      <c r="E3698" s="16">
        <f>IFERROR(__xludf.DUMMYFUNCTION("""COMPUTED_VALUE"""),69.0)</f>
        <v>69</v>
      </c>
      <c r="F3698" s="19" t="str">
        <f>IFERROR(__xludf.DUMMYFUNCTION("""COMPUTED_VALUE"""),"BLUE")</f>
        <v>BLUE</v>
      </c>
      <c r="G3698" s="20" t="str">
        <f>IFERROR(__xludf.DUMMYFUNCTION("""COMPUTED_VALUE"""),"Uncle Sams Cider (04/04/2023)")</f>
        <v>Uncle Sams Cider (04/04/2023)</v>
      </c>
      <c r="H3698" s="19"/>
    </row>
    <row r="3699">
      <c r="A3699" s="9"/>
      <c r="B3699" s="15"/>
      <c r="C3699" s="9">
        <f>IFERROR(__xludf.DUMMYFUNCTION("""COMPUTED_VALUE"""),45105.8591904629)</f>
        <v>45105.85919</v>
      </c>
      <c r="D3699" s="15">
        <f>IFERROR(__xludf.DUMMYFUNCTION("""COMPUTED_VALUE"""),1.0)</f>
        <v>1</v>
      </c>
      <c r="E3699" s="16">
        <f>IFERROR(__xludf.DUMMYFUNCTION("""COMPUTED_VALUE"""),69.0)</f>
        <v>69</v>
      </c>
      <c r="F3699" s="19" t="str">
        <f>IFERROR(__xludf.DUMMYFUNCTION("""COMPUTED_VALUE"""),"BLUE")</f>
        <v>BLUE</v>
      </c>
      <c r="G3699" s="20" t="str">
        <f>IFERROR(__xludf.DUMMYFUNCTION("""COMPUTED_VALUE"""),"Uncle Sams Cider (04/04/2023)")</f>
        <v>Uncle Sams Cider (04/04/2023)</v>
      </c>
      <c r="H3699" s="19"/>
    </row>
    <row r="3700">
      <c r="A3700" s="9"/>
      <c r="B3700" s="15"/>
      <c r="C3700" s="9">
        <f>IFERROR(__xludf.DUMMYFUNCTION("""COMPUTED_VALUE"""),45105.8487688657)</f>
        <v>45105.84877</v>
      </c>
      <c r="D3700" s="15">
        <f>IFERROR(__xludf.DUMMYFUNCTION("""COMPUTED_VALUE"""),1.0)</f>
        <v>1</v>
      </c>
      <c r="E3700" s="16">
        <f>IFERROR(__xludf.DUMMYFUNCTION("""COMPUTED_VALUE"""),69.0)</f>
        <v>69</v>
      </c>
      <c r="F3700" s="19" t="str">
        <f>IFERROR(__xludf.DUMMYFUNCTION("""COMPUTED_VALUE"""),"BLUE")</f>
        <v>BLUE</v>
      </c>
      <c r="G3700" s="20" t="str">
        <f>IFERROR(__xludf.DUMMYFUNCTION("""COMPUTED_VALUE"""),"Uncle Sams Cider (04/04/2023)")</f>
        <v>Uncle Sams Cider (04/04/2023)</v>
      </c>
      <c r="H3700" s="19"/>
    </row>
    <row r="3701">
      <c r="A3701" s="9"/>
      <c r="B3701" s="15"/>
      <c r="C3701" s="9">
        <f>IFERROR(__xludf.DUMMYFUNCTION("""COMPUTED_VALUE"""),45105.8383475578)</f>
        <v>45105.83835</v>
      </c>
      <c r="D3701" s="15">
        <f>IFERROR(__xludf.DUMMYFUNCTION("""COMPUTED_VALUE"""),1.0)</f>
        <v>1</v>
      </c>
      <c r="E3701" s="16">
        <f>IFERROR(__xludf.DUMMYFUNCTION("""COMPUTED_VALUE"""),69.0)</f>
        <v>69</v>
      </c>
      <c r="F3701" s="19" t="str">
        <f>IFERROR(__xludf.DUMMYFUNCTION("""COMPUTED_VALUE"""),"BLUE")</f>
        <v>BLUE</v>
      </c>
      <c r="G3701" s="20" t="str">
        <f>IFERROR(__xludf.DUMMYFUNCTION("""COMPUTED_VALUE"""),"Uncle Sams Cider (04/04/2023)")</f>
        <v>Uncle Sams Cider (04/04/2023)</v>
      </c>
      <c r="H3701" s="19"/>
    </row>
    <row r="3702">
      <c r="A3702" s="9"/>
      <c r="B3702" s="15"/>
      <c r="C3702" s="9">
        <f>IFERROR(__xludf.DUMMYFUNCTION("""COMPUTED_VALUE"""),45105.8279260995)</f>
        <v>45105.82793</v>
      </c>
      <c r="D3702" s="15">
        <f>IFERROR(__xludf.DUMMYFUNCTION("""COMPUTED_VALUE"""),1.0)</f>
        <v>1</v>
      </c>
      <c r="E3702" s="16">
        <f>IFERROR(__xludf.DUMMYFUNCTION("""COMPUTED_VALUE"""),69.0)</f>
        <v>69</v>
      </c>
      <c r="F3702" s="19" t="str">
        <f>IFERROR(__xludf.DUMMYFUNCTION("""COMPUTED_VALUE"""),"BLUE")</f>
        <v>BLUE</v>
      </c>
      <c r="G3702" s="20" t="str">
        <f>IFERROR(__xludf.DUMMYFUNCTION("""COMPUTED_VALUE"""),"Uncle Sams Cider (04/04/2023)")</f>
        <v>Uncle Sams Cider (04/04/2023)</v>
      </c>
      <c r="H3702" s="19"/>
    </row>
    <row r="3703">
      <c r="A3703" s="9"/>
      <c r="B3703" s="15"/>
      <c r="C3703" s="9">
        <f>IFERROR(__xludf.DUMMYFUNCTION("""COMPUTED_VALUE"""),45105.8174939004)</f>
        <v>45105.81749</v>
      </c>
      <c r="D3703" s="15">
        <f>IFERROR(__xludf.DUMMYFUNCTION("""COMPUTED_VALUE"""),1.0)</f>
        <v>1</v>
      </c>
      <c r="E3703" s="16">
        <f>IFERROR(__xludf.DUMMYFUNCTION("""COMPUTED_VALUE"""),69.0)</f>
        <v>69</v>
      </c>
      <c r="F3703" s="19" t="str">
        <f>IFERROR(__xludf.DUMMYFUNCTION("""COMPUTED_VALUE"""),"BLUE")</f>
        <v>BLUE</v>
      </c>
      <c r="G3703" s="20" t="str">
        <f>IFERROR(__xludf.DUMMYFUNCTION("""COMPUTED_VALUE"""),"Uncle Sams Cider (04/04/2023)")</f>
        <v>Uncle Sams Cider (04/04/2023)</v>
      </c>
      <c r="H3703" s="19"/>
    </row>
    <row r="3704">
      <c r="A3704" s="9"/>
      <c r="B3704" s="15"/>
      <c r="C3704" s="9">
        <f>IFERROR(__xludf.DUMMYFUNCTION("""COMPUTED_VALUE"""),45105.8070615046)</f>
        <v>45105.80706</v>
      </c>
      <c r="D3704" s="15">
        <f>IFERROR(__xludf.DUMMYFUNCTION("""COMPUTED_VALUE"""),1.0)</f>
        <v>1</v>
      </c>
      <c r="E3704" s="16">
        <f>IFERROR(__xludf.DUMMYFUNCTION("""COMPUTED_VALUE"""),69.0)</f>
        <v>69</v>
      </c>
      <c r="F3704" s="19" t="str">
        <f>IFERROR(__xludf.DUMMYFUNCTION("""COMPUTED_VALUE"""),"BLUE")</f>
        <v>BLUE</v>
      </c>
      <c r="G3704" s="20" t="str">
        <f>IFERROR(__xludf.DUMMYFUNCTION("""COMPUTED_VALUE"""),"Uncle Sams Cider (04/04/2023)")</f>
        <v>Uncle Sams Cider (04/04/2023)</v>
      </c>
      <c r="H3704" s="19"/>
    </row>
    <row r="3705">
      <c r="A3705" s="9"/>
      <c r="B3705" s="15"/>
      <c r="C3705" s="9">
        <f>IFERROR(__xludf.DUMMYFUNCTION("""COMPUTED_VALUE"""),45105.7966301041)</f>
        <v>45105.79663</v>
      </c>
      <c r="D3705" s="15">
        <f>IFERROR(__xludf.DUMMYFUNCTION("""COMPUTED_VALUE"""),1.0)</f>
        <v>1</v>
      </c>
      <c r="E3705" s="16">
        <f>IFERROR(__xludf.DUMMYFUNCTION("""COMPUTED_VALUE"""),69.0)</f>
        <v>69</v>
      </c>
      <c r="F3705" s="19" t="str">
        <f>IFERROR(__xludf.DUMMYFUNCTION("""COMPUTED_VALUE"""),"BLUE")</f>
        <v>BLUE</v>
      </c>
      <c r="G3705" s="20" t="str">
        <f>IFERROR(__xludf.DUMMYFUNCTION("""COMPUTED_VALUE"""),"Uncle Sams Cider (04/04/2023)")</f>
        <v>Uncle Sams Cider (04/04/2023)</v>
      </c>
      <c r="H3705" s="19"/>
    </row>
    <row r="3706">
      <c r="A3706" s="9"/>
      <c r="B3706" s="15"/>
      <c r="C3706" s="9">
        <f>IFERROR(__xludf.DUMMYFUNCTION("""COMPUTED_VALUE"""),45105.7862076967)</f>
        <v>45105.78621</v>
      </c>
      <c r="D3706" s="15">
        <f>IFERROR(__xludf.DUMMYFUNCTION("""COMPUTED_VALUE"""),1.0)</f>
        <v>1</v>
      </c>
      <c r="E3706" s="16">
        <f>IFERROR(__xludf.DUMMYFUNCTION("""COMPUTED_VALUE"""),69.0)</f>
        <v>69</v>
      </c>
      <c r="F3706" s="19" t="str">
        <f>IFERROR(__xludf.DUMMYFUNCTION("""COMPUTED_VALUE"""),"BLUE")</f>
        <v>BLUE</v>
      </c>
      <c r="G3706" s="20" t="str">
        <f>IFERROR(__xludf.DUMMYFUNCTION("""COMPUTED_VALUE"""),"Uncle Sams Cider (04/04/2023)")</f>
        <v>Uncle Sams Cider (04/04/2023)</v>
      </c>
      <c r="H3706" s="19"/>
    </row>
    <row r="3707">
      <c r="A3707" s="9"/>
      <c r="B3707" s="15"/>
      <c r="C3707" s="9">
        <f>IFERROR(__xludf.DUMMYFUNCTION("""COMPUTED_VALUE"""),45105.7757764583)</f>
        <v>45105.77578</v>
      </c>
      <c r="D3707" s="15">
        <f>IFERROR(__xludf.DUMMYFUNCTION("""COMPUTED_VALUE"""),1.0)</f>
        <v>1</v>
      </c>
      <c r="E3707" s="16">
        <f>IFERROR(__xludf.DUMMYFUNCTION("""COMPUTED_VALUE"""),69.0)</f>
        <v>69</v>
      </c>
      <c r="F3707" s="19" t="str">
        <f>IFERROR(__xludf.DUMMYFUNCTION("""COMPUTED_VALUE"""),"BLUE")</f>
        <v>BLUE</v>
      </c>
      <c r="G3707" s="20" t="str">
        <f>IFERROR(__xludf.DUMMYFUNCTION("""COMPUTED_VALUE"""),"Uncle Sams Cider (04/04/2023)")</f>
        <v>Uncle Sams Cider (04/04/2023)</v>
      </c>
      <c r="H3707" s="19"/>
    </row>
    <row r="3708">
      <c r="A3708" s="9"/>
      <c r="B3708" s="15"/>
      <c r="C3708" s="9">
        <f>IFERROR(__xludf.DUMMYFUNCTION("""COMPUTED_VALUE"""),45105.7653560995)</f>
        <v>45105.76536</v>
      </c>
      <c r="D3708" s="15">
        <f>IFERROR(__xludf.DUMMYFUNCTION("""COMPUTED_VALUE"""),1.0)</f>
        <v>1</v>
      </c>
      <c r="E3708" s="16">
        <f>IFERROR(__xludf.DUMMYFUNCTION("""COMPUTED_VALUE"""),69.0)</f>
        <v>69</v>
      </c>
      <c r="F3708" s="19" t="str">
        <f>IFERROR(__xludf.DUMMYFUNCTION("""COMPUTED_VALUE"""),"BLUE")</f>
        <v>BLUE</v>
      </c>
      <c r="G3708" s="20" t="str">
        <f>IFERROR(__xludf.DUMMYFUNCTION("""COMPUTED_VALUE"""),"Uncle Sams Cider (04/04/2023)")</f>
        <v>Uncle Sams Cider (04/04/2023)</v>
      </c>
      <c r="H3708" s="19"/>
    </row>
    <row r="3709">
      <c r="A3709" s="9"/>
      <c r="B3709" s="15"/>
      <c r="C3709" s="9">
        <f>IFERROR(__xludf.DUMMYFUNCTION("""COMPUTED_VALUE"""),45105.7549362731)</f>
        <v>45105.75494</v>
      </c>
      <c r="D3709" s="15">
        <f>IFERROR(__xludf.DUMMYFUNCTION("""COMPUTED_VALUE"""),1.0)</f>
        <v>1</v>
      </c>
      <c r="E3709" s="16">
        <f>IFERROR(__xludf.DUMMYFUNCTION("""COMPUTED_VALUE"""),69.0)</f>
        <v>69</v>
      </c>
      <c r="F3709" s="19" t="str">
        <f>IFERROR(__xludf.DUMMYFUNCTION("""COMPUTED_VALUE"""),"BLUE")</f>
        <v>BLUE</v>
      </c>
      <c r="G3709" s="20" t="str">
        <f>IFERROR(__xludf.DUMMYFUNCTION("""COMPUTED_VALUE"""),"Uncle Sams Cider (04/04/2023)")</f>
        <v>Uncle Sams Cider (04/04/2023)</v>
      </c>
      <c r="H3709" s="19"/>
    </row>
    <row r="3710">
      <c r="A3710" s="9"/>
      <c r="B3710" s="15"/>
      <c r="C3710" s="9">
        <f>IFERROR(__xludf.DUMMYFUNCTION("""COMPUTED_VALUE"""),45105.7445157176)</f>
        <v>45105.74452</v>
      </c>
      <c r="D3710" s="15">
        <f>IFERROR(__xludf.DUMMYFUNCTION("""COMPUTED_VALUE"""),1.0)</f>
        <v>1</v>
      </c>
      <c r="E3710" s="16">
        <f>IFERROR(__xludf.DUMMYFUNCTION("""COMPUTED_VALUE"""),69.0)</f>
        <v>69</v>
      </c>
      <c r="F3710" s="19" t="str">
        <f>IFERROR(__xludf.DUMMYFUNCTION("""COMPUTED_VALUE"""),"BLUE")</f>
        <v>BLUE</v>
      </c>
      <c r="G3710" s="20" t="str">
        <f>IFERROR(__xludf.DUMMYFUNCTION("""COMPUTED_VALUE"""),"Uncle Sams Cider (04/04/2023)")</f>
        <v>Uncle Sams Cider (04/04/2023)</v>
      </c>
      <c r="H3710" s="19"/>
    </row>
    <row r="3711">
      <c r="A3711" s="9"/>
      <c r="B3711" s="15"/>
      <c r="C3711" s="9">
        <f>IFERROR(__xludf.DUMMYFUNCTION("""COMPUTED_VALUE"""),45105.7340959606)</f>
        <v>45105.7341</v>
      </c>
      <c r="D3711" s="15">
        <f>IFERROR(__xludf.DUMMYFUNCTION("""COMPUTED_VALUE"""),1.0)</f>
        <v>1</v>
      </c>
      <c r="E3711" s="16">
        <f>IFERROR(__xludf.DUMMYFUNCTION("""COMPUTED_VALUE"""),69.0)</f>
        <v>69</v>
      </c>
      <c r="F3711" s="19" t="str">
        <f>IFERROR(__xludf.DUMMYFUNCTION("""COMPUTED_VALUE"""),"BLUE")</f>
        <v>BLUE</v>
      </c>
      <c r="G3711" s="20" t="str">
        <f>IFERROR(__xludf.DUMMYFUNCTION("""COMPUTED_VALUE"""),"Uncle Sams Cider (04/04/2023)")</f>
        <v>Uncle Sams Cider (04/04/2023)</v>
      </c>
      <c r="H3711" s="19"/>
    </row>
    <row r="3712">
      <c r="A3712" s="9"/>
      <c r="B3712" s="15"/>
      <c r="C3712" s="9">
        <f>IFERROR(__xludf.DUMMYFUNCTION("""COMPUTED_VALUE"""),45105.7236752777)</f>
        <v>45105.72368</v>
      </c>
      <c r="D3712" s="15">
        <f>IFERROR(__xludf.DUMMYFUNCTION("""COMPUTED_VALUE"""),1.0)</f>
        <v>1</v>
      </c>
      <c r="E3712" s="16">
        <f>IFERROR(__xludf.DUMMYFUNCTION("""COMPUTED_VALUE"""),69.0)</f>
        <v>69</v>
      </c>
      <c r="F3712" s="19" t="str">
        <f>IFERROR(__xludf.DUMMYFUNCTION("""COMPUTED_VALUE"""),"BLUE")</f>
        <v>BLUE</v>
      </c>
      <c r="G3712" s="20" t="str">
        <f>IFERROR(__xludf.DUMMYFUNCTION("""COMPUTED_VALUE"""),"Uncle Sams Cider (04/04/2023)")</f>
        <v>Uncle Sams Cider (04/04/2023)</v>
      </c>
      <c r="H3712" s="19"/>
    </row>
    <row r="3713">
      <c r="A3713" s="9"/>
      <c r="B3713" s="15"/>
      <c r="C3713" s="9">
        <f>IFERROR(__xludf.DUMMYFUNCTION("""COMPUTED_VALUE"""),45105.7132542824)</f>
        <v>45105.71325</v>
      </c>
      <c r="D3713" s="15">
        <f>IFERROR(__xludf.DUMMYFUNCTION("""COMPUTED_VALUE"""),1.0)</f>
        <v>1</v>
      </c>
      <c r="E3713" s="16">
        <f>IFERROR(__xludf.DUMMYFUNCTION("""COMPUTED_VALUE"""),69.0)</f>
        <v>69</v>
      </c>
      <c r="F3713" s="19" t="str">
        <f>IFERROR(__xludf.DUMMYFUNCTION("""COMPUTED_VALUE"""),"BLUE")</f>
        <v>BLUE</v>
      </c>
      <c r="G3713" s="20" t="str">
        <f>IFERROR(__xludf.DUMMYFUNCTION("""COMPUTED_VALUE"""),"Uncle Sams Cider (04/04/2023)")</f>
        <v>Uncle Sams Cider (04/04/2023)</v>
      </c>
      <c r="H3713" s="19"/>
    </row>
    <row r="3714">
      <c r="A3714" s="9"/>
      <c r="B3714" s="15"/>
      <c r="C3714" s="9">
        <f>IFERROR(__xludf.DUMMYFUNCTION("""COMPUTED_VALUE"""),45105.7028319444)</f>
        <v>45105.70283</v>
      </c>
      <c r="D3714" s="15">
        <f>IFERROR(__xludf.DUMMYFUNCTION("""COMPUTED_VALUE"""),1.0)</f>
        <v>1</v>
      </c>
      <c r="E3714" s="16">
        <f>IFERROR(__xludf.DUMMYFUNCTION("""COMPUTED_VALUE"""),69.0)</f>
        <v>69</v>
      </c>
      <c r="F3714" s="19" t="str">
        <f>IFERROR(__xludf.DUMMYFUNCTION("""COMPUTED_VALUE"""),"BLUE")</f>
        <v>BLUE</v>
      </c>
      <c r="G3714" s="20" t="str">
        <f>IFERROR(__xludf.DUMMYFUNCTION("""COMPUTED_VALUE"""),"Uncle Sams Cider (04/04/2023)")</f>
        <v>Uncle Sams Cider (04/04/2023)</v>
      </c>
      <c r="H3714" s="19"/>
    </row>
    <row r="3715">
      <c r="A3715" s="9"/>
      <c r="B3715" s="15"/>
      <c r="C3715" s="9">
        <f>IFERROR(__xludf.DUMMYFUNCTION("""COMPUTED_VALUE"""),45105.692410243)</f>
        <v>45105.69241</v>
      </c>
      <c r="D3715" s="15">
        <f>IFERROR(__xludf.DUMMYFUNCTION("""COMPUTED_VALUE"""),1.0)</f>
        <v>1</v>
      </c>
      <c r="E3715" s="16">
        <f>IFERROR(__xludf.DUMMYFUNCTION("""COMPUTED_VALUE"""),69.0)</f>
        <v>69</v>
      </c>
      <c r="F3715" s="19" t="str">
        <f>IFERROR(__xludf.DUMMYFUNCTION("""COMPUTED_VALUE"""),"BLUE")</f>
        <v>BLUE</v>
      </c>
      <c r="G3715" s="20" t="str">
        <f>IFERROR(__xludf.DUMMYFUNCTION("""COMPUTED_VALUE"""),"Uncle Sams Cider (04/04/2023)")</f>
        <v>Uncle Sams Cider (04/04/2023)</v>
      </c>
      <c r="H3715" s="19"/>
    </row>
    <row r="3716">
      <c r="A3716" s="9"/>
      <c r="B3716" s="15"/>
      <c r="C3716" s="9">
        <f>IFERROR(__xludf.DUMMYFUNCTION("""COMPUTED_VALUE"""),45105.6819884606)</f>
        <v>45105.68199</v>
      </c>
      <c r="D3716" s="15">
        <f>IFERROR(__xludf.DUMMYFUNCTION("""COMPUTED_VALUE"""),1.0)</f>
        <v>1</v>
      </c>
      <c r="E3716" s="16">
        <f>IFERROR(__xludf.DUMMYFUNCTION("""COMPUTED_VALUE"""),69.0)</f>
        <v>69</v>
      </c>
      <c r="F3716" s="19" t="str">
        <f>IFERROR(__xludf.DUMMYFUNCTION("""COMPUTED_VALUE"""),"BLUE")</f>
        <v>BLUE</v>
      </c>
      <c r="G3716" s="20" t="str">
        <f>IFERROR(__xludf.DUMMYFUNCTION("""COMPUTED_VALUE"""),"Uncle Sams Cider (04/04/2023)")</f>
        <v>Uncle Sams Cider (04/04/2023)</v>
      </c>
      <c r="H3716" s="19"/>
    </row>
    <row r="3717">
      <c r="A3717" s="9"/>
      <c r="B3717" s="15"/>
      <c r="C3717" s="9">
        <f>IFERROR(__xludf.DUMMYFUNCTION("""COMPUTED_VALUE"""),45105.6715695138)</f>
        <v>45105.67157</v>
      </c>
      <c r="D3717" s="15">
        <f>IFERROR(__xludf.DUMMYFUNCTION("""COMPUTED_VALUE"""),1.0)</f>
        <v>1</v>
      </c>
      <c r="E3717" s="16">
        <f>IFERROR(__xludf.DUMMYFUNCTION("""COMPUTED_VALUE"""),69.0)</f>
        <v>69</v>
      </c>
      <c r="F3717" s="19" t="str">
        <f>IFERROR(__xludf.DUMMYFUNCTION("""COMPUTED_VALUE"""),"BLUE")</f>
        <v>BLUE</v>
      </c>
      <c r="G3717" s="20" t="str">
        <f>IFERROR(__xludf.DUMMYFUNCTION("""COMPUTED_VALUE"""),"Uncle Sams Cider (04/04/2023)")</f>
        <v>Uncle Sams Cider (04/04/2023)</v>
      </c>
      <c r="H3717" s="19"/>
    </row>
    <row r="3718">
      <c r="A3718" s="9"/>
      <c r="B3718" s="15"/>
      <c r="C3718" s="9">
        <f>IFERROR(__xludf.DUMMYFUNCTION("""COMPUTED_VALUE"""),45105.6611485879)</f>
        <v>45105.66115</v>
      </c>
      <c r="D3718" s="15">
        <f>IFERROR(__xludf.DUMMYFUNCTION("""COMPUTED_VALUE"""),1.0)</f>
        <v>1</v>
      </c>
      <c r="E3718" s="16">
        <f>IFERROR(__xludf.DUMMYFUNCTION("""COMPUTED_VALUE"""),69.0)</f>
        <v>69</v>
      </c>
      <c r="F3718" s="19" t="str">
        <f>IFERROR(__xludf.DUMMYFUNCTION("""COMPUTED_VALUE"""),"BLUE")</f>
        <v>BLUE</v>
      </c>
      <c r="G3718" s="20" t="str">
        <f>IFERROR(__xludf.DUMMYFUNCTION("""COMPUTED_VALUE"""),"Uncle Sams Cider (04/04/2023)")</f>
        <v>Uncle Sams Cider (04/04/2023)</v>
      </c>
      <c r="H3718" s="19"/>
    </row>
    <row r="3719">
      <c r="A3719" s="9"/>
      <c r="B3719" s="15"/>
      <c r="C3719" s="9">
        <f>IFERROR(__xludf.DUMMYFUNCTION("""COMPUTED_VALUE"""),45105.6507273148)</f>
        <v>45105.65073</v>
      </c>
      <c r="D3719" s="15">
        <f>IFERROR(__xludf.DUMMYFUNCTION("""COMPUTED_VALUE"""),1.0)</f>
        <v>1</v>
      </c>
      <c r="E3719" s="16">
        <f>IFERROR(__xludf.DUMMYFUNCTION("""COMPUTED_VALUE"""),69.0)</f>
        <v>69</v>
      </c>
      <c r="F3719" s="19" t="str">
        <f>IFERROR(__xludf.DUMMYFUNCTION("""COMPUTED_VALUE"""),"BLUE")</f>
        <v>BLUE</v>
      </c>
      <c r="G3719" s="20" t="str">
        <f>IFERROR(__xludf.DUMMYFUNCTION("""COMPUTED_VALUE"""),"Uncle Sams Cider (04/04/2023)")</f>
        <v>Uncle Sams Cider (04/04/2023)</v>
      </c>
      <c r="H3719" s="19"/>
    </row>
    <row r="3720">
      <c r="A3720" s="9"/>
      <c r="B3720" s="15"/>
      <c r="C3720" s="9">
        <f>IFERROR(__xludf.DUMMYFUNCTION("""COMPUTED_VALUE"""),45105.6403080555)</f>
        <v>45105.64031</v>
      </c>
      <c r="D3720" s="15">
        <f>IFERROR(__xludf.DUMMYFUNCTION("""COMPUTED_VALUE"""),1.0)</f>
        <v>1</v>
      </c>
      <c r="E3720" s="16">
        <f>IFERROR(__xludf.DUMMYFUNCTION("""COMPUTED_VALUE"""),69.0)</f>
        <v>69</v>
      </c>
      <c r="F3720" s="19" t="str">
        <f>IFERROR(__xludf.DUMMYFUNCTION("""COMPUTED_VALUE"""),"BLUE")</f>
        <v>BLUE</v>
      </c>
      <c r="G3720" s="20" t="str">
        <f>IFERROR(__xludf.DUMMYFUNCTION("""COMPUTED_VALUE"""),"Uncle Sams Cider (04/04/2023)")</f>
        <v>Uncle Sams Cider (04/04/2023)</v>
      </c>
      <c r="H3720" s="19"/>
    </row>
    <row r="3721">
      <c r="A3721" s="9"/>
      <c r="B3721" s="15"/>
      <c r="C3721" s="9">
        <f>IFERROR(__xludf.DUMMYFUNCTION("""COMPUTED_VALUE"""),45105.6298848148)</f>
        <v>45105.62988</v>
      </c>
      <c r="D3721" s="15">
        <f>IFERROR(__xludf.DUMMYFUNCTION("""COMPUTED_VALUE"""),1.0)</f>
        <v>1</v>
      </c>
      <c r="E3721" s="16">
        <f>IFERROR(__xludf.DUMMYFUNCTION("""COMPUTED_VALUE"""),69.0)</f>
        <v>69</v>
      </c>
      <c r="F3721" s="19" t="str">
        <f>IFERROR(__xludf.DUMMYFUNCTION("""COMPUTED_VALUE"""),"BLUE")</f>
        <v>BLUE</v>
      </c>
      <c r="G3721" s="20" t="str">
        <f>IFERROR(__xludf.DUMMYFUNCTION("""COMPUTED_VALUE"""),"Uncle Sams Cider (04/04/2023)")</f>
        <v>Uncle Sams Cider (04/04/2023)</v>
      </c>
      <c r="H3721" s="19"/>
    </row>
    <row r="3722">
      <c r="A3722" s="9"/>
      <c r="B3722" s="15"/>
      <c r="C3722" s="9">
        <f>IFERROR(__xludf.DUMMYFUNCTION("""COMPUTED_VALUE"""),45105.6194637615)</f>
        <v>45105.61946</v>
      </c>
      <c r="D3722" s="15">
        <f>IFERROR(__xludf.DUMMYFUNCTION("""COMPUTED_VALUE"""),1.0)</f>
        <v>1</v>
      </c>
      <c r="E3722" s="16">
        <f>IFERROR(__xludf.DUMMYFUNCTION("""COMPUTED_VALUE"""),69.0)</f>
        <v>69</v>
      </c>
      <c r="F3722" s="19" t="str">
        <f>IFERROR(__xludf.DUMMYFUNCTION("""COMPUTED_VALUE"""),"BLUE")</f>
        <v>BLUE</v>
      </c>
      <c r="G3722" s="20" t="str">
        <f>IFERROR(__xludf.DUMMYFUNCTION("""COMPUTED_VALUE"""),"Uncle Sams Cider (04/04/2023)")</f>
        <v>Uncle Sams Cider (04/04/2023)</v>
      </c>
      <c r="H3722" s="19"/>
    </row>
    <row r="3723">
      <c r="A3723" s="9"/>
      <c r="B3723" s="15"/>
      <c r="C3723" s="9">
        <f>IFERROR(__xludf.DUMMYFUNCTION("""COMPUTED_VALUE"""),45105.6090439236)</f>
        <v>45105.60904</v>
      </c>
      <c r="D3723" s="15">
        <f>IFERROR(__xludf.DUMMYFUNCTION("""COMPUTED_VALUE"""),1.0)</f>
        <v>1</v>
      </c>
      <c r="E3723" s="16">
        <f>IFERROR(__xludf.DUMMYFUNCTION("""COMPUTED_VALUE"""),69.0)</f>
        <v>69</v>
      </c>
      <c r="F3723" s="19" t="str">
        <f>IFERROR(__xludf.DUMMYFUNCTION("""COMPUTED_VALUE"""),"BLUE")</f>
        <v>BLUE</v>
      </c>
      <c r="G3723" s="20" t="str">
        <f>IFERROR(__xludf.DUMMYFUNCTION("""COMPUTED_VALUE"""),"Uncle Sams Cider (04/04/2023)")</f>
        <v>Uncle Sams Cider (04/04/2023)</v>
      </c>
      <c r="H3723" s="19"/>
    </row>
    <row r="3724">
      <c r="A3724" s="9"/>
      <c r="B3724" s="15"/>
      <c r="C3724" s="9">
        <f>IFERROR(__xludf.DUMMYFUNCTION("""COMPUTED_VALUE"""),45105.5986237731)</f>
        <v>45105.59862</v>
      </c>
      <c r="D3724" s="15">
        <f>IFERROR(__xludf.DUMMYFUNCTION("""COMPUTED_VALUE"""),1.0)</f>
        <v>1</v>
      </c>
      <c r="E3724" s="16">
        <f>IFERROR(__xludf.DUMMYFUNCTION("""COMPUTED_VALUE"""),69.0)</f>
        <v>69</v>
      </c>
      <c r="F3724" s="19" t="str">
        <f>IFERROR(__xludf.DUMMYFUNCTION("""COMPUTED_VALUE"""),"BLUE")</f>
        <v>BLUE</v>
      </c>
      <c r="G3724" s="20" t="str">
        <f>IFERROR(__xludf.DUMMYFUNCTION("""COMPUTED_VALUE"""),"Uncle Sams Cider (04/04/2023)")</f>
        <v>Uncle Sams Cider (04/04/2023)</v>
      </c>
      <c r="H3724" s="19"/>
    </row>
    <row r="3725">
      <c r="A3725" s="9"/>
      <c r="B3725" s="15"/>
      <c r="C3725" s="9">
        <f>IFERROR(__xludf.DUMMYFUNCTION("""COMPUTED_VALUE"""),45105.5881894791)</f>
        <v>45105.58819</v>
      </c>
      <c r="D3725" s="15">
        <f>IFERROR(__xludf.DUMMYFUNCTION("""COMPUTED_VALUE"""),1.0)</f>
        <v>1</v>
      </c>
      <c r="E3725" s="16">
        <f>IFERROR(__xludf.DUMMYFUNCTION("""COMPUTED_VALUE"""),69.0)</f>
        <v>69</v>
      </c>
      <c r="F3725" s="19" t="str">
        <f>IFERROR(__xludf.DUMMYFUNCTION("""COMPUTED_VALUE"""),"BLUE")</f>
        <v>BLUE</v>
      </c>
      <c r="G3725" s="20" t="str">
        <f>IFERROR(__xludf.DUMMYFUNCTION("""COMPUTED_VALUE"""),"Uncle Sams Cider (04/04/2023)")</f>
        <v>Uncle Sams Cider (04/04/2023)</v>
      </c>
      <c r="H3725" s="19"/>
    </row>
    <row r="3726">
      <c r="A3726" s="9"/>
      <c r="B3726" s="15"/>
      <c r="C3726" s="9">
        <f>IFERROR(__xludf.DUMMYFUNCTION("""COMPUTED_VALUE"""),45105.5777555555)</f>
        <v>45105.57776</v>
      </c>
      <c r="D3726" s="15">
        <f>IFERROR(__xludf.DUMMYFUNCTION("""COMPUTED_VALUE"""),1.0)</f>
        <v>1</v>
      </c>
      <c r="E3726" s="16">
        <f>IFERROR(__xludf.DUMMYFUNCTION("""COMPUTED_VALUE"""),69.0)</f>
        <v>69</v>
      </c>
      <c r="F3726" s="19" t="str">
        <f>IFERROR(__xludf.DUMMYFUNCTION("""COMPUTED_VALUE"""),"BLUE")</f>
        <v>BLUE</v>
      </c>
      <c r="G3726" s="20" t="str">
        <f>IFERROR(__xludf.DUMMYFUNCTION("""COMPUTED_VALUE"""),"Uncle Sams Cider (04/04/2023)")</f>
        <v>Uncle Sams Cider (04/04/2023)</v>
      </c>
      <c r="H3726" s="19"/>
    </row>
    <row r="3727">
      <c r="A3727" s="9"/>
      <c r="B3727" s="15"/>
      <c r="C3727" s="9">
        <f>IFERROR(__xludf.DUMMYFUNCTION("""COMPUTED_VALUE"""),45105.5673338657)</f>
        <v>45105.56733</v>
      </c>
      <c r="D3727" s="15">
        <f>IFERROR(__xludf.DUMMYFUNCTION("""COMPUTED_VALUE"""),1.0)</f>
        <v>1</v>
      </c>
      <c r="E3727" s="16">
        <f>IFERROR(__xludf.DUMMYFUNCTION("""COMPUTED_VALUE"""),69.0)</f>
        <v>69</v>
      </c>
      <c r="F3727" s="19" t="str">
        <f>IFERROR(__xludf.DUMMYFUNCTION("""COMPUTED_VALUE"""),"BLUE")</f>
        <v>BLUE</v>
      </c>
      <c r="G3727" s="20" t="str">
        <f>IFERROR(__xludf.DUMMYFUNCTION("""COMPUTED_VALUE"""),"Uncle Sams Cider (04/04/2023)")</f>
        <v>Uncle Sams Cider (04/04/2023)</v>
      </c>
      <c r="H3727" s="19"/>
    </row>
    <row r="3728">
      <c r="A3728" s="9"/>
      <c r="B3728" s="15"/>
      <c r="C3728" s="9">
        <f>IFERROR(__xludf.DUMMYFUNCTION("""COMPUTED_VALUE"""),45105.556914375)</f>
        <v>45105.55691</v>
      </c>
      <c r="D3728" s="15">
        <f>IFERROR(__xludf.DUMMYFUNCTION("""COMPUTED_VALUE"""),1.0)</f>
        <v>1</v>
      </c>
      <c r="E3728" s="16">
        <f>IFERROR(__xludf.DUMMYFUNCTION("""COMPUTED_VALUE"""),69.0)</f>
        <v>69</v>
      </c>
      <c r="F3728" s="19" t="str">
        <f>IFERROR(__xludf.DUMMYFUNCTION("""COMPUTED_VALUE"""),"BLUE")</f>
        <v>BLUE</v>
      </c>
      <c r="G3728" s="20" t="str">
        <f>IFERROR(__xludf.DUMMYFUNCTION("""COMPUTED_VALUE"""),"Uncle Sams Cider (04/04/2023)")</f>
        <v>Uncle Sams Cider (04/04/2023)</v>
      </c>
      <c r="H3728" s="19"/>
    </row>
    <row r="3729">
      <c r="A3729" s="9"/>
      <c r="B3729" s="15"/>
      <c r="C3729" s="9">
        <f>IFERROR(__xludf.DUMMYFUNCTION("""COMPUTED_VALUE"""),45105.5464794213)</f>
        <v>45105.54648</v>
      </c>
      <c r="D3729" s="15">
        <f>IFERROR(__xludf.DUMMYFUNCTION("""COMPUTED_VALUE"""),1.0)</f>
        <v>1</v>
      </c>
      <c r="E3729" s="16">
        <f>IFERROR(__xludf.DUMMYFUNCTION("""COMPUTED_VALUE"""),69.0)</f>
        <v>69</v>
      </c>
      <c r="F3729" s="19" t="str">
        <f>IFERROR(__xludf.DUMMYFUNCTION("""COMPUTED_VALUE"""),"BLUE")</f>
        <v>BLUE</v>
      </c>
      <c r="G3729" s="20" t="str">
        <f>IFERROR(__xludf.DUMMYFUNCTION("""COMPUTED_VALUE"""),"Uncle Sams Cider (04/04/2023)")</f>
        <v>Uncle Sams Cider (04/04/2023)</v>
      </c>
      <c r="H3729" s="19"/>
    </row>
    <row r="3730">
      <c r="A3730" s="9"/>
      <c r="B3730" s="15"/>
      <c r="C3730" s="9">
        <f>IFERROR(__xludf.DUMMYFUNCTION("""COMPUTED_VALUE"""),45105.5360578819)</f>
        <v>45105.53606</v>
      </c>
      <c r="D3730" s="15">
        <f>IFERROR(__xludf.DUMMYFUNCTION("""COMPUTED_VALUE"""),1.0)</f>
        <v>1</v>
      </c>
      <c r="E3730" s="16">
        <f>IFERROR(__xludf.DUMMYFUNCTION("""COMPUTED_VALUE"""),69.0)</f>
        <v>69</v>
      </c>
      <c r="F3730" s="19" t="str">
        <f>IFERROR(__xludf.DUMMYFUNCTION("""COMPUTED_VALUE"""),"BLUE")</f>
        <v>BLUE</v>
      </c>
      <c r="G3730" s="20" t="str">
        <f>IFERROR(__xludf.DUMMYFUNCTION("""COMPUTED_VALUE"""),"Uncle Sams Cider (04/04/2023)")</f>
        <v>Uncle Sams Cider (04/04/2023)</v>
      </c>
      <c r="H3730" s="19"/>
    </row>
    <row r="3731">
      <c r="A3731" s="9"/>
      <c r="B3731" s="15"/>
      <c r="C3731" s="9">
        <f>IFERROR(__xludf.DUMMYFUNCTION("""COMPUTED_VALUE"""),45105.525636331)</f>
        <v>45105.52564</v>
      </c>
      <c r="D3731" s="15">
        <f>IFERROR(__xludf.DUMMYFUNCTION("""COMPUTED_VALUE"""),1.0)</f>
        <v>1</v>
      </c>
      <c r="E3731" s="16">
        <f>IFERROR(__xludf.DUMMYFUNCTION("""COMPUTED_VALUE"""),69.0)</f>
        <v>69</v>
      </c>
      <c r="F3731" s="19" t="str">
        <f>IFERROR(__xludf.DUMMYFUNCTION("""COMPUTED_VALUE"""),"BLUE")</f>
        <v>BLUE</v>
      </c>
      <c r="G3731" s="20" t="str">
        <f>IFERROR(__xludf.DUMMYFUNCTION("""COMPUTED_VALUE"""),"Uncle Sams Cider (04/04/2023)")</f>
        <v>Uncle Sams Cider (04/04/2023)</v>
      </c>
      <c r="H3731" s="19"/>
    </row>
    <row r="3732">
      <c r="A3732" s="9"/>
      <c r="B3732" s="15"/>
      <c r="C3732" s="9">
        <f>IFERROR(__xludf.DUMMYFUNCTION("""COMPUTED_VALUE"""),45105.5152172106)</f>
        <v>45105.51522</v>
      </c>
      <c r="D3732" s="15">
        <f>IFERROR(__xludf.DUMMYFUNCTION("""COMPUTED_VALUE"""),1.0)</f>
        <v>1</v>
      </c>
      <c r="E3732" s="16">
        <f>IFERROR(__xludf.DUMMYFUNCTION("""COMPUTED_VALUE"""),69.0)</f>
        <v>69</v>
      </c>
      <c r="F3732" s="19" t="str">
        <f>IFERROR(__xludf.DUMMYFUNCTION("""COMPUTED_VALUE"""),"BLUE")</f>
        <v>BLUE</v>
      </c>
      <c r="G3732" s="20" t="str">
        <f>IFERROR(__xludf.DUMMYFUNCTION("""COMPUTED_VALUE"""),"Uncle Sams Cider (04/04/2023)")</f>
        <v>Uncle Sams Cider (04/04/2023)</v>
      </c>
      <c r="H3732" s="19"/>
    </row>
    <row r="3733">
      <c r="A3733" s="9"/>
      <c r="B3733" s="15"/>
      <c r="C3733" s="9">
        <f>IFERROR(__xludf.DUMMYFUNCTION("""COMPUTED_VALUE"""),45105.5047953009)</f>
        <v>45105.5048</v>
      </c>
      <c r="D3733" s="15">
        <f>IFERROR(__xludf.DUMMYFUNCTION("""COMPUTED_VALUE"""),1.0)</f>
        <v>1</v>
      </c>
      <c r="E3733" s="16">
        <f>IFERROR(__xludf.DUMMYFUNCTION("""COMPUTED_VALUE"""),69.0)</f>
        <v>69</v>
      </c>
      <c r="F3733" s="19" t="str">
        <f>IFERROR(__xludf.DUMMYFUNCTION("""COMPUTED_VALUE"""),"BLUE")</f>
        <v>BLUE</v>
      </c>
      <c r="G3733" s="20" t="str">
        <f>IFERROR(__xludf.DUMMYFUNCTION("""COMPUTED_VALUE"""),"Uncle Sams Cider (04/04/2023)")</f>
        <v>Uncle Sams Cider (04/04/2023)</v>
      </c>
      <c r="H3733" s="19"/>
    </row>
    <row r="3734">
      <c r="A3734" s="9"/>
      <c r="B3734" s="15"/>
      <c r="C3734" s="9">
        <f>IFERROR(__xludf.DUMMYFUNCTION("""COMPUTED_VALUE"""),45105.4943728588)</f>
        <v>45105.49437</v>
      </c>
      <c r="D3734" s="15">
        <f>IFERROR(__xludf.DUMMYFUNCTION("""COMPUTED_VALUE"""),1.0)</f>
        <v>1</v>
      </c>
      <c r="E3734" s="16">
        <f>IFERROR(__xludf.DUMMYFUNCTION("""COMPUTED_VALUE"""),69.0)</f>
        <v>69</v>
      </c>
      <c r="F3734" s="19" t="str">
        <f>IFERROR(__xludf.DUMMYFUNCTION("""COMPUTED_VALUE"""),"BLUE")</f>
        <v>BLUE</v>
      </c>
      <c r="G3734" s="20" t="str">
        <f>IFERROR(__xludf.DUMMYFUNCTION("""COMPUTED_VALUE"""),"Uncle Sams Cider (04/04/2023)")</f>
        <v>Uncle Sams Cider (04/04/2023)</v>
      </c>
      <c r="H3734" s="19"/>
    </row>
    <row r="3735">
      <c r="A3735" s="9"/>
      <c r="B3735" s="15"/>
      <c r="C3735" s="9">
        <f>IFERROR(__xludf.DUMMYFUNCTION("""COMPUTED_VALUE"""),45105.4839500462)</f>
        <v>45105.48395</v>
      </c>
      <c r="D3735" s="15">
        <f>IFERROR(__xludf.DUMMYFUNCTION("""COMPUTED_VALUE"""),1.0)</f>
        <v>1</v>
      </c>
      <c r="E3735" s="16">
        <f>IFERROR(__xludf.DUMMYFUNCTION("""COMPUTED_VALUE"""),69.0)</f>
        <v>69</v>
      </c>
      <c r="F3735" s="19" t="str">
        <f>IFERROR(__xludf.DUMMYFUNCTION("""COMPUTED_VALUE"""),"BLUE")</f>
        <v>BLUE</v>
      </c>
      <c r="G3735" s="20" t="str">
        <f>IFERROR(__xludf.DUMMYFUNCTION("""COMPUTED_VALUE"""),"Uncle Sams Cider (04/04/2023)")</f>
        <v>Uncle Sams Cider (04/04/2023)</v>
      </c>
      <c r="H3735" s="19"/>
    </row>
    <row r="3736">
      <c r="A3736" s="9"/>
      <c r="B3736" s="15"/>
      <c r="C3736" s="9">
        <f>IFERROR(__xludf.DUMMYFUNCTION("""COMPUTED_VALUE"""),45105.4735281944)</f>
        <v>45105.47353</v>
      </c>
      <c r="D3736" s="15">
        <f>IFERROR(__xludf.DUMMYFUNCTION("""COMPUTED_VALUE"""),1.0)</f>
        <v>1</v>
      </c>
      <c r="E3736" s="16">
        <f>IFERROR(__xludf.DUMMYFUNCTION("""COMPUTED_VALUE"""),69.0)</f>
        <v>69</v>
      </c>
      <c r="F3736" s="19" t="str">
        <f>IFERROR(__xludf.DUMMYFUNCTION("""COMPUTED_VALUE"""),"BLUE")</f>
        <v>BLUE</v>
      </c>
      <c r="G3736" s="20" t="str">
        <f>IFERROR(__xludf.DUMMYFUNCTION("""COMPUTED_VALUE"""),"Uncle Sams Cider (04/04/2023)")</f>
        <v>Uncle Sams Cider (04/04/2023)</v>
      </c>
      <c r="H3736" s="19"/>
    </row>
    <row r="3737">
      <c r="A3737" s="9"/>
      <c r="B3737" s="15"/>
      <c r="C3737" s="9">
        <f>IFERROR(__xludf.DUMMYFUNCTION("""COMPUTED_VALUE"""),45105.4630960069)</f>
        <v>45105.4631</v>
      </c>
      <c r="D3737" s="15">
        <f>IFERROR(__xludf.DUMMYFUNCTION("""COMPUTED_VALUE"""),1.0)</f>
        <v>1</v>
      </c>
      <c r="E3737" s="16">
        <f>IFERROR(__xludf.DUMMYFUNCTION("""COMPUTED_VALUE"""),69.0)</f>
        <v>69</v>
      </c>
      <c r="F3737" s="19" t="str">
        <f>IFERROR(__xludf.DUMMYFUNCTION("""COMPUTED_VALUE"""),"BLUE")</f>
        <v>BLUE</v>
      </c>
      <c r="G3737" s="20" t="str">
        <f>IFERROR(__xludf.DUMMYFUNCTION("""COMPUTED_VALUE"""),"Uncle Sams Cider (04/04/2023)")</f>
        <v>Uncle Sams Cider (04/04/2023)</v>
      </c>
      <c r="H3737" s="19"/>
    </row>
    <row r="3738">
      <c r="A3738" s="9"/>
      <c r="B3738" s="15"/>
      <c r="C3738" s="9">
        <f>IFERROR(__xludf.DUMMYFUNCTION("""COMPUTED_VALUE"""),45105.4526627314)</f>
        <v>45105.45266</v>
      </c>
      <c r="D3738" s="15">
        <f>IFERROR(__xludf.DUMMYFUNCTION("""COMPUTED_VALUE"""),1.0)</f>
        <v>1</v>
      </c>
      <c r="E3738" s="16">
        <f>IFERROR(__xludf.DUMMYFUNCTION("""COMPUTED_VALUE"""),69.0)</f>
        <v>69</v>
      </c>
      <c r="F3738" s="19" t="str">
        <f>IFERROR(__xludf.DUMMYFUNCTION("""COMPUTED_VALUE"""),"BLUE")</f>
        <v>BLUE</v>
      </c>
      <c r="G3738" s="20" t="str">
        <f>IFERROR(__xludf.DUMMYFUNCTION("""COMPUTED_VALUE"""),"Uncle Sams Cider (04/04/2023)")</f>
        <v>Uncle Sams Cider (04/04/2023)</v>
      </c>
      <c r="H3738" s="19"/>
    </row>
    <row r="3739">
      <c r="A3739" s="9"/>
      <c r="B3739" s="15"/>
      <c r="C3739" s="9">
        <f>IFERROR(__xludf.DUMMYFUNCTION("""COMPUTED_VALUE"""),45105.4318182407)</f>
        <v>45105.43182</v>
      </c>
      <c r="D3739" s="15">
        <f>IFERROR(__xludf.DUMMYFUNCTION("""COMPUTED_VALUE"""),1.0)</f>
        <v>1</v>
      </c>
      <c r="E3739" s="16">
        <f>IFERROR(__xludf.DUMMYFUNCTION("""COMPUTED_VALUE"""),69.0)</f>
        <v>69</v>
      </c>
      <c r="F3739" s="19" t="str">
        <f>IFERROR(__xludf.DUMMYFUNCTION("""COMPUTED_VALUE"""),"BLUE")</f>
        <v>BLUE</v>
      </c>
      <c r="G3739" s="20" t="str">
        <f>IFERROR(__xludf.DUMMYFUNCTION("""COMPUTED_VALUE"""),"Uncle Sams Cider (04/04/2023)")</f>
        <v>Uncle Sams Cider (04/04/2023)</v>
      </c>
      <c r="H3739" s="19"/>
    </row>
    <row r="3740">
      <c r="A3740" s="9"/>
      <c r="B3740" s="15"/>
      <c r="C3740" s="9">
        <f>IFERROR(__xludf.DUMMYFUNCTION("""COMPUTED_VALUE"""),45105.4213969907)</f>
        <v>45105.4214</v>
      </c>
      <c r="D3740" s="15">
        <f>IFERROR(__xludf.DUMMYFUNCTION("""COMPUTED_VALUE"""),1.0)</f>
        <v>1</v>
      </c>
      <c r="E3740" s="16">
        <f>IFERROR(__xludf.DUMMYFUNCTION("""COMPUTED_VALUE"""),69.0)</f>
        <v>69</v>
      </c>
      <c r="F3740" s="19" t="str">
        <f>IFERROR(__xludf.DUMMYFUNCTION("""COMPUTED_VALUE"""),"BLUE")</f>
        <v>BLUE</v>
      </c>
      <c r="G3740" s="20" t="str">
        <f>IFERROR(__xludf.DUMMYFUNCTION("""COMPUTED_VALUE"""),"Uncle Sams Cider (04/04/2023)")</f>
        <v>Uncle Sams Cider (04/04/2023)</v>
      </c>
      <c r="H3740" s="19"/>
    </row>
    <row r="3741">
      <c r="A3741" s="9"/>
      <c r="B3741" s="15"/>
      <c r="C3741" s="9">
        <f>IFERROR(__xludf.DUMMYFUNCTION("""COMPUTED_VALUE"""),45105.4109783796)</f>
        <v>45105.41098</v>
      </c>
      <c r="D3741" s="15">
        <f>IFERROR(__xludf.DUMMYFUNCTION("""COMPUTED_VALUE"""),1.0)</f>
        <v>1</v>
      </c>
      <c r="E3741" s="16">
        <f>IFERROR(__xludf.DUMMYFUNCTION("""COMPUTED_VALUE"""),69.0)</f>
        <v>69</v>
      </c>
      <c r="F3741" s="19" t="str">
        <f>IFERROR(__xludf.DUMMYFUNCTION("""COMPUTED_VALUE"""),"BLUE")</f>
        <v>BLUE</v>
      </c>
      <c r="G3741" s="20" t="str">
        <f>IFERROR(__xludf.DUMMYFUNCTION("""COMPUTED_VALUE"""),"Uncle Sams Cider (04/04/2023)")</f>
        <v>Uncle Sams Cider (04/04/2023)</v>
      </c>
      <c r="H3741" s="19"/>
    </row>
    <row r="3742">
      <c r="A3742" s="9"/>
      <c r="B3742" s="15"/>
      <c r="C3742" s="9">
        <f>IFERROR(__xludf.DUMMYFUNCTION("""COMPUTED_VALUE"""),45105.4005585069)</f>
        <v>45105.40056</v>
      </c>
      <c r="D3742" s="15">
        <f>IFERROR(__xludf.DUMMYFUNCTION("""COMPUTED_VALUE"""),1.0)</f>
        <v>1</v>
      </c>
      <c r="E3742" s="16">
        <f>IFERROR(__xludf.DUMMYFUNCTION("""COMPUTED_VALUE"""),69.0)</f>
        <v>69</v>
      </c>
      <c r="F3742" s="19" t="str">
        <f>IFERROR(__xludf.DUMMYFUNCTION("""COMPUTED_VALUE"""),"BLUE")</f>
        <v>BLUE</v>
      </c>
      <c r="G3742" s="20" t="str">
        <f>IFERROR(__xludf.DUMMYFUNCTION("""COMPUTED_VALUE"""),"Uncle Sams Cider (04/04/2023)")</f>
        <v>Uncle Sams Cider (04/04/2023)</v>
      </c>
      <c r="H3742" s="19"/>
    </row>
    <row r="3743">
      <c r="A3743" s="9"/>
      <c r="B3743" s="15"/>
      <c r="C3743" s="9">
        <f>IFERROR(__xludf.DUMMYFUNCTION("""COMPUTED_VALUE"""),45105.3901368865)</f>
        <v>45105.39014</v>
      </c>
      <c r="D3743" s="15">
        <f>IFERROR(__xludf.DUMMYFUNCTION("""COMPUTED_VALUE"""),1.0)</f>
        <v>1</v>
      </c>
      <c r="E3743" s="16">
        <f>IFERROR(__xludf.DUMMYFUNCTION("""COMPUTED_VALUE"""),69.0)</f>
        <v>69</v>
      </c>
      <c r="F3743" s="19" t="str">
        <f>IFERROR(__xludf.DUMMYFUNCTION("""COMPUTED_VALUE"""),"BLUE")</f>
        <v>BLUE</v>
      </c>
      <c r="G3743" s="20" t="str">
        <f>IFERROR(__xludf.DUMMYFUNCTION("""COMPUTED_VALUE"""),"Uncle Sams Cider (04/04/2023)")</f>
        <v>Uncle Sams Cider (04/04/2023)</v>
      </c>
      <c r="H3743" s="19"/>
    </row>
    <row r="3744">
      <c r="A3744" s="9"/>
      <c r="B3744" s="15"/>
      <c r="C3744" s="9">
        <f>IFERROR(__xludf.DUMMYFUNCTION("""COMPUTED_VALUE"""),45105.3797148958)</f>
        <v>45105.37971</v>
      </c>
      <c r="D3744" s="15">
        <f>IFERROR(__xludf.DUMMYFUNCTION("""COMPUTED_VALUE"""),1.0)</f>
        <v>1</v>
      </c>
      <c r="E3744" s="16">
        <f>IFERROR(__xludf.DUMMYFUNCTION("""COMPUTED_VALUE"""),69.0)</f>
        <v>69</v>
      </c>
      <c r="F3744" s="19" t="str">
        <f>IFERROR(__xludf.DUMMYFUNCTION("""COMPUTED_VALUE"""),"BLUE")</f>
        <v>BLUE</v>
      </c>
      <c r="G3744" s="20" t="str">
        <f>IFERROR(__xludf.DUMMYFUNCTION("""COMPUTED_VALUE"""),"Uncle Sams Cider (04/04/2023)")</f>
        <v>Uncle Sams Cider (04/04/2023)</v>
      </c>
      <c r="H3744" s="19"/>
    </row>
    <row r="3745">
      <c r="A3745" s="9"/>
      <c r="B3745" s="15"/>
      <c r="C3745" s="9">
        <f>IFERROR(__xludf.DUMMYFUNCTION("""COMPUTED_VALUE"""),45105.3692821412)</f>
        <v>45105.36928</v>
      </c>
      <c r="D3745" s="15">
        <f>IFERROR(__xludf.DUMMYFUNCTION("""COMPUTED_VALUE"""),1.0)</f>
        <v>1</v>
      </c>
      <c r="E3745" s="16">
        <f>IFERROR(__xludf.DUMMYFUNCTION("""COMPUTED_VALUE"""),69.0)</f>
        <v>69</v>
      </c>
      <c r="F3745" s="19" t="str">
        <f>IFERROR(__xludf.DUMMYFUNCTION("""COMPUTED_VALUE"""),"BLUE")</f>
        <v>BLUE</v>
      </c>
      <c r="G3745" s="20" t="str">
        <f>IFERROR(__xludf.DUMMYFUNCTION("""COMPUTED_VALUE"""),"Uncle Sams Cider (04/04/2023)")</f>
        <v>Uncle Sams Cider (04/04/2023)</v>
      </c>
      <c r="H3745" s="19"/>
    </row>
    <row r="3746">
      <c r="A3746" s="9"/>
      <c r="B3746" s="15"/>
      <c r="C3746" s="9">
        <f>IFERROR(__xludf.DUMMYFUNCTION("""COMPUTED_VALUE"""),45105.3588623958)</f>
        <v>45105.35886</v>
      </c>
      <c r="D3746" s="15">
        <f>IFERROR(__xludf.DUMMYFUNCTION("""COMPUTED_VALUE"""),1.0)</f>
        <v>1</v>
      </c>
      <c r="E3746" s="16">
        <f>IFERROR(__xludf.DUMMYFUNCTION("""COMPUTED_VALUE"""),69.0)</f>
        <v>69</v>
      </c>
      <c r="F3746" s="19" t="str">
        <f>IFERROR(__xludf.DUMMYFUNCTION("""COMPUTED_VALUE"""),"BLUE")</f>
        <v>BLUE</v>
      </c>
      <c r="G3746" s="20" t="str">
        <f>IFERROR(__xludf.DUMMYFUNCTION("""COMPUTED_VALUE"""),"Uncle Sams Cider (04/04/2023)")</f>
        <v>Uncle Sams Cider (04/04/2023)</v>
      </c>
      <c r="H3746" s="19"/>
    </row>
    <row r="3747">
      <c r="A3747" s="9"/>
      <c r="B3747" s="15"/>
      <c r="C3747" s="9">
        <f>IFERROR(__xludf.DUMMYFUNCTION("""COMPUTED_VALUE"""),45105.3484409722)</f>
        <v>45105.34844</v>
      </c>
      <c r="D3747" s="15">
        <f>IFERROR(__xludf.DUMMYFUNCTION("""COMPUTED_VALUE"""),1.0)</f>
        <v>1</v>
      </c>
      <c r="E3747" s="16">
        <f>IFERROR(__xludf.DUMMYFUNCTION("""COMPUTED_VALUE"""),69.0)</f>
        <v>69</v>
      </c>
      <c r="F3747" s="19" t="str">
        <f>IFERROR(__xludf.DUMMYFUNCTION("""COMPUTED_VALUE"""),"BLUE")</f>
        <v>BLUE</v>
      </c>
      <c r="G3747" s="20" t="str">
        <f>IFERROR(__xludf.DUMMYFUNCTION("""COMPUTED_VALUE"""),"Uncle Sams Cider (04/04/2023)")</f>
        <v>Uncle Sams Cider (04/04/2023)</v>
      </c>
      <c r="H3747" s="19"/>
    </row>
    <row r="3748">
      <c r="A3748" s="9"/>
      <c r="B3748" s="15"/>
      <c r="C3748" s="9">
        <f>IFERROR(__xludf.DUMMYFUNCTION("""COMPUTED_VALUE"""),45105.3380080902)</f>
        <v>45105.33801</v>
      </c>
      <c r="D3748" s="15">
        <f>IFERROR(__xludf.DUMMYFUNCTION("""COMPUTED_VALUE"""),1.0)</f>
        <v>1</v>
      </c>
      <c r="E3748" s="16">
        <f>IFERROR(__xludf.DUMMYFUNCTION("""COMPUTED_VALUE"""),69.0)</f>
        <v>69</v>
      </c>
      <c r="F3748" s="19" t="str">
        <f>IFERROR(__xludf.DUMMYFUNCTION("""COMPUTED_VALUE"""),"BLUE")</f>
        <v>BLUE</v>
      </c>
      <c r="G3748" s="20" t="str">
        <f>IFERROR(__xludf.DUMMYFUNCTION("""COMPUTED_VALUE"""),"Uncle Sams Cider (04/04/2023)")</f>
        <v>Uncle Sams Cider (04/04/2023)</v>
      </c>
      <c r="H3748" s="19"/>
    </row>
    <row r="3749">
      <c r="A3749" s="9"/>
      <c r="B3749" s="15"/>
      <c r="C3749" s="9">
        <f>IFERROR(__xludf.DUMMYFUNCTION("""COMPUTED_VALUE"""),45105.327588368)</f>
        <v>45105.32759</v>
      </c>
      <c r="D3749" s="15">
        <f>IFERROR(__xludf.DUMMYFUNCTION("""COMPUTED_VALUE"""),1.0)</f>
        <v>1</v>
      </c>
      <c r="E3749" s="16">
        <f>IFERROR(__xludf.DUMMYFUNCTION("""COMPUTED_VALUE"""),69.0)</f>
        <v>69</v>
      </c>
      <c r="F3749" s="19" t="str">
        <f>IFERROR(__xludf.DUMMYFUNCTION("""COMPUTED_VALUE"""),"BLUE")</f>
        <v>BLUE</v>
      </c>
      <c r="G3749" s="20" t="str">
        <f>IFERROR(__xludf.DUMMYFUNCTION("""COMPUTED_VALUE"""),"Uncle Sams Cider (04/04/2023)")</f>
        <v>Uncle Sams Cider (04/04/2023)</v>
      </c>
      <c r="H3749" s="19"/>
    </row>
    <row r="3750">
      <c r="A3750" s="9"/>
      <c r="B3750" s="15"/>
      <c r="C3750" s="9">
        <f>IFERROR(__xludf.DUMMYFUNCTION("""COMPUTED_VALUE"""),45105.3171669097)</f>
        <v>45105.31717</v>
      </c>
      <c r="D3750" s="15">
        <f>IFERROR(__xludf.DUMMYFUNCTION("""COMPUTED_VALUE"""),1.0)</f>
        <v>1</v>
      </c>
      <c r="E3750" s="16">
        <f>IFERROR(__xludf.DUMMYFUNCTION("""COMPUTED_VALUE"""),69.0)</f>
        <v>69</v>
      </c>
      <c r="F3750" s="19" t="str">
        <f>IFERROR(__xludf.DUMMYFUNCTION("""COMPUTED_VALUE"""),"BLUE")</f>
        <v>BLUE</v>
      </c>
      <c r="G3750" s="20" t="str">
        <f>IFERROR(__xludf.DUMMYFUNCTION("""COMPUTED_VALUE"""),"Uncle Sams Cider (04/04/2023)")</f>
        <v>Uncle Sams Cider (04/04/2023)</v>
      </c>
      <c r="H3750" s="19"/>
    </row>
    <row r="3751">
      <c r="A3751" s="9"/>
      <c r="B3751" s="15"/>
      <c r="C3751" s="9">
        <f>IFERROR(__xludf.DUMMYFUNCTION("""COMPUTED_VALUE"""),45105.3067448842)</f>
        <v>45105.30674</v>
      </c>
      <c r="D3751" s="15">
        <f>IFERROR(__xludf.DUMMYFUNCTION("""COMPUTED_VALUE"""),1.0)</f>
        <v>1</v>
      </c>
      <c r="E3751" s="16">
        <f>IFERROR(__xludf.DUMMYFUNCTION("""COMPUTED_VALUE"""),69.0)</f>
        <v>69</v>
      </c>
      <c r="F3751" s="19" t="str">
        <f>IFERROR(__xludf.DUMMYFUNCTION("""COMPUTED_VALUE"""),"BLUE")</f>
        <v>BLUE</v>
      </c>
      <c r="G3751" s="20" t="str">
        <f>IFERROR(__xludf.DUMMYFUNCTION("""COMPUTED_VALUE"""),"Uncle Sams Cider (04/04/2023)")</f>
        <v>Uncle Sams Cider (04/04/2023)</v>
      </c>
      <c r="H3751" s="19"/>
    </row>
    <row r="3752">
      <c r="A3752" s="9"/>
      <c r="B3752" s="15"/>
      <c r="C3752" s="9">
        <f>IFERROR(__xludf.DUMMYFUNCTION("""COMPUTED_VALUE"""),45105.296324074)</f>
        <v>45105.29632</v>
      </c>
      <c r="D3752" s="15">
        <f>IFERROR(__xludf.DUMMYFUNCTION("""COMPUTED_VALUE"""),1.0)</f>
        <v>1</v>
      </c>
      <c r="E3752" s="16">
        <f>IFERROR(__xludf.DUMMYFUNCTION("""COMPUTED_VALUE"""),69.0)</f>
        <v>69</v>
      </c>
      <c r="F3752" s="19" t="str">
        <f>IFERROR(__xludf.DUMMYFUNCTION("""COMPUTED_VALUE"""),"BLUE")</f>
        <v>BLUE</v>
      </c>
      <c r="G3752" s="20" t="str">
        <f>IFERROR(__xludf.DUMMYFUNCTION("""COMPUTED_VALUE"""),"Uncle Sams Cider (04/04/2023)")</f>
        <v>Uncle Sams Cider (04/04/2023)</v>
      </c>
      <c r="H3752" s="19"/>
    </row>
    <row r="3753">
      <c r="A3753" s="9"/>
      <c r="B3753" s="15"/>
      <c r="C3753" s="9">
        <f>IFERROR(__xludf.DUMMYFUNCTION("""COMPUTED_VALUE"""),45105.2859025115)</f>
        <v>45105.2859</v>
      </c>
      <c r="D3753" s="15">
        <f>IFERROR(__xludf.DUMMYFUNCTION("""COMPUTED_VALUE"""),1.0)</f>
        <v>1</v>
      </c>
      <c r="E3753" s="16">
        <f>IFERROR(__xludf.DUMMYFUNCTION("""COMPUTED_VALUE"""),69.0)</f>
        <v>69</v>
      </c>
      <c r="F3753" s="19" t="str">
        <f>IFERROR(__xludf.DUMMYFUNCTION("""COMPUTED_VALUE"""),"BLUE")</f>
        <v>BLUE</v>
      </c>
      <c r="G3753" s="20" t="str">
        <f>IFERROR(__xludf.DUMMYFUNCTION("""COMPUTED_VALUE"""),"Uncle Sams Cider (04/04/2023)")</f>
        <v>Uncle Sams Cider (04/04/2023)</v>
      </c>
      <c r="H3753" s="19"/>
    </row>
    <row r="3754">
      <c r="A3754" s="9"/>
      <c r="B3754" s="15"/>
      <c r="C3754" s="9">
        <f>IFERROR(__xludf.DUMMYFUNCTION("""COMPUTED_VALUE"""),45105.2754804976)</f>
        <v>45105.27548</v>
      </c>
      <c r="D3754" s="15">
        <f>IFERROR(__xludf.DUMMYFUNCTION("""COMPUTED_VALUE"""),1.0)</f>
        <v>1</v>
      </c>
      <c r="E3754" s="16">
        <f>IFERROR(__xludf.DUMMYFUNCTION("""COMPUTED_VALUE"""),69.0)</f>
        <v>69</v>
      </c>
      <c r="F3754" s="19" t="str">
        <f>IFERROR(__xludf.DUMMYFUNCTION("""COMPUTED_VALUE"""),"BLUE")</f>
        <v>BLUE</v>
      </c>
      <c r="G3754" s="20" t="str">
        <f>IFERROR(__xludf.DUMMYFUNCTION("""COMPUTED_VALUE"""),"Uncle Sams Cider (04/04/2023)")</f>
        <v>Uncle Sams Cider (04/04/2023)</v>
      </c>
      <c r="H3754" s="19"/>
    </row>
    <row r="3755">
      <c r="A3755" s="9"/>
      <c r="B3755" s="15"/>
      <c r="C3755" s="9">
        <f>IFERROR(__xludf.DUMMYFUNCTION("""COMPUTED_VALUE"""),45105.2650596527)</f>
        <v>45105.26506</v>
      </c>
      <c r="D3755" s="15">
        <f>IFERROR(__xludf.DUMMYFUNCTION("""COMPUTED_VALUE"""),1.0)</f>
        <v>1</v>
      </c>
      <c r="E3755" s="16">
        <f>IFERROR(__xludf.DUMMYFUNCTION("""COMPUTED_VALUE"""),69.0)</f>
        <v>69</v>
      </c>
      <c r="F3755" s="19" t="str">
        <f>IFERROR(__xludf.DUMMYFUNCTION("""COMPUTED_VALUE"""),"BLUE")</f>
        <v>BLUE</v>
      </c>
      <c r="G3755" s="20" t="str">
        <f>IFERROR(__xludf.DUMMYFUNCTION("""COMPUTED_VALUE"""),"Uncle Sams Cider (04/04/2023)")</f>
        <v>Uncle Sams Cider (04/04/2023)</v>
      </c>
      <c r="H3755" s="19"/>
    </row>
    <row r="3756">
      <c r="A3756" s="9"/>
      <c r="B3756" s="15"/>
      <c r="C3756" s="9">
        <f>IFERROR(__xludf.DUMMYFUNCTION("""COMPUTED_VALUE"""),45105.2546267592)</f>
        <v>45105.25463</v>
      </c>
      <c r="D3756" s="15">
        <f>IFERROR(__xludf.DUMMYFUNCTION("""COMPUTED_VALUE"""),1.0)</f>
        <v>1</v>
      </c>
      <c r="E3756" s="16">
        <f>IFERROR(__xludf.DUMMYFUNCTION("""COMPUTED_VALUE"""),69.0)</f>
        <v>69</v>
      </c>
      <c r="F3756" s="19" t="str">
        <f>IFERROR(__xludf.DUMMYFUNCTION("""COMPUTED_VALUE"""),"BLUE")</f>
        <v>BLUE</v>
      </c>
      <c r="G3756" s="20" t="str">
        <f>IFERROR(__xludf.DUMMYFUNCTION("""COMPUTED_VALUE"""),"Uncle Sams Cider (04/04/2023)")</f>
        <v>Uncle Sams Cider (04/04/2023)</v>
      </c>
      <c r="H3756" s="19"/>
    </row>
    <row r="3757">
      <c r="A3757" s="9"/>
      <c r="B3757" s="15"/>
      <c r="C3757" s="9">
        <f>IFERROR(__xludf.DUMMYFUNCTION("""COMPUTED_VALUE"""),45105.2442054051)</f>
        <v>45105.24421</v>
      </c>
      <c r="D3757" s="15">
        <f>IFERROR(__xludf.DUMMYFUNCTION("""COMPUTED_VALUE"""),1.0)</f>
        <v>1</v>
      </c>
      <c r="E3757" s="16">
        <f>IFERROR(__xludf.DUMMYFUNCTION("""COMPUTED_VALUE"""),69.0)</f>
        <v>69</v>
      </c>
      <c r="F3757" s="19" t="str">
        <f>IFERROR(__xludf.DUMMYFUNCTION("""COMPUTED_VALUE"""),"BLUE")</f>
        <v>BLUE</v>
      </c>
      <c r="G3757" s="20" t="str">
        <f>IFERROR(__xludf.DUMMYFUNCTION("""COMPUTED_VALUE"""),"Uncle Sams Cider (04/04/2023)")</f>
        <v>Uncle Sams Cider (04/04/2023)</v>
      </c>
      <c r="H3757" s="19"/>
    </row>
    <row r="3758">
      <c r="A3758" s="9"/>
      <c r="B3758" s="15"/>
      <c r="C3758" s="9">
        <f>IFERROR(__xludf.DUMMYFUNCTION("""COMPUTED_VALUE"""),45105.2337848148)</f>
        <v>45105.23378</v>
      </c>
      <c r="D3758" s="15">
        <f>IFERROR(__xludf.DUMMYFUNCTION("""COMPUTED_VALUE"""),1.0)</f>
        <v>1</v>
      </c>
      <c r="E3758" s="16">
        <f>IFERROR(__xludf.DUMMYFUNCTION("""COMPUTED_VALUE"""),69.0)</f>
        <v>69</v>
      </c>
      <c r="F3758" s="19" t="str">
        <f>IFERROR(__xludf.DUMMYFUNCTION("""COMPUTED_VALUE"""),"BLUE")</f>
        <v>BLUE</v>
      </c>
      <c r="G3758" s="20" t="str">
        <f>IFERROR(__xludf.DUMMYFUNCTION("""COMPUTED_VALUE"""),"Uncle Sams Cider (04/04/2023)")</f>
        <v>Uncle Sams Cider (04/04/2023)</v>
      </c>
      <c r="H3758" s="19"/>
    </row>
    <row r="3759">
      <c r="A3759" s="9"/>
      <c r="B3759" s="15"/>
      <c r="C3759" s="9">
        <f>IFERROR(__xludf.DUMMYFUNCTION("""COMPUTED_VALUE"""),45105.2233658101)</f>
        <v>45105.22337</v>
      </c>
      <c r="D3759" s="15">
        <f>IFERROR(__xludf.DUMMYFUNCTION("""COMPUTED_VALUE"""),1.0)</f>
        <v>1</v>
      </c>
      <c r="E3759" s="16">
        <f>IFERROR(__xludf.DUMMYFUNCTION("""COMPUTED_VALUE"""),69.0)</f>
        <v>69</v>
      </c>
      <c r="F3759" s="19" t="str">
        <f>IFERROR(__xludf.DUMMYFUNCTION("""COMPUTED_VALUE"""),"BLUE")</f>
        <v>BLUE</v>
      </c>
      <c r="G3759" s="20" t="str">
        <f>IFERROR(__xludf.DUMMYFUNCTION("""COMPUTED_VALUE"""),"Uncle Sams Cider (04/04/2023)")</f>
        <v>Uncle Sams Cider (04/04/2023)</v>
      </c>
      <c r="H3759" s="19"/>
    </row>
    <row r="3760">
      <c r="A3760" s="9"/>
      <c r="B3760" s="15"/>
      <c r="C3760" s="9">
        <f>IFERROR(__xludf.DUMMYFUNCTION("""COMPUTED_VALUE"""),45105.2129439236)</f>
        <v>45105.21294</v>
      </c>
      <c r="D3760" s="15">
        <f>IFERROR(__xludf.DUMMYFUNCTION("""COMPUTED_VALUE"""),1.0)</f>
        <v>1</v>
      </c>
      <c r="E3760" s="16">
        <f>IFERROR(__xludf.DUMMYFUNCTION("""COMPUTED_VALUE"""),69.0)</f>
        <v>69</v>
      </c>
      <c r="F3760" s="19" t="str">
        <f>IFERROR(__xludf.DUMMYFUNCTION("""COMPUTED_VALUE"""),"BLUE")</f>
        <v>BLUE</v>
      </c>
      <c r="G3760" s="20" t="str">
        <f>IFERROR(__xludf.DUMMYFUNCTION("""COMPUTED_VALUE"""),"Uncle Sams Cider (04/04/2023)")</f>
        <v>Uncle Sams Cider (04/04/2023)</v>
      </c>
      <c r="H3760" s="19"/>
    </row>
    <row r="3761">
      <c r="A3761" s="9"/>
      <c r="B3761" s="15"/>
      <c r="C3761" s="9">
        <f>IFERROR(__xludf.DUMMYFUNCTION("""COMPUTED_VALUE"""),45105.2025213773)</f>
        <v>45105.20252</v>
      </c>
      <c r="D3761" s="15">
        <f>IFERROR(__xludf.DUMMYFUNCTION("""COMPUTED_VALUE"""),1.0)</f>
        <v>1</v>
      </c>
      <c r="E3761" s="16">
        <f>IFERROR(__xludf.DUMMYFUNCTION("""COMPUTED_VALUE"""),69.0)</f>
        <v>69</v>
      </c>
      <c r="F3761" s="19" t="str">
        <f>IFERROR(__xludf.DUMMYFUNCTION("""COMPUTED_VALUE"""),"BLUE")</f>
        <v>BLUE</v>
      </c>
      <c r="G3761" s="20" t="str">
        <f>IFERROR(__xludf.DUMMYFUNCTION("""COMPUTED_VALUE"""),"Uncle Sams Cider (04/04/2023)")</f>
        <v>Uncle Sams Cider (04/04/2023)</v>
      </c>
      <c r="H3761" s="19"/>
    </row>
    <row r="3762">
      <c r="A3762" s="9"/>
      <c r="B3762" s="15"/>
      <c r="C3762" s="9">
        <f>IFERROR(__xludf.DUMMYFUNCTION("""COMPUTED_VALUE"""),45105.1920892476)</f>
        <v>45105.19209</v>
      </c>
      <c r="D3762" s="15">
        <f>IFERROR(__xludf.DUMMYFUNCTION("""COMPUTED_VALUE"""),1.0)</f>
        <v>1</v>
      </c>
      <c r="E3762" s="16">
        <f>IFERROR(__xludf.DUMMYFUNCTION("""COMPUTED_VALUE"""),69.0)</f>
        <v>69</v>
      </c>
      <c r="F3762" s="19" t="str">
        <f>IFERROR(__xludf.DUMMYFUNCTION("""COMPUTED_VALUE"""),"BLUE")</f>
        <v>BLUE</v>
      </c>
      <c r="G3762" s="20" t="str">
        <f>IFERROR(__xludf.DUMMYFUNCTION("""COMPUTED_VALUE"""),"Uncle Sams Cider (04/04/2023)")</f>
        <v>Uncle Sams Cider (04/04/2023)</v>
      </c>
      <c r="H3762" s="19"/>
    </row>
    <row r="3763">
      <c r="A3763" s="9"/>
      <c r="B3763" s="15"/>
      <c r="C3763" s="9">
        <f>IFERROR(__xludf.DUMMYFUNCTION("""COMPUTED_VALUE"""),45105.1816674189)</f>
        <v>45105.18167</v>
      </c>
      <c r="D3763" s="15">
        <f>IFERROR(__xludf.DUMMYFUNCTION("""COMPUTED_VALUE"""),1.0)</f>
        <v>1</v>
      </c>
      <c r="E3763" s="16">
        <f>IFERROR(__xludf.DUMMYFUNCTION("""COMPUTED_VALUE"""),69.0)</f>
        <v>69</v>
      </c>
      <c r="F3763" s="19" t="str">
        <f>IFERROR(__xludf.DUMMYFUNCTION("""COMPUTED_VALUE"""),"BLUE")</f>
        <v>BLUE</v>
      </c>
      <c r="G3763" s="20" t="str">
        <f>IFERROR(__xludf.DUMMYFUNCTION("""COMPUTED_VALUE"""),"Uncle Sams Cider (04/04/2023)")</f>
        <v>Uncle Sams Cider (04/04/2023)</v>
      </c>
      <c r="H3763" s="19"/>
    </row>
    <row r="3764">
      <c r="A3764" s="9"/>
      <c r="B3764" s="15"/>
      <c r="C3764" s="9">
        <f>IFERROR(__xludf.DUMMYFUNCTION("""COMPUTED_VALUE"""),45105.1712468287)</f>
        <v>45105.17125</v>
      </c>
      <c r="D3764" s="15">
        <f>IFERROR(__xludf.DUMMYFUNCTION("""COMPUTED_VALUE"""),1.0)</f>
        <v>1</v>
      </c>
      <c r="E3764" s="16">
        <f>IFERROR(__xludf.DUMMYFUNCTION("""COMPUTED_VALUE"""),69.0)</f>
        <v>69</v>
      </c>
      <c r="F3764" s="19" t="str">
        <f>IFERROR(__xludf.DUMMYFUNCTION("""COMPUTED_VALUE"""),"BLUE")</f>
        <v>BLUE</v>
      </c>
      <c r="G3764" s="20" t="str">
        <f>IFERROR(__xludf.DUMMYFUNCTION("""COMPUTED_VALUE"""),"Uncle Sams Cider (04/04/2023)")</f>
        <v>Uncle Sams Cider (04/04/2023)</v>
      </c>
      <c r="H3764" s="19"/>
    </row>
    <row r="3765">
      <c r="A3765" s="9"/>
      <c r="B3765" s="15"/>
      <c r="C3765" s="9">
        <f>IFERROR(__xludf.DUMMYFUNCTION("""COMPUTED_VALUE"""),45105.1608248726)</f>
        <v>45105.16082</v>
      </c>
      <c r="D3765" s="15">
        <f>IFERROR(__xludf.DUMMYFUNCTION("""COMPUTED_VALUE"""),1.0)</f>
        <v>1</v>
      </c>
      <c r="E3765" s="16">
        <f>IFERROR(__xludf.DUMMYFUNCTION("""COMPUTED_VALUE"""),69.0)</f>
        <v>69</v>
      </c>
      <c r="F3765" s="19" t="str">
        <f>IFERROR(__xludf.DUMMYFUNCTION("""COMPUTED_VALUE"""),"BLUE")</f>
        <v>BLUE</v>
      </c>
      <c r="G3765" s="20" t="str">
        <f>IFERROR(__xludf.DUMMYFUNCTION("""COMPUTED_VALUE"""),"Uncle Sams Cider (04/04/2023)")</f>
        <v>Uncle Sams Cider (04/04/2023)</v>
      </c>
      <c r="H3765" s="19"/>
    </row>
    <row r="3766">
      <c r="A3766" s="9"/>
      <c r="B3766" s="15"/>
      <c r="C3766" s="9">
        <f>IFERROR(__xludf.DUMMYFUNCTION("""COMPUTED_VALUE"""),45105.150404375)</f>
        <v>45105.1504</v>
      </c>
      <c r="D3766" s="15">
        <f>IFERROR(__xludf.DUMMYFUNCTION("""COMPUTED_VALUE"""),1.0)</f>
        <v>1</v>
      </c>
      <c r="E3766" s="16">
        <f>IFERROR(__xludf.DUMMYFUNCTION("""COMPUTED_VALUE"""),69.0)</f>
        <v>69</v>
      </c>
      <c r="F3766" s="19" t="str">
        <f>IFERROR(__xludf.DUMMYFUNCTION("""COMPUTED_VALUE"""),"BLUE")</f>
        <v>BLUE</v>
      </c>
      <c r="G3766" s="20" t="str">
        <f>IFERROR(__xludf.DUMMYFUNCTION("""COMPUTED_VALUE"""),"Uncle Sams Cider (04/04/2023)")</f>
        <v>Uncle Sams Cider (04/04/2023)</v>
      </c>
      <c r="H3766" s="19"/>
    </row>
    <row r="3767">
      <c r="A3767" s="9"/>
      <c r="B3767" s="15"/>
      <c r="C3767" s="9">
        <f>IFERROR(__xludf.DUMMYFUNCTION("""COMPUTED_VALUE"""),45105.1399810069)</f>
        <v>45105.13998</v>
      </c>
      <c r="D3767" s="15">
        <f>IFERROR(__xludf.DUMMYFUNCTION("""COMPUTED_VALUE"""),1.0)</f>
        <v>1</v>
      </c>
      <c r="E3767" s="16">
        <f>IFERROR(__xludf.DUMMYFUNCTION("""COMPUTED_VALUE"""),69.0)</f>
        <v>69</v>
      </c>
      <c r="F3767" s="19" t="str">
        <f>IFERROR(__xludf.DUMMYFUNCTION("""COMPUTED_VALUE"""),"BLUE")</f>
        <v>BLUE</v>
      </c>
      <c r="G3767" s="20" t="str">
        <f>IFERROR(__xludf.DUMMYFUNCTION("""COMPUTED_VALUE"""),"Uncle Sams Cider (04/04/2023)")</f>
        <v>Uncle Sams Cider (04/04/2023)</v>
      </c>
      <c r="H3767" s="19"/>
    </row>
    <row r="3768">
      <c r="A3768" s="9"/>
      <c r="B3768" s="15"/>
      <c r="C3768" s="9">
        <f>IFERROR(__xludf.DUMMYFUNCTION("""COMPUTED_VALUE"""),45105.1295371412)</f>
        <v>45105.12954</v>
      </c>
      <c r="D3768" s="15">
        <f>IFERROR(__xludf.DUMMYFUNCTION("""COMPUTED_VALUE"""),1.0)</f>
        <v>1</v>
      </c>
      <c r="E3768" s="16">
        <f>IFERROR(__xludf.DUMMYFUNCTION("""COMPUTED_VALUE"""),69.0)</f>
        <v>69</v>
      </c>
      <c r="F3768" s="19" t="str">
        <f>IFERROR(__xludf.DUMMYFUNCTION("""COMPUTED_VALUE"""),"BLUE")</f>
        <v>BLUE</v>
      </c>
      <c r="G3768" s="20" t="str">
        <f>IFERROR(__xludf.DUMMYFUNCTION("""COMPUTED_VALUE"""),"Uncle Sams Cider (04/04/2023)")</f>
        <v>Uncle Sams Cider (04/04/2023)</v>
      </c>
      <c r="H3768" s="19"/>
    </row>
    <row r="3769">
      <c r="A3769" s="9"/>
      <c r="B3769" s="15"/>
      <c r="C3769" s="9">
        <f>IFERROR(__xludf.DUMMYFUNCTION("""COMPUTED_VALUE"""),45105.1191148842)</f>
        <v>45105.11911</v>
      </c>
      <c r="D3769" s="15">
        <f>IFERROR(__xludf.DUMMYFUNCTION("""COMPUTED_VALUE"""),1.0)</f>
        <v>1</v>
      </c>
      <c r="E3769" s="16">
        <f>IFERROR(__xludf.DUMMYFUNCTION("""COMPUTED_VALUE"""),69.0)</f>
        <v>69</v>
      </c>
      <c r="F3769" s="19" t="str">
        <f>IFERROR(__xludf.DUMMYFUNCTION("""COMPUTED_VALUE"""),"BLUE")</f>
        <v>BLUE</v>
      </c>
      <c r="G3769" s="20" t="str">
        <f>IFERROR(__xludf.DUMMYFUNCTION("""COMPUTED_VALUE"""),"Uncle Sams Cider (04/04/2023)")</f>
        <v>Uncle Sams Cider (04/04/2023)</v>
      </c>
      <c r="H3769" s="19"/>
    </row>
    <row r="3770">
      <c r="A3770" s="9"/>
      <c r="B3770" s="15"/>
      <c r="C3770" s="9">
        <f>IFERROR(__xludf.DUMMYFUNCTION("""COMPUTED_VALUE"""),45105.1086810301)</f>
        <v>45105.10868</v>
      </c>
      <c r="D3770" s="15">
        <f>IFERROR(__xludf.DUMMYFUNCTION("""COMPUTED_VALUE"""),1.0)</f>
        <v>1</v>
      </c>
      <c r="E3770" s="16">
        <f>IFERROR(__xludf.DUMMYFUNCTION("""COMPUTED_VALUE"""),69.0)</f>
        <v>69</v>
      </c>
      <c r="F3770" s="19" t="str">
        <f>IFERROR(__xludf.DUMMYFUNCTION("""COMPUTED_VALUE"""),"BLUE")</f>
        <v>BLUE</v>
      </c>
      <c r="G3770" s="20" t="str">
        <f>IFERROR(__xludf.DUMMYFUNCTION("""COMPUTED_VALUE"""),"Uncle Sams Cider (04/04/2023)")</f>
        <v>Uncle Sams Cider (04/04/2023)</v>
      </c>
      <c r="H3770" s="19"/>
    </row>
    <row r="3771">
      <c r="A3771" s="9"/>
      <c r="B3771" s="15"/>
      <c r="C3771" s="9">
        <f>IFERROR(__xludf.DUMMYFUNCTION("""COMPUTED_VALUE"""),45105.0982588541)</f>
        <v>45105.09826</v>
      </c>
      <c r="D3771" s="15">
        <f>IFERROR(__xludf.DUMMYFUNCTION("""COMPUTED_VALUE"""),1.0)</f>
        <v>1</v>
      </c>
      <c r="E3771" s="16">
        <f>IFERROR(__xludf.DUMMYFUNCTION("""COMPUTED_VALUE"""),69.0)</f>
        <v>69</v>
      </c>
      <c r="F3771" s="19" t="str">
        <f>IFERROR(__xludf.DUMMYFUNCTION("""COMPUTED_VALUE"""),"BLUE")</f>
        <v>BLUE</v>
      </c>
      <c r="G3771" s="20" t="str">
        <f>IFERROR(__xludf.DUMMYFUNCTION("""COMPUTED_VALUE"""),"Uncle Sams Cider (04/04/2023)")</f>
        <v>Uncle Sams Cider (04/04/2023)</v>
      </c>
      <c r="H3771" s="19"/>
    </row>
    <row r="3772">
      <c r="A3772" s="9"/>
      <c r="B3772" s="15"/>
      <c r="C3772" s="9">
        <f>IFERROR(__xludf.DUMMYFUNCTION("""COMPUTED_VALUE"""),45105.0878388194)</f>
        <v>45105.08784</v>
      </c>
      <c r="D3772" s="15">
        <f>IFERROR(__xludf.DUMMYFUNCTION("""COMPUTED_VALUE"""),1.0)</f>
        <v>1</v>
      </c>
      <c r="E3772" s="16">
        <f>IFERROR(__xludf.DUMMYFUNCTION("""COMPUTED_VALUE"""),69.0)</f>
        <v>69</v>
      </c>
      <c r="F3772" s="19" t="str">
        <f>IFERROR(__xludf.DUMMYFUNCTION("""COMPUTED_VALUE"""),"BLUE")</f>
        <v>BLUE</v>
      </c>
      <c r="G3772" s="20" t="str">
        <f>IFERROR(__xludf.DUMMYFUNCTION("""COMPUTED_VALUE"""),"Uncle Sams Cider (04/04/2023)")</f>
        <v>Uncle Sams Cider (04/04/2023)</v>
      </c>
      <c r="H3772" s="19"/>
    </row>
    <row r="3773">
      <c r="A3773" s="9"/>
      <c r="B3773" s="15"/>
      <c r="C3773" s="9">
        <f>IFERROR(__xludf.DUMMYFUNCTION("""COMPUTED_VALUE"""),45105.0774165277)</f>
        <v>45105.07742</v>
      </c>
      <c r="D3773" s="15">
        <f>IFERROR(__xludf.DUMMYFUNCTION("""COMPUTED_VALUE"""),1.0)</f>
        <v>1</v>
      </c>
      <c r="E3773" s="16">
        <f>IFERROR(__xludf.DUMMYFUNCTION("""COMPUTED_VALUE"""),69.0)</f>
        <v>69</v>
      </c>
      <c r="F3773" s="19" t="str">
        <f>IFERROR(__xludf.DUMMYFUNCTION("""COMPUTED_VALUE"""),"BLUE")</f>
        <v>BLUE</v>
      </c>
      <c r="G3773" s="20" t="str">
        <f>IFERROR(__xludf.DUMMYFUNCTION("""COMPUTED_VALUE"""),"Uncle Sams Cider (04/04/2023)")</f>
        <v>Uncle Sams Cider (04/04/2023)</v>
      </c>
      <c r="H3773" s="19"/>
    </row>
    <row r="3774">
      <c r="A3774" s="9"/>
      <c r="B3774" s="15"/>
      <c r="C3774" s="9">
        <f>IFERROR(__xludf.DUMMYFUNCTION("""COMPUTED_VALUE"""),45105.0669945833)</f>
        <v>45105.06699</v>
      </c>
      <c r="D3774" s="15">
        <f>IFERROR(__xludf.DUMMYFUNCTION("""COMPUTED_VALUE"""),1.0)</f>
        <v>1</v>
      </c>
      <c r="E3774" s="16">
        <f>IFERROR(__xludf.DUMMYFUNCTION("""COMPUTED_VALUE"""),69.0)</f>
        <v>69</v>
      </c>
      <c r="F3774" s="19" t="str">
        <f>IFERROR(__xludf.DUMMYFUNCTION("""COMPUTED_VALUE"""),"BLUE")</f>
        <v>BLUE</v>
      </c>
      <c r="G3774" s="20" t="str">
        <f>IFERROR(__xludf.DUMMYFUNCTION("""COMPUTED_VALUE"""),"Uncle Sams Cider (04/04/2023)")</f>
        <v>Uncle Sams Cider (04/04/2023)</v>
      </c>
      <c r="H3774" s="19"/>
    </row>
    <row r="3775">
      <c r="A3775" s="9"/>
      <c r="B3775" s="15"/>
      <c r="C3775" s="9">
        <f>IFERROR(__xludf.DUMMYFUNCTION("""COMPUTED_VALUE"""),45105.0565387615)</f>
        <v>45105.05654</v>
      </c>
      <c r="D3775" s="15">
        <f>IFERROR(__xludf.DUMMYFUNCTION("""COMPUTED_VALUE"""),1.0)</f>
        <v>1</v>
      </c>
      <c r="E3775" s="16">
        <f>IFERROR(__xludf.DUMMYFUNCTION("""COMPUTED_VALUE"""),69.0)</f>
        <v>69</v>
      </c>
      <c r="F3775" s="19" t="str">
        <f>IFERROR(__xludf.DUMMYFUNCTION("""COMPUTED_VALUE"""),"BLUE")</f>
        <v>BLUE</v>
      </c>
      <c r="G3775" s="20" t="str">
        <f>IFERROR(__xludf.DUMMYFUNCTION("""COMPUTED_VALUE"""),"Uncle Sams Cider (04/04/2023)")</f>
        <v>Uncle Sams Cider (04/04/2023)</v>
      </c>
      <c r="H3775" s="19"/>
    </row>
    <row r="3776">
      <c r="A3776" s="9"/>
      <c r="B3776" s="15"/>
      <c r="C3776" s="9">
        <f>IFERROR(__xludf.DUMMYFUNCTION("""COMPUTED_VALUE"""),45105.0461055439)</f>
        <v>45105.04611</v>
      </c>
      <c r="D3776" s="15">
        <f>IFERROR(__xludf.DUMMYFUNCTION("""COMPUTED_VALUE"""),1.0)</f>
        <v>1</v>
      </c>
      <c r="E3776" s="16">
        <f>IFERROR(__xludf.DUMMYFUNCTION("""COMPUTED_VALUE"""),69.0)</f>
        <v>69</v>
      </c>
      <c r="F3776" s="19" t="str">
        <f>IFERROR(__xludf.DUMMYFUNCTION("""COMPUTED_VALUE"""),"BLUE")</f>
        <v>BLUE</v>
      </c>
      <c r="G3776" s="20" t="str">
        <f>IFERROR(__xludf.DUMMYFUNCTION("""COMPUTED_VALUE"""),"Uncle Sams Cider (04/04/2023)")</f>
        <v>Uncle Sams Cider (04/04/2023)</v>
      </c>
      <c r="H3776" s="19"/>
    </row>
    <row r="3777">
      <c r="A3777" s="9"/>
      <c r="B3777" s="15"/>
      <c r="C3777" s="9">
        <f>IFERROR(__xludf.DUMMYFUNCTION("""COMPUTED_VALUE"""),45105.0356847338)</f>
        <v>45105.03568</v>
      </c>
      <c r="D3777" s="15">
        <f>IFERROR(__xludf.DUMMYFUNCTION("""COMPUTED_VALUE"""),1.0)</f>
        <v>1</v>
      </c>
      <c r="E3777" s="16">
        <f>IFERROR(__xludf.DUMMYFUNCTION("""COMPUTED_VALUE"""),69.0)</f>
        <v>69</v>
      </c>
      <c r="F3777" s="19" t="str">
        <f>IFERROR(__xludf.DUMMYFUNCTION("""COMPUTED_VALUE"""),"BLUE")</f>
        <v>BLUE</v>
      </c>
      <c r="G3777" s="20" t="str">
        <f>IFERROR(__xludf.DUMMYFUNCTION("""COMPUTED_VALUE"""),"Uncle Sams Cider (04/04/2023)")</f>
        <v>Uncle Sams Cider (04/04/2023)</v>
      </c>
      <c r="H3777" s="19"/>
    </row>
    <row r="3778">
      <c r="A3778" s="9"/>
      <c r="B3778" s="15"/>
      <c r="C3778" s="9">
        <f>IFERROR(__xludf.DUMMYFUNCTION("""COMPUTED_VALUE"""),45105.0252625926)</f>
        <v>45105.02526</v>
      </c>
      <c r="D3778" s="15">
        <f>IFERROR(__xludf.DUMMYFUNCTION("""COMPUTED_VALUE"""),1.0)</f>
        <v>1</v>
      </c>
      <c r="E3778" s="16">
        <f>IFERROR(__xludf.DUMMYFUNCTION("""COMPUTED_VALUE"""),69.0)</f>
        <v>69</v>
      </c>
      <c r="F3778" s="19" t="str">
        <f>IFERROR(__xludf.DUMMYFUNCTION("""COMPUTED_VALUE"""),"BLUE")</f>
        <v>BLUE</v>
      </c>
      <c r="G3778" s="20" t="str">
        <f>IFERROR(__xludf.DUMMYFUNCTION("""COMPUTED_VALUE"""),"Uncle Sams Cider (04/04/2023)")</f>
        <v>Uncle Sams Cider (04/04/2023)</v>
      </c>
      <c r="H3778" s="19"/>
    </row>
    <row r="3779">
      <c r="A3779" s="9"/>
      <c r="B3779" s="15"/>
      <c r="C3779" s="9">
        <f>IFERROR(__xludf.DUMMYFUNCTION("""COMPUTED_VALUE"""),45105.0148411458)</f>
        <v>45105.01484</v>
      </c>
      <c r="D3779" s="15">
        <f>IFERROR(__xludf.DUMMYFUNCTION("""COMPUTED_VALUE"""),1.0)</f>
        <v>1</v>
      </c>
      <c r="E3779" s="16">
        <f>IFERROR(__xludf.DUMMYFUNCTION("""COMPUTED_VALUE"""),69.0)</f>
        <v>69</v>
      </c>
      <c r="F3779" s="19" t="str">
        <f>IFERROR(__xludf.DUMMYFUNCTION("""COMPUTED_VALUE"""),"BLUE")</f>
        <v>BLUE</v>
      </c>
      <c r="G3779" s="20" t="str">
        <f>IFERROR(__xludf.DUMMYFUNCTION("""COMPUTED_VALUE"""),"Uncle Sams Cider (04/04/2023)")</f>
        <v>Uncle Sams Cider (04/04/2023)</v>
      </c>
      <c r="H3779" s="19"/>
    </row>
    <row r="3780">
      <c r="A3780" s="9"/>
      <c r="B3780" s="15"/>
      <c r="C3780" s="9">
        <f>IFERROR(__xludf.DUMMYFUNCTION("""COMPUTED_VALUE"""),45105.004418368)</f>
        <v>45105.00442</v>
      </c>
      <c r="D3780" s="15">
        <f>IFERROR(__xludf.DUMMYFUNCTION("""COMPUTED_VALUE"""),1.0)</f>
        <v>1</v>
      </c>
      <c r="E3780" s="16">
        <f>IFERROR(__xludf.DUMMYFUNCTION("""COMPUTED_VALUE"""),69.0)</f>
        <v>69</v>
      </c>
      <c r="F3780" s="19" t="str">
        <f>IFERROR(__xludf.DUMMYFUNCTION("""COMPUTED_VALUE"""),"BLUE")</f>
        <v>BLUE</v>
      </c>
      <c r="G3780" s="20" t="str">
        <f>IFERROR(__xludf.DUMMYFUNCTION("""COMPUTED_VALUE"""),"Uncle Sams Cider (04/04/2023)")</f>
        <v>Uncle Sams Cider (04/04/2023)</v>
      </c>
      <c r="H3780" s="19"/>
    </row>
    <row r="3781">
      <c r="A3781" s="9"/>
      <c r="B3781" s="15"/>
      <c r="C3781" s="9">
        <f>IFERROR(__xludf.DUMMYFUNCTION("""COMPUTED_VALUE"""),45104.9939979282)</f>
        <v>45104.994</v>
      </c>
      <c r="D3781" s="15">
        <f>IFERROR(__xludf.DUMMYFUNCTION("""COMPUTED_VALUE"""),1.0)</f>
        <v>1</v>
      </c>
      <c r="E3781" s="16">
        <f>IFERROR(__xludf.DUMMYFUNCTION("""COMPUTED_VALUE"""),69.0)</f>
        <v>69</v>
      </c>
      <c r="F3781" s="19" t="str">
        <f>IFERROR(__xludf.DUMMYFUNCTION("""COMPUTED_VALUE"""),"BLUE")</f>
        <v>BLUE</v>
      </c>
      <c r="G3781" s="20" t="str">
        <f>IFERROR(__xludf.DUMMYFUNCTION("""COMPUTED_VALUE"""),"Uncle Sams Cider (04/04/2023)")</f>
        <v>Uncle Sams Cider (04/04/2023)</v>
      </c>
      <c r="H3781" s="19"/>
    </row>
    <row r="3782">
      <c r="A3782" s="9"/>
      <c r="B3782" s="15"/>
      <c r="C3782" s="9">
        <f>IFERROR(__xludf.DUMMYFUNCTION("""COMPUTED_VALUE"""),45104.9835551967)</f>
        <v>45104.98356</v>
      </c>
      <c r="D3782" s="15">
        <f>IFERROR(__xludf.DUMMYFUNCTION("""COMPUTED_VALUE"""),1.0)</f>
        <v>1</v>
      </c>
      <c r="E3782" s="16">
        <f>IFERROR(__xludf.DUMMYFUNCTION("""COMPUTED_VALUE"""),69.0)</f>
        <v>69</v>
      </c>
      <c r="F3782" s="19" t="str">
        <f>IFERROR(__xludf.DUMMYFUNCTION("""COMPUTED_VALUE"""),"BLUE")</f>
        <v>BLUE</v>
      </c>
      <c r="G3782" s="20" t="str">
        <f>IFERROR(__xludf.DUMMYFUNCTION("""COMPUTED_VALUE"""),"Uncle Sams Cider (04/04/2023)")</f>
        <v>Uncle Sams Cider (04/04/2023)</v>
      </c>
      <c r="H3782" s="19"/>
    </row>
    <row r="3783">
      <c r="A3783" s="9"/>
      <c r="B3783" s="15"/>
      <c r="C3783" s="9">
        <f>IFERROR(__xludf.DUMMYFUNCTION("""COMPUTED_VALUE"""),45104.973124456)</f>
        <v>45104.97312</v>
      </c>
      <c r="D3783" s="15">
        <f>IFERROR(__xludf.DUMMYFUNCTION("""COMPUTED_VALUE"""),1.0)</f>
        <v>1</v>
      </c>
      <c r="E3783" s="16">
        <f>IFERROR(__xludf.DUMMYFUNCTION("""COMPUTED_VALUE"""),69.0)</f>
        <v>69</v>
      </c>
      <c r="F3783" s="19" t="str">
        <f>IFERROR(__xludf.DUMMYFUNCTION("""COMPUTED_VALUE"""),"BLUE")</f>
        <v>BLUE</v>
      </c>
      <c r="G3783" s="20" t="str">
        <f>IFERROR(__xludf.DUMMYFUNCTION("""COMPUTED_VALUE"""),"Uncle Sams Cider (04/04/2023)")</f>
        <v>Uncle Sams Cider (04/04/2023)</v>
      </c>
      <c r="H3783" s="19"/>
    </row>
    <row r="3784">
      <c r="A3784" s="9"/>
      <c r="B3784" s="15"/>
      <c r="C3784" s="9">
        <f>IFERROR(__xludf.DUMMYFUNCTION("""COMPUTED_VALUE"""),45104.9627028472)</f>
        <v>45104.9627</v>
      </c>
      <c r="D3784" s="15">
        <f>IFERROR(__xludf.DUMMYFUNCTION("""COMPUTED_VALUE"""),1.0)</f>
        <v>1</v>
      </c>
      <c r="E3784" s="16">
        <f>IFERROR(__xludf.DUMMYFUNCTION("""COMPUTED_VALUE"""),69.0)</f>
        <v>69</v>
      </c>
      <c r="F3784" s="19" t="str">
        <f>IFERROR(__xludf.DUMMYFUNCTION("""COMPUTED_VALUE"""),"BLUE")</f>
        <v>BLUE</v>
      </c>
      <c r="G3784" s="20" t="str">
        <f>IFERROR(__xludf.DUMMYFUNCTION("""COMPUTED_VALUE"""),"Uncle Sams Cider (04/04/2023)")</f>
        <v>Uncle Sams Cider (04/04/2023)</v>
      </c>
      <c r="H3784" s="19"/>
    </row>
    <row r="3785">
      <c r="A3785" s="9"/>
      <c r="B3785" s="15"/>
      <c r="C3785" s="9">
        <f>IFERROR(__xludf.DUMMYFUNCTION("""COMPUTED_VALUE"""),45104.9522815277)</f>
        <v>45104.95228</v>
      </c>
      <c r="D3785" s="15">
        <f>IFERROR(__xludf.DUMMYFUNCTION("""COMPUTED_VALUE"""),1.0)</f>
        <v>1</v>
      </c>
      <c r="E3785" s="16">
        <f>IFERROR(__xludf.DUMMYFUNCTION("""COMPUTED_VALUE"""),69.0)</f>
        <v>69</v>
      </c>
      <c r="F3785" s="19" t="str">
        <f>IFERROR(__xludf.DUMMYFUNCTION("""COMPUTED_VALUE"""),"BLUE")</f>
        <v>BLUE</v>
      </c>
      <c r="G3785" s="20" t="str">
        <f>IFERROR(__xludf.DUMMYFUNCTION("""COMPUTED_VALUE"""),"Uncle Sams Cider (04/04/2023)")</f>
        <v>Uncle Sams Cider (04/04/2023)</v>
      </c>
      <c r="H3785" s="19"/>
    </row>
    <row r="3786">
      <c r="A3786" s="9"/>
      <c r="B3786" s="15"/>
      <c r="C3786" s="9">
        <f>IFERROR(__xludf.DUMMYFUNCTION("""COMPUTED_VALUE"""),45104.9418618287)</f>
        <v>45104.94186</v>
      </c>
      <c r="D3786" s="15">
        <f>IFERROR(__xludf.DUMMYFUNCTION("""COMPUTED_VALUE"""),1.0)</f>
        <v>1</v>
      </c>
      <c r="E3786" s="16">
        <f>IFERROR(__xludf.DUMMYFUNCTION("""COMPUTED_VALUE"""),69.0)</f>
        <v>69</v>
      </c>
      <c r="F3786" s="19" t="str">
        <f>IFERROR(__xludf.DUMMYFUNCTION("""COMPUTED_VALUE"""),"BLUE")</f>
        <v>BLUE</v>
      </c>
      <c r="G3786" s="20" t="str">
        <f>IFERROR(__xludf.DUMMYFUNCTION("""COMPUTED_VALUE"""),"Uncle Sams Cider (04/04/2023)")</f>
        <v>Uncle Sams Cider (04/04/2023)</v>
      </c>
      <c r="H3786" s="19"/>
    </row>
    <row r="3787">
      <c r="A3787" s="9"/>
      <c r="B3787" s="15"/>
      <c r="C3787" s="9">
        <f>IFERROR(__xludf.DUMMYFUNCTION("""COMPUTED_VALUE"""),45104.931427743)</f>
        <v>45104.93143</v>
      </c>
      <c r="D3787" s="15">
        <f>IFERROR(__xludf.DUMMYFUNCTION("""COMPUTED_VALUE"""),1.0)</f>
        <v>1</v>
      </c>
      <c r="E3787" s="16">
        <f>IFERROR(__xludf.DUMMYFUNCTION("""COMPUTED_VALUE"""),69.0)</f>
        <v>69</v>
      </c>
      <c r="F3787" s="19" t="str">
        <f>IFERROR(__xludf.DUMMYFUNCTION("""COMPUTED_VALUE"""),"BLUE")</f>
        <v>BLUE</v>
      </c>
      <c r="G3787" s="20" t="str">
        <f>IFERROR(__xludf.DUMMYFUNCTION("""COMPUTED_VALUE"""),"Uncle Sams Cider (04/04/2023)")</f>
        <v>Uncle Sams Cider (04/04/2023)</v>
      </c>
      <c r="H3787" s="19"/>
    </row>
    <row r="3788">
      <c r="A3788" s="9"/>
      <c r="B3788" s="15"/>
      <c r="C3788" s="9">
        <f>IFERROR(__xludf.DUMMYFUNCTION("""COMPUTED_VALUE"""),45104.9209949537)</f>
        <v>45104.92099</v>
      </c>
      <c r="D3788" s="15">
        <f>IFERROR(__xludf.DUMMYFUNCTION("""COMPUTED_VALUE"""),1.0)</f>
        <v>1</v>
      </c>
      <c r="E3788" s="16">
        <f>IFERROR(__xludf.DUMMYFUNCTION("""COMPUTED_VALUE"""),69.0)</f>
        <v>69</v>
      </c>
      <c r="F3788" s="19" t="str">
        <f>IFERROR(__xludf.DUMMYFUNCTION("""COMPUTED_VALUE"""),"BLUE")</f>
        <v>BLUE</v>
      </c>
      <c r="G3788" s="20" t="str">
        <f>IFERROR(__xludf.DUMMYFUNCTION("""COMPUTED_VALUE"""),"Uncle Sams Cider (04/04/2023)")</f>
        <v>Uncle Sams Cider (04/04/2023)</v>
      </c>
      <c r="H3788" s="19"/>
    </row>
    <row r="3789">
      <c r="A3789" s="9"/>
      <c r="B3789" s="15"/>
      <c r="C3789" s="9">
        <f>IFERROR(__xludf.DUMMYFUNCTION("""COMPUTED_VALUE"""),45104.9105724652)</f>
        <v>45104.91057</v>
      </c>
      <c r="D3789" s="15">
        <f>IFERROR(__xludf.DUMMYFUNCTION("""COMPUTED_VALUE"""),1.0)</f>
        <v>1</v>
      </c>
      <c r="E3789" s="16">
        <f>IFERROR(__xludf.DUMMYFUNCTION("""COMPUTED_VALUE"""),69.0)</f>
        <v>69</v>
      </c>
      <c r="F3789" s="19" t="str">
        <f>IFERROR(__xludf.DUMMYFUNCTION("""COMPUTED_VALUE"""),"BLUE")</f>
        <v>BLUE</v>
      </c>
      <c r="G3789" s="20" t="str">
        <f>IFERROR(__xludf.DUMMYFUNCTION("""COMPUTED_VALUE"""),"Uncle Sams Cider (04/04/2023)")</f>
        <v>Uncle Sams Cider (04/04/2023)</v>
      </c>
      <c r="H3789" s="19"/>
    </row>
    <row r="3790">
      <c r="A3790" s="9"/>
      <c r="B3790" s="15"/>
      <c r="C3790" s="9">
        <f>IFERROR(__xludf.DUMMYFUNCTION("""COMPUTED_VALUE"""),45104.9001525578)</f>
        <v>45104.90015</v>
      </c>
      <c r="D3790" s="15">
        <f>IFERROR(__xludf.DUMMYFUNCTION("""COMPUTED_VALUE"""),1.0)</f>
        <v>1</v>
      </c>
      <c r="E3790" s="16">
        <f>IFERROR(__xludf.DUMMYFUNCTION("""COMPUTED_VALUE"""),69.0)</f>
        <v>69</v>
      </c>
      <c r="F3790" s="19" t="str">
        <f>IFERROR(__xludf.DUMMYFUNCTION("""COMPUTED_VALUE"""),"BLUE")</f>
        <v>BLUE</v>
      </c>
      <c r="G3790" s="20" t="str">
        <f>IFERROR(__xludf.DUMMYFUNCTION("""COMPUTED_VALUE"""),"Uncle Sams Cider (04/04/2023)")</f>
        <v>Uncle Sams Cider (04/04/2023)</v>
      </c>
      <c r="H3790" s="19"/>
    </row>
    <row r="3791">
      <c r="A3791" s="9"/>
      <c r="B3791" s="15"/>
      <c r="C3791" s="9">
        <f>IFERROR(__xludf.DUMMYFUNCTION("""COMPUTED_VALUE"""),45104.8897314236)</f>
        <v>45104.88973</v>
      </c>
      <c r="D3791" s="15">
        <f>IFERROR(__xludf.DUMMYFUNCTION("""COMPUTED_VALUE"""),1.0)</f>
        <v>1</v>
      </c>
      <c r="E3791" s="16">
        <f>IFERROR(__xludf.DUMMYFUNCTION("""COMPUTED_VALUE"""),69.0)</f>
        <v>69</v>
      </c>
      <c r="F3791" s="19" t="str">
        <f>IFERROR(__xludf.DUMMYFUNCTION("""COMPUTED_VALUE"""),"BLUE")</f>
        <v>BLUE</v>
      </c>
      <c r="G3791" s="20" t="str">
        <f>IFERROR(__xludf.DUMMYFUNCTION("""COMPUTED_VALUE"""),"Uncle Sams Cider (04/04/2023)")</f>
        <v>Uncle Sams Cider (04/04/2023)</v>
      </c>
      <c r="H3791" s="19"/>
    </row>
    <row r="3792">
      <c r="A3792" s="9"/>
      <c r="B3792" s="15"/>
      <c r="C3792" s="9">
        <f>IFERROR(__xludf.DUMMYFUNCTION("""COMPUTED_VALUE"""),45104.8793106365)</f>
        <v>45104.87931</v>
      </c>
      <c r="D3792" s="15">
        <f>IFERROR(__xludf.DUMMYFUNCTION("""COMPUTED_VALUE"""),1.0)</f>
        <v>1</v>
      </c>
      <c r="E3792" s="16">
        <f>IFERROR(__xludf.DUMMYFUNCTION("""COMPUTED_VALUE"""),69.0)</f>
        <v>69</v>
      </c>
      <c r="F3792" s="19" t="str">
        <f>IFERROR(__xludf.DUMMYFUNCTION("""COMPUTED_VALUE"""),"BLUE")</f>
        <v>BLUE</v>
      </c>
      <c r="G3792" s="20" t="str">
        <f>IFERROR(__xludf.DUMMYFUNCTION("""COMPUTED_VALUE"""),"Uncle Sams Cider (04/04/2023)")</f>
        <v>Uncle Sams Cider (04/04/2023)</v>
      </c>
      <c r="H3792" s="19"/>
    </row>
    <row r="3793">
      <c r="A3793" s="9"/>
      <c r="B3793" s="15"/>
      <c r="C3793" s="9">
        <f>IFERROR(__xludf.DUMMYFUNCTION("""COMPUTED_VALUE"""),45104.868890625)</f>
        <v>45104.86889</v>
      </c>
      <c r="D3793" s="15">
        <f>IFERROR(__xludf.DUMMYFUNCTION("""COMPUTED_VALUE"""),1.0)</f>
        <v>1</v>
      </c>
      <c r="E3793" s="16">
        <f>IFERROR(__xludf.DUMMYFUNCTION("""COMPUTED_VALUE"""),69.0)</f>
        <v>69</v>
      </c>
      <c r="F3793" s="19" t="str">
        <f>IFERROR(__xludf.DUMMYFUNCTION("""COMPUTED_VALUE"""),"BLUE")</f>
        <v>BLUE</v>
      </c>
      <c r="G3793" s="20" t="str">
        <f>IFERROR(__xludf.DUMMYFUNCTION("""COMPUTED_VALUE"""),"Uncle Sams Cider (04/04/2023)")</f>
        <v>Uncle Sams Cider (04/04/2023)</v>
      </c>
      <c r="H3793" s="19"/>
    </row>
    <row r="3794">
      <c r="A3794" s="9"/>
      <c r="B3794" s="15"/>
      <c r="C3794" s="9">
        <f>IFERROR(__xludf.DUMMYFUNCTION("""COMPUTED_VALUE"""),45104.858469375)</f>
        <v>45104.85847</v>
      </c>
      <c r="D3794" s="15">
        <f>IFERROR(__xludf.DUMMYFUNCTION("""COMPUTED_VALUE"""),1.0)</f>
        <v>1</v>
      </c>
      <c r="E3794" s="16">
        <f>IFERROR(__xludf.DUMMYFUNCTION("""COMPUTED_VALUE"""),69.0)</f>
        <v>69</v>
      </c>
      <c r="F3794" s="19" t="str">
        <f>IFERROR(__xludf.DUMMYFUNCTION("""COMPUTED_VALUE"""),"BLUE")</f>
        <v>BLUE</v>
      </c>
      <c r="G3794" s="20" t="str">
        <f>IFERROR(__xludf.DUMMYFUNCTION("""COMPUTED_VALUE"""),"Uncle Sams Cider (04/04/2023)")</f>
        <v>Uncle Sams Cider (04/04/2023)</v>
      </c>
      <c r="H3794" s="19"/>
    </row>
    <row r="3795">
      <c r="A3795" s="9"/>
      <c r="B3795" s="15"/>
      <c r="C3795" s="9">
        <f>IFERROR(__xludf.DUMMYFUNCTION("""COMPUTED_VALUE"""),45104.8480489467)</f>
        <v>45104.84805</v>
      </c>
      <c r="D3795" s="15">
        <f>IFERROR(__xludf.DUMMYFUNCTION("""COMPUTED_VALUE"""),1.0)</f>
        <v>1</v>
      </c>
      <c r="E3795" s="16">
        <f>IFERROR(__xludf.DUMMYFUNCTION("""COMPUTED_VALUE"""),69.0)</f>
        <v>69</v>
      </c>
      <c r="F3795" s="19" t="str">
        <f>IFERROR(__xludf.DUMMYFUNCTION("""COMPUTED_VALUE"""),"BLUE")</f>
        <v>BLUE</v>
      </c>
      <c r="G3795" s="20" t="str">
        <f>IFERROR(__xludf.DUMMYFUNCTION("""COMPUTED_VALUE"""),"Uncle Sams Cider (04/04/2023)")</f>
        <v>Uncle Sams Cider (04/04/2023)</v>
      </c>
      <c r="H3795" s="19"/>
    </row>
    <row r="3796">
      <c r="A3796" s="9"/>
      <c r="B3796" s="15"/>
      <c r="C3796" s="9">
        <f>IFERROR(__xludf.DUMMYFUNCTION("""COMPUTED_VALUE"""),45104.8376170486)</f>
        <v>45104.83762</v>
      </c>
      <c r="D3796" s="15">
        <f>IFERROR(__xludf.DUMMYFUNCTION("""COMPUTED_VALUE"""),1.0)</f>
        <v>1</v>
      </c>
      <c r="E3796" s="16">
        <f>IFERROR(__xludf.DUMMYFUNCTION("""COMPUTED_VALUE"""),69.0)</f>
        <v>69</v>
      </c>
      <c r="F3796" s="19" t="str">
        <f>IFERROR(__xludf.DUMMYFUNCTION("""COMPUTED_VALUE"""),"BLUE")</f>
        <v>BLUE</v>
      </c>
      <c r="G3796" s="20" t="str">
        <f>IFERROR(__xludf.DUMMYFUNCTION("""COMPUTED_VALUE"""),"Uncle Sams Cider (04/04/2023)")</f>
        <v>Uncle Sams Cider (04/04/2023)</v>
      </c>
      <c r="H3796" s="19"/>
    </row>
    <row r="3797">
      <c r="A3797" s="9"/>
      <c r="B3797" s="15"/>
      <c r="C3797" s="9">
        <f>IFERROR(__xludf.DUMMYFUNCTION("""COMPUTED_VALUE"""),45104.8271948958)</f>
        <v>45104.82719</v>
      </c>
      <c r="D3797" s="15">
        <f>IFERROR(__xludf.DUMMYFUNCTION("""COMPUTED_VALUE"""),1.0)</f>
        <v>1</v>
      </c>
      <c r="E3797" s="16">
        <f>IFERROR(__xludf.DUMMYFUNCTION("""COMPUTED_VALUE"""),69.0)</f>
        <v>69</v>
      </c>
      <c r="F3797" s="19" t="str">
        <f>IFERROR(__xludf.DUMMYFUNCTION("""COMPUTED_VALUE"""),"BLUE")</f>
        <v>BLUE</v>
      </c>
      <c r="G3797" s="20" t="str">
        <f>IFERROR(__xludf.DUMMYFUNCTION("""COMPUTED_VALUE"""),"Uncle Sams Cider (04/04/2023)")</f>
        <v>Uncle Sams Cider (04/04/2023)</v>
      </c>
      <c r="H3797" s="19"/>
    </row>
    <row r="3798">
      <c r="A3798" s="9"/>
      <c r="B3798" s="15"/>
      <c r="C3798" s="9">
        <f>IFERROR(__xludf.DUMMYFUNCTION("""COMPUTED_VALUE"""),45104.8167603472)</f>
        <v>45104.81676</v>
      </c>
      <c r="D3798" s="15">
        <f>IFERROR(__xludf.DUMMYFUNCTION("""COMPUTED_VALUE"""),1.0)</f>
        <v>1</v>
      </c>
      <c r="E3798" s="16">
        <f>IFERROR(__xludf.DUMMYFUNCTION("""COMPUTED_VALUE"""),69.0)</f>
        <v>69</v>
      </c>
      <c r="F3798" s="19" t="str">
        <f>IFERROR(__xludf.DUMMYFUNCTION("""COMPUTED_VALUE"""),"BLUE")</f>
        <v>BLUE</v>
      </c>
      <c r="G3798" s="20" t="str">
        <f>IFERROR(__xludf.DUMMYFUNCTION("""COMPUTED_VALUE"""),"Uncle Sams Cider (04/04/2023)")</f>
        <v>Uncle Sams Cider (04/04/2023)</v>
      </c>
      <c r="H3798" s="19"/>
    </row>
    <row r="3799">
      <c r="A3799" s="9"/>
      <c r="B3799" s="15"/>
      <c r="C3799" s="9">
        <f>IFERROR(__xludf.DUMMYFUNCTION("""COMPUTED_VALUE"""),45104.8063391435)</f>
        <v>45104.80634</v>
      </c>
      <c r="D3799" s="15">
        <f>IFERROR(__xludf.DUMMYFUNCTION("""COMPUTED_VALUE"""),1.0)</f>
        <v>1</v>
      </c>
      <c r="E3799" s="16">
        <f>IFERROR(__xludf.DUMMYFUNCTION("""COMPUTED_VALUE"""),69.0)</f>
        <v>69</v>
      </c>
      <c r="F3799" s="19" t="str">
        <f>IFERROR(__xludf.DUMMYFUNCTION("""COMPUTED_VALUE"""),"BLUE")</f>
        <v>BLUE</v>
      </c>
      <c r="G3799" s="20" t="str">
        <f>IFERROR(__xludf.DUMMYFUNCTION("""COMPUTED_VALUE"""),"Uncle Sams Cider (04/04/2023)")</f>
        <v>Uncle Sams Cider (04/04/2023)</v>
      </c>
      <c r="H3799" s="19"/>
    </row>
    <row r="3800">
      <c r="A3800" s="9"/>
      <c r="B3800" s="15"/>
      <c r="C3800" s="9">
        <f>IFERROR(__xludf.DUMMYFUNCTION("""COMPUTED_VALUE"""),45104.7959183564)</f>
        <v>45104.79592</v>
      </c>
      <c r="D3800" s="15">
        <f>IFERROR(__xludf.DUMMYFUNCTION("""COMPUTED_VALUE"""),1.0)</f>
        <v>1</v>
      </c>
      <c r="E3800" s="16">
        <f>IFERROR(__xludf.DUMMYFUNCTION("""COMPUTED_VALUE"""),69.0)</f>
        <v>69</v>
      </c>
      <c r="F3800" s="19" t="str">
        <f>IFERROR(__xludf.DUMMYFUNCTION("""COMPUTED_VALUE"""),"BLUE")</f>
        <v>BLUE</v>
      </c>
      <c r="G3800" s="20" t="str">
        <f>IFERROR(__xludf.DUMMYFUNCTION("""COMPUTED_VALUE"""),"Uncle Sams Cider (04/04/2023)")</f>
        <v>Uncle Sams Cider (04/04/2023)</v>
      </c>
      <c r="H3800" s="19"/>
    </row>
    <row r="3801">
      <c r="A3801" s="9"/>
      <c r="B3801" s="15"/>
      <c r="C3801" s="9">
        <f>IFERROR(__xludf.DUMMYFUNCTION("""COMPUTED_VALUE"""),45104.785483993)</f>
        <v>45104.78548</v>
      </c>
      <c r="D3801" s="15">
        <f>IFERROR(__xludf.DUMMYFUNCTION("""COMPUTED_VALUE"""),1.0)</f>
        <v>1</v>
      </c>
      <c r="E3801" s="16">
        <f>IFERROR(__xludf.DUMMYFUNCTION("""COMPUTED_VALUE"""),69.0)</f>
        <v>69</v>
      </c>
      <c r="F3801" s="19" t="str">
        <f>IFERROR(__xludf.DUMMYFUNCTION("""COMPUTED_VALUE"""),"BLUE")</f>
        <v>BLUE</v>
      </c>
      <c r="G3801" s="20" t="str">
        <f>IFERROR(__xludf.DUMMYFUNCTION("""COMPUTED_VALUE"""),"Uncle Sams Cider (04/04/2023)")</f>
        <v>Uncle Sams Cider (04/04/2023)</v>
      </c>
      <c r="H3801" s="19"/>
    </row>
    <row r="3802">
      <c r="A3802" s="9"/>
      <c r="B3802" s="15"/>
      <c r="C3802" s="9">
        <f>IFERROR(__xludf.DUMMYFUNCTION("""COMPUTED_VALUE"""),45104.7750632986)</f>
        <v>45104.77506</v>
      </c>
      <c r="D3802" s="15">
        <f>IFERROR(__xludf.DUMMYFUNCTION("""COMPUTED_VALUE"""),1.0)</f>
        <v>1</v>
      </c>
      <c r="E3802" s="16">
        <f>IFERROR(__xludf.DUMMYFUNCTION("""COMPUTED_VALUE"""),69.0)</f>
        <v>69</v>
      </c>
      <c r="F3802" s="19" t="str">
        <f>IFERROR(__xludf.DUMMYFUNCTION("""COMPUTED_VALUE"""),"BLUE")</f>
        <v>BLUE</v>
      </c>
      <c r="G3802" s="20" t="str">
        <f>IFERROR(__xludf.DUMMYFUNCTION("""COMPUTED_VALUE"""),"Uncle Sams Cider (04/04/2023)")</f>
        <v>Uncle Sams Cider (04/04/2023)</v>
      </c>
      <c r="H3802" s="19"/>
    </row>
    <row r="3803">
      <c r="A3803" s="9"/>
      <c r="B3803" s="15"/>
      <c r="C3803" s="9">
        <f>IFERROR(__xludf.DUMMYFUNCTION("""COMPUTED_VALUE"""),45104.7646308912)</f>
        <v>45104.76463</v>
      </c>
      <c r="D3803" s="15">
        <f>IFERROR(__xludf.DUMMYFUNCTION("""COMPUTED_VALUE"""),1.0)</f>
        <v>1</v>
      </c>
      <c r="E3803" s="16">
        <f>IFERROR(__xludf.DUMMYFUNCTION("""COMPUTED_VALUE"""),69.0)</f>
        <v>69</v>
      </c>
      <c r="F3803" s="19" t="str">
        <f>IFERROR(__xludf.DUMMYFUNCTION("""COMPUTED_VALUE"""),"BLUE")</f>
        <v>BLUE</v>
      </c>
      <c r="G3803" s="20" t="str">
        <f>IFERROR(__xludf.DUMMYFUNCTION("""COMPUTED_VALUE"""),"Uncle Sams Cider (04/04/2023)")</f>
        <v>Uncle Sams Cider (04/04/2023)</v>
      </c>
      <c r="H3803" s="19"/>
    </row>
    <row r="3804">
      <c r="A3804" s="9"/>
      <c r="B3804" s="15"/>
      <c r="C3804" s="9">
        <f>IFERROR(__xludf.DUMMYFUNCTION("""COMPUTED_VALUE"""),45104.7542106944)</f>
        <v>45104.75421</v>
      </c>
      <c r="D3804" s="15">
        <f>IFERROR(__xludf.DUMMYFUNCTION("""COMPUTED_VALUE"""),1.0)</f>
        <v>1</v>
      </c>
      <c r="E3804" s="16">
        <f>IFERROR(__xludf.DUMMYFUNCTION("""COMPUTED_VALUE"""),69.0)</f>
        <v>69</v>
      </c>
      <c r="F3804" s="19" t="str">
        <f>IFERROR(__xludf.DUMMYFUNCTION("""COMPUTED_VALUE"""),"BLUE")</f>
        <v>BLUE</v>
      </c>
      <c r="G3804" s="20" t="str">
        <f>IFERROR(__xludf.DUMMYFUNCTION("""COMPUTED_VALUE"""),"Uncle Sams Cider (04/04/2023)")</f>
        <v>Uncle Sams Cider (04/04/2023)</v>
      </c>
      <c r="H3804" s="19"/>
    </row>
    <row r="3805">
      <c r="A3805" s="9"/>
      <c r="B3805" s="15"/>
      <c r="C3805" s="9">
        <f>IFERROR(__xludf.DUMMYFUNCTION("""COMPUTED_VALUE"""),45104.7437895023)</f>
        <v>45104.74379</v>
      </c>
      <c r="D3805" s="15">
        <f>IFERROR(__xludf.DUMMYFUNCTION("""COMPUTED_VALUE"""),1.0)</f>
        <v>1</v>
      </c>
      <c r="E3805" s="16">
        <f>IFERROR(__xludf.DUMMYFUNCTION("""COMPUTED_VALUE"""),69.0)</f>
        <v>69</v>
      </c>
      <c r="F3805" s="19" t="str">
        <f>IFERROR(__xludf.DUMMYFUNCTION("""COMPUTED_VALUE"""),"BLUE")</f>
        <v>BLUE</v>
      </c>
      <c r="G3805" s="20" t="str">
        <f>IFERROR(__xludf.DUMMYFUNCTION("""COMPUTED_VALUE"""),"Uncle Sams Cider (04/04/2023)")</f>
        <v>Uncle Sams Cider (04/04/2023)</v>
      </c>
      <c r="H3805" s="19"/>
    </row>
    <row r="3806">
      <c r="A3806" s="9"/>
      <c r="B3806" s="15"/>
      <c r="C3806" s="9">
        <f>IFERROR(__xludf.DUMMYFUNCTION("""COMPUTED_VALUE"""),45104.7333696643)</f>
        <v>45104.73337</v>
      </c>
      <c r="D3806" s="15">
        <f>IFERROR(__xludf.DUMMYFUNCTION("""COMPUTED_VALUE"""),1.0)</f>
        <v>1</v>
      </c>
      <c r="E3806" s="16">
        <f>IFERROR(__xludf.DUMMYFUNCTION("""COMPUTED_VALUE"""),69.0)</f>
        <v>69</v>
      </c>
      <c r="F3806" s="19" t="str">
        <f>IFERROR(__xludf.DUMMYFUNCTION("""COMPUTED_VALUE"""),"BLUE")</f>
        <v>BLUE</v>
      </c>
      <c r="G3806" s="20" t="str">
        <f>IFERROR(__xludf.DUMMYFUNCTION("""COMPUTED_VALUE"""),"Uncle Sams Cider (04/04/2023)")</f>
        <v>Uncle Sams Cider (04/04/2023)</v>
      </c>
      <c r="H3806" s="19"/>
    </row>
    <row r="3807">
      <c r="A3807" s="9"/>
      <c r="B3807" s="15"/>
      <c r="C3807" s="9">
        <f>IFERROR(__xludf.DUMMYFUNCTION("""COMPUTED_VALUE"""),45104.7229475231)</f>
        <v>45104.72295</v>
      </c>
      <c r="D3807" s="15">
        <f>IFERROR(__xludf.DUMMYFUNCTION("""COMPUTED_VALUE"""),1.0)</f>
        <v>1</v>
      </c>
      <c r="E3807" s="16">
        <f>IFERROR(__xludf.DUMMYFUNCTION("""COMPUTED_VALUE"""),69.0)</f>
        <v>69</v>
      </c>
      <c r="F3807" s="19" t="str">
        <f>IFERROR(__xludf.DUMMYFUNCTION("""COMPUTED_VALUE"""),"BLUE")</f>
        <v>BLUE</v>
      </c>
      <c r="G3807" s="20" t="str">
        <f>IFERROR(__xludf.DUMMYFUNCTION("""COMPUTED_VALUE"""),"Uncle Sams Cider (04/04/2023)")</f>
        <v>Uncle Sams Cider (04/04/2023)</v>
      </c>
      <c r="H3807" s="19"/>
    </row>
    <row r="3808">
      <c r="A3808" s="9"/>
      <c r="B3808" s="15"/>
      <c r="C3808" s="9">
        <f>IFERROR(__xludf.DUMMYFUNCTION("""COMPUTED_VALUE"""),45104.7125135532)</f>
        <v>45104.71251</v>
      </c>
      <c r="D3808" s="15">
        <f>IFERROR(__xludf.DUMMYFUNCTION("""COMPUTED_VALUE"""),1.0)</f>
        <v>1</v>
      </c>
      <c r="E3808" s="16">
        <f>IFERROR(__xludf.DUMMYFUNCTION("""COMPUTED_VALUE"""),69.0)</f>
        <v>69</v>
      </c>
      <c r="F3808" s="19" t="str">
        <f>IFERROR(__xludf.DUMMYFUNCTION("""COMPUTED_VALUE"""),"BLUE")</f>
        <v>BLUE</v>
      </c>
      <c r="G3808" s="20" t="str">
        <f>IFERROR(__xludf.DUMMYFUNCTION("""COMPUTED_VALUE"""),"Uncle Sams Cider (04/04/2023)")</f>
        <v>Uncle Sams Cider (04/04/2023)</v>
      </c>
      <c r="H3808" s="19"/>
    </row>
    <row r="3809">
      <c r="A3809" s="9"/>
      <c r="B3809" s="15"/>
      <c r="C3809" s="9">
        <f>IFERROR(__xludf.DUMMYFUNCTION("""COMPUTED_VALUE"""),45104.702081655)</f>
        <v>45104.70208</v>
      </c>
      <c r="D3809" s="15">
        <f>IFERROR(__xludf.DUMMYFUNCTION("""COMPUTED_VALUE"""),1.0)</f>
        <v>1</v>
      </c>
      <c r="E3809" s="16">
        <f>IFERROR(__xludf.DUMMYFUNCTION("""COMPUTED_VALUE"""),69.0)</f>
        <v>69</v>
      </c>
      <c r="F3809" s="19" t="str">
        <f>IFERROR(__xludf.DUMMYFUNCTION("""COMPUTED_VALUE"""),"BLUE")</f>
        <v>BLUE</v>
      </c>
      <c r="G3809" s="20" t="str">
        <f>IFERROR(__xludf.DUMMYFUNCTION("""COMPUTED_VALUE"""),"Uncle Sams Cider (04/04/2023)")</f>
        <v>Uncle Sams Cider (04/04/2023)</v>
      </c>
      <c r="H3809" s="19"/>
    </row>
    <row r="3810">
      <c r="A3810" s="9"/>
      <c r="B3810" s="15"/>
      <c r="C3810" s="9">
        <f>IFERROR(__xludf.DUMMYFUNCTION("""COMPUTED_VALUE"""),45104.6916601388)</f>
        <v>45104.69166</v>
      </c>
      <c r="D3810" s="15">
        <f>IFERROR(__xludf.DUMMYFUNCTION("""COMPUTED_VALUE"""),1.0)</f>
        <v>1</v>
      </c>
      <c r="E3810" s="16">
        <f>IFERROR(__xludf.DUMMYFUNCTION("""COMPUTED_VALUE"""),69.0)</f>
        <v>69</v>
      </c>
      <c r="F3810" s="19" t="str">
        <f>IFERROR(__xludf.DUMMYFUNCTION("""COMPUTED_VALUE"""),"BLUE")</f>
        <v>BLUE</v>
      </c>
      <c r="G3810" s="20" t="str">
        <f>IFERROR(__xludf.DUMMYFUNCTION("""COMPUTED_VALUE"""),"Uncle Sams Cider (04/04/2023)")</f>
        <v>Uncle Sams Cider (04/04/2023)</v>
      </c>
      <c r="H3810" s="19"/>
    </row>
    <row r="3811">
      <c r="A3811" s="9"/>
      <c r="B3811" s="15"/>
      <c r="C3811" s="9">
        <f>IFERROR(__xludf.DUMMYFUNCTION("""COMPUTED_VALUE"""),45104.6812383217)</f>
        <v>45104.68124</v>
      </c>
      <c r="D3811" s="15">
        <f>IFERROR(__xludf.DUMMYFUNCTION("""COMPUTED_VALUE"""),1.0)</f>
        <v>1</v>
      </c>
      <c r="E3811" s="16">
        <f>IFERROR(__xludf.DUMMYFUNCTION("""COMPUTED_VALUE"""),69.0)</f>
        <v>69</v>
      </c>
      <c r="F3811" s="19" t="str">
        <f>IFERROR(__xludf.DUMMYFUNCTION("""COMPUTED_VALUE"""),"BLUE")</f>
        <v>BLUE</v>
      </c>
      <c r="G3811" s="20" t="str">
        <f>IFERROR(__xludf.DUMMYFUNCTION("""COMPUTED_VALUE"""),"Uncle Sams Cider (04/04/2023)")</f>
        <v>Uncle Sams Cider (04/04/2023)</v>
      </c>
      <c r="H3811" s="19"/>
    </row>
    <row r="3812">
      <c r="A3812" s="9"/>
      <c r="B3812" s="15"/>
      <c r="C3812" s="9">
        <f>IFERROR(__xludf.DUMMYFUNCTION("""COMPUTED_VALUE"""),45104.6708161689)</f>
        <v>45104.67082</v>
      </c>
      <c r="D3812" s="15">
        <f>IFERROR(__xludf.DUMMYFUNCTION("""COMPUTED_VALUE"""),1.0)</f>
        <v>1</v>
      </c>
      <c r="E3812" s="16">
        <f>IFERROR(__xludf.DUMMYFUNCTION("""COMPUTED_VALUE"""),69.0)</f>
        <v>69</v>
      </c>
      <c r="F3812" s="19" t="str">
        <f>IFERROR(__xludf.DUMMYFUNCTION("""COMPUTED_VALUE"""),"BLUE")</f>
        <v>BLUE</v>
      </c>
      <c r="G3812" s="20" t="str">
        <f>IFERROR(__xludf.DUMMYFUNCTION("""COMPUTED_VALUE"""),"Uncle Sams Cider (04/04/2023)")</f>
        <v>Uncle Sams Cider (04/04/2023)</v>
      </c>
      <c r="H3812" s="19"/>
    </row>
    <row r="3813">
      <c r="A3813" s="9"/>
      <c r="B3813" s="15"/>
      <c r="C3813" s="9">
        <f>IFERROR(__xludf.DUMMYFUNCTION("""COMPUTED_VALUE"""),45104.6603947916)</f>
        <v>45104.66039</v>
      </c>
      <c r="D3813" s="15">
        <f>IFERROR(__xludf.DUMMYFUNCTION("""COMPUTED_VALUE"""),1.0)</f>
        <v>1</v>
      </c>
      <c r="E3813" s="16">
        <f>IFERROR(__xludf.DUMMYFUNCTION("""COMPUTED_VALUE"""),69.0)</f>
        <v>69</v>
      </c>
      <c r="F3813" s="19" t="str">
        <f>IFERROR(__xludf.DUMMYFUNCTION("""COMPUTED_VALUE"""),"BLUE")</f>
        <v>BLUE</v>
      </c>
      <c r="G3813" s="20" t="str">
        <f>IFERROR(__xludf.DUMMYFUNCTION("""COMPUTED_VALUE"""),"Uncle Sams Cider (04/04/2023)")</f>
        <v>Uncle Sams Cider (04/04/2023)</v>
      </c>
      <c r="H3813" s="19"/>
    </row>
    <row r="3814">
      <c r="A3814" s="9"/>
      <c r="B3814" s="15"/>
      <c r="C3814" s="9">
        <f>IFERROR(__xludf.DUMMYFUNCTION("""COMPUTED_VALUE"""),45104.6499723611)</f>
        <v>45104.64997</v>
      </c>
      <c r="D3814" s="15">
        <f>IFERROR(__xludf.DUMMYFUNCTION("""COMPUTED_VALUE"""),1.0)</f>
        <v>1</v>
      </c>
      <c r="E3814" s="16">
        <f>IFERROR(__xludf.DUMMYFUNCTION("""COMPUTED_VALUE"""),69.0)</f>
        <v>69</v>
      </c>
      <c r="F3814" s="19" t="str">
        <f>IFERROR(__xludf.DUMMYFUNCTION("""COMPUTED_VALUE"""),"BLUE")</f>
        <v>BLUE</v>
      </c>
      <c r="G3814" s="20" t="str">
        <f>IFERROR(__xludf.DUMMYFUNCTION("""COMPUTED_VALUE"""),"Uncle Sams Cider (04/04/2023)")</f>
        <v>Uncle Sams Cider (04/04/2023)</v>
      </c>
      <c r="H3814" s="19"/>
    </row>
    <row r="3815">
      <c r="A3815" s="9"/>
      <c r="B3815" s="15"/>
      <c r="C3815" s="9">
        <f>IFERROR(__xludf.DUMMYFUNCTION("""COMPUTED_VALUE"""),45104.6395386226)</f>
        <v>45104.63954</v>
      </c>
      <c r="D3815" s="15">
        <f>IFERROR(__xludf.DUMMYFUNCTION("""COMPUTED_VALUE"""),1.0)</f>
        <v>1</v>
      </c>
      <c r="E3815" s="16">
        <f>IFERROR(__xludf.DUMMYFUNCTION("""COMPUTED_VALUE"""),69.0)</f>
        <v>69</v>
      </c>
      <c r="F3815" s="19" t="str">
        <f>IFERROR(__xludf.DUMMYFUNCTION("""COMPUTED_VALUE"""),"BLUE")</f>
        <v>BLUE</v>
      </c>
      <c r="G3815" s="20" t="str">
        <f>IFERROR(__xludf.DUMMYFUNCTION("""COMPUTED_VALUE"""),"Uncle Sams Cider (04/04/2023)")</f>
        <v>Uncle Sams Cider (04/04/2023)</v>
      </c>
      <c r="H3815" s="19"/>
    </row>
    <row r="3816">
      <c r="A3816" s="9"/>
      <c r="B3816" s="15"/>
      <c r="C3816" s="9">
        <f>IFERROR(__xludf.DUMMYFUNCTION("""COMPUTED_VALUE"""),45104.6291179282)</f>
        <v>45104.62912</v>
      </c>
      <c r="D3816" s="15">
        <f>IFERROR(__xludf.DUMMYFUNCTION("""COMPUTED_VALUE"""),1.0)</f>
        <v>1</v>
      </c>
      <c r="E3816" s="16">
        <f>IFERROR(__xludf.DUMMYFUNCTION("""COMPUTED_VALUE"""),69.0)</f>
        <v>69</v>
      </c>
      <c r="F3816" s="19" t="str">
        <f>IFERROR(__xludf.DUMMYFUNCTION("""COMPUTED_VALUE"""),"BLUE")</f>
        <v>BLUE</v>
      </c>
      <c r="G3816" s="20" t="str">
        <f>IFERROR(__xludf.DUMMYFUNCTION("""COMPUTED_VALUE"""),"Uncle Sams Cider (04/04/2023)")</f>
        <v>Uncle Sams Cider (04/04/2023)</v>
      </c>
      <c r="H3816" s="19"/>
    </row>
    <row r="3817">
      <c r="A3817" s="9"/>
      <c r="B3817" s="15"/>
      <c r="C3817" s="9">
        <f>IFERROR(__xludf.DUMMYFUNCTION("""COMPUTED_VALUE"""),45104.6186967592)</f>
        <v>45104.6187</v>
      </c>
      <c r="D3817" s="15">
        <f>IFERROR(__xludf.DUMMYFUNCTION("""COMPUTED_VALUE"""),1.0)</f>
        <v>1</v>
      </c>
      <c r="E3817" s="16">
        <f>IFERROR(__xludf.DUMMYFUNCTION("""COMPUTED_VALUE"""),69.0)</f>
        <v>69</v>
      </c>
      <c r="F3817" s="19" t="str">
        <f>IFERROR(__xludf.DUMMYFUNCTION("""COMPUTED_VALUE"""),"BLUE")</f>
        <v>BLUE</v>
      </c>
      <c r="G3817" s="20" t="str">
        <f>IFERROR(__xludf.DUMMYFUNCTION("""COMPUTED_VALUE"""),"Uncle Sams Cider (04/04/2023)")</f>
        <v>Uncle Sams Cider (04/04/2023)</v>
      </c>
      <c r="H3817" s="19"/>
    </row>
    <row r="3818">
      <c r="A3818" s="9"/>
      <c r="B3818" s="15"/>
      <c r="C3818" s="9">
        <f>IFERROR(__xludf.DUMMYFUNCTION("""COMPUTED_VALUE"""),45104.608251412)</f>
        <v>45104.60825</v>
      </c>
      <c r="D3818" s="15">
        <f>IFERROR(__xludf.DUMMYFUNCTION("""COMPUTED_VALUE"""),1.0)</f>
        <v>1</v>
      </c>
      <c r="E3818" s="16">
        <f>IFERROR(__xludf.DUMMYFUNCTION("""COMPUTED_VALUE"""),69.0)</f>
        <v>69</v>
      </c>
      <c r="F3818" s="19" t="str">
        <f>IFERROR(__xludf.DUMMYFUNCTION("""COMPUTED_VALUE"""),"BLUE")</f>
        <v>BLUE</v>
      </c>
      <c r="G3818" s="20" t="str">
        <f>IFERROR(__xludf.DUMMYFUNCTION("""COMPUTED_VALUE"""),"Uncle Sams Cider (04/04/2023)")</f>
        <v>Uncle Sams Cider (04/04/2023)</v>
      </c>
      <c r="H3818" s="19"/>
    </row>
    <row r="3819">
      <c r="A3819" s="9"/>
      <c r="B3819" s="15"/>
      <c r="C3819" s="9">
        <f>IFERROR(__xludf.DUMMYFUNCTION("""COMPUTED_VALUE"""),45104.5978308101)</f>
        <v>45104.59783</v>
      </c>
      <c r="D3819" s="15">
        <f>IFERROR(__xludf.DUMMYFUNCTION("""COMPUTED_VALUE"""),1.0)</f>
        <v>1</v>
      </c>
      <c r="E3819" s="16">
        <f>IFERROR(__xludf.DUMMYFUNCTION("""COMPUTED_VALUE"""),69.0)</f>
        <v>69</v>
      </c>
      <c r="F3819" s="19" t="str">
        <f>IFERROR(__xludf.DUMMYFUNCTION("""COMPUTED_VALUE"""),"BLUE")</f>
        <v>BLUE</v>
      </c>
      <c r="G3819" s="20" t="str">
        <f>IFERROR(__xludf.DUMMYFUNCTION("""COMPUTED_VALUE"""),"Uncle Sams Cider (04/04/2023)")</f>
        <v>Uncle Sams Cider (04/04/2023)</v>
      </c>
      <c r="H3819" s="19"/>
    </row>
    <row r="3820">
      <c r="A3820" s="9"/>
      <c r="B3820" s="15"/>
      <c r="C3820" s="9">
        <f>IFERROR(__xludf.DUMMYFUNCTION("""COMPUTED_VALUE"""),45104.5873987615)</f>
        <v>45104.5874</v>
      </c>
      <c r="D3820" s="15">
        <f>IFERROR(__xludf.DUMMYFUNCTION("""COMPUTED_VALUE"""),1.0)</f>
        <v>1</v>
      </c>
      <c r="E3820" s="16">
        <f>IFERROR(__xludf.DUMMYFUNCTION("""COMPUTED_VALUE"""),69.0)</f>
        <v>69</v>
      </c>
      <c r="F3820" s="19" t="str">
        <f>IFERROR(__xludf.DUMMYFUNCTION("""COMPUTED_VALUE"""),"BLUE")</f>
        <v>BLUE</v>
      </c>
      <c r="G3820" s="20" t="str">
        <f>IFERROR(__xludf.DUMMYFUNCTION("""COMPUTED_VALUE"""),"Uncle Sams Cider (04/04/2023)")</f>
        <v>Uncle Sams Cider (04/04/2023)</v>
      </c>
      <c r="H3820" s="19"/>
    </row>
    <row r="3821">
      <c r="A3821" s="9"/>
      <c r="B3821" s="15"/>
      <c r="C3821" s="9">
        <f>IFERROR(__xludf.DUMMYFUNCTION("""COMPUTED_VALUE"""),45104.5769787731)</f>
        <v>45104.57698</v>
      </c>
      <c r="D3821" s="15">
        <f>IFERROR(__xludf.DUMMYFUNCTION("""COMPUTED_VALUE"""),1.0)</f>
        <v>1</v>
      </c>
      <c r="E3821" s="16">
        <f>IFERROR(__xludf.DUMMYFUNCTION("""COMPUTED_VALUE"""),69.0)</f>
        <v>69</v>
      </c>
      <c r="F3821" s="19" t="str">
        <f>IFERROR(__xludf.DUMMYFUNCTION("""COMPUTED_VALUE"""),"BLUE")</f>
        <v>BLUE</v>
      </c>
      <c r="G3821" s="20" t="str">
        <f>IFERROR(__xludf.DUMMYFUNCTION("""COMPUTED_VALUE"""),"Uncle Sams Cider (04/04/2023)")</f>
        <v>Uncle Sams Cider (04/04/2023)</v>
      </c>
      <c r="H3821" s="19"/>
    </row>
    <row r="3822">
      <c r="A3822" s="9"/>
      <c r="B3822" s="15"/>
      <c r="C3822" s="9">
        <f>IFERROR(__xludf.DUMMYFUNCTION("""COMPUTED_VALUE"""),45104.5665567013)</f>
        <v>45104.56656</v>
      </c>
      <c r="D3822" s="15">
        <f>IFERROR(__xludf.DUMMYFUNCTION("""COMPUTED_VALUE"""),1.0)</f>
        <v>1</v>
      </c>
      <c r="E3822" s="16">
        <f>IFERROR(__xludf.DUMMYFUNCTION("""COMPUTED_VALUE"""),69.0)</f>
        <v>69</v>
      </c>
      <c r="F3822" s="19" t="str">
        <f>IFERROR(__xludf.DUMMYFUNCTION("""COMPUTED_VALUE"""),"BLUE")</f>
        <v>BLUE</v>
      </c>
      <c r="G3822" s="20" t="str">
        <f>IFERROR(__xludf.DUMMYFUNCTION("""COMPUTED_VALUE"""),"Uncle Sams Cider (04/04/2023)")</f>
        <v>Uncle Sams Cider (04/04/2023)</v>
      </c>
      <c r="H3822" s="19"/>
    </row>
    <row r="3823">
      <c r="A3823" s="9"/>
      <c r="B3823" s="15"/>
      <c r="C3823" s="9">
        <f>IFERROR(__xludf.DUMMYFUNCTION("""COMPUTED_VALUE"""),45104.5561354861)</f>
        <v>45104.55614</v>
      </c>
      <c r="D3823" s="15">
        <f>IFERROR(__xludf.DUMMYFUNCTION("""COMPUTED_VALUE"""),1.0)</f>
        <v>1</v>
      </c>
      <c r="E3823" s="16">
        <f>IFERROR(__xludf.DUMMYFUNCTION("""COMPUTED_VALUE"""),69.0)</f>
        <v>69</v>
      </c>
      <c r="F3823" s="19" t="str">
        <f>IFERROR(__xludf.DUMMYFUNCTION("""COMPUTED_VALUE"""),"BLUE")</f>
        <v>BLUE</v>
      </c>
      <c r="G3823" s="20" t="str">
        <f>IFERROR(__xludf.DUMMYFUNCTION("""COMPUTED_VALUE"""),"Uncle Sams Cider (04/04/2023)")</f>
        <v>Uncle Sams Cider (04/04/2023)</v>
      </c>
      <c r="H3823" s="19"/>
    </row>
    <row r="3824">
      <c r="A3824" s="9"/>
      <c r="B3824" s="15"/>
      <c r="C3824" s="9">
        <f>IFERROR(__xludf.DUMMYFUNCTION("""COMPUTED_VALUE"""),45104.5457149305)</f>
        <v>45104.54571</v>
      </c>
      <c r="D3824" s="15">
        <f>IFERROR(__xludf.DUMMYFUNCTION("""COMPUTED_VALUE"""),1.0)</f>
        <v>1</v>
      </c>
      <c r="E3824" s="16">
        <f>IFERROR(__xludf.DUMMYFUNCTION("""COMPUTED_VALUE"""),69.0)</f>
        <v>69</v>
      </c>
      <c r="F3824" s="19" t="str">
        <f>IFERROR(__xludf.DUMMYFUNCTION("""COMPUTED_VALUE"""),"BLUE")</f>
        <v>BLUE</v>
      </c>
      <c r="G3824" s="20" t="str">
        <f>IFERROR(__xludf.DUMMYFUNCTION("""COMPUTED_VALUE"""),"Uncle Sams Cider (04/04/2023)")</f>
        <v>Uncle Sams Cider (04/04/2023)</v>
      </c>
      <c r="H3824" s="19"/>
    </row>
    <row r="3825">
      <c r="A3825" s="9"/>
      <c r="B3825" s="15"/>
      <c r="C3825" s="9">
        <f>IFERROR(__xludf.DUMMYFUNCTION("""COMPUTED_VALUE"""),45104.5352824305)</f>
        <v>45104.53528</v>
      </c>
      <c r="D3825" s="15">
        <f>IFERROR(__xludf.DUMMYFUNCTION("""COMPUTED_VALUE"""),1.0)</f>
        <v>1</v>
      </c>
      <c r="E3825" s="16">
        <f>IFERROR(__xludf.DUMMYFUNCTION("""COMPUTED_VALUE"""),69.0)</f>
        <v>69</v>
      </c>
      <c r="F3825" s="19" t="str">
        <f>IFERROR(__xludf.DUMMYFUNCTION("""COMPUTED_VALUE"""),"BLUE")</f>
        <v>BLUE</v>
      </c>
      <c r="G3825" s="20" t="str">
        <f>IFERROR(__xludf.DUMMYFUNCTION("""COMPUTED_VALUE"""),"Uncle Sams Cider (04/04/2023)")</f>
        <v>Uncle Sams Cider (04/04/2023)</v>
      </c>
      <c r="H3825" s="19"/>
    </row>
    <row r="3826">
      <c r="A3826" s="9"/>
      <c r="B3826" s="15"/>
      <c r="C3826" s="9">
        <f>IFERROR(__xludf.DUMMYFUNCTION("""COMPUTED_VALUE"""),45104.52485978)</f>
        <v>45104.52486</v>
      </c>
      <c r="D3826" s="15">
        <f>IFERROR(__xludf.DUMMYFUNCTION("""COMPUTED_VALUE"""),1.0)</f>
        <v>1</v>
      </c>
      <c r="E3826" s="16">
        <f>IFERROR(__xludf.DUMMYFUNCTION("""COMPUTED_VALUE"""),69.0)</f>
        <v>69</v>
      </c>
      <c r="F3826" s="19" t="str">
        <f>IFERROR(__xludf.DUMMYFUNCTION("""COMPUTED_VALUE"""),"BLUE")</f>
        <v>BLUE</v>
      </c>
      <c r="G3826" s="20" t="str">
        <f>IFERROR(__xludf.DUMMYFUNCTION("""COMPUTED_VALUE"""),"Uncle Sams Cider (04/04/2023)")</f>
        <v>Uncle Sams Cider (04/04/2023)</v>
      </c>
      <c r="H3826" s="19"/>
    </row>
    <row r="3827">
      <c r="A3827" s="9"/>
      <c r="B3827" s="15"/>
      <c r="C3827" s="9">
        <f>IFERROR(__xludf.DUMMYFUNCTION("""COMPUTED_VALUE"""),45104.5144385069)</f>
        <v>45104.51444</v>
      </c>
      <c r="D3827" s="15">
        <f>IFERROR(__xludf.DUMMYFUNCTION("""COMPUTED_VALUE"""),1.0)</f>
        <v>1</v>
      </c>
      <c r="E3827" s="16">
        <f>IFERROR(__xludf.DUMMYFUNCTION("""COMPUTED_VALUE"""),69.0)</f>
        <v>69</v>
      </c>
      <c r="F3827" s="19" t="str">
        <f>IFERROR(__xludf.DUMMYFUNCTION("""COMPUTED_VALUE"""),"BLUE")</f>
        <v>BLUE</v>
      </c>
      <c r="G3827" s="20" t="str">
        <f>IFERROR(__xludf.DUMMYFUNCTION("""COMPUTED_VALUE"""),"Uncle Sams Cider (04/04/2023)")</f>
        <v>Uncle Sams Cider (04/04/2023)</v>
      </c>
      <c r="H3827" s="19"/>
    </row>
    <row r="3828">
      <c r="A3828" s="9"/>
      <c r="B3828" s="15"/>
      <c r="C3828" s="9">
        <f>IFERROR(__xludf.DUMMYFUNCTION("""COMPUTED_VALUE"""),45104.5040186111)</f>
        <v>45104.50402</v>
      </c>
      <c r="D3828" s="15">
        <f>IFERROR(__xludf.DUMMYFUNCTION("""COMPUTED_VALUE"""),1.0)</f>
        <v>1</v>
      </c>
      <c r="E3828" s="16">
        <f>IFERROR(__xludf.DUMMYFUNCTION("""COMPUTED_VALUE"""),69.0)</f>
        <v>69</v>
      </c>
      <c r="F3828" s="19" t="str">
        <f>IFERROR(__xludf.DUMMYFUNCTION("""COMPUTED_VALUE"""),"BLUE")</f>
        <v>BLUE</v>
      </c>
      <c r="G3828" s="20" t="str">
        <f>IFERROR(__xludf.DUMMYFUNCTION("""COMPUTED_VALUE"""),"Uncle Sams Cider (04/04/2023)")</f>
        <v>Uncle Sams Cider (04/04/2023)</v>
      </c>
      <c r="H3828" s="19"/>
    </row>
    <row r="3829">
      <c r="A3829" s="9"/>
      <c r="B3829" s="15"/>
      <c r="C3829" s="9">
        <f>IFERROR(__xludf.DUMMYFUNCTION("""COMPUTED_VALUE"""),45104.4935968055)</f>
        <v>45104.4936</v>
      </c>
      <c r="D3829" s="15">
        <f>IFERROR(__xludf.DUMMYFUNCTION("""COMPUTED_VALUE"""),1.0)</f>
        <v>1</v>
      </c>
      <c r="E3829" s="16">
        <f>IFERROR(__xludf.DUMMYFUNCTION("""COMPUTED_VALUE"""),69.0)</f>
        <v>69</v>
      </c>
      <c r="F3829" s="19" t="str">
        <f>IFERROR(__xludf.DUMMYFUNCTION("""COMPUTED_VALUE"""),"BLUE")</f>
        <v>BLUE</v>
      </c>
      <c r="G3829" s="20" t="str">
        <f>IFERROR(__xludf.DUMMYFUNCTION("""COMPUTED_VALUE"""),"Uncle Sams Cider (04/04/2023)")</f>
        <v>Uncle Sams Cider (04/04/2023)</v>
      </c>
      <c r="H3829" s="19"/>
    </row>
    <row r="3830">
      <c r="A3830" s="9"/>
      <c r="B3830" s="15"/>
      <c r="C3830" s="9">
        <f>IFERROR(__xludf.DUMMYFUNCTION("""COMPUTED_VALUE"""),45104.4831757523)</f>
        <v>45104.48318</v>
      </c>
      <c r="D3830" s="15">
        <f>IFERROR(__xludf.DUMMYFUNCTION("""COMPUTED_VALUE"""),1.0)</f>
        <v>1</v>
      </c>
      <c r="E3830" s="16">
        <f>IFERROR(__xludf.DUMMYFUNCTION("""COMPUTED_VALUE"""),69.0)</f>
        <v>69</v>
      </c>
      <c r="F3830" s="19" t="str">
        <f>IFERROR(__xludf.DUMMYFUNCTION("""COMPUTED_VALUE"""),"BLUE")</f>
        <v>BLUE</v>
      </c>
      <c r="G3830" s="20" t="str">
        <f>IFERROR(__xludf.DUMMYFUNCTION("""COMPUTED_VALUE"""),"Uncle Sams Cider (04/04/2023)")</f>
        <v>Uncle Sams Cider (04/04/2023)</v>
      </c>
      <c r="H3830" s="19"/>
    </row>
    <row r="3831">
      <c r="A3831" s="9"/>
      <c r="B3831" s="15"/>
      <c r="C3831" s="9">
        <f>IFERROR(__xludf.DUMMYFUNCTION("""COMPUTED_VALUE"""),45104.4727527662)</f>
        <v>45104.47275</v>
      </c>
      <c r="D3831" s="15">
        <f>IFERROR(__xludf.DUMMYFUNCTION("""COMPUTED_VALUE"""),1.0)</f>
        <v>1</v>
      </c>
      <c r="E3831" s="16">
        <f>IFERROR(__xludf.DUMMYFUNCTION("""COMPUTED_VALUE"""),69.0)</f>
        <v>69</v>
      </c>
      <c r="F3831" s="19" t="str">
        <f>IFERROR(__xludf.DUMMYFUNCTION("""COMPUTED_VALUE"""),"BLUE")</f>
        <v>BLUE</v>
      </c>
      <c r="G3831" s="20" t="str">
        <f>IFERROR(__xludf.DUMMYFUNCTION("""COMPUTED_VALUE"""),"Uncle Sams Cider (04/04/2023)")</f>
        <v>Uncle Sams Cider (04/04/2023)</v>
      </c>
      <c r="H3831" s="19"/>
    </row>
    <row r="3832">
      <c r="A3832" s="9"/>
      <c r="B3832" s="15"/>
      <c r="C3832" s="9">
        <f>IFERROR(__xludf.DUMMYFUNCTION("""COMPUTED_VALUE"""),45104.462331655)</f>
        <v>45104.46233</v>
      </c>
      <c r="D3832" s="15">
        <f>IFERROR(__xludf.DUMMYFUNCTION("""COMPUTED_VALUE"""),1.0)</f>
        <v>1</v>
      </c>
      <c r="E3832" s="16">
        <f>IFERROR(__xludf.DUMMYFUNCTION("""COMPUTED_VALUE"""),69.0)</f>
        <v>69</v>
      </c>
      <c r="F3832" s="19" t="str">
        <f>IFERROR(__xludf.DUMMYFUNCTION("""COMPUTED_VALUE"""),"BLUE")</f>
        <v>BLUE</v>
      </c>
      <c r="G3832" s="20" t="str">
        <f>IFERROR(__xludf.DUMMYFUNCTION("""COMPUTED_VALUE"""),"Uncle Sams Cider (04/04/2023)")</f>
        <v>Uncle Sams Cider (04/04/2023)</v>
      </c>
      <c r="H3832" s="19"/>
    </row>
    <row r="3833">
      <c r="A3833" s="9"/>
      <c r="B3833" s="15"/>
      <c r="C3833" s="9">
        <f>IFERROR(__xludf.DUMMYFUNCTION("""COMPUTED_VALUE"""),45104.4519116666)</f>
        <v>45104.45191</v>
      </c>
      <c r="D3833" s="15">
        <f>IFERROR(__xludf.DUMMYFUNCTION("""COMPUTED_VALUE"""),1.0)</f>
        <v>1</v>
      </c>
      <c r="E3833" s="16">
        <f>IFERROR(__xludf.DUMMYFUNCTION("""COMPUTED_VALUE"""),69.0)</f>
        <v>69</v>
      </c>
      <c r="F3833" s="19" t="str">
        <f>IFERROR(__xludf.DUMMYFUNCTION("""COMPUTED_VALUE"""),"BLUE")</f>
        <v>BLUE</v>
      </c>
      <c r="G3833" s="20" t="str">
        <f>IFERROR(__xludf.DUMMYFUNCTION("""COMPUTED_VALUE"""),"Uncle Sams Cider (04/04/2023)")</f>
        <v>Uncle Sams Cider (04/04/2023)</v>
      </c>
      <c r="H3833" s="19"/>
    </row>
    <row r="3834">
      <c r="A3834" s="9"/>
      <c r="B3834" s="15"/>
      <c r="C3834" s="9">
        <f>IFERROR(__xludf.DUMMYFUNCTION("""COMPUTED_VALUE"""),45104.4414892245)</f>
        <v>45104.44149</v>
      </c>
      <c r="D3834" s="15">
        <f>IFERROR(__xludf.DUMMYFUNCTION("""COMPUTED_VALUE"""),1.0)</f>
        <v>1</v>
      </c>
      <c r="E3834" s="16">
        <f>IFERROR(__xludf.DUMMYFUNCTION("""COMPUTED_VALUE"""),69.0)</f>
        <v>69</v>
      </c>
      <c r="F3834" s="19" t="str">
        <f>IFERROR(__xludf.DUMMYFUNCTION("""COMPUTED_VALUE"""),"BLUE")</f>
        <v>BLUE</v>
      </c>
      <c r="G3834" s="20" t="str">
        <f>IFERROR(__xludf.DUMMYFUNCTION("""COMPUTED_VALUE"""),"Uncle Sams Cider (04/04/2023)")</f>
        <v>Uncle Sams Cider (04/04/2023)</v>
      </c>
      <c r="H3834" s="19"/>
    </row>
    <row r="3835">
      <c r="A3835" s="9"/>
      <c r="B3835" s="15"/>
      <c r="C3835" s="9">
        <f>IFERROR(__xludf.DUMMYFUNCTION("""COMPUTED_VALUE"""),45104.4310680439)</f>
        <v>45104.43107</v>
      </c>
      <c r="D3835" s="15">
        <f>IFERROR(__xludf.DUMMYFUNCTION("""COMPUTED_VALUE"""),1.0)</f>
        <v>1</v>
      </c>
      <c r="E3835" s="16">
        <f>IFERROR(__xludf.DUMMYFUNCTION("""COMPUTED_VALUE"""),69.0)</f>
        <v>69</v>
      </c>
      <c r="F3835" s="19" t="str">
        <f>IFERROR(__xludf.DUMMYFUNCTION("""COMPUTED_VALUE"""),"BLUE")</f>
        <v>BLUE</v>
      </c>
      <c r="G3835" s="20" t="str">
        <f>IFERROR(__xludf.DUMMYFUNCTION("""COMPUTED_VALUE"""),"Uncle Sams Cider (04/04/2023)")</f>
        <v>Uncle Sams Cider (04/04/2023)</v>
      </c>
      <c r="H3835" s="19"/>
    </row>
    <row r="3836">
      <c r="A3836" s="9"/>
      <c r="B3836" s="15"/>
      <c r="C3836" s="9">
        <f>IFERROR(__xludf.DUMMYFUNCTION("""COMPUTED_VALUE"""),45104.4206462847)</f>
        <v>45104.42065</v>
      </c>
      <c r="D3836" s="15">
        <f>IFERROR(__xludf.DUMMYFUNCTION("""COMPUTED_VALUE"""),1.0)</f>
        <v>1</v>
      </c>
      <c r="E3836" s="16">
        <f>IFERROR(__xludf.DUMMYFUNCTION("""COMPUTED_VALUE"""),69.0)</f>
        <v>69</v>
      </c>
      <c r="F3836" s="19" t="str">
        <f>IFERROR(__xludf.DUMMYFUNCTION("""COMPUTED_VALUE"""),"BLUE")</f>
        <v>BLUE</v>
      </c>
      <c r="G3836" s="20" t="str">
        <f>IFERROR(__xludf.DUMMYFUNCTION("""COMPUTED_VALUE"""),"Uncle Sams Cider (04/04/2023)")</f>
        <v>Uncle Sams Cider (04/04/2023)</v>
      </c>
      <c r="H3836" s="19"/>
    </row>
    <row r="3837">
      <c r="A3837" s="9"/>
      <c r="B3837" s="15"/>
      <c r="C3837" s="9">
        <f>IFERROR(__xludf.DUMMYFUNCTION("""COMPUTED_VALUE"""),45104.4102136226)</f>
        <v>45104.41021</v>
      </c>
      <c r="D3837" s="15">
        <f>IFERROR(__xludf.DUMMYFUNCTION("""COMPUTED_VALUE"""),1.0)</f>
        <v>1</v>
      </c>
      <c r="E3837" s="16">
        <f>IFERROR(__xludf.DUMMYFUNCTION("""COMPUTED_VALUE"""),69.0)</f>
        <v>69</v>
      </c>
      <c r="F3837" s="19" t="str">
        <f>IFERROR(__xludf.DUMMYFUNCTION("""COMPUTED_VALUE"""),"BLUE")</f>
        <v>BLUE</v>
      </c>
      <c r="G3837" s="20" t="str">
        <f>IFERROR(__xludf.DUMMYFUNCTION("""COMPUTED_VALUE"""),"Uncle Sams Cider (04/04/2023)")</f>
        <v>Uncle Sams Cider (04/04/2023)</v>
      </c>
      <c r="H3837" s="19"/>
    </row>
    <row r="3838">
      <c r="A3838" s="9"/>
      <c r="B3838" s="15"/>
      <c r="C3838" s="9">
        <f>IFERROR(__xludf.DUMMYFUNCTION("""COMPUTED_VALUE"""),45104.3997915393)</f>
        <v>45104.39979</v>
      </c>
      <c r="D3838" s="15">
        <f>IFERROR(__xludf.DUMMYFUNCTION("""COMPUTED_VALUE"""),1.0)</f>
        <v>1</v>
      </c>
      <c r="E3838" s="16">
        <f>IFERROR(__xludf.DUMMYFUNCTION("""COMPUTED_VALUE"""),69.0)</f>
        <v>69</v>
      </c>
      <c r="F3838" s="19" t="str">
        <f>IFERROR(__xludf.DUMMYFUNCTION("""COMPUTED_VALUE"""),"BLUE")</f>
        <v>BLUE</v>
      </c>
      <c r="G3838" s="20" t="str">
        <f>IFERROR(__xludf.DUMMYFUNCTION("""COMPUTED_VALUE"""),"Uncle Sams Cider (04/04/2023)")</f>
        <v>Uncle Sams Cider (04/04/2023)</v>
      </c>
      <c r="H3838" s="19"/>
    </row>
    <row r="3839">
      <c r="A3839" s="9"/>
      <c r="B3839" s="15"/>
      <c r="C3839" s="9">
        <f>IFERROR(__xludf.DUMMYFUNCTION("""COMPUTED_VALUE"""),45104.3893710532)</f>
        <v>45104.38937</v>
      </c>
      <c r="D3839" s="15">
        <f>IFERROR(__xludf.DUMMYFUNCTION("""COMPUTED_VALUE"""),1.0)</f>
        <v>1</v>
      </c>
      <c r="E3839" s="16">
        <f>IFERROR(__xludf.DUMMYFUNCTION("""COMPUTED_VALUE"""),69.0)</f>
        <v>69</v>
      </c>
      <c r="F3839" s="19" t="str">
        <f>IFERROR(__xludf.DUMMYFUNCTION("""COMPUTED_VALUE"""),"BLUE")</f>
        <v>BLUE</v>
      </c>
      <c r="G3839" s="20" t="str">
        <f>IFERROR(__xludf.DUMMYFUNCTION("""COMPUTED_VALUE"""),"Uncle Sams Cider (04/04/2023)")</f>
        <v>Uncle Sams Cider (04/04/2023)</v>
      </c>
      <c r="H3839" s="19"/>
    </row>
    <row r="3840">
      <c r="A3840" s="9"/>
      <c r="B3840" s="15"/>
      <c r="C3840" s="9">
        <f>IFERROR(__xludf.DUMMYFUNCTION("""COMPUTED_VALUE"""),45104.3789491088)</f>
        <v>45104.37895</v>
      </c>
      <c r="D3840" s="15">
        <f>IFERROR(__xludf.DUMMYFUNCTION("""COMPUTED_VALUE"""),1.0)</f>
        <v>1</v>
      </c>
      <c r="E3840" s="16">
        <f>IFERROR(__xludf.DUMMYFUNCTION("""COMPUTED_VALUE"""),69.0)</f>
        <v>69</v>
      </c>
      <c r="F3840" s="19" t="str">
        <f>IFERROR(__xludf.DUMMYFUNCTION("""COMPUTED_VALUE"""),"BLUE")</f>
        <v>BLUE</v>
      </c>
      <c r="G3840" s="20" t="str">
        <f>IFERROR(__xludf.DUMMYFUNCTION("""COMPUTED_VALUE"""),"Uncle Sams Cider (04/04/2023)")</f>
        <v>Uncle Sams Cider (04/04/2023)</v>
      </c>
      <c r="H3840" s="19"/>
    </row>
    <row r="3841">
      <c r="A3841" s="9"/>
      <c r="B3841" s="15"/>
      <c r="C3841" s="9">
        <f>IFERROR(__xludf.DUMMYFUNCTION("""COMPUTED_VALUE"""),45104.3685165046)</f>
        <v>45104.36852</v>
      </c>
      <c r="D3841" s="15">
        <f>IFERROR(__xludf.DUMMYFUNCTION("""COMPUTED_VALUE"""),1.0)</f>
        <v>1</v>
      </c>
      <c r="E3841" s="16">
        <f>IFERROR(__xludf.DUMMYFUNCTION("""COMPUTED_VALUE"""),69.0)</f>
        <v>69</v>
      </c>
      <c r="F3841" s="19" t="str">
        <f>IFERROR(__xludf.DUMMYFUNCTION("""COMPUTED_VALUE"""),"BLUE")</f>
        <v>BLUE</v>
      </c>
      <c r="G3841" s="20" t="str">
        <f>IFERROR(__xludf.DUMMYFUNCTION("""COMPUTED_VALUE"""),"Uncle Sams Cider (04/04/2023)")</f>
        <v>Uncle Sams Cider (04/04/2023)</v>
      </c>
      <c r="H3841" s="19"/>
    </row>
    <row r="3842">
      <c r="A3842" s="9"/>
      <c r="B3842" s="15"/>
      <c r="C3842" s="9">
        <f>IFERROR(__xludf.DUMMYFUNCTION("""COMPUTED_VALUE"""),45104.3580937731)</f>
        <v>45104.35809</v>
      </c>
      <c r="D3842" s="15">
        <f>IFERROR(__xludf.DUMMYFUNCTION("""COMPUTED_VALUE"""),1.0)</f>
        <v>1</v>
      </c>
      <c r="E3842" s="16">
        <f>IFERROR(__xludf.DUMMYFUNCTION("""COMPUTED_VALUE"""),69.0)</f>
        <v>69</v>
      </c>
      <c r="F3842" s="19" t="str">
        <f>IFERROR(__xludf.DUMMYFUNCTION("""COMPUTED_VALUE"""),"BLUE")</f>
        <v>BLUE</v>
      </c>
      <c r="G3842" s="20" t="str">
        <f>IFERROR(__xludf.DUMMYFUNCTION("""COMPUTED_VALUE"""),"Uncle Sams Cider (04/04/2023)")</f>
        <v>Uncle Sams Cider (04/04/2023)</v>
      </c>
      <c r="H3842" s="19"/>
    </row>
    <row r="3843">
      <c r="A3843" s="9"/>
      <c r="B3843" s="15"/>
      <c r="C3843" s="9">
        <f>IFERROR(__xludf.DUMMYFUNCTION("""COMPUTED_VALUE"""),45104.3476715046)</f>
        <v>45104.34767</v>
      </c>
      <c r="D3843" s="15">
        <f>IFERROR(__xludf.DUMMYFUNCTION("""COMPUTED_VALUE"""),1.0)</f>
        <v>1</v>
      </c>
      <c r="E3843" s="16">
        <f>IFERROR(__xludf.DUMMYFUNCTION("""COMPUTED_VALUE"""),69.0)</f>
        <v>69</v>
      </c>
      <c r="F3843" s="19" t="str">
        <f>IFERROR(__xludf.DUMMYFUNCTION("""COMPUTED_VALUE"""),"BLUE")</f>
        <v>BLUE</v>
      </c>
      <c r="G3843" s="20" t="str">
        <f>IFERROR(__xludf.DUMMYFUNCTION("""COMPUTED_VALUE"""),"Uncle Sams Cider (04/04/2023)")</f>
        <v>Uncle Sams Cider (04/04/2023)</v>
      </c>
      <c r="H3843" s="19"/>
    </row>
    <row r="3844">
      <c r="A3844" s="9"/>
      <c r="B3844" s="15"/>
      <c r="C3844" s="9">
        <f>IFERROR(__xludf.DUMMYFUNCTION("""COMPUTED_VALUE"""),45104.3372515509)</f>
        <v>45104.33725</v>
      </c>
      <c r="D3844" s="15">
        <f>IFERROR(__xludf.DUMMYFUNCTION("""COMPUTED_VALUE"""),1.0)</f>
        <v>1</v>
      </c>
      <c r="E3844" s="16">
        <f>IFERROR(__xludf.DUMMYFUNCTION("""COMPUTED_VALUE"""),69.0)</f>
        <v>69</v>
      </c>
      <c r="F3844" s="19" t="str">
        <f>IFERROR(__xludf.DUMMYFUNCTION("""COMPUTED_VALUE"""),"BLUE")</f>
        <v>BLUE</v>
      </c>
      <c r="G3844" s="20" t="str">
        <f>IFERROR(__xludf.DUMMYFUNCTION("""COMPUTED_VALUE"""),"Uncle Sams Cider (04/04/2023)")</f>
        <v>Uncle Sams Cider (04/04/2023)</v>
      </c>
      <c r="H3844" s="19"/>
    </row>
    <row r="3845">
      <c r="A3845" s="9"/>
      <c r="B3845" s="15"/>
      <c r="C3845" s="9">
        <f>IFERROR(__xludf.DUMMYFUNCTION("""COMPUTED_VALUE"""),45104.3268291203)</f>
        <v>45104.32683</v>
      </c>
      <c r="D3845" s="15">
        <f>IFERROR(__xludf.DUMMYFUNCTION("""COMPUTED_VALUE"""),1.0)</f>
        <v>1</v>
      </c>
      <c r="E3845" s="16">
        <f>IFERROR(__xludf.DUMMYFUNCTION("""COMPUTED_VALUE"""),69.0)</f>
        <v>69</v>
      </c>
      <c r="F3845" s="19" t="str">
        <f>IFERROR(__xludf.DUMMYFUNCTION("""COMPUTED_VALUE"""),"BLUE")</f>
        <v>BLUE</v>
      </c>
      <c r="G3845" s="20" t="str">
        <f>IFERROR(__xludf.DUMMYFUNCTION("""COMPUTED_VALUE"""),"Uncle Sams Cider (04/04/2023)")</f>
        <v>Uncle Sams Cider (04/04/2023)</v>
      </c>
      <c r="H3845" s="19"/>
    </row>
    <row r="3846">
      <c r="A3846" s="9"/>
      <c r="B3846" s="15"/>
      <c r="C3846" s="9">
        <f>IFERROR(__xludf.DUMMYFUNCTION("""COMPUTED_VALUE"""),45104.316407199)</f>
        <v>45104.31641</v>
      </c>
      <c r="D3846" s="15">
        <f>IFERROR(__xludf.DUMMYFUNCTION("""COMPUTED_VALUE"""),1.0)</f>
        <v>1</v>
      </c>
      <c r="E3846" s="16">
        <f>IFERROR(__xludf.DUMMYFUNCTION("""COMPUTED_VALUE"""),69.0)</f>
        <v>69</v>
      </c>
      <c r="F3846" s="19" t="str">
        <f>IFERROR(__xludf.DUMMYFUNCTION("""COMPUTED_VALUE"""),"BLUE")</f>
        <v>BLUE</v>
      </c>
      <c r="G3846" s="20" t="str">
        <f>IFERROR(__xludf.DUMMYFUNCTION("""COMPUTED_VALUE"""),"Uncle Sams Cider (04/04/2023)")</f>
        <v>Uncle Sams Cider (04/04/2023)</v>
      </c>
      <c r="H3846" s="19"/>
    </row>
    <row r="3847">
      <c r="A3847" s="9"/>
      <c r="B3847" s="15"/>
      <c r="C3847" s="9">
        <f>IFERROR(__xludf.DUMMYFUNCTION("""COMPUTED_VALUE"""),45104.3059849421)</f>
        <v>45104.30598</v>
      </c>
      <c r="D3847" s="15">
        <f>IFERROR(__xludf.DUMMYFUNCTION("""COMPUTED_VALUE"""),1.0)</f>
        <v>1</v>
      </c>
      <c r="E3847" s="16">
        <f>IFERROR(__xludf.DUMMYFUNCTION("""COMPUTED_VALUE"""),69.0)</f>
        <v>69</v>
      </c>
      <c r="F3847" s="19" t="str">
        <f>IFERROR(__xludf.DUMMYFUNCTION("""COMPUTED_VALUE"""),"BLUE")</f>
        <v>BLUE</v>
      </c>
      <c r="G3847" s="20" t="str">
        <f>IFERROR(__xludf.DUMMYFUNCTION("""COMPUTED_VALUE"""),"Uncle Sams Cider (04/04/2023)")</f>
        <v>Uncle Sams Cider (04/04/2023)</v>
      </c>
      <c r="H3847" s="19"/>
    </row>
    <row r="3848">
      <c r="A3848" s="9"/>
      <c r="B3848" s="15"/>
      <c r="C3848" s="9">
        <f>IFERROR(__xludf.DUMMYFUNCTION("""COMPUTED_VALUE"""),45104.2955634143)</f>
        <v>45104.29556</v>
      </c>
      <c r="D3848" s="15">
        <f>IFERROR(__xludf.DUMMYFUNCTION("""COMPUTED_VALUE"""),1.0)</f>
        <v>1</v>
      </c>
      <c r="E3848" s="16">
        <f>IFERROR(__xludf.DUMMYFUNCTION("""COMPUTED_VALUE"""),69.0)</f>
        <v>69</v>
      </c>
      <c r="F3848" s="19" t="str">
        <f>IFERROR(__xludf.DUMMYFUNCTION("""COMPUTED_VALUE"""),"BLUE")</f>
        <v>BLUE</v>
      </c>
      <c r="G3848" s="20" t="str">
        <f>IFERROR(__xludf.DUMMYFUNCTION("""COMPUTED_VALUE"""),"Uncle Sams Cider (04/04/2023)")</f>
        <v>Uncle Sams Cider (04/04/2023)</v>
      </c>
      <c r="H3848" s="19"/>
    </row>
    <row r="3849">
      <c r="A3849" s="9"/>
      <c r="B3849" s="15"/>
      <c r="C3849" s="9">
        <f>IFERROR(__xludf.DUMMYFUNCTION("""COMPUTED_VALUE"""),45104.2851328703)</f>
        <v>45104.28513</v>
      </c>
      <c r="D3849" s="15">
        <f>IFERROR(__xludf.DUMMYFUNCTION("""COMPUTED_VALUE"""),1.0)</f>
        <v>1</v>
      </c>
      <c r="E3849" s="16">
        <f>IFERROR(__xludf.DUMMYFUNCTION("""COMPUTED_VALUE"""),69.0)</f>
        <v>69</v>
      </c>
      <c r="F3849" s="19" t="str">
        <f>IFERROR(__xludf.DUMMYFUNCTION("""COMPUTED_VALUE"""),"BLUE")</f>
        <v>BLUE</v>
      </c>
      <c r="G3849" s="20" t="str">
        <f>IFERROR(__xludf.DUMMYFUNCTION("""COMPUTED_VALUE"""),"Uncle Sams Cider (04/04/2023)")</f>
        <v>Uncle Sams Cider (04/04/2023)</v>
      </c>
      <c r="H3849" s="19"/>
    </row>
    <row r="3850">
      <c r="A3850" s="9"/>
      <c r="B3850" s="15"/>
      <c r="C3850" s="9">
        <f>IFERROR(__xludf.DUMMYFUNCTION("""COMPUTED_VALUE"""),45104.2747114004)</f>
        <v>45104.27471</v>
      </c>
      <c r="D3850" s="15">
        <f>IFERROR(__xludf.DUMMYFUNCTION("""COMPUTED_VALUE"""),1.0)</f>
        <v>1</v>
      </c>
      <c r="E3850" s="16">
        <f>IFERROR(__xludf.DUMMYFUNCTION("""COMPUTED_VALUE"""),69.0)</f>
        <v>69</v>
      </c>
      <c r="F3850" s="19" t="str">
        <f>IFERROR(__xludf.DUMMYFUNCTION("""COMPUTED_VALUE"""),"BLUE")</f>
        <v>BLUE</v>
      </c>
      <c r="G3850" s="20" t="str">
        <f>IFERROR(__xludf.DUMMYFUNCTION("""COMPUTED_VALUE"""),"Uncle Sams Cider (04/04/2023)")</f>
        <v>Uncle Sams Cider (04/04/2023)</v>
      </c>
      <c r="H3850" s="19"/>
    </row>
    <row r="3851">
      <c r="A3851" s="9"/>
      <c r="B3851" s="15"/>
      <c r="C3851" s="9">
        <f>IFERROR(__xludf.DUMMYFUNCTION("""COMPUTED_VALUE"""),45104.2642907407)</f>
        <v>45104.26429</v>
      </c>
      <c r="D3851" s="15">
        <f>IFERROR(__xludf.DUMMYFUNCTION("""COMPUTED_VALUE"""),1.001)</f>
        <v>1.001</v>
      </c>
      <c r="E3851" s="16">
        <f>IFERROR(__xludf.DUMMYFUNCTION("""COMPUTED_VALUE"""),69.0)</f>
        <v>69</v>
      </c>
      <c r="F3851" s="19" t="str">
        <f>IFERROR(__xludf.DUMMYFUNCTION("""COMPUTED_VALUE"""),"BLUE")</f>
        <v>BLUE</v>
      </c>
      <c r="G3851" s="20" t="str">
        <f>IFERROR(__xludf.DUMMYFUNCTION("""COMPUTED_VALUE"""),"Uncle Sams Cider (04/04/2023)")</f>
        <v>Uncle Sams Cider (04/04/2023)</v>
      </c>
      <c r="H3851" s="19"/>
    </row>
    <row r="3852">
      <c r="A3852" s="9"/>
      <c r="B3852" s="15"/>
      <c r="C3852" s="9">
        <f>IFERROR(__xludf.DUMMYFUNCTION("""COMPUTED_VALUE"""),45104.2538688657)</f>
        <v>45104.25387</v>
      </c>
      <c r="D3852" s="15">
        <f>IFERROR(__xludf.DUMMYFUNCTION("""COMPUTED_VALUE"""),1.0)</f>
        <v>1</v>
      </c>
      <c r="E3852" s="16">
        <f>IFERROR(__xludf.DUMMYFUNCTION("""COMPUTED_VALUE"""),69.0)</f>
        <v>69</v>
      </c>
      <c r="F3852" s="19" t="str">
        <f>IFERROR(__xludf.DUMMYFUNCTION("""COMPUTED_VALUE"""),"BLUE")</f>
        <v>BLUE</v>
      </c>
      <c r="G3852" s="20" t="str">
        <f>IFERROR(__xludf.DUMMYFUNCTION("""COMPUTED_VALUE"""),"Uncle Sams Cider (04/04/2023)")</f>
        <v>Uncle Sams Cider (04/04/2023)</v>
      </c>
      <c r="H3852" s="19"/>
    </row>
    <row r="3853">
      <c r="A3853" s="9"/>
      <c r="B3853" s="15"/>
      <c r="C3853" s="9">
        <f>IFERROR(__xludf.DUMMYFUNCTION("""COMPUTED_VALUE"""),45104.2434473263)</f>
        <v>45104.24345</v>
      </c>
      <c r="D3853" s="15">
        <f>IFERROR(__xludf.DUMMYFUNCTION("""COMPUTED_VALUE"""),1.0)</f>
        <v>1</v>
      </c>
      <c r="E3853" s="16">
        <f>IFERROR(__xludf.DUMMYFUNCTION("""COMPUTED_VALUE"""),69.0)</f>
        <v>69</v>
      </c>
      <c r="F3853" s="19" t="str">
        <f>IFERROR(__xludf.DUMMYFUNCTION("""COMPUTED_VALUE"""),"BLUE")</f>
        <v>BLUE</v>
      </c>
      <c r="G3853" s="20" t="str">
        <f>IFERROR(__xludf.DUMMYFUNCTION("""COMPUTED_VALUE"""),"Uncle Sams Cider (04/04/2023)")</f>
        <v>Uncle Sams Cider (04/04/2023)</v>
      </c>
      <c r="H3853" s="19"/>
    </row>
    <row r="3854">
      <c r="A3854" s="9"/>
      <c r="B3854" s="15"/>
      <c r="C3854" s="9">
        <f>IFERROR(__xludf.DUMMYFUNCTION("""COMPUTED_VALUE"""),45104.2330267476)</f>
        <v>45104.23303</v>
      </c>
      <c r="D3854" s="15">
        <f>IFERROR(__xludf.DUMMYFUNCTION("""COMPUTED_VALUE"""),1.0)</f>
        <v>1</v>
      </c>
      <c r="E3854" s="16">
        <f>IFERROR(__xludf.DUMMYFUNCTION("""COMPUTED_VALUE"""),69.0)</f>
        <v>69</v>
      </c>
      <c r="F3854" s="19" t="str">
        <f>IFERROR(__xludf.DUMMYFUNCTION("""COMPUTED_VALUE"""),"BLUE")</f>
        <v>BLUE</v>
      </c>
      <c r="G3854" s="20" t="str">
        <f>IFERROR(__xludf.DUMMYFUNCTION("""COMPUTED_VALUE"""),"Uncle Sams Cider (04/04/2023)")</f>
        <v>Uncle Sams Cider (04/04/2023)</v>
      </c>
      <c r="H3854" s="19"/>
    </row>
    <row r="3855">
      <c r="A3855" s="9"/>
      <c r="B3855" s="15"/>
      <c r="C3855" s="9">
        <f>IFERROR(__xludf.DUMMYFUNCTION("""COMPUTED_VALUE"""),45104.2225962037)</f>
        <v>45104.2226</v>
      </c>
      <c r="D3855" s="15">
        <f>IFERROR(__xludf.DUMMYFUNCTION("""COMPUTED_VALUE"""),1.0)</f>
        <v>1</v>
      </c>
      <c r="E3855" s="16">
        <f>IFERROR(__xludf.DUMMYFUNCTION("""COMPUTED_VALUE"""),69.0)</f>
        <v>69</v>
      </c>
      <c r="F3855" s="19" t="str">
        <f>IFERROR(__xludf.DUMMYFUNCTION("""COMPUTED_VALUE"""),"BLUE")</f>
        <v>BLUE</v>
      </c>
      <c r="G3855" s="20" t="str">
        <f>IFERROR(__xludf.DUMMYFUNCTION("""COMPUTED_VALUE"""),"Uncle Sams Cider (04/04/2023)")</f>
        <v>Uncle Sams Cider (04/04/2023)</v>
      </c>
      <c r="H3855" s="19"/>
    </row>
    <row r="3856">
      <c r="A3856" s="9"/>
      <c r="B3856" s="15"/>
      <c r="C3856" s="9">
        <f>IFERROR(__xludf.DUMMYFUNCTION("""COMPUTED_VALUE"""),45104.2121752546)</f>
        <v>45104.21218</v>
      </c>
      <c r="D3856" s="15">
        <f>IFERROR(__xludf.DUMMYFUNCTION("""COMPUTED_VALUE"""),1.0)</f>
        <v>1</v>
      </c>
      <c r="E3856" s="16">
        <f>IFERROR(__xludf.DUMMYFUNCTION("""COMPUTED_VALUE"""),69.0)</f>
        <v>69</v>
      </c>
      <c r="F3856" s="19" t="str">
        <f>IFERROR(__xludf.DUMMYFUNCTION("""COMPUTED_VALUE"""),"BLUE")</f>
        <v>BLUE</v>
      </c>
      <c r="G3856" s="20" t="str">
        <f>IFERROR(__xludf.DUMMYFUNCTION("""COMPUTED_VALUE"""),"Uncle Sams Cider (04/04/2023)")</f>
        <v>Uncle Sams Cider (04/04/2023)</v>
      </c>
      <c r="H3856" s="19"/>
    </row>
    <row r="3857">
      <c r="A3857" s="9"/>
      <c r="B3857" s="15"/>
      <c r="C3857" s="9">
        <f>IFERROR(__xludf.DUMMYFUNCTION("""COMPUTED_VALUE"""),45104.2017297685)</f>
        <v>45104.20173</v>
      </c>
      <c r="D3857" s="15">
        <f>IFERROR(__xludf.DUMMYFUNCTION("""COMPUTED_VALUE"""),1.0)</f>
        <v>1</v>
      </c>
      <c r="E3857" s="16">
        <f>IFERROR(__xludf.DUMMYFUNCTION("""COMPUTED_VALUE"""),69.0)</f>
        <v>69</v>
      </c>
      <c r="F3857" s="19" t="str">
        <f>IFERROR(__xludf.DUMMYFUNCTION("""COMPUTED_VALUE"""),"BLUE")</f>
        <v>BLUE</v>
      </c>
      <c r="G3857" s="20" t="str">
        <f>IFERROR(__xludf.DUMMYFUNCTION("""COMPUTED_VALUE"""),"Uncle Sams Cider (04/04/2023)")</f>
        <v>Uncle Sams Cider (04/04/2023)</v>
      </c>
      <c r="H3857" s="19"/>
    </row>
    <row r="3858">
      <c r="A3858" s="9"/>
      <c r="B3858" s="15"/>
      <c r="C3858" s="9">
        <f>IFERROR(__xludf.DUMMYFUNCTION("""COMPUTED_VALUE"""),45104.1913082754)</f>
        <v>45104.19131</v>
      </c>
      <c r="D3858" s="15">
        <f>IFERROR(__xludf.DUMMYFUNCTION("""COMPUTED_VALUE"""),1.0)</f>
        <v>1</v>
      </c>
      <c r="E3858" s="16">
        <f>IFERROR(__xludf.DUMMYFUNCTION("""COMPUTED_VALUE"""),69.0)</f>
        <v>69</v>
      </c>
      <c r="F3858" s="19" t="str">
        <f>IFERROR(__xludf.DUMMYFUNCTION("""COMPUTED_VALUE"""),"BLUE")</f>
        <v>BLUE</v>
      </c>
      <c r="G3858" s="20" t="str">
        <f>IFERROR(__xludf.DUMMYFUNCTION("""COMPUTED_VALUE"""),"Uncle Sams Cider (04/04/2023)")</f>
        <v>Uncle Sams Cider (04/04/2023)</v>
      </c>
      <c r="H3858" s="19"/>
    </row>
    <row r="3859">
      <c r="A3859" s="9"/>
      <c r="B3859" s="15"/>
      <c r="C3859" s="9">
        <f>IFERROR(__xludf.DUMMYFUNCTION("""COMPUTED_VALUE"""),45104.1808870601)</f>
        <v>45104.18089</v>
      </c>
      <c r="D3859" s="15">
        <f>IFERROR(__xludf.DUMMYFUNCTION("""COMPUTED_VALUE"""),1.001)</f>
        <v>1.001</v>
      </c>
      <c r="E3859" s="16">
        <f>IFERROR(__xludf.DUMMYFUNCTION("""COMPUTED_VALUE"""),69.0)</f>
        <v>69</v>
      </c>
      <c r="F3859" s="19" t="str">
        <f>IFERROR(__xludf.DUMMYFUNCTION("""COMPUTED_VALUE"""),"BLUE")</f>
        <v>BLUE</v>
      </c>
      <c r="G3859" s="20" t="str">
        <f>IFERROR(__xludf.DUMMYFUNCTION("""COMPUTED_VALUE"""),"Uncle Sams Cider (04/04/2023)")</f>
        <v>Uncle Sams Cider (04/04/2023)</v>
      </c>
      <c r="H3859" s="19"/>
    </row>
    <row r="3860">
      <c r="A3860" s="9"/>
      <c r="B3860" s="15"/>
      <c r="C3860" s="9">
        <f>IFERROR(__xludf.DUMMYFUNCTION("""COMPUTED_VALUE"""),45104.1704532754)</f>
        <v>45104.17045</v>
      </c>
      <c r="D3860" s="15">
        <f>IFERROR(__xludf.DUMMYFUNCTION("""COMPUTED_VALUE"""),1.0)</f>
        <v>1</v>
      </c>
      <c r="E3860" s="16">
        <f>IFERROR(__xludf.DUMMYFUNCTION("""COMPUTED_VALUE"""),69.0)</f>
        <v>69</v>
      </c>
      <c r="F3860" s="19" t="str">
        <f>IFERROR(__xludf.DUMMYFUNCTION("""COMPUTED_VALUE"""),"BLUE")</f>
        <v>BLUE</v>
      </c>
      <c r="G3860" s="20" t="str">
        <f>IFERROR(__xludf.DUMMYFUNCTION("""COMPUTED_VALUE"""),"Uncle Sams Cider (04/04/2023)")</f>
        <v>Uncle Sams Cider (04/04/2023)</v>
      </c>
      <c r="H3860" s="19"/>
    </row>
    <row r="3861">
      <c r="A3861" s="9"/>
      <c r="B3861" s="15"/>
      <c r="C3861" s="9">
        <f>IFERROR(__xludf.DUMMYFUNCTION("""COMPUTED_VALUE"""),45104.1600112152)</f>
        <v>45104.16001</v>
      </c>
      <c r="D3861" s="15">
        <f>IFERROR(__xludf.DUMMYFUNCTION("""COMPUTED_VALUE"""),1.0)</f>
        <v>1</v>
      </c>
      <c r="E3861" s="16">
        <f>IFERROR(__xludf.DUMMYFUNCTION("""COMPUTED_VALUE"""),69.0)</f>
        <v>69</v>
      </c>
      <c r="F3861" s="19" t="str">
        <f>IFERROR(__xludf.DUMMYFUNCTION("""COMPUTED_VALUE"""),"BLUE")</f>
        <v>BLUE</v>
      </c>
      <c r="G3861" s="20" t="str">
        <f>IFERROR(__xludf.DUMMYFUNCTION("""COMPUTED_VALUE"""),"Uncle Sams Cider (04/04/2023)")</f>
        <v>Uncle Sams Cider (04/04/2023)</v>
      </c>
      <c r="H3861" s="19"/>
    </row>
    <row r="3862">
      <c r="A3862" s="9"/>
      <c r="B3862" s="15"/>
      <c r="C3862" s="9">
        <f>IFERROR(__xludf.DUMMYFUNCTION("""COMPUTED_VALUE"""),45104.1495888078)</f>
        <v>45104.14959</v>
      </c>
      <c r="D3862" s="15">
        <f>IFERROR(__xludf.DUMMYFUNCTION("""COMPUTED_VALUE"""),1.0)</f>
        <v>1</v>
      </c>
      <c r="E3862" s="16">
        <f>IFERROR(__xludf.DUMMYFUNCTION("""COMPUTED_VALUE"""),69.0)</f>
        <v>69</v>
      </c>
      <c r="F3862" s="19" t="str">
        <f>IFERROR(__xludf.DUMMYFUNCTION("""COMPUTED_VALUE"""),"BLUE")</f>
        <v>BLUE</v>
      </c>
      <c r="G3862" s="20" t="str">
        <f>IFERROR(__xludf.DUMMYFUNCTION("""COMPUTED_VALUE"""),"Uncle Sams Cider (04/04/2023)")</f>
        <v>Uncle Sams Cider (04/04/2023)</v>
      </c>
      <c r="H3862" s="19"/>
    </row>
    <row r="3863">
      <c r="A3863" s="9"/>
      <c r="B3863" s="15"/>
      <c r="C3863" s="9">
        <f>IFERROR(__xludf.DUMMYFUNCTION("""COMPUTED_VALUE"""),45104.1391689236)</f>
        <v>45104.13917</v>
      </c>
      <c r="D3863" s="15">
        <f>IFERROR(__xludf.DUMMYFUNCTION("""COMPUTED_VALUE"""),1.0)</f>
        <v>1</v>
      </c>
      <c r="E3863" s="16">
        <f>IFERROR(__xludf.DUMMYFUNCTION("""COMPUTED_VALUE"""),69.0)</f>
        <v>69</v>
      </c>
      <c r="F3863" s="19" t="str">
        <f>IFERROR(__xludf.DUMMYFUNCTION("""COMPUTED_VALUE"""),"BLUE")</f>
        <v>BLUE</v>
      </c>
      <c r="G3863" s="20" t="str">
        <f>IFERROR(__xludf.DUMMYFUNCTION("""COMPUTED_VALUE"""),"Uncle Sams Cider (04/04/2023)")</f>
        <v>Uncle Sams Cider (04/04/2023)</v>
      </c>
      <c r="H3863" s="19"/>
    </row>
    <row r="3864">
      <c r="A3864" s="9"/>
      <c r="B3864" s="15"/>
      <c r="C3864" s="9">
        <f>IFERROR(__xludf.DUMMYFUNCTION("""COMPUTED_VALUE"""),45104.1287490509)</f>
        <v>45104.12875</v>
      </c>
      <c r="D3864" s="15">
        <f>IFERROR(__xludf.DUMMYFUNCTION("""COMPUTED_VALUE"""),1.001)</f>
        <v>1.001</v>
      </c>
      <c r="E3864" s="16">
        <f>IFERROR(__xludf.DUMMYFUNCTION("""COMPUTED_VALUE"""),69.0)</f>
        <v>69</v>
      </c>
      <c r="F3864" s="19" t="str">
        <f>IFERROR(__xludf.DUMMYFUNCTION("""COMPUTED_VALUE"""),"BLUE")</f>
        <v>BLUE</v>
      </c>
      <c r="G3864" s="20" t="str">
        <f>IFERROR(__xludf.DUMMYFUNCTION("""COMPUTED_VALUE"""),"Uncle Sams Cider (04/04/2023)")</f>
        <v>Uncle Sams Cider (04/04/2023)</v>
      </c>
      <c r="H3864" s="19"/>
    </row>
    <row r="3865">
      <c r="A3865" s="9"/>
      <c r="B3865" s="15"/>
      <c r="C3865" s="9">
        <f>IFERROR(__xludf.DUMMYFUNCTION("""COMPUTED_VALUE"""),45104.1183292361)</f>
        <v>45104.11833</v>
      </c>
      <c r="D3865" s="15">
        <f>IFERROR(__xludf.DUMMYFUNCTION("""COMPUTED_VALUE"""),1.0)</f>
        <v>1</v>
      </c>
      <c r="E3865" s="16">
        <f>IFERROR(__xludf.DUMMYFUNCTION("""COMPUTED_VALUE"""),69.0)</f>
        <v>69</v>
      </c>
      <c r="F3865" s="19" t="str">
        <f>IFERROR(__xludf.DUMMYFUNCTION("""COMPUTED_VALUE"""),"BLUE")</f>
        <v>BLUE</v>
      </c>
      <c r="G3865" s="20" t="str">
        <f>IFERROR(__xludf.DUMMYFUNCTION("""COMPUTED_VALUE"""),"Uncle Sams Cider (04/04/2023)")</f>
        <v>Uncle Sams Cider (04/04/2023)</v>
      </c>
      <c r="H3865" s="19"/>
    </row>
    <row r="3866">
      <c r="A3866" s="9"/>
      <c r="B3866" s="15"/>
      <c r="C3866" s="9">
        <f>IFERROR(__xludf.DUMMYFUNCTION("""COMPUTED_VALUE"""),45104.1079092361)</f>
        <v>45104.10791</v>
      </c>
      <c r="D3866" s="15">
        <f>IFERROR(__xludf.DUMMYFUNCTION("""COMPUTED_VALUE"""),1.0)</f>
        <v>1</v>
      </c>
      <c r="E3866" s="16">
        <f>IFERROR(__xludf.DUMMYFUNCTION("""COMPUTED_VALUE"""),69.0)</f>
        <v>69</v>
      </c>
      <c r="F3866" s="19" t="str">
        <f>IFERROR(__xludf.DUMMYFUNCTION("""COMPUTED_VALUE"""),"BLUE")</f>
        <v>BLUE</v>
      </c>
      <c r="G3866" s="20" t="str">
        <f>IFERROR(__xludf.DUMMYFUNCTION("""COMPUTED_VALUE"""),"Uncle Sams Cider (04/04/2023)")</f>
        <v>Uncle Sams Cider (04/04/2023)</v>
      </c>
      <c r="H3866" s="19"/>
    </row>
    <row r="3867">
      <c r="A3867" s="9"/>
      <c r="B3867" s="15"/>
      <c r="C3867" s="9">
        <f>IFERROR(__xludf.DUMMYFUNCTION("""COMPUTED_VALUE"""),45104.0974875694)</f>
        <v>45104.09749</v>
      </c>
      <c r="D3867" s="15">
        <f>IFERROR(__xludf.DUMMYFUNCTION("""COMPUTED_VALUE"""),1.0)</f>
        <v>1</v>
      </c>
      <c r="E3867" s="16">
        <f>IFERROR(__xludf.DUMMYFUNCTION("""COMPUTED_VALUE"""),69.0)</f>
        <v>69</v>
      </c>
      <c r="F3867" s="19" t="str">
        <f>IFERROR(__xludf.DUMMYFUNCTION("""COMPUTED_VALUE"""),"BLUE")</f>
        <v>BLUE</v>
      </c>
      <c r="G3867" s="20" t="str">
        <f>IFERROR(__xludf.DUMMYFUNCTION("""COMPUTED_VALUE"""),"Uncle Sams Cider (04/04/2023)")</f>
        <v>Uncle Sams Cider (04/04/2023)</v>
      </c>
      <c r="H3867" s="19"/>
    </row>
    <row r="3868">
      <c r="A3868" s="9"/>
      <c r="B3868" s="15"/>
      <c r="C3868" s="9">
        <f>IFERROR(__xludf.DUMMYFUNCTION("""COMPUTED_VALUE"""),45104.0870667245)</f>
        <v>45104.08707</v>
      </c>
      <c r="D3868" s="15">
        <f>IFERROR(__xludf.DUMMYFUNCTION("""COMPUTED_VALUE"""),1.0)</f>
        <v>1</v>
      </c>
      <c r="E3868" s="16">
        <f>IFERROR(__xludf.DUMMYFUNCTION("""COMPUTED_VALUE"""),69.0)</f>
        <v>69</v>
      </c>
      <c r="F3868" s="19" t="str">
        <f>IFERROR(__xludf.DUMMYFUNCTION("""COMPUTED_VALUE"""),"BLUE")</f>
        <v>BLUE</v>
      </c>
      <c r="G3868" s="20" t="str">
        <f>IFERROR(__xludf.DUMMYFUNCTION("""COMPUTED_VALUE"""),"Uncle Sams Cider (04/04/2023)")</f>
        <v>Uncle Sams Cider (04/04/2023)</v>
      </c>
      <c r="H3868" s="19"/>
    </row>
    <row r="3869">
      <c r="A3869" s="9"/>
      <c r="B3869" s="15"/>
      <c r="C3869" s="9">
        <f>IFERROR(__xludf.DUMMYFUNCTION("""COMPUTED_VALUE"""),45104.0766461689)</f>
        <v>45104.07665</v>
      </c>
      <c r="D3869" s="15">
        <f>IFERROR(__xludf.DUMMYFUNCTION("""COMPUTED_VALUE"""),1.0)</f>
        <v>1</v>
      </c>
      <c r="E3869" s="16">
        <f>IFERROR(__xludf.DUMMYFUNCTION("""COMPUTED_VALUE"""),69.0)</f>
        <v>69</v>
      </c>
      <c r="F3869" s="19" t="str">
        <f>IFERROR(__xludf.DUMMYFUNCTION("""COMPUTED_VALUE"""),"BLUE")</f>
        <v>BLUE</v>
      </c>
      <c r="G3869" s="20" t="str">
        <f>IFERROR(__xludf.DUMMYFUNCTION("""COMPUTED_VALUE"""),"Uncle Sams Cider (04/04/2023)")</f>
        <v>Uncle Sams Cider (04/04/2023)</v>
      </c>
      <c r="H3869" s="19"/>
    </row>
    <row r="3870">
      <c r="A3870" s="9"/>
      <c r="B3870" s="15"/>
      <c r="C3870" s="9">
        <f>IFERROR(__xludf.DUMMYFUNCTION("""COMPUTED_VALUE"""),45104.0662123726)</f>
        <v>45104.06621</v>
      </c>
      <c r="D3870" s="15">
        <f>IFERROR(__xludf.DUMMYFUNCTION("""COMPUTED_VALUE"""),1.0)</f>
        <v>1</v>
      </c>
      <c r="E3870" s="16">
        <f>IFERROR(__xludf.DUMMYFUNCTION("""COMPUTED_VALUE"""),69.0)</f>
        <v>69</v>
      </c>
      <c r="F3870" s="19" t="str">
        <f>IFERROR(__xludf.DUMMYFUNCTION("""COMPUTED_VALUE"""),"BLUE")</f>
        <v>BLUE</v>
      </c>
      <c r="G3870" s="20" t="str">
        <f>IFERROR(__xludf.DUMMYFUNCTION("""COMPUTED_VALUE"""),"Uncle Sams Cider (04/04/2023)")</f>
        <v>Uncle Sams Cider (04/04/2023)</v>
      </c>
      <c r="H3870" s="19"/>
    </row>
    <row r="3871">
      <c r="A3871" s="9"/>
      <c r="B3871" s="15"/>
      <c r="C3871" s="9">
        <f>IFERROR(__xludf.DUMMYFUNCTION("""COMPUTED_VALUE"""),45104.0557908101)</f>
        <v>45104.05579</v>
      </c>
      <c r="D3871" s="15">
        <f>IFERROR(__xludf.DUMMYFUNCTION("""COMPUTED_VALUE"""),1.0)</f>
        <v>1</v>
      </c>
      <c r="E3871" s="16">
        <f>IFERROR(__xludf.DUMMYFUNCTION("""COMPUTED_VALUE"""),69.0)</f>
        <v>69</v>
      </c>
      <c r="F3871" s="19" t="str">
        <f>IFERROR(__xludf.DUMMYFUNCTION("""COMPUTED_VALUE"""),"BLUE")</f>
        <v>BLUE</v>
      </c>
      <c r="G3871" s="20" t="str">
        <f>IFERROR(__xludf.DUMMYFUNCTION("""COMPUTED_VALUE"""),"Uncle Sams Cider (04/04/2023)")</f>
        <v>Uncle Sams Cider (04/04/2023)</v>
      </c>
      <c r="H3871" s="19"/>
    </row>
    <row r="3872">
      <c r="A3872" s="9"/>
      <c r="B3872" s="15"/>
      <c r="C3872" s="9">
        <f>IFERROR(__xludf.DUMMYFUNCTION("""COMPUTED_VALUE"""),45104.0453710185)</f>
        <v>45104.04537</v>
      </c>
      <c r="D3872" s="15">
        <f>IFERROR(__xludf.DUMMYFUNCTION("""COMPUTED_VALUE"""),1.0)</f>
        <v>1</v>
      </c>
      <c r="E3872" s="16">
        <f>IFERROR(__xludf.DUMMYFUNCTION("""COMPUTED_VALUE"""),69.0)</f>
        <v>69</v>
      </c>
      <c r="F3872" s="19" t="str">
        <f>IFERROR(__xludf.DUMMYFUNCTION("""COMPUTED_VALUE"""),"BLUE")</f>
        <v>BLUE</v>
      </c>
      <c r="G3872" s="20" t="str">
        <f>IFERROR(__xludf.DUMMYFUNCTION("""COMPUTED_VALUE"""),"Uncle Sams Cider (04/04/2023)")</f>
        <v>Uncle Sams Cider (04/04/2023)</v>
      </c>
      <c r="H3872" s="19"/>
    </row>
    <row r="3873">
      <c r="A3873" s="9"/>
      <c r="B3873" s="15"/>
      <c r="C3873" s="9">
        <f>IFERROR(__xludf.DUMMYFUNCTION("""COMPUTED_VALUE"""),45104.0349488773)</f>
        <v>45104.03495</v>
      </c>
      <c r="D3873" s="15">
        <f>IFERROR(__xludf.DUMMYFUNCTION("""COMPUTED_VALUE"""),1.0)</f>
        <v>1</v>
      </c>
      <c r="E3873" s="16">
        <f>IFERROR(__xludf.DUMMYFUNCTION("""COMPUTED_VALUE"""),69.0)</f>
        <v>69</v>
      </c>
      <c r="F3873" s="19" t="str">
        <f>IFERROR(__xludf.DUMMYFUNCTION("""COMPUTED_VALUE"""),"BLUE")</f>
        <v>BLUE</v>
      </c>
      <c r="G3873" s="20" t="str">
        <f>IFERROR(__xludf.DUMMYFUNCTION("""COMPUTED_VALUE"""),"Uncle Sams Cider (04/04/2023)")</f>
        <v>Uncle Sams Cider (04/04/2023)</v>
      </c>
      <c r="H3873" s="19"/>
    </row>
    <row r="3874">
      <c r="A3874" s="9"/>
      <c r="B3874" s="15"/>
      <c r="C3874" s="9">
        <f>IFERROR(__xludf.DUMMYFUNCTION("""COMPUTED_VALUE"""),45104.0245287268)</f>
        <v>45104.02453</v>
      </c>
      <c r="D3874" s="15">
        <f>IFERROR(__xludf.DUMMYFUNCTION("""COMPUTED_VALUE"""),1.0)</f>
        <v>1</v>
      </c>
      <c r="E3874" s="16">
        <f>IFERROR(__xludf.DUMMYFUNCTION("""COMPUTED_VALUE"""),69.0)</f>
        <v>69</v>
      </c>
      <c r="F3874" s="19" t="str">
        <f>IFERROR(__xludf.DUMMYFUNCTION("""COMPUTED_VALUE"""),"BLUE")</f>
        <v>BLUE</v>
      </c>
      <c r="G3874" s="20" t="str">
        <f>IFERROR(__xludf.DUMMYFUNCTION("""COMPUTED_VALUE"""),"Uncle Sams Cider (04/04/2023)")</f>
        <v>Uncle Sams Cider (04/04/2023)</v>
      </c>
      <c r="H3874" s="19"/>
    </row>
    <row r="3875">
      <c r="A3875" s="9"/>
      <c r="B3875" s="15"/>
      <c r="C3875" s="9">
        <f>IFERROR(__xludf.DUMMYFUNCTION("""COMPUTED_VALUE"""),45104.0141074189)</f>
        <v>45104.01411</v>
      </c>
      <c r="D3875" s="15">
        <f>IFERROR(__xludf.DUMMYFUNCTION("""COMPUTED_VALUE"""),1.001)</f>
        <v>1.001</v>
      </c>
      <c r="E3875" s="16">
        <f>IFERROR(__xludf.DUMMYFUNCTION("""COMPUTED_VALUE"""),69.0)</f>
        <v>69</v>
      </c>
      <c r="F3875" s="19" t="str">
        <f>IFERROR(__xludf.DUMMYFUNCTION("""COMPUTED_VALUE"""),"BLUE")</f>
        <v>BLUE</v>
      </c>
      <c r="G3875" s="20" t="str">
        <f>IFERROR(__xludf.DUMMYFUNCTION("""COMPUTED_VALUE"""),"Uncle Sams Cider (04/04/2023)")</f>
        <v>Uncle Sams Cider (04/04/2023)</v>
      </c>
      <c r="H3875" s="19"/>
    </row>
    <row r="3876">
      <c r="A3876" s="9"/>
      <c r="B3876" s="15"/>
      <c r="C3876" s="9">
        <f>IFERROR(__xludf.DUMMYFUNCTION("""COMPUTED_VALUE"""),45104.0036737847)</f>
        <v>45104.00367</v>
      </c>
      <c r="D3876" s="15">
        <f>IFERROR(__xludf.DUMMYFUNCTION("""COMPUTED_VALUE"""),1.0)</f>
        <v>1</v>
      </c>
      <c r="E3876" s="16">
        <f>IFERROR(__xludf.DUMMYFUNCTION("""COMPUTED_VALUE"""),69.0)</f>
        <v>69</v>
      </c>
      <c r="F3876" s="19" t="str">
        <f>IFERROR(__xludf.DUMMYFUNCTION("""COMPUTED_VALUE"""),"BLUE")</f>
        <v>BLUE</v>
      </c>
      <c r="G3876" s="20" t="str">
        <f>IFERROR(__xludf.DUMMYFUNCTION("""COMPUTED_VALUE"""),"Uncle Sams Cider (04/04/2023)")</f>
        <v>Uncle Sams Cider (04/04/2023)</v>
      </c>
      <c r="H3876" s="19"/>
    </row>
    <row r="3877">
      <c r="A3877" s="9"/>
      <c r="B3877" s="15"/>
      <c r="C3877" s="9">
        <f>IFERROR(__xludf.DUMMYFUNCTION("""COMPUTED_VALUE"""),45103.9932395254)</f>
        <v>45103.99324</v>
      </c>
      <c r="D3877" s="15">
        <f>IFERROR(__xludf.DUMMYFUNCTION("""COMPUTED_VALUE"""),1.0)</f>
        <v>1</v>
      </c>
      <c r="E3877" s="16">
        <f>IFERROR(__xludf.DUMMYFUNCTION("""COMPUTED_VALUE"""),69.0)</f>
        <v>69</v>
      </c>
      <c r="F3877" s="19" t="str">
        <f>IFERROR(__xludf.DUMMYFUNCTION("""COMPUTED_VALUE"""),"BLUE")</f>
        <v>BLUE</v>
      </c>
      <c r="G3877" s="20" t="str">
        <f>IFERROR(__xludf.DUMMYFUNCTION("""COMPUTED_VALUE"""),"Uncle Sams Cider (04/04/2023)")</f>
        <v>Uncle Sams Cider (04/04/2023)</v>
      </c>
      <c r="H3877" s="19"/>
    </row>
    <row r="3878">
      <c r="A3878" s="9"/>
      <c r="B3878" s="15"/>
      <c r="C3878" s="9">
        <f>IFERROR(__xludf.DUMMYFUNCTION("""COMPUTED_VALUE"""),45103.9828181365)</f>
        <v>45103.98282</v>
      </c>
      <c r="D3878" s="15">
        <f>IFERROR(__xludf.DUMMYFUNCTION("""COMPUTED_VALUE"""),1.0)</f>
        <v>1</v>
      </c>
      <c r="E3878" s="16">
        <f>IFERROR(__xludf.DUMMYFUNCTION("""COMPUTED_VALUE"""),69.0)</f>
        <v>69</v>
      </c>
      <c r="F3878" s="19" t="str">
        <f>IFERROR(__xludf.DUMMYFUNCTION("""COMPUTED_VALUE"""),"BLUE")</f>
        <v>BLUE</v>
      </c>
      <c r="G3878" s="20" t="str">
        <f>IFERROR(__xludf.DUMMYFUNCTION("""COMPUTED_VALUE"""),"Uncle Sams Cider (04/04/2023)")</f>
        <v>Uncle Sams Cider (04/04/2023)</v>
      </c>
      <c r="H3878" s="19"/>
    </row>
    <row r="3879">
      <c r="A3879" s="9"/>
      <c r="B3879" s="15"/>
      <c r="C3879" s="9">
        <f>IFERROR(__xludf.DUMMYFUNCTION("""COMPUTED_VALUE"""),45103.9723979745)</f>
        <v>45103.9724</v>
      </c>
      <c r="D3879" s="15">
        <f>IFERROR(__xludf.DUMMYFUNCTION("""COMPUTED_VALUE"""),1.0)</f>
        <v>1</v>
      </c>
      <c r="E3879" s="16">
        <f>IFERROR(__xludf.DUMMYFUNCTION("""COMPUTED_VALUE"""),69.0)</f>
        <v>69</v>
      </c>
      <c r="F3879" s="19" t="str">
        <f>IFERROR(__xludf.DUMMYFUNCTION("""COMPUTED_VALUE"""),"BLUE")</f>
        <v>BLUE</v>
      </c>
      <c r="G3879" s="20" t="str">
        <f>IFERROR(__xludf.DUMMYFUNCTION("""COMPUTED_VALUE"""),"Uncle Sams Cider (04/04/2023)")</f>
        <v>Uncle Sams Cider (04/04/2023)</v>
      </c>
      <c r="H3879" s="19"/>
    </row>
    <row r="3880">
      <c r="A3880" s="9"/>
      <c r="B3880" s="15"/>
      <c r="C3880" s="9">
        <f>IFERROR(__xludf.DUMMYFUNCTION("""COMPUTED_VALUE"""),45103.9619767476)</f>
        <v>45103.96198</v>
      </c>
      <c r="D3880" s="15">
        <f>IFERROR(__xludf.DUMMYFUNCTION("""COMPUTED_VALUE"""),1.0)</f>
        <v>1</v>
      </c>
      <c r="E3880" s="16">
        <f>IFERROR(__xludf.DUMMYFUNCTION("""COMPUTED_VALUE"""),69.0)</f>
        <v>69</v>
      </c>
      <c r="F3880" s="19" t="str">
        <f>IFERROR(__xludf.DUMMYFUNCTION("""COMPUTED_VALUE"""),"BLUE")</f>
        <v>BLUE</v>
      </c>
      <c r="G3880" s="20" t="str">
        <f>IFERROR(__xludf.DUMMYFUNCTION("""COMPUTED_VALUE"""),"Uncle Sams Cider (04/04/2023)")</f>
        <v>Uncle Sams Cider (04/04/2023)</v>
      </c>
      <c r="H3880" s="19"/>
    </row>
    <row r="3881">
      <c r="A3881" s="9"/>
      <c r="B3881" s="15"/>
      <c r="C3881" s="9">
        <f>IFERROR(__xludf.DUMMYFUNCTION("""COMPUTED_VALUE"""),45103.9515561111)</f>
        <v>45103.95156</v>
      </c>
      <c r="D3881" s="15">
        <f>IFERROR(__xludf.DUMMYFUNCTION("""COMPUTED_VALUE"""),1.0)</f>
        <v>1</v>
      </c>
      <c r="E3881" s="16">
        <f>IFERROR(__xludf.DUMMYFUNCTION("""COMPUTED_VALUE"""),69.0)</f>
        <v>69</v>
      </c>
      <c r="F3881" s="19" t="str">
        <f>IFERROR(__xludf.DUMMYFUNCTION("""COMPUTED_VALUE"""),"BLUE")</f>
        <v>BLUE</v>
      </c>
      <c r="G3881" s="20" t="str">
        <f>IFERROR(__xludf.DUMMYFUNCTION("""COMPUTED_VALUE"""),"Uncle Sams Cider (04/04/2023)")</f>
        <v>Uncle Sams Cider (04/04/2023)</v>
      </c>
      <c r="H3881" s="19"/>
    </row>
    <row r="3882">
      <c r="A3882" s="9"/>
      <c r="B3882" s="15"/>
      <c r="C3882" s="9">
        <f>IFERROR(__xludf.DUMMYFUNCTION("""COMPUTED_VALUE"""),45103.9411333796)</f>
        <v>45103.94113</v>
      </c>
      <c r="D3882" s="15">
        <f>IFERROR(__xludf.DUMMYFUNCTION("""COMPUTED_VALUE"""),1.0)</f>
        <v>1</v>
      </c>
      <c r="E3882" s="16">
        <f>IFERROR(__xludf.DUMMYFUNCTION("""COMPUTED_VALUE"""),69.0)</f>
        <v>69</v>
      </c>
      <c r="F3882" s="19" t="str">
        <f>IFERROR(__xludf.DUMMYFUNCTION("""COMPUTED_VALUE"""),"BLUE")</f>
        <v>BLUE</v>
      </c>
      <c r="G3882" s="20" t="str">
        <f>IFERROR(__xludf.DUMMYFUNCTION("""COMPUTED_VALUE"""),"Uncle Sams Cider (04/04/2023)")</f>
        <v>Uncle Sams Cider (04/04/2023)</v>
      </c>
      <c r="H3882" s="19"/>
    </row>
    <row r="3883">
      <c r="A3883" s="9"/>
      <c r="B3883" s="15"/>
      <c r="C3883" s="9">
        <f>IFERROR(__xludf.DUMMYFUNCTION("""COMPUTED_VALUE"""),45103.9307125925)</f>
        <v>45103.93071</v>
      </c>
      <c r="D3883" s="15">
        <f>IFERROR(__xludf.DUMMYFUNCTION("""COMPUTED_VALUE"""),1.001)</f>
        <v>1.001</v>
      </c>
      <c r="E3883" s="16">
        <f>IFERROR(__xludf.DUMMYFUNCTION("""COMPUTED_VALUE"""),69.0)</f>
        <v>69</v>
      </c>
      <c r="F3883" s="19" t="str">
        <f>IFERROR(__xludf.DUMMYFUNCTION("""COMPUTED_VALUE"""),"BLUE")</f>
        <v>BLUE</v>
      </c>
      <c r="G3883" s="20" t="str">
        <f>IFERROR(__xludf.DUMMYFUNCTION("""COMPUTED_VALUE"""),"Uncle Sams Cider (04/04/2023)")</f>
        <v>Uncle Sams Cider (04/04/2023)</v>
      </c>
      <c r="H3883" s="19"/>
    </row>
    <row r="3884">
      <c r="A3884" s="9"/>
      <c r="B3884" s="15"/>
      <c r="C3884" s="9">
        <f>IFERROR(__xludf.DUMMYFUNCTION("""COMPUTED_VALUE"""),45103.9202914814)</f>
        <v>45103.92029</v>
      </c>
      <c r="D3884" s="15">
        <f>IFERROR(__xludf.DUMMYFUNCTION("""COMPUTED_VALUE"""),1.0)</f>
        <v>1</v>
      </c>
      <c r="E3884" s="16">
        <f>IFERROR(__xludf.DUMMYFUNCTION("""COMPUTED_VALUE"""),69.0)</f>
        <v>69</v>
      </c>
      <c r="F3884" s="19" t="str">
        <f>IFERROR(__xludf.DUMMYFUNCTION("""COMPUTED_VALUE"""),"BLUE")</f>
        <v>BLUE</v>
      </c>
      <c r="G3884" s="20" t="str">
        <f>IFERROR(__xludf.DUMMYFUNCTION("""COMPUTED_VALUE"""),"Uncle Sams Cider (04/04/2023)")</f>
        <v>Uncle Sams Cider (04/04/2023)</v>
      </c>
      <c r="H3884" s="19"/>
    </row>
    <row r="3885">
      <c r="A3885" s="9"/>
      <c r="B3885" s="15"/>
      <c r="C3885" s="9">
        <f>IFERROR(__xludf.DUMMYFUNCTION("""COMPUTED_VALUE"""),45103.9098705671)</f>
        <v>45103.90987</v>
      </c>
      <c r="D3885" s="15">
        <f>IFERROR(__xludf.DUMMYFUNCTION("""COMPUTED_VALUE"""),1.0)</f>
        <v>1</v>
      </c>
      <c r="E3885" s="16">
        <f>IFERROR(__xludf.DUMMYFUNCTION("""COMPUTED_VALUE"""),69.0)</f>
        <v>69</v>
      </c>
      <c r="F3885" s="19" t="str">
        <f>IFERROR(__xludf.DUMMYFUNCTION("""COMPUTED_VALUE"""),"BLUE")</f>
        <v>BLUE</v>
      </c>
      <c r="G3885" s="20" t="str">
        <f>IFERROR(__xludf.DUMMYFUNCTION("""COMPUTED_VALUE"""),"Uncle Sams Cider (04/04/2023)")</f>
        <v>Uncle Sams Cider (04/04/2023)</v>
      </c>
      <c r="H3885" s="19"/>
    </row>
    <row r="3886">
      <c r="A3886" s="9"/>
      <c r="B3886" s="15"/>
      <c r="C3886" s="9">
        <f>IFERROR(__xludf.DUMMYFUNCTION("""COMPUTED_VALUE"""),45103.8994252777)</f>
        <v>45103.89943</v>
      </c>
      <c r="D3886" s="15">
        <f>IFERROR(__xludf.DUMMYFUNCTION("""COMPUTED_VALUE"""),1.0)</f>
        <v>1</v>
      </c>
      <c r="E3886" s="16">
        <f>IFERROR(__xludf.DUMMYFUNCTION("""COMPUTED_VALUE"""),69.0)</f>
        <v>69</v>
      </c>
      <c r="F3886" s="19" t="str">
        <f>IFERROR(__xludf.DUMMYFUNCTION("""COMPUTED_VALUE"""),"BLUE")</f>
        <v>BLUE</v>
      </c>
      <c r="G3886" s="20" t="str">
        <f>IFERROR(__xludf.DUMMYFUNCTION("""COMPUTED_VALUE"""),"Uncle Sams Cider (04/04/2023)")</f>
        <v>Uncle Sams Cider (04/04/2023)</v>
      </c>
      <c r="H3886" s="19"/>
    </row>
    <row r="3887">
      <c r="A3887" s="9"/>
      <c r="B3887" s="15"/>
      <c r="C3887" s="9">
        <f>IFERROR(__xludf.DUMMYFUNCTION("""COMPUTED_VALUE"""),45103.8889921296)</f>
        <v>45103.88899</v>
      </c>
      <c r="D3887" s="15">
        <f>IFERROR(__xludf.DUMMYFUNCTION("""COMPUTED_VALUE"""),1.0)</f>
        <v>1</v>
      </c>
      <c r="E3887" s="16">
        <f>IFERROR(__xludf.DUMMYFUNCTION("""COMPUTED_VALUE"""),69.0)</f>
        <v>69</v>
      </c>
      <c r="F3887" s="19" t="str">
        <f>IFERROR(__xludf.DUMMYFUNCTION("""COMPUTED_VALUE"""),"BLUE")</f>
        <v>BLUE</v>
      </c>
      <c r="G3887" s="20" t="str">
        <f>IFERROR(__xludf.DUMMYFUNCTION("""COMPUTED_VALUE"""),"Uncle Sams Cider (04/04/2023)")</f>
        <v>Uncle Sams Cider (04/04/2023)</v>
      </c>
      <c r="H3887" s="19"/>
    </row>
    <row r="3888">
      <c r="A3888" s="9"/>
      <c r="B3888" s="15"/>
      <c r="C3888" s="9">
        <f>IFERROR(__xludf.DUMMYFUNCTION("""COMPUTED_VALUE"""),45103.8785707523)</f>
        <v>45103.87857</v>
      </c>
      <c r="D3888" s="15">
        <f>IFERROR(__xludf.DUMMYFUNCTION("""COMPUTED_VALUE"""),1.0)</f>
        <v>1</v>
      </c>
      <c r="E3888" s="16">
        <f>IFERROR(__xludf.DUMMYFUNCTION("""COMPUTED_VALUE"""),69.0)</f>
        <v>69</v>
      </c>
      <c r="F3888" s="19" t="str">
        <f>IFERROR(__xludf.DUMMYFUNCTION("""COMPUTED_VALUE"""),"BLUE")</f>
        <v>BLUE</v>
      </c>
      <c r="G3888" s="20" t="str">
        <f>IFERROR(__xludf.DUMMYFUNCTION("""COMPUTED_VALUE"""),"Uncle Sams Cider (04/04/2023)")</f>
        <v>Uncle Sams Cider (04/04/2023)</v>
      </c>
      <c r="H3888" s="19"/>
    </row>
    <row r="3889">
      <c r="A3889" s="9"/>
      <c r="B3889" s="15"/>
      <c r="C3889" s="9">
        <f>IFERROR(__xludf.DUMMYFUNCTION("""COMPUTED_VALUE"""),45103.8681489467)</f>
        <v>45103.86815</v>
      </c>
      <c r="D3889" s="15">
        <f>IFERROR(__xludf.DUMMYFUNCTION("""COMPUTED_VALUE"""),1.001)</f>
        <v>1.001</v>
      </c>
      <c r="E3889" s="16">
        <f>IFERROR(__xludf.DUMMYFUNCTION("""COMPUTED_VALUE"""),69.0)</f>
        <v>69</v>
      </c>
      <c r="F3889" s="19" t="str">
        <f>IFERROR(__xludf.DUMMYFUNCTION("""COMPUTED_VALUE"""),"BLUE")</f>
        <v>BLUE</v>
      </c>
      <c r="G3889" s="20" t="str">
        <f>IFERROR(__xludf.DUMMYFUNCTION("""COMPUTED_VALUE"""),"Uncle Sams Cider (04/04/2023)")</f>
        <v>Uncle Sams Cider (04/04/2023)</v>
      </c>
      <c r="H3889" s="19"/>
    </row>
    <row r="3890">
      <c r="A3890" s="9"/>
      <c r="B3890" s="15"/>
      <c r="C3890" s="9">
        <f>IFERROR(__xludf.DUMMYFUNCTION("""COMPUTED_VALUE"""),45103.8577275347)</f>
        <v>45103.85773</v>
      </c>
      <c r="D3890" s="15">
        <f>IFERROR(__xludf.DUMMYFUNCTION("""COMPUTED_VALUE"""),1.0)</f>
        <v>1</v>
      </c>
      <c r="E3890" s="16">
        <f>IFERROR(__xludf.DUMMYFUNCTION("""COMPUTED_VALUE"""),69.0)</f>
        <v>69</v>
      </c>
      <c r="F3890" s="19" t="str">
        <f>IFERROR(__xludf.DUMMYFUNCTION("""COMPUTED_VALUE"""),"BLUE")</f>
        <v>BLUE</v>
      </c>
      <c r="G3890" s="20" t="str">
        <f>IFERROR(__xludf.DUMMYFUNCTION("""COMPUTED_VALUE"""),"Uncle Sams Cider (04/04/2023)")</f>
        <v>Uncle Sams Cider (04/04/2023)</v>
      </c>
      <c r="H3890" s="19"/>
    </row>
    <row r="3891">
      <c r="A3891" s="9"/>
      <c r="B3891" s="15"/>
      <c r="C3891" s="9">
        <f>IFERROR(__xludf.DUMMYFUNCTION("""COMPUTED_VALUE"""),45103.847306956)</f>
        <v>45103.84731</v>
      </c>
      <c r="D3891" s="15">
        <f>IFERROR(__xludf.DUMMYFUNCTION("""COMPUTED_VALUE"""),1.0)</f>
        <v>1</v>
      </c>
      <c r="E3891" s="16">
        <f>IFERROR(__xludf.DUMMYFUNCTION("""COMPUTED_VALUE"""),69.0)</f>
        <v>69</v>
      </c>
      <c r="F3891" s="19" t="str">
        <f>IFERROR(__xludf.DUMMYFUNCTION("""COMPUTED_VALUE"""),"BLUE")</f>
        <v>BLUE</v>
      </c>
      <c r="G3891" s="20" t="str">
        <f>IFERROR(__xludf.DUMMYFUNCTION("""COMPUTED_VALUE"""),"Uncle Sams Cider (04/04/2023)")</f>
        <v>Uncle Sams Cider (04/04/2023)</v>
      </c>
      <c r="H3891" s="19"/>
    </row>
    <row r="3892">
      <c r="A3892" s="9"/>
      <c r="B3892" s="15"/>
      <c r="C3892" s="9">
        <f>IFERROR(__xludf.DUMMYFUNCTION("""COMPUTED_VALUE"""),45103.8368846875)</f>
        <v>45103.83688</v>
      </c>
      <c r="D3892" s="15">
        <f>IFERROR(__xludf.DUMMYFUNCTION("""COMPUTED_VALUE"""),1.0)</f>
        <v>1</v>
      </c>
      <c r="E3892" s="16">
        <f>IFERROR(__xludf.DUMMYFUNCTION("""COMPUTED_VALUE"""),69.0)</f>
        <v>69</v>
      </c>
      <c r="F3892" s="19" t="str">
        <f>IFERROR(__xludf.DUMMYFUNCTION("""COMPUTED_VALUE"""),"BLUE")</f>
        <v>BLUE</v>
      </c>
      <c r="G3892" s="20" t="str">
        <f>IFERROR(__xludf.DUMMYFUNCTION("""COMPUTED_VALUE"""),"Uncle Sams Cider (04/04/2023)")</f>
        <v>Uncle Sams Cider (04/04/2023)</v>
      </c>
      <c r="H3892" s="19"/>
    </row>
    <row r="3893">
      <c r="A3893" s="9"/>
      <c r="B3893" s="15"/>
      <c r="C3893" s="9">
        <f>IFERROR(__xludf.DUMMYFUNCTION("""COMPUTED_VALUE"""),45103.826462905)</f>
        <v>45103.82646</v>
      </c>
      <c r="D3893" s="15">
        <f>IFERROR(__xludf.DUMMYFUNCTION("""COMPUTED_VALUE"""),1.001)</f>
        <v>1.001</v>
      </c>
      <c r="E3893" s="16">
        <f>IFERROR(__xludf.DUMMYFUNCTION("""COMPUTED_VALUE"""),69.0)</f>
        <v>69</v>
      </c>
      <c r="F3893" s="19" t="str">
        <f>IFERROR(__xludf.DUMMYFUNCTION("""COMPUTED_VALUE"""),"BLUE")</f>
        <v>BLUE</v>
      </c>
      <c r="G3893" s="20" t="str">
        <f>IFERROR(__xludf.DUMMYFUNCTION("""COMPUTED_VALUE"""),"Uncle Sams Cider (04/04/2023)")</f>
        <v>Uncle Sams Cider (04/04/2023)</v>
      </c>
      <c r="H3893" s="19"/>
    </row>
    <row r="3894">
      <c r="A3894" s="9"/>
      <c r="B3894" s="15"/>
      <c r="C3894" s="9">
        <f>IFERROR(__xludf.DUMMYFUNCTION("""COMPUTED_VALUE"""),45103.8160306018)</f>
        <v>45103.81603</v>
      </c>
      <c r="D3894" s="15">
        <f>IFERROR(__xludf.DUMMYFUNCTION("""COMPUTED_VALUE"""),1.0)</f>
        <v>1</v>
      </c>
      <c r="E3894" s="16">
        <f>IFERROR(__xludf.DUMMYFUNCTION("""COMPUTED_VALUE"""),69.0)</f>
        <v>69</v>
      </c>
      <c r="F3894" s="19" t="str">
        <f>IFERROR(__xludf.DUMMYFUNCTION("""COMPUTED_VALUE"""),"BLUE")</f>
        <v>BLUE</v>
      </c>
      <c r="G3894" s="20" t="str">
        <f>IFERROR(__xludf.DUMMYFUNCTION("""COMPUTED_VALUE"""),"Uncle Sams Cider (04/04/2023)")</f>
        <v>Uncle Sams Cider (04/04/2023)</v>
      </c>
      <c r="H3894" s="19"/>
    </row>
    <row r="3895">
      <c r="A3895" s="9"/>
      <c r="B3895" s="15"/>
      <c r="C3895" s="9">
        <f>IFERROR(__xludf.DUMMYFUNCTION("""COMPUTED_VALUE"""),45103.8056102893)</f>
        <v>45103.80561</v>
      </c>
      <c r="D3895" s="15">
        <f>IFERROR(__xludf.DUMMYFUNCTION("""COMPUTED_VALUE"""),1.0)</f>
        <v>1</v>
      </c>
      <c r="E3895" s="16">
        <f>IFERROR(__xludf.DUMMYFUNCTION("""COMPUTED_VALUE"""),69.0)</f>
        <v>69</v>
      </c>
      <c r="F3895" s="19" t="str">
        <f>IFERROR(__xludf.DUMMYFUNCTION("""COMPUTED_VALUE"""),"BLUE")</f>
        <v>BLUE</v>
      </c>
      <c r="G3895" s="20" t="str">
        <f>IFERROR(__xludf.DUMMYFUNCTION("""COMPUTED_VALUE"""),"Uncle Sams Cider (04/04/2023)")</f>
        <v>Uncle Sams Cider (04/04/2023)</v>
      </c>
      <c r="H3895" s="19"/>
    </row>
    <row r="3896">
      <c r="A3896" s="9"/>
      <c r="B3896" s="15"/>
      <c r="C3896" s="9">
        <f>IFERROR(__xludf.DUMMYFUNCTION("""COMPUTED_VALUE"""),45103.7951880902)</f>
        <v>45103.79519</v>
      </c>
      <c r="D3896" s="15">
        <f>IFERROR(__xludf.DUMMYFUNCTION("""COMPUTED_VALUE"""),1.0)</f>
        <v>1</v>
      </c>
      <c r="E3896" s="16">
        <f>IFERROR(__xludf.DUMMYFUNCTION("""COMPUTED_VALUE"""),69.0)</f>
        <v>69</v>
      </c>
      <c r="F3896" s="19" t="str">
        <f>IFERROR(__xludf.DUMMYFUNCTION("""COMPUTED_VALUE"""),"BLUE")</f>
        <v>BLUE</v>
      </c>
      <c r="G3896" s="20" t="str">
        <f>IFERROR(__xludf.DUMMYFUNCTION("""COMPUTED_VALUE"""),"Uncle Sams Cider (04/04/2023)")</f>
        <v>Uncle Sams Cider (04/04/2023)</v>
      </c>
      <c r="H3896" s="19"/>
    </row>
    <row r="3897">
      <c r="A3897" s="9"/>
      <c r="B3897" s="15"/>
      <c r="C3897" s="9">
        <f>IFERROR(__xludf.DUMMYFUNCTION("""COMPUTED_VALUE"""),45103.7847665277)</f>
        <v>45103.78477</v>
      </c>
      <c r="D3897" s="15">
        <f>IFERROR(__xludf.DUMMYFUNCTION("""COMPUTED_VALUE"""),1.0)</f>
        <v>1</v>
      </c>
      <c r="E3897" s="16">
        <f>IFERROR(__xludf.DUMMYFUNCTION("""COMPUTED_VALUE"""),69.0)</f>
        <v>69</v>
      </c>
      <c r="F3897" s="19" t="str">
        <f>IFERROR(__xludf.DUMMYFUNCTION("""COMPUTED_VALUE"""),"BLUE")</f>
        <v>BLUE</v>
      </c>
      <c r="G3897" s="20" t="str">
        <f>IFERROR(__xludf.DUMMYFUNCTION("""COMPUTED_VALUE"""),"Uncle Sams Cider (04/04/2023)")</f>
        <v>Uncle Sams Cider (04/04/2023)</v>
      </c>
      <c r="H3897" s="19"/>
    </row>
    <row r="3898">
      <c r="A3898" s="9"/>
      <c r="B3898" s="15"/>
      <c r="C3898" s="9">
        <f>IFERROR(__xludf.DUMMYFUNCTION("""COMPUTED_VALUE"""),45103.7743450462)</f>
        <v>45103.77435</v>
      </c>
      <c r="D3898" s="15">
        <f>IFERROR(__xludf.DUMMYFUNCTION("""COMPUTED_VALUE"""),1.0)</f>
        <v>1</v>
      </c>
      <c r="E3898" s="16">
        <f>IFERROR(__xludf.DUMMYFUNCTION("""COMPUTED_VALUE"""),69.0)</f>
        <v>69</v>
      </c>
      <c r="F3898" s="19" t="str">
        <f>IFERROR(__xludf.DUMMYFUNCTION("""COMPUTED_VALUE"""),"BLUE")</f>
        <v>BLUE</v>
      </c>
      <c r="G3898" s="20" t="str">
        <f>IFERROR(__xludf.DUMMYFUNCTION("""COMPUTED_VALUE"""),"Uncle Sams Cider (04/04/2023)")</f>
        <v>Uncle Sams Cider (04/04/2023)</v>
      </c>
      <c r="H3898" s="19"/>
    </row>
    <row r="3899">
      <c r="A3899" s="9"/>
      <c r="B3899" s="15"/>
      <c r="C3899" s="9">
        <f>IFERROR(__xludf.DUMMYFUNCTION("""COMPUTED_VALUE"""),45103.7639253588)</f>
        <v>45103.76393</v>
      </c>
      <c r="D3899" s="15">
        <f>IFERROR(__xludf.DUMMYFUNCTION("""COMPUTED_VALUE"""),1.0)</f>
        <v>1</v>
      </c>
      <c r="E3899" s="16">
        <f>IFERROR(__xludf.DUMMYFUNCTION("""COMPUTED_VALUE"""),69.0)</f>
        <v>69</v>
      </c>
      <c r="F3899" s="19" t="str">
        <f>IFERROR(__xludf.DUMMYFUNCTION("""COMPUTED_VALUE"""),"BLUE")</f>
        <v>BLUE</v>
      </c>
      <c r="G3899" s="20" t="str">
        <f>IFERROR(__xludf.DUMMYFUNCTION("""COMPUTED_VALUE"""),"Uncle Sams Cider (04/04/2023)")</f>
        <v>Uncle Sams Cider (04/04/2023)</v>
      </c>
      <c r="H3899" s="19"/>
    </row>
    <row r="3900">
      <c r="A3900" s="9"/>
      <c r="B3900" s="15"/>
      <c r="C3900" s="9">
        <f>IFERROR(__xludf.DUMMYFUNCTION("""COMPUTED_VALUE"""),45103.7535052893)</f>
        <v>45103.75351</v>
      </c>
      <c r="D3900" s="15">
        <f>IFERROR(__xludf.DUMMYFUNCTION("""COMPUTED_VALUE"""),1.0)</f>
        <v>1</v>
      </c>
      <c r="E3900" s="16">
        <f>IFERROR(__xludf.DUMMYFUNCTION("""COMPUTED_VALUE"""),69.0)</f>
        <v>69</v>
      </c>
      <c r="F3900" s="19" t="str">
        <f>IFERROR(__xludf.DUMMYFUNCTION("""COMPUTED_VALUE"""),"BLUE")</f>
        <v>BLUE</v>
      </c>
      <c r="G3900" s="20" t="str">
        <f>IFERROR(__xludf.DUMMYFUNCTION("""COMPUTED_VALUE"""),"Uncle Sams Cider (04/04/2023)")</f>
        <v>Uncle Sams Cider (04/04/2023)</v>
      </c>
      <c r="H3900" s="19"/>
    </row>
    <row r="3901">
      <c r="A3901" s="9"/>
      <c r="B3901" s="15"/>
      <c r="C3901" s="9">
        <f>IFERROR(__xludf.DUMMYFUNCTION("""COMPUTED_VALUE"""),45103.7430834838)</f>
        <v>45103.74308</v>
      </c>
      <c r="D3901" s="15">
        <f>IFERROR(__xludf.DUMMYFUNCTION("""COMPUTED_VALUE"""),1.0)</f>
        <v>1</v>
      </c>
      <c r="E3901" s="16">
        <f>IFERROR(__xludf.DUMMYFUNCTION("""COMPUTED_VALUE"""),69.0)</f>
        <v>69</v>
      </c>
      <c r="F3901" s="19" t="str">
        <f>IFERROR(__xludf.DUMMYFUNCTION("""COMPUTED_VALUE"""),"BLUE")</f>
        <v>BLUE</v>
      </c>
      <c r="G3901" s="20" t="str">
        <f>IFERROR(__xludf.DUMMYFUNCTION("""COMPUTED_VALUE"""),"Uncle Sams Cider (04/04/2023)")</f>
        <v>Uncle Sams Cider (04/04/2023)</v>
      </c>
      <c r="H3901" s="19"/>
    </row>
    <row r="3902">
      <c r="A3902" s="9"/>
      <c r="B3902" s="15"/>
      <c r="C3902" s="9">
        <f>IFERROR(__xludf.DUMMYFUNCTION("""COMPUTED_VALUE"""),45103.7326634722)</f>
        <v>45103.73266</v>
      </c>
      <c r="D3902" s="15">
        <f>IFERROR(__xludf.DUMMYFUNCTION("""COMPUTED_VALUE"""),1.0)</f>
        <v>1</v>
      </c>
      <c r="E3902" s="16">
        <f>IFERROR(__xludf.DUMMYFUNCTION("""COMPUTED_VALUE"""),69.0)</f>
        <v>69</v>
      </c>
      <c r="F3902" s="19" t="str">
        <f>IFERROR(__xludf.DUMMYFUNCTION("""COMPUTED_VALUE"""),"BLUE")</f>
        <v>BLUE</v>
      </c>
      <c r="G3902" s="20" t="str">
        <f>IFERROR(__xludf.DUMMYFUNCTION("""COMPUTED_VALUE"""),"Uncle Sams Cider (04/04/2023)")</f>
        <v>Uncle Sams Cider (04/04/2023)</v>
      </c>
      <c r="H3902" s="19"/>
    </row>
    <row r="3903">
      <c r="A3903" s="9"/>
      <c r="B3903" s="15"/>
      <c r="C3903" s="9">
        <f>IFERROR(__xludf.DUMMYFUNCTION("""COMPUTED_VALUE"""),45103.7222424421)</f>
        <v>45103.72224</v>
      </c>
      <c r="D3903" s="15">
        <f>IFERROR(__xludf.DUMMYFUNCTION("""COMPUTED_VALUE"""),1.0)</f>
        <v>1</v>
      </c>
      <c r="E3903" s="16">
        <f>IFERROR(__xludf.DUMMYFUNCTION("""COMPUTED_VALUE"""),69.0)</f>
        <v>69</v>
      </c>
      <c r="F3903" s="19" t="str">
        <f>IFERROR(__xludf.DUMMYFUNCTION("""COMPUTED_VALUE"""),"BLUE")</f>
        <v>BLUE</v>
      </c>
      <c r="G3903" s="20" t="str">
        <f>IFERROR(__xludf.DUMMYFUNCTION("""COMPUTED_VALUE"""),"Uncle Sams Cider (04/04/2023)")</f>
        <v>Uncle Sams Cider (04/04/2023)</v>
      </c>
      <c r="H3903" s="19"/>
    </row>
    <row r="3904">
      <c r="A3904" s="9"/>
      <c r="B3904" s="15"/>
      <c r="C3904" s="9">
        <f>IFERROR(__xludf.DUMMYFUNCTION("""COMPUTED_VALUE"""),45103.7118220138)</f>
        <v>45103.71182</v>
      </c>
      <c r="D3904" s="15">
        <f>IFERROR(__xludf.DUMMYFUNCTION("""COMPUTED_VALUE"""),1.0)</f>
        <v>1</v>
      </c>
      <c r="E3904" s="16">
        <f>IFERROR(__xludf.DUMMYFUNCTION("""COMPUTED_VALUE"""),69.0)</f>
        <v>69</v>
      </c>
      <c r="F3904" s="19" t="str">
        <f>IFERROR(__xludf.DUMMYFUNCTION("""COMPUTED_VALUE"""),"BLUE")</f>
        <v>BLUE</v>
      </c>
      <c r="G3904" s="20" t="str">
        <f>IFERROR(__xludf.DUMMYFUNCTION("""COMPUTED_VALUE"""),"Uncle Sams Cider (04/04/2023)")</f>
        <v>Uncle Sams Cider (04/04/2023)</v>
      </c>
      <c r="H3904" s="19"/>
    </row>
    <row r="3905">
      <c r="A3905" s="9"/>
      <c r="B3905" s="15"/>
      <c r="C3905" s="9">
        <f>IFERROR(__xludf.DUMMYFUNCTION("""COMPUTED_VALUE"""),45103.7013998379)</f>
        <v>45103.7014</v>
      </c>
      <c r="D3905" s="15">
        <f>IFERROR(__xludf.DUMMYFUNCTION("""COMPUTED_VALUE"""),1.0)</f>
        <v>1</v>
      </c>
      <c r="E3905" s="16">
        <f>IFERROR(__xludf.DUMMYFUNCTION("""COMPUTED_VALUE"""),69.0)</f>
        <v>69</v>
      </c>
      <c r="F3905" s="19" t="str">
        <f>IFERROR(__xludf.DUMMYFUNCTION("""COMPUTED_VALUE"""),"BLUE")</f>
        <v>BLUE</v>
      </c>
      <c r="G3905" s="20" t="str">
        <f>IFERROR(__xludf.DUMMYFUNCTION("""COMPUTED_VALUE"""),"Uncle Sams Cider (04/04/2023)")</f>
        <v>Uncle Sams Cider (04/04/2023)</v>
      </c>
      <c r="H3905" s="19"/>
    </row>
    <row r="3906">
      <c r="A3906" s="9"/>
      <c r="B3906" s="15"/>
      <c r="C3906" s="9">
        <f>IFERROR(__xludf.DUMMYFUNCTION("""COMPUTED_VALUE"""),45103.6909691666)</f>
        <v>45103.69097</v>
      </c>
      <c r="D3906" s="15">
        <f>IFERROR(__xludf.DUMMYFUNCTION("""COMPUTED_VALUE"""),1.0)</f>
        <v>1</v>
      </c>
      <c r="E3906" s="16">
        <f>IFERROR(__xludf.DUMMYFUNCTION("""COMPUTED_VALUE"""),69.0)</f>
        <v>69</v>
      </c>
      <c r="F3906" s="19" t="str">
        <f>IFERROR(__xludf.DUMMYFUNCTION("""COMPUTED_VALUE"""),"BLUE")</f>
        <v>BLUE</v>
      </c>
      <c r="G3906" s="20" t="str">
        <f>IFERROR(__xludf.DUMMYFUNCTION("""COMPUTED_VALUE"""),"Uncle Sams Cider (04/04/2023)")</f>
        <v>Uncle Sams Cider (04/04/2023)</v>
      </c>
      <c r="H3906" s="19"/>
    </row>
    <row r="3907">
      <c r="A3907" s="9"/>
      <c r="B3907" s="15"/>
      <c r="C3907" s="9">
        <f>IFERROR(__xludf.DUMMYFUNCTION("""COMPUTED_VALUE"""),45103.6805475115)</f>
        <v>45103.68055</v>
      </c>
      <c r="D3907" s="15">
        <f>IFERROR(__xludf.DUMMYFUNCTION("""COMPUTED_VALUE"""),1.0)</f>
        <v>1</v>
      </c>
      <c r="E3907" s="16">
        <f>IFERROR(__xludf.DUMMYFUNCTION("""COMPUTED_VALUE"""),69.0)</f>
        <v>69</v>
      </c>
      <c r="F3907" s="19" t="str">
        <f>IFERROR(__xludf.DUMMYFUNCTION("""COMPUTED_VALUE"""),"BLUE")</f>
        <v>BLUE</v>
      </c>
      <c r="G3907" s="20" t="str">
        <f>IFERROR(__xludf.DUMMYFUNCTION("""COMPUTED_VALUE"""),"Uncle Sams Cider (04/04/2023)")</f>
        <v>Uncle Sams Cider (04/04/2023)</v>
      </c>
      <c r="H3907" s="19"/>
    </row>
    <row r="3908">
      <c r="A3908" s="9"/>
      <c r="B3908" s="15"/>
      <c r="C3908" s="9">
        <f>IFERROR(__xludf.DUMMYFUNCTION("""COMPUTED_VALUE"""),45103.6701276736)</f>
        <v>45103.67013</v>
      </c>
      <c r="D3908" s="15">
        <f>IFERROR(__xludf.DUMMYFUNCTION("""COMPUTED_VALUE"""),1.0)</f>
        <v>1</v>
      </c>
      <c r="E3908" s="16">
        <f>IFERROR(__xludf.DUMMYFUNCTION("""COMPUTED_VALUE"""),69.0)</f>
        <v>69</v>
      </c>
      <c r="F3908" s="19" t="str">
        <f>IFERROR(__xludf.DUMMYFUNCTION("""COMPUTED_VALUE"""),"BLUE")</f>
        <v>BLUE</v>
      </c>
      <c r="G3908" s="20" t="str">
        <f>IFERROR(__xludf.DUMMYFUNCTION("""COMPUTED_VALUE"""),"Uncle Sams Cider (04/04/2023)")</f>
        <v>Uncle Sams Cider (04/04/2023)</v>
      </c>
      <c r="H3908" s="19"/>
    </row>
    <row r="3909">
      <c r="A3909" s="9"/>
      <c r="B3909" s="15"/>
      <c r="C3909" s="9">
        <f>IFERROR(__xludf.DUMMYFUNCTION("""COMPUTED_VALUE"""),45103.6597073726)</f>
        <v>45103.65971</v>
      </c>
      <c r="D3909" s="15">
        <f>IFERROR(__xludf.DUMMYFUNCTION("""COMPUTED_VALUE"""),1.001)</f>
        <v>1.001</v>
      </c>
      <c r="E3909" s="16">
        <f>IFERROR(__xludf.DUMMYFUNCTION("""COMPUTED_VALUE"""),69.0)</f>
        <v>69</v>
      </c>
      <c r="F3909" s="19" t="str">
        <f>IFERROR(__xludf.DUMMYFUNCTION("""COMPUTED_VALUE"""),"BLUE")</f>
        <v>BLUE</v>
      </c>
      <c r="G3909" s="20" t="str">
        <f>IFERROR(__xludf.DUMMYFUNCTION("""COMPUTED_VALUE"""),"Uncle Sams Cider (04/04/2023)")</f>
        <v>Uncle Sams Cider (04/04/2023)</v>
      </c>
      <c r="H3909" s="19"/>
    </row>
    <row r="3910">
      <c r="A3910" s="9"/>
      <c r="B3910" s="15"/>
      <c r="C3910" s="9">
        <f>IFERROR(__xludf.DUMMYFUNCTION("""COMPUTED_VALUE"""),45103.6492866088)</f>
        <v>45103.64929</v>
      </c>
      <c r="D3910" s="15">
        <f>IFERROR(__xludf.DUMMYFUNCTION("""COMPUTED_VALUE"""),1.0)</f>
        <v>1</v>
      </c>
      <c r="E3910" s="16">
        <f>IFERROR(__xludf.DUMMYFUNCTION("""COMPUTED_VALUE"""),69.0)</f>
        <v>69</v>
      </c>
      <c r="F3910" s="19" t="str">
        <f>IFERROR(__xludf.DUMMYFUNCTION("""COMPUTED_VALUE"""),"BLUE")</f>
        <v>BLUE</v>
      </c>
      <c r="G3910" s="20" t="str">
        <f>IFERROR(__xludf.DUMMYFUNCTION("""COMPUTED_VALUE"""),"Uncle Sams Cider (04/04/2023)")</f>
        <v>Uncle Sams Cider (04/04/2023)</v>
      </c>
      <c r="H3910" s="19"/>
    </row>
    <row r="3911">
      <c r="A3911" s="9"/>
      <c r="B3911" s="15"/>
      <c r="C3911" s="9">
        <f>IFERROR(__xludf.DUMMYFUNCTION("""COMPUTED_VALUE"""),45103.6388525231)</f>
        <v>45103.63885</v>
      </c>
      <c r="D3911" s="15">
        <f>IFERROR(__xludf.DUMMYFUNCTION("""COMPUTED_VALUE"""),1.0)</f>
        <v>1</v>
      </c>
      <c r="E3911" s="16">
        <f>IFERROR(__xludf.DUMMYFUNCTION("""COMPUTED_VALUE"""),69.0)</f>
        <v>69</v>
      </c>
      <c r="F3911" s="19" t="str">
        <f>IFERROR(__xludf.DUMMYFUNCTION("""COMPUTED_VALUE"""),"BLUE")</f>
        <v>BLUE</v>
      </c>
      <c r="G3911" s="20" t="str">
        <f>IFERROR(__xludf.DUMMYFUNCTION("""COMPUTED_VALUE"""),"Uncle Sams Cider (04/04/2023)")</f>
        <v>Uncle Sams Cider (04/04/2023)</v>
      </c>
      <c r="H3911" s="19"/>
    </row>
    <row r="3912">
      <c r="A3912" s="9"/>
      <c r="B3912" s="15"/>
      <c r="C3912" s="9">
        <f>IFERROR(__xludf.DUMMYFUNCTION("""COMPUTED_VALUE"""),45103.6284316782)</f>
        <v>45103.62843</v>
      </c>
      <c r="D3912" s="15">
        <f>IFERROR(__xludf.DUMMYFUNCTION("""COMPUTED_VALUE"""),1.0)</f>
        <v>1</v>
      </c>
      <c r="E3912" s="16">
        <f>IFERROR(__xludf.DUMMYFUNCTION("""COMPUTED_VALUE"""),69.0)</f>
        <v>69</v>
      </c>
      <c r="F3912" s="19" t="str">
        <f>IFERROR(__xludf.DUMMYFUNCTION("""COMPUTED_VALUE"""),"BLUE")</f>
        <v>BLUE</v>
      </c>
      <c r="G3912" s="20" t="str">
        <f>IFERROR(__xludf.DUMMYFUNCTION("""COMPUTED_VALUE"""),"Uncle Sams Cider (04/04/2023)")</f>
        <v>Uncle Sams Cider (04/04/2023)</v>
      </c>
      <c r="H3912" s="19"/>
    </row>
    <row r="3913">
      <c r="A3913" s="9"/>
      <c r="B3913" s="15"/>
      <c r="C3913" s="9">
        <f>IFERROR(__xludf.DUMMYFUNCTION("""COMPUTED_VALUE"""),45103.6180101736)</f>
        <v>45103.61801</v>
      </c>
      <c r="D3913" s="15">
        <f>IFERROR(__xludf.DUMMYFUNCTION("""COMPUTED_VALUE"""),1.0)</f>
        <v>1</v>
      </c>
      <c r="E3913" s="16">
        <f>IFERROR(__xludf.DUMMYFUNCTION("""COMPUTED_VALUE"""),69.0)</f>
        <v>69</v>
      </c>
      <c r="F3913" s="19" t="str">
        <f>IFERROR(__xludf.DUMMYFUNCTION("""COMPUTED_VALUE"""),"BLUE")</f>
        <v>BLUE</v>
      </c>
      <c r="G3913" s="20" t="str">
        <f>IFERROR(__xludf.DUMMYFUNCTION("""COMPUTED_VALUE"""),"Uncle Sams Cider (04/04/2023)")</f>
        <v>Uncle Sams Cider (04/04/2023)</v>
      </c>
      <c r="H3913" s="19"/>
    </row>
    <row r="3914">
      <c r="A3914" s="9"/>
      <c r="B3914" s="15"/>
      <c r="C3914" s="9">
        <f>IFERROR(__xludf.DUMMYFUNCTION("""COMPUTED_VALUE"""),45103.607590081)</f>
        <v>45103.60759</v>
      </c>
      <c r="D3914" s="15">
        <f>IFERROR(__xludf.DUMMYFUNCTION("""COMPUTED_VALUE"""),1.0)</f>
        <v>1</v>
      </c>
      <c r="E3914" s="16">
        <f>IFERROR(__xludf.DUMMYFUNCTION("""COMPUTED_VALUE"""),69.0)</f>
        <v>69</v>
      </c>
      <c r="F3914" s="19" t="str">
        <f>IFERROR(__xludf.DUMMYFUNCTION("""COMPUTED_VALUE"""),"BLUE")</f>
        <v>BLUE</v>
      </c>
      <c r="G3914" s="20" t="str">
        <f>IFERROR(__xludf.DUMMYFUNCTION("""COMPUTED_VALUE"""),"Uncle Sams Cider (04/04/2023)")</f>
        <v>Uncle Sams Cider (04/04/2023)</v>
      </c>
      <c r="H3914" s="19"/>
    </row>
    <row r="3915">
      <c r="A3915" s="9"/>
      <c r="B3915" s="15"/>
      <c r="C3915" s="9">
        <f>IFERROR(__xludf.DUMMYFUNCTION("""COMPUTED_VALUE"""),45103.5971587847)</f>
        <v>45103.59716</v>
      </c>
      <c r="D3915" s="15">
        <f>IFERROR(__xludf.DUMMYFUNCTION("""COMPUTED_VALUE"""),1.001)</f>
        <v>1.001</v>
      </c>
      <c r="E3915" s="16">
        <f>IFERROR(__xludf.DUMMYFUNCTION("""COMPUTED_VALUE"""),69.0)</f>
        <v>69</v>
      </c>
      <c r="F3915" s="19" t="str">
        <f>IFERROR(__xludf.DUMMYFUNCTION("""COMPUTED_VALUE"""),"BLUE")</f>
        <v>BLUE</v>
      </c>
      <c r="G3915" s="20" t="str">
        <f>IFERROR(__xludf.DUMMYFUNCTION("""COMPUTED_VALUE"""),"Uncle Sams Cider (04/04/2023)")</f>
        <v>Uncle Sams Cider (04/04/2023)</v>
      </c>
      <c r="H3915" s="19"/>
    </row>
    <row r="3916">
      <c r="A3916" s="9"/>
      <c r="B3916" s="15"/>
      <c r="C3916" s="9">
        <f>IFERROR(__xludf.DUMMYFUNCTION("""COMPUTED_VALUE"""),45103.5867246527)</f>
        <v>45103.58672</v>
      </c>
      <c r="D3916" s="15">
        <f>IFERROR(__xludf.DUMMYFUNCTION("""COMPUTED_VALUE"""),1.0)</f>
        <v>1</v>
      </c>
      <c r="E3916" s="16">
        <f>IFERROR(__xludf.DUMMYFUNCTION("""COMPUTED_VALUE"""),69.0)</f>
        <v>69</v>
      </c>
      <c r="F3916" s="19" t="str">
        <f>IFERROR(__xludf.DUMMYFUNCTION("""COMPUTED_VALUE"""),"BLUE")</f>
        <v>BLUE</v>
      </c>
      <c r="G3916" s="20" t="str">
        <f>IFERROR(__xludf.DUMMYFUNCTION("""COMPUTED_VALUE"""),"Uncle Sams Cider (04/04/2023)")</f>
        <v>Uncle Sams Cider (04/04/2023)</v>
      </c>
      <c r="H3916" s="19"/>
    </row>
    <row r="3917">
      <c r="A3917" s="9"/>
      <c r="B3917" s="15"/>
      <c r="C3917" s="9">
        <f>IFERROR(__xludf.DUMMYFUNCTION("""COMPUTED_VALUE"""),45103.5762924421)</f>
        <v>45103.57629</v>
      </c>
      <c r="D3917" s="15">
        <f>IFERROR(__xludf.DUMMYFUNCTION("""COMPUTED_VALUE"""),1.0)</f>
        <v>1</v>
      </c>
      <c r="E3917" s="16">
        <f>IFERROR(__xludf.DUMMYFUNCTION("""COMPUTED_VALUE"""),69.0)</f>
        <v>69</v>
      </c>
      <c r="F3917" s="19" t="str">
        <f>IFERROR(__xludf.DUMMYFUNCTION("""COMPUTED_VALUE"""),"BLUE")</f>
        <v>BLUE</v>
      </c>
      <c r="G3917" s="20" t="str">
        <f>IFERROR(__xludf.DUMMYFUNCTION("""COMPUTED_VALUE"""),"Uncle Sams Cider (04/04/2023)")</f>
        <v>Uncle Sams Cider (04/04/2023)</v>
      </c>
      <c r="H3917" s="19"/>
    </row>
    <row r="3918">
      <c r="A3918" s="9"/>
      <c r="B3918" s="15"/>
      <c r="C3918" s="9">
        <f>IFERROR(__xludf.DUMMYFUNCTION("""COMPUTED_VALUE"""),45103.5658719675)</f>
        <v>45103.56587</v>
      </c>
      <c r="D3918" s="15">
        <f>IFERROR(__xludf.DUMMYFUNCTION("""COMPUTED_VALUE"""),1.0)</f>
        <v>1</v>
      </c>
      <c r="E3918" s="16">
        <f>IFERROR(__xludf.DUMMYFUNCTION("""COMPUTED_VALUE"""),69.0)</f>
        <v>69</v>
      </c>
      <c r="F3918" s="19" t="str">
        <f>IFERROR(__xludf.DUMMYFUNCTION("""COMPUTED_VALUE"""),"BLUE")</f>
        <v>BLUE</v>
      </c>
      <c r="G3918" s="20" t="str">
        <f>IFERROR(__xludf.DUMMYFUNCTION("""COMPUTED_VALUE"""),"Uncle Sams Cider (04/04/2023)")</f>
        <v>Uncle Sams Cider (04/04/2023)</v>
      </c>
      <c r="H3918" s="19"/>
    </row>
    <row r="3919">
      <c r="A3919" s="9"/>
      <c r="B3919" s="15"/>
      <c r="C3919" s="9">
        <f>IFERROR(__xludf.DUMMYFUNCTION("""COMPUTED_VALUE"""),45103.5554507523)</f>
        <v>45103.55545</v>
      </c>
      <c r="D3919" s="15">
        <f>IFERROR(__xludf.DUMMYFUNCTION("""COMPUTED_VALUE"""),1.0)</f>
        <v>1</v>
      </c>
      <c r="E3919" s="16">
        <f>IFERROR(__xludf.DUMMYFUNCTION("""COMPUTED_VALUE"""),69.0)</f>
        <v>69</v>
      </c>
      <c r="F3919" s="19" t="str">
        <f>IFERROR(__xludf.DUMMYFUNCTION("""COMPUTED_VALUE"""),"BLUE")</f>
        <v>BLUE</v>
      </c>
      <c r="G3919" s="20" t="str">
        <f>IFERROR(__xludf.DUMMYFUNCTION("""COMPUTED_VALUE"""),"Uncle Sams Cider (04/04/2023)")</f>
        <v>Uncle Sams Cider (04/04/2023)</v>
      </c>
      <c r="H3919" s="19"/>
    </row>
    <row r="3920">
      <c r="A3920" s="9"/>
      <c r="B3920" s="15"/>
      <c r="C3920" s="9">
        <f>IFERROR(__xludf.DUMMYFUNCTION("""COMPUTED_VALUE"""),45103.5450296412)</f>
        <v>45103.54503</v>
      </c>
      <c r="D3920" s="15">
        <f>IFERROR(__xludf.DUMMYFUNCTION("""COMPUTED_VALUE"""),1.0)</f>
        <v>1</v>
      </c>
      <c r="E3920" s="16">
        <f>IFERROR(__xludf.DUMMYFUNCTION("""COMPUTED_VALUE"""),69.0)</f>
        <v>69</v>
      </c>
      <c r="F3920" s="19" t="str">
        <f>IFERROR(__xludf.DUMMYFUNCTION("""COMPUTED_VALUE"""),"BLUE")</f>
        <v>BLUE</v>
      </c>
      <c r="G3920" s="20" t="str">
        <f>IFERROR(__xludf.DUMMYFUNCTION("""COMPUTED_VALUE"""),"Uncle Sams Cider (04/04/2023)")</f>
        <v>Uncle Sams Cider (04/04/2023)</v>
      </c>
      <c r="H3920" s="19"/>
    </row>
    <row r="3921">
      <c r="A3921" s="9"/>
      <c r="B3921" s="15"/>
      <c r="C3921" s="9">
        <f>IFERROR(__xludf.DUMMYFUNCTION("""COMPUTED_VALUE"""),45103.5346082754)</f>
        <v>45103.53461</v>
      </c>
      <c r="D3921" s="15">
        <f>IFERROR(__xludf.DUMMYFUNCTION("""COMPUTED_VALUE"""),1.0)</f>
        <v>1</v>
      </c>
      <c r="E3921" s="16">
        <f>IFERROR(__xludf.DUMMYFUNCTION("""COMPUTED_VALUE"""),69.0)</f>
        <v>69</v>
      </c>
      <c r="F3921" s="19" t="str">
        <f>IFERROR(__xludf.DUMMYFUNCTION("""COMPUTED_VALUE"""),"BLUE")</f>
        <v>BLUE</v>
      </c>
      <c r="G3921" s="20" t="str">
        <f>IFERROR(__xludf.DUMMYFUNCTION("""COMPUTED_VALUE"""),"Uncle Sams Cider (04/04/2023)")</f>
        <v>Uncle Sams Cider (04/04/2023)</v>
      </c>
      <c r="H3921" s="19"/>
    </row>
    <row r="3922">
      <c r="A3922" s="9"/>
      <c r="B3922" s="15"/>
      <c r="C3922" s="9">
        <f>IFERROR(__xludf.DUMMYFUNCTION("""COMPUTED_VALUE"""),45103.5241874652)</f>
        <v>45103.52419</v>
      </c>
      <c r="D3922" s="15">
        <f>IFERROR(__xludf.DUMMYFUNCTION("""COMPUTED_VALUE"""),1.001)</f>
        <v>1.001</v>
      </c>
      <c r="E3922" s="16">
        <f>IFERROR(__xludf.DUMMYFUNCTION("""COMPUTED_VALUE"""),69.0)</f>
        <v>69</v>
      </c>
      <c r="F3922" s="19" t="str">
        <f>IFERROR(__xludf.DUMMYFUNCTION("""COMPUTED_VALUE"""),"BLUE")</f>
        <v>BLUE</v>
      </c>
      <c r="G3922" s="20" t="str">
        <f>IFERROR(__xludf.DUMMYFUNCTION("""COMPUTED_VALUE"""),"Uncle Sams Cider (04/04/2023)")</f>
        <v>Uncle Sams Cider (04/04/2023)</v>
      </c>
      <c r="H3922" s="19"/>
    </row>
    <row r="3923">
      <c r="A3923" s="9"/>
      <c r="B3923" s="15"/>
      <c r="C3923" s="9">
        <f>IFERROR(__xludf.DUMMYFUNCTION("""COMPUTED_VALUE"""),45103.5137662384)</f>
        <v>45103.51377</v>
      </c>
      <c r="D3923" s="15">
        <f>IFERROR(__xludf.DUMMYFUNCTION("""COMPUTED_VALUE"""),1.0)</f>
        <v>1</v>
      </c>
      <c r="E3923" s="16">
        <f>IFERROR(__xludf.DUMMYFUNCTION("""COMPUTED_VALUE"""),69.0)</f>
        <v>69</v>
      </c>
      <c r="F3923" s="19" t="str">
        <f>IFERROR(__xludf.DUMMYFUNCTION("""COMPUTED_VALUE"""),"BLUE")</f>
        <v>BLUE</v>
      </c>
      <c r="G3923" s="20" t="str">
        <f>IFERROR(__xludf.DUMMYFUNCTION("""COMPUTED_VALUE"""),"Uncle Sams Cider (04/04/2023)")</f>
        <v>Uncle Sams Cider (04/04/2023)</v>
      </c>
      <c r="H3923" s="19"/>
    </row>
    <row r="3924">
      <c r="A3924" s="9"/>
      <c r="B3924" s="15"/>
      <c r="C3924" s="9">
        <f>IFERROR(__xludf.DUMMYFUNCTION("""COMPUTED_VALUE"""),45103.5033457638)</f>
        <v>45103.50335</v>
      </c>
      <c r="D3924" s="15">
        <f>IFERROR(__xludf.DUMMYFUNCTION("""COMPUTED_VALUE"""),1.0)</f>
        <v>1</v>
      </c>
      <c r="E3924" s="16">
        <f>IFERROR(__xludf.DUMMYFUNCTION("""COMPUTED_VALUE"""),69.0)</f>
        <v>69</v>
      </c>
      <c r="F3924" s="19" t="str">
        <f>IFERROR(__xludf.DUMMYFUNCTION("""COMPUTED_VALUE"""),"BLUE")</f>
        <v>BLUE</v>
      </c>
      <c r="G3924" s="20" t="str">
        <f>IFERROR(__xludf.DUMMYFUNCTION("""COMPUTED_VALUE"""),"Uncle Sams Cider (04/04/2023)")</f>
        <v>Uncle Sams Cider (04/04/2023)</v>
      </c>
      <c r="H3924" s="19"/>
    </row>
    <row r="3925">
      <c r="A3925" s="9"/>
      <c r="B3925" s="15"/>
      <c r="C3925" s="9">
        <f>IFERROR(__xludf.DUMMYFUNCTION("""COMPUTED_VALUE"""),45103.4929259375)</f>
        <v>45103.49293</v>
      </c>
      <c r="D3925" s="15">
        <f>IFERROR(__xludf.DUMMYFUNCTION("""COMPUTED_VALUE"""),1.0)</f>
        <v>1</v>
      </c>
      <c r="E3925" s="16">
        <f>IFERROR(__xludf.DUMMYFUNCTION("""COMPUTED_VALUE"""),69.0)</f>
        <v>69</v>
      </c>
      <c r="F3925" s="19" t="str">
        <f>IFERROR(__xludf.DUMMYFUNCTION("""COMPUTED_VALUE"""),"BLUE")</f>
        <v>BLUE</v>
      </c>
      <c r="G3925" s="20" t="str">
        <f>IFERROR(__xludf.DUMMYFUNCTION("""COMPUTED_VALUE"""),"Uncle Sams Cider (04/04/2023)")</f>
        <v>Uncle Sams Cider (04/04/2023)</v>
      </c>
      <c r="H3925" s="19"/>
    </row>
    <row r="3926">
      <c r="A3926" s="9"/>
      <c r="B3926" s="15"/>
      <c r="C3926" s="9">
        <f>IFERROR(__xludf.DUMMYFUNCTION("""COMPUTED_VALUE"""),45103.4825044907)</f>
        <v>45103.4825</v>
      </c>
      <c r="D3926" s="15">
        <f>IFERROR(__xludf.DUMMYFUNCTION("""COMPUTED_VALUE"""),1.0)</f>
        <v>1</v>
      </c>
      <c r="E3926" s="16">
        <f>IFERROR(__xludf.DUMMYFUNCTION("""COMPUTED_VALUE"""),69.0)</f>
        <v>69</v>
      </c>
      <c r="F3926" s="19" t="str">
        <f>IFERROR(__xludf.DUMMYFUNCTION("""COMPUTED_VALUE"""),"BLUE")</f>
        <v>BLUE</v>
      </c>
      <c r="G3926" s="20" t="str">
        <f>IFERROR(__xludf.DUMMYFUNCTION("""COMPUTED_VALUE"""),"Uncle Sams Cider (04/04/2023)")</f>
        <v>Uncle Sams Cider (04/04/2023)</v>
      </c>
      <c r="H3926" s="19"/>
    </row>
    <row r="3927">
      <c r="A3927" s="9"/>
      <c r="B3927" s="15"/>
      <c r="C3927" s="9">
        <f>IFERROR(__xludf.DUMMYFUNCTION("""COMPUTED_VALUE"""),45103.4720828703)</f>
        <v>45103.47208</v>
      </c>
      <c r="D3927" s="15">
        <f>IFERROR(__xludf.DUMMYFUNCTION("""COMPUTED_VALUE"""),1.0)</f>
        <v>1</v>
      </c>
      <c r="E3927" s="16">
        <f>IFERROR(__xludf.DUMMYFUNCTION("""COMPUTED_VALUE"""),69.0)</f>
        <v>69</v>
      </c>
      <c r="F3927" s="19" t="str">
        <f>IFERROR(__xludf.DUMMYFUNCTION("""COMPUTED_VALUE"""),"BLUE")</f>
        <v>BLUE</v>
      </c>
      <c r="G3927" s="20" t="str">
        <f>IFERROR(__xludf.DUMMYFUNCTION("""COMPUTED_VALUE"""),"Uncle Sams Cider (04/04/2023)")</f>
        <v>Uncle Sams Cider (04/04/2023)</v>
      </c>
      <c r="H3927" s="19"/>
    </row>
    <row r="3928">
      <c r="A3928" s="9"/>
      <c r="B3928" s="15"/>
      <c r="C3928" s="9">
        <f>IFERROR(__xludf.DUMMYFUNCTION("""COMPUTED_VALUE"""),45103.4616482754)</f>
        <v>45103.46165</v>
      </c>
      <c r="D3928" s="15">
        <f>IFERROR(__xludf.DUMMYFUNCTION("""COMPUTED_VALUE"""),1.0)</f>
        <v>1</v>
      </c>
      <c r="E3928" s="16">
        <f>IFERROR(__xludf.DUMMYFUNCTION("""COMPUTED_VALUE"""),69.0)</f>
        <v>69</v>
      </c>
      <c r="F3928" s="19" t="str">
        <f>IFERROR(__xludf.DUMMYFUNCTION("""COMPUTED_VALUE"""),"BLUE")</f>
        <v>BLUE</v>
      </c>
      <c r="G3928" s="20" t="str">
        <f>IFERROR(__xludf.DUMMYFUNCTION("""COMPUTED_VALUE"""),"Uncle Sams Cider (04/04/2023)")</f>
        <v>Uncle Sams Cider (04/04/2023)</v>
      </c>
      <c r="H3928" s="19"/>
    </row>
    <row r="3929">
      <c r="A3929" s="9"/>
      <c r="B3929" s="15"/>
      <c r="C3929" s="9">
        <f>IFERROR(__xludf.DUMMYFUNCTION("""COMPUTED_VALUE"""),45103.4512252314)</f>
        <v>45103.45123</v>
      </c>
      <c r="D3929" s="15">
        <f>IFERROR(__xludf.DUMMYFUNCTION("""COMPUTED_VALUE"""),1.0)</f>
        <v>1</v>
      </c>
      <c r="E3929" s="16">
        <f>IFERROR(__xludf.DUMMYFUNCTION("""COMPUTED_VALUE"""),69.0)</f>
        <v>69</v>
      </c>
      <c r="F3929" s="19" t="str">
        <f>IFERROR(__xludf.DUMMYFUNCTION("""COMPUTED_VALUE"""),"BLUE")</f>
        <v>BLUE</v>
      </c>
      <c r="G3929" s="20" t="str">
        <f>IFERROR(__xludf.DUMMYFUNCTION("""COMPUTED_VALUE"""),"Uncle Sams Cider (04/04/2023)")</f>
        <v>Uncle Sams Cider (04/04/2023)</v>
      </c>
      <c r="H3929" s="19"/>
    </row>
    <row r="3930">
      <c r="A3930" s="9"/>
      <c r="B3930" s="15"/>
      <c r="C3930" s="9">
        <f>IFERROR(__xludf.DUMMYFUNCTION("""COMPUTED_VALUE"""),45103.4408049884)</f>
        <v>45103.4408</v>
      </c>
      <c r="D3930" s="15">
        <f>IFERROR(__xludf.DUMMYFUNCTION("""COMPUTED_VALUE"""),1.0)</f>
        <v>1</v>
      </c>
      <c r="E3930" s="16">
        <f>IFERROR(__xludf.DUMMYFUNCTION("""COMPUTED_VALUE"""),69.0)</f>
        <v>69</v>
      </c>
      <c r="F3930" s="19" t="str">
        <f>IFERROR(__xludf.DUMMYFUNCTION("""COMPUTED_VALUE"""),"BLUE")</f>
        <v>BLUE</v>
      </c>
      <c r="G3930" s="20" t="str">
        <f>IFERROR(__xludf.DUMMYFUNCTION("""COMPUTED_VALUE"""),"Uncle Sams Cider (04/04/2023)")</f>
        <v>Uncle Sams Cider (04/04/2023)</v>
      </c>
      <c r="H3930" s="19"/>
    </row>
    <row r="3931">
      <c r="A3931" s="9"/>
      <c r="B3931" s="15"/>
      <c r="C3931" s="9">
        <f>IFERROR(__xludf.DUMMYFUNCTION("""COMPUTED_VALUE"""),45103.4303837384)</f>
        <v>45103.43038</v>
      </c>
      <c r="D3931" s="15">
        <f>IFERROR(__xludf.DUMMYFUNCTION("""COMPUTED_VALUE"""),1.0)</f>
        <v>1</v>
      </c>
      <c r="E3931" s="16">
        <f>IFERROR(__xludf.DUMMYFUNCTION("""COMPUTED_VALUE"""),69.0)</f>
        <v>69</v>
      </c>
      <c r="F3931" s="19" t="str">
        <f>IFERROR(__xludf.DUMMYFUNCTION("""COMPUTED_VALUE"""),"BLUE")</f>
        <v>BLUE</v>
      </c>
      <c r="G3931" s="20" t="str">
        <f>IFERROR(__xludf.DUMMYFUNCTION("""COMPUTED_VALUE"""),"Uncle Sams Cider (04/04/2023)")</f>
        <v>Uncle Sams Cider (04/04/2023)</v>
      </c>
      <c r="H3931" s="19"/>
    </row>
    <row r="3932">
      <c r="A3932" s="9"/>
      <c r="B3932" s="15"/>
      <c r="C3932" s="9">
        <f>IFERROR(__xludf.DUMMYFUNCTION("""COMPUTED_VALUE"""),45103.4199636574)</f>
        <v>45103.41996</v>
      </c>
      <c r="D3932" s="15">
        <f>IFERROR(__xludf.DUMMYFUNCTION("""COMPUTED_VALUE"""),1.0)</f>
        <v>1</v>
      </c>
      <c r="E3932" s="16">
        <f>IFERROR(__xludf.DUMMYFUNCTION("""COMPUTED_VALUE"""),69.0)</f>
        <v>69</v>
      </c>
      <c r="F3932" s="19" t="str">
        <f>IFERROR(__xludf.DUMMYFUNCTION("""COMPUTED_VALUE"""),"BLUE")</f>
        <v>BLUE</v>
      </c>
      <c r="G3932" s="20" t="str">
        <f>IFERROR(__xludf.DUMMYFUNCTION("""COMPUTED_VALUE"""),"Uncle Sams Cider (04/04/2023)")</f>
        <v>Uncle Sams Cider (04/04/2023)</v>
      </c>
      <c r="H3932" s="19"/>
    </row>
    <row r="3933">
      <c r="A3933" s="9"/>
      <c r="B3933" s="15"/>
      <c r="C3933" s="9">
        <f>IFERROR(__xludf.DUMMYFUNCTION("""COMPUTED_VALUE"""),45103.40954125)</f>
        <v>45103.40954</v>
      </c>
      <c r="D3933" s="15">
        <f>IFERROR(__xludf.DUMMYFUNCTION("""COMPUTED_VALUE"""),1.0)</f>
        <v>1</v>
      </c>
      <c r="E3933" s="16">
        <f>IFERROR(__xludf.DUMMYFUNCTION("""COMPUTED_VALUE"""),69.0)</f>
        <v>69</v>
      </c>
      <c r="F3933" s="19" t="str">
        <f>IFERROR(__xludf.DUMMYFUNCTION("""COMPUTED_VALUE"""),"BLUE")</f>
        <v>BLUE</v>
      </c>
      <c r="G3933" s="20" t="str">
        <f>IFERROR(__xludf.DUMMYFUNCTION("""COMPUTED_VALUE"""),"Uncle Sams Cider (04/04/2023)")</f>
        <v>Uncle Sams Cider (04/04/2023)</v>
      </c>
      <c r="H3933" s="19"/>
    </row>
    <row r="3934">
      <c r="A3934" s="9"/>
      <c r="B3934" s="15"/>
      <c r="C3934" s="9">
        <f>IFERROR(__xludf.DUMMYFUNCTION("""COMPUTED_VALUE"""),45103.399084155)</f>
        <v>45103.39908</v>
      </c>
      <c r="D3934" s="15">
        <f>IFERROR(__xludf.DUMMYFUNCTION("""COMPUTED_VALUE"""),1.0)</f>
        <v>1</v>
      </c>
      <c r="E3934" s="16">
        <f>IFERROR(__xludf.DUMMYFUNCTION("""COMPUTED_VALUE"""),69.0)</f>
        <v>69</v>
      </c>
      <c r="F3934" s="19" t="str">
        <f>IFERROR(__xludf.DUMMYFUNCTION("""COMPUTED_VALUE"""),"BLUE")</f>
        <v>BLUE</v>
      </c>
      <c r="G3934" s="20" t="str">
        <f>IFERROR(__xludf.DUMMYFUNCTION("""COMPUTED_VALUE"""),"Uncle Sams Cider (04/04/2023)")</f>
        <v>Uncle Sams Cider (04/04/2023)</v>
      </c>
      <c r="H3934" s="19"/>
    </row>
    <row r="3935">
      <c r="A3935" s="9"/>
      <c r="B3935" s="15"/>
      <c r="C3935" s="9">
        <f>IFERROR(__xludf.DUMMYFUNCTION("""COMPUTED_VALUE"""),45103.3886506712)</f>
        <v>45103.38865</v>
      </c>
      <c r="D3935" s="15">
        <f>IFERROR(__xludf.DUMMYFUNCTION("""COMPUTED_VALUE"""),1.0)</f>
        <v>1</v>
      </c>
      <c r="E3935" s="16">
        <f>IFERROR(__xludf.DUMMYFUNCTION("""COMPUTED_VALUE"""),69.0)</f>
        <v>69</v>
      </c>
      <c r="F3935" s="19" t="str">
        <f>IFERROR(__xludf.DUMMYFUNCTION("""COMPUTED_VALUE"""),"BLUE")</f>
        <v>BLUE</v>
      </c>
      <c r="G3935" s="20" t="str">
        <f>IFERROR(__xludf.DUMMYFUNCTION("""COMPUTED_VALUE"""),"Uncle Sams Cider (04/04/2023)")</f>
        <v>Uncle Sams Cider (04/04/2023)</v>
      </c>
      <c r="H3935" s="19"/>
    </row>
    <row r="3936">
      <c r="A3936" s="9"/>
      <c r="B3936" s="15"/>
      <c r="C3936" s="9">
        <f>IFERROR(__xludf.DUMMYFUNCTION("""COMPUTED_VALUE"""),45103.378230706)</f>
        <v>45103.37823</v>
      </c>
      <c r="D3936" s="15">
        <f>IFERROR(__xludf.DUMMYFUNCTION("""COMPUTED_VALUE"""),1.0)</f>
        <v>1</v>
      </c>
      <c r="E3936" s="16">
        <f>IFERROR(__xludf.DUMMYFUNCTION("""COMPUTED_VALUE"""),69.0)</f>
        <v>69</v>
      </c>
      <c r="F3936" s="19" t="str">
        <f>IFERROR(__xludf.DUMMYFUNCTION("""COMPUTED_VALUE"""),"BLUE")</f>
        <v>BLUE</v>
      </c>
      <c r="G3936" s="20" t="str">
        <f>IFERROR(__xludf.DUMMYFUNCTION("""COMPUTED_VALUE"""),"Uncle Sams Cider (04/04/2023)")</f>
        <v>Uncle Sams Cider (04/04/2023)</v>
      </c>
      <c r="H3936" s="19"/>
    </row>
    <row r="3937">
      <c r="A3937" s="9"/>
      <c r="B3937" s="15"/>
      <c r="C3937" s="9">
        <f>IFERROR(__xludf.DUMMYFUNCTION("""COMPUTED_VALUE"""),45103.3678109143)</f>
        <v>45103.36781</v>
      </c>
      <c r="D3937" s="15">
        <f>IFERROR(__xludf.DUMMYFUNCTION("""COMPUTED_VALUE"""),1.0)</f>
        <v>1</v>
      </c>
      <c r="E3937" s="16">
        <f>IFERROR(__xludf.DUMMYFUNCTION("""COMPUTED_VALUE"""),69.0)</f>
        <v>69</v>
      </c>
      <c r="F3937" s="19" t="str">
        <f>IFERROR(__xludf.DUMMYFUNCTION("""COMPUTED_VALUE"""),"BLUE")</f>
        <v>BLUE</v>
      </c>
      <c r="G3937" s="20" t="str">
        <f>IFERROR(__xludf.DUMMYFUNCTION("""COMPUTED_VALUE"""),"Uncle Sams Cider (04/04/2023)")</f>
        <v>Uncle Sams Cider (04/04/2023)</v>
      </c>
      <c r="H3937" s="19"/>
    </row>
    <row r="3938">
      <c r="A3938" s="9"/>
      <c r="B3938" s="15"/>
      <c r="C3938" s="9">
        <f>IFERROR(__xludf.DUMMYFUNCTION("""COMPUTED_VALUE"""),45103.357368125)</f>
        <v>45103.35737</v>
      </c>
      <c r="D3938" s="15">
        <f>IFERROR(__xludf.DUMMYFUNCTION("""COMPUTED_VALUE"""),1.0)</f>
        <v>1</v>
      </c>
      <c r="E3938" s="16">
        <f>IFERROR(__xludf.DUMMYFUNCTION("""COMPUTED_VALUE"""),69.0)</f>
        <v>69</v>
      </c>
      <c r="F3938" s="19" t="str">
        <f>IFERROR(__xludf.DUMMYFUNCTION("""COMPUTED_VALUE"""),"BLUE")</f>
        <v>BLUE</v>
      </c>
      <c r="G3938" s="20" t="str">
        <f>IFERROR(__xludf.DUMMYFUNCTION("""COMPUTED_VALUE"""),"Uncle Sams Cider (04/04/2023)")</f>
        <v>Uncle Sams Cider (04/04/2023)</v>
      </c>
      <c r="H3938" s="19"/>
    </row>
    <row r="3939">
      <c r="A3939" s="9"/>
      <c r="B3939" s="15"/>
      <c r="C3939" s="9">
        <f>IFERROR(__xludf.DUMMYFUNCTION("""COMPUTED_VALUE"""),45103.3469461458)</f>
        <v>45103.34695</v>
      </c>
      <c r="D3939" s="15">
        <f>IFERROR(__xludf.DUMMYFUNCTION("""COMPUTED_VALUE"""),1.0)</f>
        <v>1</v>
      </c>
      <c r="E3939" s="16">
        <f>IFERROR(__xludf.DUMMYFUNCTION("""COMPUTED_VALUE"""),69.0)</f>
        <v>69</v>
      </c>
      <c r="F3939" s="19" t="str">
        <f>IFERROR(__xludf.DUMMYFUNCTION("""COMPUTED_VALUE"""),"BLUE")</f>
        <v>BLUE</v>
      </c>
      <c r="G3939" s="20" t="str">
        <f>IFERROR(__xludf.DUMMYFUNCTION("""COMPUTED_VALUE"""),"Uncle Sams Cider (04/04/2023)")</f>
        <v>Uncle Sams Cider (04/04/2023)</v>
      </c>
      <c r="H3939" s="19"/>
    </row>
    <row r="3940">
      <c r="A3940" s="9"/>
      <c r="B3940" s="15"/>
      <c r="C3940" s="9">
        <f>IFERROR(__xludf.DUMMYFUNCTION("""COMPUTED_VALUE"""),45103.336524699)</f>
        <v>45103.33652</v>
      </c>
      <c r="D3940" s="15">
        <f>IFERROR(__xludf.DUMMYFUNCTION("""COMPUTED_VALUE"""),1.0)</f>
        <v>1</v>
      </c>
      <c r="E3940" s="16">
        <f>IFERROR(__xludf.DUMMYFUNCTION("""COMPUTED_VALUE"""),69.0)</f>
        <v>69</v>
      </c>
      <c r="F3940" s="19" t="str">
        <f>IFERROR(__xludf.DUMMYFUNCTION("""COMPUTED_VALUE"""),"BLUE")</f>
        <v>BLUE</v>
      </c>
      <c r="G3940" s="20" t="str">
        <f>IFERROR(__xludf.DUMMYFUNCTION("""COMPUTED_VALUE"""),"Uncle Sams Cider (04/04/2023)")</f>
        <v>Uncle Sams Cider (04/04/2023)</v>
      </c>
      <c r="H3940" s="19"/>
    </row>
    <row r="3941">
      <c r="A3941" s="9"/>
      <c r="B3941" s="15"/>
      <c r="C3941" s="9">
        <f>IFERROR(__xludf.DUMMYFUNCTION("""COMPUTED_VALUE"""),45103.326103125)</f>
        <v>45103.3261</v>
      </c>
      <c r="D3941" s="15">
        <f>IFERROR(__xludf.DUMMYFUNCTION("""COMPUTED_VALUE"""),1.0)</f>
        <v>1</v>
      </c>
      <c r="E3941" s="16">
        <f>IFERROR(__xludf.DUMMYFUNCTION("""COMPUTED_VALUE"""),69.0)</f>
        <v>69</v>
      </c>
      <c r="F3941" s="19" t="str">
        <f>IFERROR(__xludf.DUMMYFUNCTION("""COMPUTED_VALUE"""),"BLUE")</f>
        <v>BLUE</v>
      </c>
      <c r="G3941" s="20" t="str">
        <f>IFERROR(__xludf.DUMMYFUNCTION("""COMPUTED_VALUE"""),"Uncle Sams Cider (04/04/2023)")</f>
        <v>Uncle Sams Cider (04/04/2023)</v>
      </c>
      <c r="H3941" s="19"/>
    </row>
    <row r="3942">
      <c r="A3942" s="9"/>
      <c r="B3942" s="15"/>
      <c r="C3942" s="9">
        <f>IFERROR(__xludf.DUMMYFUNCTION("""COMPUTED_VALUE"""),45103.3156809259)</f>
        <v>45103.31568</v>
      </c>
      <c r="D3942" s="15">
        <f>IFERROR(__xludf.DUMMYFUNCTION("""COMPUTED_VALUE"""),1.0)</f>
        <v>1</v>
      </c>
      <c r="E3942" s="16">
        <f>IFERROR(__xludf.DUMMYFUNCTION("""COMPUTED_VALUE"""),69.0)</f>
        <v>69</v>
      </c>
      <c r="F3942" s="19" t="str">
        <f>IFERROR(__xludf.DUMMYFUNCTION("""COMPUTED_VALUE"""),"BLUE")</f>
        <v>BLUE</v>
      </c>
      <c r="G3942" s="20" t="str">
        <f>IFERROR(__xludf.DUMMYFUNCTION("""COMPUTED_VALUE"""),"Uncle Sams Cider (04/04/2023)")</f>
        <v>Uncle Sams Cider (04/04/2023)</v>
      </c>
      <c r="H3942" s="19"/>
    </row>
    <row r="3943">
      <c r="A3943" s="9"/>
      <c r="B3943" s="15"/>
      <c r="C3943" s="9">
        <f>IFERROR(__xludf.DUMMYFUNCTION("""COMPUTED_VALUE"""),45103.3052594444)</f>
        <v>45103.30526</v>
      </c>
      <c r="D3943" s="15">
        <f>IFERROR(__xludf.DUMMYFUNCTION("""COMPUTED_VALUE"""),1.0)</f>
        <v>1</v>
      </c>
      <c r="E3943" s="16">
        <f>IFERROR(__xludf.DUMMYFUNCTION("""COMPUTED_VALUE"""),69.0)</f>
        <v>69</v>
      </c>
      <c r="F3943" s="19" t="str">
        <f>IFERROR(__xludf.DUMMYFUNCTION("""COMPUTED_VALUE"""),"BLUE")</f>
        <v>BLUE</v>
      </c>
      <c r="G3943" s="20" t="str">
        <f>IFERROR(__xludf.DUMMYFUNCTION("""COMPUTED_VALUE"""),"Uncle Sams Cider (04/04/2023)")</f>
        <v>Uncle Sams Cider (04/04/2023)</v>
      </c>
      <c r="H3943" s="19"/>
    </row>
    <row r="3944">
      <c r="A3944" s="9"/>
      <c r="B3944" s="15"/>
      <c r="C3944" s="9">
        <f>IFERROR(__xludf.DUMMYFUNCTION("""COMPUTED_VALUE"""),45103.2948392824)</f>
        <v>45103.29484</v>
      </c>
      <c r="D3944" s="15">
        <f>IFERROR(__xludf.DUMMYFUNCTION("""COMPUTED_VALUE"""),1.0)</f>
        <v>1</v>
      </c>
      <c r="E3944" s="16">
        <f>IFERROR(__xludf.DUMMYFUNCTION("""COMPUTED_VALUE"""),69.0)</f>
        <v>69</v>
      </c>
      <c r="F3944" s="19" t="str">
        <f>IFERROR(__xludf.DUMMYFUNCTION("""COMPUTED_VALUE"""),"BLUE")</f>
        <v>BLUE</v>
      </c>
      <c r="G3944" s="20" t="str">
        <f>IFERROR(__xludf.DUMMYFUNCTION("""COMPUTED_VALUE"""),"Uncle Sams Cider (04/04/2023)")</f>
        <v>Uncle Sams Cider (04/04/2023)</v>
      </c>
      <c r="H3944" s="19"/>
    </row>
    <row r="3945">
      <c r="A3945" s="9"/>
      <c r="B3945" s="15"/>
      <c r="C3945" s="9">
        <f>IFERROR(__xludf.DUMMYFUNCTION("""COMPUTED_VALUE"""),45103.284404074)</f>
        <v>45103.2844</v>
      </c>
      <c r="D3945" s="15">
        <f>IFERROR(__xludf.DUMMYFUNCTION("""COMPUTED_VALUE"""),1.0)</f>
        <v>1</v>
      </c>
      <c r="E3945" s="16">
        <f>IFERROR(__xludf.DUMMYFUNCTION("""COMPUTED_VALUE"""),69.0)</f>
        <v>69</v>
      </c>
      <c r="F3945" s="19" t="str">
        <f>IFERROR(__xludf.DUMMYFUNCTION("""COMPUTED_VALUE"""),"BLUE")</f>
        <v>BLUE</v>
      </c>
      <c r="G3945" s="20" t="str">
        <f>IFERROR(__xludf.DUMMYFUNCTION("""COMPUTED_VALUE"""),"Uncle Sams Cider (04/04/2023)")</f>
        <v>Uncle Sams Cider (04/04/2023)</v>
      </c>
      <c r="H3945" s="19"/>
    </row>
    <row r="3946">
      <c r="A3946" s="9"/>
      <c r="B3946" s="15"/>
      <c r="C3946" s="9">
        <f>IFERROR(__xludf.DUMMYFUNCTION("""COMPUTED_VALUE"""),45103.2739821064)</f>
        <v>45103.27398</v>
      </c>
      <c r="D3946" s="15">
        <f>IFERROR(__xludf.DUMMYFUNCTION("""COMPUTED_VALUE"""),1.001)</f>
        <v>1.001</v>
      </c>
      <c r="E3946" s="16">
        <f>IFERROR(__xludf.DUMMYFUNCTION("""COMPUTED_VALUE"""),69.0)</f>
        <v>69</v>
      </c>
      <c r="F3946" s="19" t="str">
        <f>IFERROR(__xludf.DUMMYFUNCTION("""COMPUTED_VALUE"""),"BLUE")</f>
        <v>BLUE</v>
      </c>
      <c r="G3946" s="20" t="str">
        <f>IFERROR(__xludf.DUMMYFUNCTION("""COMPUTED_VALUE"""),"Uncle Sams Cider (04/04/2023)")</f>
        <v>Uncle Sams Cider (04/04/2023)</v>
      </c>
      <c r="H3946" s="19"/>
    </row>
    <row r="3947">
      <c r="A3947" s="9"/>
      <c r="B3947" s="15"/>
      <c r="C3947" s="9">
        <f>IFERROR(__xludf.DUMMYFUNCTION("""COMPUTED_VALUE"""),45103.263560405)</f>
        <v>45103.26356</v>
      </c>
      <c r="D3947" s="15">
        <f>IFERROR(__xludf.DUMMYFUNCTION("""COMPUTED_VALUE"""),1.0)</f>
        <v>1</v>
      </c>
      <c r="E3947" s="16">
        <f>IFERROR(__xludf.DUMMYFUNCTION("""COMPUTED_VALUE"""),69.0)</f>
        <v>69</v>
      </c>
      <c r="F3947" s="19" t="str">
        <f>IFERROR(__xludf.DUMMYFUNCTION("""COMPUTED_VALUE"""),"BLUE")</f>
        <v>BLUE</v>
      </c>
      <c r="G3947" s="20" t="str">
        <f>IFERROR(__xludf.DUMMYFUNCTION("""COMPUTED_VALUE"""),"Uncle Sams Cider (04/04/2023)")</f>
        <v>Uncle Sams Cider (04/04/2023)</v>
      </c>
      <c r="H3947" s="19"/>
    </row>
    <row r="3948">
      <c r="A3948" s="9"/>
      <c r="B3948" s="15"/>
      <c r="C3948" s="9">
        <f>IFERROR(__xludf.DUMMYFUNCTION("""COMPUTED_VALUE"""),45103.2531400463)</f>
        <v>45103.25314</v>
      </c>
      <c r="D3948" s="15">
        <f>IFERROR(__xludf.DUMMYFUNCTION("""COMPUTED_VALUE"""),1.0)</f>
        <v>1</v>
      </c>
      <c r="E3948" s="16">
        <f>IFERROR(__xludf.DUMMYFUNCTION("""COMPUTED_VALUE"""),69.0)</f>
        <v>69</v>
      </c>
      <c r="F3948" s="19" t="str">
        <f>IFERROR(__xludf.DUMMYFUNCTION("""COMPUTED_VALUE"""),"BLUE")</f>
        <v>BLUE</v>
      </c>
      <c r="G3948" s="20" t="str">
        <f>IFERROR(__xludf.DUMMYFUNCTION("""COMPUTED_VALUE"""),"Uncle Sams Cider (04/04/2023)")</f>
        <v>Uncle Sams Cider (04/04/2023)</v>
      </c>
      <c r="H3948" s="19"/>
    </row>
    <row r="3949">
      <c r="A3949" s="9"/>
      <c r="B3949" s="15"/>
      <c r="C3949" s="9">
        <f>IFERROR(__xludf.DUMMYFUNCTION("""COMPUTED_VALUE"""),45103.242720706)</f>
        <v>45103.24272</v>
      </c>
      <c r="D3949" s="15">
        <f>IFERROR(__xludf.DUMMYFUNCTION("""COMPUTED_VALUE"""),1.0)</f>
        <v>1</v>
      </c>
      <c r="E3949" s="16">
        <f>IFERROR(__xludf.DUMMYFUNCTION("""COMPUTED_VALUE"""),69.0)</f>
        <v>69</v>
      </c>
      <c r="F3949" s="19" t="str">
        <f>IFERROR(__xludf.DUMMYFUNCTION("""COMPUTED_VALUE"""),"BLUE")</f>
        <v>BLUE</v>
      </c>
      <c r="G3949" s="20" t="str">
        <f>IFERROR(__xludf.DUMMYFUNCTION("""COMPUTED_VALUE"""),"Uncle Sams Cider (04/04/2023)")</f>
        <v>Uncle Sams Cider (04/04/2023)</v>
      </c>
      <c r="H3949" s="19"/>
    </row>
    <row r="3950">
      <c r="A3950" s="9"/>
      <c r="B3950" s="15"/>
      <c r="C3950" s="9">
        <f>IFERROR(__xludf.DUMMYFUNCTION("""COMPUTED_VALUE"""),45103.2322994676)</f>
        <v>45103.2323</v>
      </c>
      <c r="D3950" s="15">
        <f>IFERROR(__xludf.DUMMYFUNCTION("""COMPUTED_VALUE"""),1.001)</f>
        <v>1.001</v>
      </c>
      <c r="E3950" s="16">
        <f>IFERROR(__xludf.DUMMYFUNCTION("""COMPUTED_VALUE"""),69.0)</f>
        <v>69</v>
      </c>
      <c r="F3950" s="19" t="str">
        <f>IFERROR(__xludf.DUMMYFUNCTION("""COMPUTED_VALUE"""),"BLUE")</f>
        <v>BLUE</v>
      </c>
      <c r="G3950" s="20" t="str">
        <f>IFERROR(__xludf.DUMMYFUNCTION("""COMPUTED_VALUE"""),"Uncle Sams Cider (04/04/2023)")</f>
        <v>Uncle Sams Cider (04/04/2023)</v>
      </c>
      <c r="H3950" s="19"/>
    </row>
    <row r="3951">
      <c r="A3951" s="9"/>
      <c r="B3951" s="15"/>
      <c r="C3951" s="9">
        <f>IFERROR(__xludf.DUMMYFUNCTION("""COMPUTED_VALUE"""),45103.2218779513)</f>
        <v>45103.22188</v>
      </c>
      <c r="D3951" s="15">
        <f>IFERROR(__xludf.DUMMYFUNCTION("""COMPUTED_VALUE"""),1.001)</f>
        <v>1.001</v>
      </c>
      <c r="E3951" s="16">
        <f>IFERROR(__xludf.DUMMYFUNCTION("""COMPUTED_VALUE"""),69.0)</f>
        <v>69</v>
      </c>
      <c r="F3951" s="19" t="str">
        <f>IFERROR(__xludf.DUMMYFUNCTION("""COMPUTED_VALUE"""),"BLUE")</f>
        <v>BLUE</v>
      </c>
      <c r="G3951" s="20" t="str">
        <f>IFERROR(__xludf.DUMMYFUNCTION("""COMPUTED_VALUE"""),"Uncle Sams Cider (04/04/2023)")</f>
        <v>Uncle Sams Cider (04/04/2023)</v>
      </c>
      <c r="H3951" s="19"/>
    </row>
    <row r="3952">
      <c r="A3952" s="9"/>
      <c r="B3952" s="15"/>
      <c r="C3952" s="9">
        <f>IFERROR(__xludf.DUMMYFUNCTION("""COMPUTED_VALUE"""),45103.2114560069)</f>
        <v>45103.21146</v>
      </c>
      <c r="D3952" s="15">
        <f>IFERROR(__xludf.DUMMYFUNCTION("""COMPUTED_VALUE"""),1.0)</f>
        <v>1</v>
      </c>
      <c r="E3952" s="16">
        <f>IFERROR(__xludf.DUMMYFUNCTION("""COMPUTED_VALUE"""),69.0)</f>
        <v>69</v>
      </c>
      <c r="F3952" s="19" t="str">
        <f>IFERROR(__xludf.DUMMYFUNCTION("""COMPUTED_VALUE"""),"BLUE")</f>
        <v>BLUE</v>
      </c>
      <c r="G3952" s="20" t="str">
        <f>IFERROR(__xludf.DUMMYFUNCTION("""COMPUTED_VALUE"""),"Uncle Sams Cider (04/04/2023)")</f>
        <v>Uncle Sams Cider (04/04/2023)</v>
      </c>
      <c r="H3952" s="19"/>
    </row>
    <row r="3953">
      <c r="A3953" s="9"/>
      <c r="B3953" s="15"/>
      <c r="C3953" s="9">
        <f>IFERROR(__xludf.DUMMYFUNCTION("""COMPUTED_VALUE"""),45103.20103478)</f>
        <v>45103.20103</v>
      </c>
      <c r="D3953" s="15">
        <f>IFERROR(__xludf.DUMMYFUNCTION("""COMPUTED_VALUE"""),1.0)</f>
        <v>1</v>
      </c>
      <c r="E3953" s="16">
        <f>IFERROR(__xludf.DUMMYFUNCTION("""COMPUTED_VALUE"""),69.0)</f>
        <v>69</v>
      </c>
      <c r="F3953" s="19" t="str">
        <f>IFERROR(__xludf.DUMMYFUNCTION("""COMPUTED_VALUE"""),"BLUE")</f>
        <v>BLUE</v>
      </c>
      <c r="G3953" s="20" t="str">
        <f>IFERROR(__xludf.DUMMYFUNCTION("""COMPUTED_VALUE"""),"Uncle Sams Cider (04/04/2023)")</f>
        <v>Uncle Sams Cider (04/04/2023)</v>
      </c>
      <c r="H3953" s="19"/>
    </row>
    <row r="3954">
      <c r="A3954" s="9"/>
      <c r="B3954" s="15"/>
      <c r="C3954" s="9">
        <f>IFERROR(__xludf.DUMMYFUNCTION("""COMPUTED_VALUE"""),45103.1906160995)</f>
        <v>45103.19062</v>
      </c>
      <c r="D3954" s="15">
        <f>IFERROR(__xludf.DUMMYFUNCTION("""COMPUTED_VALUE"""),1.001)</f>
        <v>1.001</v>
      </c>
      <c r="E3954" s="16">
        <f>IFERROR(__xludf.DUMMYFUNCTION("""COMPUTED_VALUE"""),69.0)</f>
        <v>69</v>
      </c>
      <c r="F3954" s="19" t="str">
        <f>IFERROR(__xludf.DUMMYFUNCTION("""COMPUTED_VALUE"""),"BLUE")</f>
        <v>BLUE</v>
      </c>
      <c r="G3954" s="20" t="str">
        <f>IFERROR(__xludf.DUMMYFUNCTION("""COMPUTED_VALUE"""),"Uncle Sams Cider (04/04/2023)")</f>
        <v>Uncle Sams Cider (04/04/2023)</v>
      </c>
      <c r="H3954" s="19"/>
    </row>
    <row r="3955">
      <c r="A3955" s="9"/>
      <c r="B3955" s="15"/>
      <c r="C3955" s="9">
        <f>IFERROR(__xludf.DUMMYFUNCTION("""COMPUTED_VALUE"""),45103.1801941203)</f>
        <v>45103.18019</v>
      </c>
      <c r="D3955" s="15">
        <f>IFERROR(__xludf.DUMMYFUNCTION("""COMPUTED_VALUE"""),1.0)</f>
        <v>1</v>
      </c>
      <c r="E3955" s="16">
        <f>IFERROR(__xludf.DUMMYFUNCTION("""COMPUTED_VALUE"""),69.0)</f>
        <v>69</v>
      </c>
      <c r="F3955" s="19" t="str">
        <f>IFERROR(__xludf.DUMMYFUNCTION("""COMPUTED_VALUE"""),"BLUE")</f>
        <v>BLUE</v>
      </c>
      <c r="G3955" s="20" t="str">
        <f>IFERROR(__xludf.DUMMYFUNCTION("""COMPUTED_VALUE"""),"Uncle Sams Cider (04/04/2023)")</f>
        <v>Uncle Sams Cider (04/04/2023)</v>
      </c>
      <c r="H3955" s="19"/>
    </row>
    <row r="3956">
      <c r="A3956" s="9"/>
      <c r="B3956" s="15"/>
      <c r="C3956" s="9">
        <f>IFERROR(__xludf.DUMMYFUNCTION("""COMPUTED_VALUE"""),45103.1697724421)</f>
        <v>45103.16977</v>
      </c>
      <c r="D3956" s="15">
        <f>IFERROR(__xludf.DUMMYFUNCTION("""COMPUTED_VALUE"""),1.0)</f>
        <v>1</v>
      </c>
      <c r="E3956" s="16">
        <f>IFERROR(__xludf.DUMMYFUNCTION("""COMPUTED_VALUE"""),69.0)</f>
        <v>69</v>
      </c>
      <c r="F3956" s="19" t="str">
        <f>IFERROR(__xludf.DUMMYFUNCTION("""COMPUTED_VALUE"""),"BLUE")</f>
        <v>BLUE</v>
      </c>
      <c r="G3956" s="20" t="str">
        <f>IFERROR(__xludf.DUMMYFUNCTION("""COMPUTED_VALUE"""),"Uncle Sams Cider (04/04/2023)")</f>
        <v>Uncle Sams Cider (04/04/2023)</v>
      </c>
      <c r="H3956" s="19"/>
    </row>
    <row r="3957">
      <c r="A3957" s="9"/>
      <c r="B3957" s="15"/>
      <c r="C3957" s="9">
        <f>IFERROR(__xludf.DUMMYFUNCTION("""COMPUTED_VALUE"""),45103.1593507523)</f>
        <v>45103.15935</v>
      </c>
      <c r="D3957" s="15">
        <f>IFERROR(__xludf.DUMMYFUNCTION("""COMPUTED_VALUE"""),1.001)</f>
        <v>1.001</v>
      </c>
      <c r="E3957" s="16">
        <f>IFERROR(__xludf.DUMMYFUNCTION("""COMPUTED_VALUE"""),69.0)</f>
        <v>69</v>
      </c>
      <c r="F3957" s="19" t="str">
        <f>IFERROR(__xludf.DUMMYFUNCTION("""COMPUTED_VALUE"""),"BLUE")</f>
        <v>BLUE</v>
      </c>
      <c r="G3957" s="20" t="str">
        <f>IFERROR(__xludf.DUMMYFUNCTION("""COMPUTED_VALUE"""),"Uncle Sams Cider (04/04/2023)")</f>
        <v>Uncle Sams Cider (04/04/2023)</v>
      </c>
      <c r="H3957" s="19"/>
    </row>
    <row r="3958">
      <c r="A3958" s="9"/>
      <c r="B3958" s="15"/>
      <c r="C3958" s="9">
        <f>IFERROR(__xludf.DUMMYFUNCTION("""COMPUTED_VALUE"""),45103.1489303125)</f>
        <v>45103.14893</v>
      </c>
      <c r="D3958" s="15">
        <f>IFERROR(__xludf.DUMMYFUNCTION("""COMPUTED_VALUE"""),1.0)</f>
        <v>1</v>
      </c>
      <c r="E3958" s="16">
        <f>IFERROR(__xludf.DUMMYFUNCTION("""COMPUTED_VALUE"""),69.0)</f>
        <v>69</v>
      </c>
      <c r="F3958" s="19" t="str">
        <f>IFERROR(__xludf.DUMMYFUNCTION("""COMPUTED_VALUE"""),"BLUE")</f>
        <v>BLUE</v>
      </c>
      <c r="G3958" s="20" t="str">
        <f>IFERROR(__xludf.DUMMYFUNCTION("""COMPUTED_VALUE"""),"Uncle Sams Cider (04/04/2023)")</f>
        <v>Uncle Sams Cider (04/04/2023)</v>
      </c>
      <c r="H3958" s="19"/>
    </row>
    <row r="3959">
      <c r="A3959" s="9"/>
      <c r="B3959" s="15"/>
      <c r="C3959" s="9">
        <f>IFERROR(__xludf.DUMMYFUNCTION("""COMPUTED_VALUE"""),45103.1385094328)</f>
        <v>45103.13851</v>
      </c>
      <c r="D3959" s="15">
        <f>IFERROR(__xludf.DUMMYFUNCTION("""COMPUTED_VALUE"""),1.0)</f>
        <v>1</v>
      </c>
      <c r="E3959" s="16">
        <f>IFERROR(__xludf.DUMMYFUNCTION("""COMPUTED_VALUE"""),69.0)</f>
        <v>69</v>
      </c>
      <c r="F3959" s="19" t="str">
        <f>IFERROR(__xludf.DUMMYFUNCTION("""COMPUTED_VALUE"""),"BLUE")</f>
        <v>BLUE</v>
      </c>
      <c r="G3959" s="20" t="str">
        <f>IFERROR(__xludf.DUMMYFUNCTION("""COMPUTED_VALUE"""),"Uncle Sams Cider (04/04/2023)")</f>
        <v>Uncle Sams Cider (04/04/2023)</v>
      </c>
      <c r="H3959" s="19"/>
    </row>
    <row r="3960">
      <c r="A3960" s="9"/>
      <c r="B3960" s="15"/>
      <c r="C3960" s="9">
        <f>IFERROR(__xludf.DUMMYFUNCTION("""COMPUTED_VALUE"""),45103.1280907291)</f>
        <v>45103.12809</v>
      </c>
      <c r="D3960" s="15">
        <f>IFERROR(__xludf.DUMMYFUNCTION("""COMPUTED_VALUE"""),1.0)</f>
        <v>1</v>
      </c>
      <c r="E3960" s="16">
        <f>IFERROR(__xludf.DUMMYFUNCTION("""COMPUTED_VALUE"""),69.0)</f>
        <v>69</v>
      </c>
      <c r="F3960" s="19" t="str">
        <f>IFERROR(__xludf.DUMMYFUNCTION("""COMPUTED_VALUE"""),"BLUE")</f>
        <v>BLUE</v>
      </c>
      <c r="G3960" s="20" t="str">
        <f>IFERROR(__xludf.DUMMYFUNCTION("""COMPUTED_VALUE"""),"Uncle Sams Cider (04/04/2023)")</f>
        <v>Uncle Sams Cider (04/04/2023)</v>
      </c>
      <c r="H3960" s="19"/>
    </row>
    <row r="3961">
      <c r="A3961" s="9"/>
      <c r="B3961" s="15"/>
      <c r="C3961" s="9">
        <f>IFERROR(__xludf.DUMMYFUNCTION("""COMPUTED_VALUE"""),45103.1176690856)</f>
        <v>45103.11767</v>
      </c>
      <c r="D3961" s="15">
        <f>IFERROR(__xludf.DUMMYFUNCTION("""COMPUTED_VALUE"""),1.0)</f>
        <v>1</v>
      </c>
      <c r="E3961" s="16">
        <f>IFERROR(__xludf.DUMMYFUNCTION("""COMPUTED_VALUE"""),69.0)</f>
        <v>69</v>
      </c>
      <c r="F3961" s="19" t="str">
        <f>IFERROR(__xludf.DUMMYFUNCTION("""COMPUTED_VALUE"""),"BLUE")</f>
        <v>BLUE</v>
      </c>
      <c r="G3961" s="20" t="str">
        <f>IFERROR(__xludf.DUMMYFUNCTION("""COMPUTED_VALUE"""),"Uncle Sams Cider (04/04/2023)")</f>
        <v>Uncle Sams Cider (04/04/2023)</v>
      </c>
      <c r="H3961" s="19"/>
    </row>
    <row r="3962">
      <c r="A3962" s="9"/>
      <c r="B3962" s="15"/>
      <c r="C3962" s="9">
        <f>IFERROR(__xludf.DUMMYFUNCTION("""COMPUTED_VALUE"""),45103.1072469675)</f>
        <v>45103.10725</v>
      </c>
      <c r="D3962" s="15">
        <f>IFERROR(__xludf.DUMMYFUNCTION("""COMPUTED_VALUE"""),1.0)</f>
        <v>1</v>
      </c>
      <c r="E3962" s="16">
        <f>IFERROR(__xludf.DUMMYFUNCTION("""COMPUTED_VALUE"""),69.0)</f>
        <v>69</v>
      </c>
      <c r="F3962" s="19" t="str">
        <f>IFERROR(__xludf.DUMMYFUNCTION("""COMPUTED_VALUE"""),"BLUE")</f>
        <v>BLUE</v>
      </c>
      <c r="G3962" s="20" t="str">
        <f>IFERROR(__xludf.DUMMYFUNCTION("""COMPUTED_VALUE"""),"Uncle Sams Cider (04/04/2023)")</f>
        <v>Uncle Sams Cider (04/04/2023)</v>
      </c>
      <c r="H3962" s="19"/>
    </row>
    <row r="3963">
      <c r="A3963" s="9"/>
      <c r="B3963" s="15"/>
      <c r="C3963" s="9">
        <f>IFERROR(__xludf.DUMMYFUNCTION("""COMPUTED_VALUE"""),45103.096812743)</f>
        <v>45103.09681</v>
      </c>
      <c r="D3963" s="15">
        <f>IFERROR(__xludf.DUMMYFUNCTION("""COMPUTED_VALUE"""),1.0)</f>
        <v>1</v>
      </c>
      <c r="E3963" s="16">
        <f>IFERROR(__xludf.DUMMYFUNCTION("""COMPUTED_VALUE"""),69.0)</f>
        <v>69</v>
      </c>
      <c r="F3963" s="19" t="str">
        <f>IFERROR(__xludf.DUMMYFUNCTION("""COMPUTED_VALUE"""),"BLUE")</f>
        <v>BLUE</v>
      </c>
      <c r="G3963" s="20" t="str">
        <f>IFERROR(__xludf.DUMMYFUNCTION("""COMPUTED_VALUE"""),"Uncle Sams Cider (04/04/2023)")</f>
        <v>Uncle Sams Cider (04/04/2023)</v>
      </c>
      <c r="H3963" s="19"/>
    </row>
    <row r="3964">
      <c r="A3964" s="9"/>
      <c r="B3964" s="15"/>
      <c r="C3964" s="9">
        <f>IFERROR(__xludf.DUMMYFUNCTION("""COMPUTED_VALUE"""),45103.0863918634)</f>
        <v>45103.08639</v>
      </c>
      <c r="D3964" s="15">
        <f>IFERROR(__xludf.DUMMYFUNCTION("""COMPUTED_VALUE"""),1.0)</f>
        <v>1</v>
      </c>
      <c r="E3964" s="16">
        <f>IFERROR(__xludf.DUMMYFUNCTION("""COMPUTED_VALUE"""),69.0)</f>
        <v>69</v>
      </c>
      <c r="F3964" s="19" t="str">
        <f>IFERROR(__xludf.DUMMYFUNCTION("""COMPUTED_VALUE"""),"BLUE")</f>
        <v>BLUE</v>
      </c>
      <c r="G3964" s="20" t="str">
        <f>IFERROR(__xludf.DUMMYFUNCTION("""COMPUTED_VALUE"""),"Uncle Sams Cider (04/04/2023)")</f>
        <v>Uncle Sams Cider (04/04/2023)</v>
      </c>
      <c r="H3964" s="19"/>
    </row>
    <row r="3965">
      <c r="A3965" s="9"/>
      <c r="B3965" s="15"/>
      <c r="C3965" s="9">
        <f>IFERROR(__xludf.DUMMYFUNCTION("""COMPUTED_VALUE"""),45103.0759714699)</f>
        <v>45103.07597</v>
      </c>
      <c r="D3965" s="15">
        <f>IFERROR(__xludf.DUMMYFUNCTION("""COMPUTED_VALUE"""),1.001)</f>
        <v>1.001</v>
      </c>
      <c r="E3965" s="16">
        <f>IFERROR(__xludf.DUMMYFUNCTION("""COMPUTED_VALUE"""),69.0)</f>
        <v>69</v>
      </c>
      <c r="F3965" s="19" t="str">
        <f>IFERROR(__xludf.DUMMYFUNCTION("""COMPUTED_VALUE"""),"BLUE")</f>
        <v>BLUE</v>
      </c>
      <c r="G3965" s="20" t="str">
        <f>IFERROR(__xludf.DUMMYFUNCTION("""COMPUTED_VALUE"""),"Uncle Sams Cider (04/04/2023)")</f>
        <v>Uncle Sams Cider (04/04/2023)</v>
      </c>
      <c r="H3965" s="19"/>
    </row>
    <row r="3966">
      <c r="A3966" s="9"/>
      <c r="B3966" s="15"/>
      <c r="C3966" s="9">
        <f>IFERROR(__xludf.DUMMYFUNCTION("""COMPUTED_VALUE"""),45103.0655490162)</f>
        <v>45103.06555</v>
      </c>
      <c r="D3966" s="15">
        <f>IFERROR(__xludf.DUMMYFUNCTION("""COMPUTED_VALUE"""),1.001)</f>
        <v>1.001</v>
      </c>
      <c r="E3966" s="16">
        <f>IFERROR(__xludf.DUMMYFUNCTION("""COMPUTED_VALUE"""),69.0)</f>
        <v>69</v>
      </c>
      <c r="F3966" s="19" t="str">
        <f>IFERROR(__xludf.DUMMYFUNCTION("""COMPUTED_VALUE"""),"BLUE")</f>
        <v>BLUE</v>
      </c>
      <c r="G3966" s="20" t="str">
        <f>IFERROR(__xludf.DUMMYFUNCTION("""COMPUTED_VALUE"""),"Uncle Sams Cider (04/04/2023)")</f>
        <v>Uncle Sams Cider (04/04/2023)</v>
      </c>
      <c r="H3966" s="19"/>
    </row>
    <row r="3967">
      <c r="A3967" s="9"/>
      <c r="B3967" s="15"/>
      <c r="C3967" s="9">
        <f>IFERROR(__xludf.DUMMYFUNCTION("""COMPUTED_VALUE"""),45103.0551284953)</f>
        <v>45103.05513</v>
      </c>
      <c r="D3967" s="15">
        <f>IFERROR(__xludf.DUMMYFUNCTION("""COMPUTED_VALUE"""),1.0)</f>
        <v>1</v>
      </c>
      <c r="E3967" s="16">
        <f>IFERROR(__xludf.DUMMYFUNCTION("""COMPUTED_VALUE"""),69.0)</f>
        <v>69</v>
      </c>
      <c r="F3967" s="19" t="str">
        <f>IFERROR(__xludf.DUMMYFUNCTION("""COMPUTED_VALUE"""),"BLUE")</f>
        <v>BLUE</v>
      </c>
      <c r="G3967" s="20" t="str">
        <f>IFERROR(__xludf.DUMMYFUNCTION("""COMPUTED_VALUE"""),"Uncle Sams Cider (04/04/2023)")</f>
        <v>Uncle Sams Cider (04/04/2023)</v>
      </c>
      <c r="H3967" s="19"/>
    </row>
    <row r="3968">
      <c r="A3968" s="9"/>
      <c r="B3968" s="15"/>
      <c r="C3968" s="9">
        <f>IFERROR(__xludf.DUMMYFUNCTION("""COMPUTED_VALUE"""),45103.0447082407)</f>
        <v>45103.04471</v>
      </c>
      <c r="D3968" s="15">
        <f>IFERROR(__xludf.DUMMYFUNCTION("""COMPUTED_VALUE"""),1.0)</f>
        <v>1</v>
      </c>
      <c r="E3968" s="16">
        <f>IFERROR(__xludf.DUMMYFUNCTION("""COMPUTED_VALUE"""),69.0)</f>
        <v>69</v>
      </c>
      <c r="F3968" s="19" t="str">
        <f>IFERROR(__xludf.DUMMYFUNCTION("""COMPUTED_VALUE"""),"BLUE")</f>
        <v>BLUE</v>
      </c>
      <c r="G3968" s="20" t="str">
        <f>IFERROR(__xludf.DUMMYFUNCTION("""COMPUTED_VALUE"""),"Uncle Sams Cider (04/04/2023)")</f>
        <v>Uncle Sams Cider (04/04/2023)</v>
      </c>
      <c r="H3968" s="19"/>
    </row>
    <row r="3969">
      <c r="A3969" s="9"/>
      <c r="B3969" s="15"/>
      <c r="C3969" s="9">
        <f>IFERROR(__xludf.DUMMYFUNCTION("""COMPUTED_VALUE"""),45103.0342864467)</f>
        <v>45103.03429</v>
      </c>
      <c r="D3969" s="15">
        <f>IFERROR(__xludf.DUMMYFUNCTION("""COMPUTED_VALUE"""),1.0)</f>
        <v>1</v>
      </c>
      <c r="E3969" s="16">
        <f>IFERROR(__xludf.DUMMYFUNCTION("""COMPUTED_VALUE"""),69.0)</f>
        <v>69</v>
      </c>
      <c r="F3969" s="19" t="str">
        <f>IFERROR(__xludf.DUMMYFUNCTION("""COMPUTED_VALUE"""),"BLUE")</f>
        <v>BLUE</v>
      </c>
      <c r="G3969" s="20" t="str">
        <f>IFERROR(__xludf.DUMMYFUNCTION("""COMPUTED_VALUE"""),"Uncle Sams Cider (04/04/2023)")</f>
        <v>Uncle Sams Cider (04/04/2023)</v>
      </c>
      <c r="H3969" s="19"/>
    </row>
    <row r="3970">
      <c r="A3970" s="9"/>
      <c r="B3970" s="15"/>
      <c r="C3970" s="9">
        <f>IFERROR(__xludf.DUMMYFUNCTION("""COMPUTED_VALUE"""),45103.0238646064)</f>
        <v>45103.02386</v>
      </c>
      <c r="D3970" s="15">
        <f>IFERROR(__xludf.DUMMYFUNCTION("""COMPUTED_VALUE"""),1.0)</f>
        <v>1</v>
      </c>
      <c r="E3970" s="16">
        <f>IFERROR(__xludf.DUMMYFUNCTION("""COMPUTED_VALUE"""),69.0)</f>
        <v>69</v>
      </c>
      <c r="F3970" s="19" t="str">
        <f>IFERROR(__xludf.DUMMYFUNCTION("""COMPUTED_VALUE"""),"BLUE")</f>
        <v>BLUE</v>
      </c>
      <c r="G3970" s="20" t="str">
        <f>IFERROR(__xludf.DUMMYFUNCTION("""COMPUTED_VALUE"""),"Uncle Sams Cider (04/04/2023)")</f>
        <v>Uncle Sams Cider (04/04/2023)</v>
      </c>
      <c r="H3970" s="19"/>
    </row>
    <row r="3971">
      <c r="A3971" s="9"/>
      <c r="B3971" s="15"/>
      <c r="C3971" s="9">
        <f>IFERROR(__xludf.DUMMYFUNCTION("""COMPUTED_VALUE"""),45103.013442743)</f>
        <v>45103.01344</v>
      </c>
      <c r="D3971" s="15">
        <f>IFERROR(__xludf.DUMMYFUNCTION("""COMPUTED_VALUE"""),1.0)</f>
        <v>1</v>
      </c>
      <c r="E3971" s="16">
        <f>IFERROR(__xludf.DUMMYFUNCTION("""COMPUTED_VALUE"""),69.0)</f>
        <v>69</v>
      </c>
      <c r="F3971" s="19" t="str">
        <f>IFERROR(__xludf.DUMMYFUNCTION("""COMPUTED_VALUE"""),"BLUE")</f>
        <v>BLUE</v>
      </c>
      <c r="G3971" s="20" t="str">
        <f>IFERROR(__xludf.DUMMYFUNCTION("""COMPUTED_VALUE"""),"Uncle Sams Cider (04/04/2023)")</f>
        <v>Uncle Sams Cider (04/04/2023)</v>
      </c>
      <c r="H3971" s="19"/>
    </row>
    <row r="3972">
      <c r="A3972" s="9"/>
      <c r="B3972" s="15"/>
      <c r="C3972" s="9">
        <f>IFERROR(__xludf.DUMMYFUNCTION("""COMPUTED_VALUE"""),45103.0030099189)</f>
        <v>45103.00301</v>
      </c>
      <c r="D3972" s="15">
        <f>IFERROR(__xludf.DUMMYFUNCTION("""COMPUTED_VALUE"""),1.0)</f>
        <v>1</v>
      </c>
      <c r="E3972" s="16">
        <f>IFERROR(__xludf.DUMMYFUNCTION("""COMPUTED_VALUE"""),69.0)</f>
        <v>69</v>
      </c>
      <c r="F3972" s="19" t="str">
        <f>IFERROR(__xludf.DUMMYFUNCTION("""COMPUTED_VALUE"""),"BLUE")</f>
        <v>BLUE</v>
      </c>
      <c r="G3972" s="20" t="str">
        <f>IFERROR(__xludf.DUMMYFUNCTION("""COMPUTED_VALUE"""),"Uncle Sams Cider (04/04/2023)")</f>
        <v>Uncle Sams Cider (04/04/2023)</v>
      </c>
      <c r="H3972" s="19"/>
    </row>
    <row r="3973">
      <c r="A3973" s="9"/>
      <c r="B3973" s="15"/>
      <c r="C3973" s="9">
        <f>IFERROR(__xludf.DUMMYFUNCTION("""COMPUTED_VALUE"""),45102.9925912731)</f>
        <v>45102.99259</v>
      </c>
      <c r="D3973" s="15">
        <f>IFERROR(__xludf.DUMMYFUNCTION("""COMPUTED_VALUE"""),1.0)</f>
        <v>1</v>
      </c>
      <c r="E3973" s="16">
        <f>IFERROR(__xludf.DUMMYFUNCTION("""COMPUTED_VALUE"""),69.0)</f>
        <v>69</v>
      </c>
      <c r="F3973" s="19" t="str">
        <f>IFERROR(__xludf.DUMMYFUNCTION("""COMPUTED_VALUE"""),"BLUE")</f>
        <v>BLUE</v>
      </c>
      <c r="G3973" s="20" t="str">
        <f>IFERROR(__xludf.DUMMYFUNCTION("""COMPUTED_VALUE"""),"Uncle Sams Cider (04/04/2023)")</f>
        <v>Uncle Sams Cider (04/04/2023)</v>
      </c>
      <c r="H3973" s="19"/>
    </row>
    <row r="3974">
      <c r="A3974" s="9"/>
      <c r="B3974" s="15"/>
      <c r="C3974" s="9">
        <f>IFERROR(__xludf.DUMMYFUNCTION("""COMPUTED_VALUE"""),45102.9821705555)</f>
        <v>45102.98217</v>
      </c>
      <c r="D3974" s="15">
        <f>IFERROR(__xludf.DUMMYFUNCTION("""COMPUTED_VALUE"""),1.001)</f>
        <v>1.001</v>
      </c>
      <c r="E3974" s="16">
        <f>IFERROR(__xludf.DUMMYFUNCTION("""COMPUTED_VALUE"""),69.0)</f>
        <v>69</v>
      </c>
      <c r="F3974" s="19" t="str">
        <f>IFERROR(__xludf.DUMMYFUNCTION("""COMPUTED_VALUE"""),"BLUE")</f>
        <v>BLUE</v>
      </c>
      <c r="G3974" s="20" t="str">
        <f>IFERROR(__xludf.DUMMYFUNCTION("""COMPUTED_VALUE"""),"Uncle Sams Cider (04/04/2023)")</f>
        <v>Uncle Sams Cider (04/04/2023)</v>
      </c>
      <c r="H3974" s="19"/>
    </row>
    <row r="3975">
      <c r="A3975" s="9"/>
      <c r="B3975" s="15"/>
      <c r="C3975" s="9">
        <f>IFERROR(__xludf.DUMMYFUNCTION("""COMPUTED_VALUE"""),45102.9717495138)</f>
        <v>45102.97175</v>
      </c>
      <c r="D3975" s="15">
        <f>IFERROR(__xludf.DUMMYFUNCTION("""COMPUTED_VALUE"""),1.001)</f>
        <v>1.001</v>
      </c>
      <c r="E3975" s="16">
        <f>IFERROR(__xludf.DUMMYFUNCTION("""COMPUTED_VALUE"""),69.0)</f>
        <v>69</v>
      </c>
      <c r="F3975" s="19" t="str">
        <f>IFERROR(__xludf.DUMMYFUNCTION("""COMPUTED_VALUE"""),"BLUE")</f>
        <v>BLUE</v>
      </c>
      <c r="G3975" s="20" t="str">
        <f>IFERROR(__xludf.DUMMYFUNCTION("""COMPUTED_VALUE"""),"Uncle Sams Cider (04/04/2023)")</f>
        <v>Uncle Sams Cider (04/04/2023)</v>
      </c>
      <c r="H3975" s="19"/>
    </row>
    <row r="3976">
      <c r="A3976" s="9"/>
      <c r="B3976" s="15"/>
      <c r="C3976" s="9">
        <f>IFERROR(__xludf.DUMMYFUNCTION("""COMPUTED_VALUE"""),45102.9613292013)</f>
        <v>45102.96133</v>
      </c>
      <c r="D3976" s="15">
        <f>IFERROR(__xludf.DUMMYFUNCTION("""COMPUTED_VALUE"""),1.0)</f>
        <v>1</v>
      </c>
      <c r="E3976" s="16">
        <f>IFERROR(__xludf.DUMMYFUNCTION("""COMPUTED_VALUE"""),69.0)</f>
        <v>69</v>
      </c>
      <c r="F3976" s="19" t="str">
        <f>IFERROR(__xludf.DUMMYFUNCTION("""COMPUTED_VALUE"""),"BLUE")</f>
        <v>BLUE</v>
      </c>
      <c r="G3976" s="20" t="str">
        <f>IFERROR(__xludf.DUMMYFUNCTION("""COMPUTED_VALUE"""),"Uncle Sams Cider (04/04/2023)")</f>
        <v>Uncle Sams Cider (04/04/2023)</v>
      </c>
      <c r="H3976" s="19"/>
    </row>
    <row r="3977">
      <c r="A3977" s="9"/>
      <c r="B3977" s="15"/>
      <c r="C3977" s="9">
        <f>IFERROR(__xludf.DUMMYFUNCTION("""COMPUTED_VALUE"""),45102.9509084027)</f>
        <v>45102.95091</v>
      </c>
      <c r="D3977" s="15">
        <f>IFERROR(__xludf.DUMMYFUNCTION("""COMPUTED_VALUE"""),1.0)</f>
        <v>1</v>
      </c>
      <c r="E3977" s="16">
        <f>IFERROR(__xludf.DUMMYFUNCTION("""COMPUTED_VALUE"""),69.0)</f>
        <v>69</v>
      </c>
      <c r="F3977" s="19" t="str">
        <f>IFERROR(__xludf.DUMMYFUNCTION("""COMPUTED_VALUE"""),"BLUE")</f>
        <v>BLUE</v>
      </c>
      <c r="G3977" s="20" t="str">
        <f>IFERROR(__xludf.DUMMYFUNCTION("""COMPUTED_VALUE"""),"Uncle Sams Cider (04/04/2023)")</f>
        <v>Uncle Sams Cider (04/04/2023)</v>
      </c>
      <c r="H3977" s="19"/>
    </row>
    <row r="3978">
      <c r="A3978" s="9"/>
      <c r="B3978" s="15"/>
      <c r="C3978" s="9">
        <f>IFERROR(__xludf.DUMMYFUNCTION("""COMPUTED_VALUE"""),45102.9404862152)</f>
        <v>45102.94049</v>
      </c>
      <c r="D3978" s="15">
        <f>IFERROR(__xludf.DUMMYFUNCTION("""COMPUTED_VALUE"""),1.001)</f>
        <v>1.001</v>
      </c>
      <c r="E3978" s="16">
        <f>IFERROR(__xludf.DUMMYFUNCTION("""COMPUTED_VALUE"""),69.0)</f>
        <v>69</v>
      </c>
      <c r="F3978" s="19" t="str">
        <f>IFERROR(__xludf.DUMMYFUNCTION("""COMPUTED_VALUE"""),"BLUE")</f>
        <v>BLUE</v>
      </c>
      <c r="G3978" s="20" t="str">
        <f>IFERROR(__xludf.DUMMYFUNCTION("""COMPUTED_VALUE"""),"Uncle Sams Cider (04/04/2023)")</f>
        <v>Uncle Sams Cider (04/04/2023)</v>
      </c>
      <c r="H3978" s="19"/>
    </row>
    <row r="3979">
      <c r="A3979" s="9"/>
      <c r="B3979" s="15"/>
      <c r="C3979" s="9">
        <f>IFERROR(__xludf.DUMMYFUNCTION("""COMPUTED_VALUE"""),45102.9300651967)</f>
        <v>45102.93007</v>
      </c>
      <c r="D3979" s="15">
        <f>IFERROR(__xludf.DUMMYFUNCTION("""COMPUTED_VALUE"""),1.0)</f>
        <v>1</v>
      </c>
      <c r="E3979" s="16">
        <f>IFERROR(__xludf.DUMMYFUNCTION("""COMPUTED_VALUE"""),69.0)</f>
        <v>69</v>
      </c>
      <c r="F3979" s="19" t="str">
        <f>IFERROR(__xludf.DUMMYFUNCTION("""COMPUTED_VALUE"""),"BLUE")</f>
        <v>BLUE</v>
      </c>
      <c r="G3979" s="20" t="str">
        <f>IFERROR(__xludf.DUMMYFUNCTION("""COMPUTED_VALUE"""),"Uncle Sams Cider (04/04/2023)")</f>
        <v>Uncle Sams Cider (04/04/2023)</v>
      </c>
      <c r="H3979" s="19"/>
    </row>
    <row r="3980">
      <c r="A3980" s="9"/>
      <c r="B3980" s="15"/>
      <c r="C3980" s="9">
        <f>IFERROR(__xludf.DUMMYFUNCTION("""COMPUTED_VALUE"""),45102.9196436689)</f>
        <v>45102.91964</v>
      </c>
      <c r="D3980" s="15">
        <f>IFERROR(__xludf.DUMMYFUNCTION("""COMPUTED_VALUE"""),1.0)</f>
        <v>1</v>
      </c>
      <c r="E3980" s="16">
        <f>IFERROR(__xludf.DUMMYFUNCTION("""COMPUTED_VALUE"""),69.0)</f>
        <v>69</v>
      </c>
      <c r="F3980" s="19" t="str">
        <f>IFERROR(__xludf.DUMMYFUNCTION("""COMPUTED_VALUE"""),"BLUE")</f>
        <v>BLUE</v>
      </c>
      <c r="G3980" s="20" t="str">
        <f>IFERROR(__xludf.DUMMYFUNCTION("""COMPUTED_VALUE"""),"Uncle Sams Cider (04/04/2023)")</f>
        <v>Uncle Sams Cider (04/04/2023)</v>
      </c>
      <c r="H3980" s="19"/>
    </row>
    <row r="3981">
      <c r="A3981" s="9"/>
      <c r="B3981" s="15"/>
      <c r="C3981" s="9">
        <f>IFERROR(__xludf.DUMMYFUNCTION("""COMPUTED_VALUE"""),45102.9092235301)</f>
        <v>45102.90922</v>
      </c>
      <c r="D3981" s="15">
        <f>IFERROR(__xludf.DUMMYFUNCTION("""COMPUTED_VALUE"""),1.0)</f>
        <v>1</v>
      </c>
      <c r="E3981" s="16">
        <f>IFERROR(__xludf.DUMMYFUNCTION("""COMPUTED_VALUE"""),69.0)</f>
        <v>69</v>
      </c>
      <c r="F3981" s="19" t="str">
        <f>IFERROR(__xludf.DUMMYFUNCTION("""COMPUTED_VALUE"""),"BLUE")</f>
        <v>BLUE</v>
      </c>
      <c r="G3981" s="20" t="str">
        <f>IFERROR(__xludf.DUMMYFUNCTION("""COMPUTED_VALUE"""),"Uncle Sams Cider (04/04/2023)")</f>
        <v>Uncle Sams Cider (04/04/2023)</v>
      </c>
      <c r="H3981" s="19"/>
    </row>
    <row r="3982">
      <c r="A3982" s="9"/>
      <c r="B3982" s="15"/>
      <c r="C3982" s="9">
        <f>IFERROR(__xludf.DUMMYFUNCTION("""COMPUTED_VALUE"""),45102.8987685416)</f>
        <v>45102.89877</v>
      </c>
      <c r="D3982" s="15">
        <f>IFERROR(__xludf.DUMMYFUNCTION("""COMPUTED_VALUE"""),1.0)</f>
        <v>1</v>
      </c>
      <c r="E3982" s="16">
        <f>IFERROR(__xludf.DUMMYFUNCTION("""COMPUTED_VALUE"""),69.0)</f>
        <v>69</v>
      </c>
      <c r="F3982" s="19" t="str">
        <f>IFERROR(__xludf.DUMMYFUNCTION("""COMPUTED_VALUE"""),"BLUE")</f>
        <v>BLUE</v>
      </c>
      <c r="G3982" s="20" t="str">
        <f>IFERROR(__xludf.DUMMYFUNCTION("""COMPUTED_VALUE"""),"Uncle Sams Cider (04/04/2023)")</f>
        <v>Uncle Sams Cider (04/04/2023)</v>
      </c>
      <c r="H3982" s="19"/>
    </row>
    <row r="3983">
      <c r="A3983" s="9"/>
      <c r="B3983" s="15"/>
      <c r="C3983" s="9">
        <f>IFERROR(__xludf.DUMMYFUNCTION("""COMPUTED_VALUE"""),45102.8883466551)</f>
        <v>45102.88835</v>
      </c>
      <c r="D3983" s="15">
        <f>IFERROR(__xludf.DUMMYFUNCTION("""COMPUTED_VALUE"""),1.001)</f>
        <v>1.001</v>
      </c>
      <c r="E3983" s="16">
        <f>IFERROR(__xludf.DUMMYFUNCTION("""COMPUTED_VALUE"""),69.0)</f>
        <v>69</v>
      </c>
      <c r="F3983" s="19" t="str">
        <f>IFERROR(__xludf.DUMMYFUNCTION("""COMPUTED_VALUE"""),"BLUE")</f>
        <v>BLUE</v>
      </c>
      <c r="G3983" s="20" t="str">
        <f>IFERROR(__xludf.DUMMYFUNCTION("""COMPUTED_VALUE"""),"Uncle Sams Cider (04/04/2023)")</f>
        <v>Uncle Sams Cider (04/04/2023)</v>
      </c>
      <c r="H3983" s="19"/>
    </row>
    <row r="3984">
      <c r="A3984" s="9"/>
      <c r="B3984" s="15"/>
      <c r="C3984" s="9">
        <f>IFERROR(__xludf.DUMMYFUNCTION("""COMPUTED_VALUE"""),45102.8779018402)</f>
        <v>45102.8779</v>
      </c>
      <c r="D3984" s="15">
        <f>IFERROR(__xludf.DUMMYFUNCTION("""COMPUTED_VALUE"""),1.0)</f>
        <v>1</v>
      </c>
      <c r="E3984" s="16">
        <f>IFERROR(__xludf.DUMMYFUNCTION("""COMPUTED_VALUE"""),69.0)</f>
        <v>69</v>
      </c>
      <c r="F3984" s="19" t="str">
        <f>IFERROR(__xludf.DUMMYFUNCTION("""COMPUTED_VALUE"""),"BLUE")</f>
        <v>BLUE</v>
      </c>
      <c r="G3984" s="20" t="str">
        <f>IFERROR(__xludf.DUMMYFUNCTION("""COMPUTED_VALUE"""),"Uncle Sams Cider (04/04/2023)")</f>
        <v>Uncle Sams Cider (04/04/2023)</v>
      </c>
      <c r="H3984" s="19"/>
    </row>
    <row r="3985">
      <c r="A3985" s="9"/>
      <c r="B3985" s="15"/>
      <c r="C3985" s="9">
        <f>IFERROR(__xludf.DUMMYFUNCTION("""COMPUTED_VALUE"""),45102.8674813078)</f>
        <v>45102.86748</v>
      </c>
      <c r="D3985" s="15">
        <f>IFERROR(__xludf.DUMMYFUNCTION("""COMPUTED_VALUE"""),1.001)</f>
        <v>1.001</v>
      </c>
      <c r="E3985" s="16">
        <f>IFERROR(__xludf.DUMMYFUNCTION("""COMPUTED_VALUE"""),69.0)</f>
        <v>69</v>
      </c>
      <c r="F3985" s="19" t="str">
        <f>IFERROR(__xludf.DUMMYFUNCTION("""COMPUTED_VALUE"""),"BLUE")</f>
        <v>BLUE</v>
      </c>
      <c r="G3985" s="20" t="str">
        <f>IFERROR(__xludf.DUMMYFUNCTION("""COMPUTED_VALUE"""),"Uncle Sams Cider (04/04/2023)")</f>
        <v>Uncle Sams Cider (04/04/2023)</v>
      </c>
      <c r="H3985" s="19"/>
    </row>
    <row r="3986">
      <c r="A3986" s="9"/>
      <c r="B3986" s="15"/>
      <c r="C3986" s="9">
        <f>IFERROR(__xludf.DUMMYFUNCTION("""COMPUTED_VALUE"""),45102.8570506828)</f>
        <v>45102.85705</v>
      </c>
      <c r="D3986" s="15">
        <f>IFERROR(__xludf.DUMMYFUNCTION("""COMPUTED_VALUE"""),1.0)</f>
        <v>1</v>
      </c>
      <c r="E3986" s="16">
        <f>IFERROR(__xludf.DUMMYFUNCTION("""COMPUTED_VALUE"""),69.0)</f>
        <v>69</v>
      </c>
      <c r="F3986" s="19" t="str">
        <f>IFERROR(__xludf.DUMMYFUNCTION("""COMPUTED_VALUE"""),"BLUE")</f>
        <v>BLUE</v>
      </c>
      <c r="G3986" s="20" t="str">
        <f>IFERROR(__xludf.DUMMYFUNCTION("""COMPUTED_VALUE"""),"Uncle Sams Cider (04/04/2023)")</f>
        <v>Uncle Sams Cider (04/04/2023)</v>
      </c>
      <c r="H3986" s="19"/>
    </row>
    <row r="3987">
      <c r="A3987" s="9"/>
      <c r="B3987" s="15"/>
      <c r="C3987" s="9">
        <f>IFERROR(__xludf.DUMMYFUNCTION("""COMPUTED_VALUE"""),45102.8466306597)</f>
        <v>45102.84663</v>
      </c>
      <c r="D3987" s="15">
        <f>IFERROR(__xludf.DUMMYFUNCTION("""COMPUTED_VALUE"""),1.0)</f>
        <v>1</v>
      </c>
      <c r="E3987" s="16">
        <f>IFERROR(__xludf.DUMMYFUNCTION("""COMPUTED_VALUE"""),69.0)</f>
        <v>69</v>
      </c>
      <c r="F3987" s="19" t="str">
        <f>IFERROR(__xludf.DUMMYFUNCTION("""COMPUTED_VALUE"""),"BLUE")</f>
        <v>BLUE</v>
      </c>
      <c r="G3987" s="20" t="str">
        <f>IFERROR(__xludf.DUMMYFUNCTION("""COMPUTED_VALUE"""),"Uncle Sams Cider (04/04/2023)")</f>
        <v>Uncle Sams Cider (04/04/2023)</v>
      </c>
      <c r="H3987" s="19"/>
    </row>
    <row r="3988">
      <c r="A3988" s="9"/>
      <c r="B3988" s="15"/>
      <c r="C3988" s="9">
        <f>IFERROR(__xludf.DUMMYFUNCTION("""COMPUTED_VALUE"""),45102.8361859027)</f>
        <v>45102.83619</v>
      </c>
      <c r="D3988" s="15">
        <f>IFERROR(__xludf.DUMMYFUNCTION("""COMPUTED_VALUE"""),1.0)</f>
        <v>1</v>
      </c>
      <c r="E3988" s="16">
        <f>IFERROR(__xludf.DUMMYFUNCTION("""COMPUTED_VALUE"""),69.0)</f>
        <v>69</v>
      </c>
      <c r="F3988" s="19" t="str">
        <f>IFERROR(__xludf.DUMMYFUNCTION("""COMPUTED_VALUE"""),"BLUE")</f>
        <v>BLUE</v>
      </c>
      <c r="G3988" s="20" t="str">
        <f>IFERROR(__xludf.DUMMYFUNCTION("""COMPUTED_VALUE"""),"Uncle Sams Cider (04/04/2023)")</f>
        <v>Uncle Sams Cider (04/04/2023)</v>
      </c>
      <c r="H3988" s="19"/>
    </row>
    <row r="3989">
      <c r="A3989" s="9"/>
      <c r="B3989" s="15"/>
      <c r="C3989" s="9">
        <f>IFERROR(__xludf.DUMMYFUNCTION("""COMPUTED_VALUE"""),45102.8257629166)</f>
        <v>45102.82576</v>
      </c>
      <c r="D3989" s="15">
        <f>IFERROR(__xludf.DUMMYFUNCTION("""COMPUTED_VALUE"""),1.0)</f>
        <v>1</v>
      </c>
      <c r="E3989" s="16">
        <f>IFERROR(__xludf.DUMMYFUNCTION("""COMPUTED_VALUE"""),69.0)</f>
        <v>69</v>
      </c>
      <c r="F3989" s="19" t="str">
        <f>IFERROR(__xludf.DUMMYFUNCTION("""COMPUTED_VALUE"""),"BLUE")</f>
        <v>BLUE</v>
      </c>
      <c r="G3989" s="20" t="str">
        <f>IFERROR(__xludf.DUMMYFUNCTION("""COMPUTED_VALUE"""),"Uncle Sams Cider (04/04/2023)")</f>
        <v>Uncle Sams Cider (04/04/2023)</v>
      </c>
      <c r="H3989" s="19"/>
    </row>
    <row r="3990">
      <c r="A3990" s="9"/>
      <c r="B3990" s="15"/>
      <c r="C3990" s="9">
        <f>IFERROR(__xludf.DUMMYFUNCTION("""COMPUTED_VALUE"""),45102.815342199)</f>
        <v>45102.81534</v>
      </c>
      <c r="D3990" s="15">
        <f>IFERROR(__xludf.DUMMYFUNCTION("""COMPUTED_VALUE"""),1.001)</f>
        <v>1.001</v>
      </c>
      <c r="E3990" s="16">
        <f>IFERROR(__xludf.DUMMYFUNCTION("""COMPUTED_VALUE"""),69.0)</f>
        <v>69</v>
      </c>
      <c r="F3990" s="19" t="str">
        <f>IFERROR(__xludf.DUMMYFUNCTION("""COMPUTED_VALUE"""),"BLUE")</f>
        <v>BLUE</v>
      </c>
      <c r="G3990" s="20" t="str">
        <f>IFERROR(__xludf.DUMMYFUNCTION("""COMPUTED_VALUE"""),"Uncle Sams Cider (04/04/2023)")</f>
        <v>Uncle Sams Cider (04/04/2023)</v>
      </c>
      <c r="H3990" s="19"/>
    </row>
    <row r="3991">
      <c r="A3991" s="9"/>
      <c r="B3991" s="15"/>
      <c r="C3991" s="9">
        <f>IFERROR(__xludf.DUMMYFUNCTION("""COMPUTED_VALUE"""),45102.804921331)</f>
        <v>45102.80492</v>
      </c>
      <c r="D3991" s="15">
        <f>IFERROR(__xludf.DUMMYFUNCTION("""COMPUTED_VALUE"""),1.0)</f>
        <v>1</v>
      </c>
      <c r="E3991" s="16">
        <f>IFERROR(__xludf.DUMMYFUNCTION("""COMPUTED_VALUE"""),69.0)</f>
        <v>69</v>
      </c>
      <c r="F3991" s="19" t="str">
        <f>IFERROR(__xludf.DUMMYFUNCTION("""COMPUTED_VALUE"""),"BLUE")</f>
        <v>BLUE</v>
      </c>
      <c r="G3991" s="20" t="str">
        <f>IFERROR(__xludf.DUMMYFUNCTION("""COMPUTED_VALUE"""),"Uncle Sams Cider (04/04/2023)")</f>
        <v>Uncle Sams Cider (04/04/2023)</v>
      </c>
      <c r="H3991" s="19"/>
    </row>
    <row r="3992">
      <c r="A3992" s="9"/>
      <c r="B3992" s="15"/>
      <c r="C3992" s="9">
        <f>IFERROR(__xludf.DUMMYFUNCTION("""COMPUTED_VALUE"""),45102.7945023032)</f>
        <v>45102.7945</v>
      </c>
      <c r="D3992" s="15">
        <f>IFERROR(__xludf.DUMMYFUNCTION("""COMPUTED_VALUE"""),1.0)</f>
        <v>1</v>
      </c>
      <c r="E3992" s="16">
        <f>IFERROR(__xludf.DUMMYFUNCTION("""COMPUTED_VALUE"""),69.0)</f>
        <v>69</v>
      </c>
      <c r="F3992" s="19" t="str">
        <f>IFERROR(__xludf.DUMMYFUNCTION("""COMPUTED_VALUE"""),"BLUE")</f>
        <v>BLUE</v>
      </c>
      <c r="G3992" s="20" t="str">
        <f>IFERROR(__xludf.DUMMYFUNCTION("""COMPUTED_VALUE"""),"Uncle Sams Cider (04/04/2023)")</f>
        <v>Uncle Sams Cider (04/04/2023)</v>
      </c>
      <c r="H3992" s="19"/>
    </row>
    <row r="3993">
      <c r="A3993" s="9"/>
      <c r="B3993" s="15"/>
      <c r="C3993" s="9">
        <f>IFERROR(__xludf.DUMMYFUNCTION("""COMPUTED_VALUE"""),45102.7840823032)</f>
        <v>45102.78408</v>
      </c>
      <c r="D3993" s="15">
        <f>IFERROR(__xludf.DUMMYFUNCTION("""COMPUTED_VALUE"""),1.0)</f>
        <v>1</v>
      </c>
      <c r="E3993" s="16">
        <f>IFERROR(__xludf.DUMMYFUNCTION("""COMPUTED_VALUE"""),69.0)</f>
        <v>69</v>
      </c>
      <c r="F3993" s="19" t="str">
        <f>IFERROR(__xludf.DUMMYFUNCTION("""COMPUTED_VALUE"""),"BLUE")</f>
        <v>BLUE</v>
      </c>
      <c r="G3993" s="20" t="str">
        <f>IFERROR(__xludf.DUMMYFUNCTION("""COMPUTED_VALUE"""),"Uncle Sams Cider (04/04/2023)")</f>
        <v>Uncle Sams Cider (04/04/2023)</v>
      </c>
      <c r="H3993" s="19"/>
    </row>
    <row r="3994">
      <c r="A3994" s="9"/>
      <c r="B3994" s="15"/>
      <c r="C3994" s="9">
        <f>IFERROR(__xludf.DUMMYFUNCTION("""COMPUTED_VALUE"""),45102.7736614583)</f>
        <v>45102.77366</v>
      </c>
      <c r="D3994" s="15">
        <f>IFERROR(__xludf.DUMMYFUNCTION("""COMPUTED_VALUE"""),1.001)</f>
        <v>1.001</v>
      </c>
      <c r="E3994" s="16">
        <f>IFERROR(__xludf.DUMMYFUNCTION("""COMPUTED_VALUE"""),69.0)</f>
        <v>69</v>
      </c>
      <c r="F3994" s="19" t="str">
        <f>IFERROR(__xludf.DUMMYFUNCTION("""COMPUTED_VALUE"""),"BLUE")</f>
        <v>BLUE</v>
      </c>
      <c r="G3994" s="20" t="str">
        <f>IFERROR(__xludf.DUMMYFUNCTION("""COMPUTED_VALUE"""),"Uncle Sams Cider (04/04/2023)")</f>
        <v>Uncle Sams Cider (04/04/2023)</v>
      </c>
      <c r="H3994" s="19"/>
    </row>
    <row r="3995">
      <c r="A3995" s="9"/>
      <c r="B3995" s="15"/>
      <c r="C3995" s="9">
        <f>IFERROR(__xludf.DUMMYFUNCTION("""COMPUTED_VALUE"""),45102.7632404398)</f>
        <v>45102.76324</v>
      </c>
      <c r="D3995" s="15">
        <f>IFERROR(__xludf.DUMMYFUNCTION("""COMPUTED_VALUE"""),1.001)</f>
        <v>1.001</v>
      </c>
      <c r="E3995" s="16">
        <f>IFERROR(__xludf.DUMMYFUNCTION("""COMPUTED_VALUE"""),69.0)</f>
        <v>69</v>
      </c>
      <c r="F3995" s="19" t="str">
        <f>IFERROR(__xludf.DUMMYFUNCTION("""COMPUTED_VALUE"""),"BLUE")</f>
        <v>BLUE</v>
      </c>
      <c r="G3995" s="20" t="str">
        <f>IFERROR(__xludf.DUMMYFUNCTION("""COMPUTED_VALUE"""),"Uncle Sams Cider (04/04/2023)")</f>
        <v>Uncle Sams Cider (04/04/2023)</v>
      </c>
      <c r="H3995" s="19"/>
    </row>
    <row r="3996">
      <c r="A3996" s="9"/>
      <c r="B3996" s="15"/>
      <c r="C3996" s="9">
        <f>IFERROR(__xludf.DUMMYFUNCTION("""COMPUTED_VALUE"""),45102.7528193287)</f>
        <v>45102.75282</v>
      </c>
      <c r="D3996" s="15">
        <f>IFERROR(__xludf.DUMMYFUNCTION("""COMPUTED_VALUE"""),1.001)</f>
        <v>1.001</v>
      </c>
      <c r="E3996" s="16">
        <f>IFERROR(__xludf.DUMMYFUNCTION("""COMPUTED_VALUE"""),69.0)</f>
        <v>69</v>
      </c>
      <c r="F3996" s="19" t="str">
        <f>IFERROR(__xludf.DUMMYFUNCTION("""COMPUTED_VALUE"""),"BLUE")</f>
        <v>BLUE</v>
      </c>
      <c r="G3996" s="20" t="str">
        <f>IFERROR(__xludf.DUMMYFUNCTION("""COMPUTED_VALUE"""),"Uncle Sams Cider (04/04/2023)")</f>
        <v>Uncle Sams Cider (04/04/2023)</v>
      </c>
      <c r="H3996" s="19"/>
    </row>
    <row r="3997">
      <c r="A3997" s="9"/>
      <c r="B3997" s="15"/>
      <c r="C3997" s="9">
        <f>IFERROR(__xludf.DUMMYFUNCTION("""COMPUTED_VALUE"""),45102.7423975)</f>
        <v>45102.7424</v>
      </c>
      <c r="D3997" s="15">
        <f>IFERROR(__xludf.DUMMYFUNCTION("""COMPUTED_VALUE"""),1.001)</f>
        <v>1.001</v>
      </c>
      <c r="E3997" s="16">
        <f>IFERROR(__xludf.DUMMYFUNCTION("""COMPUTED_VALUE"""),69.0)</f>
        <v>69</v>
      </c>
      <c r="F3997" s="19" t="str">
        <f>IFERROR(__xludf.DUMMYFUNCTION("""COMPUTED_VALUE"""),"BLUE")</f>
        <v>BLUE</v>
      </c>
      <c r="G3997" s="20" t="str">
        <f>IFERROR(__xludf.DUMMYFUNCTION("""COMPUTED_VALUE"""),"Uncle Sams Cider (04/04/2023)")</f>
        <v>Uncle Sams Cider (04/04/2023)</v>
      </c>
      <c r="H3997" s="19"/>
    </row>
    <row r="3998">
      <c r="A3998" s="9"/>
      <c r="B3998" s="15"/>
      <c r="C3998" s="9">
        <f>IFERROR(__xludf.DUMMYFUNCTION("""COMPUTED_VALUE"""),45102.7319762847)</f>
        <v>45102.73198</v>
      </c>
      <c r="D3998" s="15">
        <f>IFERROR(__xludf.DUMMYFUNCTION("""COMPUTED_VALUE"""),1.0)</f>
        <v>1</v>
      </c>
      <c r="E3998" s="16">
        <f>IFERROR(__xludf.DUMMYFUNCTION("""COMPUTED_VALUE"""),69.0)</f>
        <v>69</v>
      </c>
      <c r="F3998" s="19" t="str">
        <f>IFERROR(__xludf.DUMMYFUNCTION("""COMPUTED_VALUE"""),"BLUE")</f>
        <v>BLUE</v>
      </c>
      <c r="G3998" s="20" t="str">
        <f>IFERROR(__xludf.DUMMYFUNCTION("""COMPUTED_VALUE"""),"Uncle Sams Cider (04/04/2023)")</f>
        <v>Uncle Sams Cider (04/04/2023)</v>
      </c>
      <c r="H3998" s="19"/>
    </row>
    <row r="3999">
      <c r="A3999" s="9"/>
      <c r="B3999" s="15"/>
      <c r="C3999" s="9">
        <f>IFERROR(__xludf.DUMMYFUNCTION("""COMPUTED_VALUE"""),45102.7215472338)</f>
        <v>45102.72155</v>
      </c>
      <c r="D3999" s="15">
        <f>IFERROR(__xludf.DUMMYFUNCTION("""COMPUTED_VALUE"""),1.0)</f>
        <v>1</v>
      </c>
      <c r="E3999" s="16">
        <f>IFERROR(__xludf.DUMMYFUNCTION("""COMPUTED_VALUE"""),69.0)</f>
        <v>69</v>
      </c>
      <c r="F3999" s="19" t="str">
        <f>IFERROR(__xludf.DUMMYFUNCTION("""COMPUTED_VALUE"""),"BLUE")</f>
        <v>BLUE</v>
      </c>
      <c r="G3999" s="20" t="str">
        <f>IFERROR(__xludf.DUMMYFUNCTION("""COMPUTED_VALUE"""),"Uncle Sams Cider (04/04/2023)")</f>
        <v>Uncle Sams Cider (04/04/2023)</v>
      </c>
      <c r="H3999" s="19"/>
    </row>
    <row r="4000">
      <c r="A4000" s="9"/>
      <c r="B4000" s="15"/>
      <c r="C4000" s="9">
        <f>IFERROR(__xludf.DUMMYFUNCTION("""COMPUTED_VALUE"""),45102.7111273032)</f>
        <v>45102.71113</v>
      </c>
      <c r="D4000" s="15">
        <f>IFERROR(__xludf.DUMMYFUNCTION("""COMPUTED_VALUE"""),1.0)</f>
        <v>1</v>
      </c>
      <c r="E4000" s="16">
        <f>IFERROR(__xludf.DUMMYFUNCTION("""COMPUTED_VALUE"""),69.0)</f>
        <v>69</v>
      </c>
      <c r="F4000" s="19" t="str">
        <f>IFERROR(__xludf.DUMMYFUNCTION("""COMPUTED_VALUE"""),"BLUE")</f>
        <v>BLUE</v>
      </c>
      <c r="G4000" s="20" t="str">
        <f>IFERROR(__xludf.DUMMYFUNCTION("""COMPUTED_VALUE"""),"Uncle Sams Cider (04/04/2023)")</f>
        <v>Uncle Sams Cider (04/04/2023)</v>
      </c>
      <c r="H4000" s="19"/>
    </row>
    <row r="4001">
      <c r="A4001" s="9"/>
      <c r="B4001" s="15"/>
      <c r="C4001" s="9">
        <f>IFERROR(__xludf.DUMMYFUNCTION("""COMPUTED_VALUE"""),45102.7006936111)</f>
        <v>45102.70069</v>
      </c>
      <c r="D4001" s="15">
        <f>IFERROR(__xludf.DUMMYFUNCTION("""COMPUTED_VALUE"""),1.001)</f>
        <v>1.001</v>
      </c>
      <c r="E4001" s="16">
        <f>IFERROR(__xludf.DUMMYFUNCTION("""COMPUTED_VALUE"""),69.0)</f>
        <v>69</v>
      </c>
      <c r="F4001" s="19" t="str">
        <f>IFERROR(__xludf.DUMMYFUNCTION("""COMPUTED_VALUE"""),"BLUE")</f>
        <v>BLUE</v>
      </c>
      <c r="G4001" s="20" t="str">
        <f>IFERROR(__xludf.DUMMYFUNCTION("""COMPUTED_VALUE"""),"Uncle Sams Cider (04/04/2023)")</f>
        <v>Uncle Sams Cider (04/04/2023)</v>
      </c>
      <c r="H4001" s="19"/>
    </row>
    <row r="4002">
      <c r="A4002" s="9"/>
      <c r="B4002" s="15"/>
      <c r="C4002" s="9">
        <f>IFERROR(__xludf.DUMMYFUNCTION("""COMPUTED_VALUE"""),45102.6902711226)</f>
        <v>45102.69027</v>
      </c>
      <c r="D4002" s="15">
        <f>IFERROR(__xludf.DUMMYFUNCTION("""COMPUTED_VALUE"""),1.0)</f>
        <v>1</v>
      </c>
      <c r="E4002" s="16">
        <f>IFERROR(__xludf.DUMMYFUNCTION("""COMPUTED_VALUE"""),69.0)</f>
        <v>69</v>
      </c>
      <c r="F4002" s="19" t="str">
        <f>IFERROR(__xludf.DUMMYFUNCTION("""COMPUTED_VALUE"""),"BLUE")</f>
        <v>BLUE</v>
      </c>
      <c r="G4002" s="20" t="str">
        <f>IFERROR(__xludf.DUMMYFUNCTION("""COMPUTED_VALUE"""),"Uncle Sams Cider (04/04/2023)")</f>
        <v>Uncle Sams Cider (04/04/2023)</v>
      </c>
      <c r="H4002" s="19"/>
    </row>
    <row r="4003">
      <c r="A4003" s="9"/>
      <c r="B4003" s="15"/>
      <c r="C4003" s="9">
        <f>IFERROR(__xludf.DUMMYFUNCTION("""COMPUTED_VALUE"""),45102.6798521875)</f>
        <v>45102.67985</v>
      </c>
      <c r="D4003" s="15">
        <f>IFERROR(__xludf.DUMMYFUNCTION("""COMPUTED_VALUE"""),1.0)</f>
        <v>1</v>
      </c>
      <c r="E4003" s="16">
        <f>IFERROR(__xludf.DUMMYFUNCTION("""COMPUTED_VALUE"""),69.0)</f>
        <v>69</v>
      </c>
      <c r="F4003" s="19" t="str">
        <f>IFERROR(__xludf.DUMMYFUNCTION("""COMPUTED_VALUE"""),"BLUE")</f>
        <v>BLUE</v>
      </c>
      <c r="G4003" s="20" t="str">
        <f>IFERROR(__xludf.DUMMYFUNCTION("""COMPUTED_VALUE"""),"Uncle Sams Cider (04/04/2023)")</f>
        <v>Uncle Sams Cider (04/04/2023)</v>
      </c>
      <c r="H4003" s="19"/>
    </row>
    <row r="4004">
      <c r="A4004" s="9"/>
      <c r="B4004" s="15"/>
      <c r="C4004" s="9">
        <f>IFERROR(__xludf.DUMMYFUNCTION("""COMPUTED_VALUE"""),45102.6694187152)</f>
        <v>45102.66942</v>
      </c>
      <c r="D4004" s="15">
        <f>IFERROR(__xludf.DUMMYFUNCTION("""COMPUTED_VALUE"""),1.0)</f>
        <v>1</v>
      </c>
      <c r="E4004" s="16">
        <f>IFERROR(__xludf.DUMMYFUNCTION("""COMPUTED_VALUE"""),69.0)</f>
        <v>69</v>
      </c>
      <c r="F4004" s="19" t="str">
        <f>IFERROR(__xludf.DUMMYFUNCTION("""COMPUTED_VALUE"""),"BLUE")</f>
        <v>BLUE</v>
      </c>
      <c r="G4004" s="20" t="str">
        <f>IFERROR(__xludf.DUMMYFUNCTION("""COMPUTED_VALUE"""),"Uncle Sams Cider (04/04/2023)")</f>
        <v>Uncle Sams Cider (04/04/2023)</v>
      </c>
      <c r="H4004" s="19"/>
    </row>
    <row r="4005">
      <c r="A4005" s="9"/>
      <c r="B4005" s="15"/>
      <c r="C4005" s="9">
        <f>IFERROR(__xludf.DUMMYFUNCTION("""COMPUTED_VALUE"""),45102.6589983564)</f>
        <v>45102.659</v>
      </c>
      <c r="D4005" s="15">
        <f>IFERROR(__xludf.DUMMYFUNCTION("""COMPUTED_VALUE"""),1.001)</f>
        <v>1.001</v>
      </c>
      <c r="E4005" s="16">
        <f>IFERROR(__xludf.DUMMYFUNCTION("""COMPUTED_VALUE"""),69.0)</f>
        <v>69</v>
      </c>
      <c r="F4005" s="19" t="str">
        <f>IFERROR(__xludf.DUMMYFUNCTION("""COMPUTED_VALUE"""),"BLUE")</f>
        <v>BLUE</v>
      </c>
      <c r="G4005" s="20" t="str">
        <f>IFERROR(__xludf.DUMMYFUNCTION("""COMPUTED_VALUE"""),"Uncle Sams Cider (04/04/2023)")</f>
        <v>Uncle Sams Cider (04/04/2023)</v>
      </c>
      <c r="H4005" s="19"/>
    </row>
    <row r="4006">
      <c r="A4006" s="9"/>
      <c r="B4006" s="15"/>
      <c r="C4006" s="9">
        <f>IFERROR(__xludf.DUMMYFUNCTION("""COMPUTED_VALUE"""),45102.6485768402)</f>
        <v>45102.64858</v>
      </c>
      <c r="D4006" s="15">
        <f>IFERROR(__xludf.DUMMYFUNCTION("""COMPUTED_VALUE"""),1.0)</f>
        <v>1</v>
      </c>
      <c r="E4006" s="16">
        <f>IFERROR(__xludf.DUMMYFUNCTION("""COMPUTED_VALUE"""),69.0)</f>
        <v>69</v>
      </c>
      <c r="F4006" s="19" t="str">
        <f>IFERROR(__xludf.DUMMYFUNCTION("""COMPUTED_VALUE"""),"BLUE")</f>
        <v>BLUE</v>
      </c>
      <c r="G4006" s="20" t="str">
        <f>IFERROR(__xludf.DUMMYFUNCTION("""COMPUTED_VALUE"""),"Uncle Sams Cider (04/04/2023)")</f>
        <v>Uncle Sams Cider (04/04/2023)</v>
      </c>
      <c r="H4006" s="19"/>
    </row>
    <row r="4007">
      <c r="A4007" s="9"/>
      <c r="B4007" s="15"/>
      <c r="C4007" s="9">
        <f>IFERROR(__xludf.DUMMYFUNCTION("""COMPUTED_VALUE"""),45102.6381410879)</f>
        <v>45102.63814</v>
      </c>
      <c r="D4007" s="15">
        <f>IFERROR(__xludf.DUMMYFUNCTION("""COMPUTED_VALUE"""),1.0)</f>
        <v>1</v>
      </c>
      <c r="E4007" s="16">
        <f>IFERROR(__xludf.DUMMYFUNCTION("""COMPUTED_VALUE"""),69.0)</f>
        <v>69</v>
      </c>
      <c r="F4007" s="19" t="str">
        <f>IFERROR(__xludf.DUMMYFUNCTION("""COMPUTED_VALUE"""),"BLUE")</f>
        <v>BLUE</v>
      </c>
      <c r="G4007" s="20" t="str">
        <f>IFERROR(__xludf.DUMMYFUNCTION("""COMPUTED_VALUE"""),"Uncle Sams Cider (04/04/2023)")</f>
        <v>Uncle Sams Cider (04/04/2023)</v>
      </c>
      <c r="H4007" s="19"/>
    </row>
    <row r="4008">
      <c r="A4008" s="9"/>
      <c r="B4008" s="15"/>
      <c r="C4008" s="9">
        <f>IFERROR(__xludf.DUMMYFUNCTION("""COMPUTED_VALUE"""),45102.62770853)</f>
        <v>45102.62771</v>
      </c>
      <c r="D4008" s="15">
        <f>IFERROR(__xludf.DUMMYFUNCTION("""COMPUTED_VALUE"""),1.001)</f>
        <v>1.001</v>
      </c>
      <c r="E4008" s="16">
        <f>IFERROR(__xludf.DUMMYFUNCTION("""COMPUTED_VALUE"""),69.0)</f>
        <v>69</v>
      </c>
      <c r="F4008" s="19" t="str">
        <f>IFERROR(__xludf.DUMMYFUNCTION("""COMPUTED_VALUE"""),"BLUE")</f>
        <v>BLUE</v>
      </c>
      <c r="G4008" s="20" t="str">
        <f>IFERROR(__xludf.DUMMYFUNCTION("""COMPUTED_VALUE"""),"Uncle Sams Cider (04/04/2023)")</f>
        <v>Uncle Sams Cider (04/04/2023)</v>
      </c>
      <c r="H4008" s="19"/>
    </row>
    <row r="4009">
      <c r="A4009" s="9"/>
      <c r="B4009" s="15"/>
      <c r="C4009" s="9">
        <f>IFERROR(__xludf.DUMMYFUNCTION("""COMPUTED_VALUE"""),45102.6172620486)</f>
        <v>45102.61726</v>
      </c>
      <c r="D4009" s="15">
        <f>IFERROR(__xludf.DUMMYFUNCTION("""COMPUTED_VALUE"""),1.0)</f>
        <v>1</v>
      </c>
      <c r="E4009" s="16">
        <f>IFERROR(__xludf.DUMMYFUNCTION("""COMPUTED_VALUE"""),69.0)</f>
        <v>69</v>
      </c>
      <c r="F4009" s="19" t="str">
        <f>IFERROR(__xludf.DUMMYFUNCTION("""COMPUTED_VALUE"""),"BLUE")</f>
        <v>BLUE</v>
      </c>
      <c r="G4009" s="20" t="str">
        <f>IFERROR(__xludf.DUMMYFUNCTION("""COMPUTED_VALUE"""),"Uncle Sams Cider (04/04/2023)")</f>
        <v>Uncle Sams Cider (04/04/2023)</v>
      </c>
      <c r="H4009" s="19"/>
    </row>
    <row r="4010">
      <c r="A4010" s="9"/>
      <c r="B4010" s="15"/>
      <c r="C4010" s="9">
        <f>IFERROR(__xludf.DUMMYFUNCTION("""COMPUTED_VALUE"""),45102.6068407638)</f>
        <v>45102.60684</v>
      </c>
      <c r="D4010" s="15">
        <f>IFERROR(__xludf.DUMMYFUNCTION("""COMPUTED_VALUE"""),1.001)</f>
        <v>1.001</v>
      </c>
      <c r="E4010" s="16">
        <f>IFERROR(__xludf.DUMMYFUNCTION("""COMPUTED_VALUE"""),69.0)</f>
        <v>69</v>
      </c>
      <c r="F4010" s="19" t="str">
        <f>IFERROR(__xludf.DUMMYFUNCTION("""COMPUTED_VALUE"""),"BLUE")</f>
        <v>BLUE</v>
      </c>
      <c r="G4010" s="20" t="str">
        <f>IFERROR(__xludf.DUMMYFUNCTION("""COMPUTED_VALUE"""),"Uncle Sams Cider (04/04/2023)")</f>
        <v>Uncle Sams Cider (04/04/2023)</v>
      </c>
      <c r="H4010" s="19"/>
    </row>
    <row r="4011">
      <c r="A4011" s="9"/>
      <c r="B4011" s="15"/>
      <c r="C4011" s="9">
        <f>IFERROR(__xludf.DUMMYFUNCTION("""COMPUTED_VALUE"""),45102.5964203819)</f>
        <v>45102.59642</v>
      </c>
      <c r="D4011" s="15">
        <f>IFERROR(__xludf.DUMMYFUNCTION("""COMPUTED_VALUE"""),1.001)</f>
        <v>1.001</v>
      </c>
      <c r="E4011" s="16">
        <f>IFERROR(__xludf.DUMMYFUNCTION("""COMPUTED_VALUE"""),69.0)</f>
        <v>69</v>
      </c>
      <c r="F4011" s="19" t="str">
        <f>IFERROR(__xludf.DUMMYFUNCTION("""COMPUTED_VALUE"""),"BLUE")</f>
        <v>BLUE</v>
      </c>
      <c r="G4011" s="20" t="str">
        <f>IFERROR(__xludf.DUMMYFUNCTION("""COMPUTED_VALUE"""),"Uncle Sams Cider (04/04/2023)")</f>
        <v>Uncle Sams Cider (04/04/2023)</v>
      </c>
      <c r="H4011" s="19"/>
    </row>
    <row r="4012">
      <c r="A4012" s="9"/>
      <c r="B4012" s="15"/>
      <c r="C4012" s="9">
        <f>IFERROR(__xludf.DUMMYFUNCTION("""COMPUTED_VALUE"""),45102.5859997106)</f>
        <v>45102.586</v>
      </c>
      <c r="D4012" s="15">
        <f>IFERROR(__xludf.DUMMYFUNCTION("""COMPUTED_VALUE"""),1.0)</f>
        <v>1</v>
      </c>
      <c r="E4012" s="16">
        <f>IFERROR(__xludf.DUMMYFUNCTION("""COMPUTED_VALUE"""),69.0)</f>
        <v>69</v>
      </c>
      <c r="F4012" s="19" t="str">
        <f>IFERROR(__xludf.DUMMYFUNCTION("""COMPUTED_VALUE"""),"BLUE")</f>
        <v>BLUE</v>
      </c>
      <c r="G4012" s="20" t="str">
        <f>IFERROR(__xludf.DUMMYFUNCTION("""COMPUTED_VALUE"""),"Uncle Sams Cider (04/04/2023)")</f>
        <v>Uncle Sams Cider (04/04/2023)</v>
      </c>
      <c r="H4012" s="19"/>
    </row>
    <row r="4013">
      <c r="A4013" s="9"/>
      <c r="B4013" s="15"/>
      <c r="C4013" s="9">
        <f>IFERROR(__xludf.DUMMYFUNCTION("""COMPUTED_VALUE"""),45102.5755798611)</f>
        <v>45102.57558</v>
      </c>
      <c r="D4013" s="15">
        <f>IFERROR(__xludf.DUMMYFUNCTION("""COMPUTED_VALUE"""),1.0)</f>
        <v>1</v>
      </c>
      <c r="E4013" s="16">
        <f>IFERROR(__xludf.DUMMYFUNCTION("""COMPUTED_VALUE"""),69.0)</f>
        <v>69</v>
      </c>
      <c r="F4013" s="19" t="str">
        <f>IFERROR(__xludf.DUMMYFUNCTION("""COMPUTED_VALUE"""),"BLUE")</f>
        <v>BLUE</v>
      </c>
      <c r="G4013" s="20" t="str">
        <f>IFERROR(__xludf.DUMMYFUNCTION("""COMPUTED_VALUE"""),"Uncle Sams Cider (04/04/2023)")</f>
        <v>Uncle Sams Cider (04/04/2023)</v>
      </c>
      <c r="H4013" s="19"/>
    </row>
    <row r="4014">
      <c r="A4014" s="9"/>
      <c r="B4014" s="15"/>
      <c r="C4014" s="9">
        <f>IFERROR(__xludf.DUMMYFUNCTION("""COMPUTED_VALUE"""),45102.5651589814)</f>
        <v>45102.56516</v>
      </c>
      <c r="D4014" s="15">
        <f>IFERROR(__xludf.DUMMYFUNCTION("""COMPUTED_VALUE"""),1.0)</f>
        <v>1</v>
      </c>
      <c r="E4014" s="16">
        <f>IFERROR(__xludf.DUMMYFUNCTION("""COMPUTED_VALUE"""),69.0)</f>
        <v>69</v>
      </c>
      <c r="F4014" s="19" t="str">
        <f>IFERROR(__xludf.DUMMYFUNCTION("""COMPUTED_VALUE"""),"BLUE")</f>
        <v>BLUE</v>
      </c>
      <c r="G4014" s="20" t="str">
        <f>IFERROR(__xludf.DUMMYFUNCTION("""COMPUTED_VALUE"""),"Uncle Sams Cider (04/04/2023)")</f>
        <v>Uncle Sams Cider (04/04/2023)</v>
      </c>
      <c r="H4014" s="19"/>
    </row>
    <row r="4015">
      <c r="A4015" s="9"/>
      <c r="B4015" s="15"/>
      <c r="C4015" s="9">
        <f>IFERROR(__xludf.DUMMYFUNCTION("""COMPUTED_VALUE"""),45102.5547264004)</f>
        <v>45102.55473</v>
      </c>
      <c r="D4015" s="15">
        <f>IFERROR(__xludf.DUMMYFUNCTION("""COMPUTED_VALUE"""),1.001)</f>
        <v>1.001</v>
      </c>
      <c r="E4015" s="16">
        <f>IFERROR(__xludf.DUMMYFUNCTION("""COMPUTED_VALUE"""),69.0)</f>
        <v>69</v>
      </c>
      <c r="F4015" s="19" t="str">
        <f>IFERROR(__xludf.DUMMYFUNCTION("""COMPUTED_VALUE"""),"BLUE")</f>
        <v>BLUE</v>
      </c>
      <c r="G4015" s="20" t="str">
        <f>IFERROR(__xludf.DUMMYFUNCTION("""COMPUTED_VALUE"""),"Uncle Sams Cider (04/04/2023)")</f>
        <v>Uncle Sams Cider (04/04/2023)</v>
      </c>
      <c r="H4015" s="19"/>
    </row>
    <row r="4016">
      <c r="A4016" s="9"/>
      <c r="B4016" s="15"/>
      <c r="C4016" s="9">
        <f>IFERROR(__xludf.DUMMYFUNCTION("""COMPUTED_VALUE"""),45102.5443042129)</f>
        <v>45102.5443</v>
      </c>
      <c r="D4016" s="15">
        <f>IFERROR(__xludf.DUMMYFUNCTION("""COMPUTED_VALUE"""),1.001)</f>
        <v>1.001</v>
      </c>
      <c r="E4016" s="16">
        <f>IFERROR(__xludf.DUMMYFUNCTION("""COMPUTED_VALUE"""),69.0)</f>
        <v>69</v>
      </c>
      <c r="F4016" s="19" t="str">
        <f>IFERROR(__xludf.DUMMYFUNCTION("""COMPUTED_VALUE"""),"BLUE")</f>
        <v>BLUE</v>
      </c>
      <c r="G4016" s="20" t="str">
        <f>IFERROR(__xludf.DUMMYFUNCTION("""COMPUTED_VALUE"""),"Uncle Sams Cider (04/04/2023)")</f>
        <v>Uncle Sams Cider (04/04/2023)</v>
      </c>
      <c r="H4016" s="19"/>
    </row>
    <row r="4017">
      <c r="A4017" s="9"/>
      <c r="B4017" s="15"/>
      <c r="C4017" s="9">
        <f>IFERROR(__xludf.DUMMYFUNCTION("""COMPUTED_VALUE"""),45102.533870949)</f>
        <v>45102.53387</v>
      </c>
      <c r="D4017" s="15">
        <f>IFERROR(__xludf.DUMMYFUNCTION("""COMPUTED_VALUE"""),1.0)</f>
        <v>1</v>
      </c>
      <c r="E4017" s="16">
        <f>IFERROR(__xludf.DUMMYFUNCTION("""COMPUTED_VALUE"""),69.0)</f>
        <v>69</v>
      </c>
      <c r="F4017" s="19" t="str">
        <f>IFERROR(__xludf.DUMMYFUNCTION("""COMPUTED_VALUE"""),"BLUE")</f>
        <v>BLUE</v>
      </c>
      <c r="G4017" s="20" t="str">
        <f>IFERROR(__xludf.DUMMYFUNCTION("""COMPUTED_VALUE"""),"Uncle Sams Cider (04/04/2023)")</f>
        <v>Uncle Sams Cider (04/04/2023)</v>
      </c>
      <c r="H4017" s="19"/>
    </row>
    <row r="4018">
      <c r="A4018" s="9"/>
      <c r="B4018" s="15"/>
      <c r="C4018" s="9">
        <f>IFERROR(__xludf.DUMMYFUNCTION("""COMPUTED_VALUE"""),45102.5234381134)</f>
        <v>45102.52344</v>
      </c>
      <c r="D4018" s="15">
        <f>IFERROR(__xludf.DUMMYFUNCTION("""COMPUTED_VALUE"""),1.0)</f>
        <v>1</v>
      </c>
      <c r="E4018" s="16">
        <f>IFERROR(__xludf.DUMMYFUNCTION("""COMPUTED_VALUE"""),69.0)</f>
        <v>69</v>
      </c>
      <c r="F4018" s="19" t="str">
        <f>IFERROR(__xludf.DUMMYFUNCTION("""COMPUTED_VALUE"""),"BLUE")</f>
        <v>BLUE</v>
      </c>
      <c r="G4018" s="20" t="str">
        <f>IFERROR(__xludf.DUMMYFUNCTION("""COMPUTED_VALUE"""),"Uncle Sams Cider (04/04/2023)")</f>
        <v>Uncle Sams Cider (04/04/2023)</v>
      </c>
      <c r="H4018" s="19"/>
    </row>
    <row r="4019">
      <c r="A4019" s="9"/>
      <c r="B4019" s="15"/>
      <c r="C4019" s="9">
        <f>IFERROR(__xludf.DUMMYFUNCTION("""COMPUTED_VALUE"""),45102.5130043981)</f>
        <v>45102.513</v>
      </c>
      <c r="D4019" s="15">
        <f>IFERROR(__xludf.DUMMYFUNCTION("""COMPUTED_VALUE"""),1.001)</f>
        <v>1.001</v>
      </c>
      <c r="E4019" s="16">
        <f>IFERROR(__xludf.DUMMYFUNCTION("""COMPUTED_VALUE"""),69.0)</f>
        <v>69</v>
      </c>
      <c r="F4019" s="19" t="str">
        <f>IFERROR(__xludf.DUMMYFUNCTION("""COMPUTED_VALUE"""),"BLUE")</f>
        <v>BLUE</v>
      </c>
      <c r="G4019" s="20" t="str">
        <f>IFERROR(__xludf.DUMMYFUNCTION("""COMPUTED_VALUE"""),"Uncle Sams Cider (04/04/2023)")</f>
        <v>Uncle Sams Cider (04/04/2023)</v>
      </c>
      <c r="H4019" s="19"/>
    </row>
    <row r="4020">
      <c r="A4020" s="9"/>
      <c r="B4020" s="15"/>
      <c r="C4020" s="9">
        <f>IFERROR(__xludf.DUMMYFUNCTION("""COMPUTED_VALUE"""),45102.5025838078)</f>
        <v>45102.50258</v>
      </c>
      <c r="D4020" s="15">
        <f>IFERROR(__xludf.DUMMYFUNCTION("""COMPUTED_VALUE"""),1.0)</f>
        <v>1</v>
      </c>
      <c r="E4020" s="16">
        <f>IFERROR(__xludf.DUMMYFUNCTION("""COMPUTED_VALUE"""),69.0)</f>
        <v>69</v>
      </c>
      <c r="F4020" s="19" t="str">
        <f>IFERROR(__xludf.DUMMYFUNCTION("""COMPUTED_VALUE"""),"BLUE")</f>
        <v>BLUE</v>
      </c>
      <c r="G4020" s="20" t="str">
        <f>IFERROR(__xludf.DUMMYFUNCTION("""COMPUTED_VALUE"""),"Uncle Sams Cider (04/04/2023)")</f>
        <v>Uncle Sams Cider (04/04/2023)</v>
      </c>
      <c r="H4020" s="19"/>
    </row>
    <row r="4021">
      <c r="A4021" s="9"/>
      <c r="B4021" s="15"/>
      <c r="C4021" s="9">
        <f>IFERROR(__xludf.DUMMYFUNCTION("""COMPUTED_VALUE"""),45102.4921640046)</f>
        <v>45102.49216</v>
      </c>
      <c r="D4021" s="15">
        <f>IFERROR(__xludf.DUMMYFUNCTION("""COMPUTED_VALUE"""),1.0)</f>
        <v>1</v>
      </c>
      <c r="E4021" s="16">
        <f>IFERROR(__xludf.DUMMYFUNCTION("""COMPUTED_VALUE"""),69.0)</f>
        <v>69</v>
      </c>
      <c r="F4021" s="19" t="str">
        <f>IFERROR(__xludf.DUMMYFUNCTION("""COMPUTED_VALUE"""),"BLUE")</f>
        <v>BLUE</v>
      </c>
      <c r="G4021" s="20" t="str">
        <f>IFERROR(__xludf.DUMMYFUNCTION("""COMPUTED_VALUE"""),"Uncle Sams Cider (04/04/2023)")</f>
        <v>Uncle Sams Cider (04/04/2023)</v>
      </c>
      <c r="H4021" s="19"/>
    </row>
    <row r="4022">
      <c r="A4022" s="9"/>
      <c r="B4022" s="15"/>
      <c r="C4022" s="9">
        <f>IFERROR(__xludf.DUMMYFUNCTION("""COMPUTED_VALUE"""),45102.4817337037)</f>
        <v>45102.48173</v>
      </c>
      <c r="D4022" s="15">
        <f>IFERROR(__xludf.DUMMYFUNCTION("""COMPUTED_VALUE"""),1.001)</f>
        <v>1.001</v>
      </c>
      <c r="E4022" s="16">
        <f>IFERROR(__xludf.DUMMYFUNCTION("""COMPUTED_VALUE"""),69.0)</f>
        <v>69</v>
      </c>
      <c r="F4022" s="19" t="str">
        <f>IFERROR(__xludf.DUMMYFUNCTION("""COMPUTED_VALUE"""),"BLUE")</f>
        <v>BLUE</v>
      </c>
      <c r="G4022" s="20" t="str">
        <f>IFERROR(__xludf.DUMMYFUNCTION("""COMPUTED_VALUE"""),"Uncle Sams Cider (04/04/2023)")</f>
        <v>Uncle Sams Cider (04/04/2023)</v>
      </c>
      <c r="H4022" s="19"/>
    </row>
    <row r="4023">
      <c r="A4023" s="9"/>
      <c r="B4023" s="15"/>
      <c r="C4023" s="9">
        <f>IFERROR(__xludf.DUMMYFUNCTION("""COMPUTED_VALUE"""),45102.4713115046)</f>
        <v>45102.47131</v>
      </c>
      <c r="D4023" s="15">
        <f>IFERROR(__xludf.DUMMYFUNCTION("""COMPUTED_VALUE"""),1.0)</f>
        <v>1</v>
      </c>
      <c r="E4023" s="16">
        <f>IFERROR(__xludf.DUMMYFUNCTION("""COMPUTED_VALUE"""),69.0)</f>
        <v>69</v>
      </c>
      <c r="F4023" s="19" t="str">
        <f>IFERROR(__xludf.DUMMYFUNCTION("""COMPUTED_VALUE"""),"BLUE")</f>
        <v>BLUE</v>
      </c>
      <c r="G4023" s="20" t="str">
        <f>IFERROR(__xludf.DUMMYFUNCTION("""COMPUTED_VALUE"""),"Uncle Sams Cider (04/04/2023)")</f>
        <v>Uncle Sams Cider (04/04/2023)</v>
      </c>
      <c r="H4023" s="19"/>
    </row>
    <row r="4024">
      <c r="A4024" s="9"/>
      <c r="B4024" s="15"/>
      <c r="C4024" s="9">
        <f>IFERROR(__xludf.DUMMYFUNCTION("""COMPUTED_VALUE"""),45102.4608898958)</f>
        <v>45102.46089</v>
      </c>
      <c r="D4024" s="15">
        <f>IFERROR(__xludf.DUMMYFUNCTION("""COMPUTED_VALUE"""),1.001)</f>
        <v>1.001</v>
      </c>
      <c r="E4024" s="16">
        <f>IFERROR(__xludf.DUMMYFUNCTION("""COMPUTED_VALUE"""),69.0)</f>
        <v>69</v>
      </c>
      <c r="F4024" s="19" t="str">
        <f>IFERROR(__xludf.DUMMYFUNCTION("""COMPUTED_VALUE"""),"BLUE")</f>
        <v>BLUE</v>
      </c>
      <c r="G4024" s="20" t="str">
        <f>IFERROR(__xludf.DUMMYFUNCTION("""COMPUTED_VALUE"""),"Uncle Sams Cider (04/04/2023)")</f>
        <v>Uncle Sams Cider (04/04/2023)</v>
      </c>
      <c r="H4024" s="19"/>
    </row>
    <row r="4025">
      <c r="A4025" s="9"/>
      <c r="B4025" s="15"/>
      <c r="C4025" s="9">
        <f>IFERROR(__xludf.DUMMYFUNCTION("""COMPUTED_VALUE"""),45102.450467662)</f>
        <v>45102.45047</v>
      </c>
      <c r="D4025" s="15">
        <f>IFERROR(__xludf.DUMMYFUNCTION("""COMPUTED_VALUE"""),1.0)</f>
        <v>1</v>
      </c>
      <c r="E4025" s="16">
        <f>IFERROR(__xludf.DUMMYFUNCTION("""COMPUTED_VALUE"""),69.0)</f>
        <v>69</v>
      </c>
      <c r="F4025" s="19" t="str">
        <f>IFERROR(__xludf.DUMMYFUNCTION("""COMPUTED_VALUE"""),"BLUE")</f>
        <v>BLUE</v>
      </c>
      <c r="G4025" s="20" t="str">
        <f>IFERROR(__xludf.DUMMYFUNCTION("""COMPUTED_VALUE"""),"Uncle Sams Cider (04/04/2023)")</f>
        <v>Uncle Sams Cider (04/04/2023)</v>
      </c>
      <c r="H4025" s="19"/>
    </row>
    <row r="4026">
      <c r="A4026" s="9"/>
      <c r="B4026" s="15"/>
      <c r="C4026" s="9">
        <f>IFERROR(__xludf.DUMMYFUNCTION("""COMPUTED_VALUE"""),45102.4400479976)</f>
        <v>45102.44005</v>
      </c>
      <c r="D4026" s="15">
        <f>IFERROR(__xludf.DUMMYFUNCTION("""COMPUTED_VALUE"""),1.001)</f>
        <v>1.001</v>
      </c>
      <c r="E4026" s="16">
        <f>IFERROR(__xludf.DUMMYFUNCTION("""COMPUTED_VALUE"""),69.0)</f>
        <v>69</v>
      </c>
      <c r="F4026" s="19" t="str">
        <f>IFERROR(__xludf.DUMMYFUNCTION("""COMPUTED_VALUE"""),"BLUE")</f>
        <v>BLUE</v>
      </c>
      <c r="G4026" s="20" t="str">
        <f>IFERROR(__xludf.DUMMYFUNCTION("""COMPUTED_VALUE"""),"Uncle Sams Cider (04/04/2023)")</f>
        <v>Uncle Sams Cider (04/04/2023)</v>
      </c>
      <c r="H4026" s="19"/>
    </row>
    <row r="4027">
      <c r="A4027" s="9"/>
      <c r="B4027" s="15"/>
      <c r="C4027" s="9">
        <f>IFERROR(__xludf.DUMMYFUNCTION("""COMPUTED_VALUE"""),45102.4296273958)</f>
        <v>45102.42963</v>
      </c>
      <c r="D4027" s="15">
        <f>IFERROR(__xludf.DUMMYFUNCTION("""COMPUTED_VALUE"""),1.001)</f>
        <v>1.001</v>
      </c>
      <c r="E4027" s="16">
        <f>IFERROR(__xludf.DUMMYFUNCTION("""COMPUTED_VALUE"""),69.0)</f>
        <v>69</v>
      </c>
      <c r="F4027" s="19" t="str">
        <f>IFERROR(__xludf.DUMMYFUNCTION("""COMPUTED_VALUE"""),"BLUE")</f>
        <v>BLUE</v>
      </c>
      <c r="G4027" s="20" t="str">
        <f>IFERROR(__xludf.DUMMYFUNCTION("""COMPUTED_VALUE"""),"Uncle Sams Cider (04/04/2023)")</f>
        <v>Uncle Sams Cider (04/04/2023)</v>
      </c>
      <c r="H4027" s="19"/>
    </row>
    <row r="4028">
      <c r="A4028" s="9"/>
      <c r="B4028" s="15"/>
      <c r="C4028" s="9">
        <f>IFERROR(__xludf.DUMMYFUNCTION("""COMPUTED_VALUE"""),45102.4192065277)</f>
        <v>45102.41921</v>
      </c>
      <c r="D4028" s="15">
        <f>IFERROR(__xludf.DUMMYFUNCTION("""COMPUTED_VALUE"""),1.0)</f>
        <v>1</v>
      </c>
      <c r="E4028" s="16">
        <f>IFERROR(__xludf.DUMMYFUNCTION("""COMPUTED_VALUE"""),69.0)</f>
        <v>69</v>
      </c>
      <c r="F4028" s="19" t="str">
        <f>IFERROR(__xludf.DUMMYFUNCTION("""COMPUTED_VALUE"""),"BLUE")</f>
        <v>BLUE</v>
      </c>
      <c r="G4028" s="20" t="str">
        <f>IFERROR(__xludf.DUMMYFUNCTION("""COMPUTED_VALUE"""),"Uncle Sams Cider (04/04/2023)")</f>
        <v>Uncle Sams Cider (04/04/2023)</v>
      </c>
      <c r="H4028" s="19"/>
    </row>
    <row r="4029">
      <c r="A4029" s="9"/>
      <c r="B4029" s="15"/>
      <c r="C4029" s="9">
        <f>IFERROR(__xludf.DUMMYFUNCTION("""COMPUTED_VALUE"""),45102.4087846064)</f>
        <v>45102.40878</v>
      </c>
      <c r="D4029" s="15">
        <f>IFERROR(__xludf.DUMMYFUNCTION("""COMPUTED_VALUE"""),1.001)</f>
        <v>1.001</v>
      </c>
      <c r="E4029" s="16">
        <f>IFERROR(__xludf.DUMMYFUNCTION("""COMPUTED_VALUE"""),69.0)</f>
        <v>69</v>
      </c>
      <c r="F4029" s="19" t="str">
        <f>IFERROR(__xludf.DUMMYFUNCTION("""COMPUTED_VALUE"""),"BLUE")</f>
        <v>BLUE</v>
      </c>
      <c r="G4029" s="20" t="str">
        <f>IFERROR(__xludf.DUMMYFUNCTION("""COMPUTED_VALUE"""),"Uncle Sams Cider (04/04/2023)")</f>
        <v>Uncle Sams Cider (04/04/2023)</v>
      </c>
      <c r="H4029" s="19"/>
    </row>
    <row r="4030">
      <c r="A4030" s="9"/>
      <c r="B4030" s="15"/>
      <c r="C4030" s="9">
        <f>IFERROR(__xludf.DUMMYFUNCTION("""COMPUTED_VALUE"""),45102.398351412)</f>
        <v>45102.39835</v>
      </c>
      <c r="D4030" s="15">
        <f>IFERROR(__xludf.DUMMYFUNCTION("""COMPUTED_VALUE"""),1.001)</f>
        <v>1.001</v>
      </c>
      <c r="E4030" s="16">
        <f>IFERROR(__xludf.DUMMYFUNCTION("""COMPUTED_VALUE"""),69.0)</f>
        <v>69</v>
      </c>
      <c r="F4030" s="19" t="str">
        <f>IFERROR(__xludf.DUMMYFUNCTION("""COMPUTED_VALUE"""),"BLUE")</f>
        <v>BLUE</v>
      </c>
      <c r="G4030" s="20" t="str">
        <f>IFERROR(__xludf.DUMMYFUNCTION("""COMPUTED_VALUE"""),"Uncle Sams Cider (04/04/2023)")</f>
        <v>Uncle Sams Cider (04/04/2023)</v>
      </c>
      <c r="H4030" s="19"/>
    </row>
    <row r="4031">
      <c r="A4031" s="9"/>
      <c r="B4031" s="15"/>
      <c r="C4031" s="9">
        <f>IFERROR(__xludf.DUMMYFUNCTION("""COMPUTED_VALUE"""),45102.3879317592)</f>
        <v>45102.38793</v>
      </c>
      <c r="D4031" s="15">
        <f>IFERROR(__xludf.DUMMYFUNCTION("""COMPUTED_VALUE"""),1.001)</f>
        <v>1.001</v>
      </c>
      <c r="E4031" s="16">
        <f>IFERROR(__xludf.DUMMYFUNCTION("""COMPUTED_VALUE"""),69.0)</f>
        <v>69</v>
      </c>
      <c r="F4031" s="19" t="str">
        <f>IFERROR(__xludf.DUMMYFUNCTION("""COMPUTED_VALUE"""),"BLUE")</f>
        <v>BLUE</v>
      </c>
      <c r="G4031" s="20" t="str">
        <f>IFERROR(__xludf.DUMMYFUNCTION("""COMPUTED_VALUE"""),"Uncle Sams Cider (04/04/2023)")</f>
        <v>Uncle Sams Cider (04/04/2023)</v>
      </c>
      <c r="H4031" s="19"/>
    </row>
    <row r="4032">
      <c r="A4032" s="9"/>
      <c r="B4032" s="15"/>
      <c r="C4032" s="9">
        <f>IFERROR(__xludf.DUMMYFUNCTION("""COMPUTED_VALUE"""),45102.3775108564)</f>
        <v>45102.37751</v>
      </c>
      <c r="D4032" s="15">
        <f>IFERROR(__xludf.DUMMYFUNCTION("""COMPUTED_VALUE"""),1.001)</f>
        <v>1.001</v>
      </c>
      <c r="E4032" s="16">
        <f>IFERROR(__xludf.DUMMYFUNCTION("""COMPUTED_VALUE"""),69.0)</f>
        <v>69</v>
      </c>
      <c r="F4032" s="19" t="str">
        <f>IFERROR(__xludf.DUMMYFUNCTION("""COMPUTED_VALUE"""),"BLUE")</f>
        <v>BLUE</v>
      </c>
      <c r="G4032" s="20" t="str">
        <f>IFERROR(__xludf.DUMMYFUNCTION("""COMPUTED_VALUE"""),"Uncle Sams Cider (04/04/2023)")</f>
        <v>Uncle Sams Cider (04/04/2023)</v>
      </c>
      <c r="H4032" s="19"/>
    </row>
    <row r="4033">
      <c r="A4033" s="9"/>
      <c r="B4033" s="15"/>
      <c r="C4033" s="9">
        <f>IFERROR(__xludf.DUMMYFUNCTION("""COMPUTED_VALUE"""),45102.3670905092)</f>
        <v>45102.36709</v>
      </c>
      <c r="D4033" s="15">
        <f>IFERROR(__xludf.DUMMYFUNCTION("""COMPUTED_VALUE"""),1.0)</f>
        <v>1</v>
      </c>
      <c r="E4033" s="16">
        <f>IFERROR(__xludf.DUMMYFUNCTION("""COMPUTED_VALUE"""),69.0)</f>
        <v>69</v>
      </c>
      <c r="F4033" s="19" t="str">
        <f>IFERROR(__xludf.DUMMYFUNCTION("""COMPUTED_VALUE"""),"BLUE")</f>
        <v>BLUE</v>
      </c>
      <c r="G4033" s="20" t="str">
        <f>IFERROR(__xludf.DUMMYFUNCTION("""COMPUTED_VALUE"""),"Uncle Sams Cider (04/04/2023)")</f>
        <v>Uncle Sams Cider (04/04/2023)</v>
      </c>
      <c r="H4033" s="19"/>
    </row>
    <row r="4034">
      <c r="A4034" s="9"/>
      <c r="B4034" s="15"/>
      <c r="C4034" s="9">
        <f>IFERROR(__xludf.DUMMYFUNCTION("""COMPUTED_VALUE"""),45102.3566684838)</f>
        <v>45102.35667</v>
      </c>
      <c r="D4034" s="15">
        <f>IFERROR(__xludf.DUMMYFUNCTION("""COMPUTED_VALUE"""),1.0)</f>
        <v>1</v>
      </c>
      <c r="E4034" s="16">
        <f>IFERROR(__xludf.DUMMYFUNCTION("""COMPUTED_VALUE"""),69.0)</f>
        <v>69</v>
      </c>
      <c r="F4034" s="19" t="str">
        <f>IFERROR(__xludf.DUMMYFUNCTION("""COMPUTED_VALUE"""),"BLUE")</f>
        <v>BLUE</v>
      </c>
      <c r="G4034" s="20" t="str">
        <f>IFERROR(__xludf.DUMMYFUNCTION("""COMPUTED_VALUE"""),"Uncle Sams Cider (04/04/2023)")</f>
        <v>Uncle Sams Cider (04/04/2023)</v>
      </c>
      <c r="H4034" s="19"/>
    </row>
    <row r="4035">
      <c r="A4035" s="9"/>
      <c r="B4035" s="15"/>
      <c r="C4035" s="9">
        <f>IFERROR(__xludf.DUMMYFUNCTION("""COMPUTED_VALUE"""),45102.3462481944)</f>
        <v>45102.34625</v>
      </c>
      <c r="D4035" s="15">
        <f>IFERROR(__xludf.DUMMYFUNCTION("""COMPUTED_VALUE"""),1.001)</f>
        <v>1.001</v>
      </c>
      <c r="E4035" s="16">
        <f>IFERROR(__xludf.DUMMYFUNCTION("""COMPUTED_VALUE"""),69.0)</f>
        <v>69</v>
      </c>
      <c r="F4035" s="19" t="str">
        <f>IFERROR(__xludf.DUMMYFUNCTION("""COMPUTED_VALUE"""),"BLUE")</f>
        <v>BLUE</v>
      </c>
      <c r="G4035" s="20" t="str">
        <f>IFERROR(__xludf.DUMMYFUNCTION("""COMPUTED_VALUE"""),"Uncle Sams Cider (04/04/2023)")</f>
        <v>Uncle Sams Cider (04/04/2023)</v>
      </c>
      <c r="H4035" s="19"/>
    </row>
    <row r="4036">
      <c r="A4036" s="9"/>
      <c r="B4036" s="15"/>
      <c r="C4036" s="9">
        <f>IFERROR(__xludf.DUMMYFUNCTION("""COMPUTED_VALUE"""),45102.3358252893)</f>
        <v>45102.33583</v>
      </c>
      <c r="D4036" s="15">
        <f>IFERROR(__xludf.DUMMYFUNCTION("""COMPUTED_VALUE"""),1.001)</f>
        <v>1.001</v>
      </c>
      <c r="E4036" s="16">
        <f>IFERROR(__xludf.DUMMYFUNCTION("""COMPUTED_VALUE"""),69.0)</f>
        <v>69</v>
      </c>
      <c r="F4036" s="19" t="str">
        <f>IFERROR(__xludf.DUMMYFUNCTION("""COMPUTED_VALUE"""),"BLUE")</f>
        <v>BLUE</v>
      </c>
      <c r="G4036" s="20" t="str">
        <f>IFERROR(__xludf.DUMMYFUNCTION("""COMPUTED_VALUE"""),"Uncle Sams Cider (04/04/2023)")</f>
        <v>Uncle Sams Cider (04/04/2023)</v>
      </c>
      <c r="H4036" s="19"/>
    </row>
    <row r="4037">
      <c r="A4037" s="9"/>
      <c r="B4037" s="15"/>
      <c r="C4037" s="9">
        <f>IFERROR(__xludf.DUMMYFUNCTION("""COMPUTED_VALUE"""),45102.3254031712)</f>
        <v>45102.3254</v>
      </c>
      <c r="D4037" s="15">
        <f>IFERROR(__xludf.DUMMYFUNCTION("""COMPUTED_VALUE"""),1.001)</f>
        <v>1.001</v>
      </c>
      <c r="E4037" s="16">
        <f>IFERROR(__xludf.DUMMYFUNCTION("""COMPUTED_VALUE"""),69.0)</f>
        <v>69</v>
      </c>
      <c r="F4037" s="19" t="str">
        <f>IFERROR(__xludf.DUMMYFUNCTION("""COMPUTED_VALUE"""),"BLUE")</f>
        <v>BLUE</v>
      </c>
      <c r="G4037" s="20" t="str">
        <f>IFERROR(__xludf.DUMMYFUNCTION("""COMPUTED_VALUE"""),"Uncle Sams Cider (04/04/2023)")</f>
        <v>Uncle Sams Cider (04/04/2023)</v>
      </c>
      <c r="H4037" s="19"/>
    </row>
    <row r="4038">
      <c r="A4038" s="9"/>
      <c r="B4038" s="15"/>
      <c r="C4038" s="9">
        <f>IFERROR(__xludf.DUMMYFUNCTION("""COMPUTED_VALUE"""),45102.3149840393)</f>
        <v>45102.31498</v>
      </c>
      <c r="D4038" s="15">
        <f>IFERROR(__xludf.DUMMYFUNCTION("""COMPUTED_VALUE"""),1.001)</f>
        <v>1.001</v>
      </c>
      <c r="E4038" s="16">
        <f>IFERROR(__xludf.DUMMYFUNCTION("""COMPUTED_VALUE"""),69.0)</f>
        <v>69</v>
      </c>
      <c r="F4038" s="19" t="str">
        <f>IFERROR(__xludf.DUMMYFUNCTION("""COMPUTED_VALUE"""),"BLUE")</f>
        <v>BLUE</v>
      </c>
      <c r="G4038" s="20" t="str">
        <f>IFERROR(__xludf.DUMMYFUNCTION("""COMPUTED_VALUE"""),"Uncle Sams Cider (04/04/2023)")</f>
        <v>Uncle Sams Cider (04/04/2023)</v>
      </c>
      <c r="H4038" s="19"/>
    </row>
    <row r="4039">
      <c r="A4039" s="9"/>
      <c r="B4039" s="15"/>
      <c r="C4039" s="9">
        <f>IFERROR(__xludf.DUMMYFUNCTION("""COMPUTED_VALUE"""),45102.3045638425)</f>
        <v>45102.30456</v>
      </c>
      <c r="D4039" s="15">
        <f>IFERROR(__xludf.DUMMYFUNCTION("""COMPUTED_VALUE"""),1.001)</f>
        <v>1.001</v>
      </c>
      <c r="E4039" s="16">
        <f>IFERROR(__xludf.DUMMYFUNCTION("""COMPUTED_VALUE"""),69.0)</f>
        <v>69</v>
      </c>
      <c r="F4039" s="19" t="str">
        <f>IFERROR(__xludf.DUMMYFUNCTION("""COMPUTED_VALUE"""),"BLUE")</f>
        <v>BLUE</v>
      </c>
      <c r="G4039" s="20" t="str">
        <f>IFERROR(__xludf.DUMMYFUNCTION("""COMPUTED_VALUE"""),"Uncle Sams Cider (04/04/2023)")</f>
        <v>Uncle Sams Cider (04/04/2023)</v>
      </c>
      <c r="H4039" s="19"/>
    </row>
    <row r="4040">
      <c r="A4040" s="9"/>
      <c r="B4040" s="15"/>
      <c r="C4040" s="9">
        <f>IFERROR(__xludf.DUMMYFUNCTION("""COMPUTED_VALUE"""),45102.2941407291)</f>
        <v>45102.29414</v>
      </c>
      <c r="D4040" s="15">
        <f>IFERROR(__xludf.DUMMYFUNCTION("""COMPUTED_VALUE"""),1.001)</f>
        <v>1.001</v>
      </c>
      <c r="E4040" s="16">
        <f>IFERROR(__xludf.DUMMYFUNCTION("""COMPUTED_VALUE"""),69.0)</f>
        <v>69</v>
      </c>
      <c r="F4040" s="19" t="str">
        <f>IFERROR(__xludf.DUMMYFUNCTION("""COMPUTED_VALUE"""),"BLUE")</f>
        <v>BLUE</v>
      </c>
      <c r="G4040" s="20" t="str">
        <f>IFERROR(__xludf.DUMMYFUNCTION("""COMPUTED_VALUE"""),"Uncle Sams Cider (04/04/2023)")</f>
        <v>Uncle Sams Cider (04/04/2023)</v>
      </c>
      <c r="H4040" s="19"/>
    </row>
    <row r="4041">
      <c r="A4041" s="9"/>
      <c r="B4041" s="15"/>
      <c r="C4041" s="9">
        <f>IFERROR(__xludf.DUMMYFUNCTION("""COMPUTED_VALUE"""),45102.2837085995)</f>
        <v>45102.28371</v>
      </c>
      <c r="D4041" s="15">
        <f>IFERROR(__xludf.DUMMYFUNCTION("""COMPUTED_VALUE"""),1.001)</f>
        <v>1.001</v>
      </c>
      <c r="E4041" s="16">
        <f>IFERROR(__xludf.DUMMYFUNCTION("""COMPUTED_VALUE"""),69.0)</f>
        <v>69</v>
      </c>
      <c r="F4041" s="19" t="str">
        <f>IFERROR(__xludf.DUMMYFUNCTION("""COMPUTED_VALUE"""),"BLUE")</f>
        <v>BLUE</v>
      </c>
      <c r="G4041" s="20" t="str">
        <f>IFERROR(__xludf.DUMMYFUNCTION("""COMPUTED_VALUE"""),"Uncle Sams Cider (04/04/2023)")</f>
        <v>Uncle Sams Cider (04/04/2023)</v>
      </c>
      <c r="H4041" s="19"/>
    </row>
    <row r="4042">
      <c r="A4042" s="9"/>
      <c r="B4042" s="15"/>
      <c r="C4042" s="9">
        <f>IFERROR(__xludf.DUMMYFUNCTION("""COMPUTED_VALUE"""),45102.2732865277)</f>
        <v>45102.27329</v>
      </c>
      <c r="D4042" s="15">
        <f>IFERROR(__xludf.DUMMYFUNCTION("""COMPUTED_VALUE"""),1.001)</f>
        <v>1.001</v>
      </c>
      <c r="E4042" s="16">
        <f>IFERROR(__xludf.DUMMYFUNCTION("""COMPUTED_VALUE"""),69.0)</f>
        <v>69</v>
      </c>
      <c r="F4042" s="19" t="str">
        <f>IFERROR(__xludf.DUMMYFUNCTION("""COMPUTED_VALUE"""),"BLUE")</f>
        <v>BLUE</v>
      </c>
      <c r="G4042" s="20" t="str">
        <f>IFERROR(__xludf.DUMMYFUNCTION("""COMPUTED_VALUE"""),"Uncle Sams Cider (04/04/2023)")</f>
        <v>Uncle Sams Cider (04/04/2023)</v>
      </c>
      <c r="H4042" s="19"/>
    </row>
    <row r="4043">
      <c r="A4043" s="9"/>
      <c r="B4043" s="15"/>
      <c r="C4043" s="9">
        <f>IFERROR(__xludf.DUMMYFUNCTION("""COMPUTED_VALUE"""),45102.2628553935)</f>
        <v>45102.26286</v>
      </c>
      <c r="D4043" s="15">
        <f>IFERROR(__xludf.DUMMYFUNCTION("""COMPUTED_VALUE"""),1.001)</f>
        <v>1.001</v>
      </c>
      <c r="E4043" s="16">
        <f>IFERROR(__xludf.DUMMYFUNCTION("""COMPUTED_VALUE"""),69.0)</f>
        <v>69</v>
      </c>
      <c r="F4043" s="19" t="str">
        <f>IFERROR(__xludf.DUMMYFUNCTION("""COMPUTED_VALUE"""),"BLUE")</f>
        <v>BLUE</v>
      </c>
      <c r="G4043" s="20" t="str">
        <f>IFERROR(__xludf.DUMMYFUNCTION("""COMPUTED_VALUE"""),"Uncle Sams Cider (04/04/2023)")</f>
        <v>Uncle Sams Cider (04/04/2023)</v>
      </c>
      <c r="H4043" s="19"/>
    </row>
    <row r="4044">
      <c r="A4044" s="9"/>
      <c r="B4044" s="15"/>
      <c r="C4044" s="9">
        <f>IFERROR(__xludf.DUMMYFUNCTION("""COMPUTED_VALUE"""),45102.252434074)</f>
        <v>45102.25243</v>
      </c>
      <c r="D4044" s="15">
        <f>IFERROR(__xludf.DUMMYFUNCTION("""COMPUTED_VALUE"""),1.001)</f>
        <v>1.001</v>
      </c>
      <c r="E4044" s="16">
        <f>IFERROR(__xludf.DUMMYFUNCTION("""COMPUTED_VALUE"""),69.0)</f>
        <v>69</v>
      </c>
      <c r="F4044" s="19" t="str">
        <f>IFERROR(__xludf.DUMMYFUNCTION("""COMPUTED_VALUE"""),"BLUE")</f>
        <v>BLUE</v>
      </c>
      <c r="G4044" s="20" t="str">
        <f>IFERROR(__xludf.DUMMYFUNCTION("""COMPUTED_VALUE"""),"Uncle Sams Cider (04/04/2023)")</f>
        <v>Uncle Sams Cider (04/04/2023)</v>
      </c>
      <c r="H4044" s="19"/>
    </row>
    <row r="4045">
      <c r="A4045" s="9"/>
      <c r="B4045" s="15"/>
      <c r="C4045" s="9">
        <f>IFERROR(__xludf.DUMMYFUNCTION("""COMPUTED_VALUE"""),45102.2420118055)</f>
        <v>45102.24201</v>
      </c>
      <c r="D4045" s="15">
        <f>IFERROR(__xludf.DUMMYFUNCTION("""COMPUTED_VALUE"""),1.001)</f>
        <v>1.001</v>
      </c>
      <c r="E4045" s="16">
        <f>IFERROR(__xludf.DUMMYFUNCTION("""COMPUTED_VALUE"""),69.0)</f>
        <v>69</v>
      </c>
      <c r="F4045" s="19" t="str">
        <f>IFERROR(__xludf.DUMMYFUNCTION("""COMPUTED_VALUE"""),"BLUE")</f>
        <v>BLUE</v>
      </c>
      <c r="G4045" s="20" t="str">
        <f>IFERROR(__xludf.DUMMYFUNCTION("""COMPUTED_VALUE"""),"Uncle Sams Cider (04/04/2023)")</f>
        <v>Uncle Sams Cider (04/04/2023)</v>
      </c>
      <c r="H4045" s="19"/>
    </row>
    <row r="4046">
      <c r="A4046" s="9"/>
      <c r="B4046" s="15"/>
      <c r="C4046" s="9">
        <f>IFERROR(__xludf.DUMMYFUNCTION("""COMPUTED_VALUE"""),45102.23159125)</f>
        <v>45102.23159</v>
      </c>
      <c r="D4046" s="15">
        <f>IFERROR(__xludf.DUMMYFUNCTION("""COMPUTED_VALUE"""),1.0)</f>
        <v>1</v>
      </c>
      <c r="E4046" s="16">
        <f>IFERROR(__xludf.DUMMYFUNCTION("""COMPUTED_VALUE"""),69.0)</f>
        <v>69</v>
      </c>
      <c r="F4046" s="19" t="str">
        <f>IFERROR(__xludf.DUMMYFUNCTION("""COMPUTED_VALUE"""),"BLUE")</f>
        <v>BLUE</v>
      </c>
      <c r="G4046" s="20" t="str">
        <f>IFERROR(__xludf.DUMMYFUNCTION("""COMPUTED_VALUE"""),"Uncle Sams Cider (04/04/2023)")</f>
        <v>Uncle Sams Cider (04/04/2023)</v>
      </c>
      <c r="H4046" s="19"/>
    </row>
    <row r="4047">
      <c r="A4047" s="9"/>
      <c r="B4047" s="15"/>
      <c r="C4047" s="9">
        <f>IFERROR(__xludf.DUMMYFUNCTION("""COMPUTED_VALUE"""),45102.2211582638)</f>
        <v>45102.22116</v>
      </c>
      <c r="D4047" s="15">
        <f>IFERROR(__xludf.DUMMYFUNCTION("""COMPUTED_VALUE"""),1.001)</f>
        <v>1.001</v>
      </c>
      <c r="E4047" s="16">
        <f>IFERROR(__xludf.DUMMYFUNCTION("""COMPUTED_VALUE"""),69.0)</f>
        <v>69</v>
      </c>
      <c r="F4047" s="19" t="str">
        <f>IFERROR(__xludf.DUMMYFUNCTION("""COMPUTED_VALUE"""),"BLUE")</f>
        <v>BLUE</v>
      </c>
      <c r="G4047" s="20" t="str">
        <f>IFERROR(__xludf.DUMMYFUNCTION("""COMPUTED_VALUE"""),"Uncle Sams Cider (04/04/2023)")</f>
        <v>Uncle Sams Cider (04/04/2023)</v>
      </c>
      <c r="H4047" s="19"/>
    </row>
    <row r="4048">
      <c r="A4048" s="9"/>
      <c r="B4048" s="15"/>
      <c r="C4048" s="9">
        <f>IFERROR(__xludf.DUMMYFUNCTION("""COMPUTED_VALUE"""),45102.2107346643)</f>
        <v>45102.21073</v>
      </c>
      <c r="D4048" s="15">
        <f>IFERROR(__xludf.DUMMYFUNCTION("""COMPUTED_VALUE"""),1.0)</f>
        <v>1</v>
      </c>
      <c r="E4048" s="16">
        <f>IFERROR(__xludf.DUMMYFUNCTION("""COMPUTED_VALUE"""),69.0)</f>
        <v>69</v>
      </c>
      <c r="F4048" s="19" t="str">
        <f>IFERROR(__xludf.DUMMYFUNCTION("""COMPUTED_VALUE"""),"BLUE")</f>
        <v>BLUE</v>
      </c>
      <c r="G4048" s="20" t="str">
        <f>IFERROR(__xludf.DUMMYFUNCTION("""COMPUTED_VALUE"""),"Uncle Sams Cider (04/04/2023)")</f>
        <v>Uncle Sams Cider (04/04/2023)</v>
      </c>
      <c r="H4048" s="19"/>
    </row>
    <row r="4049">
      <c r="A4049" s="9"/>
      <c r="B4049" s="15"/>
      <c r="C4049" s="9">
        <f>IFERROR(__xludf.DUMMYFUNCTION("""COMPUTED_VALUE"""),45102.2002998958)</f>
        <v>45102.2003</v>
      </c>
      <c r="D4049" s="15">
        <f>IFERROR(__xludf.DUMMYFUNCTION("""COMPUTED_VALUE"""),1.0)</f>
        <v>1</v>
      </c>
      <c r="E4049" s="16">
        <f>IFERROR(__xludf.DUMMYFUNCTION("""COMPUTED_VALUE"""),69.0)</f>
        <v>69</v>
      </c>
      <c r="F4049" s="19" t="str">
        <f>IFERROR(__xludf.DUMMYFUNCTION("""COMPUTED_VALUE"""),"BLUE")</f>
        <v>BLUE</v>
      </c>
      <c r="G4049" s="20" t="str">
        <f>IFERROR(__xludf.DUMMYFUNCTION("""COMPUTED_VALUE"""),"Uncle Sams Cider (04/04/2023)")</f>
        <v>Uncle Sams Cider (04/04/2023)</v>
      </c>
      <c r="H4049" s="19"/>
    </row>
    <row r="4050">
      <c r="A4050" s="9"/>
      <c r="B4050" s="15"/>
      <c r="C4050" s="9">
        <f>IFERROR(__xludf.DUMMYFUNCTION("""COMPUTED_VALUE"""),45102.1898804513)</f>
        <v>45102.18988</v>
      </c>
      <c r="D4050" s="15">
        <f>IFERROR(__xludf.DUMMYFUNCTION("""COMPUTED_VALUE"""),1.001)</f>
        <v>1.001</v>
      </c>
      <c r="E4050" s="16">
        <f>IFERROR(__xludf.DUMMYFUNCTION("""COMPUTED_VALUE"""),69.0)</f>
        <v>69</v>
      </c>
      <c r="F4050" s="19" t="str">
        <f>IFERROR(__xludf.DUMMYFUNCTION("""COMPUTED_VALUE"""),"BLUE")</f>
        <v>BLUE</v>
      </c>
      <c r="G4050" s="20" t="str">
        <f>IFERROR(__xludf.DUMMYFUNCTION("""COMPUTED_VALUE"""),"Uncle Sams Cider (04/04/2023)")</f>
        <v>Uncle Sams Cider (04/04/2023)</v>
      </c>
      <c r="H4050" s="19"/>
    </row>
    <row r="4051">
      <c r="A4051" s="9"/>
      <c r="B4051" s="15"/>
      <c r="C4051" s="9">
        <f>IFERROR(__xludf.DUMMYFUNCTION("""COMPUTED_VALUE"""),45102.1794617824)</f>
        <v>45102.17946</v>
      </c>
      <c r="D4051" s="15">
        <f>IFERROR(__xludf.DUMMYFUNCTION("""COMPUTED_VALUE"""),1.001)</f>
        <v>1.001</v>
      </c>
      <c r="E4051" s="16">
        <f>IFERROR(__xludf.DUMMYFUNCTION("""COMPUTED_VALUE"""),69.0)</f>
        <v>69</v>
      </c>
      <c r="F4051" s="19" t="str">
        <f>IFERROR(__xludf.DUMMYFUNCTION("""COMPUTED_VALUE"""),"BLUE")</f>
        <v>BLUE</v>
      </c>
      <c r="G4051" s="20" t="str">
        <f>IFERROR(__xludf.DUMMYFUNCTION("""COMPUTED_VALUE"""),"Uncle Sams Cider (04/04/2023)")</f>
        <v>Uncle Sams Cider (04/04/2023)</v>
      </c>
      <c r="H4051" s="19"/>
    </row>
    <row r="4052">
      <c r="A4052" s="9"/>
      <c r="B4052" s="15"/>
      <c r="C4052" s="9">
        <f>IFERROR(__xludf.DUMMYFUNCTION("""COMPUTED_VALUE"""),45102.1690422338)</f>
        <v>45102.16904</v>
      </c>
      <c r="D4052" s="15">
        <f>IFERROR(__xludf.DUMMYFUNCTION("""COMPUTED_VALUE"""),1.001)</f>
        <v>1.001</v>
      </c>
      <c r="E4052" s="16">
        <f>IFERROR(__xludf.DUMMYFUNCTION("""COMPUTED_VALUE"""),69.0)</f>
        <v>69</v>
      </c>
      <c r="F4052" s="19" t="str">
        <f>IFERROR(__xludf.DUMMYFUNCTION("""COMPUTED_VALUE"""),"BLUE")</f>
        <v>BLUE</v>
      </c>
      <c r="G4052" s="20" t="str">
        <f>IFERROR(__xludf.DUMMYFUNCTION("""COMPUTED_VALUE"""),"Uncle Sams Cider (04/04/2023)")</f>
        <v>Uncle Sams Cider (04/04/2023)</v>
      </c>
      <c r="H4052" s="19"/>
    </row>
    <row r="4053">
      <c r="A4053" s="9"/>
      <c r="B4053" s="15"/>
      <c r="C4053" s="9">
        <f>IFERROR(__xludf.DUMMYFUNCTION("""COMPUTED_VALUE"""),45102.1586212152)</f>
        <v>45102.15862</v>
      </c>
      <c r="D4053" s="15">
        <f>IFERROR(__xludf.DUMMYFUNCTION("""COMPUTED_VALUE"""),1.001)</f>
        <v>1.001</v>
      </c>
      <c r="E4053" s="16">
        <f>IFERROR(__xludf.DUMMYFUNCTION("""COMPUTED_VALUE"""),69.0)</f>
        <v>69</v>
      </c>
      <c r="F4053" s="19" t="str">
        <f>IFERROR(__xludf.DUMMYFUNCTION("""COMPUTED_VALUE"""),"BLUE")</f>
        <v>BLUE</v>
      </c>
      <c r="G4053" s="20" t="str">
        <f>IFERROR(__xludf.DUMMYFUNCTION("""COMPUTED_VALUE"""),"Uncle Sams Cider (04/04/2023)")</f>
        <v>Uncle Sams Cider (04/04/2023)</v>
      </c>
      <c r="H4053" s="19"/>
    </row>
    <row r="4054">
      <c r="A4054" s="9"/>
      <c r="B4054" s="15"/>
      <c r="C4054" s="9">
        <f>IFERROR(__xludf.DUMMYFUNCTION("""COMPUTED_VALUE"""),45102.1482004166)</f>
        <v>45102.1482</v>
      </c>
      <c r="D4054" s="15">
        <f>IFERROR(__xludf.DUMMYFUNCTION("""COMPUTED_VALUE"""),1.001)</f>
        <v>1.001</v>
      </c>
      <c r="E4054" s="16">
        <f>IFERROR(__xludf.DUMMYFUNCTION("""COMPUTED_VALUE"""),69.0)</f>
        <v>69</v>
      </c>
      <c r="F4054" s="19" t="str">
        <f>IFERROR(__xludf.DUMMYFUNCTION("""COMPUTED_VALUE"""),"BLUE")</f>
        <v>BLUE</v>
      </c>
      <c r="G4054" s="20" t="str">
        <f>IFERROR(__xludf.DUMMYFUNCTION("""COMPUTED_VALUE"""),"Uncle Sams Cider (04/04/2023)")</f>
        <v>Uncle Sams Cider (04/04/2023)</v>
      </c>
      <c r="H4054" s="19"/>
    </row>
    <row r="4055">
      <c r="A4055" s="9"/>
      <c r="B4055" s="15"/>
      <c r="C4055" s="9">
        <f>IFERROR(__xludf.DUMMYFUNCTION("""COMPUTED_VALUE"""),45102.1377802777)</f>
        <v>45102.13778</v>
      </c>
      <c r="D4055" s="15">
        <f>IFERROR(__xludf.DUMMYFUNCTION("""COMPUTED_VALUE"""),1.001)</f>
        <v>1.001</v>
      </c>
      <c r="E4055" s="16">
        <f>IFERROR(__xludf.DUMMYFUNCTION("""COMPUTED_VALUE"""),69.0)</f>
        <v>69</v>
      </c>
      <c r="F4055" s="19" t="str">
        <f>IFERROR(__xludf.DUMMYFUNCTION("""COMPUTED_VALUE"""),"BLUE")</f>
        <v>BLUE</v>
      </c>
      <c r="G4055" s="20" t="str">
        <f>IFERROR(__xludf.DUMMYFUNCTION("""COMPUTED_VALUE"""),"Uncle Sams Cider (04/04/2023)")</f>
        <v>Uncle Sams Cider (04/04/2023)</v>
      </c>
      <c r="H4055" s="19"/>
    </row>
    <row r="4056">
      <c r="A4056" s="9"/>
      <c r="B4056" s="15"/>
      <c r="C4056" s="9">
        <f>IFERROR(__xludf.DUMMYFUNCTION("""COMPUTED_VALUE"""),45102.1273580555)</f>
        <v>45102.12736</v>
      </c>
      <c r="D4056" s="15">
        <f>IFERROR(__xludf.DUMMYFUNCTION("""COMPUTED_VALUE"""),1.0)</f>
        <v>1</v>
      </c>
      <c r="E4056" s="16">
        <f>IFERROR(__xludf.DUMMYFUNCTION("""COMPUTED_VALUE"""),69.0)</f>
        <v>69</v>
      </c>
      <c r="F4056" s="19" t="str">
        <f>IFERROR(__xludf.DUMMYFUNCTION("""COMPUTED_VALUE"""),"BLUE")</f>
        <v>BLUE</v>
      </c>
      <c r="G4056" s="20" t="str">
        <f>IFERROR(__xludf.DUMMYFUNCTION("""COMPUTED_VALUE"""),"Uncle Sams Cider (04/04/2023)")</f>
        <v>Uncle Sams Cider (04/04/2023)</v>
      </c>
      <c r="H4056" s="19"/>
    </row>
    <row r="4057">
      <c r="A4057" s="9"/>
      <c r="B4057" s="15"/>
      <c r="C4057" s="9">
        <f>IFERROR(__xludf.DUMMYFUNCTION("""COMPUTED_VALUE"""),45102.1169254513)</f>
        <v>45102.11693</v>
      </c>
      <c r="D4057" s="15">
        <f>IFERROR(__xludf.DUMMYFUNCTION("""COMPUTED_VALUE"""),1.001)</f>
        <v>1.001</v>
      </c>
      <c r="E4057" s="16">
        <f>IFERROR(__xludf.DUMMYFUNCTION("""COMPUTED_VALUE"""),69.0)</f>
        <v>69</v>
      </c>
      <c r="F4057" s="19" t="str">
        <f>IFERROR(__xludf.DUMMYFUNCTION("""COMPUTED_VALUE"""),"BLUE")</f>
        <v>BLUE</v>
      </c>
      <c r="G4057" s="20" t="str">
        <f>IFERROR(__xludf.DUMMYFUNCTION("""COMPUTED_VALUE"""),"Uncle Sams Cider (04/04/2023)")</f>
        <v>Uncle Sams Cider (04/04/2023)</v>
      </c>
      <c r="H4057" s="19"/>
    </row>
    <row r="4058">
      <c r="A4058" s="9"/>
      <c r="B4058" s="15"/>
      <c r="C4058" s="9">
        <f>IFERROR(__xludf.DUMMYFUNCTION("""COMPUTED_VALUE"""),45102.1065034722)</f>
        <v>45102.1065</v>
      </c>
      <c r="D4058" s="15">
        <f>IFERROR(__xludf.DUMMYFUNCTION("""COMPUTED_VALUE"""),1.0)</f>
        <v>1</v>
      </c>
      <c r="E4058" s="16">
        <f>IFERROR(__xludf.DUMMYFUNCTION("""COMPUTED_VALUE"""),69.0)</f>
        <v>69</v>
      </c>
      <c r="F4058" s="19" t="str">
        <f>IFERROR(__xludf.DUMMYFUNCTION("""COMPUTED_VALUE"""),"BLUE")</f>
        <v>BLUE</v>
      </c>
      <c r="G4058" s="20" t="str">
        <f>IFERROR(__xludf.DUMMYFUNCTION("""COMPUTED_VALUE"""),"Uncle Sams Cider (04/04/2023)")</f>
        <v>Uncle Sams Cider (04/04/2023)</v>
      </c>
      <c r="H4058" s="19"/>
    </row>
    <row r="4059">
      <c r="A4059" s="9"/>
      <c r="B4059" s="15"/>
      <c r="C4059" s="9">
        <f>IFERROR(__xludf.DUMMYFUNCTION("""COMPUTED_VALUE"""),45102.0960713773)</f>
        <v>45102.09607</v>
      </c>
      <c r="D4059" s="15">
        <f>IFERROR(__xludf.DUMMYFUNCTION("""COMPUTED_VALUE"""),1.001)</f>
        <v>1.001</v>
      </c>
      <c r="E4059" s="16">
        <f>IFERROR(__xludf.DUMMYFUNCTION("""COMPUTED_VALUE"""),69.0)</f>
        <v>69</v>
      </c>
      <c r="F4059" s="19" t="str">
        <f>IFERROR(__xludf.DUMMYFUNCTION("""COMPUTED_VALUE"""),"BLUE")</f>
        <v>BLUE</v>
      </c>
      <c r="G4059" s="20" t="str">
        <f>IFERROR(__xludf.DUMMYFUNCTION("""COMPUTED_VALUE"""),"Uncle Sams Cider (04/04/2023)")</f>
        <v>Uncle Sams Cider (04/04/2023)</v>
      </c>
      <c r="H4059" s="19"/>
    </row>
    <row r="4060">
      <c r="A4060" s="9"/>
      <c r="B4060" s="15"/>
      <c r="C4060" s="9">
        <f>IFERROR(__xludf.DUMMYFUNCTION("""COMPUTED_VALUE"""),45102.0856521296)</f>
        <v>45102.08565</v>
      </c>
      <c r="D4060" s="15">
        <f>IFERROR(__xludf.DUMMYFUNCTION("""COMPUTED_VALUE"""),1.001)</f>
        <v>1.001</v>
      </c>
      <c r="E4060" s="16">
        <f>IFERROR(__xludf.DUMMYFUNCTION("""COMPUTED_VALUE"""),69.0)</f>
        <v>69</v>
      </c>
      <c r="F4060" s="19" t="str">
        <f>IFERROR(__xludf.DUMMYFUNCTION("""COMPUTED_VALUE"""),"BLUE")</f>
        <v>BLUE</v>
      </c>
      <c r="G4060" s="20" t="str">
        <f>IFERROR(__xludf.DUMMYFUNCTION("""COMPUTED_VALUE"""),"Uncle Sams Cider (04/04/2023)")</f>
        <v>Uncle Sams Cider (04/04/2023)</v>
      </c>
      <c r="H4060" s="19"/>
    </row>
    <row r="4061">
      <c r="A4061" s="9"/>
      <c r="B4061" s="15"/>
      <c r="C4061" s="9">
        <f>IFERROR(__xludf.DUMMYFUNCTION("""COMPUTED_VALUE"""),45102.075230787)</f>
        <v>45102.07523</v>
      </c>
      <c r="D4061" s="15">
        <f>IFERROR(__xludf.DUMMYFUNCTION("""COMPUTED_VALUE"""),1.001)</f>
        <v>1.001</v>
      </c>
      <c r="E4061" s="16">
        <f>IFERROR(__xludf.DUMMYFUNCTION("""COMPUTED_VALUE"""),69.0)</f>
        <v>69</v>
      </c>
      <c r="F4061" s="19" t="str">
        <f>IFERROR(__xludf.DUMMYFUNCTION("""COMPUTED_VALUE"""),"BLUE")</f>
        <v>BLUE</v>
      </c>
      <c r="G4061" s="20" t="str">
        <f>IFERROR(__xludf.DUMMYFUNCTION("""COMPUTED_VALUE"""),"Uncle Sams Cider (04/04/2023)")</f>
        <v>Uncle Sams Cider (04/04/2023)</v>
      </c>
      <c r="H4061" s="19"/>
    </row>
    <row r="4062">
      <c r="A4062" s="9"/>
      <c r="B4062" s="15"/>
      <c r="C4062" s="9">
        <f>IFERROR(__xludf.DUMMYFUNCTION("""COMPUTED_VALUE"""),45102.0648099537)</f>
        <v>45102.06481</v>
      </c>
      <c r="D4062" s="15">
        <f>IFERROR(__xludf.DUMMYFUNCTION("""COMPUTED_VALUE"""),1.001)</f>
        <v>1.001</v>
      </c>
      <c r="E4062" s="16">
        <f>IFERROR(__xludf.DUMMYFUNCTION("""COMPUTED_VALUE"""),69.0)</f>
        <v>69</v>
      </c>
      <c r="F4062" s="19" t="str">
        <f>IFERROR(__xludf.DUMMYFUNCTION("""COMPUTED_VALUE"""),"BLUE")</f>
        <v>BLUE</v>
      </c>
      <c r="G4062" s="20" t="str">
        <f>IFERROR(__xludf.DUMMYFUNCTION("""COMPUTED_VALUE"""),"Uncle Sams Cider (04/04/2023)")</f>
        <v>Uncle Sams Cider (04/04/2023)</v>
      </c>
      <c r="H4062" s="19"/>
    </row>
    <row r="4063">
      <c r="A4063" s="9"/>
      <c r="B4063" s="15"/>
      <c r="C4063" s="9">
        <f>IFERROR(__xludf.DUMMYFUNCTION("""COMPUTED_VALUE"""),45102.054387743)</f>
        <v>45102.05439</v>
      </c>
      <c r="D4063" s="15">
        <f>IFERROR(__xludf.DUMMYFUNCTION("""COMPUTED_VALUE"""),1.001)</f>
        <v>1.001</v>
      </c>
      <c r="E4063" s="16">
        <f>IFERROR(__xludf.DUMMYFUNCTION("""COMPUTED_VALUE"""),69.0)</f>
        <v>69</v>
      </c>
      <c r="F4063" s="19" t="str">
        <f>IFERROR(__xludf.DUMMYFUNCTION("""COMPUTED_VALUE"""),"BLUE")</f>
        <v>BLUE</v>
      </c>
      <c r="G4063" s="20" t="str">
        <f>IFERROR(__xludf.DUMMYFUNCTION("""COMPUTED_VALUE"""),"Uncle Sams Cider (04/04/2023)")</f>
        <v>Uncle Sams Cider (04/04/2023)</v>
      </c>
      <c r="H4063" s="19"/>
    </row>
    <row r="4064">
      <c r="A4064" s="9"/>
      <c r="B4064" s="15"/>
      <c r="C4064" s="9">
        <f>IFERROR(__xludf.DUMMYFUNCTION("""COMPUTED_VALUE"""),45102.0439660301)</f>
        <v>45102.04397</v>
      </c>
      <c r="D4064" s="15">
        <f>IFERROR(__xludf.DUMMYFUNCTION("""COMPUTED_VALUE"""),1.001)</f>
        <v>1.001</v>
      </c>
      <c r="E4064" s="16">
        <f>IFERROR(__xludf.DUMMYFUNCTION("""COMPUTED_VALUE"""),69.0)</f>
        <v>69</v>
      </c>
      <c r="F4064" s="19" t="str">
        <f>IFERROR(__xludf.DUMMYFUNCTION("""COMPUTED_VALUE"""),"BLUE")</f>
        <v>BLUE</v>
      </c>
      <c r="G4064" s="20" t="str">
        <f>IFERROR(__xludf.DUMMYFUNCTION("""COMPUTED_VALUE"""),"Uncle Sams Cider (04/04/2023)")</f>
        <v>Uncle Sams Cider (04/04/2023)</v>
      </c>
      <c r="H4064" s="19"/>
    </row>
    <row r="4065">
      <c r="A4065" s="9"/>
      <c r="B4065" s="15"/>
      <c r="C4065" s="9">
        <f>IFERROR(__xludf.DUMMYFUNCTION("""COMPUTED_VALUE"""),45102.0335330555)</f>
        <v>45102.03353</v>
      </c>
      <c r="D4065" s="15">
        <f>IFERROR(__xludf.DUMMYFUNCTION("""COMPUTED_VALUE"""),1.0)</f>
        <v>1</v>
      </c>
      <c r="E4065" s="16">
        <f>IFERROR(__xludf.DUMMYFUNCTION("""COMPUTED_VALUE"""),69.0)</f>
        <v>69</v>
      </c>
      <c r="F4065" s="19" t="str">
        <f>IFERROR(__xludf.DUMMYFUNCTION("""COMPUTED_VALUE"""),"BLUE")</f>
        <v>BLUE</v>
      </c>
      <c r="G4065" s="20" t="str">
        <f>IFERROR(__xludf.DUMMYFUNCTION("""COMPUTED_VALUE"""),"Uncle Sams Cider (04/04/2023)")</f>
        <v>Uncle Sams Cider (04/04/2023)</v>
      </c>
      <c r="H4065" s="19"/>
    </row>
    <row r="4066">
      <c r="A4066" s="9"/>
      <c r="B4066" s="15"/>
      <c r="C4066" s="9">
        <f>IFERROR(__xludf.DUMMYFUNCTION("""COMPUTED_VALUE"""),45102.0231128703)</f>
        <v>45102.02311</v>
      </c>
      <c r="D4066" s="15">
        <f>IFERROR(__xludf.DUMMYFUNCTION("""COMPUTED_VALUE"""),1.001)</f>
        <v>1.001</v>
      </c>
      <c r="E4066" s="16">
        <f>IFERROR(__xludf.DUMMYFUNCTION("""COMPUTED_VALUE"""),69.0)</f>
        <v>69</v>
      </c>
      <c r="F4066" s="19" t="str">
        <f>IFERROR(__xludf.DUMMYFUNCTION("""COMPUTED_VALUE"""),"BLUE")</f>
        <v>BLUE</v>
      </c>
      <c r="G4066" s="20" t="str">
        <f>IFERROR(__xludf.DUMMYFUNCTION("""COMPUTED_VALUE"""),"Uncle Sams Cider (04/04/2023)")</f>
        <v>Uncle Sams Cider (04/04/2023)</v>
      </c>
      <c r="H4066" s="19"/>
    </row>
    <row r="4067">
      <c r="A4067" s="9"/>
      <c r="B4067" s="15"/>
      <c r="C4067" s="9">
        <f>IFERROR(__xludf.DUMMYFUNCTION("""COMPUTED_VALUE"""),45102.0126928125)</f>
        <v>45102.01269</v>
      </c>
      <c r="D4067" s="15">
        <f>IFERROR(__xludf.DUMMYFUNCTION("""COMPUTED_VALUE"""),1.001)</f>
        <v>1.001</v>
      </c>
      <c r="E4067" s="16">
        <f>IFERROR(__xludf.DUMMYFUNCTION("""COMPUTED_VALUE"""),69.0)</f>
        <v>69</v>
      </c>
      <c r="F4067" s="19" t="str">
        <f>IFERROR(__xludf.DUMMYFUNCTION("""COMPUTED_VALUE"""),"BLUE")</f>
        <v>BLUE</v>
      </c>
      <c r="G4067" s="20" t="str">
        <f>IFERROR(__xludf.DUMMYFUNCTION("""COMPUTED_VALUE"""),"Uncle Sams Cider (04/04/2023)")</f>
        <v>Uncle Sams Cider (04/04/2023)</v>
      </c>
      <c r="H4067" s="19"/>
    </row>
    <row r="4068">
      <c r="A4068" s="9"/>
      <c r="B4068" s="15"/>
      <c r="C4068" s="9">
        <f>IFERROR(__xludf.DUMMYFUNCTION("""COMPUTED_VALUE"""),45102.0022597222)</f>
        <v>45102.00226</v>
      </c>
      <c r="D4068" s="15">
        <f>IFERROR(__xludf.DUMMYFUNCTION("""COMPUTED_VALUE"""),1.001)</f>
        <v>1.001</v>
      </c>
      <c r="E4068" s="16">
        <f>IFERROR(__xludf.DUMMYFUNCTION("""COMPUTED_VALUE"""),68.0)</f>
        <v>68</v>
      </c>
      <c r="F4068" s="19" t="str">
        <f>IFERROR(__xludf.DUMMYFUNCTION("""COMPUTED_VALUE"""),"BLUE")</f>
        <v>BLUE</v>
      </c>
      <c r="G4068" s="20" t="str">
        <f>IFERROR(__xludf.DUMMYFUNCTION("""COMPUTED_VALUE"""),"Uncle Sams Cider (04/04/2023)")</f>
        <v>Uncle Sams Cider (04/04/2023)</v>
      </c>
      <c r="H4068" s="19"/>
    </row>
    <row r="4069">
      <c r="A4069" s="9"/>
      <c r="B4069" s="15"/>
      <c r="C4069" s="9">
        <f>IFERROR(__xludf.DUMMYFUNCTION("""COMPUTED_VALUE"""),45101.9918403588)</f>
        <v>45101.99184</v>
      </c>
      <c r="D4069" s="15">
        <f>IFERROR(__xludf.DUMMYFUNCTION("""COMPUTED_VALUE"""),1.001)</f>
        <v>1.001</v>
      </c>
      <c r="E4069" s="16">
        <f>IFERROR(__xludf.DUMMYFUNCTION("""COMPUTED_VALUE"""),68.0)</f>
        <v>68</v>
      </c>
      <c r="F4069" s="19" t="str">
        <f>IFERROR(__xludf.DUMMYFUNCTION("""COMPUTED_VALUE"""),"BLUE")</f>
        <v>BLUE</v>
      </c>
      <c r="G4069" s="20" t="str">
        <f>IFERROR(__xludf.DUMMYFUNCTION("""COMPUTED_VALUE"""),"Uncle Sams Cider (04/04/2023)")</f>
        <v>Uncle Sams Cider (04/04/2023)</v>
      </c>
      <c r="H4069" s="19"/>
    </row>
    <row r="4070">
      <c r="A4070" s="9"/>
      <c r="B4070" s="15"/>
      <c r="C4070" s="9">
        <f>IFERROR(__xludf.DUMMYFUNCTION("""COMPUTED_VALUE"""),45101.9814198611)</f>
        <v>45101.98142</v>
      </c>
      <c r="D4070" s="15">
        <f>IFERROR(__xludf.DUMMYFUNCTION("""COMPUTED_VALUE"""),1.001)</f>
        <v>1.001</v>
      </c>
      <c r="E4070" s="16">
        <f>IFERROR(__xludf.DUMMYFUNCTION("""COMPUTED_VALUE"""),69.0)</f>
        <v>69</v>
      </c>
      <c r="F4070" s="19" t="str">
        <f>IFERROR(__xludf.DUMMYFUNCTION("""COMPUTED_VALUE"""),"BLUE")</f>
        <v>BLUE</v>
      </c>
      <c r="G4070" s="20" t="str">
        <f>IFERROR(__xludf.DUMMYFUNCTION("""COMPUTED_VALUE"""),"Uncle Sams Cider (04/04/2023)")</f>
        <v>Uncle Sams Cider (04/04/2023)</v>
      </c>
      <c r="H4070" s="19"/>
    </row>
    <row r="4071">
      <c r="A4071" s="9"/>
      <c r="B4071" s="15"/>
      <c r="C4071" s="9">
        <f>IFERROR(__xludf.DUMMYFUNCTION("""COMPUTED_VALUE"""),45101.9709977314)</f>
        <v>45101.971</v>
      </c>
      <c r="D4071" s="15">
        <f>IFERROR(__xludf.DUMMYFUNCTION("""COMPUTED_VALUE"""),1.001)</f>
        <v>1.001</v>
      </c>
      <c r="E4071" s="16">
        <f>IFERROR(__xludf.DUMMYFUNCTION("""COMPUTED_VALUE"""),68.0)</f>
        <v>68</v>
      </c>
      <c r="F4071" s="19" t="str">
        <f>IFERROR(__xludf.DUMMYFUNCTION("""COMPUTED_VALUE"""),"BLUE")</f>
        <v>BLUE</v>
      </c>
      <c r="G4071" s="20" t="str">
        <f>IFERROR(__xludf.DUMMYFUNCTION("""COMPUTED_VALUE"""),"Uncle Sams Cider (04/04/2023)")</f>
        <v>Uncle Sams Cider (04/04/2023)</v>
      </c>
      <c r="H4071" s="19"/>
    </row>
    <row r="4072">
      <c r="A4072" s="9"/>
      <c r="B4072" s="15"/>
      <c r="C4072" s="9">
        <f>IFERROR(__xludf.DUMMYFUNCTION("""COMPUTED_VALUE"""),45101.960577743)</f>
        <v>45101.96058</v>
      </c>
      <c r="D4072" s="15">
        <f>IFERROR(__xludf.DUMMYFUNCTION("""COMPUTED_VALUE"""),1.001)</f>
        <v>1.001</v>
      </c>
      <c r="E4072" s="16">
        <f>IFERROR(__xludf.DUMMYFUNCTION("""COMPUTED_VALUE"""),68.0)</f>
        <v>68</v>
      </c>
      <c r="F4072" s="19" t="str">
        <f>IFERROR(__xludf.DUMMYFUNCTION("""COMPUTED_VALUE"""),"BLUE")</f>
        <v>BLUE</v>
      </c>
      <c r="G4072" s="20" t="str">
        <f>IFERROR(__xludf.DUMMYFUNCTION("""COMPUTED_VALUE"""),"Uncle Sams Cider (04/04/2023)")</f>
        <v>Uncle Sams Cider (04/04/2023)</v>
      </c>
      <c r="H4072" s="19"/>
    </row>
    <row r="4073">
      <c r="A4073" s="9"/>
      <c r="B4073" s="15"/>
      <c r="C4073" s="9">
        <f>IFERROR(__xludf.DUMMYFUNCTION("""COMPUTED_VALUE"""),45101.950156493)</f>
        <v>45101.95016</v>
      </c>
      <c r="D4073" s="15">
        <f>IFERROR(__xludf.DUMMYFUNCTION("""COMPUTED_VALUE"""),1.001)</f>
        <v>1.001</v>
      </c>
      <c r="E4073" s="16">
        <f>IFERROR(__xludf.DUMMYFUNCTION("""COMPUTED_VALUE"""),68.0)</f>
        <v>68</v>
      </c>
      <c r="F4073" s="19" t="str">
        <f>IFERROR(__xludf.DUMMYFUNCTION("""COMPUTED_VALUE"""),"BLUE")</f>
        <v>BLUE</v>
      </c>
      <c r="G4073" s="20" t="str">
        <f>IFERROR(__xludf.DUMMYFUNCTION("""COMPUTED_VALUE"""),"Uncle Sams Cider (04/04/2023)")</f>
        <v>Uncle Sams Cider (04/04/2023)</v>
      </c>
      <c r="H4073" s="19"/>
    </row>
    <row r="4074">
      <c r="A4074" s="9"/>
      <c r="B4074" s="15"/>
      <c r="C4074" s="9">
        <f>IFERROR(__xludf.DUMMYFUNCTION("""COMPUTED_VALUE"""),45101.9397329976)</f>
        <v>45101.93973</v>
      </c>
      <c r="D4074" s="15">
        <f>IFERROR(__xludf.DUMMYFUNCTION("""COMPUTED_VALUE"""),1.001)</f>
        <v>1.001</v>
      </c>
      <c r="E4074" s="16">
        <f>IFERROR(__xludf.DUMMYFUNCTION("""COMPUTED_VALUE"""),69.0)</f>
        <v>69</v>
      </c>
      <c r="F4074" s="19" t="str">
        <f>IFERROR(__xludf.DUMMYFUNCTION("""COMPUTED_VALUE"""),"BLUE")</f>
        <v>BLUE</v>
      </c>
      <c r="G4074" s="20" t="str">
        <f>IFERROR(__xludf.DUMMYFUNCTION("""COMPUTED_VALUE"""),"Uncle Sams Cider (04/04/2023)")</f>
        <v>Uncle Sams Cider (04/04/2023)</v>
      </c>
      <c r="H4074" s="19"/>
    </row>
    <row r="4075">
      <c r="A4075" s="9"/>
      <c r="B4075" s="15"/>
      <c r="C4075" s="9">
        <f>IFERROR(__xludf.DUMMYFUNCTION("""COMPUTED_VALUE"""),45101.9293108912)</f>
        <v>45101.92931</v>
      </c>
      <c r="D4075" s="15">
        <f>IFERROR(__xludf.DUMMYFUNCTION("""COMPUTED_VALUE"""),1.001)</f>
        <v>1.001</v>
      </c>
      <c r="E4075" s="16">
        <f>IFERROR(__xludf.DUMMYFUNCTION("""COMPUTED_VALUE"""),68.0)</f>
        <v>68</v>
      </c>
      <c r="F4075" s="19" t="str">
        <f>IFERROR(__xludf.DUMMYFUNCTION("""COMPUTED_VALUE"""),"BLUE")</f>
        <v>BLUE</v>
      </c>
      <c r="G4075" s="20" t="str">
        <f>IFERROR(__xludf.DUMMYFUNCTION("""COMPUTED_VALUE"""),"Uncle Sams Cider (04/04/2023)")</f>
        <v>Uncle Sams Cider (04/04/2023)</v>
      </c>
      <c r="H4075" s="19"/>
    </row>
    <row r="4076">
      <c r="A4076" s="9"/>
      <c r="B4076" s="15"/>
      <c r="C4076" s="9">
        <f>IFERROR(__xludf.DUMMYFUNCTION("""COMPUTED_VALUE"""),45101.9188876851)</f>
        <v>45101.91889</v>
      </c>
      <c r="D4076" s="15">
        <f>IFERROR(__xludf.DUMMYFUNCTION("""COMPUTED_VALUE"""),1.0)</f>
        <v>1</v>
      </c>
      <c r="E4076" s="16">
        <f>IFERROR(__xludf.DUMMYFUNCTION("""COMPUTED_VALUE"""),68.0)</f>
        <v>68</v>
      </c>
      <c r="F4076" s="19" t="str">
        <f>IFERROR(__xludf.DUMMYFUNCTION("""COMPUTED_VALUE"""),"BLUE")</f>
        <v>BLUE</v>
      </c>
      <c r="G4076" s="20" t="str">
        <f>IFERROR(__xludf.DUMMYFUNCTION("""COMPUTED_VALUE"""),"Uncle Sams Cider (04/04/2023)")</f>
        <v>Uncle Sams Cider (04/04/2023)</v>
      </c>
      <c r="H4076" s="19"/>
    </row>
    <row r="4077">
      <c r="A4077" s="9"/>
      <c r="B4077" s="15"/>
      <c r="C4077" s="9">
        <f>IFERROR(__xludf.DUMMYFUNCTION("""COMPUTED_VALUE"""),45101.9084667939)</f>
        <v>45101.90847</v>
      </c>
      <c r="D4077" s="15">
        <f>IFERROR(__xludf.DUMMYFUNCTION("""COMPUTED_VALUE"""),1.0)</f>
        <v>1</v>
      </c>
      <c r="E4077" s="16">
        <f>IFERROR(__xludf.DUMMYFUNCTION("""COMPUTED_VALUE"""),68.0)</f>
        <v>68</v>
      </c>
      <c r="F4077" s="19" t="str">
        <f>IFERROR(__xludf.DUMMYFUNCTION("""COMPUTED_VALUE"""),"BLUE")</f>
        <v>BLUE</v>
      </c>
      <c r="G4077" s="20" t="str">
        <f>IFERROR(__xludf.DUMMYFUNCTION("""COMPUTED_VALUE"""),"Uncle Sams Cider (04/04/2023)")</f>
        <v>Uncle Sams Cider (04/04/2023)</v>
      </c>
      <c r="H4077" s="19"/>
    </row>
    <row r="4078">
      <c r="A4078" s="9"/>
      <c r="B4078" s="15"/>
      <c r="C4078" s="9">
        <f>IFERROR(__xludf.DUMMYFUNCTION("""COMPUTED_VALUE"""),45101.8980338888)</f>
        <v>45101.89803</v>
      </c>
      <c r="D4078" s="15">
        <f>IFERROR(__xludf.DUMMYFUNCTION("""COMPUTED_VALUE"""),1.001)</f>
        <v>1.001</v>
      </c>
      <c r="E4078" s="16">
        <f>IFERROR(__xludf.DUMMYFUNCTION("""COMPUTED_VALUE"""),68.0)</f>
        <v>68</v>
      </c>
      <c r="F4078" s="19" t="str">
        <f>IFERROR(__xludf.DUMMYFUNCTION("""COMPUTED_VALUE"""),"BLUE")</f>
        <v>BLUE</v>
      </c>
      <c r="G4078" s="20" t="str">
        <f>IFERROR(__xludf.DUMMYFUNCTION("""COMPUTED_VALUE"""),"Uncle Sams Cider (04/04/2023)")</f>
        <v>Uncle Sams Cider (04/04/2023)</v>
      </c>
      <c r="H4078" s="19"/>
    </row>
    <row r="4079">
      <c r="A4079" s="9"/>
      <c r="B4079" s="15"/>
      <c r="C4079" s="9">
        <f>IFERROR(__xludf.DUMMYFUNCTION("""COMPUTED_VALUE"""),45101.8875906018)</f>
        <v>45101.88759</v>
      </c>
      <c r="D4079" s="15">
        <f>IFERROR(__xludf.DUMMYFUNCTION("""COMPUTED_VALUE"""),1.0)</f>
        <v>1</v>
      </c>
      <c r="E4079" s="16">
        <f>IFERROR(__xludf.DUMMYFUNCTION("""COMPUTED_VALUE"""),68.0)</f>
        <v>68</v>
      </c>
      <c r="F4079" s="19" t="str">
        <f>IFERROR(__xludf.DUMMYFUNCTION("""COMPUTED_VALUE"""),"BLUE")</f>
        <v>BLUE</v>
      </c>
      <c r="G4079" s="20" t="str">
        <f>IFERROR(__xludf.DUMMYFUNCTION("""COMPUTED_VALUE"""),"Uncle Sams Cider (04/04/2023)")</f>
        <v>Uncle Sams Cider (04/04/2023)</v>
      </c>
      <c r="H4079" s="19"/>
    </row>
    <row r="4080">
      <c r="A4080" s="9"/>
      <c r="B4080" s="15"/>
      <c r="C4080" s="9">
        <f>IFERROR(__xludf.DUMMYFUNCTION("""COMPUTED_VALUE"""),45101.877168368)</f>
        <v>45101.87717</v>
      </c>
      <c r="D4080" s="15">
        <f>IFERROR(__xludf.DUMMYFUNCTION("""COMPUTED_VALUE"""),1.001)</f>
        <v>1.001</v>
      </c>
      <c r="E4080" s="16">
        <f>IFERROR(__xludf.DUMMYFUNCTION("""COMPUTED_VALUE"""),68.0)</f>
        <v>68</v>
      </c>
      <c r="F4080" s="19" t="str">
        <f>IFERROR(__xludf.DUMMYFUNCTION("""COMPUTED_VALUE"""),"BLUE")</f>
        <v>BLUE</v>
      </c>
      <c r="G4080" s="20" t="str">
        <f>IFERROR(__xludf.DUMMYFUNCTION("""COMPUTED_VALUE"""),"Uncle Sams Cider (04/04/2023)")</f>
        <v>Uncle Sams Cider (04/04/2023)</v>
      </c>
      <c r="H4080" s="19"/>
    </row>
    <row r="4081">
      <c r="A4081" s="9"/>
      <c r="B4081" s="15"/>
      <c r="C4081" s="9">
        <f>IFERROR(__xludf.DUMMYFUNCTION("""COMPUTED_VALUE"""),45101.8667365972)</f>
        <v>45101.86674</v>
      </c>
      <c r="D4081" s="15">
        <f>IFERROR(__xludf.DUMMYFUNCTION("""COMPUTED_VALUE"""),1.001)</f>
        <v>1.001</v>
      </c>
      <c r="E4081" s="16">
        <f>IFERROR(__xludf.DUMMYFUNCTION("""COMPUTED_VALUE"""),68.0)</f>
        <v>68</v>
      </c>
      <c r="F4081" s="19" t="str">
        <f>IFERROR(__xludf.DUMMYFUNCTION("""COMPUTED_VALUE"""),"BLUE")</f>
        <v>BLUE</v>
      </c>
      <c r="G4081" s="20" t="str">
        <f>IFERROR(__xludf.DUMMYFUNCTION("""COMPUTED_VALUE"""),"Uncle Sams Cider (04/04/2023)")</f>
        <v>Uncle Sams Cider (04/04/2023)</v>
      </c>
      <c r="H4081" s="19"/>
    </row>
    <row r="4082">
      <c r="A4082" s="9"/>
      <c r="B4082" s="15"/>
      <c r="C4082" s="9">
        <f>IFERROR(__xludf.DUMMYFUNCTION("""COMPUTED_VALUE"""),45101.8563148842)</f>
        <v>45101.85631</v>
      </c>
      <c r="D4082" s="15">
        <f>IFERROR(__xludf.DUMMYFUNCTION("""COMPUTED_VALUE"""),1.0)</f>
        <v>1</v>
      </c>
      <c r="E4082" s="16">
        <f>IFERROR(__xludf.DUMMYFUNCTION("""COMPUTED_VALUE"""),68.0)</f>
        <v>68</v>
      </c>
      <c r="F4082" s="19" t="str">
        <f>IFERROR(__xludf.DUMMYFUNCTION("""COMPUTED_VALUE"""),"BLUE")</f>
        <v>BLUE</v>
      </c>
      <c r="G4082" s="20" t="str">
        <f>IFERROR(__xludf.DUMMYFUNCTION("""COMPUTED_VALUE"""),"Uncle Sams Cider (04/04/2023)")</f>
        <v>Uncle Sams Cider (04/04/2023)</v>
      </c>
      <c r="H4082" s="19"/>
    </row>
    <row r="4083">
      <c r="A4083" s="9"/>
      <c r="B4083" s="15"/>
      <c r="C4083" s="9">
        <f>IFERROR(__xludf.DUMMYFUNCTION("""COMPUTED_VALUE"""),45101.8458957407)</f>
        <v>45101.8459</v>
      </c>
      <c r="D4083" s="15">
        <f>IFERROR(__xludf.DUMMYFUNCTION("""COMPUTED_VALUE"""),1.001)</f>
        <v>1.001</v>
      </c>
      <c r="E4083" s="16">
        <f>IFERROR(__xludf.DUMMYFUNCTION("""COMPUTED_VALUE"""),68.0)</f>
        <v>68</v>
      </c>
      <c r="F4083" s="19" t="str">
        <f>IFERROR(__xludf.DUMMYFUNCTION("""COMPUTED_VALUE"""),"BLUE")</f>
        <v>BLUE</v>
      </c>
      <c r="G4083" s="20" t="str">
        <f>IFERROR(__xludf.DUMMYFUNCTION("""COMPUTED_VALUE"""),"Uncle Sams Cider (04/04/2023)")</f>
        <v>Uncle Sams Cider (04/04/2023)</v>
      </c>
      <c r="H4083" s="19"/>
    </row>
    <row r="4084">
      <c r="A4084" s="9"/>
      <c r="B4084" s="15"/>
      <c r="C4084" s="9">
        <f>IFERROR(__xludf.DUMMYFUNCTION("""COMPUTED_VALUE"""),45101.8354625578)</f>
        <v>45101.83546</v>
      </c>
      <c r="D4084" s="15">
        <f>IFERROR(__xludf.DUMMYFUNCTION("""COMPUTED_VALUE"""),1.001)</f>
        <v>1.001</v>
      </c>
      <c r="E4084" s="16">
        <f>IFERROR(__xludf.DUMMYFUNCTION("""COMPUTED_VALUE"""),68.0)</f>
        <v>68</v>
      </c>
      <c r="F4084" s="19" t="str">
        <f>IFERROR(__xludf.DUMMYFUNCTION("""COMPUTED_VALUE"""),"BLUE")</f>
        <v>BLUE</v>
      </c>
      <c r="G4084" s="20" t="str">
        <f>IFERROR(__xludf.DUMMYFUNCTION("""COMPUTED_VALUE"""),"Uncle Sams Cider (04/04/2023)")</f>
        <v>Uncle Sams Cider (04/04/2023)</v>
      </c>
      <c r="H4084" s="19"/>
    </row>
    <row r="4085">
      <c r="A4085" s="9"/>
      <c r="B4085" s="15"/>
      <c r="C4085" s="9">
        <f>IFERROR(__xludf.DUMMYFUNCTION("""COMPUTED_VALUE"""),45101.8250294907)</f>
        <v>45101.82503</v>
      </c>
      <c r="D4085" s="15">
        <f>IFERROR(__xludf.DUMMYFUNCTION("""COMPUTED_VALUE"""),1.0)</f>
        <v>1</v>
      </c>
      <c r="E4085" s="16">
        <f>IFERROR(__xludf.DUMMYFUNCTION("""COMPUTED_VALUE"""),68.0)</f>
        <v>68</v>
      </c>
      <c r="F4085" s="19" t="str">
        <f>IFERROR(__xludf.DUMMYFUNCTION("""COMPUTED_VALUE"""),"BLUE")</f>
        <v>BLUE</v>
      </c>
      <c r="G4085" s="20" t="str">
        <f>IFERROR(__xludf.DUMMYFUNCTION("""COMPUTED_VALUE"""),"Uncle Sams Cider (04/04/2023)")</f>
        <v>Uncle Sams Cider (04/04/2023)</v>
      </c>
      <c r="H4085" s="19"/>
    </row>
    <row r="4086">
      <c r="A4086" s="9"/>
      <c r="B4086" s="15"/>
      <c r="C4086" s="9">
        <f>IFERROR(__xludf.DUMMYFUNCTION("""COMPUTED_VALUE"""),45101.8146098611)</f>
        <v>45101.81461</v>
      </c>
      <c r="D4086" s="15">
        <f>IFERROR(__xludf.DUMMYFUNCTION("""COMPUTED_VALUE"""),1.001)</f>
        <v>1.001</v>
      </c>
      <c r="E4086" s="16">
        <f>IFERROR(__xludf.DUMMYFUNCTION("""COMPUTED_VALUE"""),68.0)</f>
        <v>68</v>
      </c>
      <c r="F4086" s="19" t="str">
        <f>IFERROR(__xludf.DUMMYFUNCTION("""COMPUTED_VALUE"""),"BLUE")</f>
        <v>BLUE</v>
      </c>
      <c r="G4086" s="20" t="str">
        <f>IFERROR(__xludf.DUMMYFUNCTION("""COMPUTED_VALUE"""),"Uncle Sams Cider (04/04/2023)")</f>
        <v>Uncle Sams Cider (04/04/2023)</v>
      </c>
      <c r="H4086" s="19"/>
    </row>
    <row r="4087">
      <c r="A4087" s="9"/>
      <c r="B4087" s="15"/>
      <c r="C4087" s="9">
        <f>IFERROR(__xludf.DUMMYFUNCTION("""COMPUTED_VALUE"""),45101.804188831)</f>
        <v>45101.80419</v>
      </c>
      <c r="D4087" s="15">
        <f>IFERROR(__xludf.DUMMYFUNCTION("""COMPUTED_VALUE"""),1.001)</f>
        <v>1.001</v>
      </c>
      <c r="E4087" s="16">
        <f>IFERROR(__xludf.DUMMYFUNCTION("""COMPUTED_VALUE"""),68.0)</f>
        <v>68</v>
      </c>
      <c r="F4087" s="19" t="str">
        <f>IFERROR(__xludf.DUMMYFUNCTION("""COMPUTED_VALUE"""),"BLUE")</f>
        <v>BLUE</v>
      </c>
      <c r="G4087" s="20" t="str">
        <f>IFERROR(__xludf.DUMMYFUNCTION("""COMPUTED_VALUE"""),"Uncle Sams Cider (04/04/2023)")</f>
        <v>Uncle Sams Cider (04/04/2023)</v>
      </c>
      <c r="H4087" s="19"/>
    </row>
    <row r="4088">
      <c r="A4088" s="9"/>
      <c r="B4088" s="15"/>
      <c r="C4088" s="9">
        <f>IFERROR(__xludf.DUMMYFUNCTION("""COMPUTED_VALUE"""),45101.7937338541)</f>
        <v>45101.79373</v>
      </c>
      <c r="D4088" s="15">
        <f>IFERROR(__xludf.DUMMYFUNCTION("""COMPUTED_VALUE"""),1.001)</f>
        <v>1.001</v>
      </c>
      <c r="E4088" s="16">
        <f>IFERROR(__xludf.DUMMYFUNCTION("""COMPUTED_VALUE"""),68.0)</f>
        <v>68</v>
      </c>
      <c r="F4088" s="19" t="str">
        <f>IFERROR(__xludf.DUMMYFUNCTION("""COMPUTED_VALUE"""),"BLUE")</f>
        <v>BLUE</v>
      </c>
      <c r="G4088" s="20" t="str">
        <f>IFERROR(__xludf.DUMMYFUNCTION("""COMPUTED_VALUE"""),"Uncle Sams Cider (04/04/2023)")</f>
        <v>Uncle Sams Cider (04/04/2023)</v>
      </c>
      <c r="H4088" s="19"/>
    </row>
    <row r="4089">
      <c r="A4089" s="9"/>
      <c r="B4089" s="15"/>
      <c r="C4089" s="9">
        <f>IFERROR(__xludf.DUMMYFUNCTION("""COMPUTED_VALUE"""),45101.7833111226)</f>
        <v>45101.78331</v>
      </c>
      <c r="D4089" s="15">
        <f>IFERROR(__xludf.DUMMYFUNCTION("""COMPUTED_VALUE"""),1.001)</f>
        <v>1.001</v>
      </c>
      <c r="E4089" s="16">
        <f>IFERROR(__xludf.DUMMYFUNCTION("""COMPUTED_VALUE"""),68.0)</f>
        <v>68</v>
      </c>
      <c r="F4089" s="19" t="str">
        <f>IFERROR(__xludf.DUMMYFUNCTION("""COMPUTED_VALUE"""),"BLUE")</f>
        <v>BLUE</v>
      </c>
      <c r="G4089" s="20" t="str">
        <f>IFERROR(__xludf.DUMMYFUNCTION("""COMPUTED_VALUE"""),"Uncle Sams Cider (04/04/2023)")</f>
        <v>Uncle Sams Cider (04/04/2023)</v>
      </c>
      <c r="H4089" s="19"/>
    </row>
    <row r="4090">
      <c r="A4090" s="9"/>
      <c r="B4090" s="15"/>
      <c r="C4090" s="9">
        <f>IFERROR(__xludf.DUMMYFUNCTION("""COMPUTED_VALUE"""),45101.7728792245)</f>
        <v>45101.77288</v>
      </c>
      <c r="D4090" s="15">
        <f>IFERROR(__xludf.DUMMYFUNCTION("""COMPUTED_VALUE"""),1.0)</f>
        <v>1</v>
      </c>
      <c r="E4090" s="16">
        <f>IFERROR(__xludf.DUMMYFUNCTION("""COMPUTED_VALUE"""),68.0)</f>
        <v>68</v>
      </c>
      <c r="F4090" s="19" t="str">
        <f>IFERROR(__xludf.DUMMYFUNCTION("""COMPUTED_VALUE"""),"BLUE")</f>
        <v>BLUE</v>
      </c>
      <c r="G4090" s="20" t="str">
        <f>IFERROR(__xludf.DUMMYFUNCTION("""COMPUTED_VALUE"""),"Uncle Sams Cider (04/04/2023)")</f>
        <v>Uncle Sams Cider (04/04/2023)</v>
      </c>
      <c r="H4090" s="19"/>
    </row>
    <row r="4091">
      <c r="A4091" s="9"/>
      <c r="B4091" s="15"/>
      <c r="C4091" s="9">
        <f>IFERROR(__xludf.DUMMYFUNCTION("""COMPUTED_VALUE"""),45101.7624576736)</f>
        <v>45101.76246</v>
      </c>
      <c r="D4091" s="15">
        <f>IFERROR(__xludf.DUMMYFUNCTION("""COMPUTED_VALUE"""),1.001)</f>
        <v>1.001</v>
      </c>
      <c r="E4091" s="16">
        <f>IFERROR(__xludf.DUMMYFUNCTION("""COMPUTED_VALUE"""),68.0)</f>
        <v>68</v>
      </c>
      <c r="F4091" s="19" t="str">
        <f>IFERROR(__xludf.DUMMYFUNCTION("""COMPUTED_VALUE"""),"BLUE")</f>
        <v>BLUE</v>
      </c>
      <c r="G4091" s="20" t="str">
        <f>IFERROR(__xludf.DUMMYFUNCTION("""COMPUTED_VALUE"""),"Uncle Sams Cider (04/04/2023)")</f>
        <v>Uncle Sams Cider (04/04/2023)</v>
      </c>
      <c r="H4091" s="19"/>
    </row>
    <row r="4092">
      <c r="A4092" s="9"/>
      <c r="B4092" s="15"/>
      <c r="C4092" s="9">
        <f>IFERROR(__xludf.DUMMYFUNCTION("""COMPUTED_VALUE"""),45101.7520354861)</f>
        <v>45101.75204</v>
      </c>
      <c r="D4092" s="15">
        <f>IFERROR(__xludf.DUMMYFUNCTION("""COMPUTED_VALUE"""),1.001)</f>
        <v>1.001</v>
      </c>
      <c r="E4092" s="16">
        <f>IFERROR(__xludf.DUMMYFUNCTION("""COMPUTED_VALUE"""),68.0)</f>
        <v>68</v>
      </c>
      <c r="F4092" s="19" t="str">
        <f>IFERROR(__xludf.DUMMYFUNCTION("""COMPUTED_VALUE"""),"BLUE")</f>
        <v>BLUE</v>
      </c>
      <c r="G4092" s="20" t="str">
        <f>IFERROR(__xludf.DUMMYFUNCTION("""COMPUTED_VALUE"""),"Uncle Sams Cider (04/04/2023)")</f>
        <v>Uncle Sams Cider (04/04/2023)</v>
      </c>
      <c r="H4092" s="19"/>
    </row>
    <row r="4093">
      <c r="A4093" s="9"/>
      <c r="B4093" s="15"/>
      <c r="C4093" s="9">
        <f>IFERROR(__xludf.DUMMYFUNCTION("""COMPUTED_VALUE"""),45101.7416149189)</f>
        <v>45101.74161</v>
      </c>
      <c r="D4093" s="15">
        <f>IFERROR(__xludf.DUMMYFUNCTION("""COMPUTED_VALUE"""),1.001)</f>
        <v>1.001</v>
      </c>
      <c r="E4093" s="16">
        <f>IFERROR(__xludf.DUMMYFUNCTION("""COMPUTED_VALUE"""),68.0)</f>
        <v>68</v>
      </c>
      <c r="F4093" s="19" t="str">
        <f>IFERROR(__xludf.DUMMYFUNCTION("""COMPUTED_VALUE"""),"BLUE")</f>
        <v>BLUE</v>
      </c>
      <c r="G4093" s="20" t="str">
        <f>IFERROR(__xludf.DUMMYFUNCTION("""COMPUTED_VALUE"""),"Uncle Sams Cider (04/04/2023)")</f>
        <v>Uncle Sams Cider (04/04/2023)</v>
      </c>
      <c r="H4093" s="19"/>
    </row>
    <row r="4094">
      <c r="A4094" s="9"/>
      <c r="B4094" s="15"/>
      <c r="C4094" s="9">
        <f>IFERROR(__xludf.DUMMYFUNCTION("""COMPUTED_VALUE"""),45101.7311842013)</f>
        <v>45101.73118</v>
      </c>
      <c r="D4094" s="15">
        <f>IFERROR(__xludf.DUMMYFUNCTION("""COMPUTED_VALUE"""),1.0)</f>
        <v>1</v>
      </c>
      <c r="E4094" s="16">
        <f>IFERROR(__xludf.DUMMYFUNCTION("""COMPUTED_VALUE"""),68.0)</f>
        <v>68</v>
      </c>
      <c r="F4094" s="19" t="str">
        <f>IFERROR(__xludf.DUMMYFUNCTION("""COMPUTED_VALUE"""),"BLUE")</f>
        <v>BLUE</v>
      </c>
      <c r="G4094" s="20" t="str">
        <f>IFERROR(__xludf.DUMMYFUNCTION("""COMPUTED_VALUE"""),"Uncle Sams Cider (04/04/2023)")</f>
        <v>Uncle Sams Cider (04/04/2023)</v>
      </c>
      <c r="H4094" s="19"/>
    </row>
    <row r="4095">
      <c r="A4095" s="9"/>
      <c r="B4095" s="15"/>
      <c r="C4095" s="9">
        <f>IFERROR(__xludf.DUMMYFUNCTION("""COMPUTED_VALUE"""),45101.7207626273)</f>
        <v>45101.72076</v>
      </c>
      <c r="D4095" s="15">
        <f>IFERROR(__xludf.DUMMYFUNCTION("""COMPUTED_VALUE"""),1.001)</f>
        <v>1.001</v>
      </c>
      <c r="E4095" s="16">
        <f>IFERROR(__xludf.DUMMYFUNCTION("""COMPUTED_VALUE"""),68.0)</f>
        <v>68</v>
      </c>
      <c r="F4095" s="19" t="str">
        <f>IFERROR(__xludf.DUMMYFUNCTION("""COMPUTED_VALUE"""),"BLUE")</f>
        <v>BLUE</v>
      </c>
      <c r="G4095" s="20" t="str">
        <f>IFERROR(__xludf.DUMMYFUNCTION("""COMPUTED_VALUE"""),"Uncle Sams Cider (04/04/2023)")</f>
        <v>Uncle Sams Cider (04/04/2023)</v>
      </c>
      <c r="H4095" s="19"/>
    </row>
    <row r="4096">
      <c r="A4096" s="9"/>
      <c r="B4096" s="15"/>
      <c r="C4096" s="9">
        <f>IFERROR(__xludf.DUMMYFUNCTION("""COMPUTED_VALUE"""),45101.7103420486)</f>
        <v>45101.71034</v>
      </c>
      <c r="D4096" s="15">
        <f>IFERROR(__xludf.DUMMYFUNCTION("""COMPUTED_VALUE"""),1.001)</f>
        <v>1.001</v>
      </c>
      <c r="E4096" s="16">
        <f>IFERROR(__xludf.DUMMYFUNCTION("""COMPUTED_VALUE"""),68.0)</f>
        <v>68</v>
      </c>
      <c r="F4096" s="19" t="str">
        <f>IFERROR(__xludf.DUMMYFUNCTION("""COMPUTED_VALUE"""),"BLUE")</f>
        <v>BLUE</v>
      </c>
      <c r="G4096" s="20" t="str">
        <f>IFERROR(__xludf.DUMMYFUNCTION("""COMPUTED_VALUE"""),"Uncle Sams Cider (04/04/2023)")</f>
        <v>Uncle Sams Cider (04/04/2023)</v>
      </c>
      <c r="H4096" s="19"/>
    </row>
    <row r="4097">
      <c r="A4097" s="9"/>
      <c r="B4097" s="15"/>
      <c r="C4097" s="9">
        <f>IFERROR(__xludf.DUMMYFUNCTION("""COMPUTED_VALUE"""),45101.6999098264)</f>
        <v>45101.69991</v>
      </c>
      <c r="D4097" s="15">
        <f>IFERROR(__xludf.DUMMYFUNCTION("""COMPUTED_VALUE"""),1.0)</f>
        <v>1</v>
      </c>
      <c r="E4097" s="16">
        <f>IFERROR(__xludf.DUMMYFUNCTION("""COMPUTED_VALUE"""),68.0)</f>
        <v>68</v>
      </c>
      <c r="F4097" s="19" t="str">
        <f>IFERROR(__xludf.DUMMYFUNCTION("""COMPUTED_VALUE"""),"BLUE")</f>
        <v>BLUE</v>
      </c>
      <c r="G4097" s="20" t="str">
        <f>IFERROR(__xludf.DUMMYFUNCTION("""COMPUTED_VALUE"""),"Uncle Sams Cider (04/04/2023)")</f>
        <v>Uncle Sams Cider (04/04/2023)</v>
      </c>
      <c r="H4097" s="19"/>
    </row>
    <row r="4098">
      <c r="A4098" s="9"/>
      <c r="B4098" s="15"/>
      <c r="C4098" s="9">
        <f>IFERROR(__xludf.DUMMYFUNCTION("""COMPUTED_VALUE"""),45101.6894875347)</f>
        <v>45101.68949</v>
      </c>
      <c r="D4098" s="15">
        <f>IFERROR(__xludf.DUMMYFUNCTION("""COMPUTED_VALUE"""),1.001)</f>
        <v>1.001</v>
      </c>
      <c r="E4098" s="16">
        <f>IFERROR(__xludf.DUMMYFUNCTION("""COMPUTED_VALUE"""),68.0)</f>
        <v>68</v>
      </c>
      <c r="F4098" s="19" t="str">
        <f>IFERROR(__xludf.DUMMYFUNCTION("""COMPUTED_VALUE"""),"BLUE")</f>
        <v>BLUE</v>
      </c>
      <c r="G4098" s="20" t="str">
        <f>IFERROR(__xludf.DUMMYFUNCTION("""COMPUTED_VALUE"""),"Uncle Sams Cider (04/04/2023)")</f>
        <v>Uncle Sams Cider (04/04/2023)</v>
      </c>
      <c r="H4098" s="19"/>
    </row>
    <row r="4099">
      <c r="A4099" s="9"/>
      <c r="B4099" s="15"/>
      <c r="C4099" s="9">
        <f>IFERROR(__xludf.DUMMYFUNCTION("""COMPUTED_VALUE"""),45101.6790542361)</f>
        <v>45101.67905</v>
      </c>
      <c r="D4099" s="15">
        <f>IFERROR(__xludf.DUMMYFUNCTION("""COMPUTED_VALUE"""),1.001)</f>
        <v>1.001</v>
      </c>
      <c r="E4099" s="16">
        <f>IFERROR(__xludf.DUMMYFUNCTION("""COMPUTED_VALUE"""),68.0)</f>
        <v>68</v>
      </c>
      <c r="F4099" s="19" t="str">
        <f>IFERROR(__xludf.DUMMYFUNCTION("""COMPUTED_VALUE"""),"BLUE")</f>
        <v>BLUE</v>
      </c>
      <c r="G4099" s="20" t="str">
        <f>IFERROR(__xludf.DUMMYFUNCTION("""COMPUTED_VALUE"""),"Uncle Sams Cider (04/04/2023)")</f>
        <v>Uncle Sams Cider (04/04/2023)</v>
      </c>
      <c r="H4099" s="19"/>
    </row>
    <row r="4100">
      <c r="A4100" s="9"/>
      <c r="B4100" s="15"/>
      <c r="C4100" s="9">
        <f>IFERROR(__xludf.DUMMYFUNCTION("""COMPUTED_VALUE"""),45101.6686335763)</f>
        <v>45101.66863</v>
      </c>
      <c r="D4100" s="15">
        <f>IFERROR(__xludf.DUMMYFUNCTION("""COMPUTED_VALUE"""),1.0)</f>
        <v>1</v>
      </c>
      <c r="E4100" s="16">
        <f>IFERROR(__xludf.DUMMYFUNCTION("""COMPUTED_VALUE"""),68.0)</f>
        <v>68</v>
      </c>
      <c r="F4100" s="19" t="str">
        <f>IFERROR(__xludf.DUMMYFUNCTION("""COMPUTED_VALUE"""),"BLUE")</f>
        <v>BLUE</v>
      </c>
      <c r="G4100" s="20" t="str">
        <f>IFERROR(__xludf.DUMMYFUNCTION("""COMPUTED_VALUE"""),"Uncle Sams Cider (04/04/2023)")</f>
        <v>Uncle Sams Cider (04/04/2023)</v>
      </c>
      <c r="H4100" s="19"/>
    </row>
    <row r="4101">
      <c r="A4101" s="9"/>
      <c r="B4101" s="15"/>
      <c r="C4101" s="9">
        <f>IFERROR(__xludf.DUMMYFUNCTION("""COMPUTED_VALUE"""),45101.6582135069)</f>
        <v>45101.65821</v>
      </c>
      <c r="D4101" s="15">
        <f>IFERROR(__xludf.DUMMYFUNCTION("""COMPUTED_VALUE"""),1.0)</f>
        <v>1</v>
      </c>
      <c r="E4101" s="16">
        <f>IFERROR(__xludf.DUMMYFUNCTION("""COMPUTED_VALUE"""),68.0)</f>
        <v>68</v>
      </c>
      <c r="F4101" s="19" t="str">
        <f>IFERROR(__xludf.DUMMYFUNCTION("""COMPUTED_VALUE"""),"BLUE")</f>
        <v>BLUE</v>
      </c>
      <c r="G4101" s="20" t="str">
        <f>IFERROR(__xludf.DUMMYFUNCTION("""COMPUTED_VALUE"""),"Uncle Sams Cider (04/04/2023)")</f>
        <v>Uncle Sams Cider (04/04/2023)</v>
      </c>
      <c r="H4101" s="19"/>
    </row>
    <row r="4102">
      <c r="A4102" s="9"/>
      <c r="B4102" s="15"/>
      <c r="C4102" s="9">
        <f>IFERROR(__xludf.DUMMYFUNCTION("""COMPUTED_VALUE"""),45101.6477923842)</f>
        <v>45101.64779</v>
      </c>
      <c r="D4102" s="15">
        <f>IFERROR(__xludf.DUMMYFUNCTION("""COMPUTED_VALUE"""),1.001)</f>
        <v>1.001</v>
      </c>
      <c r="E4102" s="16">
        <f>IFERROR(__xludf.DUMMYFUNCTION("""COMPUTED_VALUE"""),68.0)</f>
        <v>68</v>
      </c>
      <c r="F4102" s="19" t="str">
        <f>IFERROR(__xludf.DUMMYFUNCTION("""COMPUTED_VALUE"""),"BLUE")</f>
        <v>BLUE</v>
      </c>
      <c r="G4102" s="20" t="str">
        <f>IFERROR(__xludf.DUMMYFUNCTION("""COMPUTED_VALUE"""),"Uncle Sams Cider (04/04/2023)")</f>
        <v>Uncle Sams Cider (04/04/2023)</v>
      </c>
      <c r="H4102" s="19"/>
    </row>
    <row r="4103">
      <c r="A4103" s="9"/>
      <c r="B4103" s="15"/>
      <c r="C4103" s="9">
        <f>IFERROR(__xludf.DUMMYFUNCTION("""COMPUTED_VALUE"""),45101.6373713773)</f>
        <v>45101.63737</v>
      </c>
      <c r="D4103" s="15">
        <f>IFERROR(__xludf.DUMMYFUNCTION("""COMPUTED_VALUE"""),1.001)</f>
        <v>1.001</v>
      </c>
      <c r="E4103" s="16">
        <f>IFERROR(__xludf.DUMMYFUNCTION("""COMPUTED_VALUE"""),68.0)</f>
        <v>68</v>
      </c>
      <c r="F4103" s="19" t="str">
        <f>IFERROR(__xludf.DUMMYFUNCTION("""COMPUTED_VALUE"""),"BLUE")</f>
        <v>BLUE</v>
      </c>
      <c r="G4103" s="20" t="str">
        <f>IFERROR(__xludf.DUMMYFUNCTION("""COMPUTED_VALUE"""),"Uncle Sams Cider (04/04/2023)")</f>
        <v>Uncle Sams Cider (04/04/2023)</v>
      </c>
      <c r="H4103" s="19"/>
    </row>
    <row r="4104">
      <c r="A4104" s="9"/>
      <c r="B4104" s="15"/>
      <c r="C4104" s="9">
        <f>IFERROR(__xludf.DUMMYFUNCTION("""COMPUTED_VALUE"""),45101.62693853)</f>
        <v>45101.62694</v>
      </c>
      <c r="D4104" s="15">
        <f>IFERROR(__xludf.DUMMYFUNCTION("""COMPUTED_VALUE"""),1.001)</f>
        <v>1.001</v>
      </c>
      <c r="E4104" s="16">
        <f>IFERROR(__xludf.DUMMYFUNCTION("""COMPUTED_VALUE"""),68.0)</f>
        <v>68</v>
      </c>
      <c r="F4104" s="19" t="str">
        <f>IFERROR(__xludf.DUMMYFUNCTION("""COMPUTED_VALUE"""),"BLUE")</f>
        <v>BLUE</v>
      </c>
      <c r="G4104" s="20" t="str">
        <f>IFERROR(__xludf.DUMMYFUNCTION("""COMPUTED_VALUE"""),"Uncle Sams Cider (04/04/2023)")</f>
        <v>Uncle Sams Cider (04/04/2023)</v>
      </c>
      <c r="H4104" s="19"/>
    </row>
    <row r="4105">
      <c r="A4105" s="9"/>
      <c r="B4105" s="15"/>
      <c r="C4105" s="9">
        <f>IFERROR(__xludf.DUMMYFUNCTION("""COMPUTED_VALUE"""),45101.6165160995)</f>
        <v>45101.61652</v>
      </c>
      <c r="D4105" s="15">
        <f>IFERROR(__xludf.DUMMYFUNCTION("""COMPUTED_VALUE"""),1.001)</f>
        <v>1.001</v>
      </c>
      <c r="E4105" s="16">
        <f>IFERROR(__xludf.DUMMYFUNCTION("""COMPUTED_VALUE"""),68.0)</f>
        <v>68</v>
      </c>
      <c r="F4105" s="19" t="str">
        <f>IFERROR(__xludf.DUMMYFUNCTION("""COMPUTED_VALUE"""),"BLUE")</f>
        <v>BLUE</v>
      </c>
      <c r="G4105" s="20" t="str">
        <f>IFERROR(__xludf.DUMMYFUNCTION("""COMPUTED_VALUE"""),"Uncle Sams Cider (04/04/2023)")</f>
        <v>Uncle Sams Cider (04/04/2023)</v>
      </c>
      <c r="H4105" s="19"/>
    </row>
    <row r="4106">
      <c r="A4106" s="9"/>
      <c r="B4106" s="15"/>
      <c r="C4106" s="9">
        <f>IFERROR(__xludf.DUMMYFUNCTION("""COMPUTED_VALUE"""),45101.606094375)</f>
        <v>45101.60609</v>
      </c>
      <c r="D4106" s="15">
        <f>IFERROR(__xludf.DUMMYFUNCTION("""COMPUTED_VALUE"""),1.001)</f>
        <v>1.001</v>
      </c>
      <c r="E4106" s="16">
        <f>IFERROR(__xludf.DUMMYFUNCTION("""COMPUTED_VALUE"""),68.0)</f>
        <v>68</v>
      </c>
      <c r="F4106" s="19" t="str">
        <f>IFERROR(__xludf.DUMMYFUNCTION("""COMPUTED_VALUE"""),"BLUE")</f>
        <v>BLUE</v>
      </c>
      <c r="G4106" s="20" t="str">
        <f>IFERROR(__xludf.DUMMYFUNCTION("""COMPUTED_VALUE"""),"Uncle Sams Cider (04/04/2023)")</f>
        <v>Uncle Sams Cider (04/04/2023)</v>
      </c>
      <c r="H4106" s="19"/>
    </row>
    <row r="4107">
      <c r="A4107" s="9"/>
      <c r="B4107" s="15"/>
      <c r="C4107" s="9">
        <f>IFERROR(__xludf.DUMMYFUNCTION("""COMPUTED_VALUE"""),45101.5956627199)</f>
        <v>45101.59566</v>
      </c>
      <c r="D4107" s="15">
        <f>IFERROR(__xludf.DUMMYFUNCTION("""COMPUTED_VALUE"""),1.001)</f>
        <v>1.001</v>
      </c>
      <c r="E4107" s="16">
        <f>IFERROR(__xludf.DUMMYFUNCTION("""COMPUTED_VALUE"""),68.0)</f>
        <v>68</v>
      </c>
      <c r="F4107" s="19" t="str">
        <f>IFERROR(__xludf.DUMMYFUNCTION("""COMPUTED_VALUE"""),"BLUE")</f>
        <v>BLUE</v>
      </c>
      <c r="G4107" s="20" t="str">
        <f>IFERROR(__xludf.DUMMYFUNCTION("""COMPUTED_VALUE"""),"Uncle Sams Cider (04/04/2023)")</f>
        <v>Uncle Sams Cider (04/04/2023)</v>
      </c>
      <c r="H4107" s="19"/>
    </row>
    <row r="4108">
      <c r="A4108" s="9"/>
      <c r="B4108" s="15"/>
      <c r="C4108" s="9">
        <f>IFERROR(__xludf.DUMMYFUNCTION("""COMPUTED_VALUE"""),45101.5852172569)</f>
        <v>45101.58522</v>
      </c>
      <c r="D4108" s="15">
        <f>IFERROR(__xludf.DUMMYFUNCTION("""COMPUTED_VALUE"""),1.001)</f>
        <v>1.001</v>
      </c>
      <c r="E4108" s="16">
        <f>IFERROR(__xludf.DUMMYFUNCTION("""COMPUTED_VALUE"""),68.0)</f>
        <v>68</v>
      </c>
      <c r="F4108" s="19" t="str">
        <f>IFERROR(__xludf.DUMMYFUNCTION("""COMPUTED_VALUE"""),"BLUE")</f>
        <v>BLUE</v>
      </c>
      <c r="G4108" s="20" t="str">
        <f>IFERROR(__xludf.DUMMYFUNCTION("""COMPUTED_VALUE"""),"Uncle Sams Cider (04/04/2023)")</f>
        <v>Uncle Sams Cider (04/04/2023)</v>
      </c>
      <c r="H4108" s="19"/>
    </row>
    <row r="4109">
      <c r="A4109" s="9"/>
      <c r="B4109" s="15"/>
      <c r="C4109" s="9">
        <f>IFERROR(__xludf.DUMMYFUNCTION("""COMPUTED_VALUE"""),45101.5747717013)</f>
        <v>45101.57477</v>
      </c>
      <c r="D4109" s="15">
        <f>IFERROR(__xludf.DUMMYFUNCTION("""COMPUTED_VALUE"""),1.001)</f>
        <v>1.001</v>
      </c>
      <c r="E4109" s="16">
        <f>IFERROR(__xludf.DUMMYFUNCTION("""COMPUTED_VALUE"""),68.0)</f>
        <v>68</v>
      </c>
      <c r="F4109" s="19" t="str">
        <f>IFERROR(__xludf.DUMMYFUNCTION("""COMPUTED_VALUE"""),"BLUE")</f>
        <v>BLUE</v>
      </c>
      <c r="G4109" s="20" t="str">
        <f>IFERROR(__xludf.DUMMYFUNCTION("""COMPUTED_VALUE"""),"Uncle Sams Cider (04/04/2023)")</f>
        <v>Uncle Sams Cider (04/04/2023)</v>
      </c>
      <c r="H4109" s="19"/>
    </row>
    <row r="4110">
      <c r="A4110" s="9"/>
      <c r="B4110" s="15"/>
      <c r="C4110" s="9">
        <f>IFERROR(__xludf.DUMMYFUNCTION("""COMPUTED_VALUE"""),45101.5643493981)</f>
        <v>45101.56435</v>
      </c>
      <c r="D4110" s="15">
        <f>IFERROR(__xludf.DUMMYFUNCTION("""COMPUTED_VALUE"""),1.001)</f>
        <v>1.001</v>
      </c>
      <c r="E4110" s="16">
        <f>IFERROR(__xludf.DUMMYFUNCTION("""COMPUTED_VALUE"""),68.0)</f>
        <v>68</v>
      </c>
      <c r="F4110" s="19" t="str">
        <f>IFERROR(__xludf.DUMMYFUNCTION("""COMPUTED_VALUE"""),"BLUE")</f>
        <v>BLUE</v>
      </c>
      <c r="G4110" s="20" t="str">
        <f>IFERROR(__xludf.DUMMYFUNCTION("""COMPUTED_VALUE"""),"Uncle Sams Cider (04/04/2023)")</f>
        <v>Uncle Sams Cider (04/04/2023)</v>
      </c>
      <c r="H4110" s="19"/>
    </row>
    <row r="4111">
      <c r="A4111" s="9"/>
      <c r="B4111" s="15"/>
      <c r="C4111" s="9">
        <f>IFERROR(__xludf.DUMMYFUNCTION("""COMPUTED_VALUE"""),45101.5539284953)</f>
        <v>45101.55393</v>
      </c>
      <c r="D4111" s="15">
        <f>IFERROR(__xludf.DUMMYFUNCTION("""COMPUTED_VALUE"""),1.001)</f>
        <v>1.001</v>
      </c>
      <c r="E4111" s="16">
        <f>IFERROR(__xludf.DUMMYFUNCTION("""COMPUTED_VALUE"""),68.0)</f>
        <v>68</v>
      </c>
      <c r="F4111" s="19" t="str">
        <f>IFERROR(__xludf.DUMMYFUNCTION("""COMPUTED_VALUE"""),"BLUE")</f>
        <v>BLUE</v>
      </c>
      <c r="G4111" s="20" t="str">
        <f>IFERROR(__xludf.DUMMYFUNCTION("""COMPUTED_VALUE"""),"Uncle Sams Cider (04/04/2023)")</f>
        <v>Uncle Sams Cider (04/04/2023)</v>
      </c>
      <c r="H4111" s="19"/>
    </row>
    <row r="4112">
      <c r="A4112" s="9"/>
      <c r="B4112" s="15"/>
      <c r="C4112" s="9">
        <f>IFERROR(__xludf.DUMMYFUNCTION("""COMPUTED_VALUE"""),45101.5435059027)</f>
        <v>45101.54351</v>
      </c>
      <c r="D4112" s="15">
        <f>IFERROR(__xludf.DUMMYFUNCTION("""COMPUTED_VALUE"""),1.001)</f>
        <v>1.001</v>
      </c>
      <c r="E4112" s="16">
        <f>IFERROR(__xludf.DUMMYFUNCTION("""COMPUTED_VALUE"""),68.0)</f>
        <v>68</v>
      </c>
      <c r="F4112" s="19" t="str">
        <f>IFERROR(__xludf.DUMMYFUNCTION("""COMPUTED_VALUE"""),"BLUE")</f>
        <v>BLUE</v>
      </c>
      <c r="G4112" s="20" t="str">
        <f>IFERROR(__xludf.DUMMYFUNCTION("""COMPUTED_VALUE"""),"Uncle Sams Cider (04/04/2023)")</f>
        <v>Uncle Sams Cider (04/04/2023)</v>
      </c>
      <c r="H4112" s="19"/>
    </row>
    <row r="4113">
      <c r="A4113" s="9"/>
      <c r="B4113" s="15"/>
      <c r="C4113" s="9">
        <f>IFERROR(__xludf.DUMMYFUNCTION("""COMPUTED_VALUE"""),45101.5330852546)</f>
        <v>45101.53309</v>
      </c>
      <c r="D4113" s="15">
        <f>IFERROR(__xludf.DUMMYFUNCTION("""COMPUTED_VALUE"""),1.001)</f>
        <v>1.001</v>
      </c>
      <c r="E4113" s="16">
        <f>IFERROR(__xludf.DUMMYFUNCTION("""COMPUTED_VALUE"""),68.0)</f>
        <v>68</v>
      </c>
      <c r="F4113" s="19" t="str">
        <f>IFERROR(__xludf.DUMMYFUNCTION("""COMPUTED_VALUE"""),"BLUE")</f>
        <v>BLUE</v>
      </c>
      <c r="G4113" s="20" t="str">
        <f>IFERROR(__xludf.DUMMYFUNCTION("""COMPUTED_VALUE"""),"Uncle Sams Cider (04/04/2023)")</f>
        <v>Uncle Sams Cider (04/04/2023)</v>
      </c>
      <c r="H4113" s="19"/>
    </row>
    <row r="4114">
      <c r="A4114" s="9"/>
      <c r="B4114" s="15"/>
      <c r="C4114" s="9">
        <f>IFERROR(__xludf.DUMMYFUNCTION("""COMPUTED_VALUE"""),45101.5226655439)</f>
        <v>45101.52267</v>
      </c>
      <c r="D4114" s="15">
        <f>IFERROR(__xludf.DUMMYFUNCTION("""COMPUTED_VALUE"""),1.001)</f>
        <v>1.001</v>
      </c>
      <c r="E4114" s="16">
        <f>IFERROR(__xludf.DUMMYFUNCTION("""COMPUTED_VALUE"""),68.0)</f>
        <v>68</v>
      </c>
      <c r="F4114" s="19" t="str">
        <f>IFERROR(__xludf.DUMMYFUNCTION("""COMPUTED_VALUE"""),"BLUE")</f>
        <v>BLUE</v>
      </c>
      <c r="G4114" s="20" t="str">
        <f>IFERROR(__xludf.DUMMYFUNCTION("""COMPUTED_VALUE"""),"Uncle Sams Cider (04/04/2023)")</f>
        <v>Uncle Sams Cider (04/04/2023)</v>
      </c>
      <c r="H4114" s="19"/>
    </row>
    <row r="4115">
      <c r="A4115" s="9"/>
      <c r="B4115" s="15"/>
      <c r="C4115" s="9">
        <f>IFERROR(__xludf.DUMMYFUNCTION("""COMPUTED_VALUE"""),45101.5122324652)</f>
        <v>45101.51223</v>
      </c>
      <c r="D4115" s="15">
        <f>IFERROR(__xludf.DUMMYFUNCTION("""COMPUTED_VALUE"""),1.001)</f>
        <v>1.001</v>
      </c>
      <c r="E4115" s="16">
        <f>IFERROR(__xludf.DUMMYFUNCTION("""COMPUTED_VALUE"""),68.0)</f>
        <v>68</v>
      </c>
      <c r="F4115" s="19" t="str">
        <f>IFERROR(__xludf.DUMMYFUNCTION("""COMPUTED_VALUE"""),"BLUE")</f>
        <v>BLUE</v>
      </c>
      <c r="G4115" s="20" t="str">
        <f>IFERROR(__xludf.DUMMYFUNCTION("""COMPUTED_VALUE"""),"Uncle Sams Cider (04/04/2023)")</f>
        <v>Uncle Sams Cider (04/04/2023)</v>
      </c>
      <c r="H4115" s="19"/>
    </row>
    <row r="4116">
      <c r="A4116" s="9"/>
      <c r="B4116" s="15"/>
      <c r="C4116" s="9">
        <f>IFERROR(__xludf.DUMMYFUNCTION("""COMPUTED_VALUE"""),45101.501799074)</f>
        <v>45101.5018</v>
      </c>
      <c r="D4116" s="15">
        <f>IFERROR(__xludf.DUMMYFUNCTION("""COMPUTED_VALUE"""),1.001)</f>
        <v>1.001</v>
      </c>
      <c r="E4116" s="16">
        <f>IFERROR(__xludf.DUMMYFUNCTION("""COMPUTED_VALUE"""),68.0)</f>
        <v>68</v>
      </c>
      <c r="F4116" s="19" t="str">
        <f>IFERROR(__xludf.DUMMYFUNCTION("""COMPUTED_VALUE"""),"BLUE")</f>
        <v>BLUE</v>
      </c>
      <c r="G4116" s="20" t="str">
        <f>IFERROR(__xludf.DUMMYFUNCTION("""COMPUTED_VALUE"""),"Uncle Sams Cider (04/04/2023)")</f>
        <v>Uncle Sams Cider (04/04/2023)</v>
      </c>
      <c r="H4116" s="19"/>
    </row>
    <row r="4117">
      <c r="A4117" s="9"/>
      <c r="B4117" s="15"/>
      <c r="C4117" s="9">
        <f>IFERROR(__xludf.DUMMYFUNCTION("""COMPUTED_VALUE"""),45101.4913780787)</f>
        <v>45101.49138</v>
      </c>
      <c r="D4117" s="15">
        <f>IFERROR(__xludf.DUMMYFUNCTION("""COMPUTED_VALUE"""),1.001)</f>
        <v>1.001</v>
      </c>
      <c r="E4117" s="16">
        <f>IFERROR(__xludf.DUMMYFUNCTION("""COMPUTED_VALUE"""),68.0)</f>
        <v>68</v>
      </c>
      <c r="F4117" s="19" t="str">
        <f>IFERROR(__xludf.DUMMYFUNCTION("""COMPUTED_VALUE"""),"BLUE")</f>
        <v>BLUE</v>
      </c>
      <c r="G4117" s="20" t="str">
        <f>IFERROR(__xludf.DUMMYFUNCTION("""COMPUTED_VALUE"""),"Uncle Sams Cider (04/04/2023)")</f>
        <v>Uncle Sams Cider (04/04/2023)</v>
      </c>
      <c r="H4117" s="19"/>
    </row>
    <row r="4118">
      <c r="A4118" s="9"/>
      <c r="B4118" s="15"/>
      <c r="C4118" s="9">
        <f>IFERROR(__xludf.DUMMYFUNCTION("""COMPUTED_VALUE"""),45101.4809568171)</f>
        <v>45101.48096</v>
      </c>
      <c r="D4118" s="15">
        <f>IFERROR(__xludf.DUMMYFUNCTION("""COMPUTED_VALUE"""),1.001)</f>
        <v>1.001</v>
      </c>
      <c r="E4118" s="16">
        <f>IFERROR(__xludf.DUMMYFUNCTION("""COMPUTED_VALUE"""),68.0)</f>
        <v>68</v>
      </c>
      <c r="F4118" s="19" t="str">
        <f>IFERROR(__xludf.DUMMYFUNCTION("""COMPUTED_VALUE"""),"BLUE")</f>
        <v>BLUE</v>
      </c>
      <c r="G4118" s="20" t="str">
        <f>IFERROR(__xludf.DUMMYFUNCTION("""COMPUTED_VALUE"""),"Uncle Sams Cider (04/04/2023)")</f>
        <v>Uncle Sams Cider (04/04/2023)</v>
      </c>
      <c r="H4118" s="19"/>
    </row>
    <row r="4119">
      <c r="A4119" s="9"/>
      <c r="B4119" s="15"/>
      <c r="C4119" s="9">
        <f>IFERROR(__xludf.DUMMYFUNCTION("""COMPUTED_VALUE"""),45101.4705358564)</f>
        <v>45101.47054</v>
      </c>
      <c r="D4119" s="15">
        <f>IFERROR(__xludf.DUMMYFUNCTION("""COMPUTED_VALUE"""),1.001)</f>
        <v>1.001</v>
      </c>
      <c r="E4119" s="16">
        <f>IFERROR(__xludf.DUMMYFUNCTION("""COMPUTED_VALUE"""),68.0)</f>
        <v>68</v>
      </c>
      <c r="F4119" s="19" t="str">
        <f>IFERROR(__xludf.DUMMYFUNCTION("""COMPUTED_VALUE"""),"BLUE")</f>
        <v>BLUE</v>
      </c>
      <c r="G4119" s="20" t="str">
        <f>IFERROR(__xludf.DUMMYFUNCTION("""COMPUTED_VALUE"""),"Uncle Sams Cider (04/04/2023)")</f>
        <v>Uncle Sams Cider (04/04/2023)</v>
      </c>
      <c r="H4119" s="19"/>
    </row>
    <row r="4120">
      <c r="A4120" s="9"/>
      <c r="B4120" s="15"/>
      <c r="C4120" s="9">
        <f>IFERROR(__xludf.DUMMYFUNCTION("""COMPUTED_VALUE"""),45101.4601044791)</f>
        <v>45101.4601</v>
      </c>
      <c r="D4120" s="15">
        <f>IFERROR(__xludf.DUMMYFUNCTION("""COMPUTED_VALUE"""),1.001)</f>
        <v>1.001</v>
      </c>
      <c r="E4120" s="16">
        <f>IFERROR(__xludf.DUMMYFUNCTION("""COMPUTED_VALUE"""),68.0)</f>
        <v>68</v>
      </c>
      <c r="F4120" s="19" t="str">
        <f>IFERROR(__xludf.DUMMYFUNCTION("""COMPUTED_VALUE"""),"BLUE")</f>
        <v>BLUE</v>
      </c>
      <c r="G4120" s="20" t="str">
        <f>IFERROR(__xludf.DUMMYFUNCTION("""COMPUTED_VALUE"""),"Uncle Sams Cider (04/04/2023)")</f>
        <v>Uncle Sams Cider (04/04/2023)</v>
      </c>
      <c r="H4120" s="19"/>
    </row>
    <row r="4121">
      <c r="A4121" s="9"/>
      <c r="B4121" s="15"/>
      <c r="C4121" s="9">
        <f>IFERROR(__xludf.DUMMYFUNCTION("""COMPUTED_VALUE"""),45101.4496694676)</f>
        <v>45101.44967</v>
      </c>
      <c r="D4121" s="15">
        <f>IFERROR(__xludf.DUMMYFUNCTION("""COMPUTED_VALUE"""),1.001)</f>
        <v>1.001</v>
      </c>
      <c r="E4121" s="16">
        <f>IFERROR(__xludf.DUMMYFUNCTION("""COMPUTED_VALUE"""),68.0)</f>
        <v>68</v>
      </c>
      <c r="F4121" s="19" t="str">
        <f>IFERROR(__xludf.DUMMYFUNCTION("""COMPUTED_VALUE"""),"BLUE")</f>
        <v>BLUE</v>
      </c>
      <c r="G4121" s="20" t="str">
        <f>IFERROR(__xludf.DUMMYFUNCTION("""COMPUTED_VALUE"""),"Uncle Sams Cider (04/04/2023)")</f>
        <v>Uncle Sams Cider (04/04/2023)</v>
      </c>
      <c r="H4121" s="19"/>
    </row>
    <row r="4122">
      <c r="A4122" s="9"/>
      <c r="B4122" s="15"/>
      <c r="C4122" s="9">
        <f>IFERROR(__xludf.DUMMYFUNCTION("""COMPUTED_VALUE"""),45101.4392462731)</f>
        <v>45101.43925</v>
      </c>
      <c r="D4122" s="15">
        <f>IFERROR(__xludf.DUMMYFUNCTION("""COMPUTED_VALUE"""),1.001)</f>
        <v>1.001</v>
      </c>
      <c r="E4122" s="16">
        <f>IFERROR(__xludf.DUMMYFUNCTION("""COMPUTED_VALUE"""),68.0)</f>
        <v>68</v>
      </c>
      <c r="F4122" s="19" t="str">
        <f>IFERROR(__xludf.DUMMYFUNCTION("""COMPUTED_VALUE"""),"BLUE")</f>
        <v>BLUE</v>
      </c>
      <c r="G4122" s="20" t="str">
        <f>IFERROR(__xludf.DUMMYFUNCTION("""COMPUTED_VALUE"""),"Uncle Sams Cider (04/04/2023)")</f>
        <v>Uncle Sams Cider (04/04/2023)</v>
      </c>
      <c r="H4122" s="19"/>
    </row>
    <row r="4123">
      <c r="A4123" s="9"/>
      <c r="B4123" s="15"/>
      <c r="C4123" s="9">
        <f>IFERROR(__xludf.DUMMYFUNCTION("""COMPUTED_VALUE"""),45101.4288012731)</f>
        <v>45101.4288</v>
      </c>
      <c r="D4123" s="15">
        <f>IFERROR(__xludf.DUMMYFUNCTION("""COMPUTED_VALUE"""),1.001)</f>
        <v>1.001</v>
      </c>
      <c r="E4123" s="16">
        <f>IFERROR(__xludf.DUMMYFUNCTION("""COMPUTED_VALUE"""),68.0)</f>
        <v>68</v>
      </c>
      <c r="F4123" s="19" t="str">
        <f>IFERROR(__xludf.DUMMYFUNCTION("""COMPUTED_VALUE"""),"BLUE")</f>
        <v>BLUE</v>
      </c>
      <c r="G4123" s="20" t="str">
        <f>IFERROR(__xludf.DUMMYFUNCTION("""COMPUTED_VALUE"""),"Uncle Sams Cider (04/04/2023)")</f>
        <v>Uncle Sams Cider (04/04/2023)</v>
      </c>
      <c r="H4123" s="19"/>
    </row>
    <row r="4124">
      <c r="A4124" s="9"/>
      <c r="B4124" s="15"/>
      <c r="C4124" s="9">
        <f>IFERROR(__xludf.DUMMYFUNCTION("""COMPUTED_VALUE"""),45101.4183804629)</f>
        <v>45101.41838</v>
      </c>
      <c r="D4124" s="15">
        <f>IFERROR(__xludf.DUMMYFUNCTION("""COMPUTED_VALUE"""),1.001)</f>
        <v>1.001</v>
      </c>
      <c r="E4124" s="16">
        <f>IFERROR(__xludf.DUMMYFUNCTION("""COMPUTED_VALUE"""),68.0)</f>
        <v>68</v>
      </c>
      <c r="F4124" s="19" t="str">
        <f>IFERROR(__xludf.DUMMYFUNCTION("""COMPUTED_VALUE"""),"BLUE")</f>
        <v>BLUE</v>
      </c>
      <c r="G4124" s="20" t="str">
        <f>IFERROR(__xludf.DUMMYFUNCTION("""COMPUTED_VALUE"""),"Uncle Sams Cider (04/04/2023)")</f>
        <v>Uncle Sams Cider (04/04/2023)</v>
      </c>
      <c r="H4124" s="19"/>
    </row>
    <row r="4125">
      <c r="A4125" s="9"/>
      <c r="B4125" s="15"/>
      <c r="C4125" s="9">
        <f>IFERROR(__xludf.DUMMYFUNCTION("""COMPUTED_VALUE"""),45101.40796)</f>
        <v>45101.40796</v>
      </c>
      <c r="D4125" s="15">
        <f>IFERROR(__xludf.DUMMYFUNCTION("""COMPUTED_VALUE"""),1.001)</f>
        <v>1.001</v>
      </c>
      <c r="E4125" s="16">
        <f>IFERROR(__xludf.DUMMYFUNCTION("""COMPUTED_VALUE"""),68.0)</f>
        <v>68</v>
      </c>
      <c r="F4125" s="19" t="str">
        <f>IFERROR(__xludf.DUMMYFUNCTION("""COMPUTED_VALUE"""),"BLUE")</f>
        <v>BLUE</v>
      </c>
      <c r="G4125" s="20" t="str">
        <f>IFERROR(__xludf.DUMMYFUNCTION("""COMPUTED_VALUE"""),"Uncle Sams Cider (04/04/2023)")</f>
        <v>Uncle Sams Cider (04/04/2023)</v>
      </c>
      <c r="H4125" s="19"/>
    </row>
    <row r="4126">
      <c r="A4126" s="9"/>
      <c r="B4126" s="15"/>
      <c r="C4126" s="9">
        <f>IFERROR(__xludf.DUMMYFUNCTION("""COMPUTED_VALUE"""),45101.397538449)</f>
        <v>45101.39754</v>
      </c>
      <c r="D4126" s="15">
        <f>IFERROR(__xludf.DUMMYFUNCTION("""COMPUTED_VALUE"""),1.001)</f>
        <v>1.001</v>
      </c>
      <c r="E4126" s="16">
        <f>IFERROR(__xludf.DUMMYFUNCTION("""COMPUTED_VALUE"""),68.0)</f>
        <v>68</v>
      </c>
      <c r="F4126" s="19" t="str">
        <f>IFERROR(__xludf.DUMMYFUNCTION("""COMPUTED_VALUE"""),"BLUE")</f>
        <v>BLUE</v>
      </c>
      <c r="G4126" s="20" t="str">
        <f>IFERROR(__xludf.DUMMYFUNCTION("""COMPUTED_VALUE"""),"Uncle Sams Cider (04/04/2023)")</f>
        <v>Uncle Sams Cider (04/04/2023)</v>
      </c>
      <c r="H4126" s="19"/>
    </row>
    <row r="4127">
      <c r="A4127" s="9"/>
      <c r="B4127" s="15"/>
      <c r="C4127" s="9">
        <f>IFERROR(__xludf.DUMMYFUNCTION("""COMPUTED_VALUE"""),45101.3871182407)</f>
        <v>45101.38712</v>
      </c>
      <c r="D4127" s="15">
        <f>IFERROR(__xludf.DUMMYFUNCTION("""COMPUTED_VALUE"""),1.001)</f>
        <v>1.001</v>
      </c>
      <c r="E4127" s="16">
        <f>IFERROR(__xludf.DUMMYFUNCTION("""COMPUTED_VALUE"""),68.0)</f>
        <v>68</v>
      </c>
      <c r="F4127" s="19" t="str">
        <f>IFERROR(__xludf.DUMMYFUNCTION("""COMPUTED_VALUE"""),"BLUE")</f>
        <v>BLUE</v>
      </c>
      <c r="G4127" s="20" t="str">
        <f>IFERROR(__xludf.DUMMYFUNCTION("""COMPUTED_VALUE"""),"Uncle Sams Cider (04/04/2023)")</f>
        <v>Uncle Sams Cider (04/04/2023)</v>
      </c>
      <c r="H4127" s="19"/>
    </row>
    <row r="4128">
      <c r="A4128" s="9"/>
      <c r="B4128" s="15"/>
      <c r="C4128" s="9">
        <f>IFERROR(__xludf.DUMMYFUNCTION("""COMPUTED_VALUE"""),45101.3766971875)</f>
        <v>45101.3767</v>
      </c>
      <c r="D4128" s="15">
        <f>IFERROR(__xludf.DUMMYFUNCTION("""COMPUTED_VALUE"""),1.001)</f>
        <v>1.001</v>
      </c>
      <c r="E4128" s="16">
        <f>IFERROR(__xludf.DUMMYFUNCTION("""COMPUTED_VALUE"""),68.0)</f>
        <v>68</v>
      </c>
      <c r="F4128" s="19" t="str">
        <f>IFERROR(__xludf.DUMMYFUNCTION("""COMPUTED_VALUE"""),"BLUE")</f>
        <v>BLUE</v>
      </c>
      <c r="G4128" s="20" t="str">
        <f>IFERROR(__xludf.DUMMYFUNCTION("""COMPUTED_VALUE"""),"Uncle Sams Cider (04/04/2023)")</f>
        <v>Uncle Sams Cider (04/04/2023)</v>
      </c>
      <c r="H4128" s="19"/>
    </row>
    <row r="4129">
      <c r="A4129" s="9"/>
      <c r="B4129" s="15"/>
      <c r="C4129" s="9">
        <f>IFERROR(__xludf.DUMMYFUNCTION("""COMPUTED_VALUE"""),45101.3662759143)</f>
        <v>45101.36628</v>
      </c>
      <c r="D4129" s="15">
        <f>IFERROR(__xludf.DUMMYFUNCTION("""COMPUTED_VALUE"""),1.001)</f>
        <v>1.001</v>
      </c>
      <c r="E4129" s="16">
        <f>IFERROR(__xludf.DUMMYFUNCTION("""COMPUTED_VALUE"""),68.0)</f>
        <v>68</v>
      </c>
      <c r="F4129" s="19" t="str">
        <f>IFERROR(__xludf.DUMMYFUNCTION("""COMPUTED_VALUE"""),"BLUE")</f>
        <v>BLUE</v>
      </c>
      <c r="G4129" s="20" t="str">
        <f>IFERROR(__xludf.DUMMYFUNCTION("""COMPUTED_VALUE"""),"Uncle Sams Cider (04/04/2023)")</f>
        <v>Uncle Sams Cider (04/04/2023)</v>
      </c>
      <c r="H4129" s="19"/>
    </row>
    <row r="4130">
      <c r="A4130" s="9"/>
      <c r="B4130" s="15"/>
      <c r="C4130" s="9">
        <f>IFERROR(__xludf.DUMMYFUNCTION("""COMPUTED_VALUE"""),45101.3558549421)</f>
        <v>45101.35585</v>
      </c>
      <c r="D4130" s="15">
        <f>IFERROR(__xludf.DUMMYFUNCTION("""COMPUTED_VALUE"""),1.001)</f>
        <v>1.001</v>
      </c>
      <c r="E4130" s="16">
        <f>IFERROR(__xludf.DUMMYFUNCTION("""COMPUTED_VALUE"""),68.0)</f>
        <v>68</v>
      </c>
      <c r="F4130" s="19" t="str">
        <f>IFERROR(__xludf.DUMMYFUNCTION("""COMPUTED_VALUE"""),"BLUE")</f>
        <v>BLUE</v>
      </c>
      <c r="G4130" s="20" t="str">
        <f>IFERROR(__xludf.DUMMYFUNCTION("""COMPUTED_VALUE"""),"Uncle Sams Cider (04/04/2023)")</f>
        <v>Uncle Sams Cider (04/04/2023)</v>
      </c>
      <c r="H4130" s="19"/>
    </row>
    <row r="4131">
      <c r="A4131" s="9"/>
      <c r="B4131" s="15"/>
      <c r="C4131" s="9">
        <f>IFERROR(__xludf.DUMMYFUNCTION("""COMPUTED_VALUE"""),45101.3454347916)</f>
        <v>45101.34543</v>
      </c>
      <c r="D4131" s="15">
        <f>IFERROR(__xludf.DUMMYFUNCTION("""COMPUTED_VALUE"""),1.001)</f>
        <v>1.001</v>
      </c>
      <c r="E4131" s="16">
        <f>IFERROR(__xludf.DUMMYFUNCTION("""COMPUTED_VALUE"""),68.0)</f>
        <v>68</v>
      </c>
      <c r="F4131" s="19" t="str">
        <f>IFERROR(__xludf.DUMMYFUNCTION("""COMPUTED_VALUE"""),"BLUE")</f>
        <v>BLUE</v>
      </c>
      <c r="G4131" s="20" t="str">
        <f>IFERROR(__xludf.DUMMYFUNCTION("""COMPUTED_VALUE"""),"Uncle Sams Cider (04/04/2023)")</f>
        <v>Uncle Sams Cider (04/04/2023)</v>
      </c>
      <c r="H4131" s="19"/>
    </row>
    <row r="4132">
      <c r="A4132" s="9"/>
      <c r="B4132" s="15"/>
      <c r="C4132" s="9">
        <f>IFERROR(__xludf.DUMMYFUNCTION("""COMPUTED_VALUE"""),45101.3350134606)</f>
        <v>45101.33501</v>
      </c>
      <c r="D4132" s="15">
        <f>IFERROR(__xludf.DUMMYFUNCTION("""COMPUTED_VALUE"""),1.001)</f>
        <v>1.001</v>
      </c>
      <c r="E4132" s="16">
        <f>IFERROR(__xludf.DUMMYFUNCTION("""COMPUTED_VALUE"""),68.0)</f>
        <v>68</v>
      </c>
      <c r="F4132" s="19" t="str">
        <f>IFERROR(__xludf.DUMMYFUNCTION("""COMPUTED_VALUE"""),"BLUE")</f>
        <v>BLUE</v>
      </c>
      <c r="G4132" s="20" t="str">
        <f>IFERROR(__xludf.DUMMYFUNCTION("""COMPUTED_VALUE"""),"Uncle Sams Cider (04/04/2023)")</f>
        <v>Uncle Sams Cider (04/04/2023)</v>
      </c>
      <c r="H4132" s="19"/>
    </row>
    <row r="4133">
      <c r="A4133" s="9"/>
      <c r="B4133" s="15"/>
      <c r="C4133" s="9">
        <f>IFERROR(__xludf.DUMMYFUNCTION("""COMPUTED_VALUE"""),45101.3245934027)</f>
        <v>45101.32459</v>
      </c>
      <c r="D4133" s="15">
        <f>IFERROR(__xludf.DUMMYFUNCTION("""COMPUTED_VALUE"""),1.001)</f>
        <v>1.001</v>
      </c>
      <c r="E4133" s="16">
        <f>IFERROR(__xludf.DUMMYFUNCTION("""COMPUTED_VALUE"""),68.0)</f>
        <v>68</v>
      </c>
      <c r="F4133" s="19" t="str">
        <f>IFERROR(__xludf.DUMMYFUNCTION("""COMPUTED_VALUE"""),"BLUE")</f>
        <v>BLUE</v>
      </c>
      <c r="G4133" s="20" t="str">
        <f>IFERROR(__xludf.DUMMYFUNCTION("""COMPUTED_VALUE"""),"Uncle Sams Cider (04/04/2023)")</f>
        <v>Uncle Sams Cider (04/04/2023)</v>
      </c>
      <c r="H4133" s="19"/>
    </row>
    <row r="4134">
      <c r="A4134" s="9"/>
      <c r="B4134" s="15"/>
      <c r="C4134" s="9">
        <f>IFERROR(__xludf.DUMMYFUNCTION("""COMPUTED_VALUE"""),45101.3141714236)</f>
        <v>45101.31417</v>
      </c>
      <c r="D4134" s="15">
        <f>IFERROR(__xludf.DUMMYFUNCTION("""COMPUTED_VALUE"""),1.001)</f>
        <v>1.001</v>
      </c>
      <c r="E4134" s="16">
        <f>IFERROR(__xludf.DUMMYFUNCTION("""COMPUTED_VALUE"""),68.0)</f>
        <v>68</v>
      </c>
      <c r="F4134" s="19" t="str">
        <f>IFERROR(__xludf.DUMMYFUNCTION("""COMPUTED_VALUE"""),"BLUE")</f>
        <v>BLUE</v>
      </c>
      <c r="G4134" s="20" t="str">
        <f>IFERROR(__xludf.DUMMYFUNCTION("""COMPUTED_VALUE"""),"Uncle Sams Cider (04/04/2023)")</f>
        <v>Uncle Sams Cider (04/04/2023)</v>
      </c>
      <c r="H4134" s="19"/>
    </row>
    <row r="4135">
      <c r="A4135" s="9"/>
      <c r="B4135" s="15"/>
      <c r="C4135" s="9">
        <f>IFERROR(__xludf.DUMMYFUNCTION("""COMPUTED_VALUE"""),45101.3037500347)</f>
        <v>45101.30375</v>
      </c>
      <c r="D4135" s="15">
        <f>IFERROR(__xludf.DUMMYFUNCTION("""COMPUTED_VALUE"""),1.001)</f>
        <v>1.001</v>
      </c>
      <c r="E4135" s="16">
        <f>IFERROR(__xludf.DUMMYFUNCTION("""COMPUTED_VALUE"""),68.0)</f>
        <v>68</v>
      </c>
      <c r="F4135" s="19" t="str">
        <f>IFERROR(__xludf.DUMMYFUNCTION("""COMPUTED_VALUE"""),"BLUE")</f>
        <v>BLUE</v>
      </c>
      <c r="G4135" s="20" t="str">
        <f>IFERROR(__xludf.DUMMYFUNCTION("""COMPUTED_VALUE"""),"Uncle Sams Cider (04/04/2023)")</f>
        <v>Uncle Sams Cider (04/04/2023)</v>
      </c>
      <c r="H4135" s="19"/>
    </row>
    <row r="4136">
      <c r="A4136" s="9"/>
      <c r="B4136" s="15"/>
      <c r="C4136" s="9">
        <f>IFERROR(__xludf.DUMMYFUNCTION("""COMPUTED_VALUE"""),45101.2933298032)</f>
        <v>45101.29333</v>
      </c>
      <c r="D4136" s="15">
        <f>IFERROR(__xludf.DUMMYFUNCTION("""COMPUTED_VALUE"""),1.001)</f>
        <v>1.001</v>
      </c>
      <c r="E4136" s="16">
        <f>IFERROR(__xludf.DUMMYFUNCTION("""COMPUTED_VALUE"""),68.0)</f>
        <v>68</v>
      </c>
      <c r="F4136" s="19" t="str">
        <f>IFERROR(__xludf.DUMMYFUNCTION("""COMPUTED_VALUE"""),"BLUE")</f>
        <v>BLUE</v>
      </c>
      <c r="G4136" s="20" t="str">
        <f>IFERROR(__xludf.DUMMYFUNCTION("""COMPUTED_VALUE"""),"Uncle Sams Cider (04/04/2023)")</f>
        <v>Uncle Sams Cider (04/04/2023)</v>
      </c>
      <c r="H4136" s="19"/>
    </row>
    <row r="4137">
      <c r="A4137" s="9"/>
      <c r="B4137" s="15"/>
      <c r="C4137" s="9">
        <f>IFERROR(__xludf.DUMMYFUNCTION("""COMPUTED_VALUE"""),45101.2829081481)</f>
        <v>45101.28291</v>
      </c>
      <c r="D4137" s="15">
        <f>IFERROR(__xludf.DUMMYFUNCTION("""COMPUTED_VALUE"""),1.001)</f>
        <v>1.001</v>
      </c>
      <c r="E4137" s="16">
        <f>IFERROR(__xludf.DUMMYFUNCTION("""COMPUTED_VALUE"""),68.0)</f>
        <v>68</v>
      </c>
      <c r="F4137" s="19" t="str">
        <f>IFERROR(__xludf.DUMMYFUNCTION("""COMPUTED_VALUE"""),"BLUE")</f>
        <v>BLUE</v>
      </c>
      <c r="G4137" s="20" t="str">
        <f>IFERROR(__xludf.DUMMYFUNCTION("""COMPUTED_VALUE"""),"Uncle Sams Cider (04/04/2023)")</f>
        <v>Uncle Sams Cider (04/04/2023)</v>
      </c>
      <c r="H4137" s="19"/>
    </row>
    <row r="4138">
      <c r="A4138" s="9"/>
      <c r="B4138" s="15"/>
      <c r="C4138" s="9">
        <f>IFERROR(__xludf.DUMMYFUNCTION("""COMPUTED_VALUE"""),45101.2724865972)</f>
        <v>45101.27249</v>
      </c>
      <c r="D4138" s="15">
        <f>IFERROR(__xludf.DUMMYFUNCTION("""COMPUTED_VALUE"""),1.001)</f>
        <v>1.001</v>
      </c>
      <c r="E4138" s="16">
        <f>IFERROR(__xludf.DUMMYFUNCTION("""COMPUTED_VALUE"""),68.0)</f>
        <v>68</v>
      </c>
      <c r="F4138" s="19" t="str">
        <f>IFERROR(__xludf.DUMMYFUNCTION("""COMPUTED_VALUE"""),"BLUE")</f>
        <v>BLUE</v>
      </c>
      <c r="G4138" s="20" t="str">
        <f>IFERROR(__xludf.DUMMYFUNCTION("""COMPUTED_VALUE"""),"Uncle Sams Cider (04/04/2023)")</f>
        <v>Uncle Sams Cider (04/04/2023)</v>
      </c>
      <c r="H4138" s="19"/>
    </row>
    <row r="4139">
      <c r="A4139" s="9"/>
      <c r="B4139" s="15"/>
      <c r="C4139" s="9">
        <f>IFERROR(__xludf.DUMMYFUNCTION("""COMPUTED_VALUE"""),45101.2620650231)</f>
        <v>45101.26207</v>
      </c>
      <c r="D4139" s="15">
        <f>IFERROR(__xludf.DUMMYFUNCTION("""COMPUTED_VALUE"""),1.001)</f>
        <v>1.001</v>
      </c>
      <c r="E4139" s="16">
        <f>IFERROR(__xludf.DUMMYFUNCTION("""COMPUTED_VALUE"""),68.0)</f>
        <v>68</v>
      </c>
      <c r="F4139" s="19" t="str">
        <f>IFERROR(__xludf.DUMMYFUNCTION("""COMPUTED_VALUE"""),"BLUE")</f>
        <v>BLUE</v>
      </c>
      <c r="G4139" s="20" t="str">
        <f>IFERROR(__xludf.DUMMYFUNCTION("""COMPUTED_VALUE"""),"Uncle Sams Cider (04/04/2023)")</f>
        <v>Uncle Sams Cider (04/04/2023)</v>
      </c>
      <c r="H4139" s="19"/>
    </row>
    <row r="4140">
      <c r="A4140" s="9"/>
      <c r="B4140" s="15"/>
      <c r="C4140" s="9">
        <f>IFERROR(__xludf.DUMMYFUNCTION("""COMPUTED_VALUE"""),45101.2516437384)</f>
        <v>45101.25164</v>
      </c>
      <c r="D4140" s="15">
        <f>IFERROR(__xludf.DUMMYFUNCTION("""COMPUTED_VALUE"""),1.001)</f>
        <v>1.001</v>
      </c>
      <c r="E4140" s="16">
        <f>IFERROR(__xludf.DUMMYFUNCTION("""COMPUTED_VALUE"""),68.0)</f>
        <v>68</v>
      </c>
      <c r="F4140" s="19" t="str">
        <f>IFERROR(__xludf.DUMMYFUNCTION("""COMPUTED_VALUE"""),"BLUE")</f>
        <v>BLUE</v>
      </c>
      <c r="G4140" s="20" t="str">
        <f>IFERROR(__xludf.DUMMYFUNCTION("""COMPUTED_VALUE"""),"Uncle Sams Cider (04/04/2023)")</f>
        <v>Uncle Sams Cider (04/04/2023)</v>
      </c>
      <c r="H4140" s="19"/>
    </row>
    <row r="4141">
      <c r="A4141" s="9"/>
      <c r="B4141" s="15"/>
      <c r="C4141" s="9">
        <f>IFERROR(__xludf.DUMMYFUNCTION("""COMPUTED_VALUE"""),45101.2412228588)</f>
        <v>45101.24122</v>
      </c>
      <c r="D4141" s="15">
        <f>IFERROR(__xludf.DUMMYFUNCTION("""COMPUTED_VALUE"""),1.001)</f>
        <v>1.001</v>
      </c>
      <c r="E4141" s="16">
        <f>IFERROR(__xludf.DUMMYFUNCTION("""COMPUTED_VALUE"""),68.0)</f>
        <v>68</v>
      </c>
      <c r="F4141" s="19" t="str">
        <f>IFERROR(__xludf.DUMMYFUNCTION("""COMPUTED_VALUE"""),"BLUE")</f>
        <v>BLUE</v>
      </c>
      <c r="G4141" s="20" t="str">
        <f>IFERROR(__xludf.DUMMYFUNCTION("""COMPUTED_VALUE"""),"Uncle Sams Cider (04/04/2023)")</f>
        <v>Uncle Sams Cider (04/04/2023)</v>
      </c>
      <c r="H4141" s="19"/>
    </row>
    <row r="4142">
      <c r="A4142" s="9"/>
      <c r="B4142" s="15"/>
      <c r="C4142" s="9">
        <f>IFERROR(__xludf.DUMMYFUNCTION("""COMPUTED_VALUE"""),45101.2307993981)</f>
        <v>45101.2308</v>
      </c>
      <c r="D4142" s="15">
        <f>IFERROR(__xludf.DUMMYFUNCTION("""COMPUTED_VALUE"""),1.001)</f>
        <v>1.001</v>
      </c>
      <c r="E4142" s="16">
        <f>IFERROR(__xludf.DUMMYFUNCTION("""COMPUTED_VALUE"""),68.0)</f>
        <v>68</v>
      </c>
      <c r="F4142" s="19" t="str">
        <f>IFERROR(__xludf.DUMMYFUNCTION("""COMPUTED_VALUE"""),"BLUE")</f>
        <v>BLUE</v>
      </c>
      <c r="G4142" s="20" t="str">
        <f>IFERROR(__xludf.DUMMYFUNCTION("""COMPUTED_VALUE"""),"Uncle Sams Cider (04/04/2023)")</f>
        <v>Uncle Sams Cider (04/04/2023)</v>
      </c>
      <c r="H4142" s="19"/>
    </row>
    <row r="4143">
      <c r="A4143" s="9"/>
      <c r="B4143" s="15"/>
      <c r="C4143" s="9">
        <f>IFERROR(__xludf.DUMMYFUNCTION("""COMPUTED_VALUE"""),45101.2217743634)</f>
        <v>45101.22177</v>
      </c>
      <c r="D4143" s="15">
        <f>IFERROR(__xludf.DUMMYFUNCTION("""COMPUTED_VALUE"""),1.001)</f>
        <v>1.001</v>
      </c>
      <c r="E4143" s="16">
        <f>IFERROR(__xludf.DUMMYFUNCTION("""COMPUTED_VALUE"""),68.0)</f>
        <v>68</v>
      </c>
      <c r="F4143" s="19" t="str">
        <f>IFERROR(__xludf.DUMMYFUNCTION("""COMPUTED_VALUE"""),"BLUE")</f>
        <v>BLUE</v>
      </c>
      <c r="G4143" s="20" t="str">
        <f>IFERROR(__xludf.DUMMYFUNCTION("""COMPUTED_VALUE"""),"Uncle Sams Cider (04/04/2023)")</f>
        <v>Uncle Sams Cider (04/04/2023)</v>
      </c>
      <c r="H4143" s="19"/>
    </row>
    <row r="4144">
      <c r="A4144" s="9"/>
      <c r="B4144" s="15"/>
      <c r="C4144" s="9">
        <f>IFERROR(__xludf.DUMMYFUNCTION("""COMPUTED_VALUE"""),45101.2113511226)</f>
        <v>45101.21135</v>
      </c>
      <c r="D4144" s="15">
        <f>IFERROR(__xludf.DUMMYFUNCTION("""COMPUTED_VALUE"""),1.001)</f>
        <v>1.001</v>
      </c>
      <c r="E4144" s="16">
        <f>IFERROR(__xludf.DUMMYFUNCTION("""COMPUTED_VALUE"""),68.0)</f>
        <v>68</v>
      </c>
      <c r="F4144" s="19" t="str">
        <f>IFERROR(__xludf.DUMMYFUNCTION("""COMPUTED_VALUE"""),"BLUE")</f>
        <v>BLUE</v>
      </c>
      <c r="G4144" s="20" t="str">
        <f>IFERROR(__xludf.DUMMYFUNCTION("""COMPUTED_VALUE"""),"Uncle Sams Cider (04/04/2023)")</f>
        <v>Uncle Sams Cider (04/04/2023)</v>
      </c>
      <c r="H4144" s="19"/>
    </row>
    <row r="4145">
      <c r="A4145" s="9"/>
      <c r="B4145" s="15"/>
      <c r="C4145" s="9">
        <f>IFERROR(__xludf.DUMMYFUNCTION("""COMPUTED_VALUE"""),45101.2009273379)</f>
        <v>45101.20093</v>
      </c>
      <c r="D4145" s="15">
        <f>IFERROR(__xludf.DUMMYFUNCTION("""COMPUTED_VALUE"""),1.001)</f>
        <v>1.001</v>
      </c>
      <c r="E4145" s="16">
        <f>IFERROR(__xludf.DUMMYFUNCTION("""COMPUTED_VALUE"""),68.0)</f>
        <v>68</v>
      </c>
      <c r="F4145" s="19" t="str">
        <f>IFERROR(__xludf.DUMMYFUNCTION("""COMPUTED_VALUE"""),"BLUE")</f>
        <v>BLUE</v>
      </c>
      <c r="G4145" s="20" t="str">
        <f>IFERROR(__xludf.DUMMYFUNCTION("""COMPUTED_VALUE"""),"Uncle Sams Cider (04/04/2023)")</f>
        <v>Uncle Sams Cider (04/04/2023)</v>
      </c>
      <c r="H4145" s="19"/>
    </row>
    <row r="4146">
      <c r="A4146" s="9"/>
      <c r="B4146" s="15"/>
      <c r="C4146" s="9">
        <f>IFERROR(__xludf.DUMMYFUNCTION("""COMPUTED_VALUE"""),45101.1905070717)</f>
        <v>45101.19051</v>
      </c>
      <c r="D4146" s="15">
        <f>IFERROR(__xludf.DUMMYFUNCTION("""COMPUTED_VALUE"""),1.001)</f>
        <v>1.001</v>
      </c>
      <c r="E4146" s="16">
        <f>IFERROR(__xludf.DUMMYFUNCTION("""COMPUTED_VALUE"""),68.0)</f>
        <v>68</v>
      </c>
      <c r="F4146" s="19" t="str">
        <f>IFERROR(__xludf.DUMMYFUNCTION("""COMPUTED_VALUE"""),"BLUE")</f>
        <v>BLUE</v>
      </c>
      <c r="G4146" s="20" t="str">
        <f>IFERROR(__xludf.DUMMYFUNCTION("""COMPUTED_VALUE"""),"Uncle Sams Cider (04/04/2023)")</f>
        <v>Uncle Sams Cider (04/04/2023)</v>
      </c>
      <c r="H4146" s="19"/>
    </row>
    <row r="4147">
      <c r="A4147" s="9"/>
      <c r="B4147" s="15"/>
      <c r="C4147" s="9">
        <f>IFERROR(__xludf.DUMMYFUNCTION("""COMPUTED_VALUE"""),45101.1800837268)</f>
        <v>45101.18008</v>
      </c>
      <c r="D4147" s="15">
        <f>IFERROR(__xludf.DUMMYFUNCTION("""COMPUTED_VALUE"""),1.001)</f>
        <v>1.001</v>
      </c>
      <c r="E4147" s="16">
        <f>IFERROR(__xludf.DUMMYFUNCTION("""COMPUTED_VALUE"""),68.0)</f>
        <v>68</v>
      </c>
      <c r="F4147" s="19" t="str">
        <f>IFERROR(__xludf.DUMMYFUNCTION("""COMPUTED_VALUE"""),"BLUE")</f>
        <v>BLUE</v>
      </c>
      <c r="G4147" s="20" t="str">
        <f>IFERROR(__xludf.DUMMYFUNCTION("""COMPUTED_VALUE"""),"Uncle Sams Cider (04/04/2023)")</f>
        <v>Uncle Sams Cider (04/04/2023)</v>
      </c>
      <c r="H4147" s="19"/>
    </row>
    <row r="4148">
      <c r="A4148" s="9"/>
      <c r="B4148" s="15"/>
      <c r="C4148" s="9">
        <f>IFERROR(__xludf.DUMMYFUNCTION("""COMPUTED_VALUE"""),45101.1696277199)</f>
        <v>45101.16963</v>
      </c>
      <c r="D4148" s="15">
        <f>IFERROR(__xludf.DUMMYFUNCTION("""COMPUTED_VALUE"""),1.001)</f>
        <v>1.001</v>
      </c>
      <c r="E4148" s="16">
        <f>IFERROR(__xludf.DUMMYFUNCTION("""COMPUTED_VALUE"""),68.0)</f>
        <v>68</v>
      </c>
      <c r="F4148" s="19" t="str">
        <f>IFERROR(__xludf.DUMMYFUNCTION("""COMPUTED_VALUE"""),"BLUE")</f>
        <v>BLUE</v>
      </c>
      <c r="G4148" s="20" t="str">
        <f>IFERROR(__xludf.DUMMYFUNCTION("""COMPUTED_VALUE"""),"Uncle Sams Cider (04/04/2023)")</f>
        <v>Uncle Sams Cider (04/04/2023)</v>
      </c>
      <c r="H4148" s="19"/>
    </row>
    <row r="4149">
      <c r="A4149" s="9"/>
      <c r="B4149" s="15"/>
      <c r="C4149" s="9">
        <f>IFERROR(__xludf.DUMMYFUNCTION("""COMPUTED_VALUE"""),45101.1591955902)</f>
        <v>45101.1592</v>
      </c>
      <c r="D4149" s="15">
        <f>IFERROR(__xludf.DUMMYFUNCTION("""COMPUTED_VALUE"""),1.001)</f>
        <v>1.001</v>
      </c>
      <c r="E4149" s="16">
        <f>IFERROR(__xludf.DUMMYFUNCTION("""COMPUTED_VALUE"""),68.0)</f>
        <v>68</v>
      </c>
      <c r="F4149" s="19" t="str">
        <f>IFERROR(__xludf.DUMMYFUNCTION("""COMPUTED_VALUE"""),"BLUE")</f>
        <v>BLUE</v>
      </c>
      <c r="G4149" s="20" t="str">
        <f>IFERROR(__xludf.DUMMYFUNCTION("""COMPUTED_VALUE"""),"Uncle Sams Cider (04/04/2023)")</f>
        <v>Uncle Sams Cider (04/04/2023)</v>
      </c>
      <c r="H4149" s="19"/>
    </row>
    <row r="4150">
      <c r="A4150" s="9"/>
      <c r="B4150" s="15"/>
      <c r="C4150" s="9">
        <f>IFERROR(__xludf.DUMMYFUNCTION("""COMPUTED_VALUE"""),45101.1487736342)</f>
        <v>45101.14877</v>
      </c>
      <c r="D4150" s="15">
        <f>IFERROR(__xludf.DUMMYFUNCTION("""COMPUTED_VALUE"""),1.0)</f>
        <v>1</v>
      </c>
      <c r="E4150" s="16">
        <f>IFERROR(__xludf.DUMMYFUNCTION("""COMPUTED_VALUE"""),68.0)</f>
        <v>68</v>
      </c>
      <c r="F4150" s="19" t="str">
        <f>IFERROR(__xludf.DUMMYFUNCTION("""COMPUTED_VALUE"""),"BLUE")</f>
        <v>BLUE</v>
      </c>
      <c r="G4150" s="20" t="str">
        <f>IFERROR(__xludf.DUMMYFUNCTION("""COMPUTED_VALUE"""),"Uncle Sams Cider (04/04/2023)")</f>
        <v>Uncle Sams Cider (04/04/2023)</v>
      </c>
      <c r="H4150" s="19"/>
    </row>
    <row r="4151">
      <c r="A4151" s="9"/>
      <c r="B4151" s="15"/>
      <c r="C4151" s="9">
        <f>IFERROR(__xludf.DUMMYFUNCTION("""COMPUTED_VALUE"""),45101.1383390162)</f>
        <v>45101.13834</v>
      </c>
      <c r="D4151" s="15">
        <f>IFERROR(__xludf.DUMMYFUNCTION("""COMPUTED_VALUE"""),1.001)</f>
        <v>1.001</v>
      </c>
      <c r="E4151" s="16">
        <f>IFERROR(__xludf.DUMMYFUNCTION("""COMPUTED_VALUE"""),68.0)</f>
        <v>68</v>
      </c>
      <c r="F4151" s="19" t="str">
        <f>IFERROR(__xludf.DUMMYFUNCTION("""COMPUTED_VALUE"""),"BLUE")</f>
        <v>BLUE</v>
      </c>
      <c r="G4151" s="20" t="str">
        <f>IFERROR(__xludf.DUMMYFUNCTION("""COMPUTED_VALUE"""),"Uncle Sams Cider (04/04/2023)")</f>
        <v>Uncle Sams Cider (04/04/2023)</v>
      </c>
      <c r="H4151" s="19"/>
    </row>
    <row r="4152">
      <c r="A4152" s="9"/>
      <c r="B4152" s="15"/>
      <c r="C4152" s="9">
        <f>IFERROR(__xludf.DUMMYFUNCTION("""COMPUTED_VALUE"""),45101.1279179861)</f>
        <v>45101.12792</v>
      </c>
      <c r="D4152" s="15">
        <f>IFERROR(__xludf.DUMMYFUNCTION("""COMPUTED_VALUE"""),1.001)</f>
        <v>1.001</v>
      </c>
      <c r="E4152" s="16">
        <f>IFERROR(__xludf.DUMMYFUNCTION("""COMPUTED_VALUE"""),68.0)</f>
        <v>68</v>
      </c>
      <c r="F4152" s="19" t="str">
        <f>IFERROR(__xludf.DUMMYFUNCTION("""COMPUTED_VALUE"""),"BLUE")</f>
        <v>BLUE</v>
      </c>
      <c r="G4152" s="20" t="str">
        <f>IFERROR(__xludf.DUMMYFUNCTION("""COMPUTED_VALUE"""),"Uncle Sams Cider (04/04/2023)")</f>
        <v>Uncle Sams Cider (04/04/2023)</v>
      </c>
      <c r="H4152" s="19"/>
    </row>
    <row r="4153">
      <c r="A4153" s="9"/>
      <c r="B4153" s="15"/>
      <c r="C4153" s="9">
        <f>IFERROR(__xludf.DUMMYFUNCTION("""COMPUTED_VALUE"""),45101.1174982175)</f>
        <v>45101.1175</v>
      </c>
      <c r="D4153" s="15">
        <f>IFERROR(__xludf.DUMMYFUNCTION("""COMPUTED_VALUE"""),1.001)</f>
        <v>1.001</v>
      </c>
      <c r="E4153" s="16">
        <f>IFERROR(__xludf.DUMMYFUNCTION("""COMPUTED_VALUE"""),68.0)</f>
        <v>68</v>
      </c>
      <c r="F4153" s="19" t="str">
        <f>IFERROR(__xludf.DUMMYFUNCTION("""COMPUTED_VALUE"""),"BLUE")</f>
        <v>BLUE</v>
      </c>
      <c r="G4153" s="20" t="str">
        <f>IFERROR(__xludf.DUMMYFUNCTION("""COMPUTED_VALUE"""),"Uncle Sams Cider (04/04/2023)")</f>
        <v>Uncle Sams Cider (04/04/2023)</v>
      </c>
      <c r="H4153" s="19"/>
    </row>
    <row r="4154">
      <c r="A4154" s="9"/>
      <c r="B4154" s="15"/>
      <c r="C4154" s="9">
        <f>IFERROR(__xludf.DUMMYFUNCTION("""COMPUTED_VALUE"""),45101.1070765277)</f>
        <v>45101.10708</v>
      </c>
      <c r="D4154" s="15">
        <f>IFERROR(__xludf.DUMMYFUNCTION("""COMPUTED_VALUE"""),1.001)</f>
        <v>1.001</v>
      </c>
      <c r="E4154" s="16">
        <f>IFERROR(__xludf.DUMMYFUNCTION("""COMPUTED_VALUE"""),68.0)</f>
        <v>68</v>
      </c>
      <c r="F4154" s="19" t="str">
        <f>IFERROR(__xludf.DUMMYFUNCTION("""COMPUTED_VALUE"""),"BLUE")</f>
        <v>BLUE</v>
      </c>
      <c r="G4154" s="20" t="str">
        <f>IFERROR(__xludf.DUMMYFUNCTION("""COMPUTED_VALUE"""),"Uncle Sams Cider (04/04/2023)")</f>
        <v>Uncle Sams Cider (04/04/2023)</v>
      </c>
      <c r="H4154" s="19"/>
    </row>
    <row r="4155">
      <c r="A4155" s="9"/>
      <c r="B4155" s="15"/>
      <c r="C4155" s="9">
        <f>IFERROR(__xludf.DUMMYFUNCTION("""COMPUTED_VALUE"""),45101.0966534259)</f>
        <v>45101.09665</v>
      </c>
      <c r="D4155" s="15">
        <f>IFERROR(__xludf.DUMMYFUNCTION("""COMPUTED_VALUE"""),1.001)</f>
        <v>1.001</v>
      </c>
      <c r="E4155" s="16">
        <f>IFERROR(__xludf.DUMMYFUNCTION("""COMPUTED_VALUE"""),68.0)</f>
        <v>68</v>
      </c>
      <c r="F4155" s="19" t="str">
        <f>IFERROR(__xludf.DUMMYFUNCTION("""COMPUTED_VALUE"""),"BLUE")</f>
        <v>BLUE</v>
      </c>
      <c r="G4155" s="20" t="str">
        <f>IFERROR(__xludf.DUMMYFUNCTION("""COMPUTED_VALUE"""),"Uncle Sams Cider (04/04/2023)")</f>
        <v>Uncle Sams Cider (04/04/2023)</v>
      </c>
      <c r="H4155" s="19"/>
    </row>
    <row r="4156">
      <c r="A4156" s="9"/>
      <c r="B4156" s="15"/>
      <c r="C4156" s="9">
        <f>IFERROR(__xludf.DUMMYFUNCTION("""COMPUTED_VALUE"""),45101.0862315625)</f>
        <v>45101.08623</v>
      </c>
      <c r="D4156" s="15">
        <f>IFERROR(__xludf.DUMMYFUNCTION("""COMPUTED_VALUE"""),1.001)</f>
        <v>1.001</v>
      </c>
      <c r="E4156" s="16">
        <f>IFERROR(__xludf.DUMMYFUNCTION("""COMPUTED_VALUE"""),68.0)</f>
        <v>68</v>
      </c>
      <c r="F4156" s="19" t="str">
        <f>IFERROR(__xludf.DUMMYFUNCTION("""COMPUTED_VALUE"""),"BLUE")</f>
        <v>BLUE</v>
      </c>
      <c r="G4156" s="20" t="str">
        <f>IFERROR(__xludf.DUMMYFUNCTION("""COMPUTED_VALUE"""),"Uncle Sams Cider (04/04/2023)")</f>
        <v>Uncle Sams Cider (04/04/2023)</v>
      </c>
      <c r="H4156" s="19"/>
    </row>
    <row r="4157">
      <c r="A4157" s="9"/>
      <c r="B4157" s="15"/>
      <c r="C4157" s="9">
        <f>IFERROR(__xludf.DUMMYFUNCTION("""COMPUTED_VALUE"""),45101.0758097685)</f>
        <v>45101.07581</v>
      </c>
      <c r="D4157" s="15">
        <f>IFERROR(__xludf.DUMMYFUNCTION("""COMPUTED_VALUE"""),1.001)</f>
        <v>1.001</v>
      </c>
      <c r="E4157" s="16">
        <f>IFERROR(__xludf.DUMMYFUNCTION("""COMPUTED_VALUE"""),68.0)</f>
        <v>68</v>
      </c>
      <c r="F4157" s="19" t="str">
        <f>IFERROR(__xludf.DUMMYFUNCTION("""COMPUTED_VALUE"""),"BLUE")</f>
        <v>BLUE</v>
      </c>
      <c r="G4157" s="20" t="str">
        <f>IFERROR(__xludf.DUMMYFUNCTION("""COMPUTED_VALUE"""),"Uncle Sams Cider (04/04/2023)")</f>
        <v>Uncle Sams Cider (04/04/2023)</v>
      </c>
      <c r="H4157" s="19"/>
    </row>
    <row r="4158">
      <c r="A4158" s="9"/>
      <c r="B4158" s="15"/>
      <c r="C4158" s="9">
        <f>IFERROR(__xludf.DUMMYFUNCTION("""COMPUTED_VALUE"""),45101.065388831)</f>
        <v>45101.06539</v>
      </c>
      <c r="D4158" s="15">
        <f>IFERROR(__xludf.DUMMYFUNCTION("""COMPUTED_VALUE"""),1.001)</f>
        <v>1.001</v>
      </c>
      <c r="E4158" s="16">
        <f>IFERROR(__xludf.DUMMYFUNCTION("""COMPUTED_VALUE"""),68.0)</f>
        <v>68</v>
      </c>
      <c r="F4158" s="19" t="str">
        <f>IFERROR(__xludf.DUMMYFUNCTION("""COMPUTED_VALUE"""),"BLUE")</f>
        <v>BLUE</v>
      </c>
      <c r="G4158" s="20" t="str">
        <f>IFERROR(__xludf.DUMMYFUNCTION("""COMPUTED_VALUE"""),"Uncle Sams Cider (04/04/2023)")</f>
        <v>Uncle Sams Cider (04/04/2023)</v>
      </c>
      <c r="H4158" s="19"/>
    </row>
    <row r="4159">
      <c r="A4159" s="9"/>
      <c r="B4159" s="15"/>
      <c r="C4159" s="9">
        <f>IFERROR(__xludf.DUMMYFUNCTION("""COMPUTED_VALUE"""),45101.0549680092)</f>
        <v>45101.05497</v>
      </c>
      <c r="D4159" s="15">
        <f>IFERROR(__xludf.DUMMYFUNCTION("""COMPUTED_VALUE"""),1.0)</f>
        <v>1</v>
      </c>
      <c r="E4159" s="16">
        <f>IFERROR(__xludf.DUMMYFUNCTION("""COMPUTED_VALUE"""),68.0)</f>
        <v>68</v>
      </c>
      <c r="F4159" s="19" t="str">
        <f>IFERROR(__xludf.DUMMYFUNCTION("""COMPUTED_VALUE"""),"BLUE")</f>
        <v>BLUE</v>
      </c>
      <c r="G4159" s="20" t="str">
        <f>IFERROR(__xludf.DUMMYFUNCTION("""COMPUTED_VALUE"""),"Uncle Sams Cider (04/04/2023)")</f>
        <v>Uncle Sams Cider (04/04/2023)</v>
      </c>
      <c r="H4159" s="19"/>
    </row>
    <row r="4160">
      <c r="A4160" s="9"/>
      <c r="B4160" s="15"/>
      <c r="C4160" s="9">
        <f>IFERROR(__xludf.DUMMYFUNCTION("""COMPUTED_VALUE"""),45101.0445470486)</f>
        <v>45101.04455</v>
      </c>
      <c r="D4160" s="15">
        <f>IFERROR(__xludf.DUMMYFUNCTION("""COMPUTED_VALUE"""),1.001)</f>
        <v>1.001</v>
      </c>
      <c r="E4160" s="16">
        <f>IFERROR(__xludf.DUMMYFUNCTION("""COMPUTED_VALUE"""),68.0)</f>
        <v>68</v>
      </c>
      <c r="F4160" s="19" t="str">
        <f>IFERROR(__xludf.DUMMYFUNCTION("""COMPUTED_VALUE"""),"BLUE")</f>
        <v>BLUE</v>
      </c>
      <c r="G4160" s="20" t="str">
        <f>IFERROR(__xludf.DUMMYFUNCTION("""COMPUTED_VALUE"""),"Uncle Sams Cider (04/04/2023)")</f>
        <v>Uncle Sams Cider (04/04/2023)</v>
      </c>
      <c r="H4160" s="19"/>
    </row>
    <row r="4161">
      <c r="A4161" s="9"/>
      <c r="B4161" s="15"/>
      <c r="C4161" s="9">
        <f>IFERROR(__xludf.DUMMYFUNCTION("""COMPUTED_VALUE"""),45101.0341248263)</f>
        <v>45101.03412</v>
      </c>
      <c r="D4161" s="15">
        <f>IFERROR(__xludf.DUMMYFUNCTION("""COMPUTED_VALUE"""),1.001)</f>
        <v>1.001</v>
      </c>
      <c r="E4161" s="16">
        <f>IFERROR(__xludf.DUMMYFUNCTION("""COMPUTED_VALUE"""),68.0)</f>
        <v>68</v>
      </c>
      <c r="F4161" s="19" t="str">
        <f>IFERROR(__xludf.DUMMYFUNCTION("""COMPUTED_VALUE"""),"BLUE")</f>
        <v>BLUE</v>
      </c>
      <c r="G4161" s="20" t="str">
        <f>IFERROR(__xludf.DUMMYFUNCTION("""COMPUTED_VALUE"""),"Uncle Sams Cider (04/04/2023)")</f>
        <v>Uncle Sams Cider (04/04/2023)</v>
      </c>
      <c r="H4161" s="19"/>
    </row>
    <row r="4162">
      <c r="A4162" s="9"/>
      <c r="B4162" s="15"/>
      <c r="C4162" s="9">
        <f>IFERROR(__xludf.DUMMYFUNCTION("""COMPUTED_VALUE"""),45101.0237031828)</f>
        <v>45101.0237</v>
      </c>
      <c r="D4162" s="15">
        <f>IFERROR(__xludf.DUMMYFUNCTION("""COMPUTED_VALUE"""),1.001)</f>
        <v>1.001</v>
      </c>
      <c r="E4162" s="16">
        <f>IFERROR(__xludf.DUMMYFUNCTION("""COMPUTED_VALUE"""),68.0)</f>
        <v>68</v>
      </c>
      <c r="F4162" s="19" t="str">
        <f>IFERROR(__xludf.DUMMYFUNCTION("""COMPUTED_VALUE"""),"BLUE")</f>
        <v>BLUE</v>
      </c>
      <c r="G4162" s="20" t="str">
        <f>IFERROR(__xludf.DUMMYFUNCTION("""COMPUTED_VALUE"""),"Uncle Sams Cider (04/04/2023)")</f>
        <v>Uncle Sams Cider (04/04/2023)</v>
      </c>
      <c r="H4162" s="19"/>
    </row>
    <row r="4163">
      <c r="A4163" s="9"/>
      <c r="B4163" s="15"/>
      <c r="C4163" s="9">
        <f>IFERROR(__xludf.DUMMYFUNCTION("""COMPUTED_VALUE"""),45101.0132814467)</f>
        <v>45101.01328</v>
      </c>
      <c r="D4163" s="15">
        <f>IFERROR(__xludf.DUMMYFUNCTION("""COMPUTED_VALUE"""),1.001)</f>
        <v>1.001</v>
      </c>
      <c r="E4163" s="16">
        <f>IFERROR(__xludf.DUMMYFUNCTION("""COMPUTED_VALUE"""),68.0)</f>
        <v>68</v>
      </c>
      <c r="F4163" s="19" t="str">
        <f>IFERROR(__xludf.DUMMYFUNCTION("""COMPUTED_VALUE"""),"BLUE")</f>
        <v>BLUE</v>
      </c>
      <c r="G4163" s="20" t="str">
        <f>IFERROR(__xludf.DUMMYFUNCTION("""COMPUTED_VALUE"""),"Uncle Sams Cider (04/04/2023)")</f>
        <v>Uncle Sams Cider (04/04/2023)</v>
      </c>
      <c r="H4163" s="19"/>
    </row>
    <row r="4164">
      <c r="A4164" s="9"/>
      <c r="B4164" s="15"/>
      <c r="C4164" s="9">
        <f>IFERROR(__xludf.DUMMYFUNCTION("""COMPUTED_VALUE"""),45101.0028610763)</f>
        <v>45101.00286</v>
      </c>
      <c r="D4164" s="15">
        <f>IFERROR(__xludf.DUMMYFUNCTION("""COMPUTED_VALUE"""),1.001)</f>
        <v>1.001</v>
      </c>
      <c r="E4164" s="16">
        <f>IFERROR(__xludf.DUMMYFUNCTION("""COMPUTED_VALUE"""),68.0)</f>
        <v>68</v>
      </c>
      <c r="F4164" s="19" t="str">
        <f>IFERROR(__xludf.DUMMYFUNCTION("""COMPUTED_VALUE"""),"BLUE")</f>
        <v>BLUE</v>
      </c>
      <c r="G4164" s="20" t="str">
        <f>IFERROR(__xludf.DUMMYFUNCTION("""COMPUTED_VALUE"""),"Uncle Sams Cider (04/04/2023)")</f>
        <v>Uncle Sams Cider (04/04/2023)</v>
      </c>
      <c r="H4164" s="19"/>
    </row>
    <row r="4165">
      <c r="A4165" s="9"/>
      <c r="B4165" s="15"/>
      <c r="C4165" s="9">
        <f>IFERROR(__xludf.DUMMYFUNCTION("""COMPUTED_VALUE"""),45100.9924411111)</f>
        <v>45100.99244</v>
      </c>
      <c r="D4165" s="15">
        <f>IFERROR(__xludf.DUMMYFUNCTION("""COMPUTED_VALUE"""),1.001)</f>
        <v>1.001</v>
      </c>
      <c r="E4165" s="16">
        <f>IFERROR(__xludf.DUMMYFUNCTION("""COMPUTED_VALUE"""),68.0)</f>
        <v>68</v>
      </c>
      <c r="F4165" s="19" t="str">
        <f>IFERROR(__xludf.DUMMYFUNCTION("""COMPUTED_VALUE"""),"BLUE")</f>
        <v>BLUE</v>
      </c>
      <c r="G4165" s="20" t="str">
        <f>IFERROR(__xludf.DUMMYFUNCTION("""COMPUTED_VALUE"""),"Uncle Sams Cider (04/04/2023)")</f>
        <v>Uncle Sams Cider (04/04/2023)</v>
      </c>
      <c r="H4165" s="19"/>
    </row>
    <row r="4166">
      <c r="A4166" s="9"/>
      <c r="B4166" s="15"/>
      <c r="C4166" s="9">
        <f>IFERROR(__xludf.DUMMYFUNCTION("""COMPUTED_VALUE"""),45100.9820204051)</f>
        <v>45100.98202</v>
      </c>
      <c r="D4166" s="15">
        <f>IFERROR(__xludf.DUMMYFUNCTION("""COMPUTED_VALUE"""),1.001)</f>
        <v>1.001</v>
      </c>
      <c r="E4166" s="16">
        <f>IFERROR(__xludf.DUMMYFUNCTION("""COMPUTED_VALUE"""),68.0)</f>
        <v>68</v>
      </c>
      <c r="F4166" s="19" t="str">
        <f>IFERROR(__xludf.DUMMYFUNCTION("""COMPUTED_VALUE"""),"BLUE")</f>
        <v>BLUE</v>
      </c>
      <c r="G4166" s="20" t="str">
        <f>IFERROR(__xludf.DUMMYFUNCTION("""COMPUTED_VALUE"""),"Uncle Sams Cider (04/04/2023)")</f>
        <v>Uncle Sams Cider (04/04/2023)</v>
      </c>
      <c r="H4166" s="19"/>
    </row>
    <row r="4167">
      <c r="A4167" s="9"/>
      <c r="B4167" s="15"/>
      <c r="C4167" s="9">
        <f>IFERROR(__xludf.DUMMYFUNCTION("""COMPUTED_VALUE"""),45100.9715993634)</f>
        <v>45100.9716</v>
      </c>
      <c r="D4167" s="15">
        <f>IFERROR(__xludf.DUMMYFUNCTION("""COMPUTED_VALUE"""),1.001)</f>
        <v>1.001</v>
      </c>
      <c r="E4167" s="16">
        <f>IFERROR(__xludf.DUMMYFUNCTION("""COMPUTED_VALUE"""),68.0)</f>
        <v>68</v>
      </c>
      <c r="F4167" s="19" t="str">
        <f>IFERROR(__xludf.DUMMYFUNCTION("""COMPUTED_VALUE"""),"BLUE")</f>
        <v>BLUE</v>
      </c>
      <c r="G4167" s="20" t="str">
        <f>IFERROR(__xludf.DUMMYFUNCTION("""COMPUTED_VALUE"""),"Uncle Sams Cider (04/04/2023)")</f>
        <v>Uncle Sams Cider (04/04/2023)</v>
      </c>
      <c r="H4167" s="19"/>
    </row>
    <row r="4168">
      <c r="A4168" s="9"/>
      <c r="B4168" s="15"/>
      <c r="C4168" s="9">
        <f>IFERROR(__xludf.DUMMYFUNCTION("""COMPUTED_VALUE"""),45100.961177824)</f>
        <v>45100.96118</v>
      </c>
      <c r="D4168" s="15">
        <f>IFERROR(__xludf.DUMMYFUNCTION("""COMPUTED_VALUE"""),1.001)</f>
        <v>1.001</v>
      </c>
      <c r="E4168" s="16">
        <f>IFERROR(__xludf.DUMMYFUNCTION("""COMPUTED_VALUE"""),68.0)</f>
        <v>68</v>
      </c>
      <c r="F4168" s="19" t="str">
        <f>IFERROR(__xludf.DUMMYFUNCTION("""COMPUTED_VALUE"""),"BLUE")</f>
        <v>BLUE</v>
      </c>
      <c r="G4168" s="20" t="str">
        <f>IFERROR(__xludf.DUMMYFUNCTION("""COMPUTED_VALUE"""),"Uncle Sams Cider (04/04/2023)")</f>
        <v>Uncle Sams Cider (04/04/2023)</v>
      </c>
      <c r="H4168" s="19"/>
    </row>
    <row r="4169">
      <c r="A4169" s="9"/>
      <c r="B4169" s="15"/>
      <c r="C4169" s="9">
        <f>IFERROR(__xludf.DUMMYFUNCTION("""COMPUTED_VALUE"""),45100.950756493)</f>
        <v>45100.95076</v>
      </c>
      <c r="D4169" s="15">
        <f>IFERROR(__xludf.DUMMYFUNCTION("""COMPUTED_VALUE"""),1.001)</f>
        <v>1.001</v>
      </c>
      <c r="E4169" s="16">
        <f>IFERROR(__xludf.DUMMYFUNCTION("""COMPUTED_VALUE"""),68.0)</f>
        <v>68</v>
      </c>
      <c r="F4169" s="19" t="str">
        <f>IFERROR(__xludf.DUMMYFUNCTION("""COMPUTED_VALUE"""),"BLUE")</f>
        <v>BLUE</v>
      </c>
      <c r="G4169" s="20" t="str">
        <f>IFERROR(__xludf.DUMMYFUNCTION("""COMPUTED_VALUE"""),"Uncle Sams Cider (04/04/2023)")</f>
        <v>Uncle Sams Cider (04/04/2023)</v>
      </c>
      <c r="H4169" s="19"/>
    </row>
    <row r="4170">
      <c r="A4170" s="9"/>
      <c r="B4170" s="15"/>
      <c r="C4170" s="9">
        <f>IFERROR(__xludf.DUMMYFUNCTION("""COMPUTED_VALUE"""),45100.9403377083)</f>
        <v>45100.94034</v>
      </c>
      <c r="D4170" s="15">
        <f>IFERROR(__xludf.DUMMYFUNCTION("""COMPUTED_VALUE"""),1.001)</f>
        <v>1.001</v>
      </c>
      <c r="E4170" s="16">
        <f>IFERROR(__xludf.DUMMYFUNCTION("""COMPUTED_VALUE"""),68.0)</f>
        <v>68</v>
      </c>
      <c r="F4170" s="19" t="str">
        <f>IFERROR(__xludf.DUMMYFUNCTION("""COMPUTED_VALUE"""),"BLUE")</f>
        <v>BLUE</v>
      </c>
      <c r="G4170" s="20" t="str">
        <f>IFERROR(__xludf.DUMMYFUNCTION("""COMPUTED_VALUE"""),"Uncle Sams Cider (04/04/2023)")</f>
        <v>Uncle Sams Cider (04/04/2023)</v>
      </c>
      <c r="H4170" s="19"/>
    </row>
    <row r="4171">
      <c r="A4171" s="9"/>
      <c r="B4171" s="15"/>
      <c r="C4171" s="9">
        <f>IFERROR(__xludf.DUMMYFUNCTION("""COMPUTED_VALUE"""),45100.9299164467)</f>
        <v>45100.92992</v>
      </c>
      <c r="D4171" s="15">
        <f>IFERROR(__xludf.DUMMYFUNCTION("""COMPUTED_VALUE"""),1.001)</f>
        <v>1.001</v>
      </c>
      <c r="E4171" s="16">
        <f>IFERROR(__xludf.DUMMYFUNCTION("""COMPUTED_VALUE"""),68.0)</f>
        <v>68</v>
      </c>
      <c r="F4171" s="19" t="str">
        <f>IFERROR(__xludf.DUMMYFUNCTION("""COMPUTED_VALUE"""),"BLUE")</f>
        <v>BLUE</v>
      </c>
      <c r="G4171" s="20" t="str">
        <f>IFERROR(__xludf.DUMMYFUNCTION("""COMPUTED_VALUE"""),"Uncle Sams Cider (04/04/2023)")</f>
        <v>Uncle Sams Cider (04/04/2023)</v>
      </c>
      <c r="H4171" s="19"/>
    </row>
    <row r="4172">
      <c r="A4172" s="9"/>
      <c r="B4172" s="15"/>
      <c r="C4172" s="9">
        <f>IFERROR(__xludf.DUMMYFUNCTION("""COMPUTED_VALUE"""),45100.9194953935)</f>
        <v>45100.9195</v>
      </c>
      <c r="D4172" s="15">
        <f>IFERROR(__xludf.DUMMYFUNCTION("""COMPUTED_VALUE"""),1.001)</f>
        <v>1.001</v>
      </c>
      <c r="E4172" s="16">
        <f>IFERROR(__xludf.DUMMYFUNCTION("""COMPUTED_VALUE"""),68.0)</f>
        <v>68</v>
      </c>
      <c r="F4172" s="19" t="str">
        <f>IFERROR(__xludf.DUMMYFUNCTION("""COMPUTED_VALUE"""),"BLUE")</f>
        <v>BLUE</v>
      </c>
      <c r="G4172" s="20" t="str">
        <f>IFERROR(__xludf.DUMMYFUNCTION("""COMPUTED_VALUE"""),"Uncle Sams Cider (04/04/2023)")</f>
        <v>Uncle Sams Cider (04/04/2023)</v>
      </c>
      <c r="H4172" s="19"/>
    </row>
    <row r="4173">
      <c r="A4173" s="9"/>
      <c r="B4173" s="15"/>
      <c r="C4173" s="9">
        <f>IFERROR(__xludf.DUMMYFUNCTION("""COMPUTED_VALUE"""),45100.9090616898)</f>
        <v>45100.90906</v>
      </c>
      <c r="D4173" s="15">
        <f>IFERROR(__xludf.DUMMYFUNCTION("""COMPUTED_VALUE"""),1.001)</f>
        <v>1.001</v>
      </c>
      <c r="E4173" s="16">
        <f>IFERROR(__xludf.DUMMYFUNCTION("""COMPUTED_VALUE"""),68.0)</f>
        <v>68</v>
      </c>
      <c r="F4173" s="19" t="str">
        <f>IFERROR(__xludf.DUMMYFUNCTION("""COMPUTED_VALUE"""),"BLUE")</f>
        <v>BLUE</v>
      </c>
      <c r="G4173" s="20" t="str">
        <f>IFERROR(__xludf.DUMMYFUNCTION("""COMPUTED_VALUE"""),"Uncle Sams Cider (04/04/2023)")</f>
        <v>Uncle Sams Cider (04/04/2023)</v>
      </c>
      <c r="H4173" s="19"/>
    </row>
    <row r="4174">
      <c r="A4174" s="9"/>
      <c r="B4174" s="15"/>
      <c r="C4174" s="9">
        <f>IFERROR(__xludf.DUMMYFUNCTION("""COMPUTED_VALUE"""),45100.898640405)</f>
        <v>45100.89864</v>
      </c>
      <c r="D4174" s="15">
        <f>IFERROR(__xludf.DUMMYFUNCTION("""COMPUTED_VALUE"""),1.001)</f>
        <v>1.001</v>
      </c>
      <c r="E4174" s="16">
        <f>IFERROR(__xludf.DUMMYFUNCTION("""COMPUTED_VALUE"""),68.0)</f>
        <v>68</v>
      </c>
      <c r="F4174" s="19" t="str">
        <f>IFERROR(__xludf.DUMMYFUNCTION("""COMPUTED_VALUE"""),"BLUE")</f>
        <v>BLUE</v>
      </c>
      <c r="G4174" s="20" t="str">
        <f>IFERROR(__xludf.DUMMYFUNCTION("""COMPUTED_VALUE"""),"Uncle Sams Cider (04/04/2023)")</f>
        <v>Uncle Sams Cider (04/04/2023)</v>
      </c>
      <c r="H4174" s="19"/>
    </row>
    <row r="4175">
      <c r="A4175" s="9"/>
      <c r="B4175" s="15"/>
      <c r="C4175" s="9">
        <f>IFERROR(__xludf.DUMMYFUNCTION("""COMPUTED_VALUE"""),45100.8882189351)</f>
        <v>45100.88822</v>
      </c>
      <c r="D4175" s="15">
        <f>IFERROR(__xludf.DUMMYFUNCTION("""COMPUTED_VALUE"""),1.001)</f>
        <v>1.001</v>
      </c>
      <c r="E4175" s="16">
        <f>IFERROR(__xludf.DUMMYFUNCTION("""COMPUTED_VALUE"""),68.0)</f>
        <v>68</v>
      </c>
      <c r="F4175" s="19" t="str">
        <f>IFERROR(__xludf.DUMMYFUNCTION("""COMPUTED_VALUE"""),"BLUE")</f>
        <v>BLUE</v>
      </c>
      <c r="G4175" s="20" t="str">
        <f>IFERROR(__xludf.DUMMYFUNCTION("""COMPUTED_VALUE"""),"Uncle Sams Cider (04/04/2023)")</f>
        <v>Uncle Sams Cider (04/04/2023)</v>
      </c>
      <c r="H4175" s="19"/>
    </row>
    <row r="4176">
      <c r="A4176" s="9"/>
      <c r="B4176" s="15"/>
      <c r="C4176" s="9">
        <f>IFERROR(__xludf.DUMMYFUNCTION("""COMPUTED_VALUE"""),45100.8777966782)</f>
        <v>45100.8778</v>
      </c>
      <c r="D4176" s="15">
        <f>IFERROR(__xludf.DUMMYFUNCTION("""COMPUTED_VALUE"""),1.001)</f>
        <v>1.001</v>
      </c>
      <c r="E4176" s="16">
        <f>IFERROR(__xludf.DUMMYFUNCTION("""COMPUTED_VALUE"""),68.0)</f>
        <v>68</v>
      </c>
      <c r="F4176" s="19" t="str">
        <f>IFERROR(__xludf.DUMMYFUNCTION("""COMPUTED_VALUE"""),"BLUE")</f>
        <v>BLUE</v>
      </c>
      <c r="G4176" s="20" t="str">
        <f>IFERROR(__xludf.DUMMYFUNCTION("""COMPUTED_VALUE"""),"Uncle Sams Cider (04/04/2023)")</f>
        <v>Uncle Sams Cider (04/04/2023)</v>
      </c>
      <c r="H4176" s="19"/>
    </row>
    <row r="4177">
      <c r="A4177" s="9"/>
      <c r="B4177" s="15"/>
      <c r="C4177" s="9">
        <f>IFERROR(__xludf.DUMMYFUNCTION("""COMPUTED_VALUE"""),45100.8673754282)</f>
        <v>45100.86738</v>
      </c>
      <c r="D4177" s="15">
        <f>IFERROR(__xludf.DUMMYFUNCTION("""COMPUTED_VALUE"""),1.001)</f>
        <v>1.001</v>
      </c>
      <c r="E4177" s="16">
        <f>IFERROR(__xludf.DUMMYFUNCTION("""COMPUTED_VALUE"""),68.0)</f>
        <v>68</v>
      </c>
      <c r="F4177" s="19" t="str">
        <f>IFERROR(__xludf.DUMMYFUNCTION("""COMPUTED_VALUE"""),"BLUE")</f>
        <v>BLUE</v>
      </c>
      <c r="G4177" s="20" t="str">
        <f>IFERROR(__xludf.DUMMYFUNCTION("""COMPUTED_VALUE"""),"Uncle Sams Cider (04/04/2023)")</f>
        <v>Uncle Sams Cider (04/04/2023)</v>
      </c>
      <c r="H4177" s="19"/>
    </row>
    <row r="4178">
      <c r="A4178" s="9"/>
      <c r="B4178" s="15"/>
      <c r="C4178" s="9">
        <f>IFERROR(__xludf.DUMMYFUNCTION("""COMPUTED_VALUE"""),45100.8569417476)</f>
        <v>45100.85694</v>
      </c>
      <c r="D4178" s="15">
        <f>IFERROR(__xludf.DUMMYFUNCTION("""COMPUTED_VALUE"""),1.001)</f>
        <v>1.001</v>
      </c>
      <c r="E4178" s="16">
        <f>IFERROR(__xludf.DUMMYFUNCTION("""COMPUTED_VALUE"""),68.0)</f>
        <v>68</v>
      </c>
      <c r="F4178" s="19" t="str">
        <f>IFERROR(__xludf.DUMMYFUNCTION("""COMPUTED_VALUE"""),"BLUE")</f>
        <v>BLUE</v>
      </c>
      <c r="G4178" s="20" t="str">
        <f>IFERROR(__xludf.DUMMYFUNCTION("""COMPUTED_VALUE"""),"Uncle Sams Cider (04/04/2023)")</f>
        <v>Uncle Sams Cider (04/04/2023)</v>
      </c>
      <c r="H4178" s="19"/>
    </row>
    <row r="4179">
      <c r="A4179" s="9"/>
      <c r="B4179" s="15"/>
      <c r="C4179" s="9">
        <f>IFERROR(__xludf.DUMMYFUNCTION("""COMPUTED_VALUE"""),45100.8464984259)</f>
        <v>45100.8465</v>
      </c>
      <c r="D4179" s="15">
        <f>IFERROR(__xludf.DUMMYFUNCTION("""COMPUTED_VALUE"""),1.001)</f>
        <v>1.001</v>
      </c>
      <c r="E4179" s="16">
        <f>IFERROR(__xludf.DUMMYFUNCTION("""COMPUTED_VALUE"""),68.0)</f>
        <v>68</v>
      </c>
      <c r="F4179" s="19" t="str">
        <f>IFERROR(__xludf.DUMMYFUNCTION("""COMPUTED_VALUE"""),"BLUE")</f>
        <v>BLUE</v>
      </c>
      <c r="G4179" s="20" t="str">
        <f>IFERROR(__xludf.DUMMYFUNCTION("""COMPUTED_VALUE"""),"Uncle Sams Cider (04/04/2023)")</f>
        <v>Uncle Sams Cider (04/04/2023)</v>
      </c>
      <c r="H4179" s="19"/>
    </row>
    <row r="4180">
      <c r="A4180" s="9"/>
      <c r="B4180" s="15"/>
      <c r="C4180" s="9">
        <f>IFERROR(__xludf.DUMMYFUNCTION("""COMPUTED_VALUE"""),45100.8360779629)</f>
        <v>45100.83608</v>
      </c>
      <c r="D4180" s="15">
        <f>IFERROR(__xludf.DUMMYFUNCTION("""COMPUTED_VALUE"""),1.001)</f>
        <v>1.001</v>
      </c>
      <c r="E4180" s="16">
        <f>IFERROR(__xludf.DUMMYFUNCTION("""COMPUTED_VALUE"""),68.0)</f>
        <v>68</v>
      </c>
      <c r="F4180" s="19" t="str">
        <f>IFERROR(__xludf.DUMMYFUNCTION("""COMPUTED_VALUE"""),"BLUE")</f>
        <v>BLUE</v>
      </c>
      <c r="G4180" s="20" t="str">
        <f>IFERROR(__xludf.DUMMYFUNCTION("""COMPUTED_VALUE"""),"Uncle Sams Cider (04/04/2023)")</f>
        <v>Uncle Sams Cider (04/04/2023)</v>
      </c>
      <c r="H4180" s="19"/>
    </row>
    <row r="4181">
      <c r="A4181" s="9"/>
      <c r="B4181" s="15"/>
      <c r="C4181" s="9">
        <f>IFERROR(__xludf.DUMMYFUNCTION("""COMPUTED_VALUE"""),45100.8256565393)</f>
        <v>45100.82566</v>
      </c>
      <c r="D4181" s="15">
        <f>IFERROR(__xludf.DUMMYFUNCTION("""COMPUTED_VALUE"""),1.001)</f>
        <v>1.001</v>
      </c>
      <c r="E4181" s="16">
        <f>IFERROR(__xludf.DUMMYFUNCTION("""COMPUTED_VALUE"""),68.0)</f>
        <v>68</v>
      </c>
      <c r="F4181" s="19" t="str">
        <f>IFERROR(__xludf.DUMMYFUNCTION("""COMPUTED_VALUE"""),"BLUE")</f>
        <v>BLUE</v>
      </c>
      <c r="G4181" s="20" t="str">
        <f>IFERROR(__xludf.DUMMYFUNCTION("""COMPUTED_VALUE"""),"Uncle Sams Cider (04/04/2023)")</f>
        <v>Uncle Sams Cider (04/04/2023)</v>
      </c>
      <c r="H4181" s="19"/>
    </row>
    <row r="4182">
      <c r="A4182" s="9"/>
      <c r="B4182" s="15"/>
      <c r="C4182" s="9">
        <f>IFERROR(__xludf.DUMMYFUNCTION("""COMPUTED_VALUE"""),45100.8152236921)</f>
        <v>45100.81522</v>
      </c>
      <c r="D4182" s="15">
        <f>IFERROR(__xludf.DUMMYFUNCTION("""COMPUTED_VALUE"""),1.001)</f>
        <v>1.001</v>
      </c>
      <c r="E4182" s="16">
        <f>IFERROR(__xludf.DUMMYFUNCTION("""COMPUTED_VALUE"""),68.0)</f>
        <v>68</v>
      </c>
      <c r="F4182" s="19" t="str">
        <f>IFERROR(__xludf.DUMMYFUNCTION("""COMPUTED_VALUE"""),"BLUE")</f>
        <v>BLUE</v>
      </c>
      <c r="G4182" s="20" t="str">
        <f>IFERROR(__xludf.DUMMYFUNCTION("""COMPUTED_VALUE"""),"Uncle Sams Cider (04/04/2023)")</f>
        <v>Uncle Sams Cider (04/04/2023)</v>
      </c>
      <c r="H4182" s="19"/>
    </row>
    <row r="4183">
      <c r="A4183" s="9"/>
      <c r="B4183" s="15"/>
      <c r="C4183" s="9">
        <f>IFERROR(__xludf.DUMMYFUNCTION("""COMPUTED_VALUE"""),45100.8048034953)</f>
        <v>45100.8048</v>
      </c>
      <c r="D4183" s="15">
        <f>IFERROR(__xludf.DUMMYFUNCTION("""COMPUTED_VALUE"""),1.001)</f>
        <v>1.001</v>
      </c>
      <c r="E4183" s="16">
        <f>IFERROR(__xludf.DUMMYFUNCTION("""COMPUTED_VALUE"""),68.0)</f>
        <v>68</v>
      </c>
      <c r="F4183" s="19" t="str">
        <f>IFERROR(__xludf.DUMMYFUNCTION("""COMPUTED_VALUE"""),"BLUE")</f>
        <v>BLUE</v>
      </c>
      <c r="G4183" s="20" t="str">
        <f>IFERROR(__xludf.DUMMYFUNCTION("""COMPUTED_VALUE"""),"Uncle Sams Cider (04/04/2023)")</f>
        <v>Uncle Sams Cider (04/04/2023)</v>
      </c>
      <c r="H4183" s="19"/>
    </row>
    <row r="4184">
      <c r="A4184" s="9"/>
      <c r="B4184" s="15"/>
      <c r="C4184" s="9">
        <f>IFERROR(__xludf.DUMMYFUNCTION("""COMPUTED_VALUE"""),45100.7943711342)</f>
        <v>45100.79437</v>
      </c>
      <c r="D4184" s="15">
        <f>IFERROR(__xludf.DUMMYFUNCTION("""COMPUTED_VALUE"""),1.001)</f>
        <v>1.001</v>
      </c>
      <c r="E4184" s="16">
        <f>IFERROR(__xludf.DUMMYFUNCTION("""COMPUTED_VALUE"""),68.0)</f>
        <v>68</v>
      </c>
      <c r="F4184" s="19" t="str">
        <f>IFERROR(__xludf.DUMMYFUNCTION("""COMPUTED_VALUE"""),"BLUE")</f>
        <v>BLUE</v>
      </c>
      <c r="G4184" s="20" t="str">
        <f>IFERROR(__xludf.DUMMYFUNCTION("""COMPUTED_VALUE"""),"Uncle Sams Cider (04/04/2023)")</f>
        <v>Uncle Sams Cider (04/04/2023)</v>
      </c>
      <c r="H4184" s="19"/>
    </row>
    <row r="4185">
      <c r="A4185" s="9"/>
      <c r="B4185" s="15"/>
      <c r="C4185" s="9">
        <f>IFERROR(__xludf.DUMMYFUNCTION("""COMPUTED_VALUE"""),45100.7839511689)</f>
        <v>45100.78395</v>
      </c>
      <c r="D4185" s="15">
        <f>IFERROR(__xludf.DUMMYFUNCTION("""COMPUTED_VALUE"""),1.001)</f>
        <v>1.001</v>
      </c>
      <c r="E4185" s="16">
        <f>IFERROR(__xludf.DUMMYFUNCTION("""COMPUTED_VALUE"""),68.0)</f>
        <v>68</v>
      </c>
      <c r="F4185" s="19" t="str">
        <f>IFERROR(__xludf.DUMMYFUNCTION("""COMPUTED_VALUE"""),"BLUE")</f>
        <v>BLUE</v>
      </c>
      <c r="G4185" s="20" t="str">
        <f>IFERROR(__xludf.DUMMYFUNCTION("""COMPUTED_VALUE"""),"Uncle Sams Cider (04/04/2023)")</f>
        <v>Uncle Sams Cider (04/04/2023)</v>
      </c>
      <c r="H4185" s="19"/>
    </row>
    <row r="4186">
      <c r="A4186" s="9"/>
      <c r="B4186" s="15"/>
      <c r="C4186" s="9">
        <f>IFERROR(__xludf.DUMMYFUNCTION("""COMPUTED_VALUE"""),45100.7735175694)</f>
        <v>45100.77352</v>
      </c>
      <c r="D4186" s="15">
        <f>IFERROR(__xludf.DUMMYFUNCTION("""COMPUTED_VALUE"""),1.001)</f>
        <v>1.001</v>
      </c>
      <c r="E4186" s="16">
        <f>IFERROR(__xludf.DUMMYFUNCTION("""COMPUTED_VALUE"""),68.0)</f>
        <v>68</v>
      </c>
      <c r="F4186" s="19" t="str">
        <f>IFERROR(__xludf.DUMMYFUNCTION("""COMPUTED_VALUE"""),"BLUE")</f>
        <v>BLUE</v>
      </c>
      <c r="G4186" s="20" t="str">
        <f>IFERROR(__xludf.DUMMYFUNCTION("""COMPUTED_VALUE"""),"Uncle Sams Cider (04/04/2023)")</f>
        <v>Uncle Sams Cider (04/04/2023)</v>
      </c>
      <c r="H4186" s="19"/>
    </row>
    <row r="4187">
      <c r="A4187" s="9"/>
      <c r="B4187" s="15"/>
      <c r="C4187" s="9">
        <f>IFERROR(__xludf.DUMMYFUNCTION("""COMPUTED_VALUE"""),45100.7630838773)</f>
        <v>45100.76308</v>
      </c>
      <c r="D4187" s="15">
        <f>IFERROR(__xludf.DUMMYFUNCTION("""COMPUTED_VALUE"""),1.001)</f>
        <v>1.001</v>
      </c>
      <c r="E4187" s="16">
        <f>IFERROR(__xludf.DUMMYFUNCTION("""COMPUTED_VALUE"""),68.0)</f>
        <v>68</v>
      </c>
      <c r="F4187" s="19" t="str">
        <f>IFERROR(__xludf.DUMMYFUNCTION("""COMPUTED_VALUE"""),"BLUE")</f>
        <v>BLUE</v>
      </c>
      <c r="G4187" s="20" t="str">
        <f>IFERROR(__xludf.DUMMYFUNCTION("""COMPUTED_VALUE"""),"Uncle Sams Cider (04/04/2023)")</f>
        <v>Uncle Sams Cider (04/04/2023)</v>
      </c>
      <c r="H4187" s="19"/>
    </row>
    <row r="4188">
      <c r="A4188" s="9"/>
      <c r="B4188" s="15"/>
      <c r="C4188" s="9">
        <f>IFERROR(__xludf.DUMMYFUNCTION("""COMPUTED_VALUE"""),45100.7526487384)</f>
        <v>45100.75265</v>
      </c>
      <c r="D4188" s="15">
        <f>IFERROR(__xludf.DUMMYFUNCTION("""COMPUTED_VALUE"""),1.001)</f>
        <v>1.001</v>
      </c>
      <c r="E4188" s="16">
        <f>IFERROR(__xludf.DUMMYFUNCTION("""COMPUTED_VALUE"""),68.0)</f>
        <v>68</v>
      </c>
      <c r="F4188" s="19" t="str">
        <f>IFERROR(__xludf.DUMMYFUNCTION("""COMPUTED_VALUE"""),"BLUE")</f>
        <v>BLUE</v>
      </c>
      <c r="G4188" s="20" t="str">
        <f>IFERROR(__xludf.DUMMYFUNCTION("""COMPUTED_VALUE"""),"Uncle Sams Cider (04/04/2023)")</f>
        <v>Uncle Sams Cider (04/04/2023)</v>
      </c>
      <c r="H4188" s="19"/>
    </row>
    <row r="4189">
      <c r="A4189" s="9"/>
      <c r="B4189" s="15"/>
      <c r="C4189" s="9">
        <f>IFERROR(__xludf.DUMMYFUNCTION("""COMPUTED_VALUE"""),45100.7422281597)</f>
        <v>45100.74223</v>
      </c>
      <c r="D4189" s="15">
        <f>IFERROR(__xludf.DUMMYFUNCTION("""COMPUTED_VALUE"""),1.001)</f>
        <v>1.001</v>
      </c>
      <c r="E4189" s="16">
        <f>IFERROR(__xludf.DUMMYFUNCTION("""COMPUTED_VALUE"""),68.0)</f>
        <v>68</v>
      </c>
      <c r="F4189" s="19" t="str">
        <f>IFERROR(__xludf.DUMMYFUNCTION("""COMPUTED_VALUE"""),"BLUE")</f>
        <v>BLUE</v>
      </c>
      <c r="G4189" s="20" t="str">
        <f>IFERROR(__xludf.DUMMYFUNCTION("""COMPUTED_VALUE"""),"Uncle Sams Cider (04/04/2023)")</f>
        <v>Uncle Sams Cider (04/04/2023)</v>
      </c>
      <c r="H4189" s="19"/>
    </row>
    <row r="4190">
      <c r="A4190" s="9"/>
      <c r="B4190" s="15"/>
      <c r="C4190" s="9">
        <f>IFERROR(__xludf.DUMMYFUNCTION("""COMPUTED_VALUE"""),45100.7318070949)</f>
        <v>45100.73181</v>
      </c>
      <c r="D4190" s="15">
        <f>IFERROR(__xludf.DUMMYFUNCTION("""COMPUTED_VALUE"""),1.001)</f>
        <v>1.001</v>
      </c>
      <c r="E4190" s="16">
        <f>IFERROR(__xludf.DUMMYFUNCTION("""COMPUTED_VALUE"""),68.0)</f>
        <v>68</v>
      </c>
      <c r="F4190" s="19" t="str">
        <f>IFERROR(__xludf.DUMMYFUNCTION("""COMPUTED_VALUE"""),"BLUE")</f>
        <v>BLUE</v>
      </c>
      <c r="G4190" s="20" t="str">
        <f>IFERROR(__xludf.DUMMYFUNCTION("""COMPUTED_VALUE"""),"Uncle Sams Cider (04/04/2023)")</f>
        <v>Uncle Sams Cider (04/04/2023)</v>
      </c>
      <c r="H4190" s="19"/>
    </row>
    <row r="4191">
      <c r="A4191" s="9"/>
      <c r="B4191" s="15"/>
      <c r="C4191" s="9">
        <f>IFERROR(__xludf.DUMMYFUNCTION("""COMPUTED_VALUE"""),45100.72138603)</f>
        <v>45100.72139</v>
      </c>
      <c r="D4191" s="15">
        <f>IFERROR(__xludf.DUMMYFUNCTION("""COMPUTED_VALUE"""),1.001)</f>
        <v>1.001</v>
      </c>
      <c r="E4191" s="16">
        <f>IFERROR(__xludf.DUMMYFUNCTION("""COMPUTED_VALUE"""),68.0)</f>
        <v>68</v>
      </c>
      <c r="F4191" s="19" t="str">
        <f>IFERROR(__xludf.DUMMYFUNCTION("""COMPUTED_VALUE"""),"BLUE")</f>
        <v>BLUE</v>
      </c>
      <c r="G4191" s="20" t="str">
        <f>IFERROR(__xludf.DUMMYFUNCTION("""COMPUTED_VALUE"""),"Uncle Sams Cider (04/04/2023)")</f>
        <v>Uncle Sams Cider (04/04/2023)</v>
      </c>
      <c r="H4191" s="19"/>
    </row>
    <row r="4192">
      <c r="A4192" s="9"/>
      <c r="B4192" s="15"/>
      <c r="C4192" s="9">
        <f>IFERROR(__xludf.DUMMYFUNCTION("""COMPUTED_VALUE"""),45100.7109662037)</f>
        <v>45100.71097</v>
      </c>
      <c r="D4192" s="15">
        <f>IFERROR(__xludf.DUMMYFUNCTION("""COMPUTED_VALUE"""),1.001)</f>
        <v>1.001</v>
      </c>
      <c r="E4192" s="16">
        <f>IFERROR(__xludf.DUMMYFUNCTION("""COMPUTED_VALUE"""),68.0)</f>
        <v>68</v>
      </c>
      <c r="F4192" s="19" t="str">
        <f>IFERROR(__xludf.DUMMYFUNCTION("""COMPUTED_VALUE"""),"BLUE")</f>
        <v>BLUE</v>
      </c>
      <c r="G4192" s="20" t="str">
        <f>IFERROR(__xludf.DUMMYFUNCTION("""COMPUTED_VALUE"""),"Uncle Sams Cider (04/04/2023)")</f>
        <v>Uncle Sams Cider (04/04/2023)</v>
      </c>
      <c r="H4192" s="19"/>
    </row>
    <row r="4193">
      <c r="A4193" s="9"/>
      <c r="B4193" s="15"/>
      <c r="C4193" s="9">
        <f>IFERROR(__xludf.DUMMYFUNCTION("""COMPUTED_VALUE"""),45100.7005235995)</f>
        <v>45100.70052</v>
      </c>
      <c r="D4193" s="15">
        <f>IFERROR(__xludf.DUMMYFUNCTION("""COMPUTED_VALUE"""),1.001)</f>
        <v>1.001</v>
      </c>
      <c r="E4193" s="16">
        <f>IFERROR(__xludf.DUMMYFUNCTION("""COMPUTED_VALUE"""),68.0)</f>
        <v>68</v>
      </c>
      <c r="F4193" s="19" t="str">
        <f>IFERROR(__xludf.DUMMYFUNCTION("""COMPUTED_VALUE"""),"BLUE")</f>
        <v>BLUE</v>
      </c>
      <c r="G4193" s="20" t="str">
        <f>IFERROR(__xludf.DUMMYFUNCTION("""COMPUTED_VALUE"""),"Uncle Sams Cider (04/04/2023)")</f>
        <v>Uncle Sams Cider (04/04/2023)</v>
      </c>
      <c r="H4193" s="19"/>
    </row>
    <row r="4194">
      <c r="A4194" s="9"/>
      <c r="B4194" s="15"/>
      <c r="C4194" s="9">
        <f>IFERROR(__xludf.DUMMYFUNCTION("""COMPUTED_VALUE"""),45100.6901023032)</f>
        <v>45100.6901</v>
      </c>
      <c r="D4194" s="15">
        <f>IFERROR(__xludf.DUMMYFUNCTION("""COMPUTED_VALUE"""),1.001)</f>
        <v>1.001</v>
      </c>
      <c r="E4194" s="16">
        <f>IFERROR(__xludf.DUMMYFUNCTION("""COMPUTED_VALUE"""),68.0)</f>
        <v>68</v>
      </c>
      <c r="F4194" s="19" t="str">
        <f>IFERROR(__xludf.DUMMYFUNCTION("""COMPUTED_VALUE"""),"BLUE")</f>
        <v>BLUE</v>
      </c>
      <c r="G4194" s="20" t="str">
        <f>IFERROR(__xludf.DUMMYFUNCTION("""COMPUTED_VALUE"""),"Uncle Sams Cider (04/04/2023)")</f>
        <v>Uncle Sams Cider (04/04/2023)</v>
      </c>
      <c r="H4194" s="19"/>
    </row>
    <row r="4195">
      <c r="A4195" s="9"/>
      <c r="B4195" s="15"/>
      <c r="C4195" s="9">
        <f>IFERROR(__xludf.DUMMYFUNCTION("""COMPUTED_VALUE"""),45100.6796815856)</f>
        <v>45100.67968</v>
      </c>
      <c r="D4195" s="15">
        <f>IFERROR(__xludf.DUMMYFUNCTION("""COMPUTED_VALUE"""),1.001)</f>
        <v>1.001</v>
      </c>
      <c r="E4195" s="16">
        <f>IFERROR(__xludf.DUMMYFUNCTION("""COMPUTED_VALUE"""),68.0)</f>
        <v>68</v>
      </c>
      <c r="F4195" s="19" t="str">
        <f>IFERROR(__xludf.DUMMYFUNCTION("""COMPUTED_VALUE"""),"BLUE")</f>
        <v>BLUE</v>
      </c>
      <c r="G4195" s="20" t="str">
        <f>IFERROR(__xludf.DUMMYFUNCTION("""COMPUTED_VALUE"""),"Uncle Sams Cider (04/04/2023)")</f>
        <v>Uncle Sams Cider (04/04/2023)</v>
      </c>
      <c r="H4195" s="19"/>
    </row>
    <row r="4196">
      <c r="A4196" s="9"/>
      <c r="B4196" s="15"/>
      <c r="C4196" s="9">
        <f>IFERROR(__xludf.DUMMYFUNCTION("""COMPUTED_VALUE"""),45100.6692616435)</f>
        <v>45100.66926</v>
      </c>
      <c r="D4196" s="15">
        <f>IFERROR(__xludf.DUMMYFUNCTION("""COMPUTED_VALUE"""),1.001)</f>
        <v>1.001</v>
      </c>
      <c r="E4196" s="16">
        <f>IFERROR(__xludf.DUMMYFUNCTION("""COMPUTED_VALUE"""),68.0)</f>
        <v>68</v>
      </c>
      <c r="F4196" s="19" t="str">
        <f>IFERROR(__xludf.DUMMYFUNCTION("""COMPUTED_VALUE"""),"BLUE")</f>
        <v>BLUE</v>
      </c>
      <c r="G4196" s="20" t="str">
        <f>IFERROR(__xludf.DUMMYFUNCTION("""COMPUTED_VALUE"""),"Uncle Sams Cider (04/04/2023)")</f>
        <v>Uncle Sams Cider (04/04/2023)</v>
      </c>
      <c r="H4196" s="19"/>
    </row>
    <row r="4197">
      <c r="A4197" s="9"/>
      <c r="B4197" s="15"/>
      <c r="C4197" s="9">
        <f>IFERROR(__xludf.DUMMYFUNCTION("""COMPUTED_VALUE"""),45100.6588395833)</f>
        <v>45100.65884</v>
      </c>
      <c r="D4197" s="15">
        <f>IFERROR(__xludf.DUMMYFUNCTION("""COMPUTED_VALUE"""),1.001)</f>
        <v>1.001</v>
      </c>
      <c r="E4197" s="16">
        <f>IFERROR(__xludf.DUMMYFUNCTION("""COMPUTED_VALUE"""),68.0)</f>
        <v>68</v>
      </c>
      <c r="F4197" s="19" t="str">
        <f>IFERROR(__xludf.DUMMYFUNCTION("""COMPUTED_VALUE"""),"BLUE")</f>
        <v>BLUE</v>
      </c>
      <c r="G4197" s="20" t="str">
        <f>IFERROR(__xludf.DUMMYFUNCTION("""COMPUTED_VALUE"""),"Uncle Sams Cider (04/04/2023)")</f>
        <v>Uncle Sams Cider (04/04/2023)</v>
      </c>
      <c r="H4197" s="19"/>
    </row>
    <row r="4198">
      <c r="A4198" s="9"/>
      <c r="B4198" s="15"/>
      <c r="C4198" s="9">
        <f>IFERROR(__xludf.DUMMYFUNCTION("""COMPUTED_VALUE"""),45100.6484172453)</f>
        <v>45100.64842</v>
      </c>
      <c r="D4198" s="15">
        <f>IFERROR(__xludf.DUMMYFUNCTION("""COMPUTED_VALUE"""),1.001)</f>
        <v>1.001</v>
      </c>
      <c r="E4198" s="16">
        <f>IFERROR(__xludf.DUMMYFUNCTION("""COMPUTED_VALUE"""),68.0)</f>
        <v>68</v>
      </c>
      <c r="F4198" s="19" t="str">
        <f>IFERROR(__xludf.DUMMYFUNCTION("""COMPUTED_VALUE"""),"BLUE")</f>
        <v>BLUE</v>
      </c>
      <c r="G4198" s="20" t="str">
        <f>IFERROR(__xludf.DUMMYFUNCTION("""COMPUTED_VALUE"""),"Uncle Sams Cider (04/04/2023)")</f>
        <v>Uncle Sams Cider (04/04/2023)</v>
      </c>
      <c r="H4198" s="19"/>
    </row>
    <row r="4199">
      <c r="A4199" s="9"/>
      <c r="B4199" s="15"/>
      <c r="C4199" s="9">
        <f>IFERROR(__xludf.DUMMYFUNCTION("""COMPUTED_VALUE"""),45100.6379851041)</f>
        <v>45100.63799</v>
      </c>
      <c r="D4199" s="15">
        <f>IFERROR(__xludf.DUMMYFUNCTION("""COMPUTED_VALUE"""),1.001)</f>
        <v>1.001</v>
      </c>
      <c r="E4199" s="16">
        <f>IFERROR(__xludf.DUMMYFUNCTION("""COMPUTED_VALUE"""),68.0)</f>
        <v>68</v>
      </c>
      <c r="F4199" s="19" t="str">
        <f>IFERROR(__xludf.DUMMYFUNCTION("""COMPUTED_VALUE"""),"BLUE")</f>
        <v>BLUE</v>
      </c>
      <c r="G4199" s="20" t="str">
        <f>IFERROR(__xludf.DUMMYFUNCTION("""COMPUTED_VALUE"""),"Uncle Sams Cider (04/04/2023)")</f>
        <v>Uncle Sams Cider (04/04/2023)</v>
      </c>
      <c r="H4199" s="19"/>
    </row>
    <row r="4200">
      <c r="A4200" s="9"/>
      <c r="B4200" s="15"/>
      <c r="C4200" s="9">
        <f>IFERROR(__xludf.DUMMYFUNCTION("""COMPUTED_VALUE"""),45100.6275513541)</f>
        <v>45100.62755</v>
      </c>
      <c r="D4200" s="15">
        <f>IFERROR(__xludf.DUMMYFUNCTION("""COMPUTED_VALUE"""),1.001)</f>
        <v>1.001</v>
      </c>
      <c r="E4200" s="16">
        <f>IFERROR(__xludf.DUMMYFUNCTION("""COMPUTED_VALUE"""),68.0)</f>
        <v>68</v>
      </c>
      <c r="F4200" s="19" t="str">
        <f>IFERROR(__xludf.DUMMYFUNCTION("""COMPUTED_VALUE"""),"BLUE")</f>
        <v>BLUE</v>
      </c>
      <c r="G4200" s="20" t="str">
        <f>IFERROR(__xludf.DUMMYFUNCTION("""COMPUTED_VALUE"""),"Uncle Sams Cider (04/04/2023)")</f>
        <v>Uncle Sams Cider (04/04/2023)</v>
      </c>
      <c r="H4200" s="19"/>
    </row>
    <row r="4201">
      <c r="A4201" s="9"/>
      <c r="B4201" s="15"/>
      <c r="C4201" s="9">
        <f>IFERROR(__xludf.DUMMYFUNCTION("""COMPUTED_VALUE"""),45100.6171191435)</f>
        <v>45100.61712</v>
      </c>
      <c r="D4201" s="15">
        <f>IFERROR(__xludf.DUMMYFUNCTION("""COMPUTED_VALUE"""),1.001)</f>
        <v>1.001</v>
      </c>
      <c r="E4201" s="16">
        <f>IFERROR(__xludf.DUMMYFUNCTION("""COMPUTED_VALUE"""),68.0)</f>
        <v>68</v>
      </c>
      <c r="F4201" s="19" t="str">
        <f>IFERROR(__xludf.DUMMYFUNCTION("""COMPUTED_VALUE"""),"BLUE")</f>
        <v>BLUE</v>
      </c>
      <c r="G4201" s="20" t="str">
        <f>IFERROR(__xludf.DUMMYFUNCTION("""COMPUTED_VALUE"""),"Uncle Sams Cider (04/04/2023)")</f>
        <v>Uncle Sams Cider (04/04/2023)</v>
      </c>
      <c r="H4201" s="19"/>
    </row>
    <row r="4202">
      <c r="A4202" s="9"/>
      <c r="B4202" s="15"/>
      <c r="C4202" s="9">
        <f>IFERROR(__xludf.DUMMYFUNCTION("""COMPUTED_VALUE"""),45100.606697581)</f>
        <v>45100.6067</v>
      </c>
      <c r="D4202" s="15">
        <f>IFERROR(__xludf.DUMMYFUNCTION("""COMPUTED_VALUE"""),1.001)</f>
        <v>1.001</v>
      </c>
      <c r="E4202" s="16">
        <f>IFERROR(__xludf.DUMMYFUNCTION("""COMPUTED_VALUE"""),68.0)</f>
        <v>68</v>
      </c>
      <c r="F4202" s="19" t="str">
        <f>IFERROR(__xludf.DUMMYFUNCTION("""COMPUTED_VALUE"""),"BLUE")</f>
        <v>BLUE</v>
      </c>
      <c r="G4202" s="20" t="str">
        <f>IFERROR(__xludf.DUMMYFUNCTION("""COMPUTED_VALUE"""),"Uncle Sams Cider (04/04/2023)")</f>
        <v>Uncle Sams Cider (04/04/2023)</v>
      </c>
      <c r="H4202" s="19"/>
    </row>
    <row r="4203">
      <c r="A4203" s="9"/>
      <c r="B4203" s="15"/>
      <c r="C4203" s="9">
        <f>IFERROR(__xludf.DUMMYFUNCTION("""COMPUTED_VALUE"""),45100.5962658796)</f>
        <v>45100.59627</v>
      </c>
      <c r="D4203" s="15">
        <f>IFERROR(__xludf.DUMMYFUNCTION("""COMPUTED_VALUE"""),1.001)</f>
        <v>1.001</v>
      </c>
      <c r="E4203" s="16">
        <f>IFERROR(__xludf.DUMMYFUNCTION("""COMPUTED_VALUE"""),68.0)</f>
        <v>68</v>
      </c>
      <c r="F4203" s="19" t="str">
        <f>IFERROR(__xludf.DUMMYFUNCTION("""COMPUTED_VALUE"""),"BLUE")</f>
        <v>BLUE</v>
      </c>
      <c r="G4203" s="20" t="str">
        <f>IFERROR(__xludf.DUMMYFUNCTION("""COMPUTED_VALUE"""),"Uncle Sams Cider (04/04/2023)")</f>
        <v>Uncle Sams Cider (04/04/2023)</v>
      </c>
      <c r="H4203" s="19"/>
    </row>
    <row r="4204">
      <c r="A4204" s="9"/>
      <c r="B4204" s="15"/>
      <c r="C4204" s="9">
        <f>IFERROR(__xludf.DUMMYFUNCTION("""COMPUTED_VALUE"""),45100.5858442361)</f>
        <v>45100.58584</v>
      </c>
      <c r="D4204" s="15">
        <f>IFERROR(__xludf.DUMMYFUNCTION("""COMPUTED_VALUE"""),1.001)</f>
        <v>1.001</v>
      </c>
      <c r="E4204" s="16">
        <f>IFERROR(__xludf.DUMMYFUNCTION("""COMPUTED_VALUE"""),68.0)</f>
        <v>68</v>
      </c>
      <c r="F4204" s="19" t="str">
        <f>IFERROR(__xludf.DUMMYFUNCTION("""COMPUTED_VALUE"""),"BLUE")</f>
        <v>BLUE</v>
      </c>
      <c r="G4204" s="20" t="str">
        <f>IFERROR(__xludf.DUMMYFUNCTION("""COMPUTED_VALUE"""),"Uncle Sams Cider (04/04/2023)")</f>
        <v>Uncle Sams Cider (04/04/2023)</v>
      </c>
      <c r="H4204" s="19"/>
    </row>
    <row r="4205">
      <c r="A4205" s="9"/>
      <c r="B4205" s="15"/>
      <c r="C4205" s="9">
        <f>IFERROR(__xludf.DUMMYFUNCTION("""COMPUTED_VALUE"""),45100.5754221875)</f>
        <v>45100.57542</v>
      </c>
      <c r="D4205" s="15">
        <f>IFERROR(__xludf.DUMMYFUNCTION("""COMPUTED_VALUE"""),1.001)</f>
        <v>1.001</v>
      </c>
      <c r="E4205" s="16">
        <f>IFERROR(__xludf.DUMMYFUNCTION("""COMPUTED_VALUE"""),68.0)</f>
        <v>68</v>
      </c>
      <c r="F4205" s="19" t="str">
        <f>IFERROR(__xludf.DUMMYFUNCTION("""COMPUTED_VALUE"""),"BLUE")</f>
        <v>BLUE</v>
      </c>
      <c r="G4205" s="20" t="str">
        <f>IFERROR(__xludf.DUMMYFUNCTION("""COMPUTED_VALUE"""),"Uncle Sams Cider (04/04/2023)")</f>
        <v>Uncle Sams Cider (04/04/2023)</v>
      </c>
      <c r="H4205" s="19"/>
    </row>
    <row r="4206">
      <c r="A4206" s="9"/>
      <c r="B4206" s="15"/>
      <c r="C4206" s="9">
        <f>IFERROR(__xludf.DUMMYFUNCTION("""COMPUTED_VALUE"""),45100.5650018981)</f>
        <v>45100.565</v>
      </c>
      <c r="D4206" s="15">
        <f>IFERROR(__xludf.DUMMYFUNCTION("""COMPUTED_VALUE"""),1.001)</f>
        <v>1.001</v>
      </c>
      <c r="E4206" s="16">
        <f>IFERROR(__xludf.DUMMYFUNCTION("""COMPUTED_VALUE"""),68.0)</f>
        <v>68</v>
      </c>
      <c r="F4206" s="19" t="str">
        <f>IFERROR(__xludf.DUMMYFUNCTION("""COMPUTED_VALUE"""),"BLUE")</f>
        <v>BLUE</v>
      </c>
      <c r="G4206" s="20" t="str">
        <f>IFERROR(__xludf.DUMMYFUNCTION("""COMPUTED_VALUE"""),"Uncle Sams Cider (04/04/2023)")</f>
        <v>Uncle Sams Cider (04/04/2023)</v>
      </c>
      <c r="H4206" s="19"/>
    </row>
    <row r="4207">
      <c r="A4207" s="9"/>
      <c r="B4207" s="15"/>
      <c r="C4207" s="9">
        <f>IFERROR(__xludf.DUMMYFUNCTION("""COMPUTED_VALUE"""),45100.554581875)</f>
        <v>45100.55458</v>
      </c>
      <c r="D4207" s="15">
        <f>IFERROR(__xludf.DUMMYFUNCTION("""COMPUTED_VALUE"""),1.001)</f>
        <v>1.001</v>
      </c>
      <c r="E4207" s="16">
        <f>IFERROR(__xludf.DUMMYFUNCTION("""COMPUTED_VALUE"""),68.0)</f>
        <v>68</v>
      </c>
      <c r="F4207" s="19" t="str">
        <f>IFERROR(__xludf.DUMMYFUNCTION("""COMPUTED_VALUE"""),"BLUE")</f>
        <v>BLUE</v>
      </c>
      <c r="G4207" s="20" t="str">
        <f>IFERROR(__xludf.DUMMYFUNCTION("""COMPUTED_VALUE"""),"Uncle Sams Cider (04/04/2023)")</f>
        <v>Uncle Sams Cider (04/04/2023)</v>
      </c>
      <c r="H4207" s="19"/>
    </row>
    <row r="4208">
      <c r="A4208" s="9"/>
      <c r="B4208" s="15"/>
      <c r="C4208" s="9">
        <f>IFERROR(__xludf.DUMMYFUNCTION("""COMPUTED_VALUE"""),45100.5441498726)</f>
        <v>45100.54415</v>
      </c>
      <c r="D4208" s="15">
        <f>IFERROR(__xludf.DUMMYFUNCTION("""COMPUTED_VALUE"""),1.001)</f>
        <v>1.001</v>
      </c>
      <c r="E4208" s="16">
        <f>IFERROR(__xludf.DUMMYFUNCTION("""COMPUTED_VALUE"""),68.0)</f>
        <v>68</v>
      </c>
      <c r="F4208" s="19" t="str">
        <f>IFERROR(__xludf.DUMMYFUNCTION("""COMPUTED_VALUE"""),"BLUE")</f>
        <v>BLUE</v>
      </c>
      <c r="G4208" s="20" t="str">
        <f>IFERROR(__xludf.DUMMYFUNCTION("""COMPUTED_VALUE"""),"Uncle Sams Cider (04/04/2023)")</f>
        <v>Uncle Sams Cider (04/04/2023)</v>
      </c>
      <c r="H4208" s="19"/>
    </row>
    <row r="4209">
      <c r="A4209" s="9"/>
      <c r="B4209" s="15"/>
      <c r="C4209" s="9">
        <f>IFERROR(__xludf.DUMMYFUNCTION("""COMPUTED_VALUE"""),45100.5337288425)</f>
        <v>45100.53373</v>
      </c>
      <c r="D4209" s="15">
        <f>IFERROR(__xludf.DUMMYFUNCTION("""COMPUTED_VALUE"""),1.001)</f>
        <v>1.001</v>
      </c>
      <c r="E4209" s="16">
        <f>IFERROR(__xludf.DUMMYFUNCTION("""COMPUTED_VALUE"""),68.0)</f>
        <v>68</v>
      </c>
      <c r="F4209" s="19" t="str">
        <f>IFERROR(__xludf.DUMMYFUNCTION("""COMPUTED_VALUE"""),"BLUE")</f>
        <v>BLUE</v>
      </c>
      <c r="G4209" s="20" t="str">
        <f>IFERROR(__xludf.DUMMYFUNCTION("""COMPUTED_VALUE"""),"Uncle Sams Cider (04/04/2023)")</f>
        <v>Uncle Sams Cider (04/04/2023)</v>
      </c>
      <c r="H4209" s="19"/>
    </row>
    <row r="4210">
      <c r="A4210" s="9"/>
      <c r="B4210" s="15"/>
      <c r="C4210" s="9">
        <f>IFERROR(__xludf.DUMMYFUNCTION("""COMPUTED_VALUE"""),45100.5233076504)</f>
        <v>45100.52331</v>
      </c>
      <c r="D4210" s="15">
        <f>IFERROR(__xludf.DUMMYFUNCTION("""COMPUTED_VALUE"""),1.001)</f>
        <v>1.001</v>
      </c>
      <c r="E4210" s="16">
        <f>IFERROR(__xludf.DUMMYFUNCTION("""COMPUTED_VALUE"""),68.0)</f>
        <v>68</v>
      </c>
      <c r="F4210" s="19" t="str">
        <f>IFERROR(__xludf.DUMMYFUNCTION("""COMPUTED_VALUE"""),"BLUE")</f>
        <v>BLUE</v>
      </c>
      <c r="G4210" s="20" t="str">
        <f>IFERROR(__xludf.DUMMYFUNCTION("""COMPUTED_VALUE"""),"Uncle Sams Cider (04/04/2023)")</f>
        <v>Uncle Sams Cider (04/04/2023)</v>
      </c>
      <c r="H4210" s="19"/>
    </row>
    <row r="4211">
      <c r="A4211" s="9"/>
      <c r="B4211" s="15"/>
      <c r="C4211" s="9">
        <f>IFERROR(__xludf.DUMMYFUNCTION("""COMPUTED_VALUE"""),45100.5128869791)</f>
        <v>45100.51289</v>
      </c>
      <c r="D4211" s="15">
        <f>IFERROR(__xludf.DUMMYFUNCTION("""COMPUTED_VALUE"""),1.001)</f>
        <v>1.001</v>
      </c>
      <c r="E4211" s="16">
        <f>IFERROR(__xludf.DUMMYFUNCTION("""COMPUTED_VALUE"""),68.0)</f>
        <v>68</v>
      </c>
      <c r="F4211" s="19" t="str">
        <f>IFERROR(__xludf.DUMMYFUNCTION("""COMPUTED_VALUE"""),"BLUE")</f>
        <v>BLUE</v>
      </c>
      <c r="G4211" s="20" t="str">
        <f>IFERROR(__xludf.DUMMYFUNCTION("""COMPUTED_VALUE"""),"Uncle Sams Cider (04/04/2023)")</f>
        <v>Uncle Sams Cider (04/04/2023)</v>
      </c>
      <c r="H4211" s="19"/>
    </row>
    <row r="4212">
      <c r="A4212" s="9"/>
      <c r="B4212" s="15"/>
      <c r="C4212" s="9">
        <f>IFERROR(__xludf.DUMMYFUNCTION("""COMPUTED_VALUE"""),45100.5024646875)</f>
        <v>45100.50246</v>
      </c>
      <c r="D4212" s="15">
        <f>IFERROR(__xludf.DUMMYFUNCTION("""COMPUTED_VALUE"""),1.001)</f>
        <v>1.001</v>
      </c>
      <c r="E4212" s="16">
        <f>IFERROR(__xludf.DUMMYFUNCTION("""COMPUTED_VALUE"""),68.0)</f>
        <v>68</v>
      </c>
      <c r="F4212" s="19" t="str">
        <f>IFERROR(__xludf.DUMMYFUNCTION("""COMPUTED_VALUE"""),"BLUE")</f>
        <v>BLUE</v>
      </c>
      <c r="G4212" s="20" t="str">
        <f>IFERROR(__xludf.DUMMYFUNCTION("""COMPUTED_VALUE"""),"Uncle Sams Cider (04/04/2023)")</f>
        <v>Uncle Sams Cider (04/04/2023)</v>
      </c>
      <c r="H4212" s="19"/>
    </row>
    <row r="4213">
      <c r="A4213" s="9"/>
      <c r="B4213" s="15"/>
      <c r="C4213" s="9">
        <f>IFERROR(__xludf.DUMMYFUNCTION("""COMPUTED_VALUE"""),45100.4920456018)</f>
        <v>45100.49205</v>
      </c>
      <c r="D4213" s="15">
        <f>IFERROR(__xludf.DUMMYFUNCTION("""COMPUTED_VALUE"""),1.001)</f>
        <v>1.001</v>
      </c>
      <c r="E4213" s="16">
        <f>IFERROR(__xludf.DUMMYFUNCTION("""COMPUTED_VALUE"""),68.0)</f>
        <v>68</v>
      </c>
      <c r="F4213" s="19" t="str">
        <f>IFERROR(__xludf.DUMMYFUNCTION("""COMPUTED_VALUE"""),"BLUE")</f>
        <v>BLUE</v>
      </c>
      <c r="G4213" s="20" t="str">
        <f>IFERROR(__xludf.DUMMYFUNCTION("""COMPUTED_VALUE"""),"Uncle Sams Cider (04/04/2023)")</f>
        <v>Uncle Sams Cider (04/04/2023)</v>
      </c>
      <c r="H4213" s="19"/>
    </row>
    <row r="4214">
      <c r="A4214" s="9"/>
      <c r="B4214" s="15"/>
      <c r="C4214" s="9">
        <f>IFERROR(__xludf.DUMMYFUNCTION("""COMPUTED_VALUE"""),45100.4816148263)</f>
        <v>45100.48161</v>
      </c>
      <c r="D4214" s="15">
        <f>IFERROR(__xludf.DUMMYFUNCTION("""COMPUTED_VALUE"""),1.001)</f>
        <v>1.001</v>
      </c>
      <c r="E4214" s="16">
        <f>IFERROR(__xludf.DUMMYFUNCTION("""COMPUTED_VALUE"""),68.0)</f>
        <v>68</v>
      </c>
      <c r="F4214" s="19" t="str">
        <f>IFERROR(__xludf.DUMMYFUNCTION("""COMPUTED_VALUE"""),"BLUE")</f>
        <v>BLUE</v>
      </c>
      <c r="G4214" s="20" t="str">
        <f>IFERROR(__xludf.DUMMYFUNCTION("""COMPUTED_VALUE"""),"Uncle Sams Cider (04/04/2023)")</f>
        <v>Uncle Sams Cider (04/04/2023)</v>
      </c>
      <c r="H4214" s="19"/>
    </row>
    <row r="4215">
      <c r="A4215" s="9"/>
      <c r="B4215" s="15"/>
      <c r="C4215" s="9">
        <f>IFERROR(__xludf.DUMMYFUNCTION("""COMPUTED_VALUE"""),45100.4711923495)</f>
        <v>45100.47119</v>
      </c>
      <c r="D4215" s="15">
        <f>IFERROR(__xludf.DUMMYFUNCTION("""COMPUTED_VALUE"""),1.001)</f>
        <v>1.001</v>
      </c>
      <c r="E4215" s="16">
        <f>IFERROR(__xludf.DUMMYFUNCTION("""COMPUTED_VALUE"""),68.0)</f>
        <v>68</v>
      </c>
      <c r="F4215" s="19" t="str">
        <f>IFERROR(__xludf.DUMMYFUNCTION("""COMPUTED_VALUE"""),"BLUE")</f>
        <v>BLUE</v>
      </c>
      <c r="G4215" s="20" t="str">
        <f>IFERROR(__xludf.DUMMYFUNCTION("""COMPUTED_VALUE"""),"Uncle Sams Cider (04/04/2023)")</f>
        <v>Uncle Sams Cider (04/04/2023)</v>
      </c>
      <c r="H4215" s="19"/>
    </row>
    <row r="4216">
      <c r="A4216" s="9"/>
      <c r="B4216" s="15"/>
      <c r="C4216" s="9">
        <f>IFERROR(__xludf.DUMMYFUNCTION("""COMPUTED_VALUE"""),45100.4607603125)</f>
        <v>45100.46076</v>
      </c>
      <c r="D4216" s="15">
        <f>IFERROR(__xludf.DUMMYFUNCTION("""COMPUTED_VALUE"""),1.001)</f>
        <v>1.001</v>
      </c>
      <c r="E4216" s="16">
        <f>IFERROR(__xludf.DUMMYFUNCTION("""COMPUTED_VALUE"""),68.0)</f>
        <v>68</v>
      </c>
      <c r="F4216" s="19" t="str">
        <f>IFERROR(__xludf.DUMMYFUNCTION("""COMPUTED_VALUE"""),"BLUE")</f>
        <v>BLUE</v>
      </c>
      <c r="G4216" s="20" t="str">
        <f>IFERROR(__xludf.DUMMYFUNCTION("""COMPUTED_VALUE"""),"Uncle Sams Cider (04/04/2023)")</f>
        <v>Uncle Sams Cider (04/04/2023)</v>
      </c>
      <c r="H4216" s="19"/>
    </row>
    <row r="4217">
      <c r="A4217" s="9"/>
      <c r="B4217" s="15"/>
      <c r="C4217" s="9">
        <f>IFERROR(__xludf.DUMMYFUNCTION("""COMPUTED_VALUE"""),45100.4503388773)</f>
        <v>45100.45034</v>
      </c>
      <c r="D4217" s="15">
        <f>IFERROR(__xludf.DUMMYFUNCTION("""COMPUTED_VALUE"""),1.001)</f>
        <v>1.001</v>
      </c>
      <c r="E4217" s="16">
        <f>IFERROR(__xludf.DUMMYFUNCTION("""COMPUTED_VALUE"""),68.0)</f>
        <v>68</v>
      </c>
      <c r="F4217" s="19" t="str">
        <f>IFERROR(__xludf.DUMMYFUNCTION("""COMPUTED_VALUE"""),"BLUE")</f>
        <v>BLUE</v>
      </c>
      <c r="G4217" s="20" t="str">
        <f>IFERROR(__xludf.DUMMYFUNCTION("""COMPUTED_VALUE"""),"Uncle Sams Cider (04/04/2023)")</f>
        <v>Uncle Sams Cider (04/04/2023)</v>
      </c>
      <c r="H4217" s="19"/>
    </row>
    <row r="4218">
      <c r="A4218" s="9"/>
      <c r="B4218" s="15"/>
      <c r="C4218" s="9">
        <f>IFERROR(__xludf.DUMMYFUNCTION("""COMPUTED_VALUE"""),45100.4399050578)</f>
        <v>45100.43991</v>
      </c>
      <c r="D4218" s="15">
        <f>IFERROR(__xludf.DUMMYFUNCTION("""COMPUTED_VALUE"""),1.001)</f>
        <v>1.001</v>
      </c>
      <c r="E4218" s="16">
        <f>IFERROR(__xludf.DUMMYFUNCTION("""COMPUTED_VALUE"""),68.0)</f>
        <v>68</v>
      </c>
      <c r="F4218" s="19" t="str">
        <f>IFERROR(__xludf.DUMMYFUNCTION("""COMPUTED_VALUE"""),"BLUE")</f>
        <v>BLUE</v>
      </c>
      <c r="G4218" s="20" t="str">
        <f>IFERROR(__xludf.DUMMYFUNCTION("""COMPUTED_VALUE"""),"Uncle Sams Cider (04/04/2023)")</f>
        <v>Uncle Sams Cider (04/04/2023)</v>
      </c>
      <c r="H4218" s="19"/>
    </row>
    <row r="4219">
      <c r="A4219" s="9"/>
      <c r="B4219" s="15"/>
      <c r="C4219" s="9">
        <f>IFERROR(__xludf.DUMMYFUNCTION("""COMPUTED_VALUE"""),45100.4294715625)</f>
        <v>45100.42947</v>
      </c>
      <c r="D4219" s="15">
        <f>IFERROR(__xludf.DUMMYFUNCTION("""COMPUTED_VALUE"""),1.001)</f>
        <v>1.001</v>
      </c>
      <c r="E4219" s="16">
        <f>IFERROR(__xludf.DUMMYFUNCTION("""COMPUTED_VALUE"""),68.0)</f>
        <v>68</v>
      </c>
      <c r="F4219" s="19" t="str">
        <f>IFERROR(__xludf.DUMMYFUNCTION("""COMPUTED_VALUE"""),"BLUE")</f>
        <v>BLUE</v>
      </c>
      <c r="G4219" s="20" t="str">
        <f>IFERROR(__xludf.DUMMYFUNCTION("""COMPUTED_VALUE"""),"Uncle Sams Cider (04/04/2023)")</f>
        <v>Uncle Sams Cider (04/04/2023)</v>
      </c>
      <c r="H4219" s="19"/>
    </row>
    <row r="4220">
      <c r="A4220" s="9"/>
      <c r="B4220" s="15"/>
      <c r="C4220" s="9">
        <f>IFERROR(__xludf.DUMMYFUNCTION("""COMPUTED_VALUE"""),45100.4190278935)</f>
        <v>45100.41903</v>
      </c>
      <c r="D4220" s="15">
        <f>IFERROR(__xludf.DUMMYFUNCTION("""COMPUTED_VALUE"""),1.001)</f>
        <v>1.001</v>
      </c>
      <c r="E4220" s="16">
        <f>IFERROR(__xludf.DUMMYFUNCTION("""COMPUTED_VALUE"""),68.0)</f>
        <v>68</v>
      </c>
      <c r="F4220" s="19" t="str">
        <f>IFERROR(__xludf.DUMMYFUNCTION("""COMPUTED_VALUE"""),"BLUE")</f>
        <v>BLUE</v>
      </c>
      <c r="G4220" s="20" t="str">
        <f>IFERROR(__xludf.DUMMYFUNCTION("""COMPUTED_VALUE"""),"Uncle Sams Cider (04/04/2023)")</f>
        <v>Uncle Sams Cider (04/04/2023)</v>
      </c>
      <c r="H4220" s="19"/>
    </row>
    <row r="4221">
      <c r="A4221" s="9"/>
      <c r="B4221" s="15"/>
      <c r="C4221" s="9">
        <f>IFERROR(__xludf.DUMMYFUNCTION("""COMPUTED_VALUE"""),45100.4086064236)</f>
        <v>45100.40861</v>
      </c>
      <c r="D4221" s="15">
        <f>IFERROR(__xludf.DUMMYFUNCTION("""COMPUTED_VALUE"""),1.001)</f>
        <v>1.001</v>
      </c>
      <c r="E4221" s="16">
        <f>IFERROR(__xludf.DUMMYFUNCTION("""COMPUTED_VALUE"""),68.0)</f>
        <v>68</v>
      </c>
      <c r="F4221" s="19" t="str">
        <f>IFERROR(__xludf.DUMMYFUNCTION("""COMPUTED_VALUE"""),"BLUE")</f>
        <v>BLUE</v>
      </c>
      <c r="G4221" s="20" t="str">
        <f>IFERROR(__xludf.DUMMYFUNCTION("""COMPUTED_VALUE"""),"Uncle Sams Cider (04/04/2023)")</f>
        <v>Uncle Sams Cider (04/04/2023)</v>
      </c>
      <c r="H4221" s="19"/>
    </row>
    <row r="4222">
      <c r="A4222" s="9"/>
      <c r="B4222" s="15"/>
      <c r="C4222" s="9">
        <f>IFERROR(__xludf.DUMMYFUNCTION("""COMPUTED_VALUE"""),45100.3981869676)</f>
        <v>45100.39819</v>
      </c>
      <c r="D4222" s="15">
        <f>IFERROR(__xludf.DUMMYFUNCTION("""COMPUTED_VALUE"""),1.001)</f>
        <v>1.001</v>
      </c>
      <c r="E4222" s="16">
        <f>IFERROR(__xludf.DUMMYFUNCTION("""COMPUTED_VALUE"""),68.0)</f>
        <v>68</v>
      </c>
      <c r="F4222" s="19" t="str">
        <f>IFERROR(__xludf.DUMMYFUNCTION("""COMPUTED_VALUE"""),"BLUE")</f>
        <v>BLUE</v>
      </c>
      <c r="G4222" s="20" t="str">
        <f>IFERROR(__xludf.DUMMYFUNCTION("""COMPUTED_VALUE"""),"Uncle Sams Cider (04/04/2023)")</f>
        <v>Uncle Sams Cider (04/04/2023)</v>
      </c>
      <c r="H4222" s="19"/>
    </row>
    <row r="4223">
      <c r="A4223" s="9"/>
      <c r="B4223" s="15"/>
      <c r="C4223" s="9">
        <f>IFERROR(__xludf.DUMMYFUNCTION("""COMPUTED_VALUE"""),45100.3877659837)</f>
        <v>45100.38777</v>
      </c>
      <c r="D4223" s="15">
        <f>IFERROR(__xludf.DUMMYFUNCTION("""COMPUTED_VALUE"""),1.001)</f>
        <v>1.001</v>
      </c>
      <c r="E4223" s="16">
        <f>IFERROR(__xludf.DUMMYFUNCTION("""COMPUTED_VALUE"""),68.0)</f>
        <v>68</v>
      </c>
      <c r="F4223" s="19" t="str">
        <f>IFERROR(__xludf.DUMMYFUNCTION("""COMPUTED_VALUE"""),"BLUE")</f>
        <v>BLUE</v>
      </c>
      <c r="G4223" s="20" t="str">
        <f>IFERROR(__xludf.DUMMYFUNCTION("""COMPUTED_VALUE"""),"Uncle Sams Cider (04/04/2023)")</f>
        <v>Uncle Sams Cider (04/04/2023)</v>
      </c>
      <c r="H4223" s="19"/>
    </row>
    <row r="4224">
      <c r="A4224" s="9"/>
      <c r="B4224" s="15"/>
      <c r="C4224" s="9">
        <f>IFERROR(__xludf.DUMMYFUNCTION("""COMPUTED_VALUE"""),45100.3773435763)</f>
        <v>45100.37734</v>
      </c>
      <c r="D4224" s="15">
        <f>IFERROR(__xludf.DUMMYFUNCTION("""COMPUTED_VALUE"""),1.001)</f>
        <v>1.001</v>
      </c>
      <c r="E4224" s="16">
        <f>IFERROR(__xludf.DUMMYFUNCTION("""COMPUTED_VALUE"""),68.0)</f>
        <v>68</v>
      </c>
      <c r="F4224" s="19" t="str">
        <f>IFERROR(__xludf.DUMMYFUNCTION("""COMPUTED_VALUE"""),"BLUE")</f>
        <v>BLUE</v>
      </c>
      <c r="G4224" s="20" t="str">
        <f>IFERROR(__xludf.DUMMYFUNCTION("""COMPUTED_VALUE"""),"Uncle Sams Cider (04/04/2023)")</f>
        <v>Uncle Sams Cider (04/04/2023)</v>
      </c>
      <c r="H4224" s="19"/>
    </row>
    <row r="4225">
      <c r="A4225" s="9"/>
      <c r="B4225" s="15"/>
      <c r="C4225" s="9">
        <f>IFERROR(__xludf.DUMMYFUNCTION("""COMPUTED_VALUE"""),45100.366900081)</f>
        <v>45100.3669</v>
      </c>
      <c r="D4225" s="15">
        <f>IFERROR(__xludf.DUMMYFUNCTION("""COMPUTED_VALUE"""),1.001)</f>
        <v>1.001</v>
      </c>
      <c r="E4225" s="16">
        <f>IFERROR(__xludf.DUMMYFUNCTION("""COMPUTED_VALUE"""),68.0)</f>
        <v>68</v>
      </c>
      <c r="F4225" s="19" t="str">
        <f>IFERROR(__xludf.DUMMYFUNCTION("""COMPUTED_VALUE"""),"BLUE")</f>
        <v>BLUE</v>
      </c>
      <c r="G4225" s="20" t="str">
        <f>IFERROR(__xludf.DUMMYFUNCTION("""COMPUTED_VALUE"""),"Uncle Sams Cider (04/04/2023)")</f>
        <v>Uncle Sams Cider (04/04/2023)</v>
      </c>
      <c r="H4225" s="19"/>
    </row>
    <row r="4226">
      <c r="A4226" s="9"/>
      <c r="B4226" s="15"/>
      <c r="C4226" s="9">
        <f>IFERROR(__xludf.DUMMYFUNCTION("""COMPUTED_VALUE"""),45100.3564795717)</f>
        <v>45100.35648</v>
      </c>
      <c r="D4226" s="15">
        <f>IFERROR(__xludf.DUMMYFUNCTION("""COMPUTED_VALUE"""),1.001)</f>
        <v>1.001</v>
      </c>
      <c r="E4226" s="16">
        <f>IFERROR(__xludf.DUMMYFUNCTION("""COMPUTED_VALUE"""),68.0)</f>
        <v>68</v>
      </c>
      <c r="F4226" s="19" t="str">
        <f>IFERROR(__xludf.DUMMYFUNCTION("""COMPUTED_VALUE"""),"BLUE")</f>
        <v>BLUE</v>
      </c>
      <c r="G4226" s="20" t="str">
        <f>IFERROR(__xludf.DUMMYFUNCTION("""COMPUTED_VALUE"""),"Uncle Sams Cider (04/04/2023)")</f>
        <v>Uncle Sams Cider (04/04/2023)</v>
      </c>
      <c r="H4226" s="19"/>
    </row>
    <row r="4227">
      <c r="A4227" s="9"/>
      <c r="B4227" s="15"/>
      <c r="C4227" s="9">
        <f>IFERROR(__xludf.DUMMYFUNCTION("""COMPUTED_VALUE"""),45100.3460601388)</f>
        <v>45100.34606</v>
      </c>
      <c r="D4227" s="15">
        <f>IFERROR(__xludf.DUMMYFUNCTION("""COMPUTED_VALUE"""),1.001)</f>
        <v>1.001</v>
      </c>
      <c r="E4227" s="16">
        <f>IFERROR(__xludf.DUMMYFUNCTION("""COMPUTED_VALUE"""),68.0)</f>
        <v>68</v>
      </c>
      <c r="F4227" s="19" t="str">
        <f>IFERROR(__xludf.DUMMYFUNCTION("""COMPUTED_VALUE"""),"BLUE")</f>
        <v>BLUE</v>
      </c>
      <c r="G4227" s="20" t="str">
        <f>IFERROR(__xludf.DUMMYFUNCTION("""COMPUTED_VALUE"""),"Uncle Sams Cider (04/04/2023)")</f>
        <v>Uncle Sams Cider (04/04/2023)</v>
      </c>
      <c r="H4227" s="19"/>
    </row>
    <row r="4228">
      <c r="A4228" s="9"/>
      <c r="B4228" s="15"/>
      <c r="C4228" s="9">
        <f>IFERROR(__xludf.DUMMYFUNCTION("""COMPUTED_VALUE"""),45100.3356385069)</f>
        <v>45100.33564</v>
      </c>
      <c r="D4228" s="15">
        <f>IFERROR(__xludf.DUMMYFUNCTION("""COMPUTED_VALUE"""),1.001)</f>
        <v>1.001</v>
      </c>
      <c r="E4228" s="16">
        <f>IFERROR(__xludf.DUMMYFUNCTION("""COMPUTED_VALUE"""),68.0)</f>
        <v>68</v>
      </c>
      <c r="F4228" s="19" t="str">
        <f>IFERROR(__xludf.DUMMYFUNCTION("""COMPUTED_VALUE"""),"BLUE")</f>
        <v>BLUE</v>
      </c>
      <c r="G4228" s="20" t="str">
        <f>IFERROR(__xludf.DUMMYFUNCTION("""COMPUTED_VALUE"""),"Uncle Sams Cider (04/04/2023)")</f>
        <v>Uncle Sams Cider (04/04/2023)</v>
      </c>
      <c r="H4228" s="19"/>
    </row>
    <row r="4229">
      <c r="A4229" s="9"/>
      <c r="B4229" s="15"/>
      <c r="C4229" s="9">
        <f>IFERROR(__xludf.DUMMYFUNCTION("""COMPUTED_VALUE"""),45100.3252163078)</f>
        <v>45100.32522</v>
      </c>
      <c r="D4229" s="15">
        <f>IFERROR(__xludf.DUMMYFUNCTION("""COMPUTED_VALUE"""),1.001)</f>
        <v>1.001</v>
      </c>
      <c r="E4229" s="16">
        <f>IFERROR(__xludf.DUMMYFUNCTION("""COMPUTED_VALUE"""),68.0)</f>
        <v>68</v>
      </c>
      <c r="F4229" s="19" t="str">
        <f>IFERROR(__xludf.DUMMYFUNCTION("""COMPUTED_VALUE"""),"BLUE")</f>
        <v>BLUE</v>
      </c>
      <c r="G4229" s="20" t="str">
        <f>IFERROR(__xludf.DUMMYFUNCTION("""COMPUTED_VALUE"""),"Uncle Sams Cider (04/04/2023)")</f>
        <v>Uncle Sams Cider (04/04/2023)</v>
      </c>
      <c r="H4229" s="19"/>
    </row>
    <row r="4230">
      <c r="A4230" s="9"/>
      <c r="B4230" s="15"/>
      <c r="C4230" s="9">
        <f>IFERROR(__xludf.DUMMYFUNCTION("""COMPUTED_VALUE"""),45100.3147960532)</f>
        <v>45100.3148</v>
      </c>
      <c r="D4230" s="15">
        <f>IFERROR(__xludf.DUMMYFUNCTION("""COMPUTED_VALUE"""),1.001)</f>
        <v>1.001</v>
      </c>
      <c r="E4230" s="16">
        <f>IFERROR(__xludf.DUMMYFUNCTION("""COMPUTED_VALUE"""),68.0)</f>
        <v>68</v>
      </c>
      <c r="F4230" s="19" t="str">
        <f>IFERROR(__xludf.DUMMYFUNCTION("""COMPUTED_VALUE"""),"BLUE")</f>
        <v>BLUE</v>
      </c>
      <c r="G4230" s="20" t="str">
        <f>IFERROR(__xludf.DUMMYFUNCTION("""COMPUTED_VALUE"""),"Uncle Sams Cider (04/04/2023)")</f>
        <v>Uncle Sams Cider (04/04/2023)</v>
      </c>
      <c r="H4230" s="19"/>
    </row>
    <row r="4231">
      <c r="A4231" s="9"/>
      <c r="B4231" s="15"/>
      <c r="C4231" s="9">
        <f>IFERROR(__xludf.DUMMYFUNCTION("""COMPUTED_VALUE"""),45100.304373993)</f>
        <v>45100.30437</v>
      </c>
      <c r="D4231" s="15">
        <f>IFERROR(__xludf.DUMMYFUNCTION("""COMPUTED_VALUE"""),1.001)</f>
        <v>1.001</v>
      </c>
      <c r="E4231" s="16">
        <f>IFERROR(__xludf.DUMMYFUNCTION("""COMPUTED_VALUE"""),68.0)</f>
        <v>68</v>
      </c>
      <c r="F4231" s="19" t="str">
        <f>IFERROR(__xludf.DUMMYFUNCTION("""COMPUTED_VALUE"""),"BLUE")</f>
        <v>BLUE</v>
      </c>
      <c r="G4231" s="20" t="str">
        <f>IFERROR(__xludf.DUMMYFUNCTION("""COMPUTED_VALUE"""),"Uncle Sams Cider (04/04/2023)")</f>
        <v>Uncle Sams Cider (04/04/2023)</v>
      </c>
      <c r="H4231" s="19"/>
    </row>
    <row r="4232">
      <c r="A4232" s="9"/>
      <c r="B4232" s="15"/>
      <c r="C4232" s="9">
        <f>IFERROR(__xludf.DUMMYFUNCTION("""COMPUTED_VALUE"""),45100.2939430092)</f>
        <v>45100.29394</v>
      </c>
      <c r="D4232" s="15">
        <f>IFERROR(__xludf.DUMMYFUNCTION("""COMPUTED_VALUE"""),1.001)</f>
        <v>1.001</v>
      </c>
      <c r="E4232" s="16">
        <f>IFERROR(__xludf.DUMMYFUNCTION("""COMPUTED_VALUE"""),68.0)</f>
        <v>68</v>
      </c>
      <c r="F4232" s="19" t="str">
        <f>IFERROR(__xludf.DUMMYFUNCTION("""COMPUTED_VALUE"""),"BLUE")</f>
        <v>BLUE</v>
      </c>
      <c r="G4232" s="20" t="str">
        <f>IFERROR(__xludf.DUMMYFUNCTION("""COMPUTED_VALUE"""),"Uncle Sams Cider (04/04/2023)")</f>
        <v>Uncle Sams Cider (04/04/2023)</v>
      </c>
      <c r="H4232" s="19"/>
    </row>
    <row r="4233">
      <c r="A4233" s="9"/>
      <c r="B4233" s="15"/>
      <c r="C4233" s="9">
        <f>IFERROR(__xludf.DUMMYFUNCTION("""COMPUTED_VALUE"""),45100.2835107523)</f>
        <v>45100.28351</v>
      </c>
      <c r="D4233" s="15">
        <f>IFERROR(__xludf.DUMMYFUNCTION("""COMPUTED_VALUE"""),1.001)</f>
        <v>1.001</v>
      </c>
      <c r="E4233" s="16">
        <f>IFERROR(__xludf.DUMMYFUNCTION("""COMPUTED_VALUE"""),68.0)</f>
        <v>68</v>
      </c>
      <c r="F4233" s="19" t="str">
        <f>IFERROR(__xludf.DUMMYFUNCTION("""COMPUTED_VALUE"""),"BLUE")</f>
        <v>BLUE</v>
      </c>
      <c r="G4233" s="20" t="str">
        <f>IFERROR(__xludf.DUMMYFUNCTION("""COMPUTED_VALUE"""),"Uncle Sams Cider (04/04/2023)")</f>
        <v>Uncle Sams Cider (04/04/2023)</v>
      </c>
      <c r="H4233" s="19"/>
    </row>
    <row r="4234">
      <c r="A4234" s="9"/>
      <c r="B4234" s="15"/>
      <c r="C4234" s="9">
        <f>IFERROR(__xludf.DUMMYFUNCTION("""COMPUTED_VALUE"""),45100.2730900347)</f>
        <v>45100.27309</v>
      </c>
      <c r="D4234" s="15">
        <f>IFERROR(__xludf.DUMMYFUNCTION("""COMPUTED_VALUE"""),1.001)</f>
        <v>1.001</v>
      </c>
      <c r="E4234" s="16">
        <f>IFERROR(__xludf.DUMMYFUNCTION("""COMPUTED_VALUE"""),68.0)</f>
        <v>68</v>
      </c>
      <c r="F4234" s="19" t="str">
        <f>IFERROR(__xludf.DUMMYFUNCTION("""COMPUTED_VALUE"""),"BLUE")</f>
        <v>BLUE</v>
      </c>
      <c r="G4234" s="20" t="str">
        <f>IFERROR(__xludf.DUMMYFUNCTION("""COMPUTED_VALUE"""),"Uncle Sams Cider (04/04/2023)")</f>
        <v>Uncle Sams Cider (04/04/2023)</v>
      </c>
      <c r="H4234" s="19"/>
    </row>
    <row r="4235">
      <c r="A4235" s="9"/>
      <c r="B4235" s="15"/>
      <c r="C4235" s="9">
        <f>IFERROR(__xludf.DUMMYFUNCTION("""COMPUTED_VALUE"""),45100.2626686342)</f>
        <v>45100.26267</v>
      </c>
      <c r="D4235" s="15">
        <f>IFERROR(__xludf.DUMMYFUNCTION("""COMPUTED_VALUE"""),1.001)</f>
        <v>1.001</v>
      </c>
      <c r="E4235" s="16">
        <f>IFERROR(__xludf.DUMMYFUNCTION("""COMPUTED_VALUE"""),68.0)</f>
        <v>68</v>
      </c>
      <c r="F4235" s="19" t="str">
        <f>IFERROR(__xludf.DUMMYFUNCTION("""COMPUTED_VALUE"""),"BLUE")</f>
        <v>BLUE</v>
      </c>
      <c r="G4235" s="20" t="str">
        <f>IFERROR(__xludf.DUMMYFUNCTION("""COMPUTED_VALUE"""),"Uncle Sams Cider (04/04/2023)")</f>
        <v>Uncle Sams Cider (04/04/2023)</v>
      </c>
      <c r="H4235" s="19"/>
    </row>
    <row r="4236">
      <c r="A4236" s="9"/>
      <c r="B4236" s="15"/>
      <c r="C4236" s="9">
        <f>IFERROR(__xludf.DUMMYFUNCTION("""COMPUTED_VALUE"""),45100.2522241782)</f>
        <v>45100.25222</v>
      </c>
      <c r="D4236" s="15">
        <f>IFERROR(__xludf.DUMMYFUNCTION("""COMPUTED_VALUE"""),1.001)</f>
        <v>1.001</v>
      </c>
      <c r="E4236" s="16">
        <f>IFERROR(__xludf.DUMMYFUNCTION("""COMPUTED_VALUE"""),68.0)</f>
        <v>68</v>
      </c>
      <c r="F4236" s="19" t="str">
        <f>IFERROR(__xludf.DUMMYFUNCTION("""COMPUTED_VALUE"""),"BLUE")</f>
        <v>BLUE</v>
      </c>
      <c r="G4236" s="20" t="str">
        <f>IFERROR(__xludf.DUMMYFUNCTION("""COMPUTED_VALUE"""),"Uncle Sams Cider (04/04/2023)")</f>
        <v>Uncle Sams Cider (04/04/2023)</v>
      </c>
      <c r="H4236" s="19"/>
    </row>
    <row r="4237">
      <c r="A4237" s="9"/>
      <c r="B4237" s="15"/>
      <c r="C4237" s="9">
        <f>IFERROR(__xludf.DUMMYFUNCTION("""COMPUTED_VALUE"""),45100.2418036342)</f>
        <v>45100.2418</v>
      </c>
      <c r="D4237" s="15">
        <f>IFERROR(__xludf.DUMMYFUNCTION("""COMPUTED_VALUE"""),1.001)</f>
        <v>1.001</v>
      </c>
      <c r="E4237" s="16">
        <f>IFERROR(__xludf.DUMMYFUNCTION("""COMPUTED_VALUE"""),68.0)</f>
        <v>68</v>
      </c>
      <c r="F4237" s="19" t="str">
        <f>IFERROR(__xludf.DUMMYFUNCTION("""COMPUTED_VALUE"""),"BLUE")</f>
        <v>BLUE</v>
      </c>
      <c r="G4237" s="20" t="str">
        <f>IFERROR(__xludf.DUMMYFUNCTION("""COMPUTED_VALUE"""),"Uncle Sams Cider (04/04/2023)")</f>
        <v>Uncle Sams Cider (04/04/2023)</v>
      </c>
      <c r="H4237" s="19"/>
    </row>
    <row r="4238">
      <c r="A4238" s="9"/>
      <c r="B4238" s="15"/>
      <c r="C4238" s="9">
        <f>IFERROR(__xludf.DUMMYFUNCTION("""COMPUTED_VALUE"""),45100.2313808101)</f>
        <v>45100.23138</v>
      </c>
      <c r="D4238" s="15">
        <f>IFERROR(__xludf.DUMMYFUNCTION("""COMPUTED_VALUE"""),1.001)</f>
        <v>1.001</v>
      </c>
      <c r="E4238" s="16">
        <f>IFERROR(__xludf.DUMMYFUNCTION("""COMPUTED_VALUE"""),68.0)</f>
        <v>68</v>
      </c>
      <c r="F4238" s="19" t="str">
        <f>IFERROR(__xludf.DUMMYFUNCTION("""COMPUTED_VALUE"""),"BLUE")</f>
        <v>BLUE</v>
      </c>
      <c r="G4238" s="20" t="str">
        <f>IFERROR(__xludf.DUMMYFUNCTION("""COMPUTED_VALUE"""),"Uncle Sams Cider (04/04/2023)")</f>
        <v>Uncle Sams Cider (04/04/2023)</v>
      </c>
      <c r="H4238" s="19"/>
    </row>
    <row r="4239">
      <c r="A4239" s="9"/>
      <c r="B4239" s="15"/>
      <c r="C4239" s="9">
        <f>IFERROR(__xludf.DUMMYFUNCTION("""COMPUTED_VALUE"""),45100.2209591551)</f>
        <v>45100.22096</v>
      </c>
      <c r="D4239" s="15">
        <f>IFERROR(__xludf.DUMMYFUNCTION("""COMPUTED_VALUE"""),1.001)</f>
        <v>1.001</v>
      </c>
      <c r="E4239" s="16">
        <f>IFERROR(__xludf.DUMMYFUNCTION("""COMPUTED_VALUE"""),68.0)</f>
        <v>68</v>
      </c>
      <c r="F4239" s="19" t="str">
        <f>IFERROR(__xludf.DUMMYFUNCTION("""COMPUTED_VALUE"""),"BLUE")</f>
        <v>BLUE</v>
      </c>
      <c r="G4239" s="20" t="str">
        <f>IFERROR(__xludf.DUMMYFUNCTION("""COMPUTED_VALUE"""),"Uncle Sams Cider (04/04/2023)")</f>
        <v>Uncle Sams Cider (04/04/2023)</v>
      </c>
      <c r="H4239" s="19"/>
    </row>
    <row r="4240">
      <c r="A4240" s="9"/>
      <c r="B4240" s="15"/>
      <c r="C4240" s="9">
        <f>IFERROR(__xludf.DUMMYFUNCTION("""COMPUTED_VALUE"""),45100.210525243)</f>
        <v>45100.21053</v>
      </c>
      <c r="D4240" s="15">
        <f>IFERROR(__xludf.DUMMYFUNCTION("""COMPUTED_VALUE"""),1.001)</f>
        <v>1.001</v>
      </c>
      <c r="E4240" s="16">
        <f>IFERROR(__xludf.DUMMYFUNCTION("""COMPUTED_VALUE"""),68.0)</f>
        <v>68</v>
      </c>
      <c r="F4240" s="19" t="str">
        <f>IFERROR(__xludf.DUMMYFUNCTION("""COMPUTED_VALUE"""),"BLUE")</f>
        <v>BLUE</v>
      </c>
      <c r="G4240" s="20" t="str">
        <f>IFERROR(__xludf.DUMMYFUNCTION("""COMPUTED_VALUE"""),"Uncle Sams Cider (04/04/2023)")</f>
        <v>Uncle Sams Cider (04/04/2023)</v>
      </c>
      <c r="H4240" s="19"/>
    </row>
    <row r="4241">
      <c r="A4241" s="9"/>
      <c r="B4241" s="15"/>
      <c r="C4241" s="9">
        <f>IFERROR(__xludf.DUMMYFUNCTION("""COMPUTED_VALUE"""),45100.2000925115)</f>
        <v>45100.20009</v>
      </c>
      <c r="D4241" s="15">
        <f>IFERROR(__xludf.DUMMYFUNCTION("""COMPUTED_VALUE"""),1.001)</f>
        <v>1.001</v>
      </c>
      <c r="E4241" s="16">
        <f>IFERROR(__xludf.DUMMYFUNCTION("""COMPUTED_VALUE"""),68.0)</f>
        <v>68</v>
      </c>
      <c r="F4241" s="19" t="str">
        <f>IFERROR(__xludf.DUMMYFUNCTION("""COMPUTED_VALUE"""),"BLUE")</f>
        <v>BLUE</v>
      </c>
      <c r="G4241" s="20" t="str">
        <f>IFERROR(__xludf.DUMMYFUNCTION("""COMPUTED_VALUE"""),"Uncle Sams Cider (04/04/2023)")</f>
        <v>Uncle Sams Cider (04/04/2023)</v>
      </c>
      <c r="H4241" s="19"/>
    </row>
    <row r="4242">
      <c r="A4242" s="9"/>
      <c r="B4242" s="15"/>
      <c r="C4242" s="9">
        <f>IFERROR(__xludf.DUMMYFUNCTION("""COMPUTED_VALUE"""),45100.1896700463)</f>
        <v>45100.18967</v>
      </c>
      <c r="D4242" s="15">
        <f>IFERROR(__xludf.DUMMYFUNCTION("""COMPUTED_VALUE"""),1.001)</f>
        <v>1.001</v>
      </c>
      <c r="E4242" s="16">
        <f>IFERROR(__xludf.DUMMYFUNCTION("""COMPUTED_VALUE"""),68.0)</f>
        <v>68</v>
      </c>
      <c r="F4242" s="19" t="str">
        <f>IFERROR(__xludf.DUMMYFUNCTION("""COMPUTED_VALUE"""),"BLUE")</f>
        <v>BLUE</v>
      </c>
      <c r="G4242" s="20" t="str">
        <f>IFERROR(__xludf.DUMMYFUNCTION("""COMPUTED_VALUE"""),"Uncle Sams Cider (04/04/2023)")</f>
        <v>Uncle Sams Cider (04/04/2023)</v>
      </c>
      <c r="H4242" s="19"/>
    </row>
    <row r="4243">
      <c r="A4243" s="9"/>
      <c r="B4243" s="15"/>
      <c r="C4243" s="9">
        <f>IFERROR(__xludf.DUMMYFUNCTION("""COMPUTED_VALUE"""),45100.1792505555)</f>
        <v>45100.17925</v>
      </c>
      <c r="D4243" s="15">
        <f>IFERROR(__xludf.DUMMYFUNCTION("""COMPUTED_VALUE"""),1.001)</f>
        <v>1.001</v>
      </c>
      <c r="E4243" s="16">
        <f>IFERROR(__xludf.DUMMYFUNCTION("""COMPUTED_VALUE"""),68.0)</f>
        <v>68</v>
      </c>
      <c r="F4243" s="19" t="str">
        <f>IFERROR(__xludf.DUMMYFUNCTION("""COMPUTED_VALUE"""),"BLUE")</f>
        <v>BLUE</v>
      </c>
      <c r="G4243" s="20" t="str">
        <f>IFERROR(__xludf.DUMMYFUNCTION("""COMPUTED_VALUE"""),"Uncle Sams Cider (04/04/2023)")</f>
        <v>Uncle Sams Cider (04/04/2023)</v>
      </c>
      <c r="H4243" s="19"/>
    </row>
    <row r="4244">
      <c r="A4244" s="9"/>
      <c r="B4244" s="15"/>
      <c r="C4244" s="9">
        <f>IFERROR(__xludf.DUMMYFUNCTION("""COMPUTED_VALUE"""),45100.1688293402)</f>
        <v>45100.16883</v>
      </c>
      <c r="D4244" s="15">
        <f>IFERROR(__xludf.DUMMYFUNCTION("""COMPUTED_VALUE"""),1.001)</f>
        <v>1.001</v>
      </c>
      <c r="E4244" s="16">
        <f>IFERROR(__xludf.DUMMYFUNCTION("""COMPUTED_VALUE"""),68.0)</f>
        <v>68</v>
      </c>
      <c r="F4244" s="19" t="str">
        <f>IFERROR(__xludf.DUMMYFUNCTION("""COMPUTED_VALUE"""),"BLUE")</f>
        <v>BLUE</v>
      </c>
      <c r="G4244" s="20" t="str">
        <f>IFERROR(__xludf.DUMMYFUNCTION("""COMPUTED_VALUE"""),"Uncle Sams Cider (04/04/2023)")</f>
        <v>Uncle Sams Cider (04/04/2023)</v>
      </c>
      <c r="H4244" s="19"/>
    </row>
    <row r="4245">
      <c r="A4245" s="9"/>
      <c r="B4245" s="15"/>
      <c r="C4245" s="9">
        <f>IFERROR(__xludf.DUMMYFUNCTION("""COMPUTED_VALUE"""),45100.1584081365)</f>
        <v>45100.15841</v>
      </c>
      <c r="D4245" s="15">
        <f>IFERROR(__xludf.DUMMYFUNCTION("""COMPUTED_VALUE"""),1.001)</f>
        <v>1.001</v>
      </c>
      <c r="E4245" s="16">
        <f>IFERROR(__xludf.DUMMYFUNCTION("""COMPUTED_VALUE"""),68.0)</f>
        <v>68</v>
      </c>
      <c r="F4245" s="19" t="str">
        <f>IFERROR(__xludf.DUMMYFUNCTION("""COMPUTED_VALUE"""),"BLUE")</f>
        <v>BLUE</v>
      </c>
      <c r="G4245" s="20" t="str">
        <f>IFERROR(__xludf.DUMMYFUNCTION("""COMPUTED_VALUE"""),"Uncle Sams Cider (04/04/2023)")</f>
        <v>Uncle Sams Cider (04/04/2023)</v>
      </c>
      <c r="H4245" s="19"/>
    </row>
    <row r="4246">
      <c r="A4246" s="9"/>
      <c r="B4246" s="15"/>
      <c r="C4246" s="9">
        <f>IFERROR(__xludf.DUMMYFUNCTION("""COMPUTED_VALUE"""),45100.1479871296)</f>
        <v>45100.14799</v>
      </c>
      <c r="D4246" s="15">
        <f>IFERROR(__xludf.DUMMYFUNCTION("""COMPUTED_VALUE"""),1.001)</f>
        <v>1.001</v>
      </c>
      <c r="E4246" s="16">
        <f>IFERROR(__xludf.DUMMYFUNCTION("""COMPUTED_VALUE"""),68.0)</f>
        <v>68</v>
      </c>
      <c r="F4246" s="19" t="str">
        <f>IFERROR(__xludf.DUMMYFUNCTION("""COMPUTED_VALUE"""),"BLUE")</f>
        <v>BLUE</v>
      </c>
      <c r="G4246" s="20" t="str">
        <f>IFERROR(__xludf.DUMMYFUNCTION("""COMPUTED_VALUE"""),"Uncle Sams Cider (04/04/2023)")</f>
        <v>Uncle Sams Cider (04/04/2023)</v>
      </c>
      <c r="H4246" s="19"/>
    </row>
    <row r="4247">
      <c r="A4247" s="9"/>
      <c r="B4247" s="15"/>
      <c r="C4247" s="9">
        <f>IFERROR(__xludf.DUMMYFUNCTION("""COMPUTED_VALUE"""),45100.1375548726)</f>
        <v>45100.13755</v>
      </c>
      <c r="D4247" s="15">
        <f>IFERROR(__xludf.DUMMYFUNCTION("""COMPUTED_VALUE"""),1.001)</f>
        <v>1.001</v>
      </c>
      <c r="E4247" s="16">
        <f>IFERROR(__xludf.DUMMYFUNCTION("""COMPUTED_VALUE"""),68.0)</f>
        <v>68</v>
      </c>
      <c r="F4247" s="19" t="str">
        <f>IFERROR(__xludf.DUMMYFUNCTION("""COMPUTED_VALUE"""),"BLUE")</f>
        <v>BLUE</v>
      </c>
      <c r="G4247" s="20" t="str">
        <f>IFERROR(__xludf.DUMMYFUNCTION("""COMPUTED_VALUE"""),"Uncle Sams Cider (04/04/2023)")</f>
        <v>Uncle Sams Cider (04/04/2023)</v>
      </c>
      <c r="H4247" s="19"/>
    </row>
    <row r="4248">
      <c r="A4248" s="9"/>
      <c r="B4248" s="15"/>
      <c r="C4248" s="9">
        <f>IFERROR(__xludf.DUMMYFUNCTION("""COMPUTED_VALUE"""),45100.1271202777)</f>
        <v>45100.12712</v>
      </c>
      <c r="D4248" s="15">
        <f>IFERROR(__xludf.DUMMYFUNCTION("""COMPUTED_VALUE"""),1.001)</f>
        <v>1.001</v>
      </c>
      <c r="E4248" s="16">
        <f>IFERROR(__xludf.DUMMYFUNCTION("""COMPUTED_VALUE"""),68.0)</f>
        <v>68</v>
      </c>
      <c r="F4248" s="19" t="str">
        <f>IFERROR(__xludf.DUMMYFUNCTION("""COMPUTED_VALUE"""),"BLUE")</f>
        <v>BLUE</v>
      </c>
      <c r="G4248" s="20" t="str">
        <f>IFERROR(__xludf.DUMMYFUNCTION("""COMPUTED_VALUE"""),"Uncle Sams Cider (04/04/2023)")</f>
        <v>Uncle Sams Cider (04/04/2023)</v>
      </c>
      <c r="H4248" s="19"/>
    </row>
    <row r="4249">
      <c r="A4249" s="9"/>
      <c r="B4249" s="15"/>
      <c r="C4249" s="9">
        <f>IFERROR(__xludf.DUMMYFUNCTION("""COMPUTED_VALUE"""),45100.1167013541)</f>
        <v>45100.1167</v>
      </c>
      <c r="D4249" s="15">
        <f>IFERROR(__xludf.DUMMYFUNCTION("""COMPUTED_VALUE"""),1.001)</f>
        <v>1.001</v>
      </c>
      <c r="E4249" s="16">
        <f>IFERROR(__xludf.DUMMYFUNCTION("""COMPUTED_VALUE"""),68.0)</f>
        <v>68</v>
      </c>
      <c r="F4249" s="19" t="str">
        <f>IFERROR(__xludf.DUMMYFUNCTION("""COMPUTED_VALUE"""),"BLUE")</f>
        <v>BLUE</v>
      </c>
      <c r="G4249" s="20" t="str">
        <f>IFERROR(__xludf.DUMMYFUNCTION("""COMPUTED_VALUE"""),"Uncle Sams Cider (04/04/2023)")</f>
        <v>Uncle Sams Cider (04/04/2023)</v>
      </c>
      <c r="H4249" s="19"/>
    </row>
    <row r="4250">
      <c r="A4250" s="9"/>
      <c r="B4250" s="15"/>
      <c r="C4250" s="9">
        <f>IFERROR(__xludf.DUMMYFUNCTION("""COMPUTED_VALUE"""),45100.1062801273)</f>
        <v>45100.10628</v>
      </c>
      <c r="D4250" s="15">
        <f>IFERROR(__xludf.DUMMYFUNCTION("""COMPUTED_VALUE"""),1.001)</f>
        <v>1.001</v>
      </c>
      <c r="E4250" s="16">
        <f>IFERROR(__xludf.DUMMYFUNCTION("""COMPUTED_VALUE"""),68.0)</f>
        <v>68</v>
      </c>
      <c r="F4250" s="19" t="str">
        <f>IFERROR(__xludf.DUMMYFUNCTION("""COMPUTED_VALUE"""),"BLUE")</f>
        <v>BLUE</v>
      </c>
      <c r="G4250" s="20" t="str">
        <f>IFERROR(__xludf.DUMMYFUNCTION("""COMPUTED_VALUE"""),"Uncle Sams Cider (04/04/2023)")</f>
        <v>Uncle Sams Cider (04/04/2023)</v>
      </c>
      <c r="H4250" s="19"/>
    </row>
    <row r="4251">
      <c r="A4251" s="9"/>
      <c r="B4251" s="15"/>
      <c r="C4251" s="9">
        <f>IFERROR(__xludf.DUMMYFUNCTION("""COMPUTED_VALUE"""),45100.0958455787)</f>
        <v>45100.09585</v>
      </c>
      <c r="D4251" s="15">
        <f>IFERROR(__xludf.DUMMYFUNCTION("""COMPUTED_VALUE"""),1.001)</f>
        <v>1.001</v>
      </c>
      <c r="E4251" s="16">
        <f>IFERROR(__xludf.DUMMYFUNCTION("""COMPUTED_VALUE"""),68.0)</f>
        <v>68</v>
      </c>
      <c r="F4251" s="19" t="str">
        <f>IFERROR(__xludf.DUMMYFUNCTION("""COMPUTED_VALUE"""),"BLUE")</f>
        <v>BLUE</v>
      </c>
      <c r="G4251" s="20" t="str">
        <f>IFERROR(__xludf.DUMMYFUNCTION("""COMPUTED_VALUE"""),"Uncle Sams Cider (04/04/2023)")</f>
        <v>Uncle Sams Cider (04/04/2023)</v>
      </c>
      <c r="H4251" s="19"/>
    </row>
    <row r="4252">
      <c r="A4252" s="9"/>
      <c r="B4252" s="15"/>
      <c r="C4252" s="9">
        <f>IFERROR(__xludf.DUMMYFUNCTION("""COMPUTED_VALUE"""),45100.0854253588)</f>
        <v>45100.08543</v>
      </c>
      <c r="D4252" s="15">
        <f>IFERROR(__xludf.DUMMYFUNCTION("""COMPUTED_VALUE"""),1.001)</f>
        <v>1.001</v>
      </c>
      <c r="E4252" s="16">
        <f>IFERROR(__xludf.DUMMYFUNCTION("""COMPUTED_VALUE"""),68.0)</f>
        <v>68</v>
      </c>
      <c r="F4252" s="19" t="str">
        <f>IFERROR(__xludf.DUMMYFUNCTION("""COMPUTED_VALUE"""),"BLUE")</f>
        <v>BLUE</v>
      </c>
      <c r="G4252" s="20" t="str">
        <f>IFERROR(__xludf.DUMMYFUNCTION("""COMPUTED_VALUE"""),"Uncle Sams Cider (04/04/2023)")</f>
        <v>Uncle Sams Cider (04/04/2023)</v>
      </c>
      <c r="H4252" s="19"/>
    </row>
    <row r="4253">
      <c r="A4253" s="9"/>
      <c r="B4253" s="15"/>
      <c r="C4253" s="9">
        <f>IFERROR(__xludf.DUMMYFUNCTION("""COMPUTED_VALUE"""),45100.0750026388)</f>
        <v>45100.075</v>
      </c>
      <c r="D4253" s="15">
        <f>IFERROR(__xludf.DUMMYFUNCTION("""COMPUTED_VALUE"""),1.001)</f>
        <v>1.001</v>
      </c>
      <c r="E4253" s="16">
        <f>IFERROR(__xludf.DUMMYFUNCTION("""COMPUTED_VALUE"""),68.0)</f>
        <v>68</v>
      </c>
      <c r="F4253" s="19" t="str">
        <f>IFERROR(__xludf.DUMMYFUNCTION("""COMPUTED_VALUE"""),"BLUE")</f>
        <v>BLUE</v>
      </c>
      <c r="G4253" s="20" t="str">
        <f>IFERROR(__xludf.DUMMYFUNCTION("""COMPUTED_VALUE"""),"Uncle Sams Cider (04/04/2023)")</f>
        <v>Uncle Sams Cider (04/04/2023)</v>
      </c>
      <c r="H4253" s="19"/>
    </row>
    <row r="4254">
      <c r="A4254" s="9"/>
      <c r="B4254" s="15"/>
      <c r="C4254" s="9">
        <f>IFERROR(__xludf.DUMMYFUNCTION("""COMPUTED_VALUE"""),45100.0645719213)</f>
        <v>45100.06457</v>
      </c>
      <c r="D4254" s="15">
        <f>IFERROR(__xludf.DUMMYFUNCTION("""COMPUTED_VALUE"""),1.001)</f>
        <v>1.001</v>
      </c>
      <c r="E4254" s="16">
        <f>IFERROR(__xludf.DUMMYFUNCTION("""COMPUTED_VALUE"""),68.0)</f>
        <v>68</v>
      </c>
      <c r="F4254" s="19" t="str">
        <f>IFERROR(__xludf.DUMMYFUNCTION("""COMPUTED_VALUE"""),"BLUE")</f>
        <v>BLUE</v>
      </c>
      <c r="G4254" s="20" t="str">
        <f>IFERROR(__xludf.DUMMYFUNCTION("""COMPUTED_VALUE"""),"Uncle Sams Cider (04/04/2023)")</f>
        <v>Uncle Sams Cider (04/04/2023)</v>
      </c>
      <c r="H4254" s="19"/>
    </row>
    <row r="4255">
      <c r="A4255" s="9"/>
      <c r="B4255" s="15"/>
      <c r="C4255" s="9">
        <f>IFERROR(__xludf.DUMMYFUNCTION("""COMPUTED_VALUE"""),45100.0541532523)</f>
        <v>45100.05415</v>
      </c>
      <c r="D4255" s="15">
        <f>IFERROR(__xludf.DUMMYFUNCTION("""COMPUTED_VALUE"""),1.001)</f>
        <v>1.001</v>
      </c>
      <c r="E4255" s="16">
        <f>IFERROR(__xludf.DUMMYFUNCTION("""COMPUTED_VALUE"""),68.0)</f>
        <v>68</v>
      </c>
      <c r="F4255" s="19" t="str">
        <f>IFERROR(__xludf.DUMMYFUNCTION("""COMPUTED_VALUE"""),"BLUE")</f>
        <v>BLUE</v>
      </c>
      <c r="G4255" s="20" t="str">
        <f>IFERROR(__xludf.DUMMYFUNCTION("""COMPUTED_VALUE"""),"Uncle Sams Cider (04/04/2023)")</f>
        <v>Uncle Sams Cider (04/04/2023)</v>
      </c>
      <c r="H4255" s="19"/>
    </row>
    <row r="4256">
      <c r="A4256" s="9"/>
      <c r="B4256" s="15"/>
      <c r="C4256" s="9">
        <f>IFERROR(__xludf.DUMMYFUNCTION("""COMPUTED_VALUE"""),45100.0437314699)</f>
        <v>45100.04373</v>
      </c>
      <c r="D4256" s="15">
        <f>IFERROR(__xludf.DUMMYFUNCTION("""COMPUTED_VALUE"""),1.001)</f>
        <v>1.001</v>
      </c>
      <c r="E4256" s="16">
        <f>IFERROR(__xludf.DUMMYFUNCTION("""COMPUTED_VALUE"""),68.0)</f>
        <v>68</v>
      </c>
      <c r="F4256" s="19" t="str">
        <f>IFERROR(__xludf.DUMMYFUNCTION("""COMPUTED_VALUE"""),"BLUE")</f>
        <v>BLUE</v>
      </c>
      <c r="G4256" s="20" t="str">
        <f>IFERROR(__xludf.DUMMYFUNCTION("""COMPUTED_VALUE"""),"Uncle Sams Cider (04/04/2023)")</f>
        <v>Uncle Sams Cider (04/04/2023)</v>
      </c>
      <c r="H4256" s="19"/>
    </row>
    <row r="4257">
      <c r="A4257" s="9"/>
      <c r="B4257" s="15"/>
      <c r="C4257" s="9">
        <f>IFERROR(__xludf.DUMMYFUNCTION("""COMPUTED_VALUE"""),45100.0333008564)</f>
        <v>45100.0333</v>
      </c>
      <c r="D4257" s="15">
        <f>IFERROR(__xludf.DUMMYFUNCTION("""COMPUTED_VALUE"""),1.001)</f>
        <v>1.001</v>
      </c>
      <c r="E4257" s="16">
        <f>IFERROR(__xludf.DUMMYFUNCTION("""COMPUTED_VALUE"""),68.0)</f>
        <v>68</v>
      </c>
      <c r="F4257" s="19" t="str">
        <f>IFERROR(__xludf.DUMMYFUNCTION("""COMPUTED_VALUE"""),"BLUE")</f>
        <v>BLUE</v>
      </c>
      <c r="G4257" s="20" t="str">
        <f>IFERROR(__xludf.DUMMYFUNCTION("""COMPUTED_VALUE"""),"Uncle Sams Cider (04/04/2023)")</f>
        <v>Uncle Sams Cider (04/04/2023)</v>
      </c>
      <c r="H4257" s="19"/>
    </row>
    <row r="4258">
      <c r="A4258" s="9"/>
      <c r="B4258" s="15"/>
      <c r="C4258" s="9">
        <f>IFERROR(__xludf.DUMMYFUNCTION("""COMPUTED_VALUE"""),45100.0228787037)</f>
        <v>45100.02288</v>
      </c>
      <c r="D4258" s="15">
        <f>IFERROR(__xludf.DUMMYFUNCTION("""COMPUTED_VALUE"""),1.001)</f>
        <v>1.001</v>
      </c>
      <c r="E4258" s="16">
        <f>IFERROR(__xludf.DUMMYFUNCTION("""COMPUTED_VALUE"""),68.0)</f>
        <v>68</v>
      </c>
      <c r="F4258" s="19" t="str">
        <f>IFERROR(__xludf.DUMMYFUNCTION("""COMPUTED_VALUE"""),"BLUE")</f>
        <v>BLUE</v>
      </c>
      <c r="G4258" s="20" t="str">
        <f>IFERROR(__xludf.DUMMYFUNCTION("""COMPUTED_VALUE"""),"Uncle Sams Cider (04/04/2023)")</f>
        <v>Uncle Sams Cider (04/04/2023)</v>
      </c>
      <c r="H4258" s="19"/>
    </row>
    <row r="4259">
      <c r="A4259" s="9"/>
      <c r="B4259" s="15"/>
      <c r="C4259" s="9">
        <f>IFERROR(__xludf.DUMMYFUNCTION("""COMPUTED_VALUE"""),45100.0124571759)</f>
        <v>45100.01246</v>
      </c>
      <c r="D4259" s="15">
        <f>IFERROR(__xludf.DUMMYFUNCTION("""COMPUTED_VALUE"""),1.001)</f>
        <v>1.001</v>
      </c>
      <c r="E4259" s="16">
        <f>IFERROR(__xludf.DUMMYFUNCTION("""COMPUTED_VALUE"""),68.0)</f>
        <v>68</v>
      </c>
      <c r="F4259" s="19" t="str">
        <f>IFERROR(__xludf.DUMMYFUNCTION("""COMPUTED_VALUE"""),"BLUE")</f>
        <v>BLUE</v>
      </c>
      <c r="G4259" s="20" t="str">
        <f>IFERROR(__xludf.DUMMYFUNCTION("""COMPUTED_VALUE"""),"Uncle Sams Cider (04/04/2023)")</f>
        <v>Uncle Sams Cider (04/04/2023)</v>
      </c>
      <c r="H4259" s="19"/>
    </row>
    <row r="4260">
      <c r="A4260" s="9"/>
      <c r="B4260" s="15"/>
      <c r="C4260" s="9">
        <f>IFERROR(__xludf.DUMMYFUNCTION("""COMPUTED_VALUE"""),45100.002035949)</f>
        <v>45100.00204</v>
      </c>
      <c r="D4260" s="15">
        <f>IFERROR(__xludf.DUMMYFUNCTION("""COMPUTED_VALUE"""),1.001)</f>
        <v>1.001</v>
      </c>
      <c r="E4260" s="16">
        <f>IFERROR(__xludf.DUMMYFUNCTION("""COMPUTED_VALUE"""),68.0)</f>
        <v>68</v>
      </c>
      <c r="F4260" s="19" t="str">
        <f>IFERROR(__xludf.DUMMYFUNCTION("""COMPUTED_VALUE"""),"BLUE")</f>
        <v>BLUE</v>
      </c>
      <c r="G4260" s="20" t="str">
        <f>IFERROR(__xludf.DUMMYFUNCTION("""COMPUTED_VALUE"""),"Uncle Sams Cider (04/04/2023)")</f>
        <v>Uncle Sams Cider (04/04/2023)</v>
      </c>
      <c r="H4260" s="19"/>
    </row>
    <row r="4261">
      <c r="A4261" s="9"/>
      <c r="B4261" s="15"/>
      <c r="C4261" s="9">
        <f>IFERROR(__xludf.DUMMYFUNCTION("""COMPUTED_VALUE"""),45099.9916161574)</f>
        <v>45099.99162</v>
      </c>
      <c r="D4261" s="15">
        <f>IFERROR(__xludf.DUMMYFUNCTION("""COMPUTED_VALUE"""),1.001)</f>
        <v>1.001</v>
      </c>
      <c r="E4261" s="16">
        <f>IFERROR(__xludf.DUMMYFUNCTION("""COMPUTED_VALUE"""),68.0)</f>
        <v>68</v>
      </c>
      <c r="F4261" s="19" t="str">
        <f>IFERROR(__xludf.DUMMYFUNCTION("""COMPUTED_VALUE"""),"BLUE")</f>
        <v>BLUE</v>
      </c>
      <c r="G4261" s="20" t="str">
        <f>IFERROR(__xludf.DUMMYFUNCTION("""COMPUTED_VALUE"""),"Uncle Sams Cider (04/04/2023)")</f>
        <v>Uncle Sams Cider (04/04/2023)</v>
      </c>
      <c r="H4261" s="19"/>
    </row>
    <row r="4262">
      <c r="A4262" s="9"/>
      <c r="B4262" s="15"/>
      <c r="C4262" s="9">
        <f>IFERROR(__xludf.DUMMYFUNCTION("""COMPUTED_VALUE"""),45099.9811953819)</f>
        <v>45099.9812</v>
      </c>
      <c r="D4262" s="15">
        <f>IFERROR(__xludf.DUMMYFUNCTION("""COMPUTED_VALUE"""),1.001)</f>
        <v>1.001</v>
      </c>
      <c r="E4262" s="16">
        <f>IFERROR(__xludf.DUMMYFUNCTION("""COMPUTED_VALUE"""),68.0)</f>
        <v>68</v>
      </c>
      <c r="F4262" s="19" t="str">
        <f>IFERROR(__xludf.DUMMYFUNCTION("""COMPUTED_VALUE"""),"BLUE")</f>
        <v>BLUE</v>
      </c>
      <c r="G4262" s="20" t="str">
        <f>IFERROR(__xludf.DUMMYFUNCTION("""COMPUTED_VALUE"""),"Uncle Sams Cider (04/04/2023)")</f>
        <v>Uncle Sams Cider (04/04/2023)</v>
      </c>
      <c r="H4262" s="19"/>
    </row>
    <row r="4263">
      <c r="A4263" s="9"/>
      <c r="B4263" s="15"/>
      <c r="C4263" s="9">
        <f>IFERROR(__xludf.DUMMYFUNCTION("""COMPUTED_VALUE"""),45099.9707763194)</f>
        <v>45099.97078</v>
      </c>
      <c r="D4263" s="15">
        <f>IFERROR(__xludf.DUMMYFUNCTION("""COMPUTED_VALUE"""),1.001)</f>
        <v>1.001</v>
      </c>
      <c r="E4263" s="16">
        <f>IFERROR(__xludf.DUMMYFUNCTION("""COMPUTED_VALUE"""),68.0)</f>
        <v>68</v>
      </c>
      <c r="F4263" s="19" t="str">
        <f>IFERROR(__xludf.DUMMYFUNCTION("""COMPUTED_VALUE"""),"BLUE")</f>
        <v>BLUE</v>
      </c>
      <c r="G4263" s="20" t="str">
        <f>IFERROR(__xludf.DUMMYFUNCTION("""COMPUTED_VALUE"""),"Uncle Sams Cider (04/04/2023)")</f>
        <v>Uncle Sams Cider (04/04/2023)</v>
      </c>
      <c r="H4263" s="19"/>
    </row>
    <row r="4264">
      <c r="A4264" s="9"/>
      <c r="B4264" s="15"/>
      <c r="C4264" s="9">
        <f>IFERROR(__xludf.DUMMYFUNCTION("""COMPUTED_VALUE"""),45099.960355706)</f>
        <v>45099.96036</v>
      </c>
      <c r="D4264" s="15">
        <f>IFERROR(__xludf.DUMMYFUNCTION("""COMPUTED_VALUE"""),1.001)</f>
        <v>1.001</v>
      </c>
      <c r="E4264" s="16">
        <f>IFERROR(__xludf.DUMMYFUNCTION("""COMPUTED_VALUE"""),68.0)</f>
        <v>68</v>
      </c>
      <c r="F4264" s="19" t="str">
        <f>IFERROR(__xludf.DUMMYFUNCTION("""COMPUTED_VALUE"""),"BLUE")</f>
        <v>BLUE</v>
      </c>
      <c r="G4264" s="20" t="str">
        <f>IFERROR(__xludf.DUMMYFUNCTION("""COMPUTED_VALUE"""),"Uncle Sams Cider (04/04/2023)")</f>
        <v>Uncle Sams Cider (04/04/2023)</v>
      </c>
      <c r="H4264" s="19"/>
    </row>
    <row r="4265">
      <c r="A4265" s="9"/>
      <c r="B4265" s="15"/>
      <c r="C4265" s="9">
        <f>IFERROR(__xludf.DUMMYFUNCTION("""COMPUTED_VALUE"""),45099.9499358101)</f>
        <v>45099.94994</v>
      </c>
      <c r="D4265" s="15">
        <f>IFERROR(__xludf.DUMMYFUNCTION("""COMPUTED_VALUE"""),1.001)</f>
        <v>1.001</v>
      </c>
      <c r="E4265" s="16">
        <f>IFERROR(__xludf.DUMMYFUNCTION("""COMPUTED_VALUE"""),68.0)</f>
        <v>68</v>
      </c>
      <c r="F4265" s="19" t="str">
        <f>IFERROR(__xludf.DUMMYFUNCTION("""COMPUTED_VALUE"""),"BLUE")</f>
        <v>BLUE</v>
      </c>
      <c r="G4265" s="20" t="str">
        <f>IFERROR(__xludf.DUMMYFUNCTION("""COMPUTED_VALUE"""),"Uncle Sams Cider (04/04/2023)")</f>
        <v>Uncle Sams Cider (04/04/2023)</v>
      </c>
      <c r="H4265" s="19"/>
    </row>
    <row r="4266">
      <c r="A4266" s="9"/>
      <c r="B4266" s="15"/>
      <c r="C4266" s="9">
        <f>IFERROR(__xludf.DUMMYFUNCTION("""COMPUTED_VALUE"""),45099.9395159837)</f>
        <v>45099.93952</v>
      </c>
      <c r="D4266" s="15">
        <f>IFERROR(__xludf.DUMMYFUNCTION("""COMPUTED_VALUE"""),1.001)</f>
        <v>1.001</v>
      </c>
      <c r="E4266" s="16">
        <f>IFERROR(__xludf.DUMMYFUNCTION("""COMPUTED_VALUE"""),68.0)</f>
        <v>68</v>
      </c>
      <c r="F4266" s="19" t="str">
        <f>IFERROR(__xludf.DUMMYFUNCTION("""COMPUTED_VALUE"""),"BLUE")</f>
        <v>BLUE</v>
      </c>
      <c r="G4266" s="20" t="str">
        <f>IFERROR(__xludf.DUMMYFUNCTION("""COMPUTED_VALUE"""),"Uncle Sams Cider (04/04/2023)")</f>
        <v>Uncle Sams Cider (04/04/2023)</v>
      </c>
      <c r="H4266" s="19"/>
    </row>
    <row r="4267">
      <c r="A4267" s="9"/>
      <c r="B4267" s="15"/>
      <c r="C4267" s="9">
        <f>IFERROR(__xludf.DUMMYFUNCTION("""COMPUTED_VALUE"""),45099.9290936342)</f>
        <v>45099.92909</v>
      </c>
      <c r="D4267" s="15">
        <f>IFERROR(__xludf.DUMMYFUNCTION("""COMPUTED_VALUE"""),1.001)</f>
        <v>1.001</v>
      </c>
      <c r="E4267" s="16">
        <f>IFERROR(__xludf.DUMMYFUNCTION("""COMPUTED_VALUE"""),68.0)</f>
        <v>68</v>
      </c>
      <c r="F4267" s="19" t="str">
        <f>IFERROR(__xludf.DUMMYFUNCTION("""COMPUTED_VALUE"""),"BLUE")</f>
        <v>BLUE</v>
      </c>
      <c r="G4267" s="20" t="str">
        <f>IFERROR(__xludf.DUMMYFUNCTION("""COMPUTED_VALUE"""),"Uncle Sams Cider (04/04/2023)")</f>
        <v>Uncle Sams Cider (04/04/2023)</v>
      </c>
      <c r="H4267" s="19"/>
    </row>
    <row r="4268">
      <c r="A4268" s="9"/>
      <c r="B4268" s="15"/>
      <c r="C4268" s="9">
        <f>IFERROR(__xludf.DUMMYFUNCTION("""COMPUTED_VALUE"""),45099.9186752546)</f>
        <v>45099.91868</v>
      </c>
      <c r="D4268" s="15">
        <f>IFERROR(__xludf.DUMMYFUNCTION("""COMPUTED_VALUE"""),1.001)</f>
        <v>1.001</v>
      </c>
      <c r="E4268" s="16">
        <f>IFERROR(__xludf.DUMMYFUNCTION("""COMPUTED_VALUE"""),68.0)</f>
        <v>68</v>
      </c>
      <c r="F4268" s="19" t="str">
        <f>IFERROR(__xludf.DUMMYFUNCTION("""COMPUTED_VALUE"""),"BLUE")</f>
        <v>BLUE</v>
      </c>
      <c r="G4268" s="20" t="str">
        <f>IFERROR(__xludf.DUMMYFUNCTION("""COMPUTED_VALUE"""),"Uncle Sams Cider (04/04/2023)")</f>
        <v>Uncle Sams Cider (04/04/2023)</v>
      </c>
      <c r="H4268" s="19"/>
    </row>
    <row r="4269">
      <c r="A4269" s="9"/>
      <c r="B4269" s="15"/>
      <c r="C4269" s="9">
        <f>IFERROR(__xludf.DUMMYFUNCTION("""COMPUTED_VALUE"""),45099.9082525694)</f>
        <v>45099.90825</v>
      </c>
      <c r="D4269" s="15">
        <f>IFERROR(__xludf.DUMMYFUNCTION("""COMPUTED_VALUE"""),1.001)</f>
        <v>1.001</v>
      </c>
      <c r="E4269" s="16">
        <f>IFERROR(__xludf.DUMMYFUNCTION("""COMPUTED_VALUE"""),68.0)</f>
        <v>68</v>
      </c>
      <c r="F4269" s="19" t="str">
        <f>IFERROR(__xludf.DUMMYFUNCTION("""COMPUTED_VALUE"""),"BLUE")</f>
        <v>BLUE</v>
      </c>
      <c r="G4269" s="20" t="str">
        <f>IFERROR(__xludf.DUMMYFUNCTION("""COMPUTED_VALUE"""),"Uncle Sams Cider (04/04/2023)")</f>
        <v>Uncle Sams Cider (04/04/2023)</v>
      </c>
      <c r="H4269" s="19"/>
    </row>
    <row r="4270">
      <c r="A4270" s="9"/>
      <c r="B4270" s="15"/>
      <c r="C4270" s="9">
        <f>IFERROR(__xludf.DUMMYFUNCTION("""COMPUTED_VALUE"""),45099.8978317476)</f>
        <v>45099.89783</v>
      </c>
      <c r="D4270" s="15">
        <f>IFERROR(__xludf.DUMMYFUNCTION("""COMPUTED_VALUE"""),1.001)</f>
        <v>1.001</v>
      </c>
      <c r="E4270" s="16">
        <f>IFERROR(__xludf.DUMMYFUNCTION("""COMPUTED_VALUE"""),68.0)</f>
        <v>68</v>
      </c>
      <c r="F4270" s="19" t="str">
        <f>IFERROR(__xludf.DUMMYFUNCTION("""COMPUTED_VALUE"""),"BLUE")</f>
        <v>BLUE</v>
      </c>
      <c r="G4270" s="20" t="str">
        <f>IFERROR(__xludf.DUMMYFUNCTION("""COMPUTED_VALUE"""),"Uncle Sams Cider (04/04/2023)")</f>
        <v>Uncle Sams Cider (04/04/2023)</v>
      </c>
      <c r="H4270" s="19"/>
    </row>
    <row r="4271">
      <c r="A4271" s="9"/>
      <c r="B4271" s="15"/>
      <c r="C4271" s="9">
        <f>IFERROR(__xludf.DUMMYFUNCTION("""COMPUTED_VALUE"""),45099.8874106134)</f>
        <v>45099.88741</v>
      </c>
      <c r="D4271" s="15">
        <f>IFERROR(__xludf.DUMMYFUNCTION("""COMPUTED_VALUE"""),1.001)</f>
        <v>1.001</v>
      </c>
      <c r="E4271" s="16">
        <f>IFERROR(__xludf.DUMMYFUNCTION("""COMPUTED_VALUE"""),68.0)</f>
        <v>68</v>
      </c>
      <c r="F4271" s="19" t="str">
        <f>IFERROR(__xludf.DUMMYFUNCTION("""COMPUTED_VALUE"""),"BLUE")</f>
        <v>BLUE</v>
      </c>
      <c r="G4271" s="20" t="str">
        <f>IFERROR(__xludf.DUMMYFUNCTION("""COMPUTED_VALUE"""),"Uncle Sams Cider (04/04/2023)")</f>
        <v>Uncle Sams Cider (04/04/2023)</v>
      </c>
      <c r="H4271" s="19"/>
    </row>
    <row r="4272">
      <c r="A4272" s="9"/>
      <c r="B4272" s="15"/>
      <c r="C4272" s="9">
        <f>IFERROR(__xludf.DUMMYFUNCTION("""COMPUTED_VALUE"""),45099.8769877314)</f>
        <v>45099.87699</v>
      </c>
      <c r="D4272" s="15">
        <f>IFERROR(__xludf.DUMMYFUNCTION("""COMPUTED_VALUE"""),1.001)</f>
        <v>1.001</v>
      </c>
      <c r="E4272" s="16">
        <f>IFERROR(__xludf.DUMMYFUNCTION("""COMPUTED_VALUE"""),68.0)</f>
        <v>68</v>
      </c>
      <c r="F4272" s="19" t="str">
        <f>IFERROR(__xludf.DUMMYFUNCTION("""COMPUTED_VALUE"""),"BLUE")</f>
        <v>BLUE</v>
      </c>
      <c r="G4272" s="20" t="str">
        <f>IFERROR(__xludf.DUMMYFUNCTION("""COMPUTED_VALUE"""),"Uncle Sams Cider (04/04/2023)")</f>
        <v>Uncle Sams Cider (04/04/2023)</v>
      </c>
      <c r="H4272" s="19"/>
    </row>
    <row r="4273">
      <c r="A4273" s="9"/>
      <c r="B4273" s="15"/>
      <c r="C4273" s="9">
        <f>IFERROR(__xludf.DUMMYFUNCTION("""COMPUTED_VALUE"""),45099.8665670486)</f>
        <v>45099.86657</v>
      </c>
      <c r="D4273" s="15">
        <f>IFERROR(__xludf.DUMMYFUNCTION("""COMPUTED_VALUE"""),1.001)</f>
        <v>1.001</v>
      </c>
      <c r="E4273" s="16">
        <f>IFERROR(__xludf.DUMMYFUNCTION("""COMPUTED_VALUE"""),68.0)</f>
        <v>68</v>
      </c>
      <c r="F4273" s="19" t="str">
        <f>IFERROR(__xludf.DUMMYFUNCTION("""COMPUTED_VALUE"""),"BLUE")</f>
        <v>BLUE</v>
      </c>
      <c r="G4273" s="20" t="str">
        <f>IFERROR(__xludf.DUMMYFUNCTION("""COMPUTED_VALUE"""),"Uncle Sams Cider (04/04/2023)")</f>
        <v>Uncle Sams Cider (04/04/2023)</v>
      </c>
      <c r="H4273" s="19"/>
    </row>
    <row r="4274">
      <c r="A4274" s="9"/>
      <c r="B4274" s="15"/>
      <c r="C4274" s="9">
        <f>IFERROR(__xludf.DUMMYFUNCTION("""COMPUTED_VALUE"""),45099.8561458101)</f>
        <v>45099.85615</v>
      </c>
      <c r="D4274" s="15">
        <f>IFERROR(__xludf.DUMMYFUNCTION("""COMPUTED_VALUE"""),1.001)</f>
        <v>1.001</v>
      </c>
      <c r="E4274" s="16">
        <f>IFERROR(__xludf.DUMMYFUNCTION("""COMPUTED_VALUE"""),68.0)</f>
        <v>68</v>
      </c>
      <c r="F4274" s="19" t="str">
        <f>IFERROR(__xludf.DUMMYFUNCTION("""COMPUTED_VALUE"""),"BLUE")</f>
        <v>BLUE</v>
      </c>
      <c r="G4274" s="20" t="str">
        <f>IFERROR(__xludf.DUMMYFUNCTION("""COMPUTED_VALUE"""),"Uncle Sams Cider (04/04/2023)")</f>
        <v>Uncle Sams Cider (04/04/2023)</v>
      </c>
      <c r="H4274" s="19"/>
    </row>
    <row r="4275">
      <c r="A4275" s="9"/>
      <c r="B4275" s="15"/>
      <c r="C4275" s="9">
        <f>IFERROR(__xludf.DUMMYFUNCTION("""COMPUTED_VALUE"""),45099.8457126504)</f>
        <v>45099.84571</v>
      </c>
      <c r="D4275" s="15">
        <f>IFERROR(__xludf.DUMMYFUNCTION("""COMPUTED_VALUE"""),1.001)</f>
        <v>1.001</v>
      </c>
      <c r="E4275" s="16">
        <f>IFERROR(__xludf.DUMMYFUNCTION("""COMPUTED_VALUE"""),68.0)</f>
        <v>68</v>
      </c>
      <c r="F4275" s="19" t="str">
        <f>IFERROR(__xludf.DUMMYFUNCTION("""COMPUTED_VALUE"""),"BLUE")</f>
        <v>BLUE</v>
      </c>
      <c r="G4275" s="20" t="str">
        <f>IFERROR(__xludf.DUMMYFUNCTION("""COMPUTED_VALUE"""),"Uncle Sams Cider (04/04/2023)")</f>
        <v>Uncle Sams Cider (04/04/2023)</v>
      </c>
      <c r="H4275" s="19"/>
    </row>
    <row r="4276">
      <c r="A4276" s="9"/>
      <c r="B4276" s="15"/>
      <c r="C4276" s="9">
        <f>IFERROR(__xludf.DUMMYFUNCTION("""COMPUTED_VALUE"""),45099.8352915625)</f>
        <v>45099.83529</v>
      </c>
      <c r="D4276" s="15">
        <f>IFERROR(__xludf.DUMMYFUNCTION("""COMPUTED_VALUE"""),1.001)</f>
        <v>1.001</v>
      </c>
      <c r="E4276" s="16">
        <f>IFERROR(__xludf.DUMMYFUNCTION("""COMPUTED_VALUE"""),68.0)</f>
        <v>68</v>
      </c>
      <c r="F4276" s="19" t="str">
        <f>IFERROR(__xludf.DUMMYFUNCTION("""COMPUTED_VALUE"""),"BLUE")</f>
        <v>BLUE</v>
      </c>
      <c r="G4276" s="20" t="str">
        <f>IFERROR(__xludf.DUMMYFUNCTION("""COMPUTED_VALUE"""),"Uncle Sams Cider (04/04/2023)")</f>
        <v>Uncle Sams Cider (04/04/2023)</v>
      </c>
      <c r="H4276" s="19"/>
    </row>
    <row r="4277">
      <c r="A4277" s="9"/>
      <c r="B4277" s="15"/>
      <c r="C4277" s="9">
        <f>IFERROR(__xludf.DUMMYFUNCTION("""COMPUTED_VALUE"""),45099.8248693055)</f>
        <v>45099.82487</v>
      </c>
      <c r="D4277" s="15">
        <f>IFERROR(__xludf.DUMMYFUNCTION("""COMPUTED_VALUE"""),1.001)</f>
        <v>1.001</v>
      </c>
      <c r="E4277" s="16">
        <f>IFERROR(__xludf.DUMMYFUNCTION("""COMPUTED_VALUE"""),68.0)</f>
        <v>68</v>
      </c>
      <c r="F4277" s="19" t="str">
        <f>IFERROR(__xludf.DUMMYFUNCTION("""COMPUTED_VALUE"""),"BLUE")</f>
        <v>BLUE</v>
      </c>
      <c r="G4277" s="20" t="str">
        <f>IFERROR(__xludf.DUMMYFUNCTION("""COMPUTED_VALUE"""),"Uncle Sams Cider (04/04/2023)")</f>
        <v>Uncle Sams Cider (04/04/2023)</v>
      </c>
      <c r="H4277" s="19"/>
    </row>
    <row r="4278">
      <c r="A4278" s="9"/>
      <c r="B4278" s="15"/>
      <c r="C4278" s="9">
        <f>IFERROR(__xludf.DUMMYFUNCTION("""COMPUTED_VALUE"""),45099.8144489351)</f>
        <v>45099.81445</v>
      </c>
      <c r="D4278" s="15">
        <f>IFERROR(__xludf.DUMMYFUNCTION("""COMPUTED_VALUE"""),1.001)</f>
        <v>1.001</v>
      </c>
      <c r="E4278" s="16">
        <f>IFERROR(__xludf.DUMMYFUNCTION("""COMPUTED_VALUE"""),68.0)</f>
        <v>68</v>
      </c>
      <c r="F4278" s="19" t="str">
        <f>IFERROR(__xludf.DUMMYFUNCTION("""COMPUTED_VALUE"""),"BLUE")</f>
        <v>BLUE</v>
      </c>
      <c r="G4278" s="20" t="str">
        <f>IFERROR(__xludf.DUMMYFUNCTION("""COMPUTED_VALUE"""),"Uncle Sams Cider (04/04/2023)")</f>
        <v>Uncle Sams Cider (04/04/2023)</v>
      </c>
      <c r="H4278" s="19"/>
    </row>
    <row r="4279">
      <c r="A4279" s="9"/>
      <c r="B4279" s="15"/>
      <c r="C4279" s="9">
        <f>IFERROR(__xludf.DUMMYFUNCTION("""COMPUTED_VALUE"""),45099.8040270486)</f>
        <v>45099.80403</v>
      </c>
      <c r="D4279" s="15">
        <f>IFERROR(__xludf.DUMMYFUNCTION("""COMPUTED_VALUE"""),1.001)</f>
        <v>1.001</v>
      </c>
      <c r="E4279" s="16">
        <f>IFERROR(__xludf.DUMMYFUNCTION("""COMPUTED_VALUE"""),68.0)</f>
        <v>68</v>
      </c>
      <c r="F4279" s="19" t="str">
        <f>IFERROR(__xludf.DUMMYFUNCTION("""COMPUTED_VALUE"""),"BLUE")</f>
        <v>BLUE</v>
      </c>
      <c r="G4279" s="20" t="str">
        <f>IFERROR(__xludf.DUMMYFUNCTION("""COMPUTED_VALUE"""),"Uncle Sams Cider (04/04/2023)")</f>
        <v>Uncle Sams Cider (04/04/2023)</v>
      </c>
      <c r="H4279" s="19"/>
    </row>
    <row r="4280">
      <c r="A4280" s="9"/>
      <c r="B4280" s="15"/>
      <c r="C4280" s="9">
        <f>IFERROR(__xludf.DUMMYFUNCTION("""COMPUTED_VALUE"""),45099.7936067708)</f>
        <v>45099.79361</v>
      </c>
      <c r="D4280" s="15">
        <f>IFERROR(__xludf.DUMMYFUNCTION("""COMPUTED_VALUE"""),1.001)</f>
        <v>1.001</v>
      </c>
      <c r="E4280" s="16">
        <f>IFERROR(__xludf.DUMMYFUNCTION("""COMPUTED_VALUE"""),68.0)</f>
        <v>68</v>
      </c>
      <c r="F4280" s="19" t="str">
        <f>IFERROR(__xludf.DUMMYFUNCTION("""COMPUTED_VALUE"""),"BLUE")</f>
        <v>BLUE</v>
      </c>
      <c r="G4280" s="20" t="str">
        <f>IFERROR(__xludf.DUMMYFUNCTION("""COMPUTED_VALUE"""),"Uncle Sams Cider (04/04/2023)")</f>
        <v>Uncle Sams Cider (04/04/2023)</v>
      </c>
      <c r="H4280" s="19"/>
    </row>
    <row r="4281">
      <c r="A4281" s="9"/>
      <c r="B4281" s="15"/>
      <c r="C4281" s="9">
        <f>IFERROR(__xludf.DUMMYFUNCTION("""COMPUTED_VALUE"""),45099.7831858564)</f>
        <v>45099.78319</v>
      </c>
      <c r="D4281" s="15">
        <f>IFERROR(__xludf.DUMMYFUNCTION("""COMPUTED_VALUE"""),1.001)</f>
        <v>1.001</v>
      </c>
      <c r="E4281" s="16">
        <f>IFERROR(__xludf.DUMMYFUNCTION("""COMPUTED_VALUE"""),68.0)</f>
        <v>68</v>
      </c>
      <c r="F4281" s="19" t="str">
        <f>IFERROR(__xludf.DUMMYFUNCTION("""COMPUTED_VALUE"""),"BLUE")</f>
        <v>BLUE</v>
      </c>
      <c r="G4281" s="20" t="str">
        <f>IFERROR(__xludf.DUMMYFUNCTION("""COMPUTED_VALUE"""),"Uncle Sams Cider (04/04/2023)")</f>
        <v>Uncle Sams Cider (04/04/2023)</v>
      </c>
      <c r="H4281" s="19"/>
    </row>
    <row r="4282">
      <c r="A4282" s="9"/>
      <c r="B4282" s="15"/>
      <c r="C4282" s="9">
        <f>IFERROR(__xludf.DUMMYFUNCTION("""COMPUTED_VALUE"""),45099.7727643287)</f>
        <v>45099.77276</v>
      </c>
      <c r="D4282" s="15">
        <f>IFERROR(__xludf.DUMMYFUNCTION("""COMPUTED_VALUE"""),1.001)</f>
        <v>1.001</v>
      </c>
      <c r="E4282" s="16">
        <f>IFERROR(__xludf.DUMMYFUNCTION("""COMPUTED_VALUE"""),68.0)</f>
        <v>68</v>
      </c>
      <c r="F4282" s="19" t="str">
        <f>IFERROR(__xludf.DUMMYFUNCTION("""COMPUTED_VALUE"""),"BLUE")</f>
        <v>BLUE</v>
      </c>
      <c r="G4282" s="20" t="str">
        <f>IFERROR(__xludf.DUMMYFUNCTION("""COMPUTED_VALUE"""),"Uncle Sams Cider (04/04/2023)")</f>
        <v>Uncle Sams Cider (04/04/2023)</v>
      </c>
      <c r="H4282" s="19"/>
    </row>
    <row r="4283">
      <c r="A4283" s="9"/>
      <c r="B4283" s="15"/>
      <c r="C4283" s="9">
        <f>IFERROR(__xludf.DUMMYFUNCTION("""COMPUTED_VALUE"""),45099.762343287)</f>
        <v>45099.76234</v>
      </c>
      <c r="D4283" s="15">
        <f>IFERROR(__xludf.DUMMYFUNCTION("""COMPUTED_VALUE"""),1.001)</f>
        <v>1.001</v>
      </c>
      <c r="E4283" s="16">
        <f>IFERROR(__xludf.DUMMYFUNCTION("""COMPUTED_VALUE"""),68.0)</f>
        <v>68</v>
      </c>
      <c r="F4283" s="19" t="str">
        <f>IFERROR(__xludf.DUMMYFUNCTION("""COMPUTED_VALUE"""),"BLUE")</f>
        <v>BLUE</v>
      </c>
      <c r="G4283" s="20" t="str">
        <f>IFERROR(__xludf.DUMMYFUNCTION("""COMPUTED_VALUE"""),"Uncle Sams Cider (04/04/2023)")</f>
        <v>Uncle Sams Cider (04/04/2023)</v>
      </c>
      <c r="H4283" s="19"/>
    </row>
    <row r="4284">
      <c r="A4284" s="9"/>
      <c r="B4284" s="15"/>
      <c r="C4284" s="9">
        <f>IFERROR(__xludf.DUMMYFUNCTION("""COMPUTED_VALUE"""),45099.7519208217)</f>
        <v>45099.75192</v>
      </c>
      <c r="D4284" s="15">
        <f>IFERROR(__xludf.DUMMYFUNCTION("""COMPUTED_VALUE"""),1.001)</f>
        <v>1.001</v>
      </c>
      <c r="E4284" s="16">
        <f>IFERROR(__xludf.DUMMYFUNCTION("""COMPUTED_VALUE"""),68.0)</f>
        <v>68</v>
      </c>
      <c r="F4284" s="19" t="str">
        <f>IFERROR(__xludf.DUMMYFUNCTION("""COMPUTED_VALUE"""),"BLUE")</f>
        <v>BLUE</v>
      </c>
      <c r="G4284" s="20" t="str">
        <f>IFERROR(__xludf.DUMMYFUNCTION("""COMPUTED_VALUE"""),"Uncle Sams Cider (04/04/2023)")</f>
        <v>Uncle Sams Cider (04/04/2023)</v>
      </c>
      <c r="H4284" s="19"/>
    </row>
    <row r="4285">
      <c r="A4285" s="9"/>
      <c r="B4285" s="15"/>
      <c r="C4285" s="9">
        <f>IFERROR(__xludf.DUMMYFUNCTION("""COMPUTED_VALUE"""),45099.7415007175)</f>
        <v>45099.7415</v>
      </c>
      <c r="D4285" s="15">
        <f>IFERROR(__xludf.DUMMYFUNCTION("""COMPUTED_VALUE"""),1.001)</f>
        <v>1.001</v>
      </c>
      <c r="E4285" s="16">
        <f>IFERROR(__xludf.DUMMYFUNCTION("""COMPUTED_VALUE"""),68.0)</f>
        <v>68</v>
      </c>
      <c r="F4285" s="19" t="str">
        <f>IFERROR(__xludf.DUMMYFUNCTION("""COMPUTED_VALUE"""),"BLUE")</f>
        <v>BLUE</v>
      </c>
      <c r="G4285" s="20" t="str">
        <f>IFERROR(__xludf.DUMMYFUNCTION("""COMPUTED_VALUE"""),"Uncle Sams Cider (04/04/2023)")</f>
        <v>Uncle Sams Cider (04/04/2023)</v>
      </c>
      <c r="H4285" s="19"/>
    </row>
    <row r="4286">
      <c r="A4286" s="9"/>
      <c r="B4286" s="15"/>
      <c r="C4286" s="9">
        <f>IFERROR(__xludf.DUMMYFUNCTION("""COMPUTED_VALUE"""),45099.731080868)</f>
        <v>45099.73108</v>
      </c>
      <c r="D4286" s="15">
        <f>IFERROR(__xludf.DUMMYFUNCTION("""COMPUTED_VALUE"""),1.001)</f>
        <v>1.001</v>
      </c>
      <c r="E4286" s="16">
        <f>IFERROR(__xludf.DUMMYFUNCTION("""COMPUTED_VALUE"""),68.0)</f>
        <v>68</v>
      </c>
      <c r="F4286" s="19" t="str">
        <f>IFERROR(__xludf.DUMMYFUNCTION("""COMPUTED_VALUE"""),"BLUE")</f>
        <v>BLUE</v>
      </c>
      <c r="G4286" s="20" t="str">
        <f>IFERROR(__xludf.DUMMYFUNCTION("""COMPUTED_VALUE"""),"Uncle Sams Cider (04/04/2023)")</f>
        <v>Uncle Sams Cider (04/04/2023)</v>
      </c>
      <c r="H4286" s="19"/>
    </row>
    <row r="4287">
      <c r="A4287" s="9"/>
      <c r="B4287" s="15"/>
      <c r="C4287" s="9">
        <f>IFERROR(__xludf.DUMMYFUNCTION("""COMPUTED_VALUE"""),45099.7206611689)</f>
        <v>45099.72066</v>
      </c>
      <c r="D4287" s="15">
        <f>IFERROR(__xludf.DUMMYFUNCTION("""COMPUTED_VALUE"""),1.001)</f>
        <v>1.001</v>
      </c>
      <c r="E4287" s="16">
        <f>IFERROR(__xludf.DUMMYFUNCTION("""COMPUTED_VALUE"""),68.0)</f>
        <v>68</v>
      </c>
      <c r="F4287" s="19" t="str">
        <f>IFERROR(__xludf.DUMMYFUNCTION("""COMPUTED_VALUE"""),"BLUE")</f>
        <v>BLUE</v>
      </c>
      <c r="G4287" s="20" t="str">
        <f>IFERROR(__xludf.DUMMYFUNCTION("""COMPUTED_VALUE"""),"Uncle Sams Cider (04/04/2023)")</f>
        <v>Uncle Sams Cider (04/04/2023)</v>
      </c>
      <c r="H4287" s="19"/>
    </row>
    <row r="4288">
      <c r="A4288" s="9"/>
      <c r="B4288" s="15"/>
      <c r="C4288" s="9">
        <f>IFERROR(__xludf.DUMMYFUNCTION("""COMPUTED_VALUE"""),45099.7102289467)</f>
        <v>45099.71023</v>
      </c>
      <c r="D4288" s="15">
        <f>IFERROR(__xludf.DUMMYFUNCTION("""COMPUTED_VALUE"""),1.001)</f>
        <v>1.001</v>
      </c>
      <c r="E4288" s="16">
        <f>IFERROR(__xludf.DUMMYFUNCTION("""COMPUTED_VALUE"""),68.0)</f>
        <v>68</v>
      </c>
      <c r="F4288" s="19" t="str">
        <f>IFERROR(__xludf.DUMMYFUNCTION("""COMPUTED_VALUE"""),"BLUE")</f>
        <v>BLUE</v>
      </c>
      <c r="G4288" s="20" t="str">
        <f>IFERROR(__xludf.DUMMYFUNCTION("""COMPUTED_VALUE"""),"Uncle Sams Cider (04/04/2023)")</f>
        <v>Uncle Sams Cider (04/04/2023)</v>
      </c>
      <c r="H4288" s="19"/>
    </row>
    <row r="4289">
      <c r="A4289" s="9"/>
      <c r="B4289" s="15"/>
      <c r="C4289" s="9">
        <f>IFERROR(__xludf.DUMMYFUNCTION("""COMPUTED_VALUE"""),45099.6998069791)</f>
        <v>45099.69981</v>
      </c>
      <c r="D4289" s="15">
        <f>IFERROR(__xludf.DUMMYFUNCTION("""COMPUTED_VALUE"""),1.001)</f>
        <v>1.001</v>
      </c>
      <c r="E4289" s="16">
        <f>IFERROR(__xludf.DUMMYFUNCTION("""COMPUTED_VALUE"""),68.0)</f>
        <v>68</v>
      </c>
      <c r="F4289" s="19" t="str">
        <f>IFERROR(__xludf.DUMMYFUNCTION("""COMPUTED_VALUE"""),"BLUE")</f>
        <v>BLUE</v>
      </c>
      <c r="G4289" s="20" t="str">
        <f>IFERROR(__xludf.DUMMYFUNCTION("""COMPUTED_VALUE"""),"Uncle Sams Cider (04/04/2023)")</f>
        <v>Uncle Sams Cider (04/04/2023)</v>
      </c>
      <c r="H4289" s="19"/>
    </row>
    <row r="4290">
      <c r="A4290" s="9"/>
      <c r="B4290" s="15"/>
      <c r="C4290" s="9">
        <f>IFERROR(__xludf.DUMMYFUNCTION("""COMPUTED_VALUE"""),45099.6893843055)</f>
        <v>45099.68938</v>
      </c>
      <c r="D4290" s="15">
        <f>IFERROR(__xludf.DUMMYFUNCTION("""COMPUTED_VALUE"""),1.001)</f>
        <v>1.001</v>
      </c>
      <c r="E4290" s="16">
        <f>IFERROR(__xludf.DUMMYFUNCTION("""COMPUTED_VALUE"""),68.0)</f>
        <v>68</v>
      </c>
      <c r="F4290" s="19" t="str">
        <f>IFERROR(__xludf.DUMMYFUNCTION("""COMPUTED_VALUE"""),"BLUE")</f>
        <v>BLUE</v>
      </c>
      <c r="G4290" s="20" t="str">
        <f>IFERROR(__xludf.DUMMYFUNCTION("""COMPUTED_VALUE"""),"Uncle Sams Cider (04/04/2023)")</f>
        <v>Uncle Sams Cider (04/04/2023)</v>
      </c>
      <c r="H4290" s="19"/>
    </row>
    <row r="4291">
      <c r="A4291" s="9"/>
      <c r="B4291" s="15"/>
      <c r="C4291" s="9">
        <f>IFERROR(__xludf.DUMMYFUNCTION("""COMPUTED_VALUE"""),45099.6789526736)</f>
        <v>45099.67895</v>
      </c>
      <c r="D4291" s="15">
        <f>IFERROR(__xludf.DUMMYFUNCTION("""COMPUTED_VALUE"""),1.001)</f>
        <v>1.001</v>
      </c>
      <c r="E4291" s="16">
        <f>IFERROR(__xludf.DUMMYFUNCTION("""COMPUTED_VALUE"""),68.0)</f>
        <v>68</v>
      </c>
      <c r="F4291" s="19" t="str">
        <f>IFERROR(__xludf.DUMMYFUNCTION("""COMPUTED_VALUE"""),"BLUE")</f>
        <v>BLUE</v>
      </c>
      <c r="G4291" s="20" t="str">
        <f>IFERROR(__xludf.DUMMYFUNCTION("""COMPUTED_VALUE"""),"Uncle Sams Cider (04/04/2023)")</f>
        <v>Uncle Sams Cider (04/04/2023)</v>
      </c>
      <c r="H4291" s="19"/>
    </row>
    <row r="4292">
      <c r="A4292" s="9"/>
      <c r="B4292" s="15"/>
      <c r="C4292" s="9">
        <f>IFERROR(__xludf.DUMMYFUNCTION("""COMPUTED_VALUE"""),45099.6685314236)</f>
        <v>45099.66853</v>
      </c>
      <c r="D4292" s="15">
        <f>IFERROR(__xludf.DUMMYFUNCTION("""COMPUTED_VALUE"""),1.001)</f>
        <v>1.001</v>
      </c>
      <c r="E4292" s="16">
        <f>IFERROR(__xludf.DUMMYFUNCTION("""COMPUTED_VALUE"""),68.0)</f>
        <v>68</v>
      </c>
      <c r="F4292" s="19" t="str">
        <f>IFERROR(__xludf.DUMMYFUNCTION("""COMPUTED_VALUE"""),"BLUE")</f>
        <v>BLUE</v>
      </c>
      <c r="G4292" s="20" t="str">
        <f>IFERROR(__xludf.DUMMYFUNCTION("""COMPUTED_VALUE"""),"Uncle Sams Cider (04/04/2023)")</f>
        <v>Uncle Sams Cider (04/04/2023)</v>
      </c>
      <c r="H4292" s="19"/>
    </row>
    <row r="4293">
      <c r="A4293" s="9"/>
      <c r="B4293" s="15"/>
      <c r="C4293" s="9">
        <f>IFERROR(__xludf.DUMMYFUNCTION("""COMPUTED_VALUE"""),45099.6581107175)</f>
        <v>45099.65811</v>
      </c>
      <c r="D4293" s="15">
        <f>IFERROR(__xludf.DUMMYFUNCTION("""COMPUTED_VALUE"""),1.001)</f>
        <v>1.001</v>
      </c>
      <c r="E4293" s="16">
        <f>IFERROR(__xludf.DUMMYFUNCTION("""COMPUTED_VALUE"""),68.0)</f>
        <v>68</v>
      </c>
      <c r="F4293" s="19" t="str">
        <f>IFERROR(__xludf.DUMMYFUNCTION("""COMPUTED_VALUE"""),"BLUE")</f>
        <v>BLUE</v>
      </c>
      <c r="G4293" s="20" t="str">
        <f>IFERROR(__xludf.DUMMYFUNCTION("""COMPUTED_VALUE"""),"Uncle Sams Cider (04/04/2023)")</f>
        <v>Uncle Sams Cider (04/04/2023)</v>
      </c>
      <c r="H4293" s="19"/>
    </row>
    <row r="4294">
      <c r="A4294" s="9"/>
      <c r="B4294" s="15"/>
      <c r="C4294" s="9">
        <f>IFERROR(__xludf.DUMMYFUNCTION("""COMPUTED_VALUE"""),45099.6476770717)</f>
        <v>45099.64768</v>
      </c>
      <c r="D4294" s="15">
        <f>IFERROR(__xludf.DUMMYFUNCTION("""COMPUTED_VALUE"""),1.001)</f>
        <v>1.001</v>
      </c>
      <c r="E4294" s="16">
        <f>IFERROR(__xludf.DUMMYFUNCTION("""COMPUTED_VALUE"""),68.0)</f>
        <v>68</v>
      </c>
      <c r="F4294" s="19" t="str">
        <f>IFERROR(__xludf.DUMMYFUNCTION("""COMPUTED_VALUE"""),"BLUE")</f>
        <v>BLUE</v>
      </c>
      <c r="G4294" s="20" t="str">
        <f>IFERROR(__xludf.DUMMYFUNCTION("""COMPUTED_VALUE"""),"Uncle Sams Cider (04/04/2023)")</f>
        <v>Uncle Sams Cider (04/04/2023)</v>
      </c>
      <c r="H4294" s="19"/>
    </row>
    <row r="4295">
      <c r="A4295" s="9"/>
      <c r="B4295" s="15"/>
      <c r="C4295" s="9">
        <f>IFERROR(__xludf.DUMMYFUNCTION("""COMPUTED_VALUE"""),45099.6372565972)</f>
        <v>45099.63726</v>
      </c>
      <c r="D4295" s="15">
        <f>IFERROR(__xludf.DUMMYFUNCTION("""COMPUTED_VALUE"""),1.001)</f>
        <v>1.001</v>
      </c>
      <c r="E4295" s="16">
        <f>IFERROR(__xludf.DUMMYFUNCTION("""COMPUTED_VALUE"""),68.0)</f>
        <v>68</v>
      </c>
      <c r="F4295" s="19" t="str">
        <f>IFERROR(__xludf.DUMMYFUNCTION("""COMPUTED_VALUE"""),"BLUE")</f>
        <v>BLUE</v>
      </c>
      <c r="G4295" s="20" t="str">
        <f>IFERROR(__xludf.DUMMYFUNCTION("""COMPUTED_VALUE"""),"Uncle Sams Cider (04/04/2023)")</f>
        <v>Uncle Sams Cider (04/04/2023)</v>
      </c>
      <c r="H4295" s="19"/>
    </row>
    <row r="4296">
      <c r="A4296" s="9"/>
      <c r="B4296" s="15"/>
      <c r="C4296" s="9">
        <f>IFERROR(__xludf.DUMMYFUNCTION("""COMPUTED_VALUE"""),45099.626836412)</f>
        <v>45099.62684</v>
      </c>
      <c r="D4296" s="15">
        <f>IFERROR(__xludf.DUMMYFUNCTION("""COMPUTED_VALUE"""),1.001)</f>
        <v>1.001</v>
      </c>
      <c r="E4296" s="16">
        <f>IFERROR(__xludf.DUMMYFUNCTION("""COMPUTED_VALUE"""),68.0)</f>
        <v>68</v>
      </c>
      <c r="F4296" s="19" t="str">
        <f>IFERROR(__xludf.DUMMYFUNCTION("""COMPUTED_VALUE"""),"BLUE")</f>
        <v>BLUE</v>
      </c>
      <c r="G4296" s="20" t="str">
        <f>IFERROR(__xludf.DUMMYFUNCTION("""COMPUTED_VALUE"""),"Uncle Sams Cider (04/04/2023)")</f>
        <v>Uncle Sams Cider (04/04/2023)</v>
      </c>
      <c r="H4296" s="19"/>
    </row>
    <row r="4297">
      <c r="A4297" s="9"/>
      <c r="B4297" s="15"/>
      <c r="C4297" s="9">
        <f>IFERROR(__xludf.DUMMYFUNCTION("""COMPUTED_VALUE"""),45099.6164157407)</f>
        <v>45099.61642</v>
      </c>
      <c r="D4297" s="15">
        <f>IFERROR(__xludf.DUMMYFUNCTION("""COMPUTED_VALUE"""),1.001)</f>
        <v>1.001</v>
      </c>
      <c r="E4297" s="16">
        <f>IFERROR(__xludf.DUMMYFUNCTION("""COMPUTED_VALUE"""),68.0)</f>
        <v>68</v>
      </c>
      <c r="F4297" s="19" t="str">
        <f>IFERROR(__xludf.DUMMYFUNCTION("""COMPUTED_VALUE"""),"BLUE")</f>
        <v>BLUE</v>
      </c>
      <c r="G4297" s="20" t="str">
        <f>IFERROR(__xludf.DUMMYFUNCTION("""COMPUTED_VALUE"""),"Uncle Sams Cider (04/04/2023)")</f>
        <v>Uncle Sams Cider (04/04/2023)</v>
      </c>
      <c r="H4297" s="19"/>
    </row>
    <row r="4298">
      <c r="A4298" s="9"/>
      <c r="B4298" s="15"/>
      <c r="C4298" s="9">
        <f>IFERROR(__xludf.DUMMYFUNCTION("""COMPUTED_VALUE"""),45099.6059819444)</f>
        <v>45099.60598</v>
      </c>
      <c r="D4298" s="15">
        <f>IFERROR(__xludf.DUMMYFUNCTION("""COMPUTED_VALUE"""),1.001)</f>
        <v>1.001</v>
      </c>
      <c r="E4298" s="16">
        <f>IFERROR(__xludf.DUMMYFUNCTION("""COMPUTED_VALUE"""),68.0)</f>
        <v>68</v>
      </c>
      <c r="F4298" s="19" t="str">
        <f>IFERROR(__xludf.DUMMYFUNCTION("""COMPUTED_VALUE"""),"BLUE")</f>
        <v>BLUE</v>
      </c>
      <c r="G4298" s="20" t="str">
        <f>IFERROR(__xludf.DUMMYFUNCTION("""COMPUTED_VALUE"""),"Uncle Sams Cider (04/04/2023)")</f>
        <v>Uncle Sams Cider (04/04/2023)</v>
      </c>
      <c r="H4298" s="19"/>
    </row>
    <row r="4299">
      <c r="A4299" s="9"/>
      <c r="B4299" s="15"/>
      <c r="C4299" s="9">
        <f>IFERROR(__xludf.DUMMYFUNCTION("""COMPUTED_VALUE"""),45099.5955616666)</f>
        <v>45099.59556</v>
      </c>
      <c r="D4299" s="15">
        <f>IFERROR(__xludf.DUMMYFUNCTION("""COMPUTED_VALUE"""),1.001)</f>
        <v>1.001</v>
      </c>
      <c r="E4299" s="16">
        <f>IFERROR(__xludf.DUMMYFUNCTION("""COMPUTED_VALUE"""),68.0)</f>
        <v>68</v>
      </c>
      <c r="F4299" s="19" t="str">
        <f>IFERROR(__xludf.DUMMYFUNCTION("""COMPUTED_VALUE"""),"BLUE")</f>
        <v>BLUE</v>
      </c>
      <c r="G4299" s="20" t="str">
        <f>IFERROR(__xludf.DUMMYFUNCTION("""COMPUTED_VALUE"""),"Uncle Sams Cider (04/04/2023)")</f>
        <v>Uncle Sams Cider (04/04/2023)</v>
      </c>
      <c r="H4299" s="19"/>
    </row>
    <row r="4300">
      <c r="A4300" s="9"/>
      <c r="B4300" s="15"/>
      <c r="C4300" s="9">
        <f>IFERROR(__xludf.DUMMYFUNCTION("""COMPUTED_VALUE"""),45099.5851418171)</f>
        <v>45099.58514</v>
      </c>
      <c r="D4300" s="15">
        <f>IFERROR(__xludf.DUMMYFUNCTION("""COMPUTED_VALUE"""),1.001)</f>
        <v>1.001</v>
      </c>
      <c r="E4300" s="16">
        <f>IFERROR(__xludf.DUMMYFUNCTION("""COMPUTED_VALUE"""),68.0)</f>
        <v>68</v>
      </c>
      <c r="F4300" s="19" t="str">
        <f>IFERROR(__xludf.DUMMYFUNCTION("""COMPUTED_VALUE"""),"BLUE")</f>
        <v>BLUE</v>
      </c>
      <c r="G4300" s="20" t="str">
        <f>IFERROR(__xludf.DUMMYFUNCTION("""COMPUTED_VALUE"""),"Uncle Sams Cider (04/04/2023)")</f>
        <v>Uncle Sams Cider (04/04/2023)</v>
      </c>
      <c r="H4300" s="19"/>
    </row>
    <row r="4301">
      <c r="A4301" s="9"/>
      <c r="B4301" s="15"/>
      <c r="C4301" s="9">
        <f>IFERROR(__xludf.DUMMYFUNCTION("""COMPUTED_VALUE"""),45099.5747088773)</f>
        <v>45099.57471</v>
      </c>
      <c r="D4301" s="15">
        <f>IFERROR(__xludf.DUMMYFUNCTION("""COMPUTED_VALUE"""),1.001)</f>
        <v>1.001</v>
      </c>
      <c r="E4301" s="16">
        <f>IFERROR(__xludf.DUMMYFUNCTION("""COMPUTED_VALUE"""),68.0)</f>
        <v>68</v>
      </c>
      <c r="F4301" s="19" t="str">
        <f>IFERROR(__xludf.DUMMYFUNCTION("""COMPUTED_VALUE"""),"BLUE")</f>
        <v>BLUE</v>
      </c>
      <c r="G4301" s="20" t="str">
        <f>IFERROR(__xludf.DUMMYFUNCTION("""COMPUTED_VALUE"""),"Uncle Sams Cider (04/04/2023)")</f>
        <v>Uncle Sams Cider (04/04/2023)</v>
      </c>
      <c r="H4301" s="19"/>
    </row>
    <row r="4302">
      <c r="A4302" s="9"/>
      <c r="B4302" s="15"/>
      <c r="C4302" s="9">
        <f>IFERROR(__xludf.DUMMYFUNCTION("""COMPUTED_VALUE"""),45099.5642897569)</f>
        <v>45099.56429</v>
      </c>
      <c r="D4302" s="15">
        <f>IFERROR(__xludf.DUMMYFUNCTION("""COMPUTED_VALUE"""),1.001)</f>
        <v>1.001</v>
      </c>
      <c r="E4302" s="16">
        <f>IFERROR(__xludf.DUMMYFUNCTION("""COMPUTED_VALUE"""),68.0)</f>
        <v>68</v>
      </c>
      <c r="F4302" s="19" t="str">
        <f>IFERROR(__xludf.DUMMYFUNCTION("""COMPUTED_VALUE"""),"BLUE")</f>
        <v>BLUE</v>
      </c>
      <c r="G4302" s="20" t="str">
        <f>IFERROR(__xludf.DUMMYFUNCTION("""COMPUTED_VALUE"""),"Uncle Sams Cider (04/04/2023)")</f>
        <v>Uncle Sams Cider (04/04/2023)</v>
      </c>
      <c r="H4302" s="19"/>
    </row>
    <row r="4303">
      <c r="A4303" s="9"/>
      <c r="B4303" s="15"/>
      <c r="C4303" s="9">
        <f>IFERROR(__xludf.DUMMYFUNCTION("""COMPUTED_VALUE"""),45099.5538691782)</f>
        <v>45099.55387</v>
      </c>
      <c r="D4303" s="15">
        <f>IFERROR(__xludf.DUMMYFUNCTION("""COMPUTED_VALUE"""),1.001)</f>
        <v>1.001</v>
      </c>
      <c r="E4303" s="16">
        <f>IFERROR(__xludf.DUMMYFUNCTION("""COMPUTED_VALUE"""),68.0)</f>
        <v>68</v>
      </c>
      <c r="F4303" s="19" t="str">
        <f>IFERROR(__xludf.DUMMYFUNCTION("""COMPUTED_VALUE"""),"BLUE")</f>
        <v>BLUE</v>
      </c>
      <c r="G4303" s="20" t="str">
        <f>IFERROR(__xludf.DUMMYFUNCTION("""COMPUTED_VALUE"""),"Uncle Sams Cider (04/04/2023)")</f>
        <v>Uncle Sams Cider (04/04/2023)</v>
      </c>
      <c r="H4303" s="19"/>
    </row>
    <row r="4304">
      <c r="A4304" s="9"/>
      <c r="B4304" s="15"/>
      <c r="C4304" s="9">
        <f>IFERROR(__xludf.DUMMYFUNCTION("""COMPUTED_VALUE"""),45099.5434472453)</f>
        <v>45099.54345</v>
      </c>
      <c r="D4304" s="15">
        <f>IFERROR(__xludf.DUMMYFUNCTION("""COMPUTED_VALUE"""),1.001)</f>
        <v>1.001</v>
      </c>
      <c r="E4304" s="16">
        <f>IFERROR(__xludf.DUMMYFUNCTION("""COMPUTED_VALUE"""),68.0)</f>
        <v>68</v>
      </c>
      <c r="F4304" s="19" t="str">
        <f>IFERROR(__xludf.DUMMYFUNCTION("""COMPUTED_VALUE"""),"BLUE")</f>
        <v>BLUE</v>
      </c>
      <c r="G4304" s="20" t="str">
        <f>IFERROR(__xludf.DUMMYFUNCTION("""COMPUTED_VALUE"""),"Uncle Sams Cider (04/04/2023)")</f>
        <v>Uncle Sams Cider (04/04/2023)</v>
      </c>
      <c r="H4304" s="19"/>
    </row>
    <row r="4305">
      <c r="A4305" s="9"/>
      <c r="B4305" s="15"/>
      <c r="C4305" s="9">
        <f>IFERROR(__xludf.DUMMYFUNCTION("""COMPUTED_VALUE"""),45099.5330125347)</f>
        <v>45099.53301</v>
      </c>
      <c r="D4305" s="15">
        <f>IFERROR(__xludf.DUMMYFUNCTION("""COMPUTED_VALUE"""),1.001)</f>
        <v>1.001</v>
      </c>
      <c r="E4305" s="16">
        <f>IFERROR(__xludf.DUMMYFUNCTION("""COMPUTED_VALUE"""),68.0)</f>
        <v>68</v>
      </c>
      <c r="F4305" s="19" t="str">
        <f>IFERROR(__xludf.DUMMYFUNCTION("""COMPUTED_VALUE"""),"BLUE")</f>
        <v>BLUE</v>
      </c>
      <c r="G4305" s="20" t="str">
        <f>IFERROR(__xludf.DUMMYFUNCTION("""COMPUTED_VALUE"""),"Uncle Sams Cider (04/04/2023)")</f>
        <v>Uncle Sams Cider (04/04/2023)</v>
      </c>
      <c r="H4305" s="19"/>
    </row>
    <row r="4306">
      <c r="A4306" s="9"/>
      <c r="B4306" s="15"/>
      <c r="C4306" s="9">
        <f>IFERROR(__xludf.DUMMYFUNCTION("""COMPUTED_VALUE"""),45099.5225934259)</f>
        <v>45099.52259</v>
      </c>
      <c r="D4306" s="15">
        <f>IFERROR(__xludf.DUMMYFUNCTION("""COMPUTED_VALUE"""),1.001)</f>
        <v>1.001</v>
      </c>
      <c r="E4306" s="16">
        <f>IFERROR(__xludf.DUMMYFUNCTION("""COMPUTED_VALUE"""),68.0)</f>
        <v>68</v>
      </c>
      <c r="F4306" s="19" t="str">
        <f>IFERROR(__xludf.DUMMYFUNCTION("""COMPUTED_VALUE"""),"BLUE")</f>
        <v>BLUE</v>
      </c>
      <c r="G4306" s="20" t="str">
        <f>IFERROR(__xludf.DUMMYFUNCTION("""COMPUTED_VALUE"""),"Uncle Sams Cider (04/04/2023)")</f>
        <v>Uncle Sams Cider (04/04/2023)</v>
      </c>
      <c r="H4306" s="19"/>
    </row>
    <row r="4307">
      <c r="A4307" s="9"/>
      <c r="B4307" s="15"/>
      <c r="C4307" s="9">
        <f>IFERROR(__xludf.DUMMYFUNCTION("""COMPUTED_VALUE"""),45099.5121716666)</f>
        <v>45099.51217</v>
      </c>
      <c r="D4307" s="15">
        <f>IFERROR(__xludf.DUMMYFUNCTION("""COMPUTED_VALUE"""),1.001)</f>
        <v>1.001</v>
      </c>
      <c r="E4307" s="16">
        <f>IFERROR(__xludf.DUMMYFUNCTION("""COMPUTED_VALUE"""),68.0)</f>
        <v>68</v>
      </c>
      <c r="F4307" s="19" t="str">
        <f>IFERROR(__xludf.DUMMYFUNCTION("""COMPUTED_VALUE"""),"BLUE")</f>
        <v>BLUE</v>
      </c>
      <c r="G4307" s="20" t="str">
        <f>IFERROR(__xludf.DUMMYFUNCTION("""COMPUTED_VALUE"""),"Uncle Sams Cider (04/04/2023)")</f>
        <v>Uncle Sams Cider (04/04/2023)</v>
      </c>
      <c r="H4307" s="19"/>
    </row>
    <row r="4308">
      <c r="A4308" s="9"/>
      <c r="B4308" s="15"/>
      <c r="C4308" s="9">
        <f>IFERROR(__xludf.DUMMYFUNCTION("""COMPUTED_VALUE"""),45099.5017509953)</f>
        <v>45099.50175</v>
      </c>
      <c r="D4308" s="15">
        <f>IFERROR(__xludf.DUMMYFUNCTION("""COMPUTED_VALUE"""),1.001)</f>
        <v>1.001</v>
      </c>
      <c r="E4308" s="16">
        <f>IFERROR(__xludf.DUMMYFUNCTION("""COMPUTED_VALUE"""),68.0)</f>
        <v>68</v>
      </c>
      <c r="F4308" s="19" t="str">
        <f>IFERROR(__xludf.DUMMYFUNCTION("""COMPUTED_VALUE"""),"BLUE")</f>
        <v>BLUE</v>
      </c>
      <c r="G4308" s="20" t="str">
        <f>IFERROR(__xludf.DUMMYFUNCTION("""COMPUTED_VALUE"""),"Uncle Sams Cider (04/04/2023)")</f>
        <v>Uncle Sams Cider (04/04/2023)</v>
      </c>
      <c r="H4308" s="19"/>
    </row>
    <row r="4309">
      <c r="A4309" s="9"/>
      <c r="B4309" s="15"/>
      <c r="C4309" s="9">
        <f>IFERROR(__xludf.DUMMYFUNCTION("""COMPUTED_VALUE"""),45099.4913289583)</f>
        <v>45099.49133</v>
      </c>
      <c r="D4309" s="15">
        <f>IFERROR(__xludf.DUMMYFUNCTION("""COMPUTED_VALUE"""),1.001)</f>
        <v>1.001</v>
      </c>
      <c r="E4309" s="16">
        <f>IFERROR(__xludf.DUMMYFUNCTION("""COMPUTED_VALUE"""),68.0)</f>
        <v>68</v>
      </c>
      <c r="F4309" s="19" t="str">
        <f>IFERROR(__xludf.DUMMYFUNCTION("""COMPUTED_VALUE"""),"BLUE")</f>
        <v>BLUE</v>
      </c>
      <c r="G4309" s="20" t="str">
        <f>IFERROR(__xludf.DUMMYFUNCTION("""COMPUTED_VALUE"""),"Uncle Sams Cider (04/04/2023)")</f>
        <v>Uncle Sams Cider (04/04/2023)</v>
      </c>
      <c r="H4309" s="19"/>
    </row>
    <row r="4310">
      <c r="A4310" s="9"/>
      <c r="B4310" s="15"/>
      <c r="C4310" s="9">
        <f>IFERROR(__xludf.DUMMYFUNCTION("""COMPUTED_VALUE"""),45099.4809078356)</f>
        <v>45099.48091</v>
      </c>
      <c r="D4310" s="15">
        <f>IFERROR(__xludf.DUMMYFUNCTION("""COMPUTED_VALUE"""),1.001)</f>
        <v>1.001</v>
      </c>
      <c r="E4310" s="16">
        <f>IFERROR(__xludf.DUMMYFUNCTION("""COMPUTED_VALUE"""),68.0)</f>
        <v>68</v>
      </c>
      <c r="F4310" s="19" t="str">
        <f>IFERROR(__xludf.DUMMYFUNCTION("""COMPUTED_VALUE"""),"BLUE")</f>
        <v>BLUE</v>
      </c>
      <c r="G4310" s="20" t="str">
        <f>IFERROR(__xludf.DUMMYFUNCTION("""COMPUTED_VALUE"""),"Uncle Sams Cider (04/04/2023)")</f>
        <v>Uncle Sams Cider (04/04/2023)</v>
      </c>
      <c r="H4310" s="19"/>
    </row>
    <row r="4311">
      <c r="A4311" s="9"/>
      <c r="B4311" s="15"/>
      <c r="C4311" s="9">
        <f>IFERROR(__xludf.DUMMYFUNCTION("""COMPUTED_VALUE"""),45099.470487118)</f>
        <v>45099.47049</v>
      </c>
      <c r="D4311" s="15">
        <f>IFERROR(__xludf.DUMMYFUNCTION("""COMPUTED_VALUE"""),1.001)</f>
        <v>1.001</v>
      </c>
      <c r="E4311" s="16">
        <f>IFERROR(__xludf.DUMMYFUNCTION("""COMPUTED_VALUE"""),68.0)</f>
        <v>68</v>
      </c>
      <c r="F4311" s="19" t="str">
        <f>IFERROR(__xludf.DUMMYFUNCTION("""COMPUTED_VALUE"""),"BLUE")</f>
        <v>BLUE</v>
      </c>
      <c r="G4311" s="20" t="str">
        <f>IFERROR(__xludf.DUMMYFUNCTION("""COMPUTED_VALUE"""),"Uncle Sams Cider (04/04/2023)")</f>
        <v>Uncle Sams Cider (04/04/2023)</v>
      </c>
      <c r="H4311" s="19"/>
    </row>
    <row r="4312">
      <c r="A4312" s="9"/>
      <c r="B4312" s="15"/>
      <c r="C4312" s="9">
        <f>IFERROR(__xludf.DUMMYFUNCTION("""COMPUTED_VALUE"""),45099.4600655208)</f>
        <v>45099.46007</v>
      </c>
      <c r="D4312" s="15">
        <f>IFERROR(__xludf.DUMMYFUNCTION("""COMPUTED_VALUE"""),1.001)</f>
        <v>1.001</v>
      </c>
      <c r="E4312" s="16">
        <f>IFERROR(__xludf.DUMMYFUNCTION("""COMPUTED_VALUE"""),68.0)</f>
        <v>68</v>
      </c>
      <c r="F4312" s="19" t="str">
        <f>IFERROR(__xludf.DUMMYFUNCTION("""COMPUTED_VALUE"""),"BLUE")</f>
        <v>BLUE</v>
      </c>
      <c r="G4312" s="20" t="str">
        <f>IFERROR(__xludf.DUMMYFUNCTION("""COMPUTED_VALUE"""),"Uncle Sams Cider (04/04/2023)")</f>
        <v>Uncle Sams Cider (04/04/2023)</v>
      </c>
      <c r="H4312" s="19"/>
    </row>
    <row r="4313">
      <c r="A4313" s="9"/>
      <c r="B4313" s="15"/>
      <c r="C4313" s="9">
        <f>IFERROR(__xludf.DUMMYFUNCTION("""COMPUTED_VALUE"""),45099.4496447569)</f>
        <v>45099.44964</v>
      </c>
      <c r="D4313" s="15">
        <f>IFERROR(__xludf.DUMMYFUNCTION("""COMPUTED_VALUE"""),1.001)</f>
        <v>1.001</v>
      </c>
      <c r="E4313" s="16">
        <f>IFERROR(__xludf.DUMMYFUNCTION("""COMPUTED_VALUE"""),69.0)</f>
        <v>69</v>
      </c>
      <c r="F4313" s="19" t="str">
        <f>IFERROR(__xludf.DUMMYFUNCTION("""COMPUTED_VALUE"""),"BLUE")</f>
        <v>BLUE</v>
      </c>
      <c r="G4313" s="20" t="str">
        <f>IFERROR(__xludf.DUMMYFUNCTION("""COMPUTED_VALUE"""),"Uncle Sams Cider (04/04/2023)")</f>
        <v>Uncle Sams Cider (04/04/2023)</v>
      </c>
      <c r="H4313" s="19"/>
    </row>
    <row r="4314">
      <c r="A4314" s="9"/>
      <c r="B4314" s="15"/>
      <c r="C4314" s="9">
        <f>IFERROR(__xludf.DUMMYFUNCTION("""COMPUTED_VALUE"""),45099.4392232638)</f>
        <v>45099.43922</v>
      </c>
      <c r="D4314" s="15">
        <f>IFERROR(__xludf.DUMMYFUNCTION("""COMPUTED_VALUE"""),1.001)</f>
        <v>1.001</v>
      </c>
      <c r="E4314" s="16">
        <f>IFERROR(__xludf.DUMMYFUNCTION("""COMPUTED_VALUE"""),69.0)</f>
        <v>69</v>
      </c>
      <c r="F4314" s="19" t="str">
        <f>IFERROR(__xludf.DUMMYFUNCTION("""COMPUTED_VALUE"""),"BLUE")</f>
        <v>BLUE</v>
      </c>
      <c r="G4314" s="20" t="str">
        <f>IFERROR(__xludf.DUMMYFUNCTION("""COMPUTED_VALUE"""),"Uncle Sams Cider (04/04/2023)")</f>
        <v>Uncle Sams Cider (04/04/2023)</v>
      </c>
      <c r="H4314" s="19"/>
    </row>
    <row r="4315">
      <c r="A4315" s="9"/>
      <c r="B4315" s="15"/>
      <c r="C4315" s="9">
        <f>IFERROR(__xludf.DUMMYFUNCTION("""COMPUTED_VALUE"""),45099.4288010532)</f>
        <v>45099.4288</v>
      </c>
      <c r="D4315" s="15">
        <f>IFERROR(__xludf.DUMMYFUNCTION("""COMPUTED_VALUE"""),1.001)</f>
        <v>1.001</v>
      </c>
      <c r="E4315" s="16">
        <f>IFERROR(__xludf.DUMMYFUNCTION("""COMPUTED_VALUE"""),69.0)</f>
        <v>69</v>
      </c>
      <c r="F4315" s="19" t="str">
        <f>IFERROR(__xludf.DUMMYFUNCTION("""COMPUTED_VALUE"""),"BLUE")</f>
        <v>BLUE</v>
      </c>
      <c r="G4315" s="20" t="str">
        <f>IFERROR(__xludf.DUMMYFUNCTION("""COMPUTED_VALUE"""),"Uncle Sams Cider (04/04/2023)")</f>
        <v>Uncle Sams Cider (04/04/2023)</v>
      </c>
      <c r="H4315" s="19"/>
    </row>
    <row r="4316">
      <c r="A4316" s="9"/>
      <c r="B4316" s="15"/>
      <c r="C4316" s="9">
        <f>IFERROR(__xludf.DUMMYFUNCTION("""COMPUTED_VALUE"""),45099.4183810995)</f>
        <v>45099.41838</v>
      </c>
      <c r="D4316" s="15">
        <f>IFERROR(__xludf.DUMMYFUNCTION("""COMPUTED_VALUE"""),1.001)</f>
        <v>1.001</v>
      </c>
      <c r="E4316" s="16">
        <f>IFERROR(__xludf.DUMMYFUNCTION("""COMPUTED_VALUE"""),69.0)</f>
        <v>69</v>
      </c>
      <c r="F4316" s="19" t="str">
        <f>IFERROR(__xludf.DUMMYFUNCTION("""COMPUTED_VALUE"""),"BLUE")</f>
        <v>BLUE</v>
      </c>
      <c r="G4316" s="20" t="str">
        <f>IFERROR(__xludf.DUMMYFUNCTION("""COMPUTED_VALUE"""),"Uncle Sams Cider (04/04/2023)")</f>
        <v>Uncle Sams Cider (04/04/2023)</v>
      </c>
      <c r="H4316" s="19"/>
    </row>
    <row r="4317">
      <c r="A4317" s="9"/>
      <c r="B4317" s="15"/>
      <c r="C4317" s="9">
        <f>IFERROR(__xludf.DUMMYFUNCTION("""COMPUTED_VALUE"""),45099.4079588773)</f>
        <v>45099.40796</v>
      </c>
      <c r="D4317" s="15">
        <f>IFERROR(__xludf.DUMMYFUNCTION("""COMPUTED_VALUE"""),1.001)</f>
        <v>1.001</v>
      </c>
      <c r="E4317" s="16">
        <f>IFERROR(__xludf.DUMMYFUNCTION("""COMPUTED_VALUE"""),69.0)</f>
        <v>69</v>
      </c>
      <c r="F4317" s="19" t="str">
        <f>IFERROR(__xludf.DUMMYFUNCTION("""COMPUTED_VALUE"""),"BLUE")</f>
        <v>BLUE</v>
      </c>
      <c r="G4317" s="20" t="str">
        <f>IFERROR(__xludf.DUMMYFUNCTION("""COMPUTED_VALUE"""),"Uncle Sams Cider (04/04/2023)")</f>
        <v>Uncle Sams Cider (04/04/2023)</v>
      </c>
      <c r="H4317" s="19"/>
    </row>
    <row r="4318">
      <c r="A4318" s="9"/>
      <c r="B4318" s="15"/>
      <c r="C4318" s="9">
        <f>IFERROR(__xludf.DUMMYFUNCTION("""COMPUTED_VALUE"""),45099.397539074)</f>
        <v>45099.39754</v>
      </c>
      <c r="D4318" s="15">
        <f>IFERROR(__xludf.DUMMYFUNCTION("""COMPUTED_VALUE"""),1.001)</f>
        <v>1.001</v>
      </c>
      <c r="E4318" s="16">
        <f>IFERROR(__xludf.DUMMYFUNCTION("""COMPUTED_VALUE"""),69.0)</f>
        <v>69</v>
      </c>
      <c r="F4318" s="19" t="str">
        <f>IFERROR(__xludf.DUMMYFUNCTION("""COMPUTED_VALUE"""),"BLUE")</f>
        <v>BLUE</v>
      </c>
      <c r="G4318" s="20" t="str">
        <f>IFERROR(__xludf.DUMMYFUNCTION("""COMPUTED_VALUE"""),"Uncle Sams Cider (04/04/2023)")</f>
        <v>Uncle Sams Cider (04/04/2023)</v>
      </c>
      <c r="H4318" s="19"/>
    </row>
    <row r="4319">
      <c r="A4319" s="9"/>
      <c r="B4319" s="15"/>
      <c r="C4319" s="9">
        <f>IFERROR(__xludf.DUMMYFUNCTION("""COMPUTED_VALUE"""),45099.3871065509)</f>
        <v>45099.38711</v>
      </c>
      <c r="D4319" s="15">
        <f>IFERROR(__xludf.DUMMYFUNCTION("""COMPUTED_VALUE"""),1.001)</f>
        <v>1.001</v>
      </c>
      <c r="E4319" s="16">
        <f>IFERROR(__xludf.DUMMYFUNCTION("""COMPUTED_VALUE"""),69.0)</f>
        <v>69</v>
      </c>
      <c r="F4319" s="19" t="str">
        <f>IFERROR(__xludf.DUMMYFUNCTION("""COMPUTED_VALUE"""),"BLUE")</f>
        <v>BLUE</v>
      </c>
      <c r="G4319" s="20" t="str">
        <f>IFERROR(__xludf.DUMMYFUNCTION("""COMPUTED_VALUE"""),"Uncle Sams Cider (04/04/2023)")</f>
        <v>Uncle Sams Cider (04/04/2023)</v>
      </c>
      <c r="H4319" s="19"/>
    </row>
    <row r="4320">
      <c r="A4320" s="9"/>
      <c r="B4320" s="15"/>
      <c r="C4320" s="9">
        <f>IFERROR(__xludf.DUMMYFUNCTION("""COMPUTED_VALUE"""),45099.3766720833)</f>
        <v>45099.37667</v>
      </c>
      <c r="D4320" s="15">
        <f>IFERROR(__xludf.DUMMYFUNCTION("""COMPUTED_VALUE"""),1.001)</f>
        <v>1.001</v>
      </c>
      <c r="E4320" s="16">
        <f>IFERROR(__xludf.DUMMYFUNCTION("""COMPUTED_VALUE"""),69.0)</f>
        <v>69</v>
      </c>
      <c r="F4320" s="19" t="str">
        <f>IFERROR(__xludf.DUMMYFUNCTION("""COMPUTED_VALUE"""),"BLUE")</f>
        <v>BLUE</v>
      </c>
      <c r="G4320" s="20" t="str">
        <f>IFERROR(__xludf.DUMMYFUNCTION("""COMPUTED_VALUE"""),"Uncle Sams Cider (04/04/2023)")</f>
        <v>Uncle Sams Cider (04/04/2023)</v>
      </c>
      <c r="H4320" s="19"/>
    </row>
    <row r="4321">
      <c r="A4321" s="9"/>
      <c r="B4321" s="15"/>
      <c r="C4321" s="9">
        <f>IFERROR(__xludf.DUMMYFUNCTION("""COMPUTED_VALUE"""),45099.3662394444)</f>
        <v>45099.36624</v>
      </c>
      <c r="D4321" s="15">
        <f>IFERROR(__xludf.DUMMYFUNCTION("""COMPUTED_VALUE"""),1.001)</f>
        <v>1.001</v>
      </c>
      <c r="E4321" s="16">
        <f>IFERROR(__xludf.DUMMYFUNCTION("""COMPUTED_VALUE"""),69.0)</f>
        <v>69</v>
      </c>
      <c r="F4321" s="19" t="str">
        <f>IFERROR(__xludf.DUMMYFUNCTION("""COMPUTED_VALUE"""),"BLUE")</f>
        <v>BLUE</v>
      </c>
      <c r="G4321" s="20" t="str">
        <f>IFERROR(__xludf.DUMMYFUNCTION("""COMPUTED_VALUE"""),"Uncle Sams Cider (04/04/2023)")</f>
        <v>Uncle Sams Cider (04/04/2023)</v>
      </c>
      <c r="H4321" s="19"/>
    </row>
    <row r="4322">
      <c r="A4322" s="9"/>
      <c r="B4322" s="15"/>
      <c r="C4322" s="9">
        <f>IFERROR(__xludf.DUMMYFUNCTION("""COMPUTED_VALUE"""),45099.3558176504)</f>
        <v>45099.35582</v>
      </c>
      <c r="D4322" s="15">
        <f>IFERROR(__xludf.DUMMYFUNCTION("""COMPUTED_VALUE"""),1.001)</f>
        <v>1.001</v>
      </c>
      <c r="E4322" s="16">
        <f>IFERROR(__xludf.DUMMYFUNCTION("""COMPUTED_VALUE"""),69.0)</f>
        <v>69</v>
      </c>
      <c r="F4322" s="19" t="str">
        <f>IFERROR(__xludf.DUMMYFUNCTION("""COMPUTED_VALUE"""),"BLUE")</f>
        <v>BLUE</v>
      </c>
      <c r="G4322" s="20" t="str">
        <f>IFERROR(__xludf.DUMMYFUNCTION("""COMPUTED_VALUE"""),"Uncle Sams Cider (04/04/2023)")</f>
        <v>Uncle Sams Cider (04/04/2023)</v>
      </c>
      <c r="H4322" s="19"/>
    </row>
    <row r="4323">
      <c r="A4323" s="9"/>
      <c r="B4323" s="15"/>
      <c r="C4323" s="9">
        <f>IFERROR(__xludf.DUMMYFUNCTION("""COMPUTED_VALUE"""),45099.3453958449)</f>
        <v>45099.3454</v>
      </c>
      <c r="D4323" s="15">
        <f>IFERROR(__xludf.DUMMYFUNCTION("""COMPUTED_VALUE"""),1.001)</f>
        <v>1.001</v>
      </c>
      <c r="E4323" s="16">
        <f>IFERROR(__xludf.DUMMYFUNCTION("""COMPUTED_VALUE"""),69.0)</f>
        <v>69</v>
      </c>
      <c r="F4323" s="19" t="str">
        <f>IFERROR(__xludf.DUMMYFUNCTION("""COMPUTED_VALUE"""),"BLUE")</f>
        <v>BLUE</v>
      </c>
      <c r="G4323" s="20" t="str">
        <f>IFERROR(__xludf.DUMMYFUNCTION("""COMPUTED_VALUE"""),"Uncle Sams Cider (04/04/2023)")</f>
        <v>Uncle Sams Cider (04/04/2023)</v>
      </c>
      <c r="H4323" s="19"/>
    </row>
    <row r="4324">
      <c r="A4324" s="9"/>
      <c r="B4324" s="15"/>
      <c r="C4324" s="9">
        <f>IFERROR(__xludf.DUMMYFUNCTION("""COMPUTED_VALUE"""),45099.334975)</f>
        <v>45099.33498</v>
      </c>
      <c r="D4324" s="15">
        <f>IFERROR(__xludf.DUMMYFUNCTION("""COMPUTED_VALUE"""),1.001)</f>
        <v>1.001</v>
      </c>
      <c r="E4324" s="16">
        <f>IFERROR(__xludf.DUMMYFUNCTION("""COMPUTED_VALUE"""),69.0)</f>
        <v>69</v>
      </c>
      <c r="F4324" s="19" t="str">
        <f>IFERROR(__xludf.DUMMYFUNCTION("""COMPUTED_VALUE"""),"BLUE")</f>
        <v>BLUE</v>
      </c>
      <c r="G4324" s="20" t="str">
        <f>IFERROR(__xludf.DUMMYFUNCTION("""COMPUTED_VALUE"""),"Uncle Sams Cider (04/04/2023)")</f>
        <v>Uncle Sams Cider (04/04/2023)</v>
      </c>
      <c r="H4324" s="19"/>
    </row>
    <row r="4325">
      <c r="A4325" s="9"/>
      <c r="B4325" s="15"/>
      <c r="C4325" s="9">
        <f>IFERROR(__xludf.DUMMYFUNCTION("""COMPUTED_VALUE"""),45099.3245442476)</f>
        <v>45099.32454</v>
      </c>
      <c r="D4325" s="15">
        <f>IFERROR(__xludf.DUMMYFUNCTION("""COMPUTED_VALUE"""),1.001)</f>
        <v>1.001</v>
      </c>
      <c r="E4325" s="16">
        <f>IFERROR(__xludf.DUMMYFUNCTION("""COMPUTED_VALUE"""),69.0)</f>
        <v>69</v>
      </c>
      <c r="F4325" s="19" t="str">
        <f>IFERROR(__xludf.DUMMYFUNCTION("""COMPUTED_VALUE"""),"BLUE")</f>
        <v>BLUE</v>
      </c>
      <c r="G4325" s="20" t="str">
        <f>IFERROR(__xludf.DUMMYFUNCTION("""COMPUTED_VALUE"""),"Uncle Sams Cider (04/04/2023)")</f>
        <v>Uncle Sams Cider (04/04/2023)</v>
      </c>
      <c r="H4325" s="19"/>
    </row>
    <row r="4326">
      <c r="A4326" s="9"/>
      <c r="B4326" s="15"/>
      <c r="C4326" s="9">
        <f>IFERROR(__xludf.DUMMYFUNCTION("""COMPUTED_VALUE"""),45099.3141213773)</f>
        <v>45099.31412</v>
      </c>
      <c r="D4326" s="15">
        <f>IFERROR(__xludf.DUMMYFUNCTION("""COMPUTED_VALUE"""),1.001)</f>
        <v>1.001</v>
      </c>
      <c r="E4326" s="16">
        <f>IFERROR(__xludf.DUMMYFUNCTION("""COMPUTED_VALUE"""),69.0)</f>
        <v>69</v>
      </c>
      <c r="F4326" s="19" t="str">
        <f>IFERROR(__xludf.DUMMYFUNCTION("""COMPUTED_VALUE"""),"BLUE")</f>
        <v>BLUE</v>
      </c>
      <c r="G4326" s="20" t="str">
        <f>IFERROR(__xludf.DUMMYFUNCTION("""COMPUTED_VALUE"""),"Uncle Sams Cider (04/04/2023)")</f>
        <v>Uncle Sams Cider (04/04/2023)</v>
      </c>
      <c r="H4326" s="19"/>
    </row>
    <row r="4327">
      <c r="A4327" s="9"/>
      <c r="B4327" s="15"/>
      <c r="C4327" s="9">
        <f>IFERROR(__xludf.DUMMYFUNCTION("""COMPUTED_VALUE"""),45099.3037002199)</f>
        <v>45099.3037</v>
      </c>
      <c r="D4327" s="15">
        <f>IFERROR(__xludf.DUMMYFUNCTION("""COMPUTED_VALUE"""),1.001)</f>
        <v>1.001</v>
      </c>
      <c r="E4327" s="16">
        <f>IFERROR(__xludf.DUMMYFUNCTION("""COMPUTED_VALUE"""),69.0)</f>
        <v>69</v>
      </c>
      <c r="F4327" s="19" t="str">
        <f>IFERROR(__xludf.DUMMYFUNCTION("""COMPUTED_VALUE"""),"BLUE")</f>
        <v>BLUE</v>
      </c>
      <c r="G4327" s="20" t="str">
        <f>IFERROR(__xludf.DUMMYFUNCTION("""COMPUTED_VALUE"""),"Uncle Sams Cider (04/04/2023)")</f>
        <v>Uncle Sams Cider (04/04/2023)</v>
      </c>
      <c r="H4327" s="19"/>
    </row>
    <row r="4328">
      <c r="A4328" s="9"/>
      <c r="B4328" s="15"/>
      <c r="C4328" s="9">
        <f>IFERROR(__xludf.DUMMYFUNCTION("""COMPUTED_VALUE"""),45099.2932804166)</f>
        <v>45099.29328</v>
      </c>
      <c r="D4328" s="15">
        <f>IFERROR(__xludf.DUMMYFUNCTION("""COMPUTED_VALUE"""),1.001)</f>
        <v>1.001</v>
      </c>
      <c r="E4328" s="16">
        <f>IFERROR(__xludf.DUMMYFUNCTION("""COMPUTED_VALUE"""),69.0)</f>
        <v>69</v>
      </c>
      <c r="F4328" s="19" t="str">
        <f>IFERROR(__xludf.DUMMYFUNCTION("""COMPUTED_VALUE"""),"BLUE")</f>
        <v>BLUE</v>
      </c>
      <c r="G4328" s="20" t="str">
        <f>IFERROR(__xludf.DUMMYFUNCTION("""COMPUTED_VALUE"""),"Uncle Sams Cider (04/04/2023)")</f>
        <v>Uncle Sams Cider (04/04/2023)</v>
      </c>
      <c r="H4328" s="19"/>
    </row>
    <row r="4329">
      <c r="A4329" s="9"/>
      <c r="B4329" s="15"/>
      <c r="C4329" s="9">
        <f>IFERROR(__xludf.DUMMYFUNCTION("""COMPUTED_VALUE"""),45099.2828465393)</f>
        <v>45099.28285</v>
      </c>
      <c r="D4329" s="15">
        <f>IFERROR(__xludf.DUMMYFUNCTION("""COMPUTED_VALUE"""),1.001)</f>
        <v>1.001</v>
      </c>
      <c r="E4329" s="16">
        <f>IFERROR(__xludf.DUMMYFUNCTION("""COMPUTED_VALUE"""),69.0)</f>
        <v>69</v>
      </c>
      <c r="F4329" s="19" t="str">
        <f>IFERROR(__xludf.DUMMYFUNCTION("""COMPUTED_VALUE"""),"BLUE")</f>
        <v>BLUE</v>
      </c>
      <c r="G4329" s="20" t="str">
        <f>IFERROR(__xludf.DUMMYFUNCTION("""COMPUTED_VALUE"""),"Uncle Sams Cider (04/04/2023)")</f>
        <v>Uncle Sams Cider (04/04/2023)</v>
      </c>
      <c r="H4329" s="19"/>
    </row>
    <row r="4330">
      <c r="A4330" s="9"/>
      <c r="B4330" s="15"/>
      <c r="C4330" s="9">
        <f>IFERROR(__xludf.DUMMYFUNCTION("""COMPUTED_VALUE"""),45099.2724255324)</f>
        <v>45099.27243</v>
      </c>
      <c r="D4330" s="15">
        <f>IFERROR(__xludf.DUMMYFUNCTION("""COMPUTED_VALUE"""),1.001)</f>
        <v>1.001</v>
      </c>
      <c r="E4330" s="16">
        <f>IFERROR(__xludf.DUMMYFUNCTION("""COMPUTED_VALUE"""),69.0)</f>
        <v>69</v>
      </c>
      <c r="F4330" s="19" t="str">
        <f>IFERROR(__xludf.DUMMYFUNCTION("""COMPUTED_VALUE"""),"BLUE")</f>
        <v>BLUE</v>
      </c>
      <c r="G4330" s="20" t="str">
        <f>IFERROR(__xludf.DUMMYFUNCTION("""COMPUTED_VALUE"""),"Uncle Sams Cider (04/04/2023)")</f>
        <v>Uncle Sams Cider (04/04/2023)</v>
      </c>
      <c r="H4330" s="19"/>
    </row>
    <row r="4331">
      <c r="A4331" s="9"/>
      <c r="B4331" s="15"/>
      <c r="C4331" s="9">
        <f>IFERROR(__xludf.DUMMYFUNCTION("""COMPUTED_VALUE"""),45099.2620041898)</f>
        <v>45099.262</v>
      </c>
      <c r="D4331" s="15">
        <f>IFERROR(__xludf.DUMMYFUNCTION("""COMPUTED_VALUE"""),1.001)</f>
        <v>1.001</v>
      </c>
      <c r="E4331" s="16">
        <f>IFERROR(__xludf.DUMMYFUNCTION("""COMPUTED_VALUE"""),69.0)</f>
        <v>69</v>
      </c>
      <c r="F4331" s="19" t="str">
        <f>IFERROR(__xludf.DUMMYFUNCTION("""COMPUTED_VALUE"""),"BLUE")</f>
        <v>BLUE</v>
      </c>
      <c r="G4331" s="20" t="str">
        <f>IFERROR(__xludf.DUMMYFUNCTION("""COMPUTED_VALUE"""),"Uncle Sams Cider (04/04/2023)")</f>
        <v>Uncle Sams Cider (04/04/2023)</v>
      </c>
      <c r="H4331" s="19"/>
    </row>
    <row r="4332">
      <c r="A4332" s="9"/>
      <c r="B4332" s="15"/>
      <c r="C4332" s="9">
        <f>IFERROR(__xludf.DUMMYFUNCTION("""COMPUTED_VALUE"""),45099.2515833564)</f>
        <v>45099.25158</v>
      </c>
      <c r="D4332" s="15">
        <f>IFERROR(__xludf.DUMMYFUNCTION("""COMPUTED_VALUE"""),1.001)</f>
        <v>1.001</v>
      </c>
      <c r="E4332" s="16">
        <f>IFERROR(__xludf.DUMMYFUNCTION("""COMPUTED_VALUE"""),69.0)</f>
        <v>69</v>
      </c>
      <c r="F4332" s="19" t="str">
        <f>IFERROR(__xludf.DUMMYFUNCTION("""COMPUTED_VALUE"""),"BLUE")</f>
        <v>BLUE</v>
      </c>
      <c r="G4332" s="20" t="str">
        <f>IFERROR(__xludf.DUMMYFUNCTION("""COMPUTED_VALUE"""),"Uncle Sams Cider (04/04/2023)")</f>
        <v>Uncle Sams Cider (04/04/2023)</v>
      </c>
      <c r="H4332" s="19"/>
    </row>
    <row r="4333">
      <c r="A4333" s="9"/>
      <c r="B4333" s="15"/>
      <c r="C4333" s="9">
        <f>IFERROR(__xludf.DUMMYFUNCTION("""COMPUTED_VALUE"""),45099.2411500463)</f>
        <v>45099.24115</v>
      </c>
      <c r="D4333" s="15">
        <f>IFERROR(__xludf.DUMMYFUNCTION("""COMPUTED_VALUE"""),1.001)</f>
        <v>1.001</v>
      </c>
      <c r="E4333" s="16">
        <f>IFERROR(__xludf.DUMMYFUNCTION("""COMPUTED_VALUE"""),69.0)</f>
        <v>69</v>
      </c>
      <c r="F4333" s="19" t="str">
        <f>IFERROR(__xludf.DUMMYFUNCTION("""COMPUTED_VALUE"""),"BLUE")</f>
        <v>BLUE</v>
      </c>
      <c r="G4333" s="20" t="str">
        <f>IFERROR(__xludf.DUMMYFUNCTION("""COMPUTED_VALUE"""),"Uncle Sams Cider (04/04/2023)")</f>
        <v>Uncle Sams Cider (04/04/2023)</v>
      </c>
      <c r="H4333" s="19"/>
    </row>
    <row r="4334">
      <c r="A4334" s="9"/>
      <c r="B4334" s="15"/>
      <c r="C4334" s="9">
        <f>IFERROR(__xludf.DUMMYFUNCTION("""COMPUTED_VALUE"""),45099.2307291319)</f>
        <v>45099.23073</v>
      </c>
      <c r="D4334" s="15">
        <f>IFERROR(__xludf.DUMMYFUNCTION("""COMPUTED_VALUE"""),1.001)</f>
        <v>1.001</v>
      </c>
      <c r="E4334" s="16">
        <f>IFERROR(__xludf.DUMMYFUNCTION("""COMPUTED_VALUE"""),69.0)</f>
        <v>69</v>
      </c>
      <c r="F4334" s="19" t="str">
        <f>IFERROR(__xludf.DUMMYFUNCTION("""COMPUTED_VALUE"""),"BLUE")</f>
        <v>BLUE</v>
      </c>
      <c r="G4334" s="20" t="str">
        <f>IFERROR(__xludf.DUMMYFUNCTION("""COMPUTED_VALUE"""),"Uncle Sams Cider (04/04/2023)")</f>
        <v>Uncle Sams Cider (04/04/2023)</v>
      </c>
      <c r="H4334" s="19"/>
    </row>
    <row r="4335">
      <c r="A4335" s="9"/>
      <c r="B4335" s="15"/>
      <c r="C4335" s="9">
        <f>IFERROR(__xludf.DUMMYFUNCTION("""COMPUTED_VALUE"""),45099.2202954745)</f>
        <v>45099.2203</v>
      </c>
      <c r="D4335" s="15">
        <f>IFERROR(__xludf.DUMMYFUNCTION("""COMPUTED_VALUE"""),1.001)</f>
        <v>1.001</v>
      </c>
      <c r="E4335" s="16">
        <f>IFERROR(__xludf.DUMMYFUNCTION("""COMPUTED_VALUE"""),69.0)</f>
        <v>69</v>
      </c>
      <c r="F4335" s="19" t="str">
        <f>IFERROR(__xludf.DUMMYFUNCTION("""COMPUTED_VALUE"""),"BLUE")</f>
        <v>BLUE</v>
      </c>
      <c r="G4335" s="20" t="str">
        <f>IFERROR(__xludf.DUMMYFUNCTION("""COMPUTED_VALUE"""),"Uncle Sams Cider (04/04/2023)")</f>
        <v>Uncle Sams Cider (04/04/2023)</v>
      </c>
      <c r="H4335" s="19"/>
    </row>
    <row r="4336">
      <c r="A4336" s="9"/>
      <c r="B4336" s="15"/>
      <c r="C4336" s="9">
        <f>IFERROR(__xludf.DUMMYFUNCTION("""COMPUTED_VALUE"""),45099.2098643171)</f>
        <v>45099.20986</v>
      </c>
      <c r="D4336" s="15">
        <f>IFERROR(__xludf.DUMMYFUNCTION("""COMPUTED_VALUE"""),1.001)</f>
        <v>1.001</v>
      </c>
      <c r="E4336" s="16">
        <f>IFERROR(__xludf.DUMMYFUNCTION("""COMPUTED_VALUE"""),69.0)</f>
        <v>69</v>
      </c>
      <c r="F4336" s="19" t="str">
        <f>IFERROR(__xludf.DUMMYFUNCTION("""COMPUTED_VALUE"""),"BLUE")</f>
        <v>BLUE</v>
      </c>
      <c r="G4336" s="20" t="str">
        <f>IFERROR(__xludf.DUMMYFUNCTION("""COMPUTED_VALUE"""),"Uncle Sams Cider (04/04/2023)")</f>
        <v>Uncle Sams Cider (04/04/2023)</v>
      </c>
      <c r="H4336" s="19"/>
    </row>
    <row r="4337">
      <c r="A4337" s="9"/>
      <c r="B4337" s="15"/>
      <c r="C4337" s="9">
        <f>IFERROR(__xludf.DUMMYFUNCTION("""COMPUTED_VALUE"""),45099.1994431365)</f>
        <v>45099.19944</v>
      </c>
      <c r="D4337" s="15">
        <f>IFERROR(__xludf.DUMMYFUNCTION("""COMPUTED_VALUE"""),1.001)</f>
        <v>1.001</v>
      </c>
      <c r="E4337" s="16">
        <f>IFERROR(__xludf.DUMMYFUNCTION("""COMPUTED_VALUE"""),69.0)</f>
        <v>69</v>
      </c>
      <c r="F4337" s="19" t="str">
        <f>IFERROR(__xludf.DUMMYFUNCTION("""COMPUTED_VALUE"""),"BLUE")</f>
        <v>BLUE</v>
      </c>
      <c r="G4337" s="20" t="str">
        <f>IFERROR(__xludf.DUMMYFUNCTION("""COMPUTED_VALUE"""),"Uncle Sams Cider (04/04/2023)")</f>
        <v>Uncle Sams Cider (04/04/2023)</v>
      </c>
      <c r="H4337" s="19"/>
    </row>
    <row r="4338">
      <c r="A4338" s="9"/>
      <c r="B4338" s="15"/>
      <c r="C4338" s="9">
        <f>IFERROR(__xludf.DUMMYFUNCTION("""COMPUTED_VALUE"""),45099.1890215972)</f>
        <v>45099.18902</v>
      </c>
      <c r="D4338" s="15">
        <f>IFERROR(__xludf.DUMMYFUNCTION("""COMPUTED_VALUE"""),1.001)</f>
        <v>1.001</v>
      </c>
      <c r="E4338" s="16">
        <f>IFERROR(__xludf.DUMMYFUNCTION("""COMPUTED_VALUE"""),69.0)</f>
        <v>69</v>
      </c>
      <c r="F4338" s="19" t="str">
        <f>IFERROR(__xludf.DUMMYFUNCTION("""COMPUTED_VALUE"""),"BLUE")</f>
        <v>BLUE</v>
      </c>
      <c r="G4338" s="20" t="str">
        <f>IFERROR(__xludf.DUMMYFUNCTION("""COMPUTED_VALUE"""),"Uncle Sams Cider (04/04/2023)")</f>
        <v>Uncle Sams Cider (04/04/2023)</v>
      </c>
      <c r="H4338" s="19"/>
    </row>
    <row r="4339">
      <c r="A4339" s="9"/>
      <c r="B4339" s="15"/>
      <c r="C4339" s="9">
        <f>IFERROR(__xludf.DUMMYFUNCTION("""COMPUTED_VALUE"""),45099.178599537)</f>
        <v>45099.1786</v>
      </c>
      <c r="D4339" s="15">
        <f>IFERROR(__xludf.DUMMYFUNCTION("""COMPUTED_VALUE"""),1.001)</f>
        <v>1.001</v>
      </c>
      <c r="E4339" s="16">
        <f>IFERROR(__xludf.DUMMYFUNCTION("""COMPUTED_VALUE"""),69.0)</f>
        <v>69</v>
      </c>
      <c r="F4339" s="19" t="str">
        <f>IFERROR(__xludf.DUMMYFUNCTION("""COMPUTED_VALUE"""),"BLUE")</f>
        <v>BLUE</v>
      </c>
      <c r="G4339" s="20" t="str">
        <f>IFERROR(__xludf.DUMMYFUNCTION("""COMPUTED_VALUE"""),"Uncle Sams Cider (04/04/2023)")</f>
        <v>Uncle Sams Cider (04/04/2023)</v>
      </c>
      <c r="H4339" s="19"/>
    </row>
    <row r="4340">
      <c r="A4340" s="9"/>
      <c r="B4340" s="15"/>
      <c r="C4340" s="9">
        <f>IFERROR(__xludf.DUMMYFUNCTION("""COMPUTED_VALUE"""),45099.1681669097)</f>
        <v>45099.16817</v>
      </c>
      <c r="D4340" s="15">
        <f>IFERROR(__xludf.DUMMYFUNCTION("""COMPUTED_VALUE"""),1.001)</f>
        <v>1.001</v>
      </c>
      <c r="E4340" s="16">
        <f>IFERROR(__xludf.DUMMYFUNCTION("""COMPUTED_VALUE"""),69.0)</f>
        <v>69</v>
      </c>
      <c r="F4340" s="19" t="str">
        <f>IFERROR(__xludf.DUMMYFUNCTION("""COMPUTED_VALUE"""),"BLUE")</f>
        <v>BLUE</v>
      </c>
      <c r="G4340" s="20" t="str">
        <f>IFERROR(__xludf.DUMMYFUNCTION("""COMPUTED_VALUE"""),"Uncle Sams Cider (04/04/2023)")</f>
        <v>Uncle Sams Cider (04/04/2023)</v>
      </c>
      <c r="H4340" s="19"/>
    </row>
    <row r="4341">
      <c r="A4341" s="9"/>
      <c r="B4341" s="15"/>
      <c r="C4341" s="9">
        <f>IFERROR(__xludf.DUMMYFUNCTION("""COMPUTED_VALUE"""),45099.1577470717)</f>
        <v>45099.15775</v>
      </c>
      <c r="D4341" s="15">
        <f>IFERROR(__xludf.DUMMYFUNCTION("""COMPUTED_VALUE"""),1.001)</f>
        <v>1.001</v>
      </c>
      <c r="E4341" s="16">
        <f>IFERROR(__xludf.DUMMYFUNCTION("""COMPUTED_VALUE"""),69.0)</f>
        <v>69</v>
      </c>
      <c r="F4341" s="19" t="str">
        <f>IFERROR(__xludf.DUMMYFUNCTION("""COMPUTED_VALUE"""),"BLUE")</f>
        <v>BLUE</v>
      </c>
      <c r="G4341" s="20" t="str">
        <f>IFERROR(__xludf.DUMMYFUNCTION("""COMPUTED_VALUE"""),"Uncle Sams Cider (04/04/2023)")</f>
        <v>Uncle Sams Cider (04/04/2023)</v>
      </c>
      <c r="H4341" s="19"/>
    </row>
    <row r="4342">
      <c r="A4342" s="9"/>
      <c r="B4342" s="15"/>
      <c r="C4342" s="9">
        <f>IFERROR(__xludf.DUMMYFUNCTION("""COMPUTED_VALUE"""),45099.1473250694)</f>
        <v>45099.14733</v>
      </c>
      <c r="D4342" s="15">
        <f>IFERROR(__xludf.DUMMYFUNCTION("""COMPUTED_VALUE"""),1.001)</f>
        <v>1.001</v>
      </c>
      <c r="E4342" s="16">
        <f>IFERROR(__xludf.DUMMYFUNCTION("""COMPUTED_VALUE"""),69.0)</f>
        <v>69</v>
      </c>
      <c r="F4342" s="19" t="str">
        <f>IFERROR(__xludf.DUMMYFUNCTION("""COMPUTED_VALUE"""),"BLUE")</f>
        <v>BLUE</v>
      </c>
      <c r="G4342" s="20" t="str">
        <f>IFERROR(__xludf.DUMMYFUNCTION("""COMPUTED_VALUE"""),"Uncle Sams Cider (04/04/2023)")</f>
        <v>Uncle Sams Cider (04/04/2023)</v>
      </c>
      <c r="H4342" s="19"/>
    </row>
    <row r="4343">
      <c r="A4343" s="9"/>
      <c r="B4343" s="15"/>
      <c r="C4343" s="9">
        <f>IFERROR(__xludf.DUMMYFUNCTION("""COMPUTED_VALUE"""),45099.1369029166)</f>
        <v>45099.1369</v>
      </c>
      <c r="D4343" s="15">
        <f>IFERROR(__xludf.DUMMYFUNCTION("""COMPUTED_VALUE"""),1.001)</f>
        <v>1.001</v>
      </c>
      <c r="E4343" s="16">
        <f>IFERROR(__xludf.DUMMYFUNCTION("""COMPUTED_VALUE"""),69.0)</f>
        <v>69</v>
      </c>
      <c r="F4343" s="19" t="str">
        <f>IFERROR(__xludf.DUMMYFUNCTION("""COMPUTED_VALUE"""),"BLUE")</f>
        <v>BLUE</v>
      </c>
      <c r="G4343" s="20" t="str">
        <f>IFERROR(__xludf.DUMMYFUNCTION("""COMPUTED_VALUE"""),"Uncle Sams Cider (04/04/2023)")</f>
        <v>Uncle Sams Cider (04/04/2023)</v>
      </c>
      <c r="H4343" s="19"/>
    </row>
    <row r="4344">
      <c r="A4344" s="9"/>
      <c r="B4344" s="15"/>
      <c r="C4344" s="9">
        <f>IFERROR(__xludf.DUMMYFUNCTION("""COMPUTED_VALUE"""),45099.1264814699)</f>
        <v>45099.12648</v>
      </c>
      <c r="D4344" s="15">
        <f>IFERROR(__xludf.DUMMYFUNCTION("""COMPUTED_VALUE"""),1.001)</f>
        <v>1.001</v>
      </c>
      <c r="E4344" s="16">
        <f>IFERROR(__xludf.DUMMYFUNCTION("""COMPUTED_VALUE"""),69.0)</f>
        <v>69</v>
      </c>
      <c r="F4344" s="19" t="str">
        <f>IFERROR(__xludf.DUMMYFUNCTION("""COMPUTED_VALUE"""),"BLUE")</f>
        <v>BLUE</v>
      </c>
      <c r="G4344" s="20" t="str">
        <f>IFERROR(__xludf.DUMMYFUNCTION("""COMPUTED_VALUE"""),"Uncle Sams Cider (04/04/2023)")</f>
        <v>Uncle Sams Cider (04/04/2023)</v>
      </c>
      <c r="H4344" s="19"/>
    </row>
    <row r="4345">
      <c r="A4345" s="9"/>
      <c r="B4345" s="15"/>
      <c r="C4345" s="9">
        <f>IFERROR(__xludf.DUMMYFUNCTION("""COMPUTED_VALUE"""),45099.1160497916)</f>
        <v>45099.11605</v>
      </c>
      <c r="D4345" s="15">
        <f>IFERROR(__xludf.DUMMYFUNCTION("""COMPUTED_VALUE"""),1.001)</f>
        <v>1.001</v>
      </c>
      <c r="E4345" s="16">
        <f>IFERROR(__xludf.DUMMYFUNCTION("""COMPUTED_VALUE"""),69.0)</f>
        <v>69</v>
      </c>
      <c r="F4345" s="19" t="str">
        <f>IFERROR(__xludf.DUMMYFUNCTION("""COMPUTED_VALUE"""),"BLUE")</f>
        <v>BLUE</v>
      </c>
      <c r="G4345" s="20" t="str">
        <f>IFERROR(__xludf.DUMMYFUNCTION("""COMPUTED_VALUE"""),"Uncle Sams Cider (04/04/2023)")</f>
        <v>Uncle Sams Cider (04/04/2023)</v>
      </c>
      <c r="H4345" s="19"/>
    </row>
    <row r="4346">
      <c r="A4346" s="9"/>
      <c r="B4346" s="15"/>
      <c r="C4346" s="9">
        <f>IFERROR(__xludf.DUMMYFUNCTION("""COMPUTED_VALUE"""),45099.1056283564)</f>
        <v>45099.10563</v>
      </c>
      <c r="D4346" s="15">
        <f>IFERROR(__xludf.DUMMYFUNCTION("""COMPUTED_VALUE"""),1.001)</f>
        <v>1.001</v>
      </c>
      <c r="E4346" s="16">
        <f>IFERROR(__xludf.DUMMYFUNCTION("""COMPUTED_VALUE"""),69.0)</f>
        <v>69</v>
      </c>
      <c r="F4346" s="19" t="str">
        <f>IFERROR(__xludf.DUMMYFUNCTION("""COMPUTED_VALUE"""),"BLUE")</f>
        <v>BLUE</v>
      </c>
      <c r="G4346" s="20" t="str">
        <f>IFERROR(__xludf.DUMMYFUNCTION("""COMPUTED_VALUE"""),"Uncle Sams Cider (04/04/2023)")</f>
        <v>Uncle Sams Cider (04/04/2023)</v>
      </c>
      <c r="H4346" s="19"/>
    </row>
    <row r="4347">
      <c r="A4347" s="9"/>
      <c r="B4347" s="15"/>
      <c r="C4347" s="9">
        <f>IFERROR(__xludf.DUMMYFUNCTION("""COMPUTED_VALUE"""),45099.0952069097)</f>
        <v>45099.09521</v>
      </c>
      <c r="D4347" s="15">
        <f>IFERROR(__xludf.DUMMYFUNCTION("""COMPUTED_VALUE"""),1.001)</f>
        <v>1.001</v>
      </c>
      <c r="E4347" s="16">
        <f>IFERROR(__xludf.DUMMYFUNCTION("""COMPUTED_VALUE"""),69.0)</f>
        <v>69</v>
      </c>
      <c r="F4347" s="19" t="str">
        <f>IFERROR(__xludf.DUMMYFUNCTION("""COMPUTED_VALUE"""),"BLUE")</f>
        <v>BLUE</v>
      </c>
      <c r="G4347" s="20" t="str">
        <f>IFERROR(__xludf.DUMMYFUNCTION("""COMPUTED_VALUE"""),"Uncle Sams Cider (04/04/2023)")</f>
        <v>Uncle Sams Cider (04/04/2023)</v>
      </c>
      <c r="H4347" s="19"/>
    </row>
    <row r="4348">
      <c r="A4348" s="9"/>
      <c r="B4348" s="15"/>
      <c r="C4348" s="9">
        <f>IFERROR(__xludf.DUMMYFUNCTION("""COMPUTED_VALUE"""),45099.0847732291)</f>
        <v>45099.08477</v>
      </c>
      <c r="D4348" s="15">
        <f>IFERROR(__xludf.DUMMYFUNCTION("""COMPUTED_VALUE"""),1.001)</f>
        <v>1.001</v>
      </c>
      <c r="E4348" s="16">
        <f>IFERROR(__xludf.DUMMYFUNCTION("""COMPUTED_VALUE"""),69.0)</f>
        <v>69</v>
      </c>
      <c r="F4348" s="19" t="str">
        <f>IFERROR(__xludf.DUMMYFUNCTION("""COMPUTED_VALUE"""),"BLUE")</f>
        <v>BLUE</v>
      </c>
      <c r="G4348" s="20" t="str">
        <f>IFERROR(__xludf.DUMMYFUNCTION("""COMPUTED_VALUE"""),"Uncle Sams Cider (04/04/2023)")</f>
        <v>Uncle Sams Cider (04/04/2023)</v>
      </c>
      <c r="H4348" s="19"/>
    </row>
    <row r="4349">
      <c r="A4349" s="9"/>
      <c r="B4349" s="15"/>
      <c r="C4349" s="9">
        <f>IFERROR(__xludf.DUMMYFUNCTION("""COMPUTED_VALUE"""),45099.0743528472)</f>
        <v>45099.07435</v>
      </c>
      <c r="D4349" s="15">
        <f>IFERROR(__xludf.DUMMYFUNCTION("""COMPUTED_VALUE"""),1.001)</f>
        <v>1.001</v>
      </c>
      <c r="E4349" s="16">
        <f>IFERROR(__xludf.DUMMYFUNCTION("""COMPUTED_VALUE"""),69.0)</f>
        <v>69</v>
      </c>
      <c r="F4349" s="19" t="str">
        <f>IFERROR(__xludf.DUMMYFUNCTION("""COMPUTED_VALUE"""),"BLUE")</f>
        <v>BLUE</v>
      </c>
      <c r="G4349" s="20" t="str">
        <f>IFERROR(__xludf.DUMMYFUNCTION("""COMPUTED_VALUE"""),"Uncle Sams Cider (04/04/2023)")</f>
        <v>Uncle Sams Cider (04/04/2023)</v>
      </c>
      <c r="H4349" s="19"/>
    </row>
    <row r="4350">
      <c r="A4350" s="9"/>
      <c r="B4350" s="15"/>
      <c r="C4350" s="9">
        <f>IFERROR(__xludf.DUMMYFUNCTION("""COMPUTED_VALUE"""),45099.0639206828)</f>
        <v>45099.06392</v>
      </c>
      <c r="D4350" s="15">
        <f>IFERROR(__xludf.DUMMYFUNCTION("""COMPUTED_VALUE"""),1.001)</f>
        <v>1.001</v>
      </c>
      <c r="E4350" s="16">
        <f>IFERROR(__xludf.DUMMYFUNCTION("""COMPUTED_VALUE"""),69.0)</f>
        <v>69</v>
      </c>
      <c r="F4350" s="19" t="str">
        <f>IFERROR(__xludf.DUMMYFUNCTION("""COMPUTED_VALUE"""),"BLUE")</f>
        <v>BLUE</v>
      </c>
      <c r="G4350" s="20" t="str">
        <f>IFERROR(__xludf.DUMMYFUNCTION("""COMPUTED_VALUE"""),"Uncle Sams Cider (04/04/2023)")</f>
        <v>Uncle Sams Cider (04/04/2023)</v>
      </c>
      <c r="H4350" s="19"/>
    </row>
    <row r="4351">
      <c r="A4351" s="9"/>
      <c r="B4351" s="15"/>
      <c r="C4351" s="9">
        <f>IFERROR(__xludf.DUMMYFUNCTION("""COMPUTED_VALUE"""),45099.0534870023)</f>
        <v>45099.05349</v>
      </c>
      <c r="D4351" s="15">
        <f>IFERROR(__xludf.DUMMYFUNCTION("""COMPUTED_VALUE"""),1.001)</f>
        <v>1.001</v>
      </c>
      <c r="E4351" s="16">
        <f>IFERROR(__xludf.DUMMYFUNCTION("""COMPUTED_VALUE"""),69.0)</f>
        <v>69</v>
      </c>
      <c r="F4351" s="19" t="str">
        <f>IFERROR(__xludf.DUMMYFUNCTION("""COMPUTED_VALUE"""),"BLUE")</f>
        <v>BLUE</v>
      </c>
      <c r="G4351" s="20" t="str">
        <f>IFERROR(__xludf.DUMMYFUNCTION("""COMPUTED_VALUE"""),"Uncle Sams Cider (04/04/2023)")</f>
        <v>Uncle Sams Cider (04/04/2023)</v>
      </c>
      <c r="H4351" s="19"/>
    </row>
    <row r="4352">
      <c r="A4352" s="9"/>
      <c r="B4352" s="15"/>
      <c r="C4352" s="9">
        <f>IFERROR(__xludf.DUMMYFUNCTION("""COMPUTED_VALUE"""),45099.04306478)</f>
        <v>45099.04306</v>
      </c>
      <c r="D4352" s="15">
        <f>IFERROR(__xludf.DUMMYFUNCTION("""COMPUTED_VALUE"""),1.001)</f>
        <v>1.001</v>
      </c>
      <c r="E4352" s="16">
        <f>IFERROR(__xludf.DUMMYFUNCTION("""COMPUTED_VALUE"""),69.0)</f>
        <v>69</v>
      </c>
      <c r="F4352" s="19" t="str">
        <f>IFERROR(__xludf.DUMMYFUNCTION("""COMPUTED_VALUE"""),"BLUE")</f>
        <v>BLUE</v>
      </c>
      <c r="G4352" s="20" t="str">
        <f>IFERROR(__xludf.DUMMYFUNCTION("""COMPUTED_VALUE"""),"Uncle Sams Cider (04/04/2023)")</f>
        <v>Uncle Sams Cider (04/04/2023)</v>
      </c>
      <c r="H4352" s="19"/>
    </row>
    <row r="4353">
      <c r="A4353" s="9"/>
      <c r="B4353" s="15"/>
      <c r="C4353" s="9">
        <f>IFERROR(__xludf.DUMMYFUNCTION("""COMPUTED_VALUE"""),45099.0326446759)</f>
        <v>45099.03264</v>
      </c>
      <c r="D4353" s="15">
        <f>IFERROR(__xludf.DUMMYFUNCTION("""COMPUTED_VALUE"""),1.001)</f>
        <v>1.001</v>
      </c>
      <c r="E4353" s="16">
        <f>IFERROR(__xludf.DUMMYFUNCTION("""COMPUTED_VALUE"""),69.0)</f>
        <v>69</v>
      </c>
      <c r="F4353" s="19" t="str">
        <f>IFERROR(__xludf.DUMMYFUNCTION("""COMPUTED_VALUE"""),"BLUE")</f>
        <v>BLUE</v>
      </c>
      <c r="G4353" s="20" t="str">
        <f>IFERROR(__xludf.DUMMYFUNCTION("""COMPUTED_VALUE"""),"Uncle Sams Cider (04/04/2023)")</f>
        <v>Uncle Sams Cider (04/04/2023)</v>
      </c>
      <c r="H4353" s="19"/>
    </row>
    <row r="4354">
      <c r="A4354" s="9"/>
      <c r="B4354" s="15"/>
      <c r="C4354" s="9">
        <f>IFERROR(__xludf.DUMMYFUNCTION("""COMPUTED_VALUE"""),45099.0222228356)</f>
        <v>45099.02222</v>
      </c>
      <c r="D4354" s="15">
        <f>IFERROR(__xludf.DUMMYFUNCTION("""COMPUTED_VALUE"""),1.001)</f>
        <v>1.001</v>
      </c>
      <c r="E4354" s="16">
        <f>IFERROR(__xludf.DUMMYFUNCTION("""COMPUTED_VALUE"""),69.0)</f>
        <v>69</v>
      </c>
      <c r="F4354" s="19" t="str">
        <f>IFERROR(__xludf.DUMMYFUNCTION("""COMPUTED_VALUE"""),"BLUE")</f>
        <v>BLUE</v>
      </c>
      <c r="G4354" s="20" t="str">
        <f>IFERROR(__xludf.DUMMYFUNCTION("""COMPUTED_VALUE"""),"Uncle Sams Cider (04/04/2023)")</f>
        <v>Uncle Sams Cider (04/04/2023)</v>
      </c>
      <c r="H4354" s="19"/>
    </row>
    <row r="4355">
      <c r="A4355" s="9"/>
      <c r="B4355" s="15"/>
      <c r="C4355" s="9">
        <f>IFERROR(__xludf.DUMMYFUNCTION("""COMPUTED_VALUE"""),45099.0117898726)</f>
        <v>45099.01179</v>
      </c>
      <c r="D4355" s="15">
        <f>IFERROR(__xludf.DUMMYFUNCTION("""COMPUTED_VALUE"""),1.001)</f>
        <v>1.001</v>
      </c>
      <c r="E4355" s="16">
        <f>IFERROR(__xludf.DUMMYFUNCTION("""COMPUTED_VALUE"""),69.0)</f>
        <v>69</v>
      </c>
      <c r="F4355" s="19" t="str">
        <f>IFERROR(__xludf.DUMMYFUNCTION("""COMPUTED_VALUE"""),"BLUE")</f>
        <v>BLUE</v>
      </c>
      <c r="G4355" s="20" t="str">
        <f>IFERROR(__xludf.DUMMYFUNCTION("""COMPUTED_VALUE"""),"Uncle Sams Cider (04/04/2023)")</f>
        <v>Uncle Sams Cider (04/04/2023)</v>
      </c>
      <c r="H4355" s="19"/>
    </row>
    <row r="4356">
      <c r="A4356" s="9"/>
      <c r="B4356" s="15"/>
      <c r="C4356" s="9">
        <f>IFERROR(__xludf.DUMMYFUNCTION("""COMPUTED_VALUE"""),45099.001321331)</f>
        <v>45099.00132</v>
      </c>
      <c r="D4356" s="15">
        <f>IFERROR(__xludf.DUMMYFUNCTION("""COMPUTED_VALUE"""),1.001)</f>
        <v>1.001</v>
      </c>
      <c r="E4356" s="16">
        <f>IFERROR(__xludf.DUMMYFUNCTION("""COMPUTED_VALUE"""),69.0)</f>
        <v>69</v>
      </c>
      <c r="F4356" s="19" t="str">
        <f>IFERROR(__xludf.DUMMYFUNCTION("""COMPUTED_VALUE"""),"BLUE")</f>
        <v>BLUE</v>
      </c>
      <c r="G4356" s="20" t="str">
        <f>IFERROR(__xludf.DUMMYFUNCTION("""COMPUTED_VALUE"""),"Uncle Sams Cider (04/04/2023)")</f>
        <v>Uncle Sams Cider (04/04/2023)</v>
      </c>
      <c r="H4356" s="19"/>
    </row>
    <row r="4357">
      <c r="A4357" s="9"/>
      <c r="B4357" s="15"/>
      <c r="C4357" s="9">
        <f>IFERROR(__xludf.DUMMYFUNCTION("""COMPUTED_VALUE"""),45098.99090125)</f>
        <v>45098.9909</v>
      </c>
      <c r="D4357" s="15">
        <f>IFERROR(__xludf.DUMMYFUNCTION("""COMPUTED_VALUE"""),1.001)</f>
        <v>1.001</v>
      </c>
      <c r="E4357" s="16">
        <f>IFERROR(__xludf.DUMMYFUNCTION("""COMPUTED_VALUE"""),69.0)</f>
        <v>69</v>
      </c>
      <c r="F4357" s="19" t="str">
        <f>IFERROR(__xludf.DUMMYFUNCTION("""COMPUTED_VALUE"""),"BLUE")</f>
        <v>BLUE</v>
      </c>
      <c r="G4357" s="20" t="str">
        <f>IFERROR(__xludf.DUMMYFUNCTION("""COMPUTED_VALUE"""),"Uncle Sams Cider (04/04/2023)")</f>
        <v>Uncle Sams Cider (04/04/2023)</v>
      </c>
      <c r="H4357" s="19"/>
    </row>
    <row r="4358">
      <c r="A4358" s="9"/>
      <c r="B4358" s="15"/>
      <c r="C4358" s="9">
        <f>IFERROR(__xludf.DUMMYFUNCTION("""COMPUTED_VALUE"""),45098.9804801388)</f>
        <v>45098.98048</v>
      </c>
      <c r="D4358" s="15">
        <f>IFERROR(__xludf.DUMMYFUNCTION("""COMPUTED_VALUE"""),1.001)</f>
        <v>1.001</v>
      </c>
      <c r="E4358" s="16">
        <f>IFERROR(__xludf.DUMMYFUNCTION("""COMPUTED_VALUE"""),69.0)</f>
        <v>69</v>
      </c>
      <c r="F4358" s="19" t="str">
        <f>IFERROR(__xludf.DUMMYFUNCTION("""COMPUTED_VALUE"""),"BLUE")</f>
        <v>BLUE</v>
      </c>
      <c r="G4358" s="20" t="str">
        <f>IFERROR(__xludf.DUMMYFUNCTION("""COMPUTED_VALUE"""),"Uncle Sams Cider (04/04/2023)")</f>
        <v>Uncle Sams Cider (04/04/2023)</v>
      </c>
      <c r="H4358" s="19"/>
    </row>
    <row r="4359">
      <c r="A4359" s="9"/>
      <c r="B4359" s="15"/>
      <c r="C4359" s="9">
        <f>IFERROR(__xludf.DUMMYFUNCTION("""COMPUTED_VALUE"""),45098.970047581)</f>
        <v>45098.97005</v>
      </c>
      <c r="D4359" s="15">
        <f>IFERROR(__xludf.DUMMYFUNCTION("""COMPUTED_VALUE"""),1.001)</f>
        <v>1.001</v>
      </c>
      <c r="E4359" s="16">
        <f>IFERROR(__xludf.DUMMYFUNCTION("""COMPUTED_VALUE"""),69.0)</f>
        <v>69</v>
      </c>
      <c r="F4359" s="19" t="str">
        <f>IFERROR(__xludf.DUMMYFUNCTION("""COMPUTED_VALUE"""),"BLUE")</f>
        <v>BLUE</v>
      </c>
      <c r="G4359" s="20" t="str">
        <f>IFERROR(__xludf.DUMMYFUNCTION("""COMPUTED_VALUE"""),"Uncle Sams Cider (04/04/2023)")</f>
        <v>Uncle Sams Cider (04/04/2023)</v>
      </c>
      <c r="H4359" s="19"/>
    </row>
    <row r="4360">
      <c r="A4360" s="9"/>
      <c r="B4360" s="15"/>
      <c r="C4360" s="9">
        <f>IFERROR(__xludf.DUMMYFUNCTION("""COMPUTED_VALUE"""),45098.9596243518)</f>
        <v>45098.95962</v>
      </c>
      <c r="D4360" s="15">
        <f>IFERROR(__xludf.DUMMYFUNCTION("""COMPUTED_VALUE"""),1.001)</f>
        <v>1.001</v>
      </c>
      <c r="E4360" s="16">
        <f>IFERROR(__xludf.DUMMYFUNCTION("""COMPUTED_VALUE"""),69.0)</f>
        <v>69</v>
      </c>
      <c r="F4360" s="19" t="str">
        <f>IFERROR(__xludf.DUMMYFUNCTION("""COMPUTED_VALUE"""),"BLUE")</f>
        <v>BLUE</v>
      </c>
      <c r="G4360" s="20" t="str">
        <f>IFERROR(__xludf.DUMMYFUNCTION("""COMPUTED_VALUE"""),"Uncle Sams Cider (04/04/2023)")</f>
        <v>Uncle Sams Cider (04/04/2023)</v>
      </c>
      <c r="H4360" s="19"/>
    </row>
    <row r="4361">
      <c r="A4361" s="9"/>
      <c r="B4361" s="15"/>
      <c r="C4361" s="9">
        <f>IFERROR(__xludf.DUMMYFUNCTION("""COMPUTED_VALUE"""),45098.9492025694)</f>
        <v>45098.9492</v>
      </c>
      <c r="D4361" s="15">
        <f>IFERROR(__xludf.DUMMYFUNCTION("""COMPUTED_VALUE"""),1.001)</f>
        <v>1.001</v>
      </c>
      <c r="E4361" s="16">
        <f>IFERROR(__xludf.DUMMYFUNCTION("""COMPUTED_VALUE"""),69.0)</f>
        <v>69</v>
      </c>
      <c r="F4361" s="19" t="str">
        <f>IFERROR(__xludf.DUMMYFUNCTION("""COMPUTED_VALUE"""),"BLUE")</f>
        <v>BLUE</v>
      </c>
      <c r="G4361" s="20" t="str">
        <f>IFERROR(__xludf.DUMMYFUNCTION("""COMPUTED_VALUE"""),"Uncle Sams Cider (04/04/2023)")</f>
        <v>Uncle Sams Cider (04/04/2023)</v>
      </c>
      <c r="H4361" s="19"/>
    </row>
    <row r="4362">
      <c r="A4362" s="9"/>
      <c r="B4362" s="15"/>
      <c r="C4362" s="9">
        <f>IFERROR(__xludf.DUMMYFUNCTION("""COMPUTED_VALUE"""),45098.9387817129)</f>
        <v>45098.93878</v>
      </c>
      <c r="D4362" s="15">
        <f>IFERROR(__xludf.DUMMYFUNCTION("""COMPUTED_VALUE"""),1.001)</f>
        <v>1.001</v>
      </c>
      <c r="E4362" s="16">
        <f>IFERROR(__xludf.DUMMYFUNCTION("""COMPUTED_VALUE"""),69.0)</f>
        <v>69</v>
      </c>
      <c r="F4362" s="19" t="str">
        <f>IFERROR(__xludf.DUMMYFUNCTION("""COMPUTED_VALUE"""),"BLUE")</f>
        <v>BLUE</v>
      </c>
      <c r="G4362" s="20" t="str">
        <f>IFERROR(__xludf.DUMMYFUNCTION("""COMPUTED_VALUE"""),"Uncle Sams Cider (04/04/2023)")</f>
        <v>Uncle Sams Cider (04/04/2023)</v>
      </c>
      <c r="H4362" s="19"/>
    </row>
    <row r="4363">
      <c r="A4363" s="9"/>
      <c r="B4363" s="15"/>
      <c r="C4363" s="9">
        <f>IFERROR(__xludf.DUMMYFUNCTION("""COMPUTED_VALUE"""),45098.9283614699)</f>
        <v>45098.92836</v>
      </c>
      <c r="D4363" s="15">
        <f>IFERROR(__xludf.DUMMYFUNCTION("""COMPUTED_VALUE"""),1.001)</f>
        <v>1.001</v>
      </c>
      <c r="E4363" s="16">
        <f>IFERROR(__xludf.DUMMYFUNCTION("""COMPUTED_VALUE"""),69.0)</f>
        <v>69</v>
      </c>
      <c r="F4363" s="19" t="str">
        <f>IFERROR(__xludf.DUMMYFUNCTION("""COMPUTED_VALUE"""),"BLUE")</f>
        <v>BLUE</v>
      </c>
      <c r="G4363" s="20" t="str">
        <f>IFERROR(__xludf.DUMMYFUNCTION("""COMPUTED_VALUE"""),"Uncle Sams Cider (04/04/2023)")</f>
        <v>Uncle Sams Cider (04/04/2023)</v>
      </c>
      <c r="H4363" s="19"/>
    </row>
    <row r="4364">
      <c r="A4364" s="9"/>
      <c r="B4364" s="15"/>
      <c r="C4364" s="9">
        <f>IFERROR(__xludf.DUMMYFUNCTION("""COMPUTED_VALUE"""),45098.9179278935)</f>
        <v>45098.91793</v>
      </c>
      <c r="D4364" s="15">
        <f>IFERROR(__xludf.DUMMYFUNCTION("""COMPUTED_VALUE"""),1.001)</f>
        <v>1.001</v>
      </c>
      <c r="E4364" s="16">
        <f>IFERROR(__xludf.DUMMYFUNCTION("""COMPUTED_VALUE"""),69.0)</f>
        <v>69</v>
      </c>
      <c r="F4364" s="19" t="str">
        <f>IFERROR(__xludf.DUMMYFUNCTION("""COMPUTED_VALUE"""),"BLUE")</f>
        <v>BLUE</v>
      </c>
      <c r="G4364" s="20" t="str">
        <f>IFERROR(__xludf.DUMMYFUNCTION("""COMPUTED_VALUE"""),"Uncle Sams Cider (04/04/2023)")</f>
        <v>Uncle Sams Cider (04/04/2023)</v>
      </c>
      <c r="H4364" s="19"/>
    </row>
    <row r="4365">
      <c r="A4365" s="9"/>
      <c r="B4365" s="15"/>
      <c r="C4365" s="9">
        <f>IFERROR(__xludf.DUMMYFUNCTION("""COMPUTED_VALUE"""),45098.9075069676)</f>
        <v>45098.90751</v>
      </c>
      <c r="D4365" s="15">
        <f>IFERROR(__xludf.DUMMYFUNCTION("""COMPUTED_VALUE"""),1.001)</f>
        <v>1.001</v>
      </c>
      <c r="E4365" s="16">
        <f>IFERROR(__xludf.DUMMYFUNCTION("""COMPUTED_VALUE"""),69.0)</f>
        <v>69</v>
      </c>
      <c r="F4365" s="19" t="str">
        <f>IFERROR(__xludf.DUMMYFUNCTION("""COMPUTED_VALUE"""),"BLUE")</f>
        <v>BLUE</v>
      </c>
      <c r="G4365" s="20" t="str">
        <f>IFERROR(__xludf.DUMMYFUNCTION("""COMPUTED_VALUE"""),"Uncle Sams Cider (04/04/2023)")</f>
        <v>Uncle Sams Cider (04/04/2023)</v>
      </c>
      <c r="H4365" s="19"/>
    </row>
    <row r="4366">
      <c r="A4366" s="9"/>
      <c r="B4366" s="15"/>
      <c r="C4366" s="9">
        <f>IFERROR(__xludf.DUMMYFUNCTION("""COMPUTED_VALUE"""),45098.8970855671)</f>
        <v>45098.89709</v>
      </c>
      <c r="D4366" s="15">
        <f>IFERROR(__xludf.DUMMYFUNCTION("""COMPUTED_VALUE"""),1.001)</f>
        <v>1.001</v>
      </c>
      <c r="E4366" s="16">
        <f>IFERROR(__xludf.DUMMYFUNCTION("""COMPUTED_VALUE"""),69.0)</f>
        <v>69</v>
      </c>
      <c r="F4366" s="19" t="str">
        <f>IFERROR(__xludf.DUMMYFUNCTION("""COMPUTED_VALUE"""),"BLUE")</f>
        <v>BLUE</v>
      </c>
      <c r="G4366" s="20" t="str">
        <f>IFERROR(__xludf.DUMMYFUNCTION("""COMPUTED_VALUE"""),"Uncle Sams Cider (04/04/2023)")</f>
        <v>Uncle Sams Cider (04/04/2023)</v>
      </c>
      <c r="H4366" s="19"/>
    </row>
    <row r="4367">
      <c r="A4367" s="9"/>
      <c r="B4367" s="15"/>
      <c r="C4367" s="9">
        <f>IFERROR(__xludf.DUMMYFUNCTION("""COMPUTED_VALUE"""),45098.8866646759)</f>
        <v>45098.88666</v>
      </c>
      <c r="D4367" s="15">
        <f>IFERROR(__xludf.DUMMYFUNCTION("""COMPUTED_VALUE"""),1.001)</f>
        <v>1.001</v>
      </c>
      <c r="E4367" s="16">
        <f>IFERROR(__xludf.DUMMYFUNCTION("""COMPUTED_VALUE"""),69.0)</f>
        <v>69</v>
      </c>
      <c r="F4367" s="19" t="str">
        <f>IFERROR(__xludf.DUMMYFUNCTION("""COMPUTED_VALUE"""),"BLUE")</f>
        <v>BLUE</v>
      </c>
      <c r="G4367" s="20" t="str">
        <f>IFERROR(__xludf.DUMMYFUNCTION("""COMPUTED_VALUE"""),"Uncle Sams Cider (04/04/2023)")</f>
        <v>Uncle Sams Cider (04/04/2023)</v>
      </c>
      <c r="H4367" s="19"/>
    </row>
    <row r="4368">
      <c r="A4368" s="9"/>
      <c r="B4368" s="15"/>
      <c r="C4368" s="9">
        <f>IFERROR(__xludf.DUMMYFUNCTION("""COMPUTED_VALUE"""),45098.8762337268)</f>
        <v>45098.87623</v>
      </c>
      <c r="D4368" s="15">
        <f>IFERROR(__xludf.DUMMYFUNCTION("""COMPUTED_VALUE"""),1.001)</f>
        <v>1.001</v>
      </c>
      <c r="E4368" s="16">
        <f>IFERROR(__xludf.DUMMYFUNCTION("""COMPUTED_VALUE"""),69.0)</f>
        <v>69</v>
      </c>
      <c r="F4368" s="19" t="str">
        <f>IFERROR(__xludf.DUMMYFUNCTION("""COMPUTED_VALUE"""),"BLUE")</f>
        <v>BLUE</v>
      </c>
      <c r="G4368" s="20" t="str">
        <f>IFERROR(__xludf.DUMMYFUNCTION("""COMPUTED_VALUE"""),"Uncle Sams Cider (04/04/2023)")</f>
        <v>Uncle Sams Cider (04/04/2023)</v>
      </c>
      <c r="H4368" s="19"/>
    </row>
    <row r="4369">
      <c r="A4369" s="9"/>
      <c r="B4369" s="15"/>
      <c r="C4369" s="9">
        <f>IFERROR(__xludf.DUMMYFUNCTION("""COMPUTED_VALUE"""),45098.8658137615)</f>
        <v>45098.86581</v>
      </c>
      <c r="D4369" s="15">
        <f>IFERROR(__xludf.DUMMYFUNCTION("""COMPUTED_VALUE"""),1.001)</f>
        <v>1.001</v>
      </c>
      <c r="E4369" s="16">
        <f>IFERROR(__xludf.DUMMYFUNCTION("""COMPUTED_VALUE"""),69.0)</f>
        <v>69</v>
      </c>
      <c r="F4369" s="19" t="str">
        <f>IFERROR(__xludf.DUMMYFUNCTION("""COMPUTED_VALUE"""),"BLUE")</f>
        <v>BLUE</v>
      </c>
      <c r="G4369" s="20" t="str">
        <f>IFERROR(__xludf.DUMMYFUNCTION("""COMPUTED_VALUE"""),"Uncle Sams Cider (04/04/2023)")</f>
        <v>Uncle Sams Cider (04/04/2023)</v>
      </c>
      <c r="H4369" s="19"/>
    </row>
    <row r="4370">
      <c r="A4370" s="9"/>
      <c r="B4370" s="15"/>
      <c r="C4370" s="9">
        <f>IFERROR(__xludf.DUMMYFUNCTION("""COMPUTED_VALUE"""),45098.8553927546)</f>
        <v>45098.85539</v>
      </c>
      <c r="D4370" s="15">
        <f>IFERROR(__xludf.DUMMYFUNCTION("""COMPUTED_VALUE"""),1.001)</f>
        <v>1.001</v>
      </c>
      <c r="E4370" s="16">
        <f>IFERROR(__xludf.DUMMYFUNCTION("""COMPUTED_VALUE"""),69.0)</f>
        <v>69</v>
      </c>
      <c r="F4370" s="19" t="str">
        <f>IFERROR(__xludf.DUMMYFUNCTION("""COMPUTED_VALUE"""),"BLUE")</f>
        <v>BLUE</v>
      </c>
      <c r="G4370" s="20" t="str">
        <f>IFERROR(__xludf.DUMMYFUNCTION("""COMPUTED_VALUE"""),"Uncle Sams Cider (04/04/2023)")</f>
        <v>Uncle Sams Cider (04/04/2023)</v>
      </c>
      <c r="H4370" s="19"/>
    </row>
    <row r="4371">
      <c r="A4371" s="9"/>
      <c r="B4371" s="15"/>
      <c r="C4371" s="9">
        <f>IFERROR(__xludf.DUMMYFUNCTION("""COMPUTED_VALUE"""),45098.8449351041)</f>
        <v>45098.84494</v>
      </c>
      <c r="D4371" s="15">
        <f>IFERROR(__xludf.DUMMYFUNCTION("""COMPUTED_VALUE"""),1.001)</f>
        <v>1.001</v>
      </c>
      <c r="E4371" s="16">
        <f>IFERROR(__xludf.DUMMYFUNCTION("""COMPUTED_VALUE"""),69.0)</f>
        <v>69</v>
      </c>
      <c r="F4371" s="19" t="str">
        <f>IFERROR(__xludf.DUMMYFUNCTION("""COMPUTED_VALUE"""),"BLUE")</f>
        <v>BLUE</v>
      </c>
      <c r="G4371" s="20" t="str">
        <f>IFERROR(__xludf.DUMMYFUNCTION("""COMPUTED_VALUE"""),"Uncle Sams Cider (04/04/2023)")</f>
        <v>Uncle Sams Cider (04/04/2023)</v>
      </c>
      <c r="H4371" s="19"/>
    </row>
    <row r="4372">
      <c r="A4372" s="9"/>
      <c r="B4372" s="15"/>
      <c r="C4372" s="9">
        <f>IFERROR(__xludf.DUMMYFUNCTION("""COMPUTED_VALUE"""),45098.8345011689)</f>
        <v>45098.8345</v>
      </c>
      <c r="D4372" s="15">
        <f>IFERROR(__xludf.DUMMYFUNCTION("""COMPUTED_VALUE"""),1.001)</f>
        <v>1.001</v>
      </c>
      <c r="E4372" s="16">
        <f>IFERROR(__xludf.DUMMYFUNCTION("""COMPUTED_VALUE"""),69.0)</f>
        <v>69</v>
      </c>
      <c r="F4372" s="19" t="str">
        <f>IFERROR(__xludf.DUMMYFUNCTION("""COMPUTED_VALUE"""),"BLUE")</f>
        <v>BLUE</v>
      </c>
      <c r="G4372" s="20" t="str">
        <f>IFERROR(__xludf.DUMMYFUNCTION("""COMPUTED_VALUE"""),"Uncle Sams Cider (04/04/2023)")</f>
        <v>Uncle Sams Cider (04/04/2023)</v>
      </c>
      <c r="H4372" s="19"/>
    </row>
    <row r="4373">
      <c r="A4373" s="9"/>
      <c r="B4373" s="15"/>
      <c r="C4373" s="9">
        <f>IFERROR(__xludf.DUMMYFUNCTION("""COMPUTED_VALUE"""),45098.8240804398)</f>
        <v>45098.82408</v>
      </c>
      <c r="D4373" s="15">
        <f>IFERROR(__xludf.DUMMYFUNCTION("""COMPUTED_VALUE"""),1.001)</f>
        <v>1.001</v>
      </c>
      <c r="E4373" s="16">
        <f>IFERROR(__xludf.DUMMYFUNCTION("""COMPUTED_VALUE"""),69.0)</f>
        <v>69</v>
      </c>
      <c r="F4373" s="19" t="str">
        <f>IFERROR(__xludf.DUMMYFUNCTION("""COMPUTED_VALUE"""),"BLUE")</f>
        <v>BLUE</v>
      </c>
      <c r="G4373" s="20" t="str">
        <f>IFERROR(__xludf.DUMMYFUNCTION("""COMPUTED_VALUE"""),"Uncle Sams Cider (04/04/2023)")</f>
        <v>Uncle Sams Cider (04/04/2023)</v>
      </c>
      <c r="H4373" s="19"/>
    </row>
    <row r="4374">
      <c r="A4374" s="9"/>
      <c r="B4374" s="15"/>
      <c r="C4374" s="9">
        <f>IFERROR(__xludf.DUMMYFUNCTION("""COMPUTED_VALUE"""),45098.8136607986)</f>
        <v>45098.81366</v>
      </c>
      <c r="D4374" s="15">
        <f>IFERROR(__xludf.DUMMYFUNCTION("""COMPUTED_VALUE"""),1.001)</f>
        <v>1.001</v>
      </c>
      <c r="E4374" s="16">
        <f>IFERROR(__xludf.DUMMYFUNCTION("""COMPUTED_VALUE"""),69.0)</f>
        <v>69</v>
      </c>
      <c r="F4374" s="19" t="str">
        <f>IFERROR(__xludf.DUMMYFUNCTION("""COMPUTED_VALUE"""),"BLUE")</f>
        <v>BLUE</v>
      </c>
      <c r="G4374" s="20" t="str">
        <f>IFERROR(__xludf.DUMMYFUNCTION("""COMPUTED_VALUE"""),"Uncle Sams Cider (04/04/2023)")</f>
        <v>Uncle Sams Cider (04/04/2023)</v>
      </c>
      <c r="H4374" s="19"/>
    </row>
    <row r="4375">
      <c r="A4375" s="9"/>
      <c r="B4375" s="15"/>
      <c r="C4375" s="9">
        <f>IFERROR(__xludf.DUMMYFUNCTION("""COMPUTED_VALUE"""),45098.8032383217)</f>
        <v>45098.80324</v>
      </c>
      <c r="D4375" s="15">
        <f>IFERROR(__xludf.DUMMYFUNCTION("""COMPUTED_VALUE"""),1.001)</f>
        <v>1.001</v>
      </c>
      <c r="E4375" s="16">
        <f>IFERROR(__xludf.DUMMYFUNCTION("""COMPUTED_VALUE"""),69.0)</f>
        <v>69</v>
      </c>
      <c r="F4375" s="19" t="str">
        <f>IFERROR(__xludf.DUMMYFUNCTION("""COMPUTED_VALUE"""),"BLUE")</f>
        <v>BLUE</v>
      </c>
      <c r="G4375" s="20" t="str">
        <f>IFERROR(__xludf.DUMMYFUNCTION("""COMPUTED_VALUE"""),"Uncle Sams Cider (04/04/2023)")</f>
        <v>Uncle Sams Cider (04/04/2023)</v>
      </c>
      <c r="H4375" s="19"/>
    </row>
    <row r="4376">
      <c r="A4376" s="9"/>
      <c r="B4376" s="15"/>
      <c r="C4376" s="9">
        <f>IFERROR(__xludf.DUMMYFUNCTION("""COMPUTED_VALUE"""),45098.7928166782)</f>
        <v>45098.79282</v>
      </c>
      <c r="D4376" s="15">
        <f>IFERROR(__xludf.DUMMYFUNCTION("""COMPUTED_VALUE"""),1.001)</f>
        <v>1.001</v>
      </c>
      <c r="E4376" s="16">
        <f>IFERROR(__xludf.DUMMYFUNCTION("""COMPUTED_VALUE"""),69.0)</f>
        <v>69</v>
      </c>
      <c r="F4376" s="19" t="str">
        <f>IFERROR(__xludf.DUMMYFUNCTION("""COMPUTED_VALUE"""),"BLUE")</f>
        <v>BLUE</v>
      </c>
      <c r="G4376" s="20" t="str">
        <f>IFERROR(__xludf.DUMMYFUNCTION("""COMPUTED_VALUE"""),"Uncle Sams Cider (04/04/2023)")</f>
        <v>Uncle Sams Cider (04/04/2023)</v>
      </c>
      <c r="H4376" s="19"/>
    </row>
    <row r="4377">
      <c r="A4377" s="9"/>
      <c r="B4377" s="15"/>
      <c r="C4377" s="9">
        <f>IFERROR(__xludf.DUMMYFUNCTION("""COMPUTED_VALUE"""),45098.7823955787)</f>
        <v>45098.7824</v>
      </c>
      <c r="D4377" s="15">
        <f>IFERROR(__xludf.DUMMYFUNCTION("""COMPUTED_VALUE"""),1.001)</f>
        <v>1.001</v>
      </c>
      <c r="E4377" s="16">
        <f>IFERROR(__xludf.DUMMYFUNCTION("""COMPUTED_VALUE"""),69.0)</f>
        <v>69</v>
      </c>
      <c r="F4377" s="19" t="str">
        <f>IFERROR(__xludf.DUMMYFUNCTION("""COMPUTED_VALUE"""),"BLUE")</f>
        <v>BLUE</v>
      </c>
      <c r="G4377" s="20" t="str">
        <f>IFERROR(__xludf.DUMMYFUNCTION("""COMPUTED_VALUE"""),"Uncle Sams Cider (04/04/2023)")</f>
        <v>Uncle Sams Cider (04/04/2023)</v>
      </c>
      <c r="H4377" s="19"/>
    </row>
    <row r="4378">
      <c r="A4378" s="9"/>
      <c r="B4378" s="15"/>
      <c r="C4378" s="9">
        <f>IFERROR(__xludf.DUMMYFUNCTION("""COMPUTED_VALUE"""),45098.7719739583)</f>
        <v>45098.77197</v>
      </c>
      <c r="D4378" s="15">
        <f>IFERROR(__xludf.DUMMYFUNCTION("""COMPUTED_VALUE"""),1.001)</f>
        <v>1.001</v>
      </c>
      <c r="E4378" s="16">
        <f>IFERROR(__xludf.DUMMYFUNCTION("""COMPUTED_VALUE"""),69.0)</f>
        <v>69</v>
      </c>
      <c r="F4378" s="19" t="str">
        <f>IFERROR(__xludf.DUMMYFUNCTION("""COMPUTED_VALUE"""),"BLUE")</f>
        <v>BLUE</v>
      </c>
      <c r="G4378" s="20" t="str">
        <f>IFERROR(__xludf.DUMMYFUNCTION("""COMPUTED_VALUE"""),"Uncle Sams Cider (04/04/2023)")</f>
        <v>Uncle Sams Cider (04/04/2023)</v>
      </c>
      <c r="H4378" s="19"/>
    </row>
    <row r="4379">
      <c r="A4379" s="9"/>
      <c r="B4379" s="15"/>
      <c r="C4379" s="9">
        <f>IFERROR(__xludf.DUMMYFUNCTION("""COMPUTED_VALUE"""),45098.7615519676)</f>
        <v>45098.76155</v>
      </c>
      <c r="D4379" s="15">
        <f>IFERROR(__xludf.DUMMYFUNCTION("""COMPUTED_VALUE"""),1.001)</f>
        <v>1.001</v>
      </c>
      <c r="E4379" s="16">
        <f>IFERROR(__xludf.DUMMYFUNCTION("""COMPUTED_VALUE"""),69.0)</f>
        <v>69</v>
      </c>
      <c r="F4379" s="19" t="str">
        <f>IFERROR(__xludf.DUMMYFUNCTION("""COMPUTED_VALUE"""),"BLUE")</f>
        <v>BLUE</v>
      </c>
      <c r="G4379" s="20" t="str">
        <f>IFERROR(__xludf.DUMMYFUNCTION("""COMPUTED_VALUE"""),"Uncle Sams Cider (04/04/2023)")</f>
        <v>Uncle Sams Cider (04/04/2023)</v>
      </c>
      <c r="H4379" s="19"/>
    </row>
    <row r="4380">
      <c r="A4380" s="9"/>
      <c r="B4380" s="15"/>
      <c r="C4380" s="9">
        <f>IFERROR(__xludf.DUMMYFUNCTION("""COMPUTED_VALUE"""),45098.7511299189)</f>
        <v>45098.75113</v>
      </c>
      <c r="D4380" s="15">
        <f>IFERROR(__xludf.DUMMYFUNCTION("""COMPUTED_VALUE"""),1.001)</f>
        <v>1.001</v>
      </c>
      <c r="E4380" s="16">
        <f>IFERROR(__xludf.DUMMYFUNCTION("""COMPUTED_VALUE"""),69.0)</f>
        <v>69</v>
      </c>
      <c r="F4380" s="19" t="str">
        <f>IFERROR(__xludf.DUMMYFUNCTION("""COMPUTED_VALUE"""),"BLUE")</f>
        <v>BLUE</v>
      </c>
      <c r="G4380" s="20" t="str">
        <f>IFERROR(__xludf.DUMMYFUNCTION("""COMPUTED_VALUE"""),"Uncle Sams Cider (04/04/2023)")</f>
        <v>Uncle Sams Cider (04/04/2023)</v>
      </c>
      <c r="H4380" s="19"/>
    </row>
    <row r="4381">
      <c r="A4381" s="9"/>
      <c r="B4381" s="15"/>
      <c r="C4381" s="9">
        <f>IFERROR(__xludf.DUMMYFUNCTION("""COMPUTED_VALUE"""),45098.7407074537)</f>
        <v>45098.74071</v>
      </c>
      <c r="D4381" s="15">
        <f>IFERROR(__xludf.DUMMYFUNCTION("""COMPUTED_VALUE"""),1.001)</f>
        <v>1.001</v>
      </c>
      <c r="E4381" s="16">
        <f>IFERROR(__xludf.DUMMYFUNCTION("""COMPUTED_VALUE"""),69.0)</f>
        <v>69</v>
      </c>
      <c r="F4381" s="19" t="str">
        <f>IFERROR(__xludf.DUMMYFUNCTION("""COMPUTED_VALUE"""),"BLUE")</f>
        <v>BLUE</v>
      </c>
      <c r="G4381" s="20" t="str">
        <f>IFERROR(__xludf.DUMMYFUNCTION("""COMPUTED_VALUE"""),"Uncle Sams Cider (04/04/2023)")</f>
        <v>Uncle Sams Cider (04/04/2023)</v>
      </c>
      <c r="H4381" s="19"/>
    </row>
    <row r="4382">
      <c r="A4382" s="9"/>
      <c r="B4382" s="15"/>
      <c r="C4382" s="9">
        <f>IFERROR(__xludf.DUMMYFUNCTION("""COMPUTED_VALUE"""),45098.7302606365)</f>
        <v>45098.73026</v>
      </c>
      <c r="D4382" s="15">
        <f>IFERROR(__xludf.DUMMYFUNCTION("""COMPUTED_VALUE"""),1.001)</f>
        <v>1.001</v>
      </c>
      <c r="E4382" s="16">
        <f>IFERROR(__xludf.DUMMYFUNCTION("""COMPUTED_VALUE"""),69.0)</f>
        <v>69</v>
      </c>
      <c r="F4382" s="19" t="str">
        <f>IFERROR(__xludf.DUMMYFUNCTION("""COMPUTED_VALUE"""),"BLUE")</f>
        <v>BLUE</v>
      </c>
      <c r="G4382" s="20" t="str">
        <f>IFERROR(__xludf.DUMMYFUNCTION("""COMPUTED_VALUE"""),"Uncle Sams Cider (04/04/2023)")</f>
        <v>Uncle Sams Cider (04/04/2023)</v>
      </c>
      <c r="H4382" s="19"/>
    </row>
    <row r="4383">
      <c r="A4383" s="9"/>
      <c r="B4383" s="15"/>
      <c r="C4383" s="9">
        <f>IFERROR(__xludf.DUMMYFUNCTION("""COMPUTED_VALUE"""),45098.7198403356)</f>
        <v>45098.71984</v>
      </c>
      <c r="D4383" s="15">
        <f>IFERROR(__xludf.DUMMYFUNCTION("""COMPUTED_VALUE"""),1.001)</f>
        <v>1.001</v>
      </c>
      <c r="E4383" s="16">
        <f>IFERROR(__xludf.DUMMYFUNCTION("""COMPUTED_VALUE"""),69.0)</f>
        <v>69</v>
      </c>
      <c r="F4383" s="19" t="str">
        <f>IFERROR(__xludf.DUMMYFUNCTION("""COMPUTED_VALUE"""),"BLUE")</f>
        <v>BLUE</v>
      </c>
      <c r="G4383" s="20" t="str">
        <f>IFERROR(__xludf.DUMMYFUNCTION("""COMPUTED_VALUE"""),"Uncle Sams Cider (04/04/2023)")</f>
        <v>Uncle Sams Cider (04/04/2023)</v>
      </c>
      <c r="H4383" s="19"/>
    </row>
    <row r="4384">
      <c r="A4384" s="9"/>
      <c r="B4384" s="15"/>
      <c r="C4384" s="9">
        <f>IFERROR(__xludf.DUMMYFUNCTION("""COMPUTED_VALUE"""),45098.7094207175)</f>
        <v>45098.70942</v>
      </c>
      <c r="D4384" s="15">
        <f>IFERROR(__xludf.DUMMYFUNCTION("""COMPUTED_VALUE"""),1.001)</f>
        <v>1.001</v>
      </c>
      <c r="E4384" s="16">
        <f>IFERROR(__xludf.DUMMYFUNCTION("""COMPUTED_VALUE"""),69.0)</f>
        <v>69</v>
      </c>
      <c r="F4384" s="19" t="str">
        <f>IFERROR(__xludf.DUMMYFUNCTION("""COMPUTED_VALUE"""),"BLUE")</f>
        <v>BLUE</v>
      </c>
      <c r="G4384" s="20" t="str">
        <f>IFERROR(__xludf.DUMMYFUNCTION("""COMPUTED_VALUE"""),"Uncle Sams Cider (04/04/2023)")</f>
        <v>Uncle Sams Cider (04/04/2023)</v>
      </c>
      <c r="H4384" s="19"/>
    </row>
    <row r="4385">
      <c r="A4385" s="9"/>
      <c r="B4385" s="15"/>
      <c r="C4385" s="9">
        <f>IFERROR(__xludf.DUMMYFUNCTION("""COMPUTED_VALUE"""),45098.6989893402)</f>
        <v>45098.69899</v>
      </c>
      <c r="D4385" s="15">
        <f>IFERROR(__xludf.DUMMYFUNCTION("""COMPUTED_VALUE"""),1.001)</f>
        <v>1.001</v>
      </c>
      <c r="E4385" s="16">
        <f>IFERROR(__xludf.DUMMYFUNCTION("""COMPUTED_VALUE"""),69.0)</f>
        <v>69</v>
      </c>
      <c r="F4385" s="19" t="str">
        <f>IFERROR(__xludf.DUMMYFUNCTION("""COMPUTED_VALUE"""),"BLUE")</f>
        <v>BLUE</v>
      </c>
      <c r="G4385" s="20" t="str">
        <f>IFERROR(__xludf.DUMMYFUNCTION("""COMPUTED_VALUE"""),"Uncle Sams Cider (04/04/2023)")</f>
        <v>Uncle Sams Cider (04/04/2023)</v>
      </c>
      <c r="H4385" s="19"/>
    </row>
    <row r="4386">
      <c r="A4386" s="9"/>
      <c r="B4386" s="15"/>
      <c r="C4386" s="9">
        <f>IFERROR(__xludf.DUMMYFUNCTION("""COMPUTED_VALUE"""),45098.6885689351)</f>
        <v>45098.68857</v>
      </c>
      <c r="D4386" s="15">
        <f>IFERROR(__xludf.DUMMYFUNCTION("""COMPUTED_VALUE"""),1.001)</f>
        <v>1.001</v>
      </c>
      <c r="E4386" s="16">
        <f>IFERROR(__xludf.DUMMYFUNCTION("""COMPUTED_VALUE"""),69.0)</f>
        <v>69</v>
      </c>
      <c r="F4386" s="19" t="str">
        <f>IFERROR(__xludf.DUMMYFUNCTION("""COMPUTED_VALUE"""),"BLUE")</f>
        <v>BLUE</v>
      </c>
      <c r="G4386" s="20" t="str">
        <f>IFERROR(__xludf.DUMMYFUNCTION("""COMPUTED_VALUE"""),"Uncle Sams Cider (04/04/2023)")</f>
        <v>Uncle Sams Cider (04/04/2023)</v>
      </c>
      <c r="H4386" s="19"/>
    </row>
    <row r="4387">
      <c r="A4387" s="9"/>
      <c r="B4387" s="15"/>
      <c r="C4387" s="9">
        <f>IFERROR(__xludf.DUMMYFUNCTION("""COMPUTED_VALUE"""),45098.6781469791)</f>
        <v>45098.67815</v>
      </c>
      <c r="D4387" s="15">
        <f>IFERROR(__xludf.DUMMYFUNCTION("""COMPUTED_VALUE"""),1.001)</f>
        <v>1.001</v>
      </c>
      <c r="E4387" s="16">
        <f>IFERROR(__xludf.DUMMYFUNCTION("""COMPUTED_VALUE"""),69.0)</f>
        <v>69</v>
      </c>
      <c r="F4387" s="19" t="str">
        <f>IFERROR(__xludf.DUMMYFUNCTION("""COMPUTED_VALUE"""),"BLUE")</f>
        <v>BLUE</v>
      </c>
      <c r="G4387" s="20" t="str">
        <f>IFERROR(__xludf.DUMMYFUNCTION("""COMPUTED_VALUE"""),"Uncle Sams Cider (04/04/2023)")</f>
        <v>Uncle Sams Cider (04/04/2023)</v>
      </c>
      <c r="H4387" s="19"/>
    </row>
    <row r="4388">
      <c r="A4388" s="9"/>
      <c r="B4388" s="15"/>
      <c r="C4388" s="9">
        <f>IFERROR(__xludf.DUMMYFUNCTION("""COMPUTED_VALUE"""),45098.6677248958)</f>
        <v>45098.66772</v>
      </c>
      <c r="D4388" s="15">
        <f>IFERROR(__xludf.DUMMYFUNCTION("""COMPUTED_VALUE"""),1.001)</f>
        <v>1.001</v>
      </c>
      <c r="E4388" s="16">
        <f>IFERROR(__xludf.DUMMYFUNCTION("""COMPUTED_VALUE"""),69.0)</f>
        <v>69</v>
      </c>
      <c r="F4388" s="19" t="str">
        <f>IFERROR(__xludf.DUMMYFUNCTION("""COMPUTED_VALUE"""),"BLUE")</f>
        <v>BLUE</v>
      </c>
      <c r="G4388" s="20" t="str">
        <f>IFERROR(__xludf.DUMMYFUNCTION("""COMPUTED_VALUE"""),"Uncle Sams Cider (04/04/2023)")</f>
        <v>Uncle Sams Cider (04/04/2023)</v>
      </c>
      <c r="H4388" s="19"/>
    </row>
    <row r="4389">
      <c r="A4389" s="9"/>
      <c r="B4389" s="15"/>
      <c r="C4389" s="9">
        <f>IFERROR(__xludf.DUMMYFUNCTION("""COMPUTED_VALUE"""),45098.6573029398)</f>
        <v>45098.6573</v>
      </c>
      <c r="D4389" s="15">
        <f>IFERROR(__xludf.DUMMYFUNCTION("""COMPUTED_VALUE"""),1.001)</f>
        <v>1.001</v>
      </c>
      <c r="E4389" s="16">
        <f>IFERROR(__xludf.DUMMYFUNCTION("""COMPUTED_VALUE"""),69.0)</f>
        <v>69</v>
      </c>
      <c r="F4389" s="19" t="str">
        <f>IFERROR(__xludf.DUMMYFUNCTION("""COMPUTED_VALUE"""),"BLUE")</f>
        <v>BLUE</v>
      </c>
      <c r="G4389" s="20" t="str">
        <f>IFERROR(__xludf.DUMMYFUNCTION("""COMPUTED_VALUE"""),"Uncle Sams Cider (04/04/2023)")</f>
        <v>Uncle Sams Cider (04/04/2023)</v>
      </c>
      <c r="H4389" s="19"/>
    </row>
    <row r="4390">
      <c r="A4390" s="9"/>
      <c r="B4390" s="15"/>
      <c r="C4390" s="9">
        <f>IFERROR(__xludf.DUMMYFUNCTION("""COMPUTED_VALUE"""),45098.6468821527)</f>
        <v>45098.64688</v>
      </c>
      <c r="D4390" s="15">
        <f>IFERROR(__xludf.DUMMYFUNCTION("""COMPUTED_VALUE"""),1.001)</f>
        <v>1.001</v>
      </c>
      <c r="E4390" s="16">
        <f>IFERROR(__xludf.DUMMYFUNCTION("""COMPUTED_VALUE"""),69.0)</f>
        <v>69</v>
      </c>
      <c r="F4390" s="19" t="str">
        <f>IFERROR(__xludf.DUMMYFUNCTION("""COMPUTED_VALUE"""),"BLUE")</f>
        <v>BLUE</v>
      </c>
      <c r="G4390" s="20" t="str">
        <f>IFERROR(__xludf.DUMMYFUNCTION("""COMPUTED_VALUE"""),"Uncle Sams Cider (04/04/2023)")</f>
        <v>Uncle Sams Cider (04/04/2023)</v>
      </c>
      <c r="H4390" s="19"/>
    </row>
    <row r="4391">
      <c r="A4391" s="9"/>
      <c r="B4391" s="15"/>
      <c r="C4391" s="9">
        <f>IFERROR(__xludf.DUMMYFUNCTION("""COMPUTED_VALUE"""),45098.6364615162)</f>
        <v>45098.63646</v>
      </c>
      <c r="D4391" s="15">
        <f>IFERROR(__xludf.DUMMYFUNCTION("""COMPUTED_VALUE"""),1.001)</f>
        <v>1.001</v>
      </c>
      <c r="E4391" s="16">
        <f>IFERROR(__xludf.DUMMYFUNCTION("""COMPUTED_VALUE"""),69.0)</f>
        <v>69</v>
      </c>
      <c r="F4391" s="19" t="str">
        <f>IFERROR(__xludf.DUMMYFUNCTION("""COMPUTED_VALUE"""),"BLUE")</f>
        <v>BLUE</v>
      </c>
      <c r="G4391" s="20" t="str">
        <f>IFERROR(__xludf.DUMMYFUNCTION("""COMPUTED_VALUE"""),"Uncle Sams Cider (04/04/2023)")</f>
        <v>Uncle Sams Cider (04/04/2023)</v>
      </c>
      <c r="H4391" s="19"/>
    </row>
    <row r="4392">
      <c r="A4392" s="9"/>
      <c r="B4392" s="15"/>
      <c r="C4392" s="9">
        <f>IFERROR(__xludf.DUMMYFUNCTION("""COMPUTED_VALUE"""),45098.6260280092)</f>
        <v>45098.62603</v>
      </c>
      <c r="D4392" s="15">
        <f>IFERROR(__xludf.DUMMYFUNCTION("""COMPUTED_VALUE"""),1.001)</f>
        <v>1.001</v>
      </c>
      <c r="E4392" s="16">
        <f>IFERROR(__xludf.DUMMYFUNCTION("""COMPUTED_VALUE"""),69.0)</f>
        <v>69</v>
      </c>
      <c r="F4392" s="19" t="str">
        <f>IFERROR(__xludf.DUMMYFUNCTION("""COMPUTED_VALUE"""),"BLUE")</f>
        <v>BLUE</v>
      </c>
      <c r="G4392" s="20" t="str">
        <f>IFERROR(__xludf.DUMMYFUNCTION("""COMPUTED_VALUE"""),"Uncle Sams Cider (04/04/2023)")</f>
        <v>Uncle Sams Cider (04/04/2023)</v>
      </c>
      <c r="H4392" s="19"/>
    </row>
    <row r="4393">
      <c r="A4393" s="9"/>
      <c r="B4393" s="15"/>
      <c r="C4393" s="9">
        <f>IFERROR(__xludf.DUMMYFUNCTION("""COMPUTED_VALUE"""),45098.6156058449)</f>
        <v>45098.61561</v>
      </c>
      <c r="D4393" s="15">
        <f>IFERROR(__xludf.DUMMYFUNCTION("""COMPUTED_VALUE"""),1.001)</f>
        <v>1.001</v>
      </c>
      <c r="E4393" s="16">
        <f>IFERROR(__xludf.DUMMYFUNCTION("""COMPUTED_VALUE"""),69.0)</f>
        <v>69</v>
      </c>
      <c r="F4393" s="19" t="str">
        <f>IFERROR(__xludf.DUMMYFUNCTION("""COMPUTED_VALUE"""),"BLUE")</f>
        <v>BLUE</v>
      </c>
      <c r="G4393" s="20" t="str">
        <f>IFERROR(__xludf.DUMMYFUNCTION("""COMPUTED_VALUE"""),"Uncle Sams Cider (04/04/2023)")</f>
        <v>Uncle Sams Cider (04/04/2023)</v>
      </c>
      <c r="H4393" s="19"/>
    </row>
    <row r="4394">
      <c r="A4394" s="9"/>
      <c r="B4394" s="15"/>
      <c r="C4394" s="9">
        <f>IFERROR(__xludf.DUMMYFUNCTION("""COMPUTED_VALUE"""),45098.6051712037)</f>
        <v>45098.60517</v>
      </c>
      <c r="D4394" s="15">
        <f>IFERROR(__xludf.DUMMYFUNCTION("""COMPUTED_VALUE"""),1.001)</f>
        <v>1.001</v>
      </c>
      <c r="E4394" s="16">
        <f>IFERROR(__xludf.DUMMYFUNCTION("""COMPUTED_VALUE"""),69.0)</f>
        <v>69</v>
      </c>
      <c r="F4394" s="19" t="str">
        <f>IFERROR(__xludf.DUMMYFUNCTION("""COMPUTED_VALUE"""),"BLUE")</f>
        <v>BLUE</v>
      </c>
      <c r="G4394" s="20" t="str">
        <f>IFERROR(__xludf.DUMMYFUNCTION("""COMPUTED_VALUE"""),"Uncle Sams Cider (04/04/2023)")</f>
        <v>Uncle Sams Cider (04/04/2023)</v>
      </c>
      <c r="H4394" s="19"/>
    </row>
    <row r="4395">
      <c r="A4395" s="9"/>
      <c r="B4395" s="15"/>
      <c r="C4395" s="9">
        <f>IFERROR(__xludf.DUMMYFUNCTION("""COMPUTED_VALUE"""),45098.5947388194)</f>
        <v>45098.59474</v>
      </c>
      <c r="D4395" s="15">
        <f>IFERROR(__xludf.DUMMYFUNCTION("""COMPUTED_VALUE"""),1.001)</f>
        <v>1.001</v>
      </c>
      <c r="E4395" s="16">
        <f>IFERROR(__xludf.DUMMYFUNCTION("""COMPUTED_VALUE"""),69.0)</f>
        <v>69</v>
      </c>
      <c r="F4395" s="19" t="str">
        <f>IFERROR(__xludf.DUMMYFUNCTION("""COMPUTED_VALUE"""),"BLUE")</f>
        <v>BLUE</v>
      </c>
      <c r="G4395" s="20" t="str">
        <f>IFERROR(__xludf.DUMMYFUNCTION("""COMPUTED_VALUE"""),"Uncle Sams Cider (04/04/2023)")</f>
        <v>Uncle Sams Cider (04/04/2023)</v>
      </c>
      <c r="H4395" s="19"/>
    </row>
    <row r="4396">
      <c r="A4396" s="9"/>
      <c r="B4396" s="15"/>
      <c r="C4396" s="9">
        <f>IFERROR(__xludf.DUMMYFUNCTION("""COMPUTED_VALUE"""),45098.5843174421)</f>
        <v>45098.58432</v>
      </c>
      <c r="D4396" s="15">
        <f>IFERROR(__xludf.DUMMYFUNCTION("""COMPUTED_VALUE"""),1.001)</f>
        <v>1.001</v>
      </c>
      <c r="E4396" s="16">
        <f>IFERROR(__xludf.DUMMYFUNCTION("""COMPUTED_VALUE"""),69.0)</f>
        <v>69</v>
      </c>
      <c r="F4396" s="19" t="str">
        <f>IFERROR(__xludf.DUMMYFUNCTION("""COMPUTED_VALUE"""),"BLUE")</f>
        <v>BLUE</v>
      </c>
      <c r="G4396" s="20" t="str">
        <f>IFERROR(__xludf.DUMMYFUNCTION("""COMPUTED_VALUE"""),"Uncle Sams Cider (04/04/2023)")</f>
        <v>Uncle Sams Cider (04/04/2023)</v>
      </c>
      <c r="H4396" s="19"/>
    </row>
    <row r="4397">
      <c r="A4397" s="9"/>
      <c r="B4397" s="15"/>
      <c r="C4397" s="9">
        <f>IFERROR(__xludf.DUMMYFUNCTION("""COMPUTED_VALUE"""),45098.5738955902)</f>
        <v>45098.5739</v>
      </c>
      <c r="D4397" s="15">
        <f>IFERROR(__xludf.DUMMYFUNCTION("""COMPUTED_VALUE"""),1.001)</f>
        <v>1.001</v>
      </c>
      <c r="E4397" s="16">
        <f>IFERROR(__xludf.DUMMYFUNCTION("""COMPUTED_VALUE"""),69.0)</f>
        <v>69</v>
      </c>
      <c r="F4397" s="19" t="str">
        <f>IFERROR(__xludf.DUMMYFUNCTION("""COMPUTED_VALUE"""),"BLUE")</f>
        <v>BLUE</v>
      </c>
      <c r="G4397" s="20" t="str">
        <f>IFERROR(__xludf.DUMMYFUNCTION("""COMPUTED_VALUE"""),"Uncle Sams Cider (04/04/2023)")</f>
        <v>Uncle Sams Cider (04/04/2023)</v>
      </c>
      <c r="H4397" s="19"/>
    </row>
    <row r="4398">
      <c r="A4398" s="9"/>
      <c r="B4398" s="15"/>
      <c r="C4398" s="9">
        <f>IFERROR(__xludf.DUMMYFUNCTION("""COMPUTED_VALUE"""),45098.5634724189)</f>
        <v>45098.56347</v>
      </c>
      <c r="D4398" s="15">
        <f>IFERROR(__xludf.DUMMYFUNCTION("""COMPUTED_VALUE"""),1.001)</f>
        <v>1.001</v>
      </c>
      <c r="E4398" s="16">
        <f>IFERROR(__xludf.DUMMYFUNCTION("""COMPUTED_VALUE"""),69.0)</f>
        <v>69</v>
      </c>
      <c r="F4398" s="19" t="str">
        <f>IFERROR(__xludf.DUMMYFUNCTION("""COMPUTED_VALUE"""),"BLUE")</f>
        <v>BLUE</v>
      </c>
      <c r="G4398" s="20" t="str">
        <f>IFERROR(__xludf.DUMMYFUNCTION("""COMPUTED_VALUE"""),"Uncle Sams Cider (04/04/2023)")</f>
        <v>Uncle Sams Cider (04/04/2023)</v>
      </c>
      <c r="H4398" s="19"/>
    </row>
    <row r="4399">
      <c r="A4399" s="9"/>
      <c r="B4399" s="15"/>
      <c r="C4399" s="9">
        <f>IFERROR(__xludf.DUMMYFUNCTION("""COMPUTED_VALUE"""),45098.5530508333)</f>
        <v>45098.55305</v>
      </c>
      <c r="D4399" s="15">
        <f>IFERROR(__xludf.DUMMYFUNCTION("""COMPUTED_VALUE"""),1.001)</f>
        <v>1.001</v>
      </c>
      <c r="E4399" s="16">
        <f>IFERROR(__xludf.DUMMYFUNCTION("""COMPUTED_VALUE"""),69.0)</f>
        <v>69</v>
      </c>
      <c r="F4399" s="19" t="str">
        <f>IFERROR(__xludf.DUMMYFUNCTION("""COMPUTED_VALUE"""),"BLUE")</f>
        <v>BLUE</v>
      </c>
      <c r="G4399" s="20" t="str">
        <f>IFERROR(__xludf.DUMMYFUNCTION("""COMPUTED_VALUE"""),"Uncle Sams Cider (04/04/2023)")</f>
        <v>Uncle Sams Cider (04/04/2023)</v>
      </c>
      <c r="H4399" s="19"/>
    </row>
    <row r="4400">
      <c r="A4400" s="9"/>
      <c r="B4400" s="15"/>
      <c r="C4400" s="9">
        <f>IFERROR(__xludf.DUMMYFUNCTION("""COMPUTED_VALUE"""),45098.5426185648)</f>
        <v>45098.54262</v>
      </c>
      <c r="D4400" s="15">
        <f>IFERROR(__xludf.DUMMYFUNCTION("""COMPUTED_VALUE"""),1.001)</f>
        <v>1.001</v>
      </c>
      <c r="E4400" s="16">
        <f>IFERROR(__xludf.DUMMYFUNCTION("""COMPUTED_VALUE"""),69.0)</f>
        <v>69</v>
      </c>
      <c r="F4400" s="19" t="str">
        <f>IFERROR(__xludf.DUMMYFUNCTION("""COMPUTED_VALUE"""),"BLUE")</f>
        <v>BLUE</v>
      </c>
      <c r="G4400" s="20" t="str">
        <f>IFERROR(__xludf.DUMMYFUNCTION("""COMPUTED_VALUE"""),"Uncle Sams Cider (04/04/2023)")</f>
        <v>Uncle Sams Cider (04/04/2023)</v>
      </c>
      <c r="H4400" s="19"/>
    </row>
    <row r="4401">
      <c r="A4401" s="9"/>
      <c r="B4401" s="15"/>
      <c r="C4401" s="9">
        <f>IFERROR(__xludf.DUMMYFUNCTION("""COMPUTED_VALUE"""),45098.5321972222)</f>
        <v>45098.5322</v>
      </c>
      <c r="D4401" s="15">
        <f>IFERROR(__xludf.DUMMYFUNCTION("""COMPUTED_VALUE"""),1.001)</f>
        <v>1.001</v>
      </c>
      <c r="E4401" s="16">
        <f>IFERROR(__xludf.DUMMYFUNCTION("""COMPUTED_VALUE"""),69.0)</f>
        <v>69</v>
      </c>
      <c r="F4401" s="19" t="str">
        <f>IFERROR(__xludf.DUMMYFUNCTION("""COMPUTED_VALUE"""),"BLUE")</f>
        <v>BLUE</v>
      </c>
      <c r="G4401" s="20" t="str">
        <f>IFERROR(__xludf.DUMMYFUNCTION("""COMPUTED_VALUE"""),"Uncle Sams Cider (04/04/2023)")</f>
        <v>Uncle Sams Cider (04/04/2023)</v>
      </c>
      <c r="H4401" s="19"/>
    </row>
    <row r="4402">
      <c r="A4402" s="9"/>
      <c r="B4402" s="15"/>
      <c r="C4402" s="9">
        <f>IFERROR(__xludf.DUMMYFUNCTION("""COMPUTED_VALUE"""),45098.5217772222)</f>
        <v>45098.52178</v>
      </c>
      <c r="D4402" s="15">
        <f>IFERROR(__xludf.DUMMYFUNCTION("""COMPUTED_VALUE"""),1.001)</f>
        <v>1.001</v>
      </c>
      <c r="E4402" s="16">
        <f>IFERROR(__xludf.DUMMYFUNCTION("""COMPUTED_VALUE"""),69.0)</f>
        <v>69</v>
      </c>
      <c r="F4402" s="19" t="str">
        <f>IFERROR(__xludf.DUMMYFUNCTION("""COMPUTED_VALUE"""),"BLUE")</f>
        <v>BLUE</v>
      </c>
      <c r="G4402" s="20" t="str">
        <f>IFERROR(__xludf.DUMMYFUNCTION("""COMPUTED_VALUE"""),"Uncle Sams Cider (04/04/2023)")</f>
        <v>Uncle Sams Cider (04/04/2023)</v>
      </c>
      <c r="H4402" s="19"/>
    </row>
    <row r="4403">
      <c r="A4403" s="9"/>
      <c r="B4403" s="15"/>
      <c r="C4403" s="9">
        <f>IFERROR(__xludf.DUMMYFUNCTION("""COMPUTED_VALUE"""),45098.51134375)</f>
        <v>45098.51134</v>
      </c>
      <c r="D4403" s="15">
        <f>IFERROR(__xludf.DUMMYFUNCTION("""COMPUTED_VALUE"""),1.001)</f>
        <v>1.001</v>
      </c>
      <c r="E4403" s="16">
        <f>IFERROR(__xludf.DUMMYFUNCTION("""COMPUTED_VALUE"""),69.0)</f>
        <v>69</v>
      </c>
      <c r="F4403" s="19" t="str">
        <f>IFERROR(__xludf.DUMMYFUNCTION("""COMPUTED_VALUE"""),"BLUE")</f>
        <v>BLUE</v>
      </c>
      <c r="G4403" s="20" t="str">
        <f>IFERROR(__xludf.DUMMYFUNCTION("""COMPUTED_VALUE"""),"Uncle Sams Cider (04/04/2023)")</f>
        <v>Uncle Sams Cider (04/04/2023)</v>
      </c>
      <c r="H4403" s="19"/>
    </row>
    <row r="4404">
      <c r="A4404" s="9"/>
      <c r="B4404" s="15"/>
      <c r="C4404" s="9">
        <f>IFERROR(__xludf.DUMMYFUNCTION("""COMPUTED_VALUE"""),45098.5009124421)</f>
        <v>45098.50091</v>
      </c>
      <c r="D4404" s="15">
        <f>IFERROR(__xludf.DUMMYFUNCTION("""COMPUTED_VALUE"""),1.001)</f>
        <v>1.001</v>
      </c>
      <c r="E4404" s="16">
        <f>IFERROR(__xludf.DUMMYFUNCTION("""COMPUTED_VALUE"""),69.0)</f>
        <v>69</v>
      </c>
      <c r="F4404" s="19" t="str">
        <f>IFERROR(__xludf.DUMMYFUNCTION("""COMPUTED_VALUE"""),"BLUE")</f>
        <v>BLUE</v>
      </c>
      <c r="G4404" s="20" t="str">
        <f>IFERROR(__xludf.DUMMYFUNCTION("""COMPUTED_VALUE"""),"Uncle Sams Cider (04/04/2023)")</f>
        <v>Uncle Sams Cider (04/04/2023)</v>
      </c>
      <c r="H4404" s="19"/>
    </row>
    <row r="4405">
      <c r="A4405" s="9"/>
      <c r="B4405" s="15"/>
      <c r="C4405" s="9">
        <f>IFERROR(__xludf.DUMMYFUNCTION("""COMPUTED_VALUE"""),45098.4904794328)</f>
        <v>45098.49048</v>
      </c>
      <c r="D4405" s="15">
        <f>IFERROR(__xludf.DUMMYFUNCTION("""COMPUTED_VALUE"""),1.001)</f>
        <v>1.001</v>
      </c>
      <c r="E4405" s="16">
        <f>IFERROR(__xludf.DUMMYFUNCTION("""COMPUTED_VALUE"""),69.0)</f>
        <v>69</v>
      </c>
      <c r="F4405" s="19" t="str">
        <f>IFERROR(__xludf.DUMMYFUNCTION("""COMPUTED_VALUE"""),"BLUE")</f>
        <v>BLUE</v>
      </c>
      <c r="G4405" s="20" t="str">
        <f>IFERROR(__xludf.DUMMYFUNCTION("""COMPUTED_VALUE"""),"Uncle Sams Cider (04/04/2023)")</f>
        <v>Uncle Sams Cider (04/04/2023)</v>
      </c>
      <c r="H4405" s="19"/>
    </row>
    <row r="4406">
      <c r="A4406" s="9"/>
      <c r="B4406" s="15"/>
      <c r="C4406" s="9">
        <f>IFERROR(__xludf.DUMMYFUNCTION("""COMPUTED_VALUE"""),45098.4800584027)</f>
        <v>45098.48006</v>
      </c>
      <c r="D4406" s="15">
        <f>IFERROR(__xludf.DUMMYFUNCTION("""COMPUTED_VALUE"""),1.001)</f>
        <v>1.001</v>
      </c>
      <c r="E4406" s="16">
        <f>IFERROR(__xludf.DUMMYFUNCTION("""COMPUTED_VALUE"""),69.0)</f>
        <v>69</v>
      </c>
      <c r="F4406" s="19" t="str">
        <f>IFERROR(__xludf.DUMMYFUNCTION("""COMPUTED_VALUE"""),"BLUE")</f>
        <v>BLUE</v>
      </c>
      <c r="G4406" s="20" t="str">
        <f>IFERROR(__xludf.DUMMYFUNCTION("""COMPUTED_VALUE"""),"Uncle Sams Cider (04/04/2023)")</f>
        <v>Uncle Sams Cider (04/04/2023)</v>
      </c>
      <c r="H4406" s="19"/>
    </row>
    <row r="4407">
      <c r="A4407" s="9"/>
      <c r="B4407" s="15"/>
      <c r="C4407" s="9">
        <f>IFERROR(__xludf.DUMMYFUNCTION("""COMPUTED_VALUE"""),45098.4696152083)</f>
        <v>45098.46962</v>
      </c>
      <c r="D4407" s="15">
        <f>IFERROR(__xludf.DUMMYFUNCTION("""COMPUTED_VALUE"""),1.001)</f>
        <v>1.001</v>
      </c>
      <c r="E4407" s="16">
        <f>IFERROR(__xludf.DUMMYFUNCTION("""COMPUTED_VALUE"""),69.0)</f>
        <v>69</v>
      </c>
      <c r="F4407" s="19" t="str">
        <f>IFERROR(__xludf.DUMMYFUNCTION("""COMPUTED_VALUE"""),"BLUE")</f>
        <v>BLUE</v>
      </c>
      <c r="G4407" s="20" t="str">
        <f>IFERROR(__xludf.DUMMYFUNCTION("""COMPUTED_VALUE"""),"Uncle Sams Cider (04/04/2023)")</f>
        <v>Uncle Sams Cider (04/04/2023)</v>
      </c>
      <c r="H4407" s="19"/>
    </row>
    <row r="4408">
      <c r="A4408" s="9"/>
      <c r="B4408" s="15"/>
      <c r="C4408" s="9">
        <f>IFERROR(__xludf.DUMMYFUNCTION("""COMPUTED_VALUE"""),45098.4591812152)</f>
        <v>45098.45918</v>
      </c>
      <c r="D4408" s="15">
        <f>IFERROR(__xludf.DUMMYFUNCTION("""COMPUTED_VALUE"""),1.001)</f>
        <v>1.001</v>
      </c>
      <c r="E4408" s="16">
        <f>IFERROR(__xludf.DUMMYFUNCTION("""COMPUTED_VALUE"""),69.0)</f>
        <v>69</v>
      </c>
      <c r="F4408" s="19" t="str">
        <f>IFERROR(__xludf.DUMMYFUNCTION("""COMPUTED_VALUE"""),"BLUE")</f>
        <v>BLUE</v>
      </c>
      <c r="G4408" s="20" t="str">
        <f>IFERROR(__xludf.DUMMYFUNCTION("""COMPUTED_VALUE"""),"Uncle Sams Cider (04/04/2023)")</f>
        <v>Uncle Sams Cider (04/04/2023)</v>
      </c>
      <c r="H4408" s="19"/>
    </row>
    <row r="4409">
      <c r="A4409" s="9"/>
      <c r="B4409" s="15"/>
      <c r="C4409" s="9">
        <f>IFERROR(__xludf.DUMMYFUNCTION("""COMPUTED_VALUE"""),45098.448759699)</f>
        <v>45098.44876</v>
      </c>
      <c r="D4409" s="15">
        <f>IFERROR(__xludf.DUMMYFUNCTION("""COMPUTED_VALUE"""),1.001)</f>
        <v>1.001</v>
      </c>
      <c r="E4409" s="16">
        <f>IFERROR(__xludf.DUMMYFUNCTION("""COMPUTED_VALUE"""),69.0)</f>
        <v>69</v>
      </c>
      <c r="F4409" s="19" t="str">
        <f>IFERROR(__xludf.DUMMYFUNCTION("""COMPUTED_VALUE"""),"BLUE")</f>
        <v>BLUE</v>
      </c>
      <c r="G4409" s="20" t="str">
        <f>IFERROR(__xludf.DUMMYFUNCTION("""COMPUTED_VALUE"""),"Uncle Sams Cider (04/04/2023)")</f>
        <v>Uncle Sams Cider (04/04/2023)</v>
      </c>
      <c r="H4409" s="19"/>
    </row>
    <row r="4410">
      <c r="A4410" s="9"/>
      <c r="B4410" s="15"/>
      <c r="C4410" s="9">
        <f>IFERROR(__xludf.DUMMYFUNCTION("""COMPUTED_VALUE"""),45098.4383406828)</f>
        <v>45098.43834</v>
      </c>
      <c r="D4410" s="15">
        <f>IFERROR(__xludf.DUMMYFUNCTION("""COMPUTED_VALUE"""),1.001)</f>
        <v>1.001</v>
      </c>
      <c r="E4410" s="16">
        <f>IFERROR(__xludf.DUMMYFUNCTION("""COMPUTED_VALUE"""),69.0)</f>
        <v>69</v>
      </c>
      <c r="F4410" s="19" t="str">
        <f>IFERROR(__xludf.DUMMYFUNCTION("""COMPUTED_VALUE"""),"BLUE")</f>
        <v>BLUE</v>
      </c>
      <c r="G4410" s="20" t="str">
        <f>IFERROR(__xludf.DUMMYFUNCTION("""COMPUTED_VALUE"""),"Uncle Sams Cider (04/04/2023)")</f>
        <v>Uncle Sams Cider (04/04/2023)</v>
      </c>
      <c r="H4410" s="19"/>
    </row>
    <row r="4411">
      <c r="A4411" s="9"/>
      <c r="B4411" s="15"/>
      <c r="C4411" s="9">
        <f>IFERROR(__xludf.DUMMYFUNCTION("""COMPUTED_VALUE"""),45098.4279074189)</f>
        <v>45098.42791</v>
      </c>
      <c r="D4411" s="15">
        <f>IFERROR(__xludf.DUMMYFUNCTION("""COMPUTED_VALUE"""),1.001)</f>
        <v>1.001</v>
      </c>
      <c r="E4411" s="16">
        <f>IFERROR(__xludf.DUMMYFUNCTION("""COMPUTED_VALUE"""),69.0)</f>
        <v>69</v>
      </c>
      <c r="F4411" s="19" t="str">
        <f>IFERROR(__xludf.DUMMYFUNCTION("""COMPUTED_VALUE"""),"BLUE")</f>
        <v>BLUE</v>
      </c>
      <c r="G4411" s="20" t="str">
        <f>IFERROR(__xludf.DUMMYFUNCTION("""COMPUTED_VALUE"""),"Uncle Sams Cider (04/04/2023)")</f>
        <v>Uncle Sams Cider (04/04/2023)</v>
      </c>
      <c r="H4411" s="19"/>
    </row>
    <row r="4412">
      <c r="A4412" s="9"/>
      <c r="B4412" s="15"/>
      <c r="C4412" s="9">
        <f>IFERROR(__xludf.DUMMYFUNCTION("""COMPUTED_VALUE"""),45098.4174857638)</f>
        <v>45098.41749</v>
      </c>
      <c r="D4412" s="15">
        <f>IFERROR(__xludf.DUMMYFUNCTION("""COMPUTED_VALUE"""),1.001)</f>
        <v>1.001</v>
      </c>
      <c r="E4412" s="16">
        <f>IFERROR(__xludf.DUMMYFUNCTION("""COMPUTED_VALUE"""),69.0)</f>
        <v>69</v>
      </c>
      <c r="F4412" s="19" t="str">
        <f>IFERROR(__xludf.DUMMYFUNCTION("""COMPUTED_VALUE"""),"BLUE")</f>
        <v>BLUE</v>
      </c>
      <c r="G4412" s="20" t="str">
        <f>IFERROR(__xludf.DUMMYFUNCTION("""COMPUTED_VALUE"""),"Uncle Sams Cider (04/04/2023)")</f>
        <v>Uncle Sams Cider (04/04/2023)</v>
      </c>
      <c r="H4412" s="19"/>
    </row>
    <row r="4413">
      <c r="A4413" s="9"/>
      <c r="B4413" s="15"/>
      <c r="C4413" s="9">
        <f>IFERROR(__xludf.DUMMYFUNCTION("""COMPUTED_VALUE"""),45098.4070653819)</f>
        <v>45098.40707</v>
      </c>
      <c r="D4413" s="15">
        <f>IFERROR(__xludf.DUMMYFUNCTION("""COMPUTED_VALUE"""),1.001)</f>
        <v>1.001</v>
      </c>
      <c r="E4413" s="16">
        <f>IFERROR(__xludf.DUMMYFUNCTION("""COMPUTED_VALUE"""),69.0)</f>
        <v>69</v>
      </c>
      <c r="F4413" s="19" t="str">
        <f>IFERROR(__xludf.DUMMYFUNCTION("""COMPUTED_VALUE"""),"BLUE")</f>
        <v>BLUE</v>
      </c>
      <c r="G4413" s="20" t="str">
        <f>IFERROR(__xludf.DUMMYFUNCTION("""COMPUTED_VALUE"""),"Uncle Sams Cider (04/04/2023)")</f>
        <v>Uncle Sams Cider (04/04/2023)</v>
      </c>
      <c r="H4413" s="19"/>
    </row>
    <row r="4414">
      <c r="A4414" s="9"/>
      <c r="B4414" s="15"/>
      <c r="C4414" s="9">
        <f>IFERROR(__xludf.DUMMYFUNCTION("""COMPUTED_VALUE"""),45098.396632662)</f>
        <v>45098.39663</v>
      </c>
      <c r="D4414" s="15">
        <f>IFERROR(__xludf.DUMMYFUNCTION("""COMPUTED_VALUE"""),1.001)</f>
        <v>1.001</v>
      </c>
      <c r="E4414" s="16">
        <f>IFERROR(__xludf.DUMMYFUNCTION("""COMPUTED_VALUE"""),69.0)</f>
        <v>69</v>
      </c>
      <c r="F4414" s="19" t="str">
        <f>IFERROR(__xludf.DUMMYFUNCTION("""COMPUTED_VALUE"""),"BLUE")</f>
        <v>BLUE</v>
      </c>
      <c r="G4414" s="20" t="str">
        <f>IFERROR(__xludf.DUMMYFUNCTION("""COMPUTED_VALUE"""),"Uncle Sams Cider (04/04/2023)")</f>
        <v>Uncle Sams Cider (04/04/2023)</v>
      </c>
      <c r="H4414" s="19"/>
    </row>
    <row r="4415">
      <c r="A4415" s="9"/>
      <c r="B4415" s="15"/>
      <c r="C4415" s="9">
        <f>IFERROR(__xludf.DUMMYFUNCTION("""COMPUTED_VALUE"""),45098.3862103472)</f>
        <v>45098.38621</v>
      </c>
      <c r="D4415" s="15">
        <f>IFERROR(__xludf.DUMMYFUNCTION("""COMPUTED_VALUE"""),1.001)</f>
        <v>1.001</v>
      </c>
      <c r="E4415" s="16">
        <f>IFERROR(__xludf.DUMMYFUNCTION("""COMPUTED_VALUE"""),69.0)</f>
        <v>69</v>
      </c>
      <c r="F4415" s="19" t="str">
        <f>IFERROR(__xludf.DUMMYFUNCTION("""COMPUTED_VALUE"""),"BLUE")</f>
        <v>BLUE</v>
      </c>
      <c r="G4415" s="20" t="str">
        <f>IFERROR(__xludf.DUMMYFUNCTION("""COMPUTED_VALUE"""),"Uncle Sams Cider (04/04/2023)")</f>
        <v>Uncle Sams Cider (04/04/2023)</v>
      </c>
      <c r="H4415" s="19"/>
    </row>
    <row r="4416">
      <c r="A4416" s="9"/>
      <c r="B4416" s="15"/>
      <c r="C4416" s="9">
        <f>IFERROR(__xludf.DUMMYFUNCTION("""COMPUTED_VALUE"""),45098.3757906134)</f>
        <v>45098.37579</v>
      </c>
      <c r="D4416" s="15">
        <f>IFERROR(__xludf.DUMMYFUNCTION("""COMPUTED_VALUE"""),1.001)</f>
        <v>1.001</v>
      </c>
      <c r="E4416" s="16">
        <f>IFERROR(__xludf.DUMMYFUNCTION("""COMPUTED_VALUE"""),69.0)</f>
        <v>69</v>
      </c>
      <c r="F4416" s="19" t="str">
        <f>IFERROR(__xludf.DUMMYFUNCTION("""COMPUTED_VALUE"""),"BLUE")</f>
        <v>BLUE</v>
      </c>
      <c r="G4416" s="20" t="str">
        <f>IFERROR(__xludf.DUMMYFUNCTION("""COMPUTED_VALUE"""),"Uncle Sams Cider (04/04/2023)")</f>
        <v>Uncle Sams Cider (04/04/2023)</v>
      </c>
      <c r="H4416" s="19"/>
    </row>
    <row r="4417">
      <c r="A4417" s="9"/>
      <c r="B4417" s="15"/>
      <c r="C4417" s="9">
        <f>IFERROR(__xludf.DUMMYFUNCTION("""COMPUTED_VALUE"""),45098.3653588194)</f>
        <v>45098.36536</v>
      </c>
      <c r="D4417" s="15">
        <f>IFERROR(__xludf.DUMMYFUNCTION("""COMPUTED_VALUE"""),1.001)</f>
        <v>1.001</v>
      </c>
      <c r="E4417" s="16">
        <f>IFERROR(__xludf.DUMMYFUNCTION("""COMPUTED_VALUE"""),69.0)</f>
        <v>69</v>
      </c>
      <c r="F4417" s="19" t="str">
        <f>IFERROR(__xludf.DUMMYFUNCTION("""COMPUTED_VALUE"""),"BLUE")</f>
        <v>BLUE</v>
      </c>
      <c r="G4417" s="20" t="str">
        <f>IFERROR(__xludf.DUMMYFUNCTION("""COMPUTED_VALUE"""),"Uncle Sams Cider (04/04/2023)")</f>
        <v>Uncle Sams Cider (04/04/2023)</v>
      </c>
      <c r="H4417" s="19"/>
    </row>
    <row r="4418">
      <c r="A4418" s="9"/>
      <c r="B4418" s="15"/>
      <c r="C4418" s="9">
        <f>IFERROR(__xludf.DUMMYFUNCTION("""COMPUTED_VALUE"""),45098.3549144097)</f>
        <v>45098.35491</v>
      </c>
      <c r="D4418" s="15">
        <f>IFERROR(__xludf.DUMMYFUNCTION("""COMPUTED_VALUE"""),1.001)</f>
        <v>1.001</v>
      </c>
      <c r="E4418" s="16">
        <f>IFERROR(__xludf.DUMMYFUNCTION("""COMPUTED_VALUE"""),69.0)</f>
        <v>69</v>
      </c>
      <c r="F4418" s="19" t="str">
        <f>IFERROR(__xludf.DUMMYFUNCTION("""COMPUTED_VALUE"""),"BLUE")</f>
        <v>BLUE</v>
      </c>
      <c r="G4418" s="20" t="str">
        <f>IFERROR(__xludf.DUMMYFUNCTION("""COMPUTED_VALUE"""),"Uncle Sams Cider (04/04/2023)")</f>
        <v>Uncle Sams Cider (04/04/2023)</v>
      </c>
      <c r="H4418" s="19"/>
    </row>
    <row r="4419">
      <c r="A4419" s="9"/>
      <c r="B4419" s="15"/>
      <c r="C4419" s="9">
        <f>IFERROR(__xludf.DUMMYFUNCTION("""COMPUTED_VALUE"""),45098.3444929166)</f>
        <v>45098.34449</v>
      </c>
      <c r="D4419" s="15">
        <f>IFERROR(__xludf.DUMMYFUNCTION("""COMPUTED_VALUE"""),1.001)</f>
        <v>1.001</v>
      </c>
      <c r="E4419" s="16">
        <f>IFERROR(__xludf.DUMMYFUNCTION("""COMPUTED_VALUE"""),69.0)</f>
        <v>69</v>
      </c>
      <c r="F4419" s="19" t="str">
        <f>IFERROR(__xludf.DUMMYFUNCTION("""COMPUTED_VALUE"""),"BLUE")</f>
        <v>BLUE</v>
      </c>
      <c r="G4419" s="20" t="str">
        <f>IFERROR(__xludf.DUMMYFUNCTION("""COMPUTED_VALUE"""),"Uncle Sams Cider (04/04/2023)")</f>
        <v>Uncle Sams Cider (04/04/2023)</v>
      </c>
      <c r="H4419" s="19"/>
    </row>
    <row r="4420">
      <c r="A4420" s="9"/>
      <c r="B4420" s="15"/>
      <c r="C4420" s="9">
        <f>IFERROR(__xludf.DUMMYFUNCTION("""COMPUTED_VALUE"""),45098.3340709722)</f>
        <v>45098.33407</v>
      </c>
      <c r="D4420" s="15">
        <f>IFERROR(__xludf.DUMMYFUNCTION("""COMPUTED_VALUE"""),1.001)</f>
        <v>1.001</v>
      </c>
      <c r="E4420" s="16">
        <f>IFERROR(__xludf.DUMMYFUNCTION("""COMPUTED_VALUE"""),69.0)</f>
        <v>69</v>
      </c>
      <c r="F4420" s="19" t="str">
        <f>IFERROR(__xludf.DUMMYFUNCTION("""COMPUTED_VALUE"""),"BLUE")</f>
        <v>BLUE</v>
      </c>
      <c r="G4420" s="20" t="str">
        <f>IFERROR(__xludf.DUMMYFUNCTION("""COMPUTED_VALUE"""),"Uncle Sams Cider (04/04/2023)")</f>
        <v>Uncle Sams Cider (04/04/2023)</v>
      </c>
      <c r="H4420" s="19"/>
    </row>
    <row r="4421">
      <c r="A4421" s="9"/>
      <c r="B4421" s="15"/>
      <c r="C4421" s="9">
        <f>IFERROR(__xludf.DUMMYFUNCTION("""COMPUTED_VALUE"""),45098.3236491898)</f>
        <v>45098.32365</v>
      </c>
      <c r="D4421" s="15">
        <f>IFERROR(__xludf.DUMMYFUNCTION("""COMPUTED_VALUE"""),1.001)</f>
        <v>1.001</v>
      </c>
      <c r="E4421" s="16">
        <f>IFERROR(__xludf.DUMMYFUNCTION("""COMPUTED_VALUE"""),69.0)</f>
        <v>69</v>
      </c>
      <c r="F4421" s="19" t="str">
        <f>IFERROR(__xludf.DUMMYFUNCTION("""COMPUTED_VALUE"""),"BLUE")</f>
        <v>BLUE</v>
      </c>
      <c r="G4421" s="20" t="str">
        <f>IFERROR(__xludf.DUMMYFUNCTION("""COMPUTED_VALUE"""),"Uncle Sams Cider (04/04/2023)")</f>
        <v>Uncle Sams Cider (04/04/2023)</v>
      </c>
      <c r="H4421" s="19"/>
    </row>
    <row r="4422">
      <c r="A4422" s="9"/>
      <c r="B4422" s="15"/>
      <c r="C4422" s="9">
        <f>IFERROR(__xludf.DUMMYFUNCTION("""COMPUTED_VALUE"""),45098.3132293287)</f>
        <v>45098.31323</v>
      </c>
      <c r="D4422" s="15">
        <f>IFERROR(__xludf.DUMMYFUNCTION("""COMPUTED_VALUE"""),1.001)</f>
        <v>1.001</v>
      </c>
      <c r="E4422" s="16">
        <f>IFERROR(__xludf.DUMMYFUNCTION("""COMPUTED_VALUE"""),69.0)</f>
        <v>69</v>
      </c>
      <c r="F4422" s="19" t="str">
        <f>IFERROR(__xludf.DUMMYFUNCTION("""COMPUTED_VALUE"""),"BLUE")</f>
        <v>BLUE</v>
      </c>
      <c r="G4422" s="20" t="str">
        <f>IFERROR(__xludf.DUMMYFUNCTION("""COMPUTED_VALUE"""),"Uncle Sams Cider (04/04/2023)")</f>
        <v>Uncle Sams Cider (04/04/2023)</v>
      </c>
      <c r="H4422" s="19"/>
    </row>
    <row r="4423">
      <c r="A4423" s="9"/>
      <c r="B4423" s="15"/>
      <c r="C4423" s="9">
        <f>IFERROR(__xludf.DUMMYFUNCTION("""COMPUTED_VALUE"""),45098.3028077314)</f>
        <v>45098.30281</v>
      </c>
      <c r="D4423" s="15">
        <f>IFERROR(__xludf.DUMMYFUNCTION("""COMPUTED_VALUE"""),1.001)</f>
        <v>1.001</v>
      </c>
      <c r="E4423" s="16">
        <f>IFERROR(__xludf.DUMMYFUNCTION("""COMPUTED_VALUE"""),69.0)</f>
        <v>69</v>
      </c>
      <c r="F4423" s="19" t="str">
        <f>IFERROR(__xludf.DUMMYFUNCTION("""COMPUTED_VALUE"""),"BLUE")</f>
        <v>BLUE</v>
      </c>
      <c r="G4423" s="20" t="str">
        <f>IFERROR(__xludf.DUMMYFUNCTION("""COMPUTED_VALUE"""),"Uncle Sams Cider (04/04/2023)")</f>
        <v>Uncle Sams Cider (04/04/2023)</v>
      </c>
      <c r="H4423" s="19"/>
    </row>
    <row r="4424">
      <c r="A4424" s="9"/>
      <c r="B4424" s="15"/>
      <c r="C4424" s="9">
        <f>IFERROR(__xludf.DUMMYFUNCTION("""COMPUTED_VALUE"""),45098.2923649074)</f>
        <v>45098.29236</v>
      </c>
      <c r="D4424" s="15">
        <f>IFERROR(__xludf.DUMMYFUNCTION("""COMPUTED_VALUE"""),1.001)</f>
        <v>1.001</v>
      </c>
      <c r="E4424" s="16">
        <f>IFERROR(__xludf.DUMMYFUNCTION("""COMPUTED_VALUE"""),69.0)</f>
        <v>69</v>
      </c>
      <c r="F4424" s="19" t="str">
        <f>IFERROR(__xludf.DUMMYFUNCTION("""COMPUTED_VALUE"""),"BLUE")</f>
        <v>BLUE</v>
      </c>
      <c r="G4424" s="20" t="str">
        <f>IFERROR(__xludf.DUMMYFUNCTION("""COMPUTED_VALUE"""),"Uncle Sams Cider (04/04/2023)")</f>
        <v>Uncle Sams Cider (04/04/2023)</v>
      </c>
      <c r="H4424" s="19"/>
    </row>
    <row r="4425">
      <c r="A4425" s="9"/>
      <c r="B4425" s="15"/>
      <c r="C4425" s="9">
        <f>IFERROR(__xludf.DUMMYFUNCTION("""COMPUTED_VALUE"""),45098.2819449074)</f>
        <v>45098.28194</v>
      </c>
      <c r="D4425" s="15">
        <f>IFERROR(__xludf.DUMMYFUNCTION("""COMPUTED_VALUE"""),1.001)</f>
        <v>1.001</v>
      </c>
      <c r="E4425" s="16">
        <f>IFERROR(__xludf.DUMMYFUNCTION("""COMPUTED_VALUE"""),69.0)</f>
        <v>69</v>
      </c>
      <c r="F4425" s="19" t="str">
        <f>IFERROR(__xludf.DUMMYFUNCTION("""COMPUTED_VALUE"""),"BLUE")</f>
        <v>BLUE</v>
      </c>
      <c r="G4425" s="20" t="str">
        <f>IFERROR(__xludf.DUMMYFUNCTION("""COMPUTED_VALUE"""),"Uncle Sams Cider (04/04/2023)")</f>
        <v>Uncle Sams Cider (04/04/2023)</v>
      </c>
      <c r="H4425" s="19"/>
    </row>
    <row r="4426">
      <c r="A4426" s="9"/>
      <c r="B4426" s="15"/>
      <c r="C4426" s="9">
        <f>IFERROR(__xludf.DUMMYFUNCTION("""COMPUTED_VALUE"""),45098.2715246064)</f>
        <v>45098.27152</v>
      </c>
      <c r="D4426" s="15">
        <f>IFERROR(__xludf.DUMMYFUNCTION("""COMPUTED_VALUE"""),1.001)</f>
        <v>1.001</v>
      </c>
      <c r="E4426" s="16">
        <f>IFERROR(__xludf.DUMMYFUNCTION("""COMPUTED_VALUE"""),69.0)</f>
        <v>69</v>
      </c>
      <c r="F4426" s="19" t="str">
        <f>IFERROR(__xludf.DUMMYFUNCTION("""COMPUTED_VALUE"""),"BLUE")</f>
        <v>BLUE</v>
      </c>
      <c r="G4426" s="20" t="str">
        <f>IFERROR(__xludf.DUMMYFUNCTION("""COMPUTED_VALUE"""),"Uncle Sams Cider (04/04/2023)")</f>
        <v>Uncle Sams Cider (04/04/2023)</v>
      </c>
      <c r="H4426" s="19"/>
    </row>
    <row r="4427">
      <c r="A4427" s="9"/>
      <c r="B4427" s="15"/>
      <c r="C4427" s="9">
        <f>IFERROR(__xludf.DUMMYFUNCTION("""COMPUTED_VALUE"""),45098.2611026736)</f>
        <v>45098.2611</v>
      </c>
      <c r="D4427" s="15">
        <f>IFERROR(__xludf.DUMMYFUNCTION("""COMPUTED_VALUE"""),1.001)</f>
        <v>1.001</v>
      </c>
      <c r="E4427" s="16">
        <f>IFERROR(__xludf.DUMMYFUNCTION("""COMPUTED_VALUE"""),69.0)</f>
        <v>69</v>
      </c>
      <c r="F4427" s="19" t="str">
        <f>IFERROR(__xludf.DUMMYFUNCTION("""COMPUTED_VALUE"""),"BLUE")</f>
        <v>BLUE</v>
      </c>
      <c r="G4427" s="20" t="str">
        <f>IFERROR(__xludf.DUMMYFUNCTION("""COMPUTED_VALUE"""),"Uncle Sams Cider (04/04/2023)")</f>
        <v>Uncle Sams Cider (04/04/2023)</v>
      </c>
      <c r="H4427" s="19"/>
    </row>
    <row r="4428">
      <c r="A4428" s="9"/>
      <c r="B4428" s="15"/>
      <c r="C4428" s="9">
        <f>IFERROR(__xludf.DUMMYFUNCTION("""COMPUTED_VALUE"""),45098.2506818634)</f>
        <v>45098.25068</v>
      </c>
      <c r="D4428" s="15">
        <f>IFERROR(__xludf.DUMMYFUNCTION("""COMPUTED_VALUE"""),1.001)</f>
        <v>1.001</v>
      </c>
      <c r="E4428" s="16">
        <f>IFERROR(__xludf.DUMMYFUNCTION("""COMPUTED_VALUE"""),69.0)</f>
        <v>69</v>
      </c>
      <c r="F4428" s="19" t="str">
        <f>IFERROR(__xludf.DUMMYFUNCTION("""COMPUTED_VALUE"""),"BLUE")</f>
        <v>BLUE</v>
      </c>
      <c r="G4428" s="20" t="str">
        <f>IFERROR(__xludf.DUMMYFUNCTION("""COMPUTED_VALUE"""),"Uncle Sams Cider (04/04/2023)")</f>
        <v>Uncle Sams Cider (04/04/2023)</v>
      </c>
      <c r="H4428" s="19"/>
    </row>
    <row r="4429">
      <c r="A4429" s="9"/>
      <c r="B4429" s="15"/>
      <c r="C4429" s="9">
        <f>IFERROR(__xludf.DUMMYFUNCTION("""COMPUTED_VALUE"""),45098.2402596412)</f>
        <v>45098.24026</v>
      </c>
      <c r="D4429" s="15">
        <f>IFERROR(__xludf.DUMMYFUNCTION("""COMPUTED_VALUE"""),1.001)</f>
        <v>1.001</v>
      </c>
      <c r="E4429" s="16">
        <f>IFERROR(__xludf.DUMMYFUNCTION("""COMPUTED_VALUE"""),69.0)</f>
        <v>69</v>
      </c>
      <c r="F4429" s="19" t="str">
        <f>IFERROR(__xludf.DUMMYFUNCTION("""COMPUTED_VALUE"""),"BLUE")</f>
        <v>BLUE</v>
      </c>
      <c r="G4429" s="20" t="str">
        <f>IFERROR(__xludf.DUMMYFUNCTION("""COMPUTED_VALUE"""),"Uncle Sams Cider (04/04/2023)")</f>
        <v>Uncle Sams Cider (04/04/2023)</v>
      </c>
      <c r="H4429" s="19"/>
    </row>
    <row r="4430">
      <c r="A4430" s="9"/>
      <c r="B4430" s="15"/>
      <c r="C4430" s="9">
        <f>IFERROR(__xludf.DUMMYFUNCTION("""COMPUTED_VALUE"""),45098.2298262037)</f>
        <v>45098.22983</v>
      </c>
      <c r="D4430" s="15">
        <f>IFERROR(__xludf.DUMMYFUNCTION("""COMPUTED_VALUE"""),1.001)</f>
        <v>1.001</v>
      </c>
      <c r="E4430" s="16">
        <f>IFERROR(__xludf.DUMMYFUNCTION("""COMPUTED_VALUE"""),69.0)</f>
        <v>69</v>
      </c>
      <c r="F4430" s="19" t="str">
        <f>IFERROR(__xludf.DUMMYFUNCTION("""COMPUTED_VALUE"""),"BLUE")</f>
        <v>BLUE</v>
      </c>
      <c r="G4430" s="20" t="str">
        <f>IFERROR(__xludf.DUMMYFUNCTION("""COMPUTED_VALUE"""),"Uncle Sams Cider (04/04/2023)")</f>
        <v>Uncle Sams Cider (04/04/2023)</v>
      </c>
      <c r="H4430" s="19"/>
    </row>
    <row r="4431">
      <c r="A4431" s="9"/>
      <c r="B4431" s="15"/>
      <c r="C4431" s="9">
        <f>IFERROR(__xludf.DUMMYFUNCTION("""COMPUTED_VALUE"""),45098.2194025231)</f>
        <v>45098.2194</v>
      </c>
      <c r="D4431" s="15">
        <f>IFERROR(__xludf.DUMMYFUNCTION("""COMPUTED_VALUE"""),1.001)</f>
        <v>1.001</v>
      </c>
      <c r="E4431" s="16">
        <f>IFERROR(__xludf.DUMMYFUNCTION("""COMPUTED_VALUE"""),69.0)</f>
        <v>69</v>
      </c>
      <c r="F4431" s="19" t="str">
        <f>IFERROR(__xludf.DUMMYFUNCTION("""COMPUTED_VALUE"""),"BLUE")</f>
        <v>BLUE</v>
      </c>
      <c r="G4431" s="20" t="str">
        <f>IFERROR(__xludf.DUMMYFUNCTION("""COMPUTED_VALUE"""),"Uncle Sams Cider (04/04/2023)")</f>
        <v>Uncle Sams Cider (04/04/2023)</v>
      </c>
      <c r="H4431" s="19"/>
    </row>
    <row r="4432">
      <c r="A4432" s="9"/>
      <c r="B4432" s="15"/>
      <c r="C4432" s="9">
        <f>IFERROR(__xludf.DUMMYFUNCTION("""COMPUTED_VALUE"""),45098.2089675115)</f>
        <v>45098.20897</v>
      </c>
      <c r="D4432" s="15">
        <f>IFERROR(__xludf.DUMMYFUNCTION("""COMPUTED_VALUE"""),1.001)</f>
        <v>1.001</v>
      </c>
      <c r="E4432" s="16">
        <f>IFERROR(__xludf.DUMMYFUNCTION("""COMPUTED_VALUE"""),69.0)</f>
        <v>69</v>
      </c>
      <c r="F4432" s="19" t="str">
        <f>IFERROR(__xludf.DUMMYFUNCTION("""COMPUTED_VALUE"""),"BLUE")</f>
        <v>BLUE</v>
      </c>
      <c r="G4432" s="20" t="str">
        <f>IFERROR(__xludf.DUMMYFUNCTION("""COMPUTED_VALUE"""),"Uncle Sams Cider (04/04/2023)")</f>
        <v>Uncle Sams Cider (04/04/2023)</v>
      </c>
      <c r="H4432" s="19"/>
    </row>
    <row r="4433">
      <c r="A4433" s="9"/>
      <c r="B4433" s="15"/>
      <c r="C4433" s="9">
        <f>IFERROR(__xludf.DUMMYFUNCTION("""COMPUTED_VALUE"""),45098.1985455787)</f>
        <v>45098.19855</v>
      </c>
      <c r="D4433" s="15">
        <f>IFERROR(__xludf.DUMMYFUNCTION("""COMPUTED_VALUE"""),1.001)</f>
        <v>1.001</v>
      </c>
      <c r="E4433" s="16">
        <f>IFERROR(__xludf.DUMMYFUNCTION("""COMPUTED_VALUE"""),69.0)</f>
        <v>69</v>
      </c>
      <c r="F4433" s="19" t="str">
        <f>IFERROR(__xludf.DUMMYFUNCTION("""COMPUTED_VALUE"""),"BLUE")</f>
        <v>BLUE</v>
      </c>
      <c r="G4433" s="20" t="str">
        <f>IFERROR(__xludf.DUMMYFUNCTION("""COMPUTED_VALUE"""),"Uncle Sams Cider (04/04/2023)")</f>
        <v>Uncle Sams Cider (04/04/2023)</v>
      </c>
      <c r="H4433" s="19"/>
    </row>
    <row r="4434">
      <c r="A4434" s="9"/>
      <c r="B4434" s="15"/>
      <c r="C4434" s="9">
        <f>IFERROR(__xludf.DUMMYFUNCTION("""COMPUTED_VALUE"""),45098.1881249421)</f>
        <v>45098.18812</v>
      </c>
      <c r="D4434" s="15">
        <f>IFERROR(__xludf.DUMMYFUNCTION("""COMPUTED_VALUE"""),1.001)</f>
        <v>1.001</v>
      </c>
      <c r="E4434" s="16">
        <f>IFERROR(__xludf.DUMMYFUNCTION("""COMPUTED_VALUE"""),69.0)</f>
        <v>69</v>
      </c>
      <c r="F4434" s="19" t="str">
        <f>IFERROR(__xludf.DUMMYFUNCTION("""COMPUTED_VALUE"""),"BLUE")</f>
        <v>BLUE</v>
      </c>
      <c r="G4434" s="20" t="str">
        <f>IFERROR(__xludf.DUMMYFUNCTION("""COMPUTED_VALUE"""),"Uncle Sams Cider (04/04/2023)")</f>
        <v>Uncle Sams Cider (04/04/2023)</v>
      </c>
      <c r="H4434" s="19"/>
    </row>
    <row r="4435">
      <c r="A4435" s="9"/>
      <c r="B4435" s="15"/>
      <c r="C4435" s="9">
        <f>IFERROR(__xludf.DUMMYFUNCTION("""COMPUTED_VALUE"""),45098.1777045023)</f>
        <v>45098.1777</v>
      </c>
      <c r="D4435" s="15">
        <f>IFERROR(__xludf.DUMMYFUNCTION("""COMPUTED_VALUE"""),1.001)</f>
        <v>1.001</v>
      </c>
      <c r="E4435" s="16">
        <f>IFERROR(__xludf.DUMMYFUNCTION("""COMPUTED_VALUE"""),69.0)</f>
        <v>69</v>
      </c>
      <c r="F4435" s="19" t="str">
        <f>IFERROR(__xludf.DUMMYFUNCTION("""COMPUTED_VALUE"""),"BLUE")</f>
        <v>BLUE</v>
      </c>
      <c r="G4435" s="20" t="str">
        <f>IFERROR(__xludf.DUMMYFUNCTION("""COMPUTED_VALUE"""),"Uncle Sams Cider (04/04/2023)")</f>
        <v>Uncle Sams Cider (04/04/2023)</v>
      </c>
      <c r="H4435" s="19"/>
    </row>
    <row r="4436">
      <c r="A4436" s="9"/>
      <c r="B4436" s="15"/>
      <c r="C4436" s="9">
        <f>IFERROR(__xludf.DUMMYFUNCTION("""COMPUTED_VALUE"""),45098.167282824)</f>
        <v>45098.16728</v>
      </c>
      <c r="D4436" s="15">
        <f>IFERROR(__xludf.DUMMYFUNCTION("""COMPUTED_VALUE"""),1.001)</f>
        <v>1.001</v>
      </c>
      <c r="E4436" s="16">
        <f>IFERROR(__xludf.DUMMYFUNCTION("""COMPUTED_VALUE"""),69.0)</f>
        <v>69</v>
      </c>
      <c r="F4436" s="19" t="str">
        <f>IFERROR(__xludf.DUMMYFUNCTION("""COMPUTED_VALUE"""),"BLUE")</f>
        <v>BLUE</v>
      </c>
      <c r="G4436" s="20" t="str">
        <f>IFERROR(__xludf.DUMMYFUNCTION("""COMPUTED_VALUE"""),"Uncle Sams Cider (04/04/2023)")</f>
        <v>Uncle Sams Cider (04/04/2023)</v>
      </c>
      <c r="H4436" s="19"/>
    </row>
    <row r="4437">
      <c r="A4437" s="9"/>
      <c r="B4437" s="15"/>
      <c r="C4437" s="9">
        <f>IFERROR(__xludf.DUMMYFUNCTION("""COMPUTED_VALUE"""),45098.1568367013)</f>
        <v>45098.15684</v>
      </c>
      <c r="D4437" s="15">
        <f>IFERROR(__xludf.DUMMYFUNCTION("""COMPUTED_VALUE"""),1.001)</f>
        <v>1.001</v>
      </c>
      <c r="E4437" s="16">
        <f>IFERROR(__xludf.DUMMYFUNCTION("""COMPUTED_VALUE"""),69.0)</f>
        <v>69</v>
      </c>
      <c r="F4437" s="19" t="str">
        <f>IFERROR(__xludf.DUMMYFUNCTION("""COMPUTED_VALUE"""),"BLUE")</f>
        <v>BLUE</v>
      </c>
      <c r="G4437" s="20" t="str">
        <f>IFERROR(__xludf.DUMMYFUNCTION("""COMPUTED_VALUE"""),"Uncle Sams Cider (04/04/2023)")</f>
        <v>Uncle Sams Cider (04/04/2023)</v>
      </c>
      <c r="H4437" s="19"/>
    </row>
    <row r="4438">
      <c r="A4438" s="9"/>
      <c r="B4438" s="15"/>
      <c r="C4438" s="9">
        <f>IFERROR(__xludf.DUMMYFUNCTION("""COMPUTED_VALUE"""),45098.1464151041)</f>
        <v>45098.14642</v>
      </c>
      <c r="D4438" s="15">
        <f>IFERROR(__xludf.DUMMYFUNCTION("""COMPUTED_VALUE"""),1.001)</f>
        <v>1.001</v>
      </c>
      <c r="E4438" s="16">
        <f>IFERROR(__xludf.DUMMYFUNCTION("""COMPUTED_VALUE"""),69.0)</f>
        <v>69</v>
      </c>
      <c r="F4438" s="19" t="str">
        <f>IFERROR(__xludf.DUMMYFUNCTION("""COMPUTED_VALUE"""),"BLUE")</f>
        <v>BLUE</v>
      </c>
      <c r="G4438" s="20" t="str">
        <f>IFERROR(__xludf.DUMMYFUNCTION("""COMPUTED_VALUE"""),"Uncle Sams Cider (04/04/2023)")</f>
        <v>Uncle Sams Cider (04/04/2023)</v>
      </c>
      <c r="H4438" s="19"/>
    </row>
    <row r="4439">
      <c r="A4439" s="9"/>
      <c r="B4439" s="15"/>
      <c r="C4439" s="9">
        <f>IFERROR(__xludf.DUMMYFUNCTION("""COMPUTED_VALUE"""),45098.1359931944)</f>
        <v>45098.13599</v>
      </c>
      <c r="D4439" s="15">
        <f>IFERROR(__xludf.DUMMYFUNCTION("""COMPUTED_VALUE"""),1.001)</f>
        <v>1.001</v>
      </c>
      <c r="E4439" s="16">
        <f>IFERROR(__xludf.DUMMYFUNCTION("""COMPUTED_VALUE"""),69.0)</f>
        <v>69</v>
      </c>
      <c r="F4439" s="19" t="str">
        <f>IFERROR(__xludf.DUMMYFUNCTION("""COMPUTED_VALUE"""),"BLUE")</f>
        <v>BLUE</v>
      </c>
      <c r="G4439" s="20" t="str">
        <f>IFERROR(__xludf.DUMMYFUNCTION("""COMPUTED_VALUE"""),"Uncle Sams Cider (04/04/2023)")</f>
        <v>Uncle Sams Cider (04/04/2023)</v>
      </c>
      <c r="H4439" s="19"/>
    </row>
    <row r="4440">
      <c r="A4440" s="9"/>
      <c r="B4440" s="15"/>
      <c r="C4440" s="9">
        <f>IFERROR(__xludf.DUMMYFUNCTION("""COMPUTED_VALUE"""),45098.1255719213)</f>
        <v>45098.12557</v>
      </c>
      <c r="D4440" s="15">
        <f>IFERROR(__xludf.DUMMYFUNCTION("""COMPUTED_VALUE"""),1.001)</f>
        <v>1.001</v>
      </c>
      <c r="E4440" s="16">
        <f>IFERROR(__xludf.DUMMYFUNCTION("""COMPUTED_VALUE"""),69.0)</f>
        <v>69</v>
      </c>
      <c r="F4440" s="19" t="str">
        <f>IFERROR(__xludf.DUMMYFUNCTION("""COMPUTED_VALUE"""),"BLUE")</f>
        <v>BLUE</v>
      </c>
      <c r="G4440" s="20" t="str">
        <f>IFERROR(__xludf.DUMMYFUNCTION("""COMPUTED_VALUE"""),"Uncle Sams Cider (04/04/2023)")</f>
        <v>Uncle Sams Cider (04/04/2023)</v>
      </c>
      <c r="H4440" s="19"/>
    </row>
    <row r="4441">
      <c r="A4441" s="9"/>
      <c r="B4441" s="15"/>
      <c r="C4441" s="9">
        <f>IFERROR(__xludf.DUMMYFUNCTION("""COMPUTED_VALUE"""),45098.1151495949)</f>
        <v>45098.11515</v>
      </c>
      <c r="D4441" s="15">
        <f>IFERROR(__xludf.DUMMYFUNCTION("""COMPUTED_VALUE"""),1.001)</f>
        <v>1.001</v>
      </c>
      <c r="E4441" s="16">
        <f>IFERROR(__xludf.DUMMYFUNCTION("""COMPUTED_VALUE"""),69.0)</f>
        <v>69</v>
      </c>
      <c r="F4441" s="19" t="str">
        <f>IFERROR(__xludf.DUMMYFUNCTION("""COMPUTED_VALUE"""),"BLUE")</f>
        <v>BLUE</v>
      </c>
      <c r="G4441" s="20" t="str">
        <f>IFERROR(__xludf.DUMMYFUNCTION("""COMPUTED_VALUE"""),"Uncle Sams Cider (04/04/2023)")</f>
        <v>Uncle Sams Cider (04/04/2023)</v>
      </c>
      <c r="H4441" s="19"/>
    </row>
    <row r="4442">
      <c r="A4442" s="9"/>
      <c r="B4442" s="15"/>
      <c r="C4442" s="9">
        <f>IFERROR(__xludf.DUMMYFUNCTION("""COMPUTED_VALUE"""),45098.1047287615)</f>
        <v>45098.10473</v>
      </c>
      <c r="D4442" s="15">
        <f>IFERROR(__xludf.DUMMYFUNCTION("""COMPUTED_VALUE"""),1.001)</f>
        <v>1.001</v>
      </c>
      <c r="E4442" s="16">
        <f>IFERROR(__xludf.DUMMYFUNCTION("""COMPUTED_VALUE"""),69.0)</f>
        <v>69</v>
      </c>
      <c r="F4442" s="19" t="str">
        <f>IFERROR(__xludf.DUMMYFUNCTION("""COMPUTED_VALUE"""),"BLUE")</f>
        <v>BLUE</v>
      </c>
      <c r="G4442" s="20" t="str">
        <f>IFERROR(__xludf.DUMMYFUNCTION("""COMPUTED_VALUE"""),"Uncle Sams Cider (04/04/2023)")</f>
        <v>Uncle Sams Cider (04/04/2023)</v>
      </c>
      <c r="H4442" s="19"/>
    </row>
    <row r="4443">
      <c r="A4443" s="9"/>
      <c r="B4443" s="15"/>
      <c r="C4443" s="9">
        <f>IFERROR(__xludf.DUMMYFUNCTION("""COMPUTED_VALUE"""),45098.0943075578)</f>
        <v>45098.09431</v>
      </c>
      <c r="D4443" s="15">
        <f>IFERROR(__xludf.DUMMYFUNCTION("""COMPUTED_VALUE"""),1.001)</f>
        <v>1.001</v>
      </c>
      <c r="E4443" s="16">
        <f>IFERROR(__xludf.DUMMYFUNCTION("""COMPUTED_VALUE"""),69.0)</f>
        <v>69</v>
      </c>
      <c r="F4443" s="19" t="str">
        <f>IFERROR(__xludf.DUMMYFUNCTION("""COMPUTED_VALUE"""),"BLUE")</f>
        <v>BLUE</v>
      </c>
      <c r="G4443" s="20" t="str">
        <f>IFERROR(__xludf.DUMMYFUNCTION("""COMPUTED_VALUE"""),"Uncle Sams Cider (04/04/2023)")</f>
        <v>Uncle Sams Cider (04/04/2023)</v>
      </c>
      <c r="H4443" s="19"/>
    </row>
    <row r="4444">
      <c r="A4444" s="9"/>
      <c r="B4444" s="15"/>
      <c r="C4444" s="9">
        <f>IFERROR(__xludf.DUMMYFUNCTION("""COMPUTED_VALUE"""),45098.0838772337)</f>
        <v>45098.08388</v>
      </c>
      <c r="D4444" s="15">
        <f>IFERROR(__xludf.DUMMYFUNCTION("""COMPUTED_VALUE"""),1.001)</f>
        <v>1.001</v>
      </c>
      <c r="E4444" s="16">
        <f>IFERROR(__xludf.DUMMYFUNCTION("""COMPUTED_VALUE"""),69.0)</f>
        <v>69</v>
      </c>
      <c r="F4444" s="19" t="str">
        <f>IFERROR(__xludf.DUMMYFUNCTION("""COMPUTED_VALUE"""),"BLUE")</f>
        <v>BLUE</v>
      </c>
      <c r="G4444" s="20" t="str">
        <f>IFERROR(__xludf.DUMMYFUNCTION("""COMPUTED_VALUE"""),"Uncle Sams Cider (04/04/2023)")</f>
        <v>Uncle Sams Cider (04/04/2023)</v>
      </c>
      <c r="H4444" s="19"/>
    </row>
    <row r="4445">
      <c r="A4445" s="9"/>
      <c r="B4445" s="15"/>
      <c r="C4445" s="9">
        <f>IFERROR(__xludf.DUMMYFUNCTION("""COMPUTED_VALUE"""),45098.0734558333)</f>
        <v>45098.07346</v>
      </c>
      <c r="D4445" s="15">
        <f>IFERROR(__xludf.DUMMYFUNCTION("""COMPUTED_VALUE"""),1.002)</f>
        <v>1.002</v>
      </c>
      <c r="E4445" s="16">
        <f>IFERROR(__xludf.DUMMYFUNCTION("""COMPUTED_VALUE"""),69.0)</f>
        <v>69</v>
      </c>
      <c r="F4445" s="19" t="str">
        <f>IFERROR(__xludf.DUMMYFUNCTION("""COMPUTED_VALUE"""),"BLUE")</f>
        <v>BLUE</v>
      </c>
      <c r="G4445" s="20" t="str">
        <f>IFERROR(__xludf.DUMMYFUNCTION("""COMPUTED_VALUE"""),"Uncle Sams Cider (04/04/2023)")</f>
        <v>Uncle Sams Cider (04/04/2023)</v>
      </c>
      <c r="H4445" s="19"/>
    </row>
    <row r="4446">
      <c r="A4446" s="9"/>
      <c r="B4446" s="15"/>
      <c r="C4446" s="9">
        <f>IFERROR(__xludf.DUMMYFUNCTION("""COMPUTED_VALUE"""),45098.0630214814)</f>
        <v>45098.06302</v>
      </c>
      <c r="D4446" s="15">
        <f>IFERROR(__xludf.DUMMYFUNCTION("""COMPUTED_VALUE"""),1.001)</f>
        <v>1.001</v>
      </c>
      <c r="E4446" s="16">
        <f>IFERROR(__xludf.DUMMYFUNCTION("""COMPUTED_VALUE"""),69.0)</f>
        <v>69</v>
      </c>
      <c r="F4446" s="19" t="str">
        <f>IFERROR(__xludf.DUMMYFUNCTION("""COMPUTED_VALUE"""),"BLUE")</f>
        <v>BLUE</v>
      </c>
      <c r="G4446" s="20" t="str">
        <f>IFERROR(__xludf.DUMMYFUNCTION("""COMPUTED_VALUE"""),"Uncle Sams Cider (04/04/2023)")</f>
        <v>Uncle Sams Cider (04/04/2023)</v>
      </c>
      <c r="H4446" s="19"/>
    </row>
    <row r="4447">
      <c r="A4447" s="9"/>
      <c r="B4447" s="15"/>
      <c r="C4447" s="9">
        <f>IFERROR(__xludf.DUMMYFUNCTION("""COMPUTED_VALUE"""),45098.0526004282)</f>
        <v>45098.0526</v>
      </c>
      <c r="D4447" s="15">
        <f>IFERROR(__xludf.DUMMYFUNCTION("""COMPUTED_VALUE"""),1.001)</f>
        <v>1.001</v>
      </c>
      <c r="E4447" s="16">
        <f>IFERROR(__xludf.DUMMYFUNCTION("""COMPUTED_VALUE"""),69.0)</f>
        <v>69</v>
      </c>
      <c r="F4447" s="19" t="str">
        <f>IFERROR(__xludf.DUMMYFUNCTION("""COMPUTED_VALUE"""),"BLUE")</f>
        <v>BLUE</v>
      </c>
      <c r="G4447" s="20" t="str">
        <f>IFERROR(__xludf.DUMMYFUNCTION("""COMPUTED_VALUE"""),"Uncle Sams Cider (04/04/2023)")</f>
        <v>Uncle Sams Cider (04/04/2023)</v>
      </c>
      <c r="H4447" s="19"/>
    </row>
    <row r="4448">
      <c r="A4448" s="9"/>
      <c r="B4448" s="15"/>
      <c r="C4448" s="9">
        <f>IFERROR(__xludf.DUMMYFUNCTION("""COMPUTED_VALUE"""),45098.0421798148)</f>
        <v>45098.04218</v>
      </c>
      <c r="D4448" s="15">
        <f>IFERROR(__xludf.DUMMYFUNCTION("""COMPUTED_VALUE"""),1.001)</f>
        <v>1.001</v>
      </c>
      <c r="E4448" s="16">
        <f>IFERROR(__xludf.DUMMYFUNCTION("""COMPUTED_VALUE"""),69.0)</f>
        <v>69</v>
      </c>
      <c r="F4448" s="19" t="str">
        <f>IFERROR(__xludf.DUMMYFUNCTION("""COMPUTED_VALUE"""),"BLUE")</f>
        <v>BLUE</v>
      </c>
      <c r="G4448" s="20" t="str">
        <f>IFERROR(__xludf.DUMMYFUNCTION("""COMPUTED_VALUE"""),"Uncle Sams Cider (04/04/2023)")</f>
        <v>Uncle Sams Cider (04/04/2023)</v>
      </c>
      <c r="H4448" s="19"/>
    </row>
    <row r="4449">
      <c r="A4449" s="9"/>
      <c r="B4449" s="15"/>
      <c r="C4449" s="9">
        <f>IFERROR(__xludf.DUMMYFUNCTION("""COMPUTED_VALUE"""),45098.0317596064)</f>
        <v>45098.03176</v>
      </c>
      <c r="D4449" s="15">
        <f>IFERROR(__xludf.DUMMYFUNCTION("""COMPUTED_VALUE"""),1.001)</f>
        <v>1.001</v>
      </c>
      <c r="E4449" s="16">
        <f>IFERROR(__xludf.DUMMYFUNCTION("""COMPUTED_VALUE"""),69.0)</f>
        <v>69</v>
      </c>
      <c r="F4449" s="19" t="str">
        <f>IFERROR(__xludf.DUMMYFUNCTION("""COMPUTED_VALUE"""),"BLUE")</f>
        <v>BLUE</v>
      </c>
      <c r="G4449" s="20" t="str">
        <f>IFERROR(__xludf.DUMMYFUNCTION("""COMPUTED_VALUE"""),"Uncle Sams Cider (04/04/2023)")</f>
        <v>Uncle Sams Cider (04/04/2023)</v>
      </c>
      <c r="H4449" s="19"/>
    </row>
    <row r="4450">
      <c r="A4450" s="9"/>
      <c r="B4450" s="15"/>
      <c r="C4450" s="9">
        <f>IFERROR(__xludf.DUMMYFUNCTION("""COMPUTED_VALUE"""),45098.0213266898)</f>
        <v>45098.02133</v>
      </c>
      <c r="D4450" s="15">
        <f>IFERROR(__xludf.DUMMYFUNCTION("""COMPUTED_VALUE"""),1.001)</f>
        <v>1.001</v>
      </c>
      <c r="E4450" s="16">
        <f>IFERROR(__xludf.DUMMYFUNCTION("""COMPUTED_VALUE"""),69.0)</f>
        <v>69</v>
      </c>
      <c r="F4450" s="19" t="str">
        <f>IFERROR(__xludf.DUMMYFUNCTION("""COMPUTED_VALUE"""),"BLUE")</f>
        <v>BLUE</v>
      </c>
      <c r="G4450" s="20" t="str">
        <f>IFERROR(__xludf.DUMMYFUNCTION("""COMPUTED_VALUE"""),"Uncle Sams Cider (04/04/2023)")</f>
        <v>Uncle Sams Cider (04/04/2023)</v>
      </c>
      <c r="H4450" s="19"/>
    </row>
    <row r="4451">
      <c r="A4451" s="9"/>
      <c r="B4451" s="15"/>
      <c r="C4451" s="9">
        <f>IFERROR(__xludf.DUMMYFUNCTION("""COMPUTED_VALUE"""),45098.0109028472)</f>
        <v>45098.0109</v>
      </c>
      <c r="D4451" s="15">
        <f>IFERROR(__xludf.DUMMYFUNCTION("""COMPUTED_VALUE"""),1.001)</f>
        <v>1.001</v>
      </c>
      <c r="E4451" s="16">
        <f>IFERROR(__xludf.DUMMYFUNCTION("""COMPUTED_VALUE"""),69.0)</f>
        <v>69</v>
      </c>
      <c r="F4451" s="19" t="str">
        <f>IFERROR(__xludf.DUMMYFUNCTION("""COMPUTED_VALUE"""),"BLUE")</f>
        <v>BLUE</v>
      </c>
      <c r="G4451" s="20" t="str">
        <f>IFERROR(__xludf.DUMMYFUNCTION("""COMPUTED_VALUE"""),"Uncle Sams Cider (04/04/2023)")</f>
        <v>Uncle Sams Cider (04/04/2023)</v>
      </c>
      <c r="H4451" s="19"/>
    </row>
    <row r="4452">
      <c r="A4452" s="9"/>
      <c r="B4452" s="15"/>
      <c r="C4452" s="9">
        <f>IFERROR(__xludf.DUMMYFUNCTION("""COMPUTED_VALUE"""),45098.0004814467)</f>
        <v>45098.00048</v>
      </c>
      <c r="D4452" s="15">
        <f>IFERROR(__xludf.DUMMYFUNCTION("""COMPUTED_VALUE"""),1.001)</f>
        <v>1.001</v>
      </c>
      <c r="E4452" s="16">
        <f>IFERROR(__xludf.DUMMYFUNCTION("""COMPUTED_VALUE"""),69.0)</f>
        <v>69</v>
      </c>
      <c r="F4452" s="19" t="str">
        <f>IFERROR(__xludf.DUMMYFUNCTION("""COMPUTED_VALUE"""),"BLUE")</f>
        <v>BLUE</v>
      </c>
      <c r="G4452" s="20" t="str">
        <f>IFERROR(__xludf.DUMMYFUNCTION("""COMPUTED_VALUE"""),"Uncle Sams Cider (04/04/2023)")</f>
        <v>Uncle Sams Cider (04/04/2023)</v>
      </c>
      <c r="H4452" s="19"/>
    </row>
    <row r="4453">
      <c r="A4453" s="9"/>
      <c r="B4453" s="15"/>
      <c r="C4453" s="9">
        <f>IFERROR(__xludf.DUMMYFUNCTION("""COMPUTED_VALUE"""),45097.9900612384)</f>
        <v>45097.99006</v>
      </c>
      <c r="D4453" s="15">
        <f>IFERROR(__xludf.DUMMYFUNCTION("""COMPUTED_VALUE"""),1.001)</f>
        <v>1.001</v>
      </c>
      <c r="E4453" s="16">
        <f>IFERROR(__xludf.DUMMYFUNCTION("""COMPUTED_VALUE"""),69.0)</f>
        <v>69</v>
      </c>
      <c r="F4453" s="19" t="str">
        <f>IFERROR(__xludf.DUMMYFUNCTION("""COMPUTED_VALUE"""),"BLUE")</f>
        <v>BLUE</v>
      </c>
      <c r="G4453" s="20" t="str">
        <f>IFERROR(__xludf.DUMMYFUNCTION("""COMPUTED_VALUE"""),"Uncle Sams Cider (04/04/2023)")</f>
        <v>Uncle Sams Cider (04/04/2023)</v>
      </c>
      <c r="H4453" s="19"/>
    </row>
    <row r="4454">
      <c r="A4454" s="9"/>
      <c r="B4454" s="15"/>
      <c r="C4454" s="9">
        <f>IFERROR(__xludf.DUMMYFUNCTION("""COMPUTED_VALUE"""),45097.9796407754)</f>
        <v>45097.97964</v>
      </c>
      <c r="D4454" s="15">
        <f>IFERROR(__xludf.DUMMYFUNCTION("""COMPUTED_VALUE"""),1.001)</f>
        <v>1.001</v>
      </c>
      <c r="E4454" s="16">
        <f>IFERROR(__xludf.DUMMYFUNCTION("""COMPUTED_VALUE"""),69.0)</f>
        <v>69</v>
      </c>
      <c r="F4454" s="19" t="str">
        <f>IFERROR(__xludf.DUMMYFUNCTION("""COMPUTED_VALUE"""),"BLUE")</f>
        <v>BLUE</v>
      </c>
      <c r="G4454" s="20" t="str">
        <f>IFERROR(__xludf.DUMMYFUNCTION("""COMPUTED_VALUE"""),"Uncle Sams Cider (04/04/2023)")</f>
        <v>Uncle Sams Cider (04/04/2023)</v>
      </c>
      <c r="H4454" s="19"/>
    </row>
    <row r="4455">
      <c r="A4455" s="9"/>
      <c r="B4455" s="15"/>
      <c r="C4455" s="9">
        <f>IFERROR(__xludf.DUMMYFUNCTION("""COMPUTED_VALUE"""),45097.969219537)</f>
        <v>45097.96922</v>
      </c>
      <c r="D4455" s="15">
        <f>IFERROR(__xludf.DUMMYFUNCTION("""COMPUTED_VALUE"""),1.001)</f>
        <v>1.001</v>
      </c>
      <c r="E4455" s="16">
        <f>IFERROR(__xludf.DUMMYFUNCTION("""COMPUTED_VALUE"""),69.0)</f>
        <v>69</v>
      </c>
      <c r="F4455" s="19" t="str">
        <f>IFERROR(__xludf.DUMMYFUNCTION("""COMPUTED_VALUE"""),"BLUE")</f>
        <v>BLUE</v>
      </c>
      <c r="G4455" s="20" t="str">
        <f>IFERROR(__xludf.DUMMYFUNCTION("""COMPUTED_VALUE"""),"Uncle Sams Cider (04/04/2023)")</f>
        <v>Uncle Sams Cider (04/04/2023)</v>
      </c>
      <c r="H4455" s="19"/>
    </row>
    <row r="4456">
      <c r="A4456" s="9"/>
      <c r="B4456" s="15"/>
      <c r="C4456" s="9">
        <f>IFERROR(__xludf.DUMMYFUNCTION("""COMPUTED_VALUE"""),45097.9587975694)</f>
        <v>45097.9588</v>
      </c>
      <c r="D4456" s="15">
        <f>IFERROR(__xludf.DUMMYFUNCTION("""COMPUTED_VALUE"""),1.001)</f>
        <v>1.001</v>
      </c>
      <c r="E4456" s="16">
        <f>IFERROR(__xludf.DUMMYFUNCTION("""COMPUTED_VALUE"""),69.0)</f>
        <v>69</v>
      </c>
      <c r="F4456" s="19" t="str">
        <f>IFERROR(__xludf.DUMMYFUNCTION("""COMPUTED_VALUE"""),"BLUE")</f>
        <v>BLUE</v>
      </c>
      <c r="G4456" s="20" t="str">
        <f>IFERROR(__xludf.DUMMYFUNCTION("""COMPUTED_VALUE"""),"Uncle Sams Cider (04/04/2023)")</f>
        <v>Uncle Sams Cider (04/04/2023)</v>
      </c>
      <c r="H4456" s="19"/>
    </row>
    <row r="4457">
      <c r="A4457" s="9"/>
      <c r="B4457" s="15"/>
      <c r="C4457" s="9">
        <f>IFERROR(__xludf.DUMMYFUNCTION("""COMPUTED_VALUE"""),45097.9483771875)</f>
        <v>45097.94838</v>
      </c>
      <c r="D4457" s="15">
        <f>IFERROR(__xludf.DUMMYFUNCTION("""COMPUTED_VALUE"""),1.001)</f>
        <v>1.001</v>
      </c>
      <c r="E4457" s="16">
        <f>IFERROR(__xludf.DUMMYFUNCTION("""COMPUTED_VALUE"""),69.0)</f>
        <v>69</v>
      </c>
      <c r="F4457" s="19" t="str">
        <f>IFERROR(__xludf.DUMMYFUNCTION("""COMPUTED_VALUE"""),"BLUE")</f>
        <v>BLUE</v>
      </c>
      <c r="G4457" s="20" t="str">
        <f>IFERROR(__xludf.DUMMYFUNCTION("""COMPUTED_VALUE"""),"Uncle Sams Cider (04/04/2023)")</f>
        <v>Uncle Sams Cider (04/04/2023)</v>
      </c>
      <c r="H4457" s="19"/>
    </row>
    <row r="4458">
      <c r="A4458" s="9"/>
      <c r="B4458" s="15"/>
      <c r="C4458" s="9">
        <f>IFERROR(__xludf.DUMMYFUNCTION("""COMPUTED_VALUE"""),45097.9379556713)</f>
        <v>45097.93796</v>
      </c>
      <c r="D4458" s="15">
        <f>IFERROR(__xludf.DUMMYFUNCTION("""COMPUTED_VALUE"""),1.001)</f>
        <v>1.001</v>
      </c>
      <c r="E4458" s="16">
        <f>IFERROR(__xludf.DUMMYFUNCTION("""COMPUTED_VALUE"""),69.0)</f>
        <v>69</v>
      </c>
      <c r="F4458" s="19" t="str">
        <f>IFERROR(__xludf.DUMMYFUNCTION("""COMPUTED_VALUE"""),"BLUE")</f>
        <v>BLUE</v>
      </c>
      <c r="G4458" s="20" t="str">
        <f>IFERROR(__xludf.DUMMYFUNCTION("""COMPUTED_VALUE"""),"Uncle Sams Cider (04/04/2023)")</f>
        <v>Uncle Sams Cider (04/04/2023)</v>
      </c>
      <c r="H4458" s="19"/>
    </row>
    <row r="4459">
      <c r="A4459" s="9"/>
      <c r="B4459" s="15"/>
      <c r="C4459" s="9">
        <f>IFERROR(__xludf.DUMMYFUNCTION("""COMPUTED_VALUE"""),45097.9275337731)</f>
        <v>45097.92753</v>
      </c>
      <c r="D4459" s="15">
        <f>IFERROR(__xludf.DUMMYFUNCTION("""COMPUTED_VALUE"""),1.001)</f>
        <v>1.001</v>
      </c>
      <c r="E4459" s="16">
        <f>IFERROR(__xludf.DUMMYFUNCTION("""COMPUTED_VALUE"""),69.0)</f>
        <v>69</v>
      </c>
      <c r="F4459" s="19" t="str">
        <f>IFERROR(__xludf.DUMMYFUNCTION("""COMPUTED_VALUE"""),"BLUE")</f>
        <v>BLUE</v>
      </c>
      <c r="G4459" s="20" t="str">
        <f>IFERROR(__xludf.DUMMYFUNCTION("""COMPUTED_VALUE"""),"Uncle Sams Cider (04/04/2023)")</f>
        <v>Uncle Sams Cider (04/04/2023)</v>
      </c>
      <c r="H4459" s="19"/>
    </row>
    <row r="4460">
      <c r="A4460" s="9"/>
      <c r="B4460" s="15"/>
      <c r="C4460" s="9">
        <f>IFERROR(__xludf.DUMMYFUNCTION("""COMPUTED_VALUE"""),45097.9171120254)</f>
        <v>45097.91711</v>
      </c>
      <c r="D4460" s="15">
        <f>IFERROR(__xludf.DUMMYFUNCTION("""COMPUTED_VALUE"""),1.001)</f>
        <v>1.001</v>
      </c>
      <c r="E4460" s="16">
        <f>IFERROR(__xludf.DUMMYFUNCTION("""COMPUTED_VALUE"""),69.0)</f>
        <v>69</v>
      </c>
      <c r="F4460" s="19" t="str">
        <f>IFERROR(__xludf.DUMMYFUNCTION("""COMPUTED_VALUE"""),"BLUE")</f>
        <v>BLUE</v>
      </c>
      <c r="G4460" s="20" t="str">
        <f>IFERROR(__xludf.DUMMYFUNCTION("""COMPUTED_VALUE"""),"Uncle Sams Cider (04/04/2023)")</f>
        <v>Uncle Sams Cider (04/04/2023)</v>
      </c>
      <c r="H4460" s="19"/>
    </row>
    <row r="4461">
      <c r="A4461" s="9"/>
      <c r="B4461" s="15"/>
      <c r="C4461" s="9">
        <f>IFERROR(__xludf.DUMMYFUNCTION("""COMPUTED_VALUE"""),45097.9066907523)</f>
        <v>45097.90669</v>
      </c>
      <c r="D4461" s="15">
        <f>IFERROR(__xludf.DUMMYFUNCTION("""COMPUTED_VALUE"""),1.001)</f>
        <v>1.001</v>
      </c>
      <c r="E4461" s="16">
        <f>IFERROR(__xludf.DUMMYFUNCTION("""COMPUTED_VALUE"""),69.0)</f>
        <v>69</v>
      </c>
      <c r="F4461" s="19" t="str">
        <f>IFERROR(__xludf.DUMMYFUNCTION("""COMPUTED_VALUE"""),"BLUE")</f>
        <v>BLUE</v>
      </c>
      <c r="G4461" s="20" t="str">
        <f>IFERROR(__xludf.DUMMYFUNCTION("""COMPUTED_VALUE"""),"Uncle Sams Cider (04/04/2023)")</f>
        <v>Uncle Sams Cider (04/04/2023)</v>
      </c>
      <c r="H4461" s="19"/>
    </row>
    <row r="4462">
      <c r="A4462" s="9"/>
      <c r="B4462" s="15"/>
      <c r="C4462" s="9">
        <f>IFERROR(__xludf.DUMMYFUNCTION("""COMPUTED_VALUE"""),45097.8962704861)</f>
        <v>45097.89627</v>
      </c>
      <c r="D4462" s="15">
        <f>IFERROR(__xludf.DUMMYFUNCTION("""COMPUTED_VALUE"""),1.001)</f>
        <v>1.001</v>
      </c>
      <c r="E4462" s="16">
        <f>IFERROR(__xludf.DUMMYFUNCTION("""COMPUTED_VALUE"""),69.0)</f>
        <v>69</v>
      </c>
      <c r="F4462" s="19" t="str">
        <f>IFERROR(__xludf.DUMMYFUNCTION("""COMPUTED_VALUE"""),"BLUE")</f>
        <v>BLUE</v>
      </c>
      <c r="G4462" s="20" t="str">
        <f>IFERROR(__xludf.DUMMYFUNCTION("""COMPUTED_VALUE"""),"Uncle Sams Cider (04/04/2023)")</f>
        <v>Uncle Sams Cider (04/04/2023)</v>
      </c>
      <c r="H4462" s="19"/>
    </row>
    <row r="4463">
      <c r="A4463" s="9"/>
      <c r="B4463" s="15"/>
      <c r="C4463" s="9">
        <f>IFERROR(__xludf.DUMMYFUNCTION("""COMPUTED_VALUE"""),45097.8858497685)</f>
        <v>45097.88585</v>
      </c>
      <c r="D4463" s="15">
        <f>IFERROR(__xludf.DUMMYFUNCTION("""COMPUTED_VALUE"""),1.001)</f>
        <v>1.001</v>
      </c>
      <c r="E4463" s="16">
        <f>IFERROR(__xludf.DUMMYFUNCTION("""COMPUTED_VALUE"""),69.0)</f>
        <v>69</v>
      </c>
      <c r="F4463" s="19" t="str">
        <f>IFERROR(__xludf.DUMMYFUNCTION("""COMPUTED_VALUE"""),"BLUE")</f>
        <v>BLUE</v>
      </c>
      <c r="G4463" s="20" t="str">
        <f>IFERROR(__xludf.DUMMYFUNCTION("""COMPUTED_VALUE"""),"Uncle Sams Cider (04/04/2023)")</f>
        <v>Uncle Sams Cider (04/04/2023)</v>
      </c>
      <c r="H4463" s="19"/>
    </row>
    <row r="4464">
      <c r="A4464" s="9"/>
      <c r="B4464" s="15"/>
      <c r="C4464" s="9">
        <f>IFERROR(__xludf.DUMMYFUNCTION("""COMPUTED_VALUE"""),45097.8754298842)</f>
        <v>45097.87543</v>
      </c>
      <c r="D4464" s="15">
        <f>IFERROR(__xludf.DUMMYFUNCTION("""COMPUTED_VALUE"""),1.001)</f>
        <v>1.001</v>
      </c>
      <c r="E4464" s="16">
        <f>IFERROR(__xludf.DUMMYFUNCTION("""COMPUTED_VALUE"""),69.0)</f>
        <v>69</v>
      </c>
      <c r="F4464" s="19" t="str">
        <f>IFERROR(__xludf.DUMMYFUNCTION("""COMPUTED_VALUE"""),"BLUE")</f>
        <v>BLUE</v>
      </c>
      <c r="G4464" s="20" t="str">
        <f>IFERROR(__xludf.DUMMYFUNCTION("""COMPUTED_VALUE"""),"Uncle Sams Cider (04/04/2023)")</f>
        <v>Uncle Sams Cider (04/04/2023)</v>
      </c>
      <c r="H4464" s="19"/>
    </row>
    <row r="4465">
      <c r="A4465" s="9"/>
      <c r="B4465" s="15"/>
      <c r="C4465" s="9">
        <f>IFERROR(__xludf.DUMMYFUNCTION("""COMPUTED_VALUE"""),45097.8650075694)</f>
        <v>45097.86501</v>
      </c>
      <c r="D4465" s="15">
        <f>IFERROR(__xludf.DUMMYFUNCTION("""COMPUTED_VALUE"""),1.001)</f>
        <v>1.001</v>
      </c>
      <c r="E4465" s="16">
        <f>IFERROR(__xludf.DUMMYFUNCTION("""COMPUTED_VALUE"""),69.0)</f>
        <v>69</v>
      </c>
      <c r="F4465" s="19" t="str">
        <f>IFERROR(__xludf.DUMMYFUNCTION("""COMPUTED_VALUE"""),"BLUE")</f>
        <v>BLUE</v>
      </c>
      <c r="G4465" s="20" t="str">
        <f>IFERROR(__xludf.DUMMYFUNCTION("""COMPUTED_VALUE"""),"Uncle Sams Cider (04/04/2023)")</f>
        <v>Uncle Sams Cider (04/04/2023)</v>
      </c>
      <c r="H4465" s="19"/>
    </row>
    <row r="4466">
      <c r="A4466" s="9"/>
      <c r="B4466" s="15"/>
      <c r="C4466" s="9">
        <f>IFERROR(__xludf.DUMMYFUNCTION("""COMPUTED_VALUE"""),45097.8545865393)</f>
        <v>45097.85459</v>
      </c>
      <c r="D4466" s="15">
        <f>IFERROR(__xludf.DUMMYFUNCTION("""COMPUTED_VALUE"""),1.001)</f>
        <v>1.001</v>
      </c>
      <c r="E4466" s="16">
        <f>IFERROR(__xludf.DUMMYFUNCTION("""COMPUTED_VALUE"""),69.0)</f>
        <v>69</v>
      </c>
      <c r="F4466" s="19" t="str">
        <f>IFERROR(__xludf.DUMMYFUNCTION("""COMPUTED_VALUE"""),"BLUE")</f>
        <v>BLUE</v>
      </c>
      <c r="G4466" s="20" t="str">
        <f>IFERROR(__xludf.DUMMYFUNCTION("""COMPUTED_VALUE"""),"Uncle Sams Cider (04/04/2023)")</f>
        <v>Uncle Sams Cider (04/04/2023)</v>
      </c>
      <c r="H4466" s="19"/>
    </row>
    <row r="4467">
      <c r="A4467" s="9"/>
      <c r="B4467" s="15"/>
      <c r="C4467" s="9">
        <f>IFERROR(__xludf.DUMMYFUNCTION("""COMPUTED_VALUE"""),45097.8441645254)</f>
        <v>45097.84416</v>
      </c>
      <c r="D4467" s="15">
        <f>IFERROR(__xludf.DUMMYFUNCTION("""COMPUTED_VALUE"""),1.001)</f>
        <v>1.001</v>
      </c>
      <c r="E4467" s="16">
        <f>IFERROR(__xludf.DUMMYFUNCTION("""COMPUTED_VALUE"""),69.0)</f>
        <v>69</v>
      </c>
      <c r="F4467" s="19" t="str">
        <f>IFERROR(__xludf.DUMMYFUNCTION("""COMPUTED_VALUE"""),"BLUE")</f>
        <v>BLUE</v>
      </c>
      <c r="G4467" s="20" t="str">
        <f>IFERROR(__xludf.DUMMYFUNCTION("""COMPUTED_VALUE"""),"Uncle Sams Cider (04/04/2023)")</f>
        <v>Uncle Sams Cider (04/04/2023)</v>
      </c>
      <c r="H4467" s="19"/>
    </row>
    <row r="4468">
      <c r="A4468" s="9"/>
      <c r="B4468" s="15"/>
      <c r="C4468" s="9">
        <f>IFERROR(__xludf.DUMMYFUNCTION("""COMPUTED_VALUE"""),45097.8337427199)</f>
        <v>45097.83374</v>
      </c>
      <c r="D4468" s="15">
        <f>IFERROR(__xludf.DUMMYFUNCTION("""COMPUTED_VALUE"""),1.001)</f>
        <v>1.001</v>
      </c>
      <c r="E4468" s="16">
        <f>IFERROR(__xludf.DUMMYFUNCTION("""COMPUTED_VALUE"""),69.0)</f>
        <v>69</v>
      </c>
      <c r="F4468" s="19" t="str">
        <f>IFERROR(__xludf.DUMMYFUNCTION("""COMPUTED_VALUE"""),"BLUE")</f>
        <v>BLUE</v>
      </c>
      <c r="G4468" s="20" t="str">
        <f>IFERROR(__xludf.DUMMYFUNCTION("""COMPUTED_VALUE"""),"Uncle Sams Cider (04/04/2023)")</f>
        <v>Uncle Sams Cider (04/04/2023)</v>
      </c>
      <c r="H4468" s="19"/>
    </row>
    <row r="4469">
      <c r="A4469" s="9"/>
      <c r="B4469" s="15"/>
      <c r="C4469" s="9">
        <f>IFERROR(__xludf.DUMMYFUNCTION("""COMPUTED_VALUE"""),45097.8233218865)</f>
        <v>45097.82332</v>
      </c>
      <c r="D4469" s="15">
        <f>IFERROR(__xludf.DUMMYFUNCTION("""COMPUTED_VALUE"""),1.001)</f>
        <v>1.001</v>
      </c>
      <c r="E4469" s="16">
        <f>IFERROR(__xludf.DUMMYFUNCTION("""COMPUTED_VALUE"""),69.0)</f>
        <v>69</v>
      </c>
      <c r="F4469" s="19" t="str">
        <f>IFERROR(__xludf.DUMMYFUNCTION("""COMPUTED_VALUE"""),"BLUE")</f>
        <v>BLUE</v>
      </c>
      <c r="G4469" s="20" t="str">
        <f>IFERROR(__xludf.DUMMYFUNCTION("""COMPUTED_VALUE"""),"Uncle Sams Cider (04/04/2023)")</f>
        <v>Uncle Sams Cider (04/04/2023)</v>
      </c>
      <c r="H4469" s="19"/>
    </row>
    <row r="4470">
      <c r="A4470" s="9"/>
      <c r="B4470" s="15"/>
      <c r="C4470" s="9">
        <f>IFERROR(__xludf.DUMMYFUNCTION("""COMPUTED_VALUE"""),45097.8128901041)</f>
        <v>45097.81289</v>
      </c>
      <c r="D4470" s="15">
        <f>IFERROR(__xludf.DUMMYFUNCTION("""COMPUTED_VALUE"""),1.001)</f>
        <v>1.001</v>
      </c>
      <c r="E4470" s="16">
        <f>IFERROR(__xludf.DUMMYFUNCTION("""COMPUTED_VALUE"""),69.0)</f>
        <v>69</v>
      </c>
      <c r="F4470" s="19" t="str">
        <f>IFERROR(__xludf.DUMMYFUNCTION("""COMPUTED_VALUE"""),"BLUE")</f>
        <v>BLUE</v>
      </c>
      <c r="G4470" s="20" t="str">
        <f>IFERROR(__xludf.DUMMYFUNCTION("""COMPUTED_VALUE"""),"Uncle Sams Cider (04/04/2023)")</f>
        <v>Uncle Sams Cider (04/04/2023)</v>
      </c>
      <c r="H4470" s="19"/>
    </row>
    <row r="4471">
      <c r="A4471" s="9"/>
      <c r="B4471" s="15"/>
      <c r="C4471" s="9">
        <f>IFERROR(__xludf.DUMMYFUNCTION("""COMPUTED_VALUE"""),45097.8024684027)</f>
        <v>45097.80247</v>
      </c>
      <c r="D4471" s="15">
        <f>IFERROR(__xludf.DUMMYFUNCTION("""COMPUTED_VALUE"""),1.002)</f>
        <v>1.002</v>
      </c>
      <c r="E4471" s="16">
        <f>IFERROR(__xludf.DUMMYFUNCTION("""COMPUTED_VALUE"""),69.0)</f>
        <v>69</v>
      </c>
      <c r="F4471" s="19" t="str">
        <f>IFERROR(__xludf.DUMMYFUNCTION("""COMPUTED_VALUE"""),"BLUE")</f>
        <v>BLUE</v>
      </c>
      <c r="G4471" s="20" t="str">
        <f>IFERROR(__xludf.DUMMYFUNCTION("""COMPUTED_VALUE"""),"Uncle Sams Cider (04/04/2023)")</f>
        <v>Uncle Sams Cider (04/04/2023)</v>
      </c>
      <c r="H4471" s="19"/>
    </row>
    <row r="4472">
      <c r="A4472" s="9"/>
      <c r="B4472" s="15"/>
      <c r="C4472" s="9">
        <f>IFERROR(__xludf.DUMMYFUNCTION("""COMPUTED_VALUE"""),45097.792036956)</f>
        <v>45097.79204</v>
      </c>
      <c r="D4472" s="15">
        <f>IFERROR(__xludf.DUMMYFUNCTION("""COMPUTED_VALUE"""),1.001)</f>
        <v>1.001</v>
      </c>
      <c r="E4472" s="16">
        <f>IFERROR(__xludf.DUMMYFUNCTION("""COMPUTED_VALUE"""),69.0)</f>
        <v>69</v>
      </c>
      <c r="F4472" s="19" t="str">
        <f>IFERROR(__xludf.DUMMYFUNCTION("""COMPUTED_VALUE"""),"BLUE")</f>
        <v>BLUE</v>
      </c>
      <c r="G4472" s="20" t="str">
        <f>IFERROR(__xludf.DUMMYFUNCTION("""COMPUTED_VALUE"""),"Uncle Sams Cider (04/04/2023)")</f>
        <v>Uncle Sams Cider (04/04/2023)</v>
      </c>
      <c r="H4472" s="19"/>
    </row>
    <row r="4473">
      <c r="A4473" s="9"/>
      <c r="B4473" s="15"/>
      <c r="C4473" s="9">
        <f>IFERROR(__xludf.DUMMYFUNCTION("""COMPUTED_VALUE"""),45097.7816154629)</f>
        <v>45097.78162</v>
      </c>
      <c r="D4473" s="15">
        <f>IFERROR(__xludf.DUMMYFUNCTION("""COMPUTED_VALUE"""),1.001)</f>
        <v>1.001</v>
      </c>
      <c r="E4473" s="16">
        <f>IFERROR(__xludf.DUMMYFUNCTION("""COMPUTED_VALUE"""),69.0)</f>
        <v>69</v>
      </c>
      <c r="F4473" s="19" t="str">
        <f>IFERROR(__xludf.DUMMYFUNCTION("""COMPUTED_VALUE"""),"BLUE")</f>
        <v>BLUE</v>
      </c>
      <c r="G4473" s="20" t="str">
        <f>IFERROR(__xludf.DUMMYFUNCTION("""COMPUTED_VALUE"""),"Uncle Sams Cider (04/04/2023)")</f>
        <v>Uncle Sams Cider (04/04/2023)</v>
      </c>
      <c r="H4473" s="19"/>
    </row>
    <row r="4474">
      <c r="A4474" s="9"/>
      <c r="B4474" s="15"/>
      <c r="C4474" s="9">
        <f>IFERROR(__xludf.DUMMYFUNCTION("""COMPUTED_VALUE"""),45097.771194375)</f>
        <v>45097.77119</v>
      </c>
      <c r="D4474" s="15">
        <f>IFERROR(__xludf.DUMMYFUNCTION("""COMPUTED_VALUE"""),1.001)</f>
        <v>1.001</v>
      </c>
      <c r="E4474" s="16">
        <f>IFERROR(__xludf.DUMMYFUNCTION("""COMPUTED_VALUE"""),69.0)</f>
        <v>69</v>
      </c>
      <c r="F4474" s="19" t="str">
        <f>IFERROR(__xludf.DUMMYFUNCTION("""COMPUTED_VALUE"""),"BLUE")</f>
        <v>BLUE</v>
      </c>
      <c r="G4474" s="20" t="str">
        <f>IFERROR(__xludf.DUMMYFUNCTION("""COMPUTED_VALUE"""),"Uncle Sams Cider (04/04/2023)")</f>
        <v>Uncle Sams Cider (04/04/2023)</v>
      </c>
      <c r="H4474" s="19"/>
    </row>
    <row r="4475">
      <c r="A4475" s="9"/>
      <c r="B4475" s="15"/>
      <c r="C4475" s="9">
        <f>IFERROR(__xludf.DUMMYFUNCTION("""COMPUTED_VALUE"""),45097.7607730671)</f>
        <v>45097.76077</v>
      </c>
      <c r="D4475" s="15">
        <f>IFERROR(__xludf.DUMMYFUNCTION("""COMPUTED_VALUE"""),1.001)</f>
        <v>1.001</v>
      </c>
      <c r="E4475" s="16">
        <f>IFERROR(__xludf.DUMMYFUNCTION("""COMPUTED_VALUE"""),69.0)</f>
        <v>69</v>
      </c>
      <c r="F4475" s="19" t="str">
        <f>IFERROR(__xludf.DUMMYFUNCTION("""COMPUTED_VALUE"""),"BLUE")</f>
        <v>BLUE</v>
      </c>
      <c r="G4475" s="20" t="str">
        <f>IFERROR(__xludf.DUMMYFUNCTION("""COMPUTED_VALUE"""),"Uncle Sams Cider (04/04/2023)")</f>
        <v>Uncle Sams Cider (04/04/2023)</v>
      </c>
      <c r="H4475" s="19"/>
    </row>
    <row r="4476">
      <c r="A4476" s="9"/>
      <c r="B4476" s="15"/>
      <c r="C4476" s="9">
        <f>IFERROR(__xludf.DUMMYFUNCTION("""COMPUTED_VALUE"""),45097.7503518518)</f>
        <v>45097.75035</v>
      </c>
      <c r="D4476" s="15">
        <f>IFERROR(__xludf.DUMMYFUNCTION("""COMPUTED_VALUE"""),1.001)</f>
        <v>1.001</v>
      </c>
      <c r="E4476" s="16">
        <f>IFERROR(__xludf.DUMMYFUNCTION("""COMPUTED_VALUE"""),69.0)</f>
        <v>69</v>
      </c>
      <c r="F4476" s="19" t="str">
        <f>IFERROR(__xludf.DUMMYFUNCTION("""COMPUTED_VALUE"""),"BLUE")</f>
        <v>BLUE</v>
      </c>
      <c r="G4476" s="20" t="str">
        <f>IFERROR(__xludf.DUMMYFUNCTION("""COMPUTED_VALUE"""),"Uncle Sams Cider (04/04/2023)")</f>
        <v>Uncle Sams Cider (04/04/2023)</v>
      </c>
      <c r="H4476" s="19"/>
    </row>
    <row r="4477">
      <c r="A4477" s="9"/>
      <c r="B4477" s="15"/>
      <c r="C4477" s="9">
        <f>IFERROR(__xludf.DUMMYFUNCTION("""COMPUTED_VALUE"""),45097.7399294213)</f>
        <v>45097.73993</v>
      </c>
      <c r="D4477" s="15">
        <f>IFERROR(__xludf.DUMMYFUNCTION("""COMPUTED_VALUE"""),1.001)</f>
        <v>1.001</v>
      </c>
      <c r="E4477" s="16">
        <f>IFERROR(__xludf.DUMMYFUNCTION("""COMPUTED_VALUE"""),69.0)</f>
        <v>69</v>
      </c>
      <c r="F4477" s="19" t="str">
        <f>IFERROR(__xludf.DUMMYFUNCTION("""COMPUTED_VALUE"""),"BLUE")</f>
        <v>BLUE</v>
      </c>
      <c r="G4477" s="20" t="str">
        <f>IFERROR(__xludf.DUMMYFUNCTION("""COMPUTED_VALUE"""),"Uncle Sams Cider (04/04/2023)")</f>
        <v>Uncle Sams Cider (04/04/2023)</v>
      </c>
      <c r="H4477" s="19"/>
    </row>
    <row r="4478">
      <c r="A4478" s="9"/>
      <c r="B4478" s="15"/>
      <c r="C4478" s="9">
        <f>IFERROR(__xludf.DUMMYFUNCTION("""COMPUTED_VALUE"""),45097.7295096643)</f>
        <v>45097.72951</v>
      </c>
      <c r="D4478" s="15">
        <f>IFERROR(__xludf.DUMMYFUNCTION("""COMPUTED_VALUE"""),1.001)</f>
        <v>1.001</v>
      </c>
      <c r="E4478" s="16">
        <f>IFERROR(__xludf.DUMMYFUNCTION("""COMPUTED_VALUE"""),69.0)</f>
        <v>69</v>
      </c>
      <c r="F4478" s="19" t="str">
        <f>IFERROR(__xludf.DUMMYFUNCTION("""COMPUTED_VALUE"""),"BLUE")</f>
        <v>BLUE</v>
      </c>
      <c r="G4478" s="20" t="str">
        <f>IFERROR(__xludf.DUMMYFUNCTION("""COMPUTED_VALUE"""),"Uncle Sams Cider (04/04/2023)")</f>
        <v>Uncle Sams Cider (04/04/2023)</v>
      </c>
      <c r="H4478" s="19"/>
    </row>
    <row r="4479">
      <c r="A4479" s="9"/>
      <c r="B4479" s="15"/>
      <c r="C4479" s="9">
        <f>IFERROR(__xludf.DUMMYFUNCTION("""COMPUTED_VALUE"""),45097.7190882407)</f>
        <v>45097.71909</v>
      </c>
      <c r="D4479" s="15">
        <f>IFERROR(__xludf.DUMMYFUNCTION("""COMPUTED_VALUE"""),1.002)</f>
        <v>1.002</v>
      </c>
      <c r="E4479" s="16">
        <f>IFERROR(__xludf.DUMMYFUNCTION("""COMPUTED_VALUE"""),69.0)</f>
        <v>69</v>
      </c>
      <c r="F4479" s="19" t="str">
        <f>IFERROR(__xludf.DUMMYFUNCTION("""COMPUTED_VALUE"""),"BLUE")</f>
        <v>BLUE</v>
      </c>
      <c r="G4479" s="20" t="str">
        <f>IFERROR(__xludf.DUMMYFUNCTION("""COMPUTED_VALUE"""),"Uncle Sams Cider (04/04/2023)")</f>
        <v>Uncle Sams Cider (04/04/2023)</v>
      </c>
      <c r="H4479" s="19"/>
    </row>
    <row r="4480">
      <c r="A4480" s="9"/>
      <c r="B4480" s="15"/>
      <c r="C4480" s="9">
        <f>IFERROR(__xludf.DUMMYFUNCTION("""COMPUTED_VALUE"""),45097.7086670023)</f>
        <v>45097.70867</v>
      </c>
      <c r="D4480" s="15">
        <f>IFERROR(__xludf.DUMMYFUNCTION("""COMPUTED_VALUE"""),1.001)</f>
        <v>1.001</v>
      </c>
      <c r="E4480" s="16">
        <f>IFERROR(__xludf.DUMMYFUNCTION("""COMPUTED_VALUE"""),69.0)</f>
        <v>69</v>
      </c>
      <c r="F4480" s="19" t="str">
        <f>IFERROR(__xludf.DUMMYFUNCTION("""COMPUTED_VALUE"""),"BLUE")</f>
        <v>BLUE</v>
      </c>
      <c r="G4480" s="20" t="str">
        <f>IFERROR(__xludf.DUMMYFUNCTION("""COMPUTED_VALUE"""),"Uncle Sams Cider (04/04/2023)")</f>
        <v>Uncle Sams Cider (04/04/2023)</v>
      </c>
      <c r="H4480" s="19"/>
    </row>
    <row r="4481">
      <c r="A4481" s="9"/>
      <c r="B4481" s="15"/>
      <c r="C4481" s="9">
        <f>IFERROR(__xludf.DUMMYFUNCTION("""COMPUTED_VALUE"""),45097.6982453009)</f>
        <v>45097.69825</v>
      </c>
      <c r="D4481" s="15">
        <f>IFERROR(__xludf.DUMMYFUNCTION("""COMPUTED_VALUE"""),1.001)</f>
        <v>1.001</v>
      </c>
      <c r="E4481" s="16">
        <f>IFERROR(__xludf.DUMMYFUNCTION("""COMPUTED_VALUE"""),69.0)</f>
        <v>69</v>
      </c>
      <c r="F4481" s="19" t="str">
        <f>IFERROR(__xludf.DUMMYFUNCTION("""COMPUTED_VALUE"""),"BLUE")</f>
        <v>BLUE</v>
      </c>
      <c r="G4481" s="20" t="str">
        <f>IFERROR(__xludf.DUMMYFUNCTION("""COMPUTED_VALUE"""),"Uncle Sams Cider (04/04/2023)")</f>
        <v>Uncle Sams Cider (04/04/2023)</v>
      </c>
      <c r="H4481" s="19"/>
    </row>
    <row r="4482">
      <c r="A4482" s="9"/>
      <c r="B4482" s="15"/>
      <c r="C4482" s="9">
        <f>IFERROR(__xludf.DUMMYFUNCTION("""COMPUTED_VALUE"""),45097.6878252083)</f>
        <v>45097.68783</v>
      </c>
      <c r="D4482" s="15">
        <f>IFERROR(__xludf.DUMMYFUNCTION("""COMPUTED_VALUE"""),1.001)</f>
        <v>1.001</v>
      </c>
      <c r="E4482" s="16">
        <f>IFERROR(__xludf.DUMMYFUNCTION("""COMPUTED_VALUE"""),69.0)</f>
        <v>69</v>
      </c>
      <c r="F4482" s="19" t="str">
        <f>IFERROR(__xludf.DUMMYFUNCTION("""COMPUTED_VALUE"""),"BLUE")</f>
        <v>BLUE</v>
      </c>
      <c r="G4482" s="20" t="str">
        <f>IFERROR(__xludf.DUMMYFUNCTION("""COMPUTED_VALUE"""),"Uncle Sams Cider (04/04/2023)")</f>
        <v>Uncle Sams Cider (04/04/2023)</v>
      </c>
      <c r="H4482" s="19"/>
    </row>
    <row r="4483">
      <c r="A4483" s="9"/>
      <c r="B4483" s="15"/>
      <c r="C4483" s="9">
        <f>IFERROR(__xludf.DUMMYFUNCTION("""COMPUTED_VALUE"""),45097.6774036921)</f>
        <v>45097.6774</v>
      </c>
      <c r="D4483" s="15">
        <f>IFERROR(__xludf.DUMMYFUNCTION("""COMPUTED_VALUE"""),1.001)</f>
        <v>1.001</v>
      </c>
      <c r="E4483" s="16">
        <f>IFERROR(__xludf.DUMMYFUNCTION("""COMPUTED_VALUE"""),69.0)</f>
        <v>69</v>
      </c>
      <c r="F4483" s="19" t="str">
        <f>IFERROR(__xludf.DUMMYFUNCTION("""COMPUTED_VALUE"""),"BLUE")</f>
        <v>BLUE</v>
      </c>
      <c r="G4483" s="20" t="str">
        <f>IFERROR(__xludf.DUMMYFUNCTION("""COMPUTED_VALUE"""),"Uncle Sams Cider (04/04/2023)")</f>
        <v>Uncle Sams Cider (04/04/2023)</v>
      </c>
      <c r="H4483" s="19"/>
    </row>
    <row r="4484">
      <c r="A4484" s="9"/>
      <c r="B4484" s="15"/>
      <c r="C4484" s="9">
        <f>IFERROR(__xludf.DUMMYFUNCTION("""COMPUTED_VALUE"""),45097.6669823263)</f>
        <v>45097.66698</v>
      </c>
      <c r="D4484" s="15">
        <f>IFERROR(__xludf.DUMMYFUNCTION("""COMPUTED_VALUE"""),1.001)</f>
        <v>1.001</v>
      </c>
      <c r="E4484" s="16">
        <f>IFERROR(__xludf.DUMMYFUNCTION("""COMPUTED_VALUE"""),69.0)</f>
        <v>69</v>
      </c>
      <c r="F4484" s="19" t="str">
        <f>IFERROR(__xludf.DUMMYFUNCTION("""COMPUTED_VALUE"""),"BLUE")</f>
        <v>BLUE</v>
      </c>
      <c r="G4484" s="20" t="str">
        <f>IFERROR(__xludf.DUMMYFUNCTION("""COMPUTED_VALUE"""),"Uncle Sams Cider (04/04/2023)")</f>
        <v>Uncle Sams Cider (04/04/2023)</v>
      </c>
      <c r="H4484" s="19"/>
    </row>
    <row r="4485">
      <c r="A4485" s="9"/>
      <c r="B4485" s="15"/>
      <c r="C4485" s="9">
        <f>IFERROR(__xludf.DUMMYFUNCTION("""COMPUTED_VALUE"""),45097.6565614467)</f>
        <v>45097.65656</v>
      </c>
      <c r="D4485" s="15">
        <f>IFERROR(__xludf.DUMMYFUNCTION("""COMPUTED_VALUE"""),1.001)</f>
        <v>1.001</v>
      </c>
      <c r="E4485" s="16">
        <f>IFERROR(__xludf.DUMMYFUNCTION("""COMPUTED_VALUE"""),69.0)</f>
        <v>69</v>
      </c>
      <c r="F4485" s="19" t="str">
        <f>IFERROR(__xludf.DUMMYFUNCTION("""COMPUTED_VALUE"""),"BLUE")</f>
        <v>BLUE</v>
      </c>
      <c r="G4485" s="20" t="str">
        <f>IFERROR(__xludf.DUMMYFUNCTION("""COMPUTED_VALUE"""),"Uncle Sams Cider (04/04/2023)")</f>
        <v>Uncle Sams Cider (04/04/2023)</v>
      </c>
      <c r="H4485" s="19"/>
    </row>
    <row r="4486">
      <c r="A4486" s="9"/>
      <c r="B4486" s="15"/>
      <c r="C4486" s="9">
        <f>IFERROR(__xludf.DUMMYFUNCTION("""COMPUTED_VALUE"""),45097.6461407291)</f>
        <v>45097.64614</v>
      </c>
      <c r="D4486" s="15">
        <f>IFERROR(__xludf.DUMMYFUNCTION("""COMPUTED_VALUE"""),1.001)</f>
        <v>1.001</v>
      </c>
      <c r="E4486" s="16">
        <f>IFERROR(__xludf.DUMMYFUNCTION("""COMPUTED_VALUE"""),69.0)</f>
        <v>69</v>
      </c>
      <c r="F4486" s="19" t="str">
        <f>IFERROR(__xludf.DUMMYFUNCTION("""COMPUTED_VALUE"""),"BLUE")</f>
        <v>BLUE</v>
      </c>
      <c r="G4486" s="20" t="str">
        <f>IFERROR(__xludf.DUMMYFUNCTION("""COMPUTED_VALUE"""),"Uncle Sams Cider (04/04/2023)")</f>
        <v>Uncle Sams Cider (04/04/2023)</v>
      </c>
      <c r="H4486" s="19"/>
    </row>
    <row r="4487">
      <c r="A4487" s="9"/>
      <c r="B4487" s="15"/>
      <c r="C4487" s="9">
        <f>IFERROR(__xludf.DUMMYFUNCTION("""COMPUTED_VALUE"""),45097.6357059143)</f>
        <v>45097.63571</v>
      </c>
      <c r="D4487" s="15">
        <f>IFERROR(__xludf.DUMMYFUNCTION("""COMPUTED_VALUE"""),1.001)</f>
        <v>1.001</v>
      </c>
      <c r="E4487" s="16">
        <f>IFERROR(__xludf.DUMMYFUNCTION("""COMPUTED_VALUE"""),69.0)</f>
        <v>69</v>
      </c>
      <c r="F4487" s="19" t="str">
        <f>IFERROR(__xludf.DUMMYFUNCTION("""COMPUTED_VALUE"""),"BLUE")</f>
        <v>BLUE</v>
      </c>
      <c r="G4487" s="20" t="str">
        <f>IFERROR(__xludf.DUMMYFUNCTION("""COMPUTED_VALUE"""),"Uncle Sams Cider (04/04/2023)")</f>
        <v>Uncle Sams Cider (04/04/2023)</v>
      </c>
      <c r="H4487" s="19"/>
    </row>
    <row r="4488">
      <c r="A4488" s="9"/>
      <c r="B4488" s="15"/>
      <c r="C4488" s="9">
        <f>IFERROR(__xludf.DUMMYFUNCTION("""COMPUTED_VALUE"""),45097.6252619444)</f>
        <v>45097.62526</v>
      </c>
      <c r="D4488" s="15">
        <f>IFERROR(__xludf.DUMMYFUNCTION("""COMPUTED_VALUE"""),1.001)</f>
        <v>1.001</v>
      </c>
      <c r="E4488" s="16">
        <f>IFERROR(__xludf.DUMMYFUNCTION("""COMPUTED_VALUE"""),69.0)</f>
        <v>69</v>
      </c>
      <c r="F4488" s="19" t="str">
        <f>IFERROR(__xludf.DUMMYFUNCTION("""COMPUTED_VALUE"""),"BLUE")</f>
        <v>BLUE</v>
      </c>
      <c r="G4488" s="20" t="str">
        <f>IFERROR(__xludf.DUMMYFUNCTION("""COMPUTED_VALUE"""),"Uncle Sams Cider (04/04/2023)")</f>
        <v>Uncle Sams Cider (04/04/2023)</v>
      </c>
      <c r="H4488" s="19"/>
    </row>
    <row r="4489">
      <c r="A4489" s="9"/>
      <c r="B4489" s="15"/>
      <c r="C4489" s="9">
        <f>IFERROR(__xludf.DUMMYFUNCTION("""COMPUTED_VALUE"""),45097.6148400231)</f>
        <v>45097.61484</v>
      </c>
      <c r="D4489" s="15">
        <f>IFERROR(__xludf.DUMMYFUNCTION("""COMPUTED_VALUE"""),1.001)</f>
        <v>1.001</v>
      </c>
      <c r="E4489" s="16">
        <f>IFERROR(__xludf.DUMMYFUNCTION("""COMPUTED_VALUE"""),69.0)</f>
        <v>69</v>
      </c>
      <c r="F4489" s="19" t="str">
        <f>IFERROR(__xludf.DUMMYFUNCTION("""COMPUTED_VALUE"""),"BLUE")</f>
        <v>BLUE</v>
      </c>
      <c r="G4489" s="20" t="str">
        <f>IFERROR(__xludf.DUMMYFUNCTION("""COMPUTED_VALUE"""),"Uncle Sams Cider (04/04/2023)")</f>
        <v>Uncle Sams Cider (04/04/2023)</v>
      </c>
      <c r="H4489" s="19"/>
    </row>
    <row r="4490">
      <c r="A4490" s="9"/>
      <c r="B4490" s="15"/>
      <c r="C4490" s="9">
        <f>IFERROR(__xludf.DUMMYFUNCTION("""COMPUTED_VALUE"""),45097.6044198842)</f>
        <v>45097.60442</v>
      </c>
      <c r="D4490" s="15">
        <f>IFERROR(__xludf.DUMMYFUNCTION("""COMPUTED_VALUE"""),1.001)</f>
        <v>1.001</v>
      </c>
      <c r="E4490" s="16">
        <f>IFERROR(__xludf.DUMMYFUNCTION("""COMPUTED_VALUE"""),69.0)</f>
        <v>69</v>
      </c>
      <c r="F4490" s="19" t="str">
        <f>IFERROR(__xludf.DUMMYFUNCTION("""COMPUTED_VALUE"""),"BLUE")</f>
        <v>BLUE</v>
      </c>
      <c r="G4490" s="20" t="str">
        <f>IFERROR(__xludf.DUMMYFUNCTION("""COMPUTED_VALUE"""),"Uncle Sams Cider (04/04/2023)")</f>
        <v>Uncle Sams Cider (04/04/2023)</v>
      </c>
      <c r="H4490" s="19"/>
    </row>
    <row r="4491">
      <c r="A4491" s="9"/>
      <c r="B4491" s="15"/>
      <c r="C4491" s="9">
        <f>IFERROR(__xludf.DUMMYFUNCTION("""COMPUTED_VALUE"""),45097.5939968749)</f>
        <v>45097.594</v>
      </c>
      <c r="D4491" s="15">
        <f>IFERROR(__xludf.DUMMYFUNCTION("""COMPUTED_VALUE"""),1.002)</f>
        <v>1.002</v>
      </c>
      <c r="E4491" s="16">
        <f>IFERROR(__xludf.DUMMYFUNCTION("""COMPUTED_VALUE"""),69.0)</f>
        <v>69</v>
      </c>
      <c r="F4491" s="19" t="str">
        <f>IFERROR(__xludf.DUMMYFUNCTION("""COMPUTED_VALUE"""),"BLUE")</f>
        <v>BLUE</v>
      </c>
      <c r="G4491" s="20" t="str">
        <f>IFERROR(__xludf.DUMMYFUNCTION("""COMPUTED_VALUE"""),"Uncle Sams Cider (04/04/2023)")</f>
        <v>Uncle Sams Cider (04/04/2023)</v>
      </c>
      <c r="H4491" s="19"/>
    </row>
    <row r="4492">
      <c r="A4492" s="9"/>
      <c r="B4492" s="15"/>
      <c r="C4492" s="9">
        <f>IFERROR(__xludf.DUMMYFUNCTION("""COMPUTED_VALUE"""),45097.5835758333)</f>
        <v>45097.58358</v>
      </c>
      <c r="D4492" s="15">
        <f>IFERROR(__xludf.DUMMYFUNCTION("""COMPUTED_VALUE"""),1.001)</f>
        <v>1.001</v>
      </c>
      <c r="E4492" s="16">
        <f>IFERROR(__xludf.DUMMYFUNCTION("""COMPUTED_VALUE"""),69.0)</f>
        <v>69</v>
      </c>
      <c r="F4492" s="19" t="str">
        <f>IFERROR(__xludf.DUMMYFUNCTION("""COMPUTED_VALUE"""),"BLUE")</f>
        <v>BLUE</v>
      </c>
      <c r="G4492" s="20" t="str">
        <f>IFERROR(__xludf.DUMMYFUNCTION("""COMPUTED_VALUE"""),"Uncle Sams Cider (04/04/2023)")</f>
        <v>Uncle Sams Cider (04/04/2023)</v>
      </c>
      <c r="H4492" s="19"/>
    </row>
    <row r="4493">
      <c r="A4493" s="9"/>
      <c r="B4493" s="15"/>
      <c r="C4493" s="9">
        <f>IFERROR(__xludf.DUMMYFUNCTION("""COMPUTED_VALUE"""),45097.57314125)</f>
        <v>45097.57314</v>
      </c>
      <c r="D4493" s="15">
        <f>IFERROR(__xludf.DUMMYFUNCTION("""COMPUTED_VALUE"""),1.001)</f>
        <v>1.001</v>
      </c>
      <c r="E4493" s="16">
        <f>IFERROR(__xludf.DUMMYFUNCTION("""COMPUTED_VALUE"""),69.0)</f>
        <v>69</v>
      </c>
      <c r="F4493" s="19" t="str">
        <f>IFERROR(__xludf.DUMMYFUNCTION("""COMPUTED_VALUE"""),"BLUE")</f>
        <v>BLUE</v>
      </c>
      <c r="G4493" s="20" t="str">
        <f>IFERROR(__xludf.DUMMYFUNCTION("""COMPUTED_VALUE"""),"Uncle Sams Cider (04/04/2023)")</f>
        <v>Uncle Sams Cider (04/04/2023)</v>
      </c>
      <c r="H4493" s="19"/>
    </row>
    <row r="4494">
      <c r="A4494" s="9"/>
      <c r="B4494" s="15"/>
      <c r="C4494" s="9">
        <f>IFERROR(__xludf.DUMMYFUNCTION("""COMPUTED_VALUE"""),45097.5627197337)</f>
        <v>45097.56272</v>
      </c>
      <c r="D4494" s="15">
        <f>IFERROR(__xludf.DUMMYFUNCTION("""COMPUTED_VALUE"""),1.001)</f>
        <v>1.001</v>
      </c>
      <c r="E4494" s="16">
        <f>IFERROR(__xludf.DUMMYFUNCTION("""COMPUTED_VALUE"""),69.0)</f>
        <v>69</v>
      </c>
      <c r="F4494" s="19" t="str">
        <f>IFERROR(__xludf.DUMMYFUNCTION("""COMPUTED_VALUE"""),"BLUE")</f>
        <v>BLUE</v>
      </c>
      <c r="G4494" s="20" t="str">
        <f>IFERROR(__xludf.DUMMYFUNCTION("""COMPUTED_VALUE"""),"Uncle Sams Cider (04/04/2023)")</f>
        <v>Uncle Sams Cider (04/04/2023)</v>
      </c>
      <c r="H4494" s="19"/>
    </row>
    <row r="4495">
      <c r="A4495" s="9"/>
      <c r="B4495" s="15"/>
      <c r="C4495" s="9">
        <f>IFERROR(__xludf.DUMMYFUNCTION("""COMPUTED_VALUE"""),45097.5522998263)</f>
        <v>45097.5523</v>
      </c>
      <c r="D4495" s="15">
        <f>IFERROR(__xludf.DUMMYFUNCTION("""COMPUTED_VALUE"""),1.001)</f>
        <v>1.001</v>
      </c>
      <c r="E4495" s="16">
        <f>IFERROR(__xludf.DUMMYFUNCTION("""COMPUTED_VALUE"""),69.0)</f>
        <v>69</v>
      </c>
      <c r="F4495" s="19" t="str">
        <f>IFERROR(__xludf.DUMMYFUNCTION("""COMPUTED_VALUE"""),"BLUE")</f>
        <v>BLUE</v>
      </c>
      <c r="G4495" s="20" t="str">
        <f>IFERROR(__xludf.DUMMYFUNCTION("""COMPUTED_VALUE"""),"Uncle Sams Cider (04/04/2023)")</f>
        <v>Uncle Sams Cider (04/04/2023)</v>
      </c>
      <c r="H4495" s="19"/>
    </row>
    <row r="4496">
      <c r="A4496" s="9"/>
      <c r="B4496" s="15"/>
      <c r="C4496" s="9">
        <f>IFERROR(__xludf.DUMMYFUNCTION("""COMPUTED_VALUE"""),45097.5418788078)</f>
        <v>45097.54188</v>
      </c>
      <c r="D4496" s="15">
        <f>IFERROR(__xludf.DUMMYFUNCTION("""COMPUTED_VALUE"""),1.001)</f>
        <v>1.001</v>
      </c>
      <c r="E4496" s="16">
        <f>IFERROR(__xludf.DUMMYFUNCTION("""COMPUTED_VALUE"""),69.0)</f>
        <v>69</v>
      </c>
      <c r="F4496" s="19" t="str">
        <f>IFERROR(__xludf.DUMMYFUNCTION("""COMPUTED_VALUE"""),"BLUE")</f>
        <v>BLUE</v>
      </c>
      <c r="G4496" s="20" t="str">
        <f>IFERROR(__xludf.DUMMYFUNCTION("""COMPUTED_VALUE"""),"Uncle Sams Cider (04/04/2023)")</f>
        <v>Uncle Sams Cider (04/04/2023)</v>
      </c>
      <c r="H4496" s="19"/>
    </row>
    <row r="4497">
      <c r="A4497" s="9"/>
      <c r="B4497" s="15"/>
      <c r="C4497" s="9">
        <f>IFERROR(__xludf.DUMMYFUNCTION("""COMPUTED_VALUE"""),45097.5314591898)</f>
        <v>45097.53146</v>
      </c>
      <c r="D4497" s="15">
        <f>IFERROR(__xludf.DUMMYFUNCTION("""COMPUTED_VALUE"""),1.001)</f>
        <v>1.001</v>
      </c>
      <c r="E4497" s="16">
        <f>IFERROR(__xludf.DUMMYFUNCTION("""COMPUTED_VALUE"""),69.0)</f>
        <v>69</v>
      </c>
      <c r="F4497" s="19" t="str">
        <f>IFERROR(__xludf.DUMMYFUNCTION("""COMPUTED_VALUE"""),"BLUE")</f>
        <v>BLUE</v>
      </c>
      <c r="G4497" s="20" t="str">
        <f>IFERROR(__xludf.DUMMYFUNCTION("""COMPUTED_VALUE"""),"Uncle Sams Cider (04/04/2023)")</f>
        <v>Uncle Sams Cider (04/04/2023)</v>
      </c>
      <c r="H4497" s="19"/>
    </row>
    <row r="4498">
      <c r="A4498" s="9"/>
      <c r="B4498" s="15"/>
      <c r="C4498" s="9">
        <f>IFERROR(__xludf.DUMMYFUNCTION("""COMPUTED_VALUE"""),45097.5210369676)</f>
        <v>45097.52104</v>
      </c>
      <c r="D4498" s="15">
        <f>IFERROR(__xludf.DUMMYFUNCTION("""COMPUTED_VALUE"""),1.001)</f>
        <v>1.001</v>
      </c>
      <c r="E4498" s="16">
        <f>IFERROR(__xludf.DUMMYFUNCTION("""COMPUTED_VALUE"""),69.0)</f>
        <v>69</v>
      </c>
      <c r="F4498" s="19" t="str">
        <f>IFERROR(__xludf.DUMMYFUNCTION("""COMPUTED_VALUE"""),"BLUE")</f>
        <v>BLUE</v>
      </c>
      <c r="G4498" s="20" t="str">
        <f>IFERROR(__xludf.DUMMYFUNCTION("""COMPUTED_VALUE"""),"Uncle Sams Cider (04/04/2023)")</f>
        <v>Uncle Sams Cider (04/04/2023)</v>
      </c>
      <c r="H4498" s="19"/>
    </row>
    <row r="4499">
      <c r="A4499" s="9"/>
      <c r="B4499" s="15"/>
      <c r="C4499" s="9">
        <f>IFERROR(__xludf.DUMMYFUNCTION("""COMPUTED_VALUE"""),45097.5106167245)</f>
        <v>45097.51062</v>
      </c>
      <c r="D4499" s="15">
        <f>IFERROR(__xludf.DUMMYFUNCTION("""COMPUTED_VALUE"""),1.001)</f>
        <v>1.001</v>
      </c>
      <c r="E4499" s="16">
        <f>IFERROR(__xludf.DUMMYFUNCTION("""COMPUTED_VALUE"""),69.0)</f>
        <v>69</v>
      </c>
      <c r="F4499" s="19" t="str">
        <f>IFERROR(__xludf.DUMMYFUNCTION("""COMPUTED_VALUE"""),"BLUE")</f>
        <v>BLUE</v>
      </c>
      <c r="G4499" s="20" t="str">
        <f>IFERROR(__xludf.DUMMYFUNCTION("""COMPUTED_VALUE"""),"Uncle Sams Cider (04/04/2023)")</f>
        <v>Uncle Sams Cider (04/04/2023)</v>
      </c>
      <c r="H4499" s="19"/>
    </row>
    <row r="4500">
      <c r="A4500" s="9"/>
      <c r="B4500" s="15"/>
      <c r="C4500" s="9">
        <f>IFERROR(__xludf.DUMMYFUNCTION("""COMPUTED_VALUE"""),45097.5001971412)</f>
        <v>45097.5002</v>
      </c>
      <c r="D4500" s="15">
        <f>IFERROR(__xludf.DUMMYFUNCTION("""COMPUTED_VALUE"""),1.001)</f>
        <v>1.001</v>
      </c>
      <c r="E4500" s="16">
        <f>IFERROR(__xludf.DUMMYFUNCTION("""COMPUTED_VALUE"""),69.0)</f>
        <v>69</v>
      </c>
      <c r="F4500" s="19" t="str">
        <f>IFERROR(__xludf.DUMMYFUNCTION("""COMPUTED_VALUE"""),"BLUE")</f>
        <v>BLUE</v>
      </c>
      <c r="G4500" s="20" t="str">
        <f>IFERROR(__xludf.DUMMYFUNCTION("""COMPUTED_VALUE"""),"Uncle Sams Cider (04/04/2023)")</f>
        <v>Uncle Sams Cider (04/04/2023)</v>
      </c>
      <c r="H4500" s="19"/>
    </row>
    <row r="4501">
      <c r="A4501" s="9"/>
      <c r="B4501" s="15"/>
      <c r="C4501" s="9">
        <f>IFERROR(__xludf.DUMMYFUNCTION("""COMPUTED_VALUE"""),45097.4897768981)</f>
        <v>45097.48978</v>
      </c>
      <c r="D4501" s="15">
        <f>IFERROR(__xludf.DUMMYFUNCTION("""COMPUTED_VALUE"""),1.001)</f>
        <v>1.001</v>
      </c>
      <c r="E4501" s="16">
        <f>IFERROR(__xludf.DUMMYFUNCTION("""COMPUTED_VALUE"""),69.0)</f>
        <v>69</v>
      </c>
      <c r="F4501" s="19" t="str">
        <f>IFERROR(__xludf.DUMMYFUNCTION("""COMPUTED_VALUE"""),"BLUE")</f>
        <v>BLUE</v>
      </c>
      <c r="G4501" s="20" t="str">
        <f>IFERROR(__xludf.DUMMYFUNCTION("""COMPUTED_VALUE"""),"Uncle Sams Cider (04/04/2023)")</f>
        <v>Uncle Sams Cider (04/04/2023)</v>
      </c>
      <c r="H4501" s="19"/>
    </row>
    <row r="4502">
      <c r="A4502" s="9"/>
      <c r="B4502" s="15"/>
      <c r="C4502" s="9">
        <f>IFERROR(__xludf.DUMMYFUNCTION("""COMPUTED_VALUE"""),45097.4793442592)</f>
        <v>45097.47934</v>
      </c>
      <c r="D4502" s="15">
        <f>IFERROR(__xludf.DUMMYFUNCTION("""COMPUTED_VALUE"""),1.001)</f>
        <v>1.001</v>
      </c>
      <c r="E4502" s="16">
        <f>IFERROR(__xludf.DUMMYFUNCTION("""COMPUTED_VALUE"""),69.0)</f>
        <v>69</v>
      </c>
      <c r="F4502" s="19" t="str">
        <f>IFERROR(__xludf.DUMMYFUNCTION("""COMPUTED_VALUE"""),"BLUE")</f>
        <v>BLUE</v>
      </c>
      <c r="G4502" s="20" t="str">
        <f>IFERROR(__xludf.DUMMYFUNCTION("""COMPUTED_VALUE"""),"Uncle Sams Cider (04/04/2023)")</f>
        <v>Uncle Sams Cider (04/04/2023)</v>
      </c>
      <c r="H4502" s="19"/>
    </row>
    <row r="4503">
      <c r="A4503" s="9"/>
      <c r="B4503" s="15"/>
      <c r="C4503" s="9">
        <f>IFERROR(__xludf.DUMMYFUNCTION("""COMPUTED_VALUE"""),45097.4689238425)</f>
        <v>45097.46892</v>
      </c>
      <c r="D4503" s="15">
        <f>IFERROR(__xludf.DUMMYFUNCTION("""COMPUTED_VALUE"""),1.002)</f>
        <v>1.002</v>
      </c>
      <c r="E4503" s="16">
        <f>IFERROR(__xludf.DUMMYFUNCTION("""COMPUTED_VALUE"""),69.0)</f>
        <v>69</v>
      </c>
      <c r="F4503" s="19" t="str">
        <f>IFERROR(__xludf.DUMMYFUNCTION("""COMPUTED_VALUE"""),"BLUE")</f>
        <v>BLUE</v>
      </c>
      <c r="G4503" s="20" t="str">
        <f>IFERROR(__xludf.DUMMYFUNCTION("""COMPUTED_VALUE"""),"Uncle Sams Cider (04/04/2023)")</f>
        <v>Uncle Sams Cider (04/04/2023)</v>
      </c>
      <c r="H4503" s="19"/>
    </row>
    <row r="4504">
      <c r="A4504" s="9"/>
      <c r="B4504" s="15"/>
      <c r="C4504" s="9">
        <f>IFERROR(__xludf.DUMMYFUNCTION("""COMPUTED_VALUE"""),45097.4585033333)</f>
        <v>45097.4585</v>
      </c>
      <c r="D4504" s="15">
        <f>IFERROR(__xludf.DUMMYFUNCTION("""COMPUTED_VALUE"""),1.002)</f>
        <v>1.002</v>
      </c>
      <c r="E4504" s="16">
        <f>IFERROR(__xludf.DUMMYFUNCTION("""COMPUTED_VALUE"""),69.0)</f>
        <v>69</v>
      </c>
      <c r="F4504" s="19" t="str">
        <f>IFERROR(__xludf.DUMMYFUNCTION("""COMPUTED_VALUE"""),"BLUE")</f>
        <v>BLUE</v>
      </c>
      <c r="G4504" s="20" t="str">
        <f>IFERROR(__xludf.DUMMYFUNCTION("""COMPUTED_VALUE"""),"Uncle Sams Cider (04/04/2023)")</f>
        <v>Uncle Sams Cider (04/04/2023)</v>
      </c>
      <c r="H4504" s="19"/>
    </row>
    <row r="4505">
      <c r="A4505" s="9"/>
      <c r="B4505" s="15"/>
      <c r="C4505" s="9">
        <f>IFERROR(__xludf.DUMMYFUNCTION("""COMPUTED_VALUE"""),45097.4480823726)</f>
        <v>45097.44808</v>
      </c>
      <c r="D4505" s="15">
        <f>IFERROR(__xludf.DUMMYFUNCTION("""COMPUTED_VALUE"""),1.002)</f>
        <v>1.002</v>
      </c>
      <c r="E4505" s="16">
        <f>IFERROR(__xludf.DUMMYFUNCTION("""COMPUTED_VALUE"""),69.0)</f>
        <v>69</v>
      </c>
      <c r="F4505" s="19" t="str">
        <f>IFERROR(__xludf.DUMMYFUNCTION("""COMPUTED_VALUE"""),"BLUE")</f>
        <v>BLUE</v>
      </c>
      <c r="G4505" s="20" t="str">
        <f>IFERROR(__xludf.DUMMYFUNCTION("""COMPUTED_VALUE"""),"Uncle Sams Cider (04/04/2023)")</f>
        <v>Uncle Sams Cider (04/04/2023)</v>
      </c>
      <c r="H4505" s="19"/>
    </row>
    <row r="4506">
      <c r="A4506" s="9"/>
      <c r="B4506" s="15"/>
      <c r="C4506" s="9">
        <f>IFERROR(__xludf.DUMMYFUNCTION("""COMPUTED_VALUE"""),45097.4376613194)</f>
        <v>45097.43766</v>
      </c>
      <c r="D4506" s="15">
        <f>IFERROR(__xludf.DUMMYFUNCTION("""COMPUTED_VALUE"""),1.001)</f>
        <v>1.001</v>
      </c>
      <c r="E4506" s="16">
        <f>IFERROR(__xludf.DUMMYFUNCTION("""COMPUTED_VALUE"""),69.0)</f>
        <v>69</v>
      </c>
      <c r="F4506" s="19" t="str">
        <f>IFERROR(__xludf.DUMMYFUNCTION("""COMPUTED_VALUE"""),"BLUE")</f>
        <v>BLUE</v>
      </c>
      <c r="G4506" s="20" t="str">
        <f>IFERROR(__xludf.DUMMYFUNCTION("""COMPUTED_VALUE"""),"Uncle Sams Cider (04/04/2023)")</f>
        <v>Uncle Sams Cider (04/04/2023)</v>
      </c>
      <c r="H4506" s="19"/>
    </row>
    <row r="4507">
      <c r="A4507" s="9"/>
      <c r="B4507" s="15"/>
      <c r="C4507" s="9">
        <f>IFERROR(__xludf.DUMMYFUNCTION("""COMPUTED_VALUE"""),45097.4272402777)</f>
        <v>45097.42724</v>
      </c>
      <c r="D4507" s="15">
        <f>IFERROR(__xludf.DUMMYFUNCTION("""COMPUTED_VALUE"""),1.001)</f>
        <v>1.001</v>
      </c>
      <c r="E4507" s="16">
        <f>IFERROR(__xludf.DUMMYFUNCTION("""COMPUTED_VALUE"""),69.0)</f>
        <v>69</v>
      </c>
      <c r="F4507" s="19" t="str">
        <f>IFERROR(__xludf.DUMMYFUNCTION("""COMPUTED_VALUE"""),"BLUE")</f>
        <v>BLUE</v>
      </c>
      <c r="G4507" s="20" t="str">
        <f>IFERROR(__xludf.DUMMYFUNCTION("""COMPUTED_VALUE"""),"Uncle Sams Cider (04/04/2023)")</f>
        <v>Uncle Sams Cider (04/04/2023)</v>
      </c>
      <c r="H4507" s="19"/>
    </row>
    <row r="4508">
      <c r="A4508" s="9"/>
      <c r="B4508" s="15"/>
      <c r="C4508" s="9">
        <f>IFERROR(__xludf.DUMMYFUNCTION("""COMPUTED_VALUE"""),45097.416805625)</f>
        <v>45097.41681</v>
      </c>
      <c r="D4508" s="15">
        <f>IFERROR(__xludf.DUMMYFUNCTION("""COMPUTED_VALUE"""),1.001)</f>
        <v>1.001</v>
      </c>
      <c r="E4508" s="16">
        <f>IFERROR(__xludf.DUMMYFUNCTION("""COMPUTED_VALUE"""),69.0)</f>
        <v>69</v>
      </c>
      <c r="F4508" s="19" t="str">
        <f>IFERROR(__xludf.DUMMYFUNCTION("""COMPUTED_VALUE"""),"BLUE")</f>
        <v>BLUE</v>
      </c>
      <c r="G4508" s="20" t="str">
        <f>IFERROR(__xludf.DUMMYFUNCTION("""COMPUTED_VALUE"""),"Uncle Sams Cider (04/04/2023)")</f>
        <v>Uncle Sams Cider (04/04/2023)</v>
      </c>
      <c r="H4508" s="19"/>
    </row>
    <row r="4509">
      <c r="A4509" s="9"/>
      <c r="B4509" s="15"/>
      <c r="C4509" s="9">
        <f>IFERROR(__xludf.DUMMYFUNCTION("""COMPUTED_VALUE"""),45097.4063860995)</f>
        <v>45097.40639</v>
      </c>
      <c r="D4509" s="15">
        <f>IFERROR(__xludf.DUMMYFUNCTION("""COMPUTED_VALUE"""),1.002)</f>
        <v>1.002</v>
      </c>
      <c r="E4509" s="16">
        <f>IFERROR(__xludf.DUMMYFUNCTION("""COMPUTED_VALUE"""),69.0)</f>
        <v>69</v>
      </c>
      <c r="F4509" s="19" t="str">
        <f>IFERROR(__xludf.DUMMYFUNCTION("""COMPUTED_VALUE"""),"BLUE")</f>
        <v>BLUE</v>
      </c>
      <c r="G4509" s="20" t="str">
        <f>IFERROR(__xludf.DUMMYFUNCTION("""COMPUTED_VALUE"""),"Uncle Sams Cider (04/04/2023)")</f>
        <v>Uncle Sams Cider (04/04/2023)</v>
      </c>
      <c r="H4509" s="19"/>
    </row>
    <row r="4510">
      <c r="A4510" s="9"/>
      <c r="B4510" s="15"/>
      <c r="C4510" s="9">
        <f>IFERROR(__xludf.DUMMYFUNCTION("""COMPUTED_VALUE"""),45097.3959658564)</f>
        <v>45097.39597</v>
      </c>
      <c r="D4510" s="15">
        <f>IFERROR(__xludf.DUMMYFUNCTION("""COMPUTED_VALUE"""),1.002)</f>
        <v>1.002</v>
      </c>
      <c r="E4510" s="16">
        <f>IFERROR(__xludf.DUMMYFUNCTION("""COMPUTED_VALUE"""),69.0)</f>
        <v>69</v>
      </c>
      <c r="F4510" s="19" t="str">
        <f>IFERROR(__xludf.DUMMYFUNCTION("""COMPUTED_VALUE"""),"BLUE")</f>
        <v>BLUE</v>
      </c>
      <c r="G4510" s="20" t="str">
        <f>IFERROR(__xludf.DUMMYFUNCTION("""COMPUTED_VALUE"""),"Uncle Sams Cider (04/04/2023)")</f>
        <v>Uncle Sams Cider (04/04/2023)</v>
      </c>
      <c r="H4510" s="19"/>
    </row>
    <row r="4511">
      <c r="A4511" s="9"/>
      <c r="B4511" s="15"/>
      <c r="C4511" s="9">
        <f>IFERROR(__xludf.DUMMYFUNCTION("""COMPUTED_VALUE"""),45097.3855464467)</f>
        <v>45097.38555</v>
      </c>
      <c r="D4511" s="15">
        <f>IFERROR(__xludf.DUMMYFUNCTION("""COMPUTED_VALUE"""),1.001)</f>
        <v>1.001</v>
      </c>
      <c r="E4511" s="16">
        <f>IFERROR(__xludf.DUMMYFUNCTION("""COMPUTED_VALUE"""),69.0)</f>
        <v>69</v>
      </c>
      <c r="F4511" s="19" t="str">
        <f>IFERROR(__xludf.DUMMYFUNCTION("""COMPUTED_VALUE"""),"BLUE")</f>
        <v>BLUE</v>
      </c>
      <c r="G4511" s="20" t="str">
        <f>IFERROR(__xludf.DUMMYFUNCTION("""COMPUTED_VALUE"""),"Uncle Sams Cider (04/04/2023)")</f>
        <v>Uncle Sams Cider (04/04/2023)</v>
      </c>
      <c r="H4511" s="19"/>
    </row>
    <row r="4512">
      <c r="A4512" s="9"/>
      <c r="B4512" s="15"/>
      <c r="C4512" s="9">
        <f>IFERROR(__xludf.DUMMYFUNCTION("""COMPUTED_VALUE"""),45097.3751271412)</f>
        <v>45097.37513</v>
      </c>
      <c r="D4512" s="15">
        <f>IFERROR(__xludf.DUMMYFUNCTION("""COMPUTED_VALUE"""),1.001)</f>
        <v>1.001</v>
      </c>
      <c r="E4512" s="16">
        <f>IFERROR(__xludf.DUMMYFUNCTION("""COMPUTED_VALUE"""),69.0)</f>
        <v>69</v>
      </c>
      <c r="F4512" s="19" t="str">
        <f>IFERROR(__xludf.DUMMYFUNCTION("""COMPUTED_VALUE"""),"BLUE")</f>
        <v>BLUE</v>
      </c>
      <c r="G4512" s="20" t="str">
        <f>IFERROR(__xludf.DUMMYFUNCTION("""COMPUTED_VALUE"""),"Uncle Sams Cider (04/04/2023)")</f>
        <v>Uncle Sams Cider (04/04/2023)</v>
      </c>
      <c r="H4512" s="19"/>
    </row>
    <row r="4513">
      <c r="A4513" s="9"/>
      <c r="B4513" s="15"/>
      <c r="C4513" s="9">
        <f>IFERROR(__xludf.DUMMYFUNCTION("""COMPUTED_VALUE"""),45097.3647044791)</f>
        <v>45097.3647</v>
      </c>
      <c r="D4513" s="15">
        <f>IFERROR(__xludf.DUMMYFUNCTION("""COMPUTED_VALUE"""),1.001)</f>
        <v>1.001</v>
      </c>
      <c r="E4513" s="16">
        <f>IFERROR(__xludf.DUMMYFUNCTION("""COMPUTED_VALUE"""),69.0)</f>
        <v>69</v>
      </c>
      <c r="F4513" s="19" t="str">
        <f>IFERROR(__xludf.DUMMYFUNCTION("""COMPUTED_VALUE"""),"BLUE")</f>
        <v>BLUE</v>
      </c>
      <c r="G4513" s="20" t="str">
        <f>IFERROR(__xludf.DUMMYFUNCTION("""COMPUTED_VALUE"""),"Uncle Sams Cider (04/04/2023)")</f>
        <v>Uncle Sams Cider (04/04/2023)</v>
      </c>
      <c r="H4513" s="19"/>
    </row>
    <row r="4514">
      <c r="A4514" s="9"/>
      <c r="B4514" s="15"/>
      <c r="C4514" s="9">
        <f>IFERROR(__xludf.DUMMYFUNCTION("""COMPUTED_VALUE"""),45097.3542707291)</f>
        <v>45097.35427</v>
      </c>
      <c r="D4514" s="15">
        <f>IFERROR(__xludf.DUMMYFUNCTION("""COMPUTED_VALUE"""),1.001)</f>
        <v>1.001</v>
      </c>
      <c r="E4514" s="16">
        <f>IFERROR(__xludf.DUMMYFUNCTION("""COMPUTED_VALUE"""),69.0)</f>
        <v>69</v>
      </c>
      <c r="F4514" s="19" t="str">
        <f>IFERROR(__xludf.DUMMYFUNCTION("""COMPUTED_VALUE"""),"BLUE")</f>
        <v>BLUE</v>
      </c>
      <c r="G4514" s="20" t="str">
        <f>IFERROR(__xludf.DUMMYFUNCTION("""COMPUTED_VALUE"""),"Uncle Sams Cider (04/04/2023)")</f>
        <v>Uncle Sams Cider (04/04/2023)</v>
      </c>
      <c r="H4514" s="19"/>
    </row>
    <row r="4515">
      <c r="A4515" s="9"/>
      <c r="B4515" s="15"/>
      <c r="C4515" s="9">
        <f>IFERROR(__xludf.DUMMYFUNCTION("""COMPUTED_VALUE"""),45097.3438514814)</f>
        <v>45097.34385</v>
      </c>
      <c r="D4515" s="15">
        <f>IFERROR(__xludf.DUMMYFUNCTION("""COMPUTED_VALUE"""),1.002)</f>
        <v>1.002</v>
      </c>
      <c r="E4515" s="16">
        <f>IFERROR(__xludf.DUMMYFUNCTION("""COMPUTED_VALUE"""),69.0)</f>
        <v>69</v>
      </c>
      <c r="F4515" s="19" t="str">
        <f>IFERROR(__xludf.DUMMYFUNCTION("""COMPUTED_VALUE"""),"BLUE")</f>
        <v>BLUE</v>
      </c>
      <c r="G4515" s="20" t="str">
        <f>IFERROR(__xludf.DUMMYFUNCTION("""COMPUTED_VALUE"""),"Uncle Sams Cider (04/04/2023)")</f>
        <v>Uncle Sams Cider (04/04/2023)</v>
      </c>
      <c r="H4515" s="19"/>
    </row>
    <row r="4516">
      <c r="A4516" s="9"/>
      <c r="B4516" s="15"/>
      <c r="C4516" s="9">
        <f>IFERROR(__xludf.DUMMYFUNCTION("""COMPUTED_VALUE"""),45097.3334314004)</f>
        <v>45097.33343</v>
      </c>
      <c r="D4516" s="15">
        <f>IFERROR(__xludf.DUMMYFUNCTION("""COMPUTED_VALUE"""),1.001)</f>
        <v>1.001</v>
      </c>
      <c r="E4516" s="16">
        <f>IFERROR(__xludf.DUMMYFUNCTION("""COMPUTED_VALUE"""),69.0)</f>
        <v>69</v>
      </c>
      <c r="F4516" s="19" t="str">
        <f>IFERROR(__xludf.DUMMYFUNCTION("""COMPUTED_VALUE"""),"BLUE")</f>
        <v>BLUE</v>
      </c>
      <c r="G4516" s="20" t="str">
        <f>IFERROR(__xludf.DUMMYFUNCTION("""COMPUTED_VALUE"""),"Uncle Sams Cider (04/04/2023)")</f>
        <v>Uncle Sams Cider (04/04/2023)</v>
      </c>
      <c r="H4516" s="19"/>
    </row>
    <row r="4517">
      <c r="A4517" s="9"/>
      <c r="B4517" s="15"/>
      <c r="C4517" s="9">
        <f>IFERROR(__xludf.DUMMYFUNCTION("""COMPUTED_VALUE"""),45097.3230096296)</f>
        <v>45097.32301</v>
      </c>
      <c r="D4517" s="15">
        <f>IFERROR(__xludf.DUMMYFUNCTION("""COMPUTED_VALUE"""),1.002)</f>
        <v>1.002</v>
      </c>
      <c r="E4517" s="16">
        <f>IFERROR(__xludf.DUMMYFUNCTION("""COMPUTED_VALUE"""),69.0)</f>
        <v>69</v>
      </c>
      <c r="F4517" s="19" t="str">
        <f>IFERROR(__xludf.DUMMYFUNCTION("""COMPUTED_VALUE"""),"BLUE")</f>
        <v>BLUE</v>
      </c>
      <c r="G4517" s="20" t="str">
        <f>IFERROR(__xludf.DUMMYFUNCTION("""COMPUTED_VALUE"""),"Uncle Sams Cider (04/04/2023)")</f>
        <v>Uncle Sams Cider (04/04/2023)</v>
      </c>
      <c r="H4517" s="19"/>
    </row>
    <row r="4518">
      <c r="A4518" s="9"/>
      <c r="B4518" s="15"/>
      <c r="C4518" s="9">
        <f>IFERROR(__xludf.DUMMYFUNCTION("""COMPUTED_VALUE"""),45097.3125868055)</f>
        <v>45097.31259</v>
      </c>
      <c r="D4518" s="15">
        <f>IFERROR(__xludf.DUMMYFUNCTION("""COMPUTED_VALUE"""),1.001)</f>
        <v>1.001</v>
      </c>
      <c r="E4518" s="16">
        <f>IFERROR(__xludf.DUMMYFUNCTION("""COMPUTED_VALUE"""),69.0)</f>
        <v>69</v>
      </c>
      <c r="F4518" s="19" t="str">
        <f>IFERROR(__xludf.DUMMYFUNCTION("""COMPUTED_VALUE"""),"BLUE")</f>
        <v>BLUE</v>
      </c>
      <c r="G4518" s="20" t="str">
        <f>IFERROR(__xludf.DUMMYFUNCTION("""COMPUTED_VALUE"""),"Uncle Sams Cider (04/04/2023)")</f>
        <v>Uncle Sams Cider (04/04/2023)</v>
      </c>
      <c r="H4518" s="19"/>
    </row>
    <row r="4519">
      <c r="A4519" s="9"/>
      <c r="B4519" s="15"/>
      <c r="C4519" s="9">
        <f>IFERROR(__xludf.DUMMYFUNCTION("""COMPUTED_VALUE"""),45097.3021654976)</f>
        <v>45097.30217</v>
      </c>
      <c r="D4519" s="15">
        <f>IFERROR(__xludf.DUMMYFUNCTION("""COMPUTED_VALUE"""),1.001)</f>
        <v>1.001</v>
      </c>
      <c r="E4519" s="16">
        <f>IFERROR(__xludf.DUMMYFUNCTION("""COMPUTED_VALUE"""),69.0)</f>
        <v>69</v>
      </c>
      <c r="F4519" s="19" t="str">
        <f>IFERROR(__xludf.DUMMYFUNCTION("""COMPUTED_VALUE"""),"BLUE")</f>
        <v>BLUE</v>
      </c>
      <c r="G4519" s="20" t="str">
        <f>IFERROR(__xludf.DUMMYFUNCTION("""COMPUTED_VALUE"""),"Uncle Sams Cider (04/04/2023)")</f>
        <v>Uncle Sams Cider (04/04/2023)</v>
      </c>
      <c r="H4519" s="19"/>
    </row>
    <row r="4520">
      <c r="A4520" s="9"/>
      <c r="B4520" s="15"/>
      <c r="C4520" s="9">
        <f>IFERROR(__xludf.DUMMYFUNCTION("""COMPUTED_VALUE"""),45097.2917442939)</f>
        <v>45097.29174</v>
      </c>
      <c r="D4520" s="15">
        <f>IFERROR(__xludf.DUMMYFUNCTION("""COMPUTED_VALUE"""),1.001)</f>
        <v>1.001</v>
      </c>
      <c r="E4520" s="16">
        <f>IFERROR(__xludf.DUMMYFUNCTION("""COMPUTED_VALUE"""),69.0)</f>
        <v>69</v>
      </c>
      <c r="F4520" s="19" t="str">
        <f>IFERROR(__xludf.DUMMYFUNCTION("""COMPUTED_VALUE"""),"BLUE")</f>
        <v>BLUE</v>
      </c>
      <c r="G4520" s="20" t="str">
        <f>IFERROR(__xludf.DUMMYFUNCTION("""COMPUTED_VALUE"""),"Uncle Sams Cider (04/04/2023)")</f>
        <v>Uncle Sams Cider (04/04/2023)</v>
      </c>
      <c r="H4520" s="19"/>
    </row>
    <row r="4521">
      <c r="A4521" s="9"/>
      <c r="B4521" s="15"/>
      <c r="C4521" s="9">
        <f>IFERROR(__xludf.DUMMYFUNCTION("""COMPUTED_VALUE"""),45097.2813107754)</f>
        <v>45097.28131</v>
      </c>
      <c r="D4521" s="15">
        <f>IFERROR(__xludf.DUMMYFUNCTION("""COMPUTED_VALUE"""),1.001)</f>
        <v>1.001</v>
      </c>
      <c r="E4521" s="16">
        <f>IFERROR(__xludf.DUMMYFUNCTION("""COMPUTED_VALUE"""),69.0)</f>
        <v>69</v>
      </c>
      <c r="F4521" s="19" t="str">
        <f>IFERROR(__xludf.DUMMYFUNCTION("""COMPUTED_VALUE"""),"BLUE")</f>
        <v>BLUE</v>
      </c>
      <c r="G4521" s="20" t="str">
        <f>IFERROR(__xludf.DUMMYFUNCTION("""COMPUTED_VALUE"""),"Uncle Sams Cider (04/04/2023)")</f>
        <v>Uncle Sams Cider (04/04/2023)</v>
      </c>
      <c r="H4521" s="19"/>
    </row>
    <row r="4522">
      <c r="A4522" s="9"/>
      <c r="B4522" s="15"/>
      <c r="C4522" s="9">
        <f>IFERROR(__xludf.DUMMYFUNCTION("""COMPUTED_VALUE"""),45097.270889699)</f>
        <v>45097.27089</v>
      </c>
      <c r="D4522" s="15">
        <f>IFERROR(__xludf.DUMMYFUNCTION("""COMPUTED_VALUE"""),1.002)</f>
        <v>1.002</v>
      </c>
      <c r="E4522" s="16">
        <f>IFERROR(__xludf.DUMMYFUNCTION("""COMPUTED_VALUE"""),69.0)</f>
        <v>69</v>
      </c>
      <c r="F4522" s="19" t="str">
        <f>IFERROR(__xludf.DUMMYFUNCTION("""COMPUTED_VALUE"""),"BLUE")</f>
        <v>BLUE</v>
      </c>
      <c r="G4522" s="20" t="str">
        <f>IFERROR(__xludf.DUMMYFUNCTION("""COMPUTED_VALUE"""),"Uncle Sams Cider (04/04/2023)")</f>
        <v>Uncle Sams Cider (04/04/2023)</v>
      </c>
      <c r="H4522" s="19"/>
    </row>
    <row r="4523">
      <c r="A4523" s="9"/>
      <c r="B4523" s="15"/>
      <c r="C4523" s="9">
        <f>IFERROR(__xludf.DUMMYFUNCTION("""COMPUTED_VALUE"""),45097.2604681713)</f>
        <v>45097.26047</v>
      </c>
      <c r="D4523" s="15">
        <f>IFERROR(__xludf.DUMMYFUNCTION("""COMPUTED_VALUE"""),1.002)</f>
        <v>1.002</v>
      </c>
      <c r="E4523" s="16">
        <f>IFERROR(__xludf.DUMMYFUNCTION("""COMPUTED_VALUE"""),69.0)</f>
        <v>69</v>
      </c>
      <c r="F4523" s="19" t="str">
        <f>IFERROR(__xludf.DUMMYFUNCTION("""COMPUTED_VALUE"""),"BLUE")</f>
        <v>BLUE</v>
      </c>
      <c r="G4523" s="20" t="str">
        <f>IFERROR(__xludf.DUMMYFUNCTION("""COMPUTED_VALUE"""),"Uncle Sams Cider (04/04/2023)")</f>
        <v>Uncle Sams Cider (04/04/2023)</v>
      </c>
      <c r="H4523" s="19"/>
    </row>
    <row r="4524">
      <c r="A4524" s="9"/>
      <c r="B4524" s="15"/>
      <c r="C4524" s="9">
        <f>IFERROR(__xludf.DUMMYFUNCTION("""COMPUTED_VALUE"""),45097.2500470139)</f>
        <v>45097.25005</v>
      </c>
      <c r="D4524" s="15">
        <f>IFERROR(__xludf.DUMMYFUNCTION("""COMPUTED_VALUE"""),1.001)</f>
        <v>1.001</v>
      </c>
      <c r="E4524" s="16">
        <f>IFERROR(__xludf.DUMMYFUNCTION("""COMPUTED_VALUE"""),69.0)</f>
        <v>69</v>
      </c>
      <c r="F4524" s="19" t="str">
        <f>IFERROR(__xludf.DUMMYFUNCTION("""COMPUTED_VALUE"""),"BLUE")</f>
        <v>BLUE</v>
      </c>
      <c r="G4524" s="20" t="str">
        <f>IFERROR(__xludf.DUMMYFUNCTION("""COMPUTED_VALUE"""),"Uncle Sams Cider (04/04/2023)")</f>
        <v>Uncle Sams Cider (04/04/2023)</v>
      </c>
      <c r="H4524" s="19"/>
    </row>
    <row r="4525">
      <c r="A4525" s="9"/>
      <c r="B4525" s="15"/>
      <c r="C4525" s="9">
        <f>IFERROR(__xludf.DUMMYFUNCTION("""COMPUTED_VALUE"""),45097.2396260995)</f>
        <v>45097.23963</v>
      </c>
      <c r="D4525" s="15">
        <f>IFERROR(__xludf.DUMMYFUNCTION("""COMPUTED_VALUE"""),1.002)</f>
        <v>1.002</v>
      </c>
      <c r="E4525" s="16">
        <f>IFERROR(__xludf.DUMMYFUNCTION("""COMPUTED_VALUE"""),69.0)</f>
        <v>69</v>
      </c>
      <c r="F4525" s="19" t="str">
        <f>IFERROR(__xludf.DUMMYFUNCTION("""COMPUTED_VALUE"""),"BLUE")</f>
        <v>BLUE</v>
      </c>
      <c r="G4525" s="20" t="str">
        <f>IFERROR(__xludf.DUMMYFUNCTION("""COMPUTED_VALUE"""),"Uncle Sams Cider (04/04/2023)")</f>
        <v>Uncle Sams Cider (04/04/2023)</v>
      </c>
      <c r="H4525" s="19"/>
    </row>
    <row r="4526">
      <c r="A4526" s="9"/>
      <c r="B4526" s="15"/>
      <c r="C4526" s="9">
        <f>IFERROR(__xludf.DUMMYFUNCTION("""COMPUTED_VALUE"""),45097.2292061226)</f>
        <v>45097.22921</v>
      </c>
      <c r="D4526" s="15">
        <f>IFERROR(__xludf.DUMMYFUNCTION("""COMPUTED_VALUE"""),1.002)</f>
        <v>1.002</v>
      </c>
      <c r="E4526" s="16">
        <f>IFERROR(__xludf.DUMMYFUNCTION("""COMPUTED_VALUE"""),69.0)</f>
        <v>69</v>
      </c>
      <c r="F4526" s="19" t="str">
        <f>IFERROR(__xludf.DUMMYFUNCTION("""COMPUTED_VALUE"""),"BLUE")</f>
        <v>BLUE</v>
      </c>
      <c r="G4526" s="20" t="str">
        <f>IFERROR(__xludf.DUMMYFUNCTION("""COMPUTED_VALUE"""),"Uncle Sams Cider (04/04/2023)")</f>
        <v>Uncle Sams Cider (04/04/2023)</v>
      </c>
      <c r="H4526" s="19"/>
    </row>
    <row r="4527">
      <c r="A4527" s="9"/>
      <c r="B4527" s="15"/>
      <c r="C4527" s="9">
        <f>IFERROR(__xludf.DUMMYFUNCTION("""COMPUTED_VALUE"""),45097.218785625)</f>
        <v>45097.21879</v>
      </c>
      <c r="D4527" s="15">
        <f>IFERROR(__xludf.DUMMYFUNCTION("""COMPUTED_VALUE"""),1.001)</f>
        <v>1.001</v>
      </c>
      <c r="E4527" s="16">
        <f>IFERROR(__xludf.DUMMYFUNCTION("""COMPUTED_VALUE"""),69.0)</f>
        <v>69</v>
      </c>
      <c r="F4527" s="19" t="str">
        <f>IFERROR(__xludf.DUMMYFUNCTION("""COMPUTED_VALUE"""),"BLUE")</f>
        <v>BLUE</v>
      </c>
      <c r="G4527" s="20" t="str">
        <f>IFERROR(__xludf.DUMMYFUNCTION("""COMPUTED_VALUE"""),"Uncle Sams Cider (04/04/2023)")</f>
        <v>Uncle Sams Cider (04/04/2023)</v>
      </c>
      <c r="H4527" s="19"/>
    </row>
    <row r="4528">
      <c r="A4528" s="9"/>
      <c r="B4528" s="15"/>
      <c r="C4528" s="9">
        <f>IFERROR(__xludf.DUMMYFUNCTION("""COMPUTED_VALUE"""),45097.2083639236)</f>
        <v>45097.20836</v>
      </c>
      <c r="D4528" s="15">
        <f>IFERROR(__xludf.DUMMYFUNCTION("""COMPUTED_VALUE"""),1.001)</f>
        <v>1.001</v>
      </c>
      <c r="E4528" s="16">
        <f>IFERROR(__xludf.DUMMYFUNCTION("""COMPUTED_VALUE"""),69.0)</f>
        <v>69</v>
      </c>
      <c r="F4528" s="19" t="str">
        <f>IFERROR(__xludf.DUMMYFUNCTION("""COMPUTED_VALUE"""),"BLUE")</f>
        <v>BLUE</v>
      </c>
      <c r="G4528" s="20" t="str">
        <f>IFERROR(__xludf.DUMMYFUNCTION("""COMPUTED_VALUE"""),"Uncle Sams Cider (04/04/2023)")</f>
        <v>Uncle Sams Cider (04/04/2023)</v>
      </c>
      <c r="H4528" s="19"/>
    </row>
    <row r="4529">
      <c r="A4529" s="9"/>
      <c r="B4529" s="15"/>
      <c r="C4529" s="9">
        <f>IFERROR(__xludf.DUMMYFUNCTION("""COMPUTED_VALUE"""),45097.1979428819)</f>
        <v>45097.19794</v>
      </c>
      <c r="D4529" s="15">
        <f>IFERROR(__xludf.DUMMYFUNCTION("""COMPUTED_VALUE"""),1.001)</f>
        <v>1.001</v>
      </c>
      <c r="E4529" s="16">
        <f>IFERROR(__xludf.DUMMYFUNCTION("""COMPUTED_VALUE"""),69.0)</f>
        <v>69</v>
      </c>
      <c r="F4529" s="19" t="str">
        <f>IFERROR(__xludf.DUMMYFUNCTION("""COMPUTED_VALUE"""),"BLUE")</f>
        <v>BLUE</v>
      </c>
      <c r="G4529" s="20" t="str">
        <f>IFERROR(__xludf.DUMMYFUNCTION("""COMPUTED_VALUE"""),"Uncle Sams Cider (04/04/2023)")</f>
        <v>Uncle Sams Cider (04/04/2023)</v>
      </c>
      <c r="H4529" s="19"/>
    </row>
    <row r="4530">
      <c r="A4530" s="9"/>
      <c r="B4530" s="15"/>
      <c r="C4530" s="9">
        <f>IFERROR(__xludf.DUMMYFUNCTION("""COMPUTED_VALUE"""),45097.187520162)</f>
        <v>45097.18752</v>
      </c>
      <c r="D4530" s="15">
        <f>IFERROR(__xludf.DUMMYFUNCTION("""COMPUTED_VALUE"""),1.002)</f>
        <v>1.002</v>
      </c>
      <c r="E4530" s="16">
        <f>IFERROR(__xludf.DUMMYFUNCTION("""COMPUTED_VALUE"""),69.0)</f>
        <v>69</v>
      </c>
      <c r="F4530" s="19" t="str">
        <f>IFERROR(__xludf.DUMMYFUNCTION("""COMPUTED_VALUE"""),"BLUE")</f>
        <v>BLUE</v>
      </c>
      <c r="G4530" s="20" t="str">
        <f>IFERROR(__xludf.DUMMYFUNCTION("""COMPUTED_VALUE"""),"Uncle Sams Cider (04/04/2023)")</f>
        <v>Uncle Sams Cider (04/04/2023)</v>
      </c>
      <c r="H4530" s="19"/>
    </row>
    <row r="4531">
      <c r="A4531" s="9"/>
      <c r="B4531" s="15"/>
      <c r="C4531" s="9">
        <f>IFERROR(__xludf.DUMMYFUNCTION("""COMPUTED_VALUE"""),45097.1771002314)</f>
        <v>45097.1771</v>
      </c>
      <c r="D4531" s="15">
        <f>IFERROR(__xludf.DUMMYFUNCTION("""COMPUTED_VALUE"""),1.001)</f>
        <v>1.001</v>
      </c>
      <c r="E4531" s="16">
        <f>IFERROR(__xludf.DUMMYFUNCTION("""COMPUTED_VALUE"""),69.0)</f>
        <v>69</v>
      </c>
      <c r="F4531" s="19" t="str">
        <f>IFERROR(__xludf.DUMMYFUNCTION("""COMPUTED_VALUE"""),"BLUE")</f>
        <v>BLUE</v>
      </c>
      <c r="G4531" s="20" t="str">
        <f>IFERROR(__xludf.DUMMYFUNCTION("""COMPUTED_VALUE"""),"Uncle Sams Cider (04/04/2023)")</f>
        <v>Uncle Sams Cider (04/04/2023)</v>
      </c>
      <c r="H4531" s="19"/>
    </row>
    <row r="4532">
      <c r="A4532" s="9"/>
      <c r="B4532" s="15"/>
      <c r="C4532" s="9">
        <f>IFERROR(__xludf.DUMMYFUNCTION("""COMPUTED_VALUE"""),45097.1666794907)</f>
        <v>45097.16668</v>
      </c>
      <c r="D4532" s="15">
        <f>IFERROR(__xludf.DUMMYFUNCTION("""COMPUTED_VALUE"""),1.002)</f>
        <v>1.002</v>
      </c>
      <c r="E4532" s="16">
        <f>IFERROR(__xludf.DUMMYFUNCTION("""COMPUTED_VALUE"""),69.0)</f>
        <v>69</v>
      </c>
      <c r="F4532" s="19" t="str">
        <f>IFERROR(__xludf.DUMMYFUNCTION("""COMPUTED_VALUE"""),"BLUE")</f>
        <v>BLUE</v>
      </c>
      <c r="G4532" s="20" t="str">
        <f>IFERROR(__xludf.DUMMYFUNCTION("""COMPUTED_VALUE"""),"Uncle Sams Cider (04/04/2023)")</f>
        <v>Uncle Sams Cider (04/04/2023)</v>
      </c>
      <c r="H4532" s="19"/>
    </row>
    <row r="4533">
      <c r="A4533" s="9"/>
      <c r="B4533" s="15"/>
      <c r="C4533" s="9">
        <f>IFERROR(__xludf.DUMMYFUNCTION("""COMPUTED_VALUE"""),45097.1562477893)</f>
        <v>45097.15625</v>
      </c>
      <c r="D4533" s="15">
        <f>IFERROR(__xludf.DUMMYFUNCTION("""COMPUTED_VALUE"""),1.001)</f>
        <v>1.001</v>
      </c>
      <c r="E4533" s="16">
        <f>IFERROR(__xludf.DUMMYFUNCTION("""COMPUTED_VALUE"""),69.0)</f>
        <v>69</v>
      </c>
      <c r="F4533" s="19" t="str">
        <f>IFERROR(__xludf.DUMMYFUNCTION("""COMPUTED_VALUE"""),"BLUE")</f>
        <v>BLUE</v>
      </c>
      <c r="G4533" s="20" t="str">
        <f>IFERROR(__xludf.DUMMYFUNCTION("""COMPUTED_VALUE"""),"Uncle Sams Cider (04/04/2023)")</f>
        <v>Uncle Sams Cider (04/04/2023)</v>
      </c>
      <c r="H4533" s="19"/>
    </row>
    <row r="4534">
      <c r="A4534" s="9"/>
      <c r="B4534" s="15"/>
      <c r="C4534" s="9">
        <f>IFERROR(__xludf.DUMMYFUNCTION("""COMPUTED_VALUE"""),45097.1458238194)</f>
        <v>45097.14582</v>
      </c>
      <c r="D4534" s="15">
        <f>IFERROR(__xludf.DUMMYFUNCTION("""COMPUTED_VALUE"""),1.002)</f>
        <v>1.002</v>
      </c>
      <c r="E4534" s="16">
        <f>IFERROR(__xludf.DUMMYFUNCTION("""COMPUTED_VALUE"""),69.0)</f>
        <v>69</v>
      </c>
      <c r="F4534" s="19" t="str">
        <f>IFERROR(__xludf.DUMMYFUNCTION("""COMPUTED_VALUE"""),"BLUE")</f>
        <v>BLUE</v>
      </c>
      <c r="G4534" s="20" t="str">
        <f>IFERROR(__xludf.DUMMYFUNCTION("""COMPUTED_VALUE"""),"Uncle Sams Cider (04/04/2023)")</f>
        <v>Uncle Sams Cider (04/04/2023)</v>
      </c>
      <c r="H4534" s="19"/>
    </row>
    <row r="4535">
      <c r="A4535" s="9"/>
      <c r="B4535" s="15"/>
      <c r="C4535" s="9">
        <f>IFERROR(__xludf.DUMMYFUNCTION("""COMPUTED_VALUE"""),45097.135390949)</f>
        <v>45097.13539</v>
      </c>
      <c r="D4535" s="15">
        <f>IFERROR(__xludf.DUMMYFUNCTION("""COMPUTED_VALUE"""),1.002)</f>
        <v>1.002</v>
      </c>
      <c r="E4535" s="16">
        <f>IFERROR(__xludf.DUMMYFUNCTION("""COMPUTED_VALUE"""),69.0)</f>
        <v>69</v>
      </c>
      <c r="F4535" s="19" t="str">
        <f>IFERROR(__xludf.DUMMYFUNCTION("""COMPUTED_VALUE"""),"BLUE")</f>
        <v>BLUE</v>
      </c>
      <c r="G4535" s="20" t="str">
        <f>IFERROR(__xludf.DUMMYFUNCTION("""COMPUTED_VALUE"""),"Uncle Sams Cider (04/04/2023)")</f>
        <v>Uncle Sams Cider (04/04/2023)</v>
      </c>
      <c r="H4535" s="19"/>
    </row>
    <row r="4536">
      <c r="A4536" s="9"/>
      <c r="B4536" s="15"/>
      <c r="C4536" s="9">
        <f>IFERROR(__xludf.DUMMYFUNCTION("""COMPUTED_VALUE"""),45097.1249707638)</f>
        <v>45097.12497</v>
      </c>
      <c r="D4536" s="15">
        <f>IFERROR(__xludf.DUMMYFUNCTION("""COMPUTED_VALUE"""),1.002)</f>
        <v>1.002</v>
      </c>
      <c r="E4536" s="16">
        <f>IFERROR(__xludf.DUMMYFUNCTION("""COMPUTED_VALUE"""),69.0)</f>
        <v>69</v>
      </c>
      <c r="F4536" s="19" t="str">
        <f>IFERROR(__xludf.DUMMYFUNCTION("""COMPUTED_VALUE"""),"BLUE")</f>
        <v>BLUE</v>
      </c>
      <c r="G4536" s="20" t="str">
        <f>IFERROR(__xludf.DUMMYFUNCTION("""COMPUTED_VALUE"""),"Uncle Sams Cider (04/04/2023)")</f>
        <v>Uncle Sams Cider (04/04/2023)</v>
      </c>
      <c r="H4536" s="19"/>
    </row>
    <row r="4537">
      <c r="A4537" s="9"/>
      <c r="B4537" s="15"/>
      <c r="C4537" s="9">
        <f>IFERROR(__xludf.DUMMYFUNCTION("""COMPUTED_VALUE"""),45097.1145491782)</f>
        <v>45097.11455</v>
      </c>
      <c r="D4537" s="15">
        <f>IFERROR(__xludf.DUMMYFUNCTION("""COMPUTED_VALUE"""),1.001)</f>
        <v>1.001</v>
      </c>
      <c r="E4537" s="16">
        <f>IFERROR(__xludf.DUMMYFUNCTION("""COMPUTED_VALUE"""),69.0)</f>
        <v>69</v>
      </c>
      <c r="F4537" s="19" t="str">
        <f>IFERROR(__xludf.DUMMYFUNCTION("""COMPUTED_VALUE"""),"BLUE")</f>
        <v>BLUE</v>
      </c>
      <c r="G4537" s="20" t="str">
        <f>IFERROR(__xludf.DUMMYFUNCTION("""COMPUTED_VALUE"""),"Uncle Sams Cider (04/04/2023)")</f>
        <v>Uncle Sams Cider (04/04/2023)</v>
      </c>
      <c r="H4537" s="19"/>
    </row>
    <row r="4538">
      <c r="A4538" s="9"/>
      <c r="B4538" s="15"/>
      <c r="C4538" s="9">
        <f>IFERROR(__xludf.DUMMYFUNCTION("""COMPUTED_VALUE"""),45097.1041274074)</f>
        <v>45097.10413</v>
      </c>
      <c r="D4538" s="15">
        <f>IFERROR(__xludf.DUMMYFUNCTION("""COMPUTED_VALUE"""),1.002)</f>
        <v>1.002</v>
      </c>
      <c r="E4538" s="16">
        <f>IFERROR(__xludf.DUMMYFUNCTION("""COMPUTED_VALUE"""),69.0)</f>
        <v>69</v>
      </c>
      <c r="F4538" s="19" t="str">
        <f>IFERROR(__xludf.DUMMYFUNCTION("""COMPUTED_VALUE"""),"BLUE")</f>
        <v>BLUE</v>
      </c>
      <c r="G4538" s="20" t="str">
        <f>IFERROR(__xludf.DUMMYFUNCTION("""COMPUTED_VALUE"""),"Uncle Sams Cider (04/04/2023)")</f>
        <v>Uncle Sams Cider (04/04/2023)</v>
      </c>
      <c r="H4538" s="19"/>
    </row>
    <row r="4539">
      <c r="A4539" s="9"/>
      <c r="B4539" s="15"/>
      <c r="C4539" s="9">
        <f>IFERROR(__xludf.DUMMYFUNCTION("""COMPUTED_VALUE"""),45097.0937061805)</f>
        <v>45097.09371</v>
      </c>
      <c r="D4539" s="15">
        <f>IFERROR(__xludf.DUMMYFUNCTION("""COMPUTED_VALUE"""),1.002)</f>
        <v>1.002</v>
      </c>
      <c r="E4539" s="16">
        <f>IFERROR(__xludf.DUMMYFUNCTION("""COMPUTED_VALUE"""),69.0)</f>
        <v>69</v>
      </c>
      <c r="F4539" s="19" t="str">
        <f>IFERROR(__xludf.DUMMYFUNCTION("""COMPUTED_VALUE"""),"BLUE")</f>
        <v>BLUE</v>
      </c>
      <c r="G4539" s="20" t="str">
        <f>IFERROR(__xludf.DUMMYFUNCTION("""COMPUTED_VALUE"""),"Uncle Sams Cider (04/04/2023)")</f>
        <v>Uncle Sams Cider (04/04/2023)</v>
      </c>
      <c r="H4539" s="19"/>
    </row>
    <row r="4540">
      <c r="A4540" s="9"/>
      <c r="B4540" s="15"/>
      <c r="C4540" s="9">
        <f>IFERROR(__xludf.DUMMYFUNCTION("""COMPUTED_VALUE"""),45097.0832848148)</f>
        <v>45097.08328</v>
      </c>
      <c r="D4540" s="15">
        <f>IFERROR(__xludf.DUMMYFUNCTION("""COMPUTED_VALUE"""),1.002)</f>
        <v>1.002</v>
      </c>
      <c r="E4540" s="16">
        <f>IFERROR(__xludf.DUMMYFUNCTION("""COMPUTED_VALUE"""),69.0)</f>
        <v>69</v>
      </c>
      <c r="F4540" s="19" t="str">
        <f>IFERROR(__xludf.DUMMYFUNCTION("""COMPUTED_VALUE"""),"BLUE")</f>
        <v>BLUE</v>
      </c>
      <c r="G4540" s="20" t="str">
        <f>IFERROR(__xludf.DUMMYFUNCTION("""COMPUTED_VALUE"""),"Uncle Sams Cider (04/04/2023)")</f>
        <v>Uncle Sams Cider (04/04/2023)</v>
      </c>
      <c r="H4540" s="19"/>
    </row>
    <row r="4541">
      <c r="A4541" s="9"/>
      <c r="B4541" s="15"/>
      <c r="C4541" s="9">
        <f>IFERROR(__xludf.DUMMYFUNCTION("""COMPUTED_VALUE"""),45097.072863831)</f>
        <v>45097.07286</v>
      </c>
      <c r="D4541" s="15">
        <f>IFERROR(__xludf.DUMMYFUNCTION("""COMPUTED_VALUE"""),1.001)</f>
        <v>1.001</v>
      </c>
      <c r="E4541" s="16">
        <f>IFERROR(__xludf.DUMMYFUNCTION("""COMPUTED_VALUE"""),69.0)</f>
        <v>69</v>
      </c>
      <c r="F4541" s="19" t="str">
        <f>IFERROR(__xludf.DUMMYFUNCTION("""COMPUTED_VALUE"""),"BLUE")</f>
        <v>BLUE</v>
      </c>
      <c r="G4541" s="20" t="str">
        <f>IFERROR(__xludf.DUMMYFUNCTION("""COMPUTED_VALUE"""),"Uncle Sams Cider (04/04/2023)")</f>
        <v>Uncle Sams Cider (04/04/2023)</v>
      </c>
      <c r="H4541" s="19"/>
    </row>
    <row r="4542">
      <c r="A4542" s="9"/>
      <c r="B4542" s="15"/>
      <c r="C4542" s="9">
        <f>IFERROR(__xludf.DUMMYFUNCTION("""COMPUTED_VALUE"""),45097.0624418171)</f>
        <v>45097.06244</v>
      </c>
      <c r="D4542" s="15">
        <f>IFERROR(__xludf.DUMMYFUNCTION("""COMPUTED_VALUE"""),1.001)</f>
        <v>1.001</v>
      </c>
      <c r="E4542" s="16">
        <f>IFERROR(__xludf.DUMMYFUNCTION("""COMPUTED_VALUE"""),69.0)</f>
        <v>69</v>
      </c>
      <c r="F4542" s="19" t="str">
        <f>IFERROR(__xludf.DUMMYFUNCTION("""COMPUTED_VALUE"""),"BLUE")</f>
        <v>BLUE</v>
      </c>
      <c r="G4542" s="20" t="str">
        <f>IFERROR(__xludf.DUMMYFUNCTION("""COMPUTED_VALUE"""),"Uncle Sams Cider (04/04/2023)")</f>
        <v>Uncle Sams Cider (04/04/2023)</v>
      </c>
      <c r="H4542" s="19"/>
    </row>
    <row r="4543">
      <c r="A4543" s="9"/>
      <c r="B4543" s="15"/>
      <c r="C4543" s="9">
        <f>IFERROR(__xludf.DUMMYFUNCTION("""COMPUTED_VALUE"""),45097.0520204513)</f>
        <v>45097.05202</v>
      </c>
      <c r="D4543" s="15">
        <f>IFERROR(__xludf.DUMMYFUNCTION("""COMPUTED_VALUE"""),1.001)</f>
        <v>1.001</v>
      </c>
      <c r="E4543" s="16">
        <f>IFERROR(__xludf.DUMMYFUNCTION("""COMPUTED_VALUE"""),69.0)</f>
        <v>69</v>
      </c>
      <c r="F4543" s="19" t="str">
        <f>IFERROR(__xludf.DUMMYFUNCTION("""COMPUTED_VALUE"""),"BLUE")</f>
        <v>BLUE</v>
      </c>
      <c r="G4543" s="20" t="str">
        <f>IFERROR(__xludf.DUMMYFUNCTION("""COMPUTED_VALUE"""),"Uncle Sams Cider (04/04/2023)")</f>
        <v>Uncle Sams Cider (04/04/2023)</v>
      </c>
      <c r="H4543" s="19"/>
    </row>
    <row r="4544">
      <c r="A4544" s="9"/>
      <c r="B4544" s="15"/>
      <c r="C4544" s="9">
        <f>IFERROR(__xludf.DUMMYFUNCTION("""COMPUTED_VALUE"""),45097.0416010763)</f>
        <v>45097.0416</v>
      </c>
      <c r="D4544" s="15">
        <f>IFERROR(__xludf.DUMMYFUNCTION("""COMPUTED_VALUE"""),1.002)</f>
        <v>1.002</v>
      </c>
      <c r="E4544" s="16">
        <f>IFERROR(__xludf.DUMMYFUNCTION("""COMPUTED_VALUE"""),69.0)</f>
        <v>69</v>
      </c>
      <c r="F4544" s="19" t="str">
        <f>IFERROR(__xludf.DUMMYFUNCTION("""COMPUTED_VALUE"""),"BLUE")</f>
        <v>BLUE</v>
      </c>
      <c r="G4544" s="20" t="str">
        <f>IFERROR(__xludf.DUMMYFUNCTION("""COMPUTED_VALUE"""),"Uncle Sams Cider (04/04/2023)")</f>
        <v>Uncle Sams Cider (04/04/2023)</v>
      </c>
      <c r="H4544" s="19"/>
    </row>
    <row r="4545">
      <c r="A4545" s="9"/>
      <c r="B4545" s="15"/>
      <c r="C4545" s="9">
        <f>IFERROR(__xludf.DUMMYFUNCTION("""COMPUTED_VALUE"""),45097.0311806828)</f>
        <v>45097.03118</v>
      </c>
      <c r="D4545" s="15">
        <f>IFERROR(__xludf.DUMMYFUNCTION("""COMPUTED_VALUE"""),1.001)</f>
        <v>1.001</v>
      </c>
      <c r="E4545" s="16">
        <f>IFERROR(__xludf.DUMMYFUNCTION("""COMPUTED_VALUE"""),69.0)</f>
        <v>69</v>
      </c>
      <c r="F4545" s="19" t="str">
        <f>IFERROR(__xludf.DUMMYFUNCTION("""COMPUTED_VALUE"""),"BLUE")</f>
        <v>BLUE</v>
      </c>
      <c r="G4545" s="20" t="str">
        <f>IFERROR(__xludf.DUMMYFUNCTION("""COMPUTED_VALUE"""),"Uncle Sams Cider (04/04/2023)")</f>
        <v>Uncle Sams Cider (04/04/2023)</v>
      </c>
      <c r="H4545" s="19"/>
    </row>
    <row r="4546">
      <c r="A4546" s="9"/>
      <c r="B4546" s="15"/>
      <c r="C4546" s="9">
        <f>IFERROR(__xludf.DUMMYFUNCTION("""COMPUTED_VALUE"""),45097.0207593981)</f>
        <v>45097.02076</v>
      </c>
      <c r="D4546" s="15">
        <f>IFERROR(__xludf.DUMMYFUNCTION("""COMPUTED_VALUE"""),1.002)</f>
        <v>1.002</v>
      </c>
      <c r="E4546" s="16">
        <f>IFERROR(__xludf.DUMMYFUNCTION("""COMPUTED_VALUE"""),69.0)</f>
        <v>69</v>
      </c>
      <c r="F4546" s="19" t="str">
        <f>IFERROR(__xludf.DUMMYFUNCTION("""COMPUTED_VALUE"""),"BLUE")</f>
        <v>BLUE</v>
      </c>
      <c r="G4546" s="20" t="str">
        <f>IFERROR(__xludf.DUMMYFUNCTION("""COMPUTED_VALUE"""),"Uncle Sams Cider (04/04/2023)")</f>
        <v>Uncle Sams Cider (04/04/2023)</v>
      </c>
      <c r="H4546" s="19"/>
    </row>
    <row r="4547">
      <c r="A4547" s="9"/>
      <c r="B4547" s="15"/>
      <c r="C4547" s="9">
        <f>IFERROR(__xludf.DUMMYFUNCTION("""COMPUTED_VALUE"""),45097.0103372569)</f>
        <v>45097.01034</v>
      </c>
      <c r="D4547" s="15">
        <f>IFERROR(__xludf.DUMMYFUNCTION("""COMPUTED_VALUE"""),1.002)</f>
        <v>1.002</v>
      </c>
      <c r="E4547" s="16">
        <f>IFERROR(__xludf.DUMMYFUNCTION("""COMPUTED_VALUE"""),69.0)</f>
        <v>69</v>
      </c>
      <c r="F4547" s="19" t="str">
        <f>IFERROR(__xludf.DUMMYFUNCTION("""COMPUTED_VALUE"""),"BLUE")</f>
        <v>BLUE</v>
      </c>
      <c r="G4547" s="20" t="str">
        <f>IFERROR(__xludf.DUMMYFUNCTION("""COMPUTED_VALUE"""),"Uncle Sams Cider (04/04/2023)")</f>
        <v>Uncle Sams Cider (04/04/2023)</v>
      </c>
      <c r="H4547" s="19"/>
    </row>
    <row r="4548">
      <c r="A4548" s="9"/>
      <c r="B4548" s="15"/>
      <c r="C4548" s="9">
        <f>IFERROR(__xludf.DUMMYFUNCTION("""COMPUTED_VALUE"""),45096.9999167245)</f>
        <v>45096.99992</v>
      </c>
      <c r="D4548" s="15">
        <f>IFERROR(__xludf.DUMMYFUNCTION("""COMPUTED_VALUE"""),1.001)</f>
        <v>1.001</v>
      </c>
      <c r="E4548" s="16">
        <f>IFERROR(__xludf.DUMMYFUNCTION("""COMPUTED_VALUE"""),69.0)</f>
        <v>69</v>
      </c>
      <c r="F4548" s="19" t="str">
        <f>IFERROR(__xludf.DUMMYFUNCTION("""COMPUTED_VALUE"""),"BLUE")</f>
        <v>BLUE</v>
      </c>
      <c r="G4548" s="20" t="str">
        <f>IFERROR(__xludf.DUMMYFUNCTION("""COMPUTED_VALUE"""),"Uncle Sams Cider (04/04/2023)")</f>
        <v>Uncle Sams Cider (04/04/2023)</v>
      </c>
      <c r="H4548" s="19"/>
    </row>
    <row r="4549">
      <c r="A4549" s="9"/>
      <c r="B4549" s="15"/>
      <c r="C4549" s="9">
        <f>IFERROR(__xludf.DUMMYFUNCTION("""COMPUTED_VALUE"""),45096.9894820023)</f>
        <v>45096.98948</v>
      </c>
      <c r="D4549" s="15">
        <f>IFERROR(__xludf.DUMMYFUNCTION("""COMPUTED_VALUE"""),1.001)</f>
        <v>1.001</v>
      </c>
      <c r="E4549" s="16">
        <f>IFERROR(__xludf.DUMMYFUNCTION("""COMPUTED_VALUE"""),69.0)</f>
        <v>69</v>
      </c>
      <c r="F4549" s="19" t="str">
        <f>IFERROR(__xludf.DUMMYFUNCTION("""COMPUTED_VALUE"""),"BLUE")</f>
        <v>BLUE</v>
      </c>
      <c r="G4549" s="20" t="str">
        <f>IFERROR(__xludf.DUMMYFUNCTION("""COMPUTED_VALUE"""),"Uncle Sams Cider (04/04/2023)")</f>
        <v>Uncle Sams Cider (04/04/2023)</v>
      </c>
      <c r="H4549" s="19"/>
    </row>
    <row r="4550">
      <c r="A4550" s="9"/>
      <c r="B4550" s="15"/>
      <c r="C4550" s="9">
        <f>IFERROR(__xludf.DUMMYFUNCTION("""COMPUTED_VALUE"""),45096.9790622569)</f>
        <v>45096.97906</v>
      </c>
      <c r="D4550" s="15">
        <f>IFERROR(__xludf.DUMMYFUNCTION("""COMPUTED_VALUE"""),1.002)</f>
        <v>1.002</v>
      </c>
      <c r="E4550" s="16">
        <f>IFERROR(__xludf.DUMMYFUNCTION("""COMPUTED_VALUE"""),69.0)</f>
        <v>69</v>
      </c>
      <c r="F4550" s="19" t="str">
        <f>IFERROR(__xludf.DUMMYFUNCTION("""COMPUTED_VALUE"""),"BLUE")</f>
        <v>BLUE</v>
      </c>
      <c r="G4550" s="20" t="str">
        <f>IFERROR(__xludf.DUMMYFUNCTION("""COMPUTED_VALUE"""),"Uncle Sams Cider (04/04/2023)")</f>
        <v>Uncle Sams Cider (04/04/2023)</v>
      </c>
      <c r="H4550" s="19"/>
    </row>
    <row r="4551">
      <c r="A4551" s="9"/>
      <c r="B4551" s="15"/>
      <c r="C4551" s="9">
        <f>IFERROR(__xludf.DUMMYFUNCTION("""COMPUTED_VALUE"""),45096.9686295717)</f>
        <v>45096.96863</v>
      </c>
      <c r="D4551" s="15">
        <f>IFERROR(__xludf.DUMMYFUNCTION("""COMPUTED_VALUE"""),1.002)</f>
        <v>1.002</v>
      </c>
      <c r="E4551" s="16">
        <f>IFERROR(__xludf.DUMMYFUNCTION("""COMPUTED_VALUE"""),69.0)</f>
        <v>69</v>
      </c>
      <c r="F4551" s="19" t="str">
        <f>IFERROR(__xludf.DUMMYFUNCTION("""COMPUTED_VALUE"""),"BLUE")</f>
        <v>BLUE</v>
      </c>
      <c r="G4551" s="20" t="str">
        <f>IFERROR(__xludf.DUMMYFUNCTION("""COMPUTED_VALUE"""),"Uncle Sams Cider (04/04/2023)")</f>
        <v>Uncle Sams Cider (04/04/2023)</v>
      </c>
      <c r="H4551" s="19"/>
    </row>
    <row r="4552">
      <c r="A4552" s="9"/>
      <c r="B4552" s="15"/>
      <c r="C4552" s="9">
        <f>IFERROR(__xludf.DUMMYFUNCTION("""COMPUTED_VALUE"""),45096.9582070717)</f>
        <v>45096.95821</v>
      </c>
      <c r="D4552" s="15">
        <f>IFERROR(__xludf.DUMMYFUNCTION("""COMPUTED_VALUE"""),1.002)</f>
        <v>1.002</v>
      </c>
      <c r="E4552" s="16">
        <f>IFERROR(__xludf.DUMMYFUNCTION("""COMPUTED_VALUE"""),69.0)</f>
        <v>69</v>
      </c>
      <c r="F4552" s="19" t="str">
        <f>IFERROR(__xludf.DUMMYFUNCTION("""COMPUTED_VALUE"""),"BLUE")</f>
        <v>BLUE</v>
      </c>
      <c r="G4552" s="20" t="str">
        <f>IFERROR(__xludf.DUMMYFUNCTION("""COMPUTED_VALUE"""),"Uncle Sams Cider (04/04/2023)")</f>
        <v>Uncle Sams Cider (04/04/2023)</v>
      </c>
      <c r="H4552" s="19"/>
    </row>
    <row r="4553">
      <c r="A4553" s="9"/>
      <c r="B4553" s="15"/>
      <c r="C4553" s="9">
        <f>IFERROR(__xludf.DUMMYFUNCTION("""COMPUTED_VALUE"""),45096.9477850115)</f>
        <v>45096.94779</v>
      </c>
      <c r="D4553" s="15">
        <f>IFERROR(__xludf.DUMMYFUNCTION("""COMPUTED_VALUE"""),1.001)</f>
        <v>1.001</v>
      </c>
      <c r="E4553" s="16">
        <f>IFERROR(__xludf.DUMMYFUNCTION("""COMPUTED_VALUE"""),69.0)</f>
        <v>69</v>
      </c>
      <c r="F4553" s="19" t="str">
        <f>IFERROR(__xludf.DUMMYFUNCTION("""COMPUTED_VALUE"""),"BLUE")</f>
        <v>BLUE</v>
      </c>
      <c r="G4553" s="20" t="str">
        <f>IFERROR(__xludf.DUMMYFUNCTION("""COMPUTED_VALUE"""),"Uncle Sams Cider (04/04/2023)")</f>
        <v>Uncle Sams Cider (04/04/2023)</v>
      </c>
      <c r="H4553" s="19"/>
    </row>
    <row r="4554">
      <c r="A4554" s="9"/>
      <c r="B4554" s="15"/>
      <c r="C4554" s="9">
        <f>IFERROR(__xludf.DUMMYFUNCTION("""COMPUTED_VALUE"""),45096.9373656944)</f>
        <v>45096.93737</v>
      </c>
      <c r="D4554" s="15">
        <f>IFERROR(__xludf.DUMMYFUNCTION("""COMPUTED_VALUE"""),1.002)</f>
        <v>1.002</v>
      </c>
      <c r="E4554" s="16">
        <f>IFERROR(__xludf.DUMMYFUNCTION("""COMPUTED_VALUE"""),69.0)</f>
        <v>69</v>
      </c>
      <c r="F4554" s="19" t="str">
        <f>IFERROR(__xludf.DUMMYFUNCTION("""COMPUTED_VALUE"""),"BLUE")</f>
        <v>BLUE</v>
      </c>
      <c r="G4554" s="20" t="str">
        <f>IFERROR(__xludf.DUMMYFUNCTION("""COMPUTED_VALUE"""),"Uncle Sams Cider (04/04/2023)")</f>
        <v>Uncle Sams Cider (04/04/2023)</v>
      </c>
      <c r="H4554" s="19"/>
    </row>
    <row r="4555">
      <c r="A4555" s="9"/>
      <c r="B4555" s="15"/>
      <c r="C4555" s="9">
        <f>IFERROR(__xludf.DUMMYFUNCTION("""COMPUTED_VALUE"""),45096.9269442824)</f>
        <v>45096.92694</v>
      </c>
      <c r="D4555" s="15">
        <f>IFERROR(__xludf.DUMMYFUNCTION("""COMPUTED_VALUE"""),1.001)</f>
        <v>1.001</v>
      </c>
      <c r="E4555" s="16">
        <f>IFERROR(__xludf.DUMMYFUNCTION("""COMPUTED_VALUE"""),69.0)</f>
        <v>69</v>
      </c>
      <c r="F4555" s="19" t="str">
        <f>IFERROR(__xludf.DUMMYFUNCTION("""COMPUTED_VALUE"""),"BLUE")</f>
        <v>BLUE</v>
      </c>
      <c r="G4555" s="20" t="str">
        <f>IFERROR(__xludf.DUMMYFUNCTION("""COMPUTED_VALUE"""),"Uncle Sams Cider (04/04/2023)")</f>
        <v>Uncle Sams Cider (04/04/2023)</v>
      </c>
      <c r="H4555" s="19"/>
    </row>
    <row r="4556">
      <c r="A4556" s="9"/>
      <c r="B4556" s="15"/>
      <c r="C4556" s="9">
        <f>IFERROR(__xludf.DUMMYFUNCTION("""COMPUTED_VALUE"""),45096.9165210648)</f>
        <v>45096.91652</v>
      </c>
      <c r="D4556" s="15">
        <f>IFERROR(__xludf.DUMMYFUNCTION("""COMPUTED_VALUE"""),1.001)</f>
        <v>1.001</v>
      </c>
      <c r="E4556" s="16">
        <f>IFERROR(__xludf.DUMMYFUNCTION("""COMPUTED_VALUE"""),69.0)</f>
        <v>69</v>
      </c>
      <c r="F4556" s="19" t="str">
        <f>IFERROR(__xludf.DUMMYFUNCTION("""COMPUTED_VALUE"""),"BLUE")</f>
        <v>BLUE</v>
      </c>
      <c r="G4556" s="20" t="str">
        <f>IFERROR(__xludf.DUMMYFUNCTION("""COMPUTED_VALUE"""),"Uncle Sams Cider (04/04/2023)")</f>
        <v>Uncle Sams Cider (04/04/2023)</v>
      </c>
      <c r="H4556" s="19"/>
    </row>
    <row r="4557">
      <c r="A4557" s="9"/>
      <c r="B4557" s="15"/>
      <c r="C4557" s="9">
        <f>IFERROR(__xludf.DUMMYFUNCTION("""COMPUTED_VALUE"""),45096.9061004976)</f>
        <v>45096.9061</v>
      </c>
      <c r="D4557" s="15">
        <f>IFERROR(__xludf.DUMMYFUNCTION("""COMPUTED_VALUE"""),1.001)</f>
        <v>1.001</v>
      </c>
      <c r="E4557" s="16">
        <f>IFERROR(__xludf.DUMMYFUNCTION("""COMPUTED_VALUE"""),69.0)</f>
        <v>69</v>
      </c>
      <c r="F4557" s="19" t="str">
        <f>IFERROR(__xludf.DUMMYFUNCTION("""COMPUTED_VALUE"""),"BLUE")</f>
        <v>BLUE</v>
      </c>
      <c r="G4557" s="20" t="str">
        <f>IFERROR(__xludf.DUMMYFUNCTION("""COMPUTED_VALUE"""),"Uncle Sams Cider (04/04/2023)")</f>
        <v>Uncle Sams Cider (04/04/2023)</v>
      </c>
      <c r="H4557" s="19"/>
    </row>
    <row r="4558">
      <c r="A4558" s="9"/>
      <c r="B4558" s="15"/>
      <c r="C4558" s="9">
        <f>IFERROR(__xludf.DUMMYFUNCTION("""COMPUTED_VALUE"""),45096.8956796875)</f>
        <v>45096.89568</v>
      </c>
      <c r="D4558" s="15">
        <f>IFERROR(__xludf.DUMMYFUNCTION("""COMPUTED_VALUE"""),1.001)</f>
        <v>1.001</v>
      </c>
      <c r="E4558" s="16">
        <f>IFERROR(__xludf.DUMMYFUNCTION("""COMPUTED_VALUE"""),69.0)</f>
        <v>69</v>
      </c>
      <c r="F4558" s="19" t="str">
        <f>IFERROR(__xludf.DUMMYFUNCTION("""COMPUTED_VALUE"""),"BLUE")</f>
        <v>BLUE</v>
      </c>
      <c r="G4558" s="20" t="str">
        <f>IFERROR(__xludf.DUMMYFUNCTION("""COMPUTED_VALUE"""),"Uncle Sams Cider (04/04/2023)")</f>
        <v>Uncle Sams Cider (04/04/2023)</v>
      </c>
      <c r="H4558" s="19"/>
    </row>
    <row r="4559">
      <c r="A4559" s="9"/>
      <c r="B4559" s="15"/>
      <c r="C4559" s="9">
        <f>IFERROR(__xludf.DUMMYFUNCTION("""COMPUTED_VALUE"""),45096.8852593287)</f>
        <v>45096.88526</v>
      </c>
      <c r="D4559" s="15">
        <f>IFERROR(__xludf.DUMMYFUNCTION("""COMPUTED_VALUE"""),1.002)</f>
        <v>1.002</v>
      </c>
      <c r="E4559" s="16">
        <f>IFERROR(__xludf.DUMMYFUNCTION("""COMPUTED_VALUE"""),69.0)</f>
        <v>69</v>
      </c>
      <c r="F4559" s="19" t="str">
        <f>IFERROR(__xludf.DUMMYFUNCTION("""COMPUTED_VALUE"""),"BLUE")</f>
        <v>BLUE</v>
      </c>
      <c r="G4559" s="20" t="str">
        <f>IFERROR(__xludf.DUMMYFUNCTION("""COMPUTED_VALUE"""),"Uncle Sams Cider (04/04/2023)")</f>
        <v>Uncle Sams Cider (04/04/2023)</v>
      </c>
      <c r="H4559" s="19"/>
    </row>
    <row r="4560">
      <c r="A4560" s="9"/>
      <c r="B4560" s="15"/>
      <c r="C4560" s="9">
        <f>IFERROR(__xludf.DUMMYFUNCTION("""COMPUTED_VALUE"""),45096.8748389004)</f>
        <v>45096.87484</v>
      </c>
      <c r="D4560" s="15">
        <f>IFERROR(__xludf.DUMMYFUNCTION("""COMPUTED_VALUE"""),1.001)</f>
        <v>1.001</v>
      </c>
      <c r="E4560" s="16">
        <f>IFERROR(__xludf.DUMMYFUNCTION("""COMPUTED_VALUE"""),69.0)</f>
        <v>69</v>
      </c>
      <c r="F4560" s="19" t="str">
        <f>IFERROR(__xludf.DUMMYFUNCTION("""COMPUTED_VALUE"""),"BLUE")</f>
        <v>BLUE</v>
      </c>
      <c r="G4560" s="20" t="str">
        <f>IFERROR(__xludf.DUMMYFUNCTION("""COMPUTED_VALUE"""),"Uncle Sams Cider (04/04/2023)")</f>
        <v>Uncle Sams Cider (04/04/2023)</v>
      </c>
      <c r="H4560" s="19"/>
    </row>
    <row r="4561">
      <c r="A4561" s="9"/>
      <c r="B4561" s="15"/>
      <c r="C4561" s="9">
        <f>IFERROR(__xludf.DUMMYFUNCTION("""COMPUTED_VALUE"""),45096.8644182407)</f>
        <v>45096.86442</v>
      </c>
      <c r="D4561" s="15">
        <f>IFERROR(__xludf.DUMMYFUNCTION("""COMPUTED_VALUE"""),1.002)</f>
        <v>1.002</v>
      </c>
      <c r="E4561" s="16">
        <f>IFERROR(__xludf.DUMMYFUNCTION("""COMPUTED_VALUE"""),69.0)</f>
        <v>69</v>
      </c>
      <c r="F4561" s="19" t="str">
        <f>IFERROR(__xludf.DUMMYFUNCTION("""COMPUTED_VALUE"""),"BLUE")</f>
        <v>BLUE</v>
      </c>
      <c r="G4561" s="20" t="str">
        <f>IFERROR(__xludf.DUMMYFUNCTION("""COMPUTED_VALUE"""),"Uncle Sams Cider (04/04/2023)")</f>
        <v>Uncle Sams Cider (04/04/2023)</v>
      </c>
      <c r="H4561" s="19"/>
    </row>
    <row r="4562">
      <c r="A4562" s="9"/>
      <c r="B4562" s="15"/>
      <c r="C4562" s="9">
        <f>IFERROR(__xludf.DUMMYFUNCTION("""COMPUTED_VALUE"""),45096.8539968865)</f>
        <v>45096.854</v>
      </c>
      <c r="D4562" s="15">
        <f>IFERROR(__xludf.DUMMYFUNCTION("""COMPUTED_VALUE"""),1.001)</f>
        <v>1.001</v>
      </c>
      <c r="E4562" s="16">
        <f>IFERROR(__xludf.DUMMYFUNCTION("""COMPUTED_VALUE"""),69.0)</f>
        <v>69</v>
      </c>
      <c r="F4562" s="19" t="str">
        <f>IFERROR(__xludf.DUMMYFUNCTION("""COMPUTED_VALUE"""),"BLUE")</f>
        <v>BLUE</v>
      </c>
      <c r="G4562" s="20" t="str">
        <f>IFERROR(__xludf.DUMMYFUNCTION("""COMPUTED_VALUE"""),"Uncle Sams Cider (04/04/2023)")</f>
        <v>Uncle Sams Cider (04/04/2023)</v>
      </c>
      <c r="H4562" s="19"/>
    </row>
    <row r="4563">
      <c r="A4563" s="9"/>
      <c r="B4563" s="15"/>
      <c r="C4563" s="9">
        <f>IFERROR(__xludf.DUMMYFUNCTION("""COMPUTED_VALUE"""),45096.8435748958)</f>
        <v>45096.84357</v>
      </c>
      <c r="D4563" s="15">
        <f>IFERROR(__xludf.DUMMYFUNCTION("""COMPUTED_VALUE"""),1.001)</f>
        <v>1.001</v>
      </c>
      <c r="E4563" s="16">
        <f>IFERROR(__xludf.DUMMYFUNCTION("""COMPUTED_VALUE"""),69.0)</f>
        <v>69</v>
      </c>
      <c r="F4563" s="19" t="str">
        <f>IFERROR(__xludf.DUMMYFUNCTION("""COMPUTED_VALUE"""),"BLUE")</f>
        <v>BLUE</v>
      </c>
      <c r="G4563" s="20" t="str">
        <f>IFERROR(__xludf.DUMMYFUNCTION("""COMPUTED_VALUE"""),"Uncle Sams Cider (04/04/2023)")</f>
        <v>Uncle Sams Cider (04/04/2023)</v>
      </c>
      <c r="H4563" s="19"/>
    </row>
    <row r="4564">
      <c r="A4564" s="9"/>
      <c r="B4564" s="15"/>
      <c r="C4564" s="9">
        <f>IFERROR(__xludf.DUMMYFUNCTION("""COMPUTED_VALUE"""),45096.8331549768)</f>
        <v>45096.83315</v>
      </c>
      <c r="D4564" s="15">
        <f>IFERROR(__xludf.DUMMYFUNCTION("""COMPUTED_VALUE"""),1.001)</f>
        <v>1.001</v>
      </c>
      <c r="E4564" s="16">
        <f>IFERROR(__xludf.DUMMYFUNCTION("""COMPUTED_VALUE"""),68.0)</f>
        <v>68</v>
      </c>
      <c r="F4564" s="19" t="str">
        <f>IFERROR(__xludf.DUMMYFUNCTION("""COMPUTED_VALUE"""),"BLUE")</f>
        <v>BLUE</v>
      </c>
      <c r="G4564" s="20" t="str">
        <f>IFERROR(__xludf.DUMMYFUNCTION("""COMPUTED_VALUE"""),"Uncle Sams Cider (04/04/2023)")</f>
        <v>Uncle Sams Cider (04/04/2023)</v>
      </c>
      <c r="H4564" s="19"/>
    </row>
    <row r="4565">
      <c r="A4565" s="9"/>
      <c r="B4565" s="15"/>
      <c r="C4565" s="9">
        <f>IFERROR(__xludf.DUMMYFUNCTION("""COMPUTED_VALUE"""),45096.822733912)</f>
        <v>45096.82273</v>
      </c>
      <c r="D4565" s="15">
        <f>IFERROR(__xludf.DUMMYFUNCTION("""COMPUTED_VALUE"""),1.002)</f>
        <v>1.002</v>
      </c>
      <c r="E4565" s="16">
        <f>IFERROR(__xludf.DUMMYFUNCTION("""COMPUTED_VALUE"""),68.0)</f>
        <v>68</v>
      </c>
      <c r="F4565" s="19" t="str">
        <f>IFERROR(__xludf.DUMMYFUNCTION("""COMPUTED_VALUE"""),"BLUE")</f>
        <v>BLUE</v>
      </c>
      <c r="G4565" s="20" t="str">
        <f>IFERROR(__xludf.DUMMYFUNCTION("""COMPUTED_VALUE"""),"Uncle Sams Cider (04/04/2023)")</f>
        <v>Uncle Sams Cider (04/04/2023)</v>
      </c>
      <c r="H4565" s="19"/>
    </row>
    <row r="4566">
      <c r="A4566" s="9"/>
      <c r="B4566" s="15"/>
      <c r="C4566" s="9">
        <f>IFERROR(__xludf.DUMMYFUNCTION("""COMPUTED_VALUE"""),45096.8123110879)</f>
        <v>45096.81231</v>
      </c>
      <c r="D4566" s="15">
        <f>IFERROR(__xludf.DUMMYFUNCTION("""COMPUTED_VALUE"""),1.001)</f>
        <v>1.001</v>
      </c>
      <c r="E4566" s="16">
        <f>IFERROR(__xludf.DUMMYFUNCTION("""COMPUTED_VALUE"""),69.0)</f>
        <v>69</v>
      </c>
      <c r="F4566" s="19" t="str">
        <f>IFERROR(__xludf.DUMMYFUNCTION("""COMPUTED_VALUE"""),"BLUE")</f>
        <v>BLUE</v>
      </c>
      <c r="G4566" s="20" t="str">
        <f>IFERROR(__xludf.DUMMYFUNCTION("""COMPUTED_VALUE"""),"Uncle Sams Cider (04/04/2023)")</f>
        <v>Uncle Sams Cider (04/04/2023)</v>
      </c>
      <c r="H4566" s="19"/>
    </row>
    <row r="4567">
      <c r="A4567" s="9"/>
      <c r="B4567" s="15"/>
      <c r="C4567" s="9">
        <f>IFERROR(__xludf.DUMMYFUNCTION("""COMPUTED_VALUE"""),45096.80186625)</f>
        <v>45096.80187</v>
      </c>
      <c r="D4567" s="15">
        <f>IFERROR(__xludf.DUMMYFUNCTION("""COMPUTED_VALUE"""),1.001)</f>
        <v>1.001</v>
      </c>
      <c r="E4567" s="16">
        <f>IFERROR(__xludf.DUMMYFUNCTION("""COMPUTED_VALUE"""),68.0)</f>
        <v>68</v>
      </c>
      <c r="F4567" s="19" t="str">
        <f>IFERROR(__xludf.DUMMYFUNCTION("""COMPUTED_VALUE"""),"BLUE")</f>
        <v>BLUE</v>
      </c>
      <c r="G4567" s="20" t="str">
        <f>IFERROR(__xludf.DUMMYFUNCTION("""COMPUTED_VALUE"""),"Uncle Sams Cider (04/04/2023)")</f>
        <v>Uncle Sams Cider (04/04/2023)</v>
      </c>
      <c r="H4567" s="19"/>
    </row>
    <row r="4568">
      <c r="A4568" s="9"/>
      <c r="B4568" s="15"/>
      <c r="C4568" s="9">
        <f>IFERROR(__xludf.DUMMYFUNCTION("""COMPUTED_VALUE"""),45096.7914329398)</f>
        <v>45096.79143</v>
      </c>
      <c r="D4568" s="15">
        <f>IFERROR(__xludf.DUMMYFUNCTION("""COMPUTED_VALUE"""),1.001)</f>
        <v>1.001</v>
      </c>
      <c r="E4568" s="16">
        <f>IFERROR(__xludf.DUMMYFUNCTION("""COMPUTED_VALUE"""),68.0)</f>
        <v>68</v>
      </c>
      <c r="F4568" s="19" t="str">
        <f>IFERROR(__xludf.DUMMYFUNCTION("""COMPUTED_VALUE"""),"BLUE")</f>
        <v>BLUE</v>
      </c>
      <c r="G4568" s="20" t="str">
        <f>IFERROR(__xludf.DUMMYFUNCTION("""COMPUTED_VALUE"""),"Uncle Sams Cider (04/04/2023)")</f>
        <v>Uncle Sams Cider (04/04/2023)</v>
      </c>
      <c r="H4568" s="19"/>
    </row>
    <row r="4569">
      <c r="A4569" s="9"/>
      <c r="B4569" s="15"/>
      <c r="C4569" s="9">
        <f>IFERROR(__xludf.DUMMYFUNCTION("""COMPUTED_VALUE"""),45096.781)</f>
        <v>45096.781</v>
      </c>
      <c r="D4569" s="15">
        <f>IFERROR(__xludf.DUMMYFUNCTION("""COMPUTED_VALUE"""),1.002)</f>
        <v>1.002</v>
      </c>
      <c r="E4569" s="16">
        <f>IFERROR(__xludf.DUMMYFUNCTION("""COMPUTED_VALUE"""),68.0)</f>
        <v>68</v>
      </c>
      <c r="F4569" s="19" t="str">
        <f>IFERROR(__xludf.DUMMYFUNCTION("""COMPUTED_VALUE"""),"BLUE")</f>
        <v>BLUE</v>
      </c>
      <c r="G4569" s="20" t="str">
        <f>IFERROR(__xludf.DUMMYFUNCTION("""COMPUTED_VALUE"""),"Uncle Sams Cider (04/04/2023)")</f>
        <v>Uncle Sams Cider (04/04/2023)</v>
      </c>
      <c r="H4569" s="19"/>
    </row>
    <row r="4570">
      <c r="A4570" s="9"/>
      <c r="B4570" s="15"/>
      <c r="C4570" s="9">
        <f>IFERROR(__xludf.DUMMYFUNCTION("""COMPUTED_VALUE"""),45096.7705780092)</f>
        <v>45096.77058</v>
      </c>
      <c r="D4570" s="15">
        <f>IFERROR(__xludf.DUMMYFUNCTION("""COMPUTED_VALUE"""),1.002)</f>
        <v>1.002</v>
      </c>
      <c r="E4570" s="16">
        <f>IFERROR(__xludf.DUMMYFUNCTION("""COMPUTED_VALUE"""),68.0)</f>
        <v>68</v>
      </c>
      <c r="F4570" s="19" t="str">
        <f>IFERROR(__xludf.DUMMYFUNCTION("""COMPUTED_VALUE"""),"BLUE")</f>
        <v>BLUE</v>
      </c>
      <c r="G4570" s="20" t="str">
        <f>IFERROR(__xludf.DUMMYFUNCTION("""COMPUTED_VALUE"""),"Uncle Sams Cider (04/04/2023)")</f>
        <v>Uncle Sams Cider (04/04/2023)</v>
      </c>
      <c r="H4570" s="19"/>
    </row>
    <row r="4571">
      <c r="A4571" s="9"/>
      <c r="B4571" s="15"/>
      <c r="C4571" s="9">
        <f>IFERROR(__xludf.DUMMYFUNCTION("""COMPUTED_VALUE"""),45096.7601574884)</f>
        <v>45096.76016</v>
      </c>
      <c r="D4571" s="15">
        <f>IFERROR(__xludf.DUMMYFUNCTION("""COMPUTED_VALUE"""),1.002)</f>
        <v>1.002</v>
      </c>
      <c r="E4571" s="16">
        <f>IFERROR(__xludf.DUMMYFUNCTION("""COMPUTED_VALUE"""),68.0)</f>
        <v>68</v>
      </c>
      <c r="F4571" s="19" t="str">
        <f>IFERROR(__xludf.DUMMYFUNCTION("""COMPUTED_VALUE"""),"BLUE")</f>
        <v>BLUE</v>
      </c>
      <c r="G4571" s="20" t="str">
        <f>IFERROR(__xludf.DUMMYFUNCTION("""COMPUTED_VALUE"""),"Uncle Sams Cider (04/04/2023)")</f>
        <v>Uncle Sams Cider (04/04/2023)</v>
      </c>
      <c r="H4571" s="19"/>
    </row>
    <row r="4572">
      <c r="A4572" s="9"/>
      <c r="B4572" s="15"/>
      <c r="C4572" s="9">
        <f>IFERROR(__xludf.DUMMYFUNCTION("""COMPUTED_VALUE"""),45096.7497260532)</f>
        <v>45096.74973</v>
      </c>
      <c r="D4572" s="15">
        <f>IFERROR(__xludf.DUMMYFUNCTION("""COMPUTED_VALUE"""),1.002)</f>
        <v>1.002</v>
      </c>
      <c r="E4572" s="16">
        <f>IFERROR(__xludf.DUMMYFUNCTION("""COMPUTED_VALUE"""),68.0)</f>
        <v>68</v>
      </c>
      <c r="F4572" s="19" t="str">
        <f>IFERROR(__xludf.DUMMYFUNCTION("""COMPUTED_VALUE"""),"BLUE")</f>
        <v>BLUE</v>
      </c>
      <c r="G4572" s="20" t="str">
        <f>IFERROR(__xludf.DUMMYFUNCTION("""COMPUTED_VALUE"""),"Uncle Sams Cider (04/04/2023)")</f>
        <v>Uncle Sams Cider (04/04/2023)</v>
      </c>
      <c r="H4572" s="19"/>
    </row>
    <row r="4573">
      <c r="A4573" s="9"/>
      <c r="B4573" s="15"/>
      <c r="C4573" s="9">
        <f>IFERROR(__xludf.DUMMYFUNCTION("""COMPUTED_VALUE"""),45096.7393047569)</f>
        <v>45096.7393</v>
      </c>
      <c r="D4573" s="15">
        <f>IFERROR(__xludf.DUMMYFUNCTION("""COMPUTED_VALUE"""),1.002)</f>
        <v>1.002</v>
      </c>
      <c r="E4573" s="16">
        <f>IFERROR(__xludf.DUMMYFUNCTION("""COMPUTED_VALUE"""),68.0)</f>
        <v>68</v>
      </c>
      <c r="F4573" s="19" t="str">
        <f>IFERROR(__xludf.DUMMYFUNCTION("""COMPUTED_VALUE"""),"BLUE")</f>
        <v>BLUE</v>
      </c>
      <c r="G4573" s="20" t="str">
        <f>IFERROR(__xludf.DUMMYFUNCTION("""COMPUTED_VALUE"""),"Uncle Sams Cider (04/04/2023)")</f>
        <v>Uncle Sams Cider (04/04/2023)</v>
      </c>
      <c r="H4573" s="19"/>
    </row>
    <row r="4574">
      <c r="A4574" s="9"/>
      <c r="B4574" s="15"/>
      <c r="C4574" s="9">
        <f>IFERROR(__xludf.DUMMYFUNCTION("""COMPUTED_VALUE"""),45096.7288718055)</f>
        <v>45096.72887</v>
      </c>
      <c r="D4574" s="15">
        <f>IFERROR(__xludf.DUMMYFUNCTION("""COMPUTED_VALUE"""),1.002)</f>
        <v>1.002</v>
      </c>
      <c r="E4574" s="16">
        <f>IFERROR(__xludf.DUMMYFUNCTION("""COMPUTED_VALUE"""),68.0)</f>
        <v>68</v>
      </c>
      <c r="F4574" s="19" t="str">
        <f>IFERROR(__xludf.DUMMYFUNCTION("""COMPUTED_VALUE"""),"BLUE")</f>
        <v>BLUE</v>
      </c>
      <c r="G4574" s="20" t="str">
        <f>IFERROR(__xludf.DUMMYFUNCTION("""COMPUTED_VALUE"""),"Uncle Sams Cider (04/04/2023)")</f>
        <v>Uncle Sams Cider (04/04/2023)</v>
      </c>
      <c r="H4574" s="19"/>
    </row>
    <row r="4575">
      <c r="A4575" s="9"/>
      <c r="B4575" s="15"/>
      <c r="C4575" s="9">
        <f>IFERROR(__xludf.DUMMYFUNCTION("""COMPUTED_VALUE"""),45096.7184509722)</f>
        <v>45096.71845</v>
      </c>
      <c r="D4575" s="15">
        <f>IFERROR(__xludf.DUMMYFUNCTION("""COMPUTED_VALUE"""),1.002)</f>
        <v>1.002</v>
      </c>
      <c r="E4575" s="16">
        <f>IFERROR(__xludf.DUMMYFUNCTION("""COMPUTED_VALUE"""),68.0)</f>
        <v>68</v>
      </c>
      <c r="F4575" s="19" t="str">
        <f>IFERROR(__xludf.DUMMYFUNCTION("""COMPUTED_VALUE"""),"BLUE")</f>
        <v>BLUE</v>
      </c>
      <c r="G4575" s="20" t="str">
        <f>IFERROR(__xludf.DUMMYFUNCTION("""COMPUTED_VALUE"""),"Uncle Sams Cider (04/04/2023)")</f>
        <v>Uncle Sams Cider (04/04/2023)</v>
      </c>
      <c r="H4575" s="19"/>
    </row>
    <row r="4576">
      <c r="A4576" s="9"/>
      <c r="B4576" s="15"/>
      <c r="C4576" s="9">
        <f>IFERROR(__xludf.DUMMYFUNCTION("""COMPUTED_VALUE"""),45096.7080309027)</f>
        <v>45096.70803</v>
      </c>
      <c r="D4576" s="15">
        <f>IFERROR(__xludf.DUMMYFUNCTION("""COMPUTED_VALUE"""),1.002)</f>
        <v>1.002</v>
      </c>
      <c r="E4576" s="16">
        <f>IFERROR(__xludf.DUMMYFUNCTION("""COMPUTED_VALUE"""),68.0)</f>
        <v>68</v>
      </c>
      <c r="F4576" s="19" t="str">
        <f>IFERROR(__xludf.DUMMYFUNCTION("""COMPUTED_VALUE"""),"BLUE")</f>
        <v>BLUE</v>
      </c>
      <c r="G4576" s="20" t="str">
        <f>IFERROR(__xludf.DUMMYFUNCTION("""COMPUTED_VALUE"""),"Uncle Sams Cider (04/04/2023)")</f>
        <v>Uncle Sams Cider (04/04/2023)</v>
      </c>
      <c r="H4576" s="19"/>
    </row>
    <row r="4577">
      <c r="A4577" s="9"/>
      <c r="B4577" s="15"/>
      <c r="C4577" s="9">
        <f>IFERROR(__xludf.DUMMYFUNCTION("""COMPUTED_VALUE"""),45096.6976094676)</f>
        <v>45096.69761</v>
      </c>
      <c r="D4577" s="15">
        <f>IFERROR(__xludf.DUMMYFUNCTION("""COMPUTED_VALUE"""),1.002)</f>
        <v>1.002</v>
      </c>
      <c r="E4577" s="16">
        <f>IFERROR(__xludf.DUMMYFUNCTION("""COMPUTED_VALUE"""),68.0)</f>
        <v>68</v>
      </c>
      <c r="F4577" s="19" t="str">
        <f>IFERROR(__xludf.DUMMYFUNCTION("""COMPUTED_VALUE"""),"BLUE")</f>
        <v>BLUE</v>
      </c>
      <c r="G4577" s="20" t="str">
        <f>IFERROR(__xludf.DUMMYFUNCTION("""COMPUTED_VALUE"""),"Uncle Sams Cider (04/04/2023)")</f>
        <v>Uncle Sams Cider (04/04/2023)</v>
      </c>
      <c r="H4577" s="19"/>
    </row>
    <row r="4578">
      <c r="A4578" s="9"/>
      <c r="B4578" s="15"/>
      <c r="C4578" s="9">
        <f>IFERROR(__xludf.DUMMYFUNCTION("""COMPUTED_VALUE"""),45096.6871886921)</f>
        <v>45096.68719</v>
      </c>
      <c r="D4578" s="15">
        <f>IFERROR(__xludf.DUMMYFUNCTION("""COMPUTED_VALUE"""),1.002)</f>
        <v>1.002</v>
      </c>
      <c r="E4578" s="16">
        <f>IFERROR(__xludf.DUMMYFUNCTION("""COMPUTED_VALUE"""),68.0)</f>
        <v>68</v>
      </c>
      <c r="F4578" s="19" t="str">
        <f>IFERROR(__xludf.DUMMYFUNCTION("""COMPUTED_VALUE"""),"BLUE")</f>
        <v>BLUE</v>
      </c>
      <c r="G4578" s="20" t="str">
        <f>IFERROR(__xludf.DUMMYFUNCTION("""COMPUTED_VALUE"""),"Uncle Sams Cider (04/04/2023)")</f>
        <v>Uncle Sams Cider (04/04/2023)</v>
      </c>
      <c r="H4578" s="19"/>
    </row>
    <row r="4579">
      <c r="A4579" s="9"/>
      <c r="B4579" s="15"/>
      <c r="C4579" s="9">
        <f>IFERROR(__xludf.DUMMYFUNCTION("""COMPUTED_VALUE"""),45096.6767683333)</f>
        <v>45096.67677</v>
      </c>
      <c r="D4579" s="15">
        <f>IFERROR(__xludf.DUMMYFUNCTION("""COMPUTED_VALUE"""),1.001)</f>
        <v>1.001</v>
      </c>
      <c r="E4579" s="16">
        <f>IFERROR(__xludf.DUMMYFUNCTION("""COMPUTED_VALUE"""),68.0)</f>
        <v>68</v>
      </c>
      <c r="F4579" s="19" t="str">
        <f>IFERROR(__xludf.DUMMYFUNCTION("""COMPUTED_VALUE"""),"BLUE")</f>
        <v>BLUE</v>
      </c>
      <c r="G4579" s="20" t="str">
        <f>IFERROR(__xludf.DUMMYFUNCTION("""COMPUTED_VALUE"""),"Uncle Sams Cider (04/04/2023)")</f>
        <v>Uncle Sams Cider (04/04/2023)</v>
      </c>
      <c r="H4579" s="19"/>
    </row>
    <row r="4580">
      <c r="A4580" s="9"/>
      <c r="B4580" s="15"/>
      <c r="C4580" s="9">
        <f>IFERROR(__xludf.DUMMYFUNCTION("""COMPUTED_VALUE"""),45096.6663474421)</f>
        <v>45096.66635</v>
      </c>
      <c r="D4580" s="15">
        <f>IFERROR(__xludf.DUMMYFUNCTION("""COMPUTED_VALUE"""),1.002)</f>
        <v>1.002</v>
      </c>
      <c r="E4580" s="16">
        <f>IFERROR(__xludf.DUMMYFUNCTION("""COMPUTED_VALUE"""),68.0)</f>
        <v>68</v>
      </c>
      <c r="F4580" s="19" t="str">
        <f>IFERROR(__xludf.DUMMYFUNCTION("""COMPUTED_VALUE"""),"BLUE")</f>
        <v>BLUE</v>
      </c>
      <c r="G4580" s="20" t="str">
        <f>IFERROR(__xludf.DUMMYFUNCTION("""COMPUTED_VALUE"""),"Uncle Sams Cider (04/04/2023)")</f>
        <v>Uncle Sams Cider (04/04/2023)</v>
      </c>
      <c r="H4580" s="19"/>
    </row>
    <row r="4581">
      <c r="A4581" s="9"/>
      <c r="B4581" s="15"/>
      <c r="C4581" s="9">
        <f>IFERROR(__xludf.DUMMYFUNCTION("""COMPUTED_VALUE"""),45096.655925625)</f>
        <v>45096.65593</v>
      </c>
      <c r="D4581" s="15">
        <f>IFERROR(__xludf.DUMMYFUNCTION("""COMPUTED_VALUE"""),1.002)</f>
        <v>1.002</v>
      </c>
      <c r="E4581" s="16">
        <f>IFERROR(__xludf.DUMMYFUNCTION("""COMPUTED_VALUE"""),68.0)</f>
        <v>68</v>
      </c>
      <c r="F4581" s="19" t="str">
        <f>IFERROR(__xludf.DUMMYFUNCTION("""COMPUTED_VALUE"""),"BLUE")</f>
        <v>BLUE</v>
      </c>
      <c r="G4581" s="20" t="str">
        <f>IFERROR(__xludf.DUMMYFUNCTION("""COMPUTED_VALUE"""),"Uncle Sams Cider (04/04/2023)")</f>
        <v>Uncle Sams Cider (04/04/2023)</v>
      </c>
      <c r="H4581" s="19"/>
    </row>
    <row r="4582">
      <c r="A4582" s="9"/>
      <c r="B4582" s="15"/>
      <c r="C4582" s="9">
        <f>IFERROR(__xludf.DUMMYFUNCTION("""COMPUTED_VALUE"""),45096.6454912268)</f>
        <v>45096.64549</v>
      </c>
      <c r="D4582" s="15">
        <f>IFERROR(__xludf.DUMMYFUNCTION("""COMPUTED_VALUE"""),1.001)</f>
        <v>1.001</v>
      </c>
      <c r="E4582" s="16">
        <f>IFERROR(__xludf.DUMMYFUNCTION("""COMPUTED_VALUE"""),68.0)</f>
        <v>68</v>
      </c>
      <c r="F4582" s="19" t="str">
        <f>IFERROR(__xludf.DUMMYFUNCTION("""COMPUTED_VALUE"""),"BLUE")</f>
        <v>BLUE</v>
      </c>
      <c r="G4582" s="20" t="str">
        <f>IFERROR(__xludf.DUMMYFUNCTION("""COMPUTED_VALUE"""),"Uncle Sams Cider (04/04/2023)")</f>
        <v>Uncle Sams Cider (04/04/2023)</v>
      </c>
      <c r="H4582" s="19"/>
    </row>
    <row r="4583">
      <c r="A4583" s="9"/>
      <c r="B4583" s="15"/>
      <c r="C4583" s="9">
        <f>IFERROR(__xludf.DUMMYFUNCTION("""COMPUTED_VALUE"""),45096.635069618)</f>
        <v>45096.63507</v>
      </c>
      <c r="D4583" s="15">
        <f>IFERROR(__xludf.DUMMYFUNCTION("""COMPUTED_VALUE"""),1.002)</f>
        <v>1.002</v>
      </c>
      <c r="E4583" s="16">
        <f>IFERROR(__xludf.DUMMYFUNCTION("""COMPUTED_VALUE"""),68.0)</f>
        <v>68</v>
      </c>
      <c r="F4583" s="19" t="str">
        <f>IFERROR(__xludf.DUMMYFUNCTION("""COMPUTED_VALUE"""),"BLUE")</f>
        <v>BLUE</v>
      </c>
      <c r="G4583" s="20" t="str">
        <f>IFERROR(__xludf.DUMMYFUNCTION("""COMPUTED_VALUE"""),"Uncle Sams Cider (04/04/2023)")</f>
        <v>Uncle Sams Cider (04/04/2023)</v>
      </c>
      <c r="H4583" s="19"/>
    </row>
    <row r="4584">
      <c r="A4584" s="9"/>
      <c r="B4584" s="15"/>
      <c r="C4584" s="9">
        <f>IFERROR(__xludf.DUMMYFUNCTION("""COMPUTED_VALUE"""),45096.6246478356)</f>
        <v>45096.62465</v>
      </c>
      <c r="D4584" s="15">
        <f>IFERROR(__xludf.DUMMYFUNCTION("""COMPUTED_VALUE"""),1.002)</f>
        <v>1.002</v>
      </c>
      <c r="E4584" s="16">
        <f>IFERROR(__xludf.DUMMYFUNCTION("""COMPUTED_VALUE"""),68.0)</f>
        <v>68</v>
      </c>
      <c r="F4584" s="19" t="str">
        <f>IFERROR(__xludf.DUMMYFUNCTION("""COMPUTED_VALUE"""),"BLUE")</f>
        <v>BLUE</v>
      </c>
      <c r="G4584" s="20" t="str">
        <f>IFERROR(__xludf.DUMMYFUNCTION("""COMPUTED_VALUE"""),"Uncle Sams Cider (04/04/2023)")</f>
        <v>Uncle Sams Cider (04/04/2023)</v>
      </c>
      <c r="H4584" s="19"/>
    </row>
    <row r="4585">
      <c r="A4585" s="9"/>
      <c r="B4585" s="15"/>
      <c r="C4585" s="9">
        <f>IFERROR(__xludf.DUMMYFUNCTION("""COMPUTED_VALUE"""),45096.6142277777)</f>
        <v>45096.61423</v>
      </c>
      <c r="D4585" s="15">
        <f>IFERROR(__xludf.DUMMYFUNCTION("""COMPUTED_VALUE"""),1.001)</f>
        <v>1.001</v>
      </c>
      <c r="E4585" s="16">
        <f>IFERROR(__xludf.DUMMYFUNCTION("""COMPUTED_VALUE"""),68.0)</f>
        <v>68</v>
      </c>
      <c r="F4585" s="19" t="str">
        <f>IFERROR(__xludf.DUMMYFUNCTION("""COMPUTED_VALUE"""),"BLUE")</f>
        <v>BLUE</v>
      </c>
      <c r="G4585" s="20" t="str">
        <f>IFERROR(__xludf.DUMMYFUNCTION("""COMPUTED_VALUE"""),"Uncle Sams Cider (04/04/2023)")</f>
        <v>Uncle Sams Cider (04/04/2023)</v>
      </c>
      <c r="H4585" s="19"/>
    </row>
    <row r="4586">
      <c r="A4586" s="9"/>
      <c r="B4586" s="15"/>
      <c r="C4586" s="9">
        <f>IFERROR(__xludf.DUMMYFUNCTION("""COMPUTED_VALUE"""),45096.5829674652)</f>
        <v>45096.58297</v>
      </c>
      <c r="D4586" s="15">
        <f>IFERROR(__xludf.DUMMYFUNCTION("""COMPUTED_VALUE"""),1.002)</f>
        <v>1.002</v>
      </c>
      <c r="E4586" s="16">
        <f>IFERROR(__xludf.DUMMYFUNCTION("""COMPUTED_VALUE"""),68.0)</f>
        <v>68</v>
      </c>
      <c r="F4586" s="19" t="str">
        <f>IFERROR(__xludf.DUMMYFUNCTION("""COMPUTED_VALUE"""),"BLUE")</f>
        <v>BLUE</v>
      </c>
      <c r="G4586" s="20" t="str">
        <f>IFERROR(__xludf.DUMMYFUNCTION("""COMPUTED_VALUE"""),"Uncle Sams Cider (04/04/2023)")</f>
        <v>Uncle Sams Cider (04/04/2023)</v>
      </c>
      <c r="H4586" s="19"/>
    </row>
    <row r="4587">
      <c r="A4587" s="9"/>
      <c r="B4587" s="15"/>
      <c r="C4587" s="9">
        <f>IFERROR(__xludf.DUMMYFUNCTION("""COMPUTED_VALUE"""),45096.5725481018)</f>
        <v>45096.57255</v>
      </c>
      <c r="D4587" s="15">
        <f>IFERROR(__xludf.DUMMYFUNCTION("""COMPUTED_VALUE"""),1.002)</f>
        <v>1.002</v>
      </c>
      <c r="E4587" s="16">
        <f>IFERROR(__xludf.DUMMYFUNCTION("""COMPUTED_VALUE"""),68.0)</f>
        <v>68</v>
      </c>
      <c r="F4587" s="19" t="str">
        <f>IFERROR(__xludf.DUMMYFUNCTION("""COMPUTED_VALUE"""),"BLUE")</f>
        <v>BLUE</v>
      </c>
      <c r="G4587" s="20" t="str">
        <f>IFERROR(__xludf.DUMMYFUNCTION("""COMPUTED_VALUE"""),"Uncle Sams Cider (04/04/2023)")</f>
        <v>Uncle Sams Cider (04/04/2023)</v>
      </c>
      <c r="H4587" s="19"/>
    </row>
    <row r="4588">
      <c r="A4588" s="9"/>
      <c r="B4588" s="15"/>
      <c r="C4588" s="9">
        <f>IFERROR(__xludf.DUMMYFUNCTION("""COMPUTED_VALUE"""),45096.5621266666)</f>
        <v>45096.56213</v>
      </c>
      <c r="D4588" s="15">
        <f>IFERROR(__xludf.DUMMYFUNCTION("""COMPUTED_VALUE"""),1.002)</f>
        <v>1.002</v>
      </c>
      <c r="E4588" s="16">
        <f>IFERROR(__xludf.DUMMYFUNCTION("""COMPUTED_VALUE"""),68.0)</f>
        <v>68</v>
      </c>
      <c r="F4588" s="19" t="str">
        <f>IFERROR(__xludf.DUMMYFUNCTION("""COMPUTED_VALUE"""),"BLUE")</f>
        <v>BLUE</v>
      </c>
      <c r="G4588" s="20" t="str">
        <f>IFERROR(__xludf.DUMMYFUNCTION("""COMPUTED_VALUE"""),"Uncle Sams Cider (04/04/2023)")</f>
        <v>Uncle Sams Cider (04/04/2023)</v>
      </c>
      <c r="H4588" s="19"/>
    </row>
    <row r="4589">
      <c r="A4589" s="9"/>
      <c r="B4589" s="15"/>
      <c r="C4589" s="9">
        <f>IFERROR(__xludf.DUMMYFUNCTION("""COMPUTED_VALUE"""),45096.5517062384)</f>
        <v>45096.55171</v>
      </c>
      <c r="D4589" s="15">
        <f>IFERROR(__xludf.DUMMYFUNCTION("""COMPUTED_VALUE"""),1.002)</f>
        <v>1.002</v>
      </c>
      <c r="E4589" s="16">
        <f>IFERROR(__xludf.DUMMYFUNCTION("""COMPUTED_VALUE"""),68.0)</f>
        <v>68</v>
      </c>
      <c r="F4589" s="19" t="str">
        <f>IFERROR(__xludf.DUMMYFUNCTION("""COMPUTED_VALUE"""),"BLUE")</f>
        <v>BLUE</v>
      </c>
      <c r="G4589" s="20" t="str">
        <f>IFERROR(__xludf.DUMMYFUNCTION("""COMPUTED_VALUE"""),"Uncle Sams Cider (04/04/2023)")</f>
        <v>Uncle Sams Cider (04/04/2023)</v>
      </c>
      <c r="H4589" s="19"/>
    </row>
    <row r="4590">
      <c r="A4590" s="9"/>
      <c r="B4590" s="15"/>
      <c r="C4590" s="9">
        <f>IFERROR(__xludf.DUMMYFUNCTION("""COMPUTED_VALUE"""),45096.5412862152)</f>
        <v>45096.54129</v>
      </c>
      <c r="D4590" s="15">
        <f>IFERROR(__xludf.DUMMYFUNCTION("""COMPUTED_VALUE"""),1.002)</f>
        <v>1.002</v>
      </c>
      <c r="E4590" s="16">
        <f>IFERROR(__xludf.DUMMYFUNCTION("""COMPUTED_VALUE"""),68.0)</f>
        <v>68</v>
      </c>
      <c r="F4590" s="19" t="str">
        <f>IFERROR(__xludf.DUMMYFUNCTION("""COMPUTED_VALUE"""),"BLUE")</f>
        <v>BLUE</v>
      </c>
      <c r="G4590" s="20" t="str">
        <f>IFERROR(__xludf.DUMMYFUNCTION("""COMPUTED_VALUE"""),"Uncle Sams Cider (04/04/2023)")</f>
        <v>Uncle Sams Cider (04/04/2023)</v>
      </c>
      <c r="H4590" s="19"/>
    </row>
    <row r="4591">
      <c r="A4591" s="9"/>
      <c r="B4591" s="15"/>
      <c r="C4591" s="9">
        <f>IFERROR(__xludf.DUMMYFUNCTION("""COMPUTED_VALUE"""),45096.5308659722)</f>
        <v>45096.53087</v>
      </c>
      <c r="D4591" s="15">
        <f>IFERROR(__xludf.DUMMYFUNCTION("""COMPUTED_VALUE"""),1.002)</f>
        <v>1.002</v>
      </c>
      <c r="E4591" s="16">
        <f>IFERROR(__xludf.DUMMYFUNCTION("""COMPUTED_VALUE"""),68.0)</f>
        <v>68</v>
      </c>
      <c r="F4591" s="19" t="str">
        <f>IFERROR(__xludf.DUMMYFUNCTION("""COMPUTED_VALUE"""),"BLUE")</f>
        <v>BLUE</v>
      </c>
      <c r="G4591" s="20" t="str">
        <f>IFERROR(__xludf.DUMMYFUNCTION("""COMPUTED_VALUE"""),"Uncle Sams Cider (04/04/2023)")</f>
        <v>Uncle Sams Cider (04/04/2023)</v>
      </c>
      <c r="H4591" s="19"/>
    </row>
    <row r="4592">
      <c r="A4592" s="9"/>
      <c r="B4592" s="15"/>
      <c r="C4592" s="9">
        <f>IFERROR(__xludf.DUMMYFUNCTION("""COMPUTED_VALUE"""),45096.520445949)</f>
        <v>45096.52045</v>
      </c>
      <c r="D4592" s="15">
        <f>IFERROR(__xludf.DUMMYFUNCTION("""COMPUTED_VALUE"""),1.002)</f>
        <v>1.002</v>
      </c>
      <c r="E4592" s="16">
        <f>IFERROR(__xludf.DUMMYFUNCTION("""COMPUTED_VALUE"""),68.0)</f>
        <v>68</v>
      </c>
      <c r="F4592" s="19" t="str">
        <f>IFERROR(__xludf.DUMMYFUNCTION("""COMPUTED_VALUE"""),"BLUE")</f>
        <v>BLUE</v>
      </c>
      <c r="G4592" s="20" t="str">
        <f>IFERROR(__xludf.DUMMYFUNCTION("""COMPUTED_VALUE"""),"Uncle Sams Cider (04/04/2023)")</f>
        <v>Uncle Sams Cider (04/04/2023)</v>
      </c>
      <c r="H4592" s="19"/>
    </row>
    <row r="4593">
      <c r="A4593" s="9"/>
      <c r="B4593" s="15"/>
      <c r="C4593" s="9">
        <f>IFERROR(__xludf.DUMMYFUNCTION("""COMPUTED_VALUE"""),45096.5100229166)</f>
        <v>45096.51002</v>
      </c>
      <c r="D4593" s="15">
        <f>IFERROR(__xludf.DUMMYFUNCTION("""COMPUTED_VALUE"""),1.002)</f>
        <v>1.002</v>
      </c>
      <c r="E4593" s="16">
        <f>IFERROR(__xludf.DUMMYFUNCTION("""COMPUTED_VALUE"""),68.0)</f>
        <v>68</v>
      </c>
      <c r="F4593" s="19" t="str">
        <f>IFERROR(__xludf.DUMMYFUNCTION("""COMPUTED_VALUE"""),"BLUE")</f>
        <v>BLUE</v>
      </c>
      <c r="G4593" s="20" t="str">
        <f>IFERROR(__xludf.DUMMYFUNCTION("""COMPUTED_VALUE"""),"Uncle Sams Cider (04/04/2023)")</f>
        <v>Uncle Sams Cider (04/04/2023)</v>
      </c>
      <c r="H4593" s="19"/>
    </row>
    <row r="4594">
      <c r="A4594" s="9"/>
      <c r="B4594" s="15"/>
      <c r="C4594" s="9">
        <f>IFERROR(__xludf.DUMMYFUNCTION("""COMPUTED_VALUE"""),45096.499601331)</f>
        <v>45096.4996</v>
      </c>
      <c r="D4594" s="15">
        <f>IFERROR(__xludf.DUMMYFUNCTION("""COMPUTED_VALUE"""),1.002)</f>
        <v>1.002</v>
      </c>
      <c r="E4594" s="16">
        <f>IFERROR(__xludf.DUMMYFUNCTION("""COMPUTED_VALUE"""),68.0)</f>
        <v>68</v>
      </c>
      <c r="F4594" s="19" t="str">
        <f>IFERROR(__xludf.DUMMYFUNCTION("""COMPUTED_VALUE"""),"BLUE")</f>
        <v>BLUE</v>
      </c>
      <c r="G4594" s="20" t="str">
        <f>IFERROR(__xludf.DUMMYFUNCTION("""COMPUTED_VALUE"""),"Uncle Sams Cider (04/04/2023)")</f>
        <v>Uncle Sams Cider (04/04/2023)</v>
      </c>
      <c r="H4594" s="19"/>
    </row>
    <row r="4595">
      <c r="A4595" s="9"/>
      <c r="B4595" s="15"/>
      <c r="C4595" s="9">
        <f>IFERROR(__xludf.DUMMYFUNCTION("""COMPUTED_VALUE"""),45096.489180162)</f>
        <v>45096.48918</v>
      </c>
      <c r="D4595" s="15">
        <f>IFERROR(__xludf.DUMMYFUNCTION("""COMPUTED_VALUE"""),1.002)</f>
        <v>1.002</v>
      </c>
      <c r="E4595" s="16">
        <f>IFERROR(__xludf.DUMMYFUNCTION("""COMPUTED_VALUE"""),68.0)</f>
        <v>68</v>
      </c>
      <c r="F4595" s="19" t="str">
        <f>IFERROR(__xludf.DUMMYFUNCTION("""COMPUTED_VALUE"""),"BLUE")</f>
        <v>BLUE</v>
      </c>
      <c r="G4595" s="20" t="str">
        <f>IFERROR(__xludf.DUMMYFUNCTION("""COMPUTED_VALUE"""),"Uncle Sams Cider (04/04/2023)")</f>
        <v>Uncle Sams Cider (04/04/2023)</v>
      </c>
      <c r="H4595" s="19"/>
    </row>
    <row r="4596">
      <c r="A4596" s="9"/>
      <c r="B4596" s="15"/>
      <c r="C4596" s="9">
        <f>IFERROR(__xludf.DUMMYFUNCTION("""COMPUTED_VALUE"""),45096.4787349768)</f>
        <v>45096.47873</v>
      </c>
      <c r="D4596" s="15">
        <f>IFERROR(__xludf.DUMMYFUNCTION("""COMPUTED_VALUE"""),1.002)</f>
        <v>1.002</v>
      </c>
      <c r="E4596" s="16">
        <f>IFERROR(__xludf.DUMMYFUNCTION("""COMPUTED_VALUE"""),68.0)</f>
        <v>68</v>
      </c>
      <c r="F4596" s="19" t="str">
        <f>IFERROR(__xludf.DUMMYFUNCTION("""COMPUTED_VALUE"""),"BLUE")</f>
        <v>BLUE</v>
      </c>
      <c r="G4596" s="20" t="str">
        <f>IFERROR(__xludf.DUMMYFUNCTION("""COMPUTED_VALUE"""),"Uncle Sams Cider (04/04/2023)")</f>
        <v>Uncle Sams Cider (04/04/2023)</v>
      </c>
      <c r="H4596" s="19"/>
    </row>
    <row r="4597">
      <c r="A4597" s="9"/>
      <c r="B4597" s="15"/>
      <c r="C4597" s="9">
        <f>IFERROR(__xludf.DUMMYFUNCTION("""COMPUTED_VALUE"""),45096.4683155902)</f>
        <v>45096.46832</v>
      </c>
      <c r="D4597" s="15">
        <f>IFERROR(__xludf.DUMMYFUNCTION("""COMPUTED_VALUE"""),1.002)</f>
        <v>1.002</v>
      </c>
      <c r="E4597" s="16">
        <f>IFERROR(__xludf.DUMMYFUNCTION("""COMPUTED_VALUE"""),68.0)</f>
        <v>68</v>
      </c>
      <c r="F4597" s="19" t="str">
        <f>IFERROR(__xludf.DUMMYFUNCTION("""COMPUTED_VALUE"""),"BLUE")</f>
        <v>BLUE</v>
      </c>
      <c r="G4597" s="20" t="str">
        <f>IFERROR(__xludf.DUMMYFUNCTION("""COMPUTED_VALUE"""),"Uncle Sams Cider (04/04/2023)")</f>
        <v>Uncle Sams Cider (04/04/2023)</v>
      </c>
      <c r="H4597" s="19"/>
    </row>
    <row r="4598">
      <c r="A4598" s="9"/>
      <c r="B4598" s="15"/>
      <c r="C4598" s="9">
        <f>IFERROR(__xludf.DUMMYFUNCTION("""COMPUTED_VALUE"""),45096.4578939351)</f>
        <v>45096.45789</v>
      </c>
      <c r="D4598" s="15">
        <f>IFERROR(__xludf.DUMMYFUNCTION("""COMPUTED_VALUE"""),1.002)</f>
        <v>1.002</v>
      </c>
      <c r="E4598" s="16">
        <f>IFERROR(__xludf.DUMMYFUNCTION("""COMPUTED_VALUE"""),68.0)</f>
        <v>68</v>
      </c>
      <c r="F4598" s="19" t="str">
        <f>IFERROR(__xludf.DUMMYFUNCTION("""COMPUTED_VALUE"""),"BLUE")</f>
        <v>BLUE</v>
      </c>
      <c r="G4598" s="20" t="str">
        <f>IFERROR(__xludf.DUMMYFUNCTION("""COMPUTED_VALUE"""),"Uncle Sams Cider (04/04/2023)")</f>
        <v>Uncle Sams Cider (04/04/2023)</v>
      </c>
      <c r="H4598" s="19"/>
    </row>
    <row r="4599">
      <c r="A4599" s="9"/>
      <c r="B4599" s="15"/>
      <c r="C4599" s="9">
        <f>IFERROR(__xludf.DUMMYFUNCTION("""COMPUTED_VALUE"""),45096.4474732291)</f>
        <v>45096.44747</v>
      </c>
      <c r="D4599" s="15">
        <f>IFERROR(__xludf.DUMMYFUNCTION("""COMPUTED_VALUE"""),1.002)</f>
        <v>1.002</v>
      </c>
      <c r="E4599" s="16">
        <f>IFERROR(__xludf.DUMMYFUNCTION("""COMPUTED_VALUE"""),68.0)</f>
        <v>68</v>
      </c>
      <c r="F4599" s="19" t="str">
        <f>IFERROR(__xludf.DUMMYFUNCTION("""COMPUTED_VALUE"""),"BLUE")</f>
        <v>BLUE</v>
      </c>
      <c r="G4599" s="20" t="str">
        <f>IFERROR(__xludf.DUMMYFUNCTION("""COMPUTED_VALUE"""),"Uncle Sams Cider (04/04/2023)")</f>
        <v>Uncle Sams Cider (04/04/2023)</v>
      </c>
      <c r="H4599" s="19"/>
    </row>
    <row r="4600">
      <c r="A4600" s="9"/>
      <c r="B4600" s="15"/>
      <c r="C4600" s="9">
        <f>IFERROR(__xludf.DUMMYFUNCTION("""COMPUTED_VALUE"""),45096.4370548379)</f>
        <v>45096.43705</v>
      </c>
      <c r="D4600" s="15">
        <f>IFERROR(__xludf.DUMMYFUNCTION("""COMPUTED_VALUE"""),1.001)</f>
        <v>1.001</v>
      </c>
      <c r="E4600" s="16">
        <f>IFERROR(__xludf.DUMMYFUNCTION("""COMPUTED_VALUE"""),68.0)</f>
        <v>68</v>
      </c>
      <c r="F4600" s="19" t="str">
        <f>IFERROR(__xludf.DUMMYFUNCTION("""COMPUTED_VALUE"""),"BLUE")</f>
        <v>BLUE</v>
      </c>
      <c r="G4600" s="20" t="str">
        <f>IFERROR(__xludf.DUMMYFUNCTION("""COMPUTED_VALUE"""),"Uncle Sams Cider (04/04/2023)")</f>
        <v>Uncle Sams Cider (04/04/2023)</v>
      </c>
      <c r="H4600" s="19"/>
    </row>
    <row r="4601">
      <c r="A4601" s="9"/>
      <c r="B4601" s="15"/>
      <c r="C4601" s="9">
        <f>IFERROR(__xludf.DUMMYFUNCTION("""COMPUTED_VALUE"""),45096.4266326851)</f>
        <v>45096.42663</v>
      </c>
      <c r="D4601" s="15">
        <f>IFERROR(__xludf.DUMMYFUNCTION("""COMPUTED_VALUE"""),1.001)</f>
        <v>1.001</v>
      </c>
      <c r="E4601" s="16">
        <f>IFERROR(__xludf.DUMMYFUNCTION("""COMPUTED_VALUE"""),68.0)</f>
        <v>68</v>
      </c>
      <c r="F4601" s="19" t="str">
        <f>IFERROR(__xludf.DUMMYFUNCTION("""COMPUTED_VALUE"""),"BLUE")</f>
        <v>BLUE</v>
      </c>
      <c r="G4601" s="20" t="str">
        <f>IFERROR(__xludf.DUMMYFUNCTION("""COMPUTED_VALUE"""),"Uncle Sams Cider (04/04/2023)")</f>
        <v>Uncle Sams Cider (04/04/2023)</v>
      </c>
      <c r="H4601" s="19"/>
    </row>
    <row r="4602">
      <c r="A4602" s="9"/>
      <c r="B4602" s="15"/>
      <c r="C4602" s="9">
        <f>IFERROR(__xludf.DUMMYFUNCTION("""COMPUTED_VALUE"""),45096.4162114583)</f>
        <v>45096.41621</v>
      </c>
      <c r="D4602" s="15">
        <f>IFERROR(__xludf.DUMMYFUNCTION("""COMPUTED_VALUE"""),1.002)</f>
        <v>1.002</v>
      </c>
      <c r="E4602" s="16">
        <f>IFERROR(__xludf.DUMMYFUNCTION("""COMPUTED_VALUE"""),68.0)</f>
        <v>68</v>
      </c>
      <c r="F4602" s="19" t="str">
        <f>IFERROR(__xludf.DUMMYFUNCTION("""COMPUTED_VALUE"""),"BLUE")</f>
        <v>BLUE</v>
      </c>
      <c r="G4602" s="20" t="str">
        <f>IFERROR(__xludf.DUMMYFUNCTION("""COMPUTED_VALUE"""),"Uncle Sams Cider (04/04/2023)")</f>
        <v>Uncle Sams Cider (04/04/2023)</v>
      </c>
      <c r="H4602" s="19"/>
    </row>
    <row r="4603">
      <c r="A4603" s="9"/>
      <c r="B4603" s="15"/>
      <c r="C4603" s="9">
        <f>IFERROR(__xludf.DUMMYFUNCTION("""COMPUTED_VALUE"""),45096.4057805555)</f>
        <v>45096.40578</v>
      </c>
      <c r="D4603" s="15">
        <f>IFERROR(__xludf.DUMMYFUNCTION("""COMPUTED_VALUE"""),1.002)</f>
        <v>1.002</v>
      </c>
      <c r="E4603" s="16">
        <f>IFERROR(__xludf.DUMMYFUNCTION("""COMPUTED_VALUE"""),68.0)</f>
        <v>68</v>
      </c>
      <c r="F4603" s="19" t="str">
        <f>IFERROR(__xludf.DUMMYFUNCTION("""COMPUTED_VALUE"""),"BLUE")</f>
        <v>BLUE</v>
      </c>
      <c r="G4603" s="20" t="str">
        <f>IFERROR(__xludf.DUMMYFUNCTION("""COMPUTED_VALUE"""),"Uncle Sams Cider (04/04/2023)")</f>
        <v>Uncle Sams Cider (04/04/2023)</v>
      </c>
      <c r="H4603" s="19"/>
    </row>
    <row r="4604">
      <c r="A4604" s="9"/>
      <c r="B4604" s="15"/>
      <c r="C4604" s="9">
        <f>IFERROR(__xludf.DUMMYFUNCTION("""COMPUTED_VALUE"""),45096.3953469907)</f>
        <v>45096.39535</v>
      </c>
      <c r="D4604" s="15">
        <f>IFERROR(__xludf.DUMMYFUNCTION("""COMPUTED_VALUE"""),1.002)</f>
        <v>1.002</v>
      </c>
      <c r="E4604" s="16">
        <f>IFERROR(__xludf.DUMMYFUNCTION("""COMPUTED_VALUE"""),68.0)</f>
        <v>68</v>
      </c>
      <c r="F4604" s="19" t="str">
        <f>IFERROR(__xludf.DUMMYFUNCTION("""COMPUTED_VALUE"""),"BLUE")</f>
        <v>BLUE</v>
      </c>
      <c r="G4604" s="20" t="str">
        <f>IFERROR(__xludf.DUMMYFUNCTION("""COMPUTED_VALUE"""),"Uncle Sams Cider (04/04/2023)")</f>
        <v>Uncle Sams Cider (04/04/2023)</v>
      </c>
      <c r="H4604" s="19"/>
    </row>
    <row r="4605">
      <c r="A4605" s="9"/>
      <c r="B4605" s="15"/>
      <c r="C4605" s="9">
        <f>IFERROR(__xludf.DUMMYFUNCTION("""COMPUTED_VALUE"""),45096.3849283101)</f>
        <v>45096.38493</v>
      </c>
      <c r="D4605" s="15">
        <f>IFERROR(__xludf.DUMMYFUNCTION("""COMPUTED_VALUE"""),1.002)</f>
        <v>1.002</v>
      </c>
      <c r="E4605" s="16">
        <f>IFERROR(__xludf.DUMMYFUNCTION("""COMPUTED_VALUE"""),68.0)</f>
        <v>68</v>
      </c>
      <c r="F4605" s="19" t="str">
        <f>IFERROR(__xludf.DUMMYFUNCTION("""COMPUTED_VALUE"""),"BLUE")</f>
        <v>BLUE</v>
      </c>
      <c r="G4605" s="20" t="str">
        <f>IFERROR(__xludf.DUMMYFUNCTION("""COMPUTED_VALUE"""),"Uncle Sams Cider (04/04/2023)")</f>
        <v>Uncle Sams Cider (04/04/2023)</v>
      </c>
      <c r="H4605" s="19"/>
    </row>
    <row r="4606">
      <c r="A4606" s="9"/>
      <c r="B4606" s="15"/>
      <c r="C4606" s="9">
        <f>IFERROR(__xludf.DUMMYFUNCTION("""COMPUTED_VALUE"""),45096.3745057523)</f>
        <v>45096.37451</v>
      </c>
      <c r="D4606" s="15">
        <f>IFERROR(__xludf.DUMMYFUNCTION("""COMPUTED_VALUE"""),1.002)</f>
        <v>1.002</v>
      </c>
      <c r="E4606" s="16">
        <f>IFERROR(__xludf.DUMMYFUNCTION("""COMPUTED_VALUE"""),68.0)</f>
        <v>68</v>
      </c>
      <c r="F4606" s="19" t="str">
        <f>IFERROR(__xludf.DUMMYFUNCTION("""COMPUTED_VALUE"""),"BLUE")</f>
        <v>BLUE</v>
      </c>
      <c r="G4606" s="20" t="str">
        <f>IFERROR(__xludf.DUMMYFUNCTION("""COMPUTED_VALUE"""),"Uncle Sams Cider (04/04/2023)")</f>
        <v>Uncle Sams Cider (04/04/2023)</v>
      </c>
      <c r="H4606" s="19"/>
    </row>
    <row r="4607">
      <c r="A4607" s="9"/>
      <c r="B4607" s="15"/>
      <c r="C4607" s="9">
        <f>IFERROR(__xludf.DUMMYFUNCTION("""COMPUTED_VALUE"""),45096.364085243)</f>
        <v>45096.36409</v>
      </c>
      <c r="D4607" s="15">
        <f>IFERROR(__xludf.DUMMYFUNCTION("""COMPUTED_VALUE"""),1.002)</f>
        <v>1.002</v>
      </c>
      <c r="E4607" s="16">
        <f>IFERROR(__xludf.DUMMYFUNCTION("""COMPUTED_VALUE"""),68.0)</f>
        <v>68</v>
      </c>
      <c r="F4607" s="19" t="str">
        <f>IFERROR(__xludf.DUMMYFUNCTION("""COMPUTED_VALUE"""),"BLUE")</f>
        <v>BLUE</v>
      </c>
      <c r="G4607" s="20" t="str">
        <f>IFERROR(__xludf.DUMMYFUNCTION("""COMPUTED_VALUE"""),"Uncle Sams Cider (04/04/2023)")</f>
        <v>Uncle Sams Cider (04/04/2023)</v>
      </c>
      <c r="H4607" s="19"/>
    </row>
    <row r="4608">
      <c r="A4608" s="9"/>
      <c r="B4608" s="15"/>
      <c r="C4608" s="9">
        <f>IFERROR(__xludf.DUMMYFUNCTION("""COMPUTED_VALUE"""),45096.3536525115)</f>
        <v>45096.35365</v>
      </c>
      <c r="D4608" s="15">
        <f>IFERROR(__xludf.DUMMYFUNCTION("""COMPUTED_VALUE"""),1.002)</f>
        <v>1.002</v>
      </c>
      <c r="E4608" s="16">
        <f>IFERROR(__xludf.DUMMYFUNCTION("""COMPUTED_VALUE"""),68.0)</f>
        <v>68</v>
      </c>
      <c r="F4608" s="19" t="str">
        <f>IFERROR(__xludf.DUMMYFUNCTION("""COMPUTED_VALUE"""),"BLUE")</f>
        <v>BLUE</v>
      </c>
      <c r="G4608" s="20" t="str">
        <f>IFERROR(__xludf.DUMMYFUNCTION("""COMPUTED_VALUE"""),"Uncle Sams Cider (04/04/2023)")</f>
        <v>Uncle Sams Cider (04/04/2023)</v>
      </c>
      <c r="H4608" s="19"/>
    </row>
    <row r="4609">
      <c r="A4609" s="9"/>
      <c r="B4609" s="15"/>
      <c r="C4609" s="9">
        <f>IFERROR(__xludf.DUMMYFUNCTION("""COMPUTED_VALUE"""),45096.3432320023)</f>
        <v>45096.34323</v>
      </c>
      <c r="D4609" s="15">
        <f>IFERROR(__xludf.DUMMYFUNCTION("""COMPUTED_VALUE"""),1.002)</f>
        <v>1.002</v>
      </c>
      <c r="E4609" s="16">
        <f>IFERROR(__xludf.DUMMYFUNCTION("""COMPUTED_VALUE"""),68.0)</f>
        <v>68</v>
      </c>
      <c r="F4609" s="19" t="str">
        <f>IFERROR(__xludf.DUMMYFUNCTION("""COMPUTED_VALUE"""),"BLUE")</f>
        <v>BLUE</v>
      </c>
      <c r="G4609" s="20" t="str">
        <f>IFERROR(__xludf.DUMMYFUNCTION("""COMPUTED_VALUE"""),"Uncle Sams Cider (04/04/2023)")</f>
        <v>Uncle Sams Cider (04/04/2023)</v>
      </c>
      <c r="H4609" s="19"/>
    </row>
    <row r="4610">
      <c r="A4610" s="9"/>
      <c r="B4610" s="15"/>
      <c r="C4610" s="9">
        <f>IFERROR(__xludf.DUMMYFUNCTION("""COMPUTED_VALUE"""),45096.3328098495)</f>
        <v>45096.33281</v>
      </c>
      <c r="D4610" s="15">
        <f>IFERROR(__xludf.DUMMYFUNCTION("""COMPUTED_VALUE"""),1.002)</f>
        <v>1.002</v>
      </c>
      <c r="E4610" s="16">
        <f>IFERROR(__xludf.DUMMYFUNCTION("""COMPUTED_VALUE"""),68.0)</f>
        <v>68</v>
      </c>
      <c r="F4610" s="19" t="str">
        <f>IFERROR(__xludf.DUMMYFUNCTION("""COMPUTED_VALUE"""),"BLUE")</f>
        <v>BLUE</v>
      </c>
      <c r="G4610" s="20" t="str">
        <f>IFERROR(__xludf.DUMMYFUNCTION("""COMPUTED_VALUE"""),"Uncle Sams Cider (04/04/2023)")</f>
        <v>Uncle Sams Cider (04/04/2023)</v>
      </c>
      <c r="H4610" s="19"/>
    </row>
    <row r="4611">
      <c r="A4611" s="9"/>
      <c r="B4611" s="15"/>
      <c r="C4611" s="9">
        <f>IFERROR(__xludf.DUMMYFUNCTION("""COMPUTED_VALUE"""),45096.3223885532)</f>
        <v>45096.32239</v>
      </c>
      <c r="D4611" s="15">
        <f>IFERROR(__xludf.DUMMYFUNCTION("""COMPUTED_VALUE"""),1.002)</f>
        <v>1.002</v>
      </c>
      <c r="E4611" s="16">
        <f>IFERROR(__xludf.DUMMYFUNCTION("""COMPUTED_VALUE"""),68.0)</f>
        <v>68</v>
      </c>
      <c r="F4611" s="19" t="str">
        <f>IFERROR(__xludf.DUMMYFUNCTION("""COMPUTED_VALUE"""),"BLUE")</f>
        <v>BLUE</v>
      </c>
      <c r="G4611" s="20" t="str">
        <f>IFERROR(__xludf.DUMMYFUNCTION("""COMPUTED_VALUE"""),"Uncle Sams Cider (04/04/2023)")</f>
        <v>Uncle Sams Cider (04/04/2023)</v>
      </c>
      <c r="H4611" s="19"/>
    </row>
    <row r="4612">
      <c r="A4612" s="9"/>
      <c r="B4612" s="15"/>
      <c r="C4612" s="9">
        <f>IFERROR(__xludf.DUMMYFUNCTION("""COMPUTED_VALUE"""),45096.3119684953)</f>
        <v>45096.31197</v>
      </c>
      <c r="D4612" s="15">
        <f>IFERROR(__xludf.DUMMYFUNCTION("""COMPUTED_VALUE"""),1.002)</f>
        <v>1.002</v>
      </c>
      <c r="E4612" s="16">
        <f>IFERROR(__xludf.DUMMYFUNCTION("""COMPUTED_VALUE"""),68.0)</f>
        <v>68</v>
      </c>
      <c r="F4612" s="19" t="str">
        <f>IFERROR(__xludf.DUMMYFUNCTION("""COMPUTED_VALUE"""),"BLUE")</f>
        <v>BLUE</v>
      </c>
      <c r="G4612" s="20" t="str">
        <f>IFERROR(__xludf.DUMMYFUNCTION("""COMPUTED_VALUE"""),"Uncle Sams Cider (04/04/2023)")</f>
        <v>Uncle Sams Cider (04/04/2023)</v>
      </c>
      <c r="H4612" s="19"/>
    </row>
    <row r="4613">
      <c r="A4613" s="9"/>
      <c r="B4613" s="15"/>
      <c r="C4613" s="9">
        <f>IFERROR(__xludf.DUMMYFUNCTION("""COMPUTED_VALUE"""),45096.3015458564)</f>
        <v>45096.30155</v>
      </c>
      <c r="D4613" s="15">
        <f>IFERROR(__xludf.DUMMYFUNCTION("""COMPUTED_VALUE"""),1.002)</f>
        <v>1.002</v>
      </c>
      <c r="E4613" s="16">
        <f>IFERROR(__xludf.DUMMYFUNCTION("""COMPUTED_VALUE"""),68.0)</f>
        <v>68</v>
      </c>
      <c r="F4613" s="19" t="str">
        <f>IFERROR(__xludf.DUMMYFUNCTION("""COMPUTED_VALUE"""),"BLUE")</f>
        <v>BLUE</v>
      </c>
      <c r="G4613" s="20" t="str">
        <f>IFERROR(__xludf.DUMMYFUNCTION("""COMPUTED_VALUE"""),"Uncle Sams Cider (04/04/2023)")</f>
        <v>Uncle Sams Cider (04/04/2023)</v>
      </c>
      <c r="H4613" s="19"/>
    </row>
    <row r="4614">
      <c r="A4614" s="9"/>
      <c r="B4614" s="15"/>
      <c r="C4614" s="9">
        <f>IFERROR(__xludf.DUMMYFUNCTION("""COMPUTED_VALUE"""),45096.2911243634)</f>
        <v>45096.29112</v>
      </c>
      <c r="D4614" s="15">
        <f>IFERROR(__xludf.DUMMYFUNCTION("""COMPUTED_VALUE"""),1.002)</f>
        <v>1.002</v>
      </c>
      <c r="E4614" s="16">
        <f>IFERROR(__xludf.DUMMYFUNCTION("""COMPUTED_VALUE"""),68.0)</f>
        <v>68</v>
      </c>
      <c r="F4614" s="19" t="str">
        <f>IFERROR(__xludf.DUMMYFUNCTION("""COMPUTED_VALUE"""),"BLUE")</f>
        <v>BLUE</v>
      </c>
      <c r="G4614" s="20" t="str">
        <f>IFERROR(__xludf.DUMMYFUNCTION("""COMPUTED_VALUE"""),"Uncle Sams Cider (04/04/2023)")</f>
        <v>Uncle Sams Cider (04/04/2023)</v>
      </c>
      <c r="H4614" s="19"/>
    </row>
    <row r="4615">
      <c r="A4615" s="9"/>
      <c r="B4615" s="15"/>
      <c r="C4615" s="9">
        <f>IFERROR(__xludf.DUMMYFUNCTION("""COMPUTED_VALUE"""),45096.2807029051)</f>
        <v>45096.2807</v>
      </c>
      <c r="D4615" s="15">
        <f>IFERROR(__xludf.DUMMYFUNCTION("""COMPUTED_VALUE"""),1.002)</f>
        <v>1.002</v>
      </c>
      <c r="E4615" s="16">
        <f>IFERROR(__xludf.DUMMYFUNCTION("""COMPUTED_VALUE"""),68.0)</f>
        <v>68</v>
      </c>
      <c r="F4615" s="19" t="str">
        <f>IFERROR(__xludf.DUMMYFUNCTION("""COMPUTED_VALUE"""),"BLUE")</f>
        <v>BLUE</v>
      </c>
      <c r="G4615" s="20" t="str">
        <f>IFERROR(__xludf.DUMMYFUNCTION("""COMPUTED_VALUE"""),"Uncle Sams Cider (04/04/2023)")</f>
        <v>Uncle Sams Cider (04/04/2023)</v>
      </c>
      <c r="H4615" s="19"/>
    </row>
    <row r="4616">
      <c r="A4616" s="9"/>
      <c r="B4616" s="15"/>
      <c r="C4616" s="9">
        <f>IFERROR(__xludf.DUMMYFUNCTION("""COMPUTED_VALUE"""),45096.2702827546)</f>
        <v>45096.27028</v>
      </c>
      <c r="D4616" s="15">
        <f>IFERROR(__xludf.DUMMYFUNCTION("""COMPUTED_VALUE"""),1.002)</f>
        <v>1.002</v>
      </c>
      <c r="E4616" s="16">
        <f>IFERROR(__xludf.DUMMYFUNCTION("""COMPUTED_VALUE"""),68.0)</f>
        <v>68</v>
      </c>
      <c r="F4616" s="19" t="str">
        <f>IFERROR(__xludf.DUMMYFUNCTION("""COMPUTED_VALUE"""),"BLUE")</f>
        <v>BLUE</v>
      </c>
      <c r="G4616" s="20" t="str">
        <f>IFERROR(__xludf.DUMMYFUNCTION("""COMPUTED_VALUE"""),"Uncle Sams Cider (04/04/2023)")</f>
        <v>Uncle Sams Cider (04/04/2023)</v>
      </c>
      <c r="H4616" s="19"/>
    </row>
    <row r="4617">
      <c r="A4617" s="9"/>
      <c r="B4617" s="15"/>
      <c r="C4617" s="9">
        <f>IFERROR(__xludf.DUMMYFUNCTION("""COMPUTED_VALUE"""),45096.2598484375)</f>
        <v>45096.25985</v>
      </c>
      <c r="D4617" s="15">
        <f>IFERROR(__xludf.DUMMYFUNCTION("""COMPUTED_VALUE"""),1.001)</f>
        <v>1.001</v>
      </c>
      <c r="E4617" s="16">
        <f>IFERROR(__xludf.DUMMYFUNCTION("""COMPUTED_VALUE"""),68.0)</f>
        <v>68</v>
      </c>
      <c r="F4617" s="19" t="str">
        <f>IFERROR(__xludf.DUMMYFUNCTION("""COMPUTED_VALUE"""),"BLUE")</f>
        <v>BLUE</v>
      </c>
      <c r="G4617" s="20" t="str">
        <f>IFERROR(__xludf.DUMMYFUNCTION("""COMPUTED_VALUE"""),"Uncle Sams Cider (04/04/2023)")</f>
        <v>Uncle Sams Cider (04/04/2023)</v>
      </c>
      <c r="H4617" s="19"/>
    </row>
    <row r="4618">
      <c r="A4618" s="9"/>
      <c r="B4618" s="15"/>
      <c r="C4618" s="9">
        <f>IFERROR(__xludf.DUMMYFUNCTION("""COMPUTED_VALUE"""),45096.2494286574)</f>
        <v>45096.24943</v>
      </c>
      <c r="D4618" s="15">
        <f>IFERROR(__xludf.DUMMYFUNCTION("""COMPUTED_VALUE"""),1.002)</f>
        <v>1.002</v>
      </c>
      <c r="E4618" s="16">
        <f>IFERROR(__xludf.DUMMYFUNCTION("""COMPUTED_VALUE"""),68.0)</f>
        <v>68</v>
      </c>
      <c r="F4618" s="19" t="str">
        <f>IFERROR(__xludf.DUMMYFUNCTION("""COMPUTED_VALUE"""),"BLUE")</f>
        <v>BLUE</v>
      </c>
      <c r="G4618" s="20" t="str">
        <f>IFERROR(__xludf.DUMMYFUNCTION("""COMPUTED_VALUE"""),"Uncle Sams Cider (04/04/2023)")</f>
        <v>Uncle Sams Cider (04/04/2023)</v>
      </c>
      <c r="H4618" s="19"/>
    </row>
    <row r="4619">
      <c r="A4619" s="9"/>
      <c r="B4619" s="15"/>
      <c r="C4619" s="9">
        <f>IFERROR(__xludf.DUMMYFUNCTION("""COMPUTED_VALUE"""),45096.2390075694)</f>
        <v>45096.23901</v>
      </c>
      <c r="D4619" s="15">
        <f>IFERROR(__xludf.DUMMYFUNCTION("""COMPUTED_VALUE"""),1.002)</f>
        <v>1.002</v>
      </c>
      <c r="E4619" s="16">
        <f>IFERROR(__xludf.DUMMYFUNCTION("""COMPUTED_VALUE"""),68.0)</f>
        <v>68</v>
      </c>
      <c r="F4619" s="19" t="str">
        <f>IFERROR(__xludf.DUMMYFUNCTION("""COMPUTED_VALUE"""),"BLUE")</f>
        <v>BLUE</v>
      </c>
      <c r="G4619" s="20" t="str">
        <f>IFERROR(__xludf.DUMMYFUNCTION("""COMPUTED_VALUE"""),"Uncle Sams Cider (04/04/2023)")</f>
        <v>Uncle Sams Cider (04/04/2023)</v>
      </c>
      <c r="H4619" s="19"/>
    </row>
    <row r="4620">
      <c r="A4620" s="9"/>
      <c r="B4620" s="15"/>
      <c r="C4620" s="9">
        <f>IFERROR(__xludf.DUMMYFUNCTION("""COMPUTED_VALUE"""),45096.2285636921)</f>
        <v>45096.22856</v>
      </c>
      <c r="D4620" s="15">
        <f>IFERROR(__xludf.DUMMYFUNCTION("""COMPUTED_VALUE"""),1.002)</f>
        <v>1.002</v>
      </c>
      <c r="E4620" s="16">
        <f>IFERROR(__xludf.DUMMYFUNCTION("""COMPUTED_VALUE"""),68.0)</f>
        <v>68</v>
      </c>
      <c r="F4620" s="19" t="str">
        <f>IFERROR(__xludf.DUMMYFUNCTION("""COMPUTED_VALUE"""),"BLUE")</f>
        <v>BLUE</v>
      </c>
      <c r="G4620" s="20" t="str">
        <f>IFERROR(__xludf.DUMMYFUNCTION("""COMPUTED_VALUE"""),"Uncle Sams Cider (04/04/2023)")</f>
        <v>Uncle Sams Cider (04/04/2023)</v>
      </c>
      <c r="H4620" s="19"/>
    </row>
    <row r="4621">
      <c r="A4621" s="9"/>
      <c r="B4621" s="15"/>
      <c r="C4621" s="9">
        <f>IFERROR(__xludf.DUMMYFUNCTION("""COMPUTED_VALUE"""),45096.218140949)</f>
        <v>45096.21814</v>
      </c>
      <c r="D4621" s="15">
        <f>IFERROR(__xludf.DUMMYFUNCTION("""COMPUTED_VALUE"""),1.002)</f>
        <v>1.002</v>
      </c>
      <c r="E4621" s="16">
        <f>IFERROR(__xludf.DUMMYFUNCTION("""COMPUTED_VALUE"""),68.0)</f>
        <v>68</v>
      </c>
      <c r="F4621" s="19" t="str">
        <f>IFERROR(__xludf.DUMMYFUNCTION("""COMPUTED_VALUE"""),"BLUE")</f>
        <v>BLUE</v>
      </c>
      <c r="G4621" s="20" t="str">
        <f>IFERROR(__xludf.DUMMYFUNCTION("""COMPUTED_VALUE"""),"Uncle Sams Cider (04/04/2023)")</f>
        <v>Uncle Sams Cider (04/04/2023)</v>
      </c>
      <c r="H4621" s="19"/>
    </row>
    <row r="4622">
      <c r="A4622" s="9"/>
      <c r="B4622" s="15"/>
      <c r="C4622" s="9">
        <f>IFERROR(__xludf.DUMMYFUNCTION("""COMPUTED_VALUE"""),45096.2077081134)</f>
        <v>45096.20771</v>
      </c>
      <c r="D4622" s="15">
        <f>IFERROR(__xludf.DUMMYFUNCTION("""COMPUTED_VALUE"""),1.002)</f>
        <v>1.002</v>
      </c>
      <c r="E4622" s="16">
        <f>IFERROR(__xludf.DUMMYFUNCTION("""COMPUTED_VALUE"""),68.0)</f>
        <v>68</v>
      </c>
      <c r="F4622" s="19" t="str">
        <f>IFERROR(__xludf.DUMMYFUNCTION("""COMPUTED_VALUE"""),"BLUE")</f>
        <v>BLUE</v>
      </c>
      <c r="G4622" s="20" t="str">
        <f>IFERROR(__xludf.DUMMYFUNCTION("""COMPUTED_VALUE"""),"Uncle Sams Cider (04/04/2023)")</f>
        <v>Uncle Sams Cider (04/04/2023)</v>
      </c>
      <c r="H4622" s="19"/>
    </row>
    <row r="4623">
      <c r="A4623" s="9"/>
      <c r="B4623" s="15"/>
      <c r="C4623" s="9">
        <f>IFERROR(__xludf.DUMMYFUNCTION("""COMPUTED_VALUE"""),45096.1972873148)</f>
        <v>45096.19729</v>
      </c>
      <c r="D4623" s="15">
        <f>IFERROR(__xludf.DUMMYFUNCTION("""COMPUTED_VALUE"""),1.002)</f>
        <v>1.002</v>
      </c>
      <c r="E4623" s="16">
        <f>IFERROR(__xludf.DUMMYFUNCTION("""COMPUTED_VALUE"""),68.0)</f>
        <v>68</v>
      </c>
      <c r="F4623" s="19" t="str">
        <f>IFERROR(__xludf.DUMMYFUNCTION("""COMPUTED_VALUE"""),"BLUE")</f>
        <v>BLUE</v>
      </c>
      <c r="G4623" s="20" t="str">
        <f>IFERROR(__xludf.DUMMYFUNCTION("""COMPUTED_VALUE"""),"Uncle Sams Cider (04/04/2023)")</f>
        <v>Uncle Sams Cider (04/04/2023)</v>
      </c>
      <c r="H4623" s="19"/>
    </row>
    <row r="4624">
      <c r="A4624" s="9"/>
      <c r="B4624" s="15"/>
      <c r="C4624" s="9">
        <f>IFERROR(__xludf.DUMMYFUNCTION("""COMPUTED_VALUE"""),45096.1868660879)</f>
        <v>45096.18687</v>
      </c>
      <c r="D4624" s="15">
        <f>IFERROR(__xludf.DUMMYFUNCTION("""COMPUTED_VALUE"""),1.002)</f>
        <v>1.002</v>
      </c>
      <c r="E4624" s="16">
        <f>IFERROR(__xludf.DUMMYFUNCTION("""COMPUTED_VALUE"""),68.0)</f>
        <v>68</v>
      </c>
      <c r="F4624" s="19" t="str">
        <f>IFERROR(__xludf.DUMMYFUNCTION("""COMPUTED_VALUE"""),"BLUE")</f>
        <v>BLUE</v>
      </c>
      <c r="G4624" s="20" t="str">
        <f>IFERROR(__xludf.DUMMYFUNCTION("""COMPUTED_VALUE"""),"Uncle Sams Cider (04/04/2023)")</f>
        <v>Uncle Sams Cider (04/04/2023)</v>
      </c>
      <c r="H4624" s="19"/>
    </row>
    <row r="4625">
      <c r="A4625" s="9"/>
      <c r="B4625" s="15"/>
      <c r="C4625" s="9">
        <f>IFERROR(__xludf.DUMMYFUNCTION("""COMPUTED_VALUE"""),45096.1764434375)</f>
        <v>45096.17644</v>
      </c>
      <c r="D4625" s="15">
        <f>IFERROR(__xludf.DUMMYFUNCTION("""COMPUTED_VALUE"""),1.002)</f>
        <v>1.002</v>
      </c>
      <c r="E4625" s="16">
        <f>IFERROR(__xludf.DUMMYFUNCTION("""COMPUTED_VALUE"""),68.0)</f>
        <v>68</v>
      </c>
      <c r="F4625" s="19" t="str">
        <f>IFERROR(__xludf.DUMMYFUNCTION("""COMPUTED_VALUE"""),"BLUE")</f>
        <v>BLUE</v>
      </c>
      <c r="G4625" s="20" t="str">
        <f>IFERROR(__xludf.DUMMYFUNCTION("""COMPUTED_VALUE"""),"Uncle Sams Cider (04/04/2023)")</f>
        <v>Uncle Sams Cider (04/04/2023)</v>
      </c>
      <c r="H4625" s="19"/>
    </row>
    <row r="4626">
      <c r="A4626" s="9"/>
      <c r="B4626" s="15"/>
      <c r="C4626" s="9">
        <f>IFERROR(__xludf.DUMMYFUNCTION("""COMPUTED_VALUE"""),45096.1660119791)</f>
        <v>45096.16601</v>
      </c>
      <c r="D4626" s="15">
        <f>IFERROR(__xludf.DUMMYFUNCTION("""COMPUTED_VALUE"""),1.002)</f>
        <v>1.002</v>
      </c>
      <c r="E4626" s="16">
        <f>IFERROR(__xludf.DUMMYFUNCTION("""COMPUTED_VALUE"""),68.0)</f>
        <v>68</v>
      </c>
      <c r="F4626" s="19" t="str">
        <f>IFERROR(__xludf.DUMMYFUNCTION("""COMPUTED_VALUE"""),"BLUE")</f>
        <v>BLUE</v>
      </c>
      <c r="G4626" s="20" t="str">
        <f>IFERROR(__xludf.DUMMYFUNCTION("""COMPUTED_VALUE"""),"Uncle Sams Cider (04/04/2023)")</f>
        <v>Uncle Sams Cider (04/04/2023)</v>
      </c>
      <c r="H4626" s="19"/>
    </row>
    <row r="4627">
      <c r="A4627" s="9"/>
      <c r="B4627" s="15"/>
      <c r="C4627" s="9">
        <f>IFERROR(__xludf.DUMMYFUNCTION("""COMPUTED_VALUE"""),45096.1555909953)</f>
        <v>45096.15559</v>
      </c>
      <c r="D4627" s="15">
        <f>IFERROR(__xludf.DUMMYFUNCTION("""COMPUTED_VALUE"""),1.002)</f>
        <v>1.002</v>
      </c>
      <c r="E4627" s="16">
        <f>IFERROR(__xludf.DUMMYFUNCTION("""COMPUTED_VALUE"""),68.0)</f>
        <v>68</v>
      </c>
      <c r="F4627" s="19" t="str">
        <f>IFERROR(__xludf.DUMMYFUNCTION("""COMPUTED_VALUE"""),"BLUE")</f>
        <v>BLUE</v>
      </c>
      <c r="G4627" s="20" t="str">
        <f>IFERROR(__xludf.DUMMYFUNCTION("""COMPUTED_VALUE"""),"Uncle Sams Cider (04/04/2023)")</f>
        <v>Uncle Sams Cider (04/04/2023)</v>
      </c>
      <c r="H4627" s="19"/>
    </row>
    <row r="4628">
      <c r="A4628" s="9"/>
      <c r="B4628" s="15"/>
      <c r="C4628" s="9">
        <f>IFERROR(__xludf.DUMMYFUNCTION("""COMPUTED_VALUE"""),45096.1451702199)</f>
        <v>45096.14517</v>
      </c>
      <c r="D4628" s="15">
        <f>IFERROR(__xludf.DUMMYFUNCTION("""COMPUTED_VALUE"""),1.002)</f>
        <v>1.002</v>
      </c>
      <c r="E4628" s="16">
        <f>IFERROR(__xludf.DUMMYFUNCTION("""COMPUTED_VALUE"""),68.0)</f>
        <v>68</v>
      </c>
      <c r="F4628" s="19" t="str">
        <f>IFERROR(__xludf.DUMMYFUNCTION("""COMPUTED_VALUE"""),"BLUE")</f>
        <v>BLUE</v>
      </c>
      <c r="G4628" s="20" t="str">
        <f>IFERROR(__xludf.DUMMYFUNCTION("""COMPUTED_VALUE"""),"Uncle Sams Cider (04/04/2023)")</f>
        <v>Uncle Sams Cider (04/04/2023)</v>
      </c>
      <c r="H4628" s="19"/>
    </row>
    <row r="4629">
      <c r="A4629" s="9"/>
      <c r="B4629" s="15"/>
      <c r="C4629" s="9">
        <f>IFERROR(__xludf.DUMMYFUNCTION("""COMPUTED_VALUE"""),45096.1347368634)</f>
        <v>45096.13474</v>
      </c>
      <c r="D4629" s="15">
        <f>IFERROR(__xludf.DUMMYFUNCTION("""COMPUTED_VALUE"""),1.002)</f>
        <v>1.002</v>
      </c>
      <c r="E4629" s="16">
        <f>IFERROR(__xludf.DUMMYFUNCTION("""COMPUTED_VALUE"""),68.0)</f>
        <v>68</v>
      </c>
      <c r="F4629" s="19" t="str">
        <f>IFERROR(__xludf.DUMMYFUNCTION("""COMPUTED_VALUE"""),"BLUE")</f>
        <v>BLUE</v>
      </c>
      <c r="G4629" s="20" t="str">
        <f>IFERROR(__xludf.DUMMYFUNCTION("""COMPUTED_VALUE"""),"Uncle Sams Cider (04/04/2023)")</f>
        <v>Uncle Sams Cider (04/04/2023)</v>
      </c>
      <c r="H4629" s="19"/>
    </row>
    <row r="4630">
      <c r="A4630" s="9"/>
      <c r="B4630" s="15"/>
      <c r="C4630" s="9">
        <f>IFERROR(__xludf.DUMMYFUNCTION("""COMPUTED_VALUE"""),45096.1243178703)</f>
        <v>45096.12432</v>
      </c>
      <c r="D4630" s="15">
        <f>IFERROR(__xludf.DUMMYFUNCTION("""COMPUTED_VALUE"""),1.002)</f>
        <v>1.002</v>
      </c>
      <c r="E4630" s="16">
        <f>IFERROR(__xludf.DUMMYFUNCTION("""COMPUTED_VALUE"""),68.0)</f>
        <v>68</v>
      </c>
      <c r="F4630" s="19" t="str">
        <f>IFERROR(__xludf.DUMMYFUNCTION("""COMPUTED_VALUE"""),"BLUE")</f>
        <v>BLUE</v>
      </c>
      <c r="G4630" s="20" t="str">
        <f>IFERROR(__xludf.DUMMYFUNCTION("""COMPUTED_VALUE"""),"Uncle Sams Cider (04/04/2023)")</f>
        <v>Uncle Sams Cider (04/04/2023)</v>
      </c>
      <c r="H4630" s="19"/>
    </row>
    <row r="4631">
      <c r="A4631" s="9"/>
      <c r="B4631" s="15"/>
      <c r="C4631" s="9">
        <f>IFERROR(__xludf.DUMMYFUNCTION("""COMPUTED_VALUE"""),45096.1138959143)</f>
        <v>45096.1139</v>
      </c>
      <c r="D4631" s="15">
        <f>IFERROR(__xludf.DUMMYFUNCTION("""COMPUTED_VALUE"""),1.001)</f>
        <v>1.001</v>
      </c>
      <c r="E4631" s="16">
        <f>IFERROR(__xludf.DUMMYFUNCTION("""COMPUTED_VALUE"""),68.0)</f>
        <v>68</v>
      </c>
      <c r="F4631" s="19" t="str">
        <f>IFERROR(__xludf.DUMMYFUNCTION("""COMPUTED_VALUE"""),"BLUE")</f>
        <v>BLUE</v>
      </c>
      <c r="G4631" s="20" t="str">
        <f>IFERROR(__xludf.DUMMYFUNCTION("""COMPUTED_VALUE"""),"Uncle Sams Cider (04/04/2023)")</f>
        <v>Uncle Sams Cider (04/04/2023)</v>
      </c>
      <c r="H4631" s="19"/>
    </row>
    <row r="4632">
      <c r="A4632" s="9"/>
      <c r="B4632" s="15"/>
      <c r="C4632" s="9">
        <f>IFERROR(__xludf.DUMMYFUNCTION("""COMPUTED_VALUE"""),45096.1034761805)</f>
        <v>45096.10348</v>
      </c>
      <c r="D4632" s="15">
        <f>IFERROR(__xludf.DUMMYFUNCTION("""COMPUTED_VALUE"""),1.002)</f>
        <v>1.002</v>
      </c>
      <c r="E4632" s="16">
        <f>IFERROR(__xludf.DUMMYFUNCTION("""COMPUTED_VALUE"""),68.0)</f>
        <v>68</v>
      </c>
      <c r="F4632" s="19" t="str">
        <f>IFERROR(__xludf.DUMMYFUNCTION("""COMPUTED_VALUE"""),"BLUE")</f>
        <v>BLUE</v>
      </c>
      <c r="G4632" s="20" t="str">
        <f>IFERROR(__xludf.DUMMYFUNCTION("""COMPUTED_VALUE"""),"Uncle Sams Cider (04/04/2023)")</f>
        <v>Uncle Sams Cider (04/04/2023)</v>
      </c>
      <c r="H4632" s="19"/>
    </row>
    <row r="4633">
      <c r="A4633" s="9"/>
      <c r="B4633" s="15"/>
      <c r="C4633" s="9">
        <f>IFERROR(__xludf.DUMMYFUNCTION("""COMPUTED_VALUE"""),45096.0930553703)</f>
        <v>45096.09306</v>
      </c>
      <c r="D4633" s="15">
        <f>IFERROR(__xludf.DUMMYFUNCTION("""COMPUTED_VALUE"""),1.002)</f>
        <v>1.002</v>
      </c>
      <c r="E4633" s="16">
        <f>IFERROR(__xludf.DUMMYFUNCTION("""COMPUTED_VALUE"""),68.0)</f>
        <v>68</v>
      </c>
      <c r="F4633" s="19" t="str">
        <f>IFERROR(__xludf.DUMMYFUNCTION("""COMPUTED_VALUE"""),"BLUE")</f>
        <v>BLUE</v>
      </c>
      <c r="G4633" s="20" t="str">
        <f>IFERROR(__xludf.DUMMYFUNCTION("""COMPUTED_VALUE"""),"Uncle Sams Cider (04/04/2023)")</f>
        <v>Uncle Sams Cider (04/04/2023)</v>
      </c>
      <c r="H4633" s="19"/>
    </row>
    <row r="4634">
      <c r="A4634" s="9"/>
      <c r="B4634" s="15"/>
      <c r="C4634" s="9">
        <f>IFERROR(__xludf.DUMMYFUNCTION("""COMPUTED_VALUE"""),45096.082634456)</f>
        <v>45096.08263</v>
      </c>
      <c r="D4634" s="15">
        <f>IFERROR(__xludf.DUMMYFUNCTION("""COMPUTED_VALUE"""),1.002)</f>
        <v>1.002</v>
      </c>
      <c r="E4634" s="16">
        <f>IFERROR(__xludf.DUMMYFUNCTION("""COMPUTED_VALUE"""),68.0)</f>
        <v>68</v>
      </c>
      <c r="F4634" s="19" t="str">
        <f>IFERROR(__xludf.DUMMYFUNCTION("""COMPUTED_VALUE"""),"BLUE")</f>
        <v>BLUE</v>
      </c>
      <c r="G4634" s="20" t="str">
        <f>IFERROR(__xludf.DUMMYFUNCTION("""COMPUTED_VALUE"""),"Uncle Sams Cider (04/04/2023)")</f>
        <v>Uncle Sams Cider (04/04/2023)</v>
      </c>
      <c r="H4634" s="19"/>
    </row>
    <row r="4635">
      <c r="A4635" s="9"/>
      <c r="B4635" s="15"/>
      <c r="C4635" s="9">
        <f>IFERROR(__xludf.DUMMYFUNCTION("""COMPUTED_VALUE"""),45096.0722119676)</f>
        <v>45096.07221</v>
      </c>
      <c r="D4635" s="15">
        <f>IFERROR(__xludf.DUMMYFUNCTION("""COMPUTED_VALUE"""),1.002)</f>
        <v>1.002</v>
      </c>
      <c r="E4635" s="16">
        <f>IFERROR(__xludf.DUMMYFUNCTION("""COMPUTED_VALUE"""),68.0)</f>
        <v>68</v>
      </c>
      <c r="F4635" s="19" t="str">
        <f>IFERROR(__xludf.DUMMYFUNCTION("""COMPUTED_VALUE"""),"BLUE")</f>
        <v>BLUE</v>
      </c>
      <c r="G4635" s="20" t="str">
        <f>IFERROR(__xludf.DUMMYFUNCTION("""COMPUTED_VALUE"""),"Uncle Sams Cider (04/04/2023)")</f>
        <v>Uncle Sams Cider (04/04/2023)</v>
      </c>
      <c r="H4635" s="19"/>
    </row>
    <row r="4636">
      <c r="A4636" s="9"/>
      <c r="B4636" s="15"/>
      <c r="C4636" s="9">
        <f>IFERROR(__xludf.DUMMYFUNCTION("""COMPUTED_VALUE"""),45096.0617899884)</f>
        <v>45096.06179</v>
      </c>
      <c r="D4636" s="15">
        <f>IFERROR(__xludf.DUMMYFUNCTION("""COMPUTED_VALUE"""),1.002)</f>
        <v>1.002</v>
      </c>
      <c r="E4636" s="16">
        <f>IFERROR(__xludf.DUMMYFUNCTION("""COMPUTED_VALUE"""),68.0)</f>
        <v>68</v>
      </c>
      <c r="F4636" s="19" t="str">
        <f>IFERROR(__xludf.DUMMYFUNCTION("""COMPUTED_VALUE"""),"BLUE")</f>
        <v>BLUE</v>
      </c>
      <c r="G4636" s="20" t="str">
        <f>IFERROR(__xludf.DUMMYFUNCTION("""COMPUTED_VALUE"""),"Uncle Sams Cider (04/04/2023)")</f>
        <v>Uncle Sams Cider (04/04/2023)</v>
      </c>
      <c r="H4636" s="19"/>
    </row>
    <row r="4637">
      <c r="A4637" s="9"/>
      <c r="B4637" s="15"/>
      <c r="C4637" s="9">
        <f>IFERROR(__xludf.DUMMYFUNCTION("""COMPUTED_VALUE"""),45096.0513686458)</f>
        <v>45096.05137</v>
      </c>
      <c r="D4637" s="15">
        <f>IFERROR(__xludf.DUMMYFUNCTION("""COMPUTED_VALUE"""),1.002)</f>
        <v>1.002</v>
      </c>
      <c r="E4637" s="16">
        <f>IFERROR(__xludf.DUMMYFUNCTION("""COMPUTED_VALUE"""),68.0)</f>
        <v>68</v>
      </c>
      <c r="F4637" s="19" t="str">
        <f>IFERROR(__xludf.DUMMYFUNCTION("""COMPUTED_VALUE"""),"BLUE")</f>
        <v>BLUE</v>
      </c>
      <c r="G4637" s="20" t="str">
        <f>IFERROR(__xludf.DUMMYFUNCTION("""COMPUTED_VALUE"""),"Uncle Sams Cider (04/04/2023)")</f>
        <v>Uncle Sams Cider (04/04/2023)</v>
      </c>
      <c r="H4637" s="19"/>
    </row>
    <row r="4638">
      <c r="A4638" s="9"/>
      <c r="B4638" s="15"/>
      <c r="C4638" s="9">
        <f>IFERROR(__xludf.DUMMYFUNCTION("""COMPUTED_VALUE"""),45096.0409476273)</f>
        <v>45096.04095</v>
      </c>
      <c r="D4638" s="15">
        <f>IFERROR(__xludf.DUMMYFUNCTION("""COMPUTED_VALUE"""),1.002)</f>
        <v>1.002</v>
      </c>
      <c r="E4638" s="16">
        <f>IFERROR(__xludf.DUMMYFUNCTION("""COMPUTED_VALUE"""),68.0)</f>
        <v>68</v>
      </c>
      <c r="F4638" s="19" t="str">
        <f>IFERROR(__xludf.DUMMYFUNCTION("""COMPUTED_VALUE"""),"BLUE")</f>
        <v>BLUE</v>
      </c>
      <c r="G4638" s="20" t="str">
        <f>IFERROR(__xludf.DUMMYFUNCTION("""COMPUTED_VALUE"""),"Uncle Sams Cider (04/04/2023)")</f>
        <v>Uncle Sams Cider (04/04/2023)</v>
      </c>
      <c r="H4638" s="19"/>
    </row>
    <row r="4639">
      <c r="A4639" s="9"/>
      <c r="B4639" s="15"/>
      <c r="C4639" s="9">
        <f>IFERROR(__xludf.DUMMYFUNCTION("""COMPUTED_VALUE"""),45096.0305135069)</f>
        <v>45096.03051</v>
      </c>
      <c r="D4639" s="15">
        <f>IFERROR(__xludf.DUMMYFUNCTION("""COMPUTED_VALUE"""),1.002)</f>
        <v>1.002</v>
      </c>
      <c r="E4639" s="16">
        <f>IFERROR(__xludf.DUMMYFUNCTION("""COMPUTED_VALUE"""),68.0)</f>
        <v>68</v>
      </c>
      <c r="F4639" s="19" t="str">
        <f>IFERROR(__xludf.DUMMYFUNCTION("""COMPUTED_VALUE"""),"BLUE")</f>
        <v>BLUE</v>
      </c>
      <c r="G4639" s="20" t="str">
        <f>IFERROR(__xludf.DUMMYFUNCTION("""COMPUTED_VALUE"""),"Uncle Sams Cider (04/04/2023)")</f>
        <v>Uncle Sams Cider (04/04/2023)</v>
      </c>
      <c r="H4639" s="19"/>
    </row>
    <row r="4640">
      <c r="A4640" s="9"/>
      <c r="B4640" s="15"/>
      <c r="C4640" s="9">
        <f>IFERROR(__xludf.DUMMYFUNCTION("""COMPUTED_VALUE"""),45096.02009353)</f>
        <v>45096.02009</v>
      </c>
      <c r="D4640" s="15">
        <f>IFERROR(__xludf.DUMMYFUNCTION("""COMPUTED_VALUE"""),1.002)</f>
        <v>1.002</v>
      </c>
      <c r="E4640" s="16">
        <f>IFERROR(__xludf.DUMMYFUNCTION("""COMPUTED_VALUE"""),68.0)</f>
        <v>68</v>
      </c>
      <c r="F4640" s="19" t="str">
        <f>IFERROR(__xludf.DUMMYFUNCTION("""COMPUTED_VALUE"""),"BLUE")</f>
        <v>BLUE</v>
      </c>
      <c r="G4640" s="20" t="str">
        <f>IFERROR(__xludf.DUMMYFUNCTION("""COMPUTED_VALUE"""),"Uncle Sams Cider (04/04/2023)")</f>
        <v>Uncle Sams Cider (04/04/2023)</v>
      </c>
      <c r="H4640" s="19"/>
    </row>
    <row r="4641">
      <c r="A4641" s="9"/>
      <c r="B4641" s="15"/>
      <c r="C4641" s="9">
        <f>IFERROR(__xludf.DUMMYFUNCTION("""COMPUTED_VALUE"""),45096.0096725115)</f>
        <v>45096.00967</v>
      </c>
      <c r="D4641" s="15">
        <f>IFERROR(__xludf.DUMMYFUNCTION("""COMPUTED_VALUE"""),1.002)</f>
        <v>1.002</v>
      </c>
      <c r="E4641" s="16">
        <f>IFERROR(__xludf.DUMMYFUNCTION("""COMPUTED_VALUE"""),68.0)</f>
        <v>68</v>
      </c>
      <c r="F4641" s="19" t="str">
        <f>IFERROR(__xludf.DUMMYFUNCTION("""COMPUTED_VALUE"""),"BLUE")</f>
        <v>BLUE</v>
      </c>
      <c r="G4641" s="20" t="str">
        <f>IFERROR(__xludf.DUMMYFUNCTION("""COMPUTED_VALUE"""),"Uncle Sams Cider (04/04/2023)")</f>
        <v>Uncle Sams Cider (04/04/2023)</v>
      </c>
      <c r="H4641" s="19"/>
    </row>
    <row r="4642">
      <c r="A4642" s="9"/>
      <c r="B4642" s="15"/>
      <c r="C4642" s="9">
        <f>IFERROR(__xludf.DUMMYFUNCTION("""COMPUTED_VALUE"""),45095.9992520717)</f>
        <v>45095.99925</v>
      </c>
      <c r="D4642" s="15">
        <f>IFERROR(__xludf.DUMMYFUNCTION("""COMPUTED_VALUE"""),1.002)</f>
        <v>1.002</v>
      </c>
      <c r="E4642" s="16">
        <f>IFERROR(__xludf.DUMMYFUNCTION("""COMPUTED_VALUE"""),68.0)</f>
        <v>68</v>
      </c>
      <c r="F4642" s="19" t="str">
        <f>IFERROR(__xludf.DUMMYFUNCTION("""COMPUTED_VALUE"""),"BLUE")</f>
        <v>BLUE</v>
      </c>
      <c r="G4642" s="20" t="str">
        <f>IFERROR(__xludf.DUMMYFUNCTION("""COMPUTED_VALUE"""),"Uncle Sams Cider (04/04/2023)")</f>
        <v>Uncle Sams Cider (04/04/2023)</v>
      </c>
      <c r="H4642" s="19"/>
    </row>
    <row r="4643">
      <c r="A4643" s="9"/>
      <c r="B4643" s="15"/>
      <c r="C4643" s="9">
        <f>IFERROR(__xludf.DUMMYFUNCTION("""COMPUTED_VALUE"""),45095.9888199074)</f>
        <v>45095.98882</v>
      </c>
      <c r="D4643" s="15">
        <f>IFERROR(__xludf.DUMMYFUNCTION("""COMPUTED_VALUE"""),1.002)</f>
        <v>1.002</v>
      </c>
      <c r="E4643" s="16">
        <f>IFERROR(__xludf.DUMMYFUNCTION("""COMPUTED_VALUE"""),68.0)</f>
        <v>68</v>
      </c>
      <c r="F4643" s="19" t="str">
        <f>IFERROR(__xludf.DUMMYFUNCTION("""COMPUTED_VALUE"""),"BLUE")</f>
        <v>BLUE</v>
      </c>
      <c r="G4643" s="20" t="str">
        <f>IFERROR(__xludf.DUMMYFUNCTION("""COMPUTED_VALUE"""),"Uncle Sams Cider (04/04/2023)")</f>
        <v>Uncle Sams Cider (04/04/2023)</v>
      </c>
      <c r="H4643" s="19"/>
    </row>
    <row r="4644">
      <c r="A4644" s="9"/>
      <c r="B4644" s="15"/>
      <c r="C4644" s="9">
        <f>IFERROR(__xludf.DUMMYFUNCTION("""COMPUTED_VALUE"""),45095.9783981597)</f>
        <v>45095.9784</v>
      </c>
      <c r="D4644" s="15">
        <f>IFERROR(__xludf.DUMMYFUNCTION("""COMPUTED_VALUE"""),1.002)</f>
        <v>1.002</v>
      </c>
      <c r="E4644" s="16">
        <f>IFERROR(__xludf.DUMMYFUNCTION("""COMPUTED_VALUE"""),68.0)</f>
        <v>68</v>
      </c>
      <c r="F4644" s="19" t="str">
        <f>IFERROR(__xludf.DUMMYFUNCTION("""COMPUTED_VALUE"""),"BLUE")</f>
        <v>BLUE</v>
      </c>
      <c r="G4644" s="20" t="str">
        <f>IFERROR(__xludf.DUMMYFUNCTION("""COMPUTED_VALUE"""),"Uncle Sams Cider (04/04/2023)")</f>
        <v>Uncle Sams Cider (04/04/2023)</v>
      </c>
      <c r="H4644" s="19"/>
    </row>
    <row r="4645">
      <c r="A4645" s="9"/>
      <c r="B4645" s="15"/>
      <c r="C4645" s="9">
        <f>IFERROR(__xludf.DUMMYFUNCTION("""COMPUTED_VALUE"""),45095.9679746759)</f>
        <v>45095.96797</v>
      </c>
      <c r="D4645" s="15">
        <f>IFERROR(__xludf.DUMMYFUNCTION("""COMPUTED_VALUE"""),1.002)</f>
        <v>1.002</v>
      </c>
      <c r="E4645" s="16">
        <f>IFERROR(__xludf.DUMMYFUNCTION("""COMPUTED_VALUE"""),68.0)</f>
        <v>68</v>
      </c>
      <c r="F4645" s="19" t="str">
        <f>IFERROR(__xludf.DUMMYFUNCTION("""COMPUTED_VALUE"""),"BLUE")</f>
        <v>BLUE</v>
      </c>
      <c r="G4645" s="20" t="str">
        <f>IFERROR(__xludf.DUMMYFUNCTION("""COMPUTED_VALUE"""),"Uncle Sams Cider (04/04/2023)")</f>
        <v>Uncle Sams Cider (04/04/2023)</v>
      </c>
      <c r="H4645" s="19"/>
    </row>
    <row r="4646">
      <c r="A4646" s="9"/>
      <c r="B4646" s="15"/>
      <c r="C4646" s="9">
        <f>IFERROR(__xludf.DUMMYFUNCTION("""COMPUTED_VALUE"""),45095.9575515162)</f>
        <v>45095.95755</v>
      </c>
      <c r="D4646" s="15">
        <f>IFERROR(__xludf.DUMMYFUNCTION("""COMPUTED_VALUE"""),1.002)</f>
        <v>1.002</v>
      </c>
      <c r="E4646" s="16">
        <f>IFERROR(__xludf.DUMMYFUNCTION("""COMPUTED_VALUE"""),68.0)</f>
        <v>68</v>
      </c>
      <c r="F4646" s="19" t="str">
        <f>IFERROR(__xludf.DUMMYFUNCTION("""COMPUTED_VALUE"""),"BLUE")</f>
        <v>BLUE</v>
      </c>
      <c r="G4646" s="20" t="str">
        <f>IFERROR(__xludf.DUMMYFUNCTION("""COMPUTED_VALUE"""),"Uncle Sams Cider (04/04/2023)")</f>
        <v>Uncle Sams Cider (04/04/2023)</v>
      </c>
      <c r="H4646" s="19"/>
    </row>
    <row r="4647">
      <c r="A4647" s="9"/>
      <c r="B4647" s="15"/>
      <c r="C4647" s="9">
        <f>IFERROR(__xludf.DUMMYFUNCTION("""COMPUTED_VALUE"""),45095.9471086342)</f>
        <v>45095.94711</v>
      </c>
      <c r="D4647" s="15">
        <f>IFERROR(__xludf.DUMMYFUNCTION("""COMPUTED_VALUE"""),1.002)</f>
        <v>1.002</v>
      </c>
      <c r="E4647" s="16">
        <f>IFERROR(__xludf.DUMMYFUNCTION("""COMPUTED_VALUE"""),68.0)</f>
        <v>68</v>
      </c>
      <c r="F4647" s="19" t="str">
        <f>IFERROR(__xludf.DUMMYFUNCTION("""COMPUTED_VALUE"""),"BLUE")</f>
        <v>BLUE</v>
      </c>
      <c r="G4647" s="20" t="str">
        <f>IFERROR(__xludf.DUMMYFUNCTION("""COMPUTED_VALUE"""),"Uncle Sams Cider (04/04/2023)")</f>
        <v>Uncle Sams Cider (04/04/2023)</v>
      </c>
      <c r="H4647" s="19"/>
    </row>
    <row r="4648">
      <c r="A4648" s="9"/>
      <c r="B4648" s="15"/>
      <c r="C4648" s="9">
        <f>IFERROR(__xludf.DUMMYFUNCTION("""COMPUTED_VALUE"""),45095.9366884259)</f>
        <v>45095.93669</v>
      </c>
      <c r="D4648" s="15">
        <f>IFERROR(__xludf.DUMMYFUNCTION("""COMPUTED_VALUE"""),1.002)</f>
        <v>1.002</v>
      </c>
      <c r="E4648" s="16">
        <f>IFERROR(__xludf.DUMMYFUNCTION("""COMPUTED_VALUE"""),68.0)</f>
        <v>68</v>
      </c>
      <c r="F4648" s="19" t="str">
        <f>IFERROR(__xludf.DUMMYFUNCTION("""COMPUTED_VALUE"""),"BLUE")</f>
        <v>BLUE</v>
      </c>
      <c r="G4648" s="20" t="str">
        <f>IFERROR(__xludf.DUMMYFUNCTION("""COMPUTED_VALUE"""),"Uncle Sams Cider (04/04/2023)")</f>
        <v>Uncle Sams Cider (04/04/2023)</v>
      </c>
      <c r="H4648" s="19"/>
    </row>
    <row r="4649">
      <c r="A4649" s="9"/>
      <c r="B4649" s="15"/>
      <c r="C4649" s="9">
        <f>IFERROR(__xludf.DUMMYFUNCTION("""COMPUTED_VALUE"""),45095.9262679513)</f>
        <v>45095.92627</v>
      </c>
      <c r="D4649" s="15">
        <f>IFERROR(__xludf.DUMMYFUNCTION("""COMPUTED_VALUE"""),1.002)</f>
        <v>1.002</v>
      </c>
      <c r="E4649" s="16">
        <f>IFERROR(__xludf.DUMMYFUNCTION("""COMPUTED_VALUE"""),68.0)</f>
        <v>68</v>
      </c>
      <c r="F4649" s="19" t="str">
        <f>IFERROR(__xludf.DUMMYFUNCTION("""COMPUTED_VALUE"""),"BLUE")</f>
        <v>BLUE</v>
      </c>
      <c r="G4649" s="20" t="str">
        <f>IFERROR(__xludf.DUMMYFUNCTION("""COMPUTED_VALUE"""),"Uncle Sams Cider (04/04/2023)")</f>
        <v>Uncle Sams Cider (04/04/2023)</v>
      </c>
      <c r="H4649" s="19"/>
    </row>
    <row r="4650">
      <c r="A4650" s="9"/>
      <c r="B4650" s="15"/>
      <c r="C4650" s="9">
        <f>IFERROR(__xludf.DUMMYFUNCTION("""COMPUTED_VALUE"""),45095.9158481713)</f>
        <v>45095.91585</v>
      </c>
      <c r="D4650" s="15">
        <f>IFERROR(__xludf.DUMMYFUNCTION("""COMPUTED_VALUE"""),1.002)</f>
        <v>1.002</v>
      </c>
      <c r="E4650" s="16">
        <f>IFERROR(__xludf.DUMMYFUNCTION("""COMPUTED_VALUE"""),68.0)</f>
        <v>68</v>
      </c>
      <c r="F4650" s="19" t="str">
        <f>IFERROR(__xludf.DUMMYFUNCTION("""COMPUTED_VALUE"""),"BLUE")</f>
        <v>BLUE</v>
      </c>
      <c r="G4650" s="20" t="str">
        <f>IFERROR(__xludf.DUMMYFUNCTION("""COMPUTED_VALUE"""),"Uncle Sams Cider (04/04/2023)")</f>
        <v>Uncle Sams Cider (04/04/2023)</v>
      </c>
      <c r="H4650" s="19"/>
    </row>
    <row r="4651">
      <c r="A4651" s="9"/>
      <c r="B4651" s="15"/>
      <c r="C4651" s="9">
        <f>IFERROR(__xludf.DUMMYFUNCTION("""COMPUTED_VALUE"""),45095.9054034606)</f>
        <v>45095.9054</v>
      </c>
      <c r="D4651" s="15">
        <f>IFERROR(__xludf.DUMMYFUNCTION("""COMPUTED_VALUE"""),1.002)</f>
        <v>1.002</v>
      </c>
      <c r="E4651" s="16">
        <f>IFERROR(__xludf.DUMMYFUNCTION("""COMPUTED_VALUE"""),68.0)</f>
        <v>68</v>
      </c>
      <c r="F4651" s="19" t="str">
        <f>IFERROR(__xludf.DUMMYFUNCTION("""COMPUTED_VALUE"""),"BLUE")</f>
        <v>BLUE</v>
      </c>
      <c r="G4651" s="20" t="str">
        <f>IFERROR(__xludf.DUMMYFUNCTION("""COMPUTED_VALUE"""),"Uncle Sams Cider (04/04/2023)")</f>
        <v>Uncle Sams Cider (04/04/2023)</v>
      </c>
      <c r="H4651" s="19"/>
    </row>
    <row r="4652">
      <c r="A4652" s="9"/>
      <c r="B4652" s="15"/>
      <c r="C4652" s="9">
        <f>IFERROR(__xludf.DUMMYFUNCTION("""COMPUTED_VALUE"""),45095.8949835879)</f>
        <v>45095.89498</v>
      </c>
      <c r="D4652" s="15">
        <f>IFERROR(__xludf.DUMMYFUNCTION("""COMPUTED_VALUE"""),1.002)</f>
        <v>1.002</v>
      </c>
      <c r="E4652" s="16">
        <f>IFERROR(__xludf.DUMMYFUNCTION("""COMPUTED_VALUE"""),68.0)</f>
        <v>68</v>
      </c>
      <c r="F4652" s="19" t="str">
        <f>IFERROR(__xludf.DUMMYFUNCTION("""COMPUTED_VALUE"""),"BLUE")</f>
        <v>BLUE</v>
      </c>
      <c r="G4652" s="20" t="str">
        <f>IFERROR(__xludf.DUMMYFUNCTION("""COMPUTED_VALUE"""),"Uncle Sams Cider (04/04/2023)")</f>
        <v>Uncle Sams Cider (04/04/2023)</v>
      </c>
      <c r="H4652" s="19"/>
    </row>
    <row r="4653">
      <c r="A4653" s="9"/>
      <c r="B4653" s="15"/>
      <c r="C4653" s="9">
        <f>IFERROR(__xludf.DUMMYFUNCTION("""COMPUTED_VALUE"""),45095.8845644676)</f>
        <v>45095.88456</v>
      </c>
      <c r="D4653" s="15">
        <f>IFERROR(__xludf.DUMMYFUNCTION("""COMPUTED_VALUE"""),1.001)</f>
        <v>1.001</v>
      </c>
      <c r="E4653" s="16">
        <f>IFERROR(__xludf.DUMMYFUNCTION("""COMPUTED_VALUE"""),68.0)</f>
        <v>68</v>
      </c>
      <c r="F4653" s="19" t="str">
        <f>IFERROR(__xludf.DUMMYFUNCTION("""COMPUTED_VALUE"""),"BLUE")</f>
        <v>BLUE</v>
      </c>
      <c r="G4653" s="20" t="str">
        <f>IFERROR(__xludf.DUMMYFUNCTION("""COMPUTED_VALUE"""),"Uncle Sams Cider (04/04/2023)")</f>
        <v>Uncle Sams Cider (04/04/2023)</v>
      </c>
      <c r="H4653" s="19"/>
    </row>
    <row r="4654">
      <c r="A4654" s="9"/>
      <c r="B4654" s="15"/>
      <c r="C4654" s="9">
        <f>IFERROR(__xludf.DUMMYFUNCTION("""COMPUTED_VALUE"""),45095.8741320833)</f>
        <v>45095.87413</v>
      </c>
      <c r="D4654" s="15">
        <f>IFERROR(__xludf.DUMMYFUNCTION("""COMPUTED_VALUE"""),1.002)</f>
        <v>1.002</v>
      </c>
      <c r="E4654" s="16">
        <f>IFERROR(__xludf.DUMMYFUNCTION("""COMPUTED_VALUE"""),68.0)</f>
        <v>68</v>
      </c>
      <c r="F4654" s="19" t="str">
        <f>IFERROR(__xludf.DUMMYFUNCTION("""COMPUTED_VALUE"""),"BLUE")</f>
        <v>BLUE</v>
      </c>
      <c r="G4654" s="20" t="str">
        <f>IFERROR(__xludf.DUMMYFUNCTION("""COMPUTED_VALUE"""),"Uncle Sams Cider (04/04/2023)")</f>
        <v>Uncle Sams Cider (04/04/2023)</v>
      </c>
      <c r="H4654" s="19"/>
    </row>
    <row r="4655">
      <c r="A4655" s="9"/>
      <c r="B4655" s="15"/>
      <c r="C4655" s="9">
        <f>IFERROR(__xludf.DUMMYFUNCTION("""COMPUTED_VALUE"""),45095.8636519097)</f>
        <v>45095.86365</v>
      </c>
      <c r="D4655" s="15">
        <f>IFERROR(__xludf.DUMMYFUNCTION("""COMPUTED_VALUE"""),1.002)</f>
        <v>1.002</v>
      </c>
      <c r="E4655" s="16">
        <f>IFERROR(__xludf.DUMMYFUNCTION("""COMPUTED_VALUE"""),68.0)</f>
        <v>68</v>
      </c>
      <c r="F4655" s="19" t="str">
        <f>IFERROR(__xludf.DUMMYFUNCTION("""COMPUTED_VALUE"""),"BLUE")</f>
        <v>BLUE</v>
      </c>
      <c r="G4655" s="20" t="str">
        <f>IFERROR(__xludf.DUMMYFUNCTION("""COMPUTED_VALUE"""),"Uncle Sams Cider (04/04/2023)")</f>
        <v>Uncle Sams Cider (04/04/2023)</v>
      </c>
      <c r="H4655" s="19"/>
    </row>
    <row r="4656">
      <c r="A4656" s="9"/>
      <c r="B4656" s="15"/>
      <c r="C4656" s="9">
        <f>IFERROR(__xludf.DUMMYFUNCTION("""COMPUTED_VALUE"""),45095.8532304861)</f>
        <v>45095.85323</v>
      </c>
      <c r="D4656" s="15">
        <f>IFERROR(__xludf.DUMMYFUNCTION("""COMPUTED_VALUE"""),1.002)</f>
        <v>1.002</v>
      </c>
      <c r="E4656" s="16">
        <f>IFERROR(__xludf.DUMMYFUNCTION("""COMPUTED_VALUE"""),68.0)</f>
        <v>68</v>
      </c>
      <c r="F4656" s="19" t="str">
        <f>IFERROR(__xludf.DUMMYFUNCTION("""COMPUTED_VALUE"""),"BLUE")</f>
        <v>BLUE</v>
      </c>
      <c r="G4656" s="20" t="str">
        <f>IFERROR(__xludf.DUMMYFUNCTION("""COMPUTED_VALUE"""),"Uncle Sams Cider (04/04/2023)")</f>
        <v>Uncle Sams Cider (04/04/2023)</v>
      </c>
      <c r="H4656" s="19"/>
    </row>
    <row r="4657">
      <c r="A4657" s="9"/>
      <c r="B4657" s="15"/>
      <c r="C4657" s="9">
        <f>IFERROR(__xludf.DUMMYFUNCTION("""COMPUTED_VALUE"""),45095.8428108912)</f>
        <v>45095.84281</v>
      </c>
      <c r="D4657" s="15">
        <f>IFERROR(__xludf.DUMMYFUNCTION("""COMPUTED_VALUE"""),1.002)</f>
        <v>1.002</v>
      </c>
      <c r="E4657" s="16">
        <f>IFERROR(__xludf.DUMMYFUNCTION("""COMPUTED_VALUE"""),68.0)</f>
        <v>68</v>
      </c>
      <c r="F4657" s="19" t="str">
        <f>IFERROR(__xludf.DUMMYFUNCTION("""COMPUTED_VALUE"""),"BLUE")</f>
        <v>BLUE</v>
      </c>
      <c r="G4657" s="20" t="str">
        <f>IFERROR(__xludf.DUMMYFUNCTION("""COMPUTED_VALUE"""),"Uncle Sams Cider (04/04/2023)")</f>
        <v>Uncle Sams Cider (04/04/2023)</v>
      </c>
      <c r="H4657" s="19"/>
    </row>
    <row r="4658">
      <c r="A4658" s="9"/>
      <c r="B4658" s="15"/>
      <c r="C4658" s="9">
        <f>IFERROR(__xludf.DUMMYFUNCTION("""COMPUTED_VALUE"""),45095.8219700463)</f>
        <v>45095.82197</v>
      </c>
      <c r="D4658" s="15">
        <f>IFERROR(__xludf.DUMMYFUNCTION("""COMPUTED_VALUE"""),1.002)</f>
        <v>1.002</v>
      </c>
      <c r="E4658" s="16">
        <f>IFERROR(__xludf.DUMMYFUNCTION("""COMPUTED_VALUE"""),68.0)</f>
        <v>68</v>
      </c>
      <c r="F4658" s="19" t="str">
        <f>IFERROR(__xludf.DUMMYFUNCTION("""COMPUTED_VALUE"""),"BLUE")</f>
        <v>BLUE</v>
      </c>
      <c r="G4658" s="20" t="str">
        <f>IFERROR(__xludf.DUMMYFUNCTION("""COMPUTED_VALUE"""),"Uncle Sams Cider (04/04/2023)")</f>
        <v>Uncle Sams Cider (04/04/2023)</v>
      </c>
      <c r="H4658" s="19"/>
    </row>
    <row r="4659">
      <c r="A4659" s="9"/>
      <c r="B4659" s="15"/>
      <c r="C4659" s="9">
        <f>IFERROR(__xludf.DUMMYFUNCTION("""COMPUTED_VALUE"""),45095.8115380787)</f>
        <v>45095.81154</v>
      </c>
      <c r="D4659" s="15">
        <f>IFERROR(__xludf.DUMMYFUNCTION("""COMPUTED_VALUE"""),1.002)</f>
        <v>1.002</v>
      </c>
      <c r="E4659" s="16">
        <f>IFERROR(__xludf.DUMMYFUNCTION("""COMPUTED_VALUE"""),68.0)</f>
        <v>68</v>
      </c>
      <c r="F4659" s="19" t="str">
        <f>IFERROR(__xludf.DUMMYFUNCTION("""COMPUTED_VALUE"""),"BLUE")</f>
        <v>BLUE</v>
      </c>
      <c r="G4659" s="20" t="str">
        <f>IFERROR(__xludf.DUMMYFUNCTION("""COMPUTED_VALUE"""),"Uncle Sams Cider (04/04/2023)")</f>
        <v>Uncle Sams Cider (04/04/2023)</v>
      </c>
      <c r="H4659" s="19"/>
    </row>
    <row r="4660">
      <c r="A4660" s="9"/>
      <c r="B4660" s="15"/>
      <c r="C4660" s="9">
        <f>IFERROR(__xludf.DUMMYFUNCTION("""COMPUTED_VALUE"""),45095.8011186805)</f>
        <v>45095.80112</v>
      </c>
      <c r="D4660" s="15">
        <f>IFERROR(__xludf.DUMMYFUNCTION("""COMPUTED_VALUE"""),1.002)</f>
        <v>1.002</v>
      </c>
      <c r="E4660" s="16">
        <f>IFERROR(__xludf.DUMMYFUNCTION("""COMPUTED_VALUE"""),68.0)</f>
        <v>68</v>
      </c>
      <c r="F4660" s="19" t="str">
        <f>IFERROR(__xludf.DUMMYFUNCTION("""COMPUTED_VALUE"""),"BLUE")</f>
        <v>BLUE</v>
      </c>
      <c r="G4660" s="20" t="str">
        <f>IFERROR(__xludf.DUMMYFUNCTION("""COMPUTED_VALUE"""),"Uncle Sams Cider (04/04/2023)")</f>
        <v>Uncle Sams Cider (04/04/2023)</v>
      </c>
      <c r="H4660" s="19"/>
    </row>
    <row r="4661">
      <c r="A4661" s="9"/>
      <c r="B4661" s="15"/>
      <c r="C4661" s="9">
        <f>IFERROR(__xludf.DUMMYFUNCTION("""COMPUTED_VALUE"""),45095.7906986111)</f>
        <v>45095.7907</v>
      </c>
      <c r="D4661" s="15">
        <f>IFERROR(__xludf.DUMMYFUNCTION("""COMPUTED_VALUE"""),1.002)</f>
        <v>1.002</v>
      </c>
      <c r="E4661" s="16">
        <f>IFERROR(__xludf.DUMMYFUNCTION("""COMPUTED_VALUE"""),68.0)</f>
        <v>68</v>
      </c>
      <c r="F4661" s="19" t="str">
        <f>IFERROR(__xludf.DUMMYFUNCTION("""COMPUTED_VALUE"""),"BLUE")</f>
        <v>BLUE</v>
      </c>
      <c r="G4661" s="20" t="str">
        <f>IFERROR(__xludf.DUMMYFUNCTION("""COMPUTED_VALUE"""),"Uncle Sams Cider (04/04/2023)")</f>
        <v>Uncle Sams Cider (04/04/2023)</v>
      </c>
      <c r="H4661" s="19"/>
    </row>
    <row r="4662">
      <c r="A4662" s="9"/>
      <c r="B4662" s="15"/>
      <c r="C4662" s="9">
        <f>IFERROR(__xludf.DUMMYFUNCTION("""COMPUTED_VALUE"""),45095.7802784953)</f>
        <v>45095.78028</v>
      </c>
      <c r="D4662" s="15">
        <f>IFERROR(__xludf.DUMMYFUNCTION("""COMPUTED_VALUE"""),1.002)</f>
        <v>1.002</v>
      </c>
      <c r="E4662" s="16">
        <f>IFERROR(__xludf.DUMMYFUNCTION("""COMPUTED_VALUE"""),68.0)</f>
        <v>68</v>
      </c>
      <c r="F4662" s="19" t="str">
        <f>IFERROR(__xludf.DUMMYFUNCTION("""COMPUTED_VALUE"""),"BLUE")</f>
        <v>BLUE</v>
      </c>
      <c r="G4662" s="20" t="str">
        <f>IFERROR(__xludf.DUMMYFUNCTION("""COMPUTED_VALUE"""),"Uncle Sams Cider (04/04/2023)")</f>
        <v>Uncle Sams Cider (04/04/2023)</v>
      </c>
      <c r="H4662" s="19"/>
    </row>
    <row r="4663">
      <c r="A4663" s="9"/>
      <c r="B4663" s="15"/>
      <c r="C4663" s="9">
        <f>IFERROR(__xludf.DUMMYFUNCTION("""COMPUTED_VALUE"""),45095.7698584722)</f>
        <v>45095.76986</v>
      </c>
      <c r="D4663" s="15">
        <f>IFERROR(__xludf.DUMMYFUNCTION("""COMPUTED_VALUE"""),1.002)</f>
        <v>1.002</v>
      </c>
      <c r="E4663" s="16">
        <f>IFERROR(__xludf.DUMMYFUNCTION("""COMPUTED_VALUE"""),68.0)</f>
        <v>68</v>
      </c>
      <c r="F4663" s="19" t="str">
        <f>IFERROR(__xludf.DUMMYFUNCTION("""COMPUTED_VALUE"""),"BLUE")</f>
        <v>BLUE</v>
      </c>
      <c r="G4663" s="20" t="str">
        <f>IFERROR(__xludf.DUMMYFUNCTION("""COMPUTED_VALUE"""),"Uncle Sams Cider (04/04/2023)")</f>
        <v>Uncle Sams Cider (04/04/2023)</v>
      </c>
      <c r="H4663" s="19"/>
    </row>
    <row r="4664">
      <c r="A4664" s="9"/>
      <c r="B4664" s="15"/>
      <c r="C4664" s="9">
        <f>IFERROR(__xludf.DUMMYFUNCTION("""COMPUTED_VALUE"""),45095.7594367476)</f>
        <v>45095.75944</v>
      </c>
      <c r="D4664" s="15">
        <f>IFERROR(__xludf.DUMMYFUNCTION("""COMPUTED_VALUE"""),1.002)</f>
        <v>1.002</v>
      </c>
      <c r="E4664" s="16">
        <f>IFERROR(__xludf.DUMMYFUNCTION("""COMPUTED_VALUE"""),68.0)</f>
        <v>68</v>
      </c>
      <c r="F4664" s="19" t="str">
        <f>IFERROR(__xludf.DUMMYFUNCTION("""COMPUTED_VALUE"""),"BLUE")</f>
        <v>BLUE</v>
      </c>
      <c r="G4664" s="20" t="str">
        <f>IFERROR(__xludf.DUMMYFUNCTION("""COMPUTED_VALUE"""),"Uncle Sams Cider (04/04/2023)")</f>
        <v>Uncle Sams Cider (04/04/2023)</v>
      </c>
      <c r="H4664" s="19"/>
    </row>
    <row r="4665">
      <c r="A4665" s="9"/>
      <c r="B4665" s="15"/>
      <c r="C4665" s="9">
        <f>IFERROR(__xludf.DUMMYFUNCTION("""COMPUTED_VALUE"""),45095.7490168171)</f>
        <v>45095.74902</v>
      </c>
      <c r="D4665" s="15">
        <f>IFERROR(__xludf.DUMMYFUNCTION("""COMPUTED_VALUE"""),1.002)</f>
        <v>1.002</v>
      </c>
      <c r="E4665" s="16">
        <f>IFERROR(__xludf.DUMMYFUNCTION("""COMPUTED_VALUE"""),68.0)</f>
        <v>68</v>
      </c>
      <c r="F4665" s="19" t="str">
        <f>IFERROR(__xludf.DUMMYFUNCTION("""COMPUTED_VALUE"""),"BLUE")</f>
        <v>BLUE</v>
      </c>
      <c r="G4665" s="20" t="str">
        <f>IFERROR(__xludf.DUMMYFUNCTION("""COMPUTED_VALUE"""),"Uncle Sams Cider (04/04/2023)")</f>
        <v>Uncle Sams Cider (04/04/2023)</v>
      </c>
      <c r="H4665" s="19"/>
    </row>
    <row r="4666">
      <c r="A4666" s="9"/>
      <c r="B4666" s="15"/>
      <c r="C4666" s="9">
        <f>IFERROR(__xludf.DUMMYFUNCTION("""COMPUTED_VALUE"""),45095.7385976041)</f>
        <v>45095.7386</v>
      </c>
      <c r="D4666" s="15">
        <f>IFERROR(__xludf.DUMMYFUNCTION("""COMPUTED_VALUE"""),1.002)</f>
        <v>1.002</v>
      </c>
      <c r="E4666" s="16">
        <f>IFERROR(__xludf.DUMMYFUNCTION("""COMPUTED_VALUE"""),68.0)</f>
        <v>68</v>
      </c>
      <c r="F4666" s="19" t="str">
        <f>IFERROR(__xludf.DUMMYFUNCTION("""COMPUTED_VALUE"""),"BLUE")</f>
        <v>BLUE</v>
      </c>
      <c r="G4666" s="20" t="str">
        <f>IFERROR(__xludf.DUMMYFUNCTION("""COMPUTED_VALUE"""),"Uncle Sams Cider (04/04/2023)")</f>
        <v>Uncle Sams Cider (04/04/2023)</v>
      </c>
      <c r="H4666" s="19"/>
    </row>
    <row r="4667">
      <c r="A4667" s="9"/>
      <c r="B4667" s="15"/>
      <c r="C4667" s="9">
        <f>IFERROR(__xludf.DUMMYFUNCTION("""COMPUTED_VALUE"""),45095.7281643055)</f>
        <v>45095.72816</v>
      </c>
      <c r="D4667" s="15">
        <f>IFERROR(__xludf.DUMMYFUNCTION("""COMPUTED_VALUE"""),1.002)</f>
        <v>1.002</v>
      </c>
      <c r="E4667" s="16">
        <f>IFERROR(__xludf.DUMMYFUNCTION("""COMPUTED_VALUE"""),68.0)</f>
        <v>68</v>
      </c>
      <c r="F4667" s="19" t="str">
        <f>IFERROR(__xludf.DUMMYFUNCTION("""COMPUTED_VALUE"""),"BLUE")</f>
        <v>BLUE</v>
      </c>
      <c r="G4667" s="20" t="str">
        <f>IFERROR(__xludf.DUMMYFUNCTION("""COMPUTED_VALUE"""),"Uncle Sams Cider (04/04/2023)")</f>
        <v>Uncle Sams Cider (04/04/2023)</v>
      </c>
      <c r="H4667" s="19"/>
    </row>
    <row r="4668">
      <c r="A4668" s="9"/>
      <c r="B4668" s="15"/>
      <c r="C4668" s="9">
        <f>IFERROR(__xludf.DUMMYFUNCTION("""COMPUTED_VALUE"""),45095.7177430671)</f>
        <v>45095.71774</v>
      </c>
      <c r="D4668" s="15">
        <f>IFERROR(__xludf.DUMMYFUNCTION("""COMPUTED_VALUE"""),1.002)</f>
        <v>1.002</v>
      </c>
      <c r="E4668" s="16">
        <f>IFERROR(__xludf.DUMMYFUNCTION("""COMPUTED_VALUE"""),68.0)</f>
        <v>68</v>
      </c>
      <c r="F4668" s="19" t="str">
        <f>IFERROR(__xludf.DUMMYFUNCTION("""COMPUTED_VALUE"""),"BLUE")</f>
        <v>BLUE</v>
      </c>
      <c r="G4668" s="20" t="str">
        <f>IFERROR(__xludf.DUMMYFUNCTION("""COMPUTED_VALUE"""),"Uncle Sams Cider (04/04/2023)")</f>
        <v>Uncle Sams Cider (04/04/2023)</v>
      </c>
      <c r="H4668" s="19"/>
    </row>
    <row r="4669">
      <c r="A4669" s="9"/>
      <c r="B4669" s="15"/>
      <c r="C4669" s="9">
        <f>IFERROR(__xludf.DUMMYFUNCTION("""COMPUTED_VALUE"""),45095.7073240856)</f>
        <v>45095.70732</v>
      </c>
      <c r="D4669" s="15">
        <f>IFERROR(__xludf.DUMMYFUNCTION("""COMPUTED_VALUE"""),1.002)</f>
        <v>1.002</v>
      </c>
      <c r="E4669" s="16">
        <f>IFERROR(__xludf.DUMMYFUNCTION("""COMPUTED_VALUE"""),68.0)</f>
        <v>68</v>
      </c>
      <c r="F4669" s="19" t="str">
        <f>IFERROR(__xludf.DUMMYFUNCTION("""COMPUTED_VALUE"""),"BLUE")</f>
        <v>BLUE</v>
      </c>
      <c r="G4669" s="20" t="str">
        <f>IFERROR(__xludf.DUMMYFUNCTION("""COMPUTED_VALUE"""),"Uncle Sams Cider (04/04/2023)")</f>
        <v>Uncle Sams Cider (04/04/2023)</v>
      </c>
      <c r="H4669" s="19"/>
    </row>
    <row r="4670">
      <c r="A4670" s="9"/>
      <c r="B4670" s="15"/>
      <c r="C4670" s="9">
        <f>IFERROR(__xludf.DUMMYFUNCTION("""COMPUTED_VALUE"""),45095.6969018171)</f>
        <v>45095.6969</v>
      </c>
      <c r="D4670" s="15">
        <f>IFERROR(__xludf.DUMMYFUNCTION("""COMPUTED_VALUE"""),1.002)</f>
        <v>1.002</v>
      </c>
      <c r="E4670" s="16">
        <f>IFERROR(__xludf.DUMMYFUNCTION("""COMPUTED_VALUE"""),68.0)</f>
        <v>68</v>
      </c>
      <c r="F4670" s="19" t="str">
        <f>IFERROR(__xludf.DUMMYFUNCTION("""COMPUTED_VALUE"""),"BLUE")</f>
        <v>BLUE</v>
      </c>
      <c r="G4670" s="20" t="str">
        <f>IFERROR(__xludf.DUMMYFUNCTION("""COMPUTED_VALUE"""),"Uncle Sams Cider (04/04/2023)")</f>
        <v>Uncle Sams Cider (04/04/2023)</v>
      </c>
      <c r="H4670" s="19"/>
    </row>
    <row r="4671">
      <c r="A4671" s="9"/>
      <c r="B4671" s="15"/>
      <c r="C4671" s="9">
        <f>IFERROR(__xludf.DUMMYFUNCTION("""COMPUTED_VALUE"""),45095.6864676041)</f>
        <v>45095.68647</v>
      </c>
      <c r="D4671" s="15">
        <f>IFERROR(__xludf.DUMMYFUNCTION("""COMPUTED_VALUE"""),1.002)</f>
        <v>1.002</v>
      </c>
      <c r="E4671" s="16">
        <f>IFERROR(__xludf.DUMMYFUNCTION("""COMPUTED_VALUE"""),68.0)</f>
        <v>68</v>
      </c>
      <c r="F4671" s="19" t="str">
        <f>IFERROR(__xludf.DUMMYFUNCTION("""COMPUTED_VALUE"""),"BLUE")</f>
        <v>BLUE</v>
      </c>
      <c r="G4671" s="20" t="str">
        <f>IFERROR(__xludf.DUMMYFUNCTION("""COMPUTED_VALUE"""),"Uncle Sams Cider (04/04/2023)")</f>
        <v>Uncle Sams Cider (04/04/2023)</v>
      </c>
      <c r="H4671" s="19"/>
    </row>
    <row r="4672">
      <c r="A4672" s="9"/>
      <c r="B4672" s="15"/>
      <c r="C4672" s="9">
        <f>IFERROR(__xludf.DUMMYFUNCTION("""COMPUTED_VALUE"""),45095.6760466435)</f>
        <v>45095.67605</v>
      </c>
      <c r="D4672" s="15">
        <f>IFERROR(__xludf.DUMMYFUNCTION("""COMPUTED_VALUE"""),1.002)</f>
        <v>1.002</v>
      </c>
      <c r="E4672" s="16">
        <f>IFERROR(__xludf.DUMMYFUNCTION("""COMPUTED_VALUE"""),68.0)</f>
        <v>68</v>
      </c>
      <c r="F4672" s="19" t="str">
        <f>IFERROR(__xludf.DUMMYFUNCTION("""COMPUTED_VALUE"""),"BLUE")</f>
        <v>BLUE</v>
      </c>
      <c r="G4672" s="20" t="str">
        <f>IFERROR(__xludf.DUMMYFUNCTION("""COMPUTED_VALUE"""),"Uncle Sams Cider (04/04/2023)")</f>
        <v>Uncle Sams Cider (04/04/2023)</v>
      </c>
      <c r="H4672" s="19"/>
    </row>
    <row r="4673">
      <c r="A4673" s="9"/>
      <c r="B4673" s="15"/>
      <c r="C4673" s="9">
        <f>IFERROR(__xludf.DUMMYFUNCTION("""COMPUTED_VALUE"""),45095.6656263773)</f>
        <v>45095.66563</v>
      </c>
      <c r="D4673" s="15">
        <f>IFERROR(__xludf.DUMMYFUNCTION("""COMPUTED_VALUE"""),1.002)</f>
        <v>1.002</v>
      </c>
      <c r="E4673" s="16">
        <f>IFERROR(__xludf.DUMMYFUNCTION("""COMPUTED_VALUE"""),68.0)</f>
        <v>68</v>
      </c>
      <c r="F4673" s="19" t="str">
        <f>IFERROR(__xludf.DUMMYFUNCTION("""COMPUTED_VALUE"""),"BLUE")</f>
        <v>BLUE</v>
      </c>
      <c r="G4673" s="20" t="str">
        <f>IFERROR(__xludf.DUMMYFUNCTION("""COMPUTED_VALUE"""),"Uncle Sams Cider (04/04/2023)")</f>
        <v>Uncle Sams Cider (04/04/2023)</v>
      </c>
      <c r="H4673" s="19"/>
    </row>
    <row r="4674">
      <c r="A4674" s="9"/>
      <c r="B4674" s="15"/>
      <c r="C4674" s="9">
        <f>IFERROR(__xludf.DUMMYFUNCTION("""COMPUTED_VALUE"""),45095.6552049884)</f>
        <v>45095.6552</v>
      </c>
      <c r="D4674" s="15">
        <f>IFERROR(__xludf.DUMMYFUNCTION("""COMPUTED_VALUE"""),1.002)</f>
        <v>1.002</v>
      </c>
      <c r="E4674" s="16">
        <f>IFERROR(__xludf.DUMMYFUNCTION("""COMPUTED_VALUE"""),68.0)</f>
        <v>68</v>
      </c>
      <c r="F4674" s="19" t="str">
        <f>IFERROR(__xludf.DUMMYFUNCTION("""COMPUTED_VALUE"""),"BLUE")</f>
        <v>BLUE</v>
      </c>
      <c r="G4674" s="20" t="str">
        <f>IFERROR(__xludf.DUMMYFUNCTION("""COMPUTED_VALUE"""),"Uncle Sams Cider (04/04/2023)")</f>
        <v>Uncle Sams Cider (04/04/2023)</v>
      </c>
      <c r="H4674" s="19"/>
    </row>
    <row r="4675">
      <c r="A4675" s="9"/>
      <c r="B4675" s="15"/>
      <c r="C4675" s="9">
        <f>IFERROR(__xludf.DUMMYFUNCTION("""COMPUTED_VALUE"""),45095.6447827546)</f>
        <v>45095.64478</v>
      </c>
      <c r="D4675" s="15">
        <f>IFERROR(__xludf.DUMMYFUNCTION("""COMPUTED_VALUE"""),1.002)</f>
        <v>1.002</v>
      </c>
      <c r="E4675" s="16">
        <f>IFERROR(__xludf.DUMMYFUNCTION("""COMPUTED_VALUE"""),68.0)</f>
        <v>68</v>
      </c>
      <c r="F4675" s="19" t="str">
        <f>IFERROR(__xludf.DUMMYFUNCTION("""COMPUTED_VALUE"""),"BLUE")</f>
        <v>BLUE</v>
      </c>
      <c r="G4675" s="20" t="str">
        <f>IFERROR(__xludf.DUMMYFUNCTION("""COMPUTED_VALUE"""),"Uncle Sams Cider (04/04/2023)")</f>
        <v>Uncle Sams Cider (04/04/2023)</v>
      </c>
      <c r="H4675" s="19"/>
    </row>
    <row r="4676">
      <c r="A4676" s="9"/>
      <c r="B4676" s="15"/>
      <c r="C4676" s="9">
        <f>IFERROR(__xludf.DUMMYFUNCTION("""COMPUTED_VALUE"""),45095.634351655)</f>
        <v>45095.63435</v>
      </c>
      <c r="D4676" s="15">
        <f>IFERROR(__xludf.DUMMYFUNCTION("""COMPUTED_VALUE"""),1.002)</f>
        <v>1.002</v>
      </c>
      <c r="E4676" s="16">
        <f>IFERROR(__xludf.DUMMYFUNCTION("""COMPUTED_VALUE"""),68.0)</f>
        <v>68</v>
      </c>
      <c r="F4676" s="19" t="str">
        <f>IFERROR(__xludf.DUMMYFUNCTION("""COMPUTED_VALUE"""),"BLUE")</f>
        <v>BLUE</v>
      </c>
      <c r="G4676" s="20" t="str">
        <f>IFERROR(__xludf.DUMMYFUNCTION("""COMPUTED_VALUE"""),"Uncle Sams Cider (04/04/2023)")</f>
        <v>Uncle Sams Cider (04/04/2023)</v>
      </c>
      <c r="H4676" s="19"/>
    </row>
    <row r="4677">
      <c r="A4677" s="9"/>
      <c r="B4677" s="15"/>
      <c r="C4677" s="9">
        <f>IFERROR(__xludf.DUMMYFUNCTION("""COMPUTED_VALUE"""),45095.6239287731)</f>
        <v>45095.62393</v>
      </c>
      <c r="D4677" s="15">
        <f>IFERROR(__xludf.DUMMYFUNCTION("""COMPUTED_VALUE"""),1.002)</f>
        <v>1.002</v>
      </c>
      <c r="E4677" s="16">
        <f>IFERROR(__xludf.DUMMYFUNCTION("""COMPUTED_VALUE"""),68.0)</f>
        <v>68</v>
      </c>
      <c r="F4677" s="19" t="str">
        <f>IFERROR(__xludf.DUMMYFUNCTION("""COMPUTED_VALUE"""),"BLUE")</f>
        <v>BLUE</v>
      </c>
      <c r="G4677" s="20" t="str">
        <f>IFERROR(__xludf.DUMMYFUNCTION("""COMPUTED_VALUE"""),"Uncle Sams Cider (04/04/2023)")</f>
        <v>Uncle Sams Cider (04/04/2023)</v>
      </c>
      <c r="H4677" s="19"/>
    </row>
    <row r="4678">
      <c r="A4678" s="9"/>
      <c r="B4678" s="15"/>
      <c r="C4678" s="9">
        <f>IFERROR(__xludf.DUMMYFUNCTION("""COMPUTED_VALUE"""),45095.6135075925)</f>
        <v>45095.61351</v>
      </c>
      <c r="D4678" s="15">
        <f>IFERROR(__xludf.DUMMYFUNCTION("""COMPUTED_VALUE"""),1.002)</f>
        <v>1.002</v>
      </c>
      <c r="E4678" s="16">
        <f>IFERROR(__xludf.DUMMYFUNCTION("""COMPUTED_VALUE"""),68.0)</f>
        <v>68</v>
      </c>
      <c r="F4678" s="19" t="str">
        <f>IFERROR(__xludf.DUMMYFUNCTION("""COMPUTED_VALUE"""),"BLUE")</f>
        <v>BLUE</v>
      </c>
      <c r="G4678" s="20" t="str">
        <f>IFERROR(__xludf.DUMMYFUNCTION("""COMPUTED_VALUE"""),"Uncle Sams Cider (04/04/2023)")</f>
        <v>Uncle Sams Cider (04/04/2023)</v>
      </c>
      <c r="H4678" s="19"/>
    </row>
    <row r="4679">
      <c r="A4679" s="9"/>
      <c r="B4679" s="15"/>
      <c r="C4679" s="9">
        <f>IFERROR(__xludf.DUMMYFUNCTION("""COMPUTED_VALUE"""),45095.6030867708)</f>
        <v>45095.60309</v>
      </c>
      <c r="D4679" s="15">
        <f>IFERROR(__xludf.DUMMYFUNCTION("""COMPUTED_VALUE"""),1.002)</f>
        <v>1.002</v>
      </c>
      <c r="E4679" s="16">
        <f>IFERROR(__xludf.DUMMYFUNCTION("""COMPUTED_VALUE"""),68.0)</f>
        <v>68</v>
      </c>
      <c r="F4679" s="19" t="str">
        <f>IFERROR(__xludf.DUMMYFUNCTION("""COMPUTED_VALUE"""),"BLUE")</f>
        <v>BLUE</v>
      </c>
      <c r="G4679" s="20" t="str">
        <f>IFERROR(__xludf.DUMMYFUNCTION("""COMPUTED_VALUE"""),"Uncle Sams Cider (04/04/2023)")</f>
        <v>Uncle Sams Cider (04/04/2023)</v>
      </c>
      <c r="H4679" s="19"/>
    </row>
    <row r="4680">
      <c r="A4680" s="9"/>
      <c r="B4680" s="15"/>
      <c r="C4680" s="9">
        <f>IFERROR(__xludf.DUMMYFUNCTION("""COMPUTED_VALUE"""),45095.592664537)</f>
        <v>45095.59266</v>
      </c>
      <c r="D4680" s="15">
        <f>IFERROR(__xludf.DUMMYFUNCTION("""COMPUTED_VALUE"""),1.002)</f>
        <v>1.002</v>
      </c>
      <c r="E4680" s="16">
        <f>IFERROR(__xludf.DUMMYFUNCTION("""COMPUTED_VALUE"""),68.0)</f>
        <v>68</v>
      </c>
      <c r="F4680" s="19" t="str">
        <f>IFERROR(__xludf.DUMMYFUNCTION("""COMPUTED_VALUE"""),"BLUE")</f>
        <v>BLUE</v>
      </c>
      <c r="G4680" s="20" t="str">
        <f>IFERROR(__xludf.DUMMYFUNCTION("""COMPUTED_VALUE"""),"Uncle Sams Cider (04/04/2023)")</f>
        <v>Uncle Sams Cider (04/04/2023)</v>
      </c>
      <c r="H4680" s="19"/>
    </row>
    <row r="4681">
      <c r="A4681" s="9"/>
      <c r="B4681" s="15"/>
      <c r="C4681" s="9">
        <f>IFERROR(__xludf.DUMMYFUNCTION("""COMPUTED_VALUE"""),45095.5822446527)</f>
        <v>45095.58224</v>
      </c>
      <c r="D4681" s="15">
        <f>IFERROR(__xludf.DUMMYFUNCTION("""COMPUTED_VALUE"""),1.002)</f>
        <v>1.002</v>
      </c>
      <c r="E4681" s="16">
        <f>IFERROR(__xludf.DUMMYFUNCTION("""COMPUTED_VALUE"""),68.0)</f>
        <v>68</v>
      </c>
      <c r="F4681" s="19" t="str">
        <f>IFERROR(__xludf.DUMMYFUNCTION("""COMPUTED_VALUE"""),"BLUE")</f>
        <v>BLUE</v>
      </c>
      <c r="G4681" s="20" t="str">
        <f>IFERROR(__xludf.DUMMYFUNCTION("""COMPUTED_VALUE"""),"Uncle Sams Cider (04/04/2023)")</f>
        <v>Uncle Sams Cider (04/04/2023)</v>
      </c>
      <c r="H4681" s="19"/>
    </row>
    <row r="4682">
      <c r="A4682" s="9"/>
      <c r="B4682" s="15"/>
      <c r="C4682" s="9">
        <f>IFERROR(__xludf.DUMMYFUNCTION("""COMPUTED_VALUE"""),45095.5614037615)</f>
        <v>45095.5614</v>
      </c>
      <c r="D4682" s="15">
        <f>IFERROR(__xludf.DUMMYFUNCTION("""COMPUTED_VALUE"""),1.002)</f>
        <v>1.002</v>
      </c>
      <c r="E4682" s="16">
        <f>IFERROR(__xludf.DUMMYFUNCTION("""COMPUTED_VALUE"""),68.0)</f>
        <v>68</v>
      </c>
      <c r="F4682" s="19" t="str">
        <f>IFERROR(__xludf.DUMMYFUNCTION("""COMPUTED_VALUE"""),"BLUE")</f>
        <v>BLUE</v>
      </c>
      <c r="G4682" s="20" t="str">
        <f>IFERROR(__xludf.DUMMYFUNCTION("""COMPUTED_VALUE"""),"Uncle Sams Cider (04/04/2023)")</f>
        <v>Uncle Sams Cider (04/04/2023)</v>
      </c>
      <c r="H4682" s="19"/>
    </row>
    <row r="4683">
      <c r="A4683" s="9"/>
      <c r="B4683" s="15"/>
      <c r="C4683" s="9">
        <f>IFERROR(__xludf.DUMMYFUNCTION("""COMPUTED_VALUE"""),45095.5509814236)</f>
        <v>45095.55098</v>
      </c>
      <c r="D4683" s="15">
        <f>IFERROR(__xludf.DUMMYFUNCTION("""COMPUTED_VALUE"""),1.002)</f>
        <v>1.002</v>
      </c>
      <c r="E4683" s="16">
        <f>IFERROR(__xludf.DUMMYFUNCTION("""COMPUTED_VALUE"""),68.0)</f>
        <v>68</v>
      </c>
      <c r="F4683" s="19" t="str">
        <f>IFERROR(__xludf.DUMMYFUNCTION("""COMPUTED_VALUE"""),"BLUE")</f>
        <v>BLUE</v>
      </c>
      <c r="G4683" s="20" t="str">
        <f>IFERROR(__xludf.DUMMYFUNCTION("""COMPUTED_VALUE"""),"Uncle Sams Cider (04/04/2023)")</f>
        <v>Uncle Sams Cider (04/04/2023)</v>
      </c>
      <c r="H4683" s="19"/>
    </row>
    <row r="4684">
      <c r="A4684" s="9"/>
      <c r="B4684" s="15"/>
      <c r="C4684" s="9">
        <f>IFERROR(__xludf.DUMMYFUNCTION("""COMPUTED_VALUE"""),45095.5405479861)</f>
        <v>45095.54055</v>
      </c>
      <c r="D4684" s="15">
        <f>IFERROR(__xludf.DUMMYFUNCTION("""COMPUTED_VALUE"""),1.002)</f>
        <v>1.002</v>
      </c>
      <c r="E4684" s="16">
        <f>IFERROR(__xludf.DUMMYFUNCTION("""COMPUTED_VALUE"""),68.0)</f>
        <v>68</v>
      </c>
      <c r="F4684" s="19" t="str">
        <f>IFERROR(__xludf.DUMMYFUNCTION("""COMPUTED_VALUE"""),"BLUE")</f>
        <v>BLUE</v>
      </c>
      <c r="G4684" s="20" t="str">
        <f>IFERROR(__xludf.DUMMYFUNCTION("""COMPUTED_VALUE"""),"Uncle Sams Cider (04/04/2023)")</f>
        <v>Uncle Sams Cider (04/04/2023)</v>
      </c>
      <c r="H4684" s="19"/>
    </row>
    <row r="4685">
      <c r="A4685" s="9"/>
      <c r="B4685" s="15"/>
      <c r="C4685" s="9">
        <f>IFERROR(__xludf.DUMMYFUNCTION("""COMPUTED_VALUE"""),45095.530129456)</f>
        <v>45095.53013</v>
      </c>
      <c r="D4685" s="15">
        <f>IFERROR(__xludf.DUMMYFUNCTION("""COMPUTED_VALUE"""),1.002)</f>
        <v>1.002</v>
      </c>
      <c r="E4685" s="16">
        <f>IFERROR(__xludf.DUMMYFUNCTION("""COMPUTED_VALUE"""),68.0)</f>
        <v>68</v>
      </c>
      <c r="F4685" s="19" t="str">
        <f>IFERROR(__xludf.DUMMYFUNCTION("""COMPUTED_VALUE"""),"BLUE")</f>
        <v>BLUE</v>
      </c>
      <c r="G4685" s="20" t="str">
        <f>IFERROR(__xludf.DUMMYFUNCTION("""COMPUTED_VALUE"""),"Uncle Sams Cider (04/04/2023)")</f>
        <v>Uncle Sams Cider (04/04/2023)</v>
      </c>
      <c r="H4685" s="19"/>
    </row>
    <row r="4686">
      <c r="A4686" s="9"/>
      <c r="B4686" s="15"/>
      <c r="C4686" s="9">
        <f>IFERROR(__xludf.DUMMYFUNCTION("""COMPUTED_VALUE"""),45095.5197074074)</f>
        <v>45095.51971</v>
      </c>
      <c r="D4686" s="15">
        <f>IFERROR(__xludf.DUMMYFUNCTION("""COMPUTED_VALUE"""),1.002)</f>
        <v>1.002</v>
      </c>
      <c r="E4686" s="16">
        <f>IFERROR(__xludf.DUMMYFUNCTION("""COMPUTED_VALUE"""),68.0)</f>
        <v>68</v>
      </c>
      <c r="F4686" s="19" t="str">
        <f>IFERROR(__xludf.DUMMYFUNCTION("""COMPUTED_VALUE"""),"BLUE")</f>
        <v>BLUE</v>
      </c>
      <c r="G4686" s="20" t="str">
        <f>IFERROR(__xludf.DUMMYFUNCTION("""COMPUTED_VALUE"""),"Uncle Sams Cider (04/04/2023)")</f>
        <v>Uncle Sams Cider (04/04/2023)</v>
      </c>
      <c r="H4686" s="19"/>
    </row>
    <row r="4687">
      <c r="A4687" s="9"/>
      <c r="B4687" s="15"/>
      <c r="C4687" s="9">
        <f>IFERROR(__xludf.DUMMYFUNCTION("""COMPUTED_VALUE"""),45095.5092853356)</f>
        <v>45095.50929</v>
      </c>
      <c r="D4687" s="15">
        <f>IFERROR(__xludf.DUMMYFUNCTION("""COMPUTED_VALUE"""),1.002)</f>
        <v>1.002</v>
      </c>
      <c r="E4687" s="16">
        <f>IFERROR(__xludf.DUMMYFUNCTION("""COMPUTED_VALUE"""),68.0)</f>
        <v>68</v>
      </c>
      <c r="F4687" s="19" t="str">
        <f>IFERROR(__xludf.DUMMYFUNCTION("""COMPUTED_VALUE"""),"BLUE")</f>
        <v>BLUE</v>
      </c>
      <c r="G4687" s="20" t="str">
        <f>IFERROR(__xludf.DUMMYFUNCTION("""COMPUTED_VALUE"""),"Uncle Sams Cider (04/04/2023)")</f>
        <v>Uncle Sams Cider (04/04/2023)</v>
      </c>
      <c r="H4687" s="19"/>
    </row>
    <row r="4688">
      <c r="A4688" s="9"/>
      <c r="B4688" s="15"/>
      <c r="C4688" s="9">
        <f>IFERROR(__xludf.DUMMYFUNCTION("""COMPUTED_VALUE"""),45095.4988510879)</f>
        <v>45095.49885</v>
      </c>
      <c r="D4688" s="15">
        <f>IFERROR(__xludf.DUMMYFUNCTION("""COMPUTED_VALUE"""),1.002)</f>
        <v>1.002</v>
      </c>
      <c r="E4688" s="16">
        <f>IFERROR(__xludf.DUMMYFUNCTION("""COMPUTED_VALUE"""),68.0)</f>
        <v>68</v>
      </c>
      <c r="F4688" s="19" t="str">
        <f>IFERROR(__xludf.DUMMYFUNCTION("""COMPUTED_VALUE"""),"BLUE")</f>
        <v>BLUE</v>
      </c>
      <c r="G4688" s="20" t="str">
        <f>IFERROR(__xludf.DUMMYFUNCTION("""COMPUTED_VALUE"""),"Uncle Sams Cider (04/04/2023)")</f>
        <v>Uncle Sams Cider (04/04/2023)</v>
      </c>
      <c r="H4688" s="19"/>
    </row>
    <row r="4689">
      <c r="A4689" s="9"/>
      <c r="B4689" s="15"/>
      <c r="C4689" s="9">
        <f>IFERROR(__xludf.DUMMYFUNCTION("""COMPUTED_VALUE"""),45095.4884313773)</f>
        <v>45095.48843</v>
      </c>
      <c r="D4689" s="15">
        <f>IFERROR(__xludf.DUMMYFUNCTION("""COMPUTED_VALUE"""),1.002)</f>
        <v>1.002</v>
      </c>
      <c r="E4689" s="16">
        <f>IFERROR(__xludf.DUMMYFUNCTION("""COMPUTED_VALUE"""),68.0)</f>
        <v>68</v>
      </c>
      <c r="F4689" s="19" t="str">
        <f>IFERROR(__xludf.DUMMYFUNCTION("""COMPUTED_VALUE"""),"BLUE")</f>
        <v>BLUE</v>
      </c>
      <c r="G4689" s="20" t="str">
        <f>IFERROR(__xludf.DUMMYFUNCTION("""COMPUTED_VALUE"""),"Uncle Sams Cider (04/04/2023)")</f>
        <v>Uncle Sams Cider (04/04/2023)</v>
      </c>
      <c r="H4689" s="19"/>
    </row>
    <row r="4690">
      <c r="A4690" s="9"/>
      <c r="B4690" s="15"/>
      <c r="C4690" s="9">
        <f>IFERROR(__xludf.DUMMYFUNCTION("""COMPUTED_VALUE"""),45095.4780105555)</f>
        <v>45095.47801</v>
      </c>
      <c r="D4690" s="15">
        <f>IFERROR(__xludf.DUMMYFUNCTION("""COMPUTED_VALUE"""),1.002)</f>
        <v>1.002</v>
      </c>
      <c r="E4690" s="16">
        <f>IFERROR(__xludf.DUMMYFUNCTION("""COMPUTED_VALUE"""),68.0)</f>
        <v>68</v>
      </c>
      <c r="F4690" s="19" t="str">
        <f>IFERROR(__xludf.DUMMYFUNCTION("""COMPUTED_VALUE"""),"BLUE")</f>
        <v>BLUE</v>
      </c>
      <c r="G4690" s="20" t="str">
        <f>IFERROR(__xludf.DUMMYFUNCTION("""COMPUTED_VALUE"""),"Uncle Sams Cider (04/04/2023)")</f>
        <v>Uncle Sams Cider (04/04/2023)</v>
      </c>
      <c r="H4690" s="19"/>
    </row>
    <row r="4691">
      <c r="A4691" s="9"/>
      <c r="B4691" s="15"/>
      <c r="C4691" s="9">
        <f>IFERROR(__xludf.DUMMYFUNCTION("""COMPUTED_VALUE"""),45095.4675893865)</f>
        <v>45095.46759</v>
      </c>
      <c r="D4691" s="15">
        <f>IFERROR(__xludf.DUMMYFUNCTION("""COMPUTED_VALUE"""),1.002)</f>
        <v>1.002</v>
      </c>
      <c r="E4691" s="16">
        <f>IFERROR(__xludf.DUMMYFUNCTION("""COMPUTED_VALUE"""),68.0)</f>
        <v>68</v>
      </c>
      <c r="F4691" s="19" t="str">
        <f>IFERROR(__xludf.DUMMYFUNCTION("""COMPUTED_VALUE"""),"BLUE")</f>
        <v>BLUE</v>
      </c>
      <c r="G4691" s="20" t="str">
        <f>IFERROR(__xludf.DUMMYFUNCTION("""COMPUTED_VALUE"""),"Uncle Sams Cider (04/04/2023)")</f>
        <v>Uncle Sams Cider (04/04/2023)</v>
      </c>
      <c r="H4691" s="19"/>
    </row>
    <row r="4692">
      <c r="A4692" s="9"/>
      <c r="B4692" s="15"/>
      <c r="C4692" s="9">
        <f>IFERROR(__xludf.DUMMYFUNCTION("""COMPUTED_VALUE"""),45095.4571680092)</f>
        <v>45095.45717</v>
      </c>
      <c r="D4692" s="15">
        <f>IFERROR(__xludf.DUMMYFUNCTION("""COMPUTED_VALUE"""),1.002)</f>
        <v>1.002</v>
      </c>
      <c r="E4692" s="16">
        <f>IFERROR(__xludf.DUMMYFUNCTION("""COMPUTED_VALUE"""),68.0)</f>
        <v>68</v>
      </c>
      <c r="F4692" s="19" t="str">
        <f>IFERROR(__xludf.DUMMYFUNCTION("""COMPUTED_VALUE"""),"BLUE")</f>
        <v>BLUE</v>
      </c>
      <c r="G4692" s="20" t="str">
        <f>IFERROR(__xludf.DUMMYFUNCTION("""COMPUTED_VALUE"""),"Uncle Sams Cider (04/04/2023)")</f>
        <v>Uncle Sams Cider (04/04/2023)</v>
      </c>
      <c r="H4692" s="19"/>
    </row>
    <row r="4693">
      <c r="A4693" s="9"/>
      <c r="B4693" s="15"/>
      <c r="C4693" s="9">
        <f>IFERROR(__xludf.DUMMYFUNCTION("""COMPUTED_VALUE"""),45095.4467467939)</f>
        <v>45095.44675</v>
      </c>
      <c r="D4693" s="15">
        <f>IFERROR(__xludf.DUMMYFUNCTION("""COMPUTED_VALUE"""),1.002)</f>
        <v>1.002</v>
      </c>
      <c r="E4693" s="16">
        <f>IFERROR(__xludf.DUMMYFUNCTION("""COMPUTED_VALUE"""),68.0)</f>
        <v>68</v>
      </c>
      <c r="F4693" s="19" t="str">
        <f>IFERROR(__xludf.DUMMYFUNCTION("""COMPUTED_VALUE"""),"BLUE")</f>
        <v>BLUE</v>
      </c>
      <c r="G4693" s="20" t="str">
        <f>IFERROR(__xludf.DUMMYFUNCTION("""COMPUTED_VALUE"""),"Uncle Sams Cider (04/04/2023)")</f>
        <v>Uncle Sams Cider (04/04/2023)</v>
      </c>
      <c r="H4693" s="19"/>
    </row>
    <row r="4694">
      <c r="A4694" s="9"/>
      <c r="B4694" s="15"/>
      <c r="C4694" s="9">
        <f>IFERROR(__xludf.DUMMYFUNCTION("""COMPUTED_VALUE"""),45095.4363146412)</f>
        <v>45095.43631</v>
      </c>
      <c r="D4694" s="15">
        <f>IFERROR(__xludf.DUMMYFUNCTION("""COMPUTED_VALUE"""),1.002)</f>
        <v>1.002</v>
      </c>
      <c r="E4694" s="16">
        <f>IFERROR(__xludf.DUMMYFUNCTION("""COMPUTED_VALUE"""),68.0)</f>
        <v>68</v>
      </c>
      <c r="F4694" s="19" t="str">
        <f>IFERROR(__xludf.DUMMYFUNCTION("""COMPUTED_VALUE"""),"BLUE")</f>
        <v>BLUE</v>
      </c>
      <c r="G4694" s="20" t="str">
        <f>IFERROR(__xludf.DUMMYFUNCTION("""COMPUTED_VALUE"""),"Uncle Sams Cider (04/04/2023)")</f>
        <v>Uncle Sams Cider (04/04/2023)</v>
      </c>
      <c r="H4694" s="19"/>
    </row>
    <row r="4695">
      <c r="A4695" s="9"/>
      <c r="B4695" s="15"/>
      <c r="C4695" s="9">
        <f>IFERROR(__xludf.DUMMYFUNCTION("""COMPUTED_VALUE"""),45095.4258945486)</f>
        <v>45095.42589</v>
      </c>
      <c r="D4695" s="15">
        <f>IFERROR(__xludf.DUMMYFUNCTION("""COMPUTED_VALUE"""),1.002)</f>
        <v>1.002</v>
      </c>
      <c r="E4695" s="16">
        <f>IFERROR(__xludf.DUMMYFUNCTION("""COMPUTED_VALUE"""),68.0)</f>
        <v>68</v>
      </c>
      <c r="F4695" s="19" t="str">
        <f>IFERROR(__xludf.DUMMYFUNCTION("""COMPUTED_VALUE"""),"BLUE")</f>
        <v>BLUE</v>
      </c>
      <c r="G4695" s="20" t="str">
        <f>IFERROR(__xludf.DUMMYFUNCTION("""COMPUTED_VALUE"""),"Uncle Sams Cider (04/04/2023)")</f>
        <v>Uncle Sams Cider (04/04/2023)</v>
      </c>
      <c r="H4695" s="19"/>
    </row>
    <row r="4696">
      <c r="A4696" s="9"/>
      <c r="B4696" s="15"/>
      <c r="C4696" s="9">
        <f>IFERROR(__xludf.DUMMYFUNCTION("""COMPUTED_VALUE"""),45095.415474155)</f>
        <v>45095.41547</v>
      </c>
      <c r="D4696" s="15">
        <f>IFERROR(__xludf.DUMMYFUNCTION("""COMPUTED_VALUE"""),1.002)</f>
        <v>1.002</v>
      </c>
      <c r="E4696" s="16">
        <f>IFERROR(__xludf.DUMMYFUNCTION("""COMPUTED_VALUE"""),68.0)</f>
        <v>68</v>
      </c>
      <c r="F4696" s="19" t="str">
        <f>IFERROR(__xludf.DUMMYFUNCTION("""COMPUTED_VALUE"""),"BLUE")</f>
        <v>BLUE</v>
      </c>
      <c r="G4696" s="20" t="str">
        <f>IFERROR(__xludf.DUMMYFUNCTION("""COMPUTED_VALUE"""),"Uncle Sams Cider (04/04/2023)")</f>
        <v>Uncle Sams Cider (04/04/2023)</v>
      </c>
      <c r="H4696" s="19"/>
    </row>
    <row r="4697">
      <c r="A4697" s="9"/>
      <c r="B4697" s="15"/>
      <c r="C4697" s="9">
        <f>IFERROR(__xludf.DUMMYFUNCTION("""COMPUTED_VALUE"""),45095.4050174768)</f>
        <v>45095.40502</v>
      </c>
      <c r="D4697" s="15">
        <f>IFERROR(__xludf.DUMMYFUNCTION("""COMPUTED_VALUE"""),1.002)</f>
        <v>1.002</v>
      </c>
      <c r="E4697" s="16">
        <f>IFERROR(__xludf.DUMMYFUNCTION("""COMPUTED_VALUE"""),68.0)</f>
        <v>68</v>
      </c>
      <c r="F4697" s="19" t="str">
        <f>IFERROR(__xludf.DUMMYFUNCTION("""COMPUTED_VALUE"""),"BLUE")</f>
        <v>BLUE</v>
      </c>
      <c r="G4697" s="20" t="str">
        <f>IFERROR(__xludf.DUMMYFUNCTION("""COMPUTED_VALUE"""),"Uncle Sams Cider (04/04/2023)")</f>
        <v>Uncle Sams Cider (04/04/2023)</v>
      </c>
      <c r="H4697" s="19"/>
    </row>
    <row r="4698">
      <c r="A4698" s="9"/>
      <c r="B4698" s="15"/>
      <c r="C4698" s="9">
        <f>IFERROR(__xludf.DUMMYFUNCTION("""COMPUTED_VALUE"""),45095.3945965856)</f>
        <v>45095.3946</v>
      </c>
      <c r="D4698" s="15">
        <f>IFERROR(__xludf.DUMMYFUNCTION("""COMPUTED_VALUE"""),1.002)</f>
        <v>1.002</v>
      </c>
      <c r="E4698" s="16">
        <f>IFERROR(__xludf.DUMMYFUNCTION("""COMPUTED_VALUE"""),68.0)</f>
        <v>68</v>
      </c>
      <c r="F4698" s="19" t="str">
        <f>IFERROR(__xludf.DUMMYFUNCTION("""COMPUTED_VALUE"""),"BLUE")</f>
        <v>BLUE</v>
      </c>
      <c r="G4698" s="20" t="str">
        <f>IFERROR(__xludf.DUMMYFUNCTION("""COMPUTED_VALUE"""),"Uncle Sams Cider (04/04/2023)")</f>
        <v>Uncle Sams Cider (04/04/2023)</v>
      </c>
      <c r="H4698" s="19"/>
    </row>
    <row r="4699">
      <c r="A4699" s="9"/>
      <c r="B4699" s="15"/>
      <c r="C4699" s="9">
        <f>IFERROR(__xludf.DUMMYFUNCTION("""COMPUTED_VALUE"""),45095.3841757407)</f>
        <v>45095.38418</v>
      </c>
      <c r="D4699" s="15">
        <f>IFERROR(__xludf.DUMMYFUNCTION("""COMPUTED_VALUE"""),1.002)</f>
        <v>1.002</v>
      </c>
      <c r="E4699" s="16">
        <f>IFERROR(__xludf.DUMMYFUNCTION("""COMPUTED_VALUE"""),68.0)</f>
        <v>68</v>
      </c>
      <c r="F4699" s="19" t="str">
        <f>IFERROR(__xludf.DUMMYFUNCTION("""COMPUTED_VALUE"""),"BLUE")</f>
        <v>BLUE</v>
      </c>
      <c r="G4699" s="20" t="str">
        <f>IFERROR(__xludf.DUMMYFUNCTION("""COMPUTED_VALUE"""),"Uncle Sams Cider (04/04/2023)")</f>
        <v>Uncle Sams Cider (04/04/2023)</v>
      </c>
      <c r="H4699" s="19"/>
    </row>
    <row r="4700">
      <c r="A4700" s="9"/>
      <c r="B4700" s="15"/>
      <c r="C4700" s="9">
        <f>IFERROR(__xludf.DUMMYFUNCTION("""COMPUTED_VALUE"""),45095.3737405671)</f>
        <v>45095.37374</v>
      </c>
      <c r="D4700" s="15">
        <f>IFERROR(__xludf.DUMMYFUNCTION("""COMPUTED_VALUE"""),1.002)</f>
        <v>1.002</v>
      </c>
      <c r="E4700" s="16">
        <f>IFERROR(__xludf.DUMMYFUNCTION("""COMPUTED_VALUE"""),68.0)</f>
        <v>68</v>
      </c>
      <c r="F4700" s="19" t="str">
        <f>IFERROR(__xludf.DUMMYFUNCTION("""COMPUTED_VALUE"""),"BLUE")</f>
        <v>BLUE</v>
      </c>
      <c r="G4700" s="20" t="str">
        <f>IFERROR(__xludf.DUMMYFUNCTION("""COMPUTED_VALUE"""),"Uncle Sams Cider (04/04/2023)")</f>
        <v>Uncle Sams Cider (04/04/2023)</v>
      </c>
      <c r="H4700" s="19"/>
    </row>
    <row r="4701">
      <c r="A4701" s="9"/>
      <c r="B4701" s="15"/>
      <c r="C4701" s="9">
        <f>IFERROR(__xludf.DUMMYFUNCTION("""COMPUTED_VALUE"""),45095.3633198611)</f>
        <v>45095.36332</v>
      </c>
      <c r="D4701" s="15">
        <f>IFERROR(__xludf.DUMMYFUNCTION("""COMPUTED_VALUE"""),1.002)</f>
        <v>1.002</v>
      </c>
      <c r="E4701" s="16">
        <f>IFERROR(__xludf.DUMMYFUNCTION("""COMPUTED_VALUE"""),68.0)</f>
        <v>68</v>
      </c>
      <c r="F4701" s="19" t="str">
        <f>IFERROR(__xludf.DUMMYFUNCTION("""COMPUTED_VALUE"""),"BLUE")</f>
        <v>BLUE</v>
      </c>
      <c r="G4701" s="20" t="str">
        <f>IFERROR(__xludf.DUMMYFUNCTION("""COMPUTED_VALUE"""),"Uncle Sams Cider (04/04/2023)")</f>
        <v>Uncle Sams Cider (04/04/2023)</v>
      </c>
      <c r="H4701" s="19"/>
    </row>
    <row r="4702">
      <c r="A4702" s="9"/>
      <c r="B4702" s="15"/>
      <c r="C4702" s="9">
        <f>IFERROR(__xludf.DUMMYFUNCTION("""COMPUTED_VALUE"""),45095.3528981712)</f>
        <v>45095.3529</v>
      </c>
      <c r="D4702" s="15">
        <f>IFERROR(__xludf.DUMMYFUNCTION("""COMPUTED_VALUE"""),1.002)</f>
        <v>1.002</v>
      </c>
      <c r="E4702" s="16">
        <f>IFERROR(__xludf.DUMMYFUNCTION("""COMPUTED_VALUE"""),68.0)</f>
        <v>68</v>
      </c>
      <c r="F4702" s="19" t="str">
        <f>IFERROR(__xludf.DUMMYFUNCTION("""COMPUTED_VALUE"""),"BLUE")</f>
        <v>BLUE</v>
      </c>
      <c r="G4702" s="20" t="str">
        <f>IFERROR(__xludf.DUMMYFUNCTION("""COMPUTED_VALUE"""),"Uncle Sams Cider (04/04/2023)")</f>
        <v>Uncle Sams Cider (04/04/2023)</v>
      </c>
      <c r="H4702" s="19"/>
    </row>
    <row r="4703">
      <c r="A4703" s="9"/>
      <c r="B4703" s="15"/>
      <c r="C4703" s="9">
        <f>IFERROR(__xludf.DUMMYFUNCTION("""COMPUTED_VALUE"""),45095.3320579861)</f>
        <v>45095.33206</v>
      </c>
      <c r="D4703" s="15">
        <f>IFERROR(__xludf.DUMMYFUNCTION("""COMPUTED_VALUE"""),1.002)</f>
        <v>1.002</v>
      </c>
      <c r="E4703" s="16">
        <f>IFERROR(__xludf.DUMMYFUNCTION("""COMPUTED_VALUE"""),68.0)</f>
        <v>68</v>
      </c>
      <c r="F4703" s="19" t="str">
        <f>IFERROR(__xludf.DUMMYFUNCTION("""COMPUTED_VALUE"""),"BLUE")</f>
        <v>BLUE</v>
      </c>
      <c r="G4703" s="20" t="str">
        <f>IFERROR(__xludf.DUMMYFUNCTION("""COMPUTED_VALUE"""),"Uncle Sams Cider (04/04/2023)")</f>
        <v>Uncle Sams Cider (04/04/2023)</v>
      </c>
      <c r="H4703" s="19"/>
    </row>
    <row r="4704">
      <c r="A4704" s="9"/>
      <c r="B4704" s="15"/>
      <c r="C4704" s="9">
        <f>IFERROR(__xludf.DUMMYFUNCTION("""COMPUTED_VALUE"""),45095.3216385185)</f>
        <v>45095.32164</v>
      </c>
      <c r="D4704" s="15">
        <f>IFERROR(__xludf.DUMMYFUNCTION("""COMPUTED_VALUE"""),1.002)</f>
        <v>1.002</v>
      </c>
      <c r="E4704" s="16">
        <f>IFERROR(__xludf.DUMMYFUNCTION("""COMPUTED_VALUE"""),68.0)</f>
        <v>68</v>
      </c>
      <c r="F4704" s="19" t="str">
        <f>IFERROR(__xludf.DUMMYFUNCTION("""COMPUTED_VALUE"""),"BLUE")</f>
        <v>BLUE</v>
      </c>
      <c r="G4704" s="20" t="str">
        <f>IFERROR(__xludf.DUMMYFUNCTION("""COMPUTED_VALUE"""),"Uncle Sams Cider (04/04/2023)")</f>
        <v>Uncle Sams Cider (04/04/2023)</v>
      </c>
      <c r="H4704" s="19"/>
    </row>
    <row r="4705">
      <c r="A4705" s="9"/>
      <c r="B4705" s="15"/>
      <c r="C4705" s="9">
        <f>IFERROR(__xludf.DUMMYFUNCTION("""COMPUTED_VALUE"""),45095.3112049652)</f>
        <v>45095.3112</v>
      </c>
      <c r="D4705" s="15">
        <f>IFERROR(__xludf.DUMMYFUNCTION("""COMPUTED_VALUE"""),1.002)</f>
        <v>1.002</v>
      </c>
      <c r="E4705" s="16">
        <f>IFERROR(__xludf.DUMMYFUNCTION("""COMPUTED_VALUE"""),68.0)</f>
        <v>68</v>
      </c>
      <c r="F4705" s="19" t="str">
        <f>IFERROR(__xludf.DUMMYFUNCTION("""COMPUTED_VALUE"""),"BLUE")</f>
        <v>BLUE</v>
      </c>
      <c r="G4705" s="20" t="str">
        <f>IFERROR(__xludf.DUMMYFUNCTION("""COMPUTED_VALUE"""),"Uncle Sams Cider (04/04/2023)")</f>
        <v>Uncle Sams Cider (04/04/2023)</v>
      </c>
      <c r="H4705" s="19"/>
    </row>
    <row r="4706">
      <c r="A4706" s="9"/>
      <c r="B4706" s="15"/>
      <c r="C4706" s="9">
        <f>IFERROR(__xludf.DUMMYFUNCTION("""COMPUTED_VALUE"""),45095.3007733796)</f>
        <v>45095.30077</v>
      </c>
      <c r="D4706" s="15">
        <f>IFERROR(__xludf.DUMMYFUNCTION("""COMPUTED_VALUE"""),1.002)</f>
        <v>1.002</v>
      </c>
      <c r="E4706" s="16">
        <f>IFERROR(__xludf.DUMMYFUNCTION("""COMPUTED_VALUE"""),68.0)</f>
        <v>68</v>
      </c>
      <c r="F4706" s="19" t="str">
        <f>IFERROR(__xludf.DUMMYFUNCTION("""COMPUTED_VALUE"""),"BLUE")</f>
        <v>BLUE</v>
      </c>
      <c r="G4706" s="20" t="str">
        <f>IFERROR(__xludf.DUMMYFUNCTION("""COMPUTED_VALUE"""),"Uncle Sams Cider (04/04/2023)")</f>
        <v>Uncle Sams Cider (04/04/2023)</v>
      </c>
      <c r="H4706" s="19"/>
    </row>
    <row r="4707">
      <c r="A4707" s="9"/>
      <c r="B4707" s="15"/>
      <c r="C4707" s="9">
        <f>IFERROR(__xludf.DUMMYFUNCTION("""COMPUTED_VALUE"""),45095.2903508564)</f>
        <v>45095.29035</v>
      </c>
      <c r="D4707" s="15">
        <f>IFERROR(__xludf.DUMMYFUNCTION("""COMPUTED_VALUE"""),1.002)</f>
        <v>1.002</v>
      </c>
      <c r="E4707" s="16">
        <f>IFERROR(__xludf.DUMMYFUNCTION("""COMPUTED_VALUE"""),68.0)</f>
        <v>68</v>
      </c>
      <c r="F4707" s="19" t="str">
        <f>IFERROR(__xludf.DUMMYFUNCTION("""COMPUTED_VALUE"""),"BLUE")</f>
        <v>BLUE</v>
      </c>
      <c r="G4707" s="20" t="str">
        <f>IFERROR(__xludf.DUMMYFUNCTION("""COMPUTED_VALUE"""),"Uncle Sams Cider (04/04/2023)")</f>
        <v>Uncle Sams Cider (04/04/2023)</v>
      </c>
      <c r="H4707" s="19"/>
    </row>
    <row r="4708">
      <c r="A4708" s="9"/>
      <c r="B4708" s="15"/>
      <c r="C4708" s="9">
        <f>IFERROR(__xludf.DUMMYFUNCTION("""COMPUTED_VALUE"""),45095.2799300578)</f>
        <v>45095.27993</v>
      </c>
      <c r="D4708" s="15">
        <f>IFERROR(__xludf.DUMMYFUNCTION("""COMPUTED_VALUE"""),1.002)</f>
        <v>1.002</v>
      </c>
      <c r="E4708" s="16">
        <f>IFERROR(__xludf.DUMMYFUNCTION("""COMPUTED_VALUE"""),68.0)</f>
        <v>68</v>
      </c>
      <c r="F4708" s="19" t="str">
        <f>IFERROR(__xludf.DUMMYFUNCTION("""COMPUTED_VALUE"""),"BLUE")</f>
        <v>BLUE</v>
      </c>
      <c r="G4708" s="20" t="str">
        <f>IFERROR(__xludf.DUMMYFUNCTION("""COMPUTED_VALUE"""),"Uncle Sams Cider (04/04/2023)")</f>
        <v>Uncle Sams Cider (04/04/2023)</v>
      </c>
      <c r="H4708" s="19"/>
    </row>
    <row r="4709">
      <c r="A4709" s="9"/>
      <c r="B4709" s="15"/>
      <c r="C4709" s="9">
        <f>IFERROR(__xludf.DUMMYFUNCTION("""COMPUTED_VALUE"""),45095.2694965046)</f>
        <v>45095.2695</v>
      </c>
      <c r="D4709" s="15">
        <f>IFERROR(__xludf.DUMMYFUNCTION("""COMPUTED_VALUE"""),1.002)</f>
        <v>1.002</v>
      </c>
      <c r="E4709" s="16">
        <f>IFERROR(__xludf.DUMMYFUNCTION("""COMPUTED_VALUE"""),68.0)</f>
        <v>68</v>
      </c>
      <c r="F4709" s="19" t="str">
        <f>IFERROR(__xludf.DUMMYFUNCTION("""COMPUTED_VALUE"""),"BLUE")</f>
        <v>BLUE</v>
      </c>
      <c r="G4709" s="20" t="str">
        <f>IFERROR(__xludf.DUMMYFUNCTION("""COMPUTED_VALUE"""),"Uncle Sams Cider (04/04/2023)")</f>
        <v>Uncle Sams Cider (04/04/2023)</v>
      </c>
      <c r="H4709" s="19"/>
    </row>
    <row r="4710">
      <c r="A4710" s="9"/>
      <c r="B4710" s="15"/>
      <c r="C4710" s="9">
        <f>IFERROR(__xludf.DUMMYFUNCTION("""COMPUTED_VALUE"""),45095.2590765972)</f>
        <v>45095.25908</v>
      </c>
      <c r="D4710" s="15">
        <f>IFERROR(__xludf.DUMMYFUNCTION("""COMPUTED_VALUE"""),1.002)</f>
        <v>1.002</v>
      </c>
      <c r="E4710" s="16">
        <f>IFERROR(__xludf.DUMMYFUNCTION("""COMPUTED_VALUE"""),68.0)</f>
        <v>68</v>
      </c>
      <c r="F4710" s="19" t="str">
        <f>IFERROR(__xludf.DUMMYFUNCTION("""COMPUTED_VALUE"""),"BLUE")</f>
        <v>BLUE</v>
      </c>
      <c r="G4710" s="20" t="str">
        <f>IFERROR(__xludf.DUMMYFUNCTION("""COMPUTED_VALUE"""),"Uncle Sams Cider (04/04/2023)")</f>
        <v>Uncle Sams Cider (04/04/2023)</v>
      </c>
      <c r="H4710" s="19"/>
    </row>
    <row r="4711">
      <c r="A4711" s="9"/>
      <c r="B4711" s="15"/>
      <c r="C4711" s="9">
        <f>IFERROR(__xludf.DUMMYFUNCTION("""COMPUTED_VALUE"""),45095.2486538773)</f>
        <v>45095.24865</v>
      </c>
      <c r="D4711" s="15">
        <f>IFERROR(__xludf.DUMMYFUNCTION("""COMPUTED_VALUE"""),1.002)</f>
        <v>1.002</v>
      </c>
      <c r="E4711" s="16">
        <f>IFERROR(__xludf.DUMMYFUNCTION("""COMPUTED_VALUE"""),68.0)</f>
        <v>68</v>
      </c>
      <c r="F4711" s="19" t="str">
        <f>IFERROR(__xludf.DUMMYFUNCTION("""COMPUTED_VALUE"""),"BLUE")</f>
        <v>BLUE</v>
      </c>
      <c r="G4711" s="20" t="str">
        <f>IFERROR(__xludf.DUMMYFUNCTION("""COMPUTED_VALUE"""),"Uncle Sams Cider (04/04/2023)")</f>
        <v>Uncle Sams Cider (04/04/2023)</v>
      </c>
      <c r="H4711" s="19"/>
    </row>
    <row r="4712">
      <c r="A4712" s="9"/>
      <c r="B4712" s="15"/>
      <c r="C4712" s="9">
        <f>IFERROR(__xludf.DUMMYFUNCTION("""COMPUTED_VALUE"""),45095.23823478)</f>
        <v>45095.23823</v>
      </c>
      <c r="D4712" s="15">
        <f>IFERROR(__xludf.DUMMYFUNCTION("""COMPUTED_VALUE"""),1.002)</f>
        <v>1.002</v>
      </c>
      <c r="E4712" s="16">
        <f>IFERROR(__xludf.DUMMYFUNCTION("""COMPUTED_VALUE"""),68.0)</f>
        <v>68</v>
      </c>
      <c r="F4712" s="19" t="str">
        <f>IFERROR(__xludf.DUMMYFUNCTION("""COMPUTED_VALUE"""),"BLUE")</f>
        <v>BLUE</v>
      </c>
      <c r="G4712" s="20" t="str">
        <f>IFERROR(__xludf.DUMMYFUNCTION("""COMPUTED_VALUE"""),"Uncle Sams Cider (04/04/2023)")</f>
        <v>Uncle Sams Cider (04/04/2023)</v>
      </c>
      <c r="H4712" s="19"/>
    </row>
    <row r="4713">
      <c r="A4713" s="9"/>
      <c r="B4713" s="15"/>
      <c r="C4713" s="9">
        <f>IFERROR(__xludf.DUMMYFUNCTION("""COMPUTED_VALUE"""),45095.2278128009)</f>
        <v>45095.22781</v>
      </c>
      <c r="D4713" s="15">
        <f>IFERROR(__xludf.DUMMYFUNCTION("""COMPUTED_VALUE"""),1.002)</f>
        <v>1.002</v>
      </c>
      <c r="E4713" s="16">
        <f>IFERROR(__xludf.DUMMYFUNCTION("""COMPUTED_VALUE"""),68.0)</f>
        <v>68</v>
      </c>
      <c r="F4713" s="19" t="str">
        <f>IFERROR(__xludf.DUMMYFUNCTION("""COMPUTED_VALUE"""),"BLUE")</f>
        <v>BLUE</v>
      </c>
      <c r="G4713" s="20" t="str">
        <f>IFERROR(__xludf.DUMMYFUNCTION("""COMPUTED_VALUE"""),"Uncle Sams Cider (04/04/2023)")</f>
        <v>Uncle Sams Cider (04/04/2023)</v>
      </c>
      <c r="H4713" s="19"/>
    </row>
    <row r="4714">
      <c r="A4714" s="9"/>
      <c r="B4714" s="15"/>
      <c r="C4714" s="9">
        <f>IFERROR(__xludf.DUMMYFUNCTION("""COMPUTED_VALUE"""),45095.2173912731)</f>
        <v>45095.21739</v>
      </c>
      <c r="D4714" s="15">
        <f>IFERROR(__xludf.DUMMYFUNCTION("""COMPUTED_VALUE"""),1.002)</f>
        <v>1.002</v>
      </c>
      <c r="E4714" s="16">
        <f>IFERROR(__xludf.DUMMYFUNCTION("""COMPUTED_VALUE"""),68.0)</f>
        <v>68</v>
      </c>
      <c r="F4714" s="19" t="str">
        <f>IFERROR(__xludf.DUMMYFUNCTION("""COMPUTED_VALUE"""),"BLUE")</f>
        <v>BLUE</v>
      </c>
      <c r="G4714" s="20" t="str">
        <f>IFERROR(__xludf.DUMMYFUNCTION("""COMPUTED_VALUE"""),"Uncle Sams Cider (04/04/2023)")</f>
        <v>Uncle Sams Cider (04/04/2023)</v>
      </c>
      <c r="H4714" s="19"/>
    </row>
    <row r="4715">
      <c r="A4715" s="9"/>
      <c r="B4715" s="15"/>
      <c r="C4715" s="9">
        <f>IFERROR(__xludf.DUMMYFUNCTION("""COMPUTED_VALUE"""),45095.2069677199)</f>
        <v>45095.20697</v>
      </c>
      <c r="D4715" s="15">
        <f>IFERROR(__xludf.DUMMYFUNCTION("""COMPUTED_VALUE"""),1.002)</f>
        <v>1.002</v>
      </c>
      <c r="E4715" s="16">
        <f>IFERROR(__xludf.DUMMYFUNCTION("""COMPUTED_VALUE"""),68.0)</f>
        <v>68</v>
      </c>
      <c r="F4715" s="19" t="str">
        <f>IFERROR(__xludf.DUMMYFUNCTION("""COMPUTED_VALUE"""),"BLUE")</f>
        <v>BLUE</v>
      </c>
      <c r="G4715" s="20" t="str">
        <f>IFERROR(__xludf.DUMMYFUNCTION("""COMPUTED_VALUE"""),"Uncle Sams Cider (04/04/2023)")</f>
        <v>Uncle Sams Cider (04/04/2023)</v>
      </c>
      <c r="H4715" s="19"/>
    </row>
    <row r="4716">
      <c r="A4716" s="9"/>
      <c r="B4716" s="15"/>
      <c r="C4716" s="9">
        <f>IFERROR(__xludf.DUMMYFUNCTION("""COMPUTED_VALUE"""),45095.1965473611)</f>
        <v>45095.19655</v>
      </c>
      <c r="D4716" s="15">
        <f>IFERROR(__xludf.DUMMYFUNCTION("""COMPUTED_VALUE"""),1.002)</f>
        <v>1.002</v>
      </c>
      <c r="E4716" s="16">
        <f>IFERROR(__xludf.DUMMYFUNCTION("""COMPUTED_VALUE"""),68.0)</f>
        <v>68</v>
      </c>
      <c r="F4716" s="19" t="str">
        <f>IFERROR(__xludf.DUMMYFUNCTION("""COMPUTED_VALUE"""),"BLUE")</f>
        <v>BLUE</v>
      </c>
      <c r="G4716" s="20" t="str">
        <f>IFERROR(__xludf.DUMMYFUNCTION("""COMPUTED_VALUE"""),"Uncle Sams Cider (04/04/2023)")</f>
        <v>Uncle Sams Cider (04/04/2023)</v>
      </c>
      <c r="H4716" s="19"/>
    </row>
    <row r="4717">
      <c r="A4717" s="9"/>
      <c r="B4717" s="15"/>
      <c r="C4717" s="9">
        <f>IFERROR(__xludf.DUMMYFUNCTION("""COMPUTED_VALUE"""),45095.1861260301)</f>
        <v>45095.18613</v>
      </c>
      <c r="D4717" s="15">
        <f>IFERROR(__xludf.DUMMYFUNCTION("""COMPUTED_VALUE"""),1.002)</f>
        <v>1.002</v>
      </c>
      <c r="E4717" s="16">
        <f>IFERROR(__xludf.DUMMYFUNCTION("""COMPUTED_VALUE"""),68.0)</f>
        <v>68</v>
      </c>
      <c r="F4717" s="19" t="str">
        <f>IFERROR(__xludf.DUMMYFUNCTION("""COMPUTED_VALUE"""),"BLUE")</f>
        <v>BLUE</v>
      </c>
      <c r="G4717" s="20" t="str">
        <f>IFERROR(__xludf.DUMMYFUNCTION("""COMPUTED_VALUE"""),"Uncle Sams Cider (04/04/2023)")</f>
        <v>Uncle Sams Cider (04/04/2023)</v>
      </c>
      <c r="H4717" s="19"/>
    </row>
    <row r="4718">
      <c r="A4718" s="9"/>
      <c r="B4718" s="15"/>
      <c r="C4718" s="9">
        <f>IFERROR(__xludf.DUMMYFUNCTION("""COMPUTED_VALUE"""),45095.1756805787)</f>
        <v>45095.17568</v>
      </c>
      <c r="D4718" s="15">
        <f>IFERROR(__xludf.DUMMYFUNCTION("""COMPUTED_VALUE"""),1.002)</f>
        <v>1.002</v>
      </c>
      <c r="E4718" s="16">
        <f>IFERROR(__xludf.DUMMYFUNCTION("""COMPUTED_VALUE"""),68.0)</f>
        <v>68</v>
      </c>
      <c r="F4718" s="19" t="str">
        <f>IFERROR(__xludf.DUMMYFUNCTION("""COMPUTED_VALUE"""),"BLUE")</f>
        <v>BLUE</v>
      </c>
      <c r="G4718" s="20" t="str">
        <f>IFERROR(__xludf.DUMMYFUNCTION("""COMPUTED_VALUE"""),"Uncle Sams Cider (04/04/2023)")</f>
        <v>Uncle Sams Cider (04/04/2023)</v>
      </c>
      <c r="H4718" s="19"/>
    </row>
    <row r="4719">
      <c r="A4719" s="9"/>
      <c r="B4719" s="15"/>
      <c r="C4719" s="9">
        <f>IFERROR(__xludf.DUMMYFUNCTION("""COMPUTED_VALUE"""),45095.1652605439)</f>
        <v>45095.16526</v>
      </c>
      <c r="D4719" s="15">
        <f>IFERROR(__xludf.DUMMYFUNCTION("""COMPUTED_VALUE"""),1.002)</f>
        <v>1.002</v>
      </c>
      <c r="E4719" s="16">
        <f>IFERROR(__xludf.DUMMYFUNCTION("""COMPUTED_VALUE"""),68.0)</f>
        <v>68</v>
      </c>
      <c r="F4719" s="19" t="str">
        <f>IFERROR(__xludf.DUMMYFUNCTION("""COMPUTED_VALUE"""),"BLUE")</f>
        <v>BLUE</v>
      </c>
      <c r="G4719" s="20" t="str">
        <f>IFERROR(__xludf.DUMMYFUNCTION("""COMPUTED_VALUE"""),"Uncle Sams Cider (04/04/2023)")</f>
        <v>Uncle Sams Cider (04/04/2023)</v>
      </c>
      <c r="H4719" s="19"/>
    </row>
    <row r="4720">
      <c r="A4720" s="9"/>
      <c r="B4720" s="15"/>
      <c r="C4720" s="9">
        <f>IFERROR(__xludf.DUMMYFUNCTION("""COMPUTED_VALUE"""),45095.1548383333)</f>
        <v>45095.15484</v>
      </c>
      <c r="D4720" s="15">
        <f>IFERROR(__xludf.DUMMYFUNCTION("""COMPUTED_VALUE"""),1.002)</f>
        <v>1.002</v>
      </c>
      <c r="E4720" s="16">
        <f>IFERROR(__xludf.DUMMYFUNCTION("""COMPUTED_VALUE"""),68.0)</f>
        <v>68</v>
      </c>
      <c r="F4720" s="19" t="str">
        <f>IFERROR(__xludf.DUMMYFUNCTION("""COMPUTED_VALUE"""),"BLUE")</f>
        <v>BLUE</v>
      </c>
      <c r="G4720" s="20" t="str">
        <f>IFERROR(__xludf.DUMMYFUNCTION("""COMPUTED_VALUE"""),"Uncle Sams Cider (04/04/2023)")</f>
        <v>Uncle Sams Cider (04/04/2023)</v>
      </c>
      <c r="H4720" s="19"/>
    </row>
    <row r="4721">
      <c r="A4721" s="9"/>
      <c r="B4721" s="15"/>
      <c r="C4721" s="9">
        <f>IFERROR(__xludf.DUMMYFUNCTION("""COMPUTED_VALUE"""),45095.1444193402)</f>
        <v>45095.14442</v>
      </c>
      <c r="D4721" s="15">
        <f>IFERROR(__xludf.DUMMYFUNCTION("""COMPUTED_VALUE"""),1.002)</f>
        <v>1.002</v>
      </c>
      <c r="E4721" s="16">
        <f>IFERROR(__xludf.DUMMYFUNCTION("""COMPUTED_VALUE"""),68.0)</f>
        <v>68</v>
      </c>
      <c r="F4721" s="19" t="str">
        <f>IFERROR(__xludf.DUMMYFUNCTION("""COMPUTED_VALUE"""),"BLUE")</f>
        <v>BLUE</v>
      </c>
      <c r="G4721" s="20" t="str">
        <f>IFERROR(__xludf.DUMMYFUNCTION("""COMPUTED_VALUE"""),"Uncle Sams Cider (04/04/2023)")</f>
        <v>Uncle Sams Cider (04/04/2023)</v>
      </c>
      <c r="H4721" s="19"/>
    </row>
    <row r="4722">
      <c r="A4722" s="9"/>
      <c r="B4722" s="15"/>
      <c r="C4722" s="9">
        <f>IFERROR(__xludf.DUMMYFUNCTION("""COMPUTED_VALUE"""),45095.1339866666)</f>
        <v>45095.13399</v>
      </c>
      <c r="D4722" s="15">
        <f>IFERROR(__xludf.DUMMYFUNCTION("""COMPUTED_VALUE"""),1.002)</f>
        <v>1.002</v>
      </c>
      <c r="E4722" s="16">
        <f>IFERROR(__xludf.DUMMYFUNCTION("""COMPUTED_VALUE"""),68.0)</f>
        <v>68</v>
      </c>
      <c r="F4722" s="19" t="str">
        <f>IFERROR(__xludf.DUMMYFUNCTION("""COMPUTED_VALUE"""),"BLUE")</f>
        <v>BLUE</v>
      </c>
      <c r="G4722" s="20" t="str">
        <f>IFERROR(__xludf.DUMMYFUNCTION("""COMPUTED_VALUE"""),"Uncle Sams Cider (04/04/2023)")</f>
        <v>Uncle Sams Cider (04/04/2023)</v>
      </c>
      <c r="H4722" s="19"/>
    </row>
    <row r="4723">
      <c r="A4723" s="9"/>
      <c r="B4723" s="15"/>
      <c r="C4723" s="9">
        <f>IFERROR(__xludf.DUMMYFUNCTION("""COMPUTED_VALUE"""),45095.1235660532)</f>
        <v>45095.12357</v>
      </c>
      <c r="D4723" s="15">
        <f>IFERROR(__xludf.DUMMYFUNCTION("""COMPUTED_VALUE"""),1.002)</f>
        <v>1.002</v>
      </c>
      <c r="E4723" s="16">
        <f>IFERROR(__xludf.DUMMYFUNCTION("""COMPUTED_VALUE"""),68.0)</f>
        <v>68</v>
      </c>
      <c r="F4723" s="19" t="str">
        <f>IFERROR(__xludf.DUMMYFUNCTION("""COMPUTED_VALUE"""),"BLUE")</f>
        <v>BLUE</v>
      </c>
      <c r="G4723" s="20" t="str">
        <f>IFERROR(__xludf.DUMMYFUNCTION("""COMPUTED_VALUE"""),"Uncle Sams Cider (04/04/2023)")</f>
        <v>Uncle Sams Cider (04/04/2023)</v>
      </c>
      <c r="H4723" s="19"/>
    </row>
    <row r="4724">
      <c r="A4724" s="9"/>
      <c r="B4724" s="15"/>
      <c r="C4724" s="9">
        <f>IFERROR(__xludf.DUMMYFUNCTION("""COMPUTED_VALUE"""),45095.1131340393)</f>
        <v>45095.11313</v>
      </c>
      <c r="D4724" s="15">
        <f>IFERROR(__xludf.DUMMYFUNCTION("""COMPUTED_VALUE"""),1.002)</f>
        <v>1.002</v>
      </c>
      <c r="E4724" s="16">
        <f>IFERROR(__xludf.DUMMYFUNCTION("""COMPUTED_VALUE"""),68.0)</f>
        <v>68</v>
      </c>
      <c r="F4724" s="19" t="str">
        <f>IFERROR(__xludf.DUMMYFUNCTION("""COMPUTED_VALUE"""),"BLUE")</f>
        <v>BLUE</v>
      </c>
      <c r="G4724" s="20" t="str">
        <f>IFERROR(__xludf.DUMMYFUNCTION("""COMPUTED_VALUE"""),"Uncle Sams Cider (04/04/2023)")</f>
        <v>Uncle Sams Cider (04/04/2023)</v>
      </c>
      <c r="H4724" s="19"/>
    </row>
    <row r="4725">
      <c r="A4725" s="9"/>
      <c r="B4725" s="15"/>
      <c r="C4725" s="9">
        <f>IFERROR(__xludf.DUMMYFUNCTION("""COMPUTED_VALUE"""),45095.102712037)</f>
        <v>45095.10271</v>
      </c>
      <c r="D4725" s="15">
        <f>IFERROR(__xludf.DUMMYFUNCTION("""COMPUTED_VALUE"""),1.002)</f>
        <v>1.002</v>
      </c>
      <c r="E4725" s="16">
        <f>IFERROR(__xludf.DUMMYFUNCTION("""COMPUTED_VALUE"""),68.0)</f>
        <v>68</v>
      </c>
      <c r="F4725" s="19" t="str">
        <f>IFERROR(__xludf.DUMMYFUNCTION("""COMPUTED_VALUE"""),"BLUE")</f>
        <v>BLUE</v>
      </c>
      <c r="G4725" s="20" t="str">
        <f>IFERROR(__xludf.DUMMYFUNCTION("""COMPUTED_VALUE"""),"Uncle Sams Cider (04/04/2023)")</f>
        <v>Uncle Sams Cider (04/04/2023)</v>
      </c>
      <c r="H4725" s="19"/>
    </row>
    <row r="4726">
      <c r="A4726" s="9"/>
      <c r="B4726" s="15"/>
      <c r="C4726" s="9">
        <f>IFERROR(__xludf.DUMMYFUNCTION("""COMPUTED_VALUE"""),45095.0818565856)</f>
        <v>45095.08186</v>
      </c>
      <c r="D4726" s="15">
        <f>IFERROR(__xludf.DUMMYFUNCTION("""COMPUTED_VALUE"""),1.002)</f>
        <v>1.002</v>
      </c>
      <c r="E4726" s="16">
        <f>IFERROR(__xludf.DUMMYFUNCTION("""COMPUTED_VALUE"""),68.0)</f>
        <v>68</v>
      </c>
      <c r="F4726" s="19" t="str">
        <f>IFERROR(__xludf.DUMMYFUNCTION("""COMPUTED_VALUE"""),"BLUE")</f>
        <v>BLUE</v>
      </c>
      <c r="G4726" s="20" t="str">
        <f>IFERROR(__xludf.DUMMYFUNCTION("""COMPUTED_VALUE"""),"Uncle Sams Cider (04/04/2023)")</f>
        <v>Uncle Sams Cider (04/04/2023)</v>
      </c>
      <c r="H4726" s="19"/>
    </row>
    <row r="4727">
      <c r="A4727" s="9"/>
      <c r="B4727" s="15"/>
      <c r="C4727" s="9">
        <f>IFERROR(__xludf.DUMMYFUNCTION("""COMPUTED_VALUE"""),45095.0714341666)</f>
        <v>45095.07143</v>
      </c>
      <c r="D4727" s="15">
        <f>IFERROR(__xludf.DUMMYFUNCTION("""COMPUTED_VALUE"""),1.002)</f>
        <v>1.002</v>
      </c>
      <c r="E4727" s="16">
        <f>IFERROR(__xludf.DUMMYFUNCTION("""COMPUTED_VALUE"""),68.0)</f>
        <v>68</v>
      </c>
      <c r="F4727" s="19" t="str">
        <f>IFERROR(__xludf.DUMMYFUNCTION("""COMPUTED_VALUE"""),"BLUE")</f>
        <v>BLUE</v>
      </c>
      <c r="G4727" s="20" t="str">
        <f>IFERROR(__xludf.DUMMYFUNCTION("""COMPUTED_VALUE"""),"Uncle Sams Cider (04/04/2023)")</f>
        <v>Uncle Sams Cider (04/04/2023)</v>
      </c>
      <c r="H4727" s="19"/>
    </row>
    <row r="4728">
      <c r="A4728" s="9"/>
      <c r="B4728" s="15"/>
      <c r="C4728" s="9">
        <f>IFERROR(__xludf.DUMMYFUNCTION("""COMPUTED_VALUE"""),45095.0610016319)</f>
        <v>45095.061</v>
      </c>
      <c r="D4728" s="15">
        <f>IFERROR(__xludf.DUMMYFUNCTION("""COMPUTED_VALUE"""),1.002)</f>
        <v>1.002</v>
      </c>
      <c r="E4728" s="16">
        <f>IFERROR(__xludf.DUMMYFUNCTION("""COMPUTED_VALUE"""),68.0)</f>
        <v>68</v>
      </c>
      <c r="F4728" s="19" t="str">
        <f>IFERROR(__xludf.DUMMYFUNCTION("""COMPUTED_VALUE"""),"BLUE")</f>
        <v>BLUE</v>
      </c>
      <c r="G4728" s="20" t="str">
        <f>IFERROR(__xludf.DUMMYFUNCTION("""COMPUTED_VALUE"""),"Uncle Sams Cider (04/04/2023)")</f>
        <v>Uncle Sams Cider (04/04/2023)</v>
      </c>
      <c r="H4728" s="19"/>
    </row>
    <row r="4729">
      <c r="A4729" s="9"/>
      <c r="B4729" s="15"/>
      <c r="C4729" s="9">
        <f>IFERROR(__xludf.DUMMYFUNCTION("""COMPUTED_VALUE"""),45095.0505805787)</f>
        <v>45095.05058</v>
      </c>
      <c r="D4729" s="15">
        <f>IFERROR(__xludf.DUMMYFUNCTION("""COMPUTED_VALUE"""),1.002)</f>
        <v>1.002</v>
      </c>
      <c r="E4729" s="16">
        <f>IFERROR(__xludf.DUMMYFUNCTION("""COMPUTED_VALUE"""),68.0)</f>
        <v>68</v>
      </c>
      <c r="F4729" s="19" t="str">
        <f>IFERROR(__xludf.DUMMYFUNCTION("""COMPUTED_VALUE"""),"BLUE")</f>
        <v>BLUE</v>
      </c>
      <c r="G4729" s="20" t="str">
        <f>IFERROR(__xludf.DUMMYFUNCTION("""COMPUTED_VALUE"""),"Uncle Sams Cider (04/04/2023)")</f>
        <v>Uncle Sams Cider (04/04/2023)</v>
      </c>
      <c r="H4729" s="19"/>
    </row>
    <row r="4730">
      <c r="A4730" s="9"/>
      <c r="B4730" s="15"/>
      <c r="C4730" s="9">
        <f>IFERROR(__xludf.DUMMYFUNCTION("""COMPUTED_VALUE"""),45095.0401591203)</f>
        <v>45095.04016</v>
      </c>
      <c r="D4730" s="15">
        <f>IFERROR(__xludf.DUMMYFUNCTION("""COMPUTED_VALUE"""),1.002)</f>
        <v>1.002</v>
      </c>
      <c r="E4730" s="16">
        <f>IFERROR(__xludf.DUMMYFUNCTION("""COMPUTED_VALUE"""),68.0)</f>
        <v>68</v>
      </c>
      <c r="F4730" s="19" t="str">
        <f>IFERROR(__xludf.DUMMYFUNCTION("""COMPUTED_VALUE"""),"BLUE")</f>
        <v>BLUE</v>
      </c>
      <c r="G4730" s="20" t="str">
        <f>IFERROR(__xludf.DUMMYFUNCTION("""COMPUTED_VALUE"""),"Uncle Sams Cider (04/04/2023)")</f>
        <v>Uncle Sams Cider (04/04/2023)</v>
      </c>
      <c r="H4730" s="19"/>
    </row>
    <row r="4731">
      <c r="A4731" s="9"/>
      <c r="B4731" s="15"/>
      <c r="C4731" s="9">
        <f>IFERROR(__xludf.DUMMYFUNCTION("""COMPUTED_VALUE"""),45095.0297380208)</f>
        <v>45095.02974</v>
      </c>
      <c r="D4731" s="15">
        <f>IFERROR(__xludf.DUMMYFUNCTION("""COMPUTED_VALUE"""),1.002)</f>
        <v>1.002</v>
      </c>
      <c r="E4731" s="16">
        <f>IFERROR(__xludf.DUMMYFUNCTION("""COMPUTED_VALUE"""),68.0)</f>
        <v>68</v>
      </c>
      <c r="F4731" s="19" t="str">
        <f>IFERROR(__xludf.DUMMYFUNCTION("""COMPUTED_VALUE"""),"BLUE")</f>
        <v>BLUE</v>
      </c>
      <c r="G4731" s="20" t="str">
        <f>IFERROR(__xludf.DUMMYFUNCTION("""COMPUTED_VALUE"""),"Uncle Sams Cider (04/04/2023)")</f>
        <v>Uncle Sams Cider (04/04/2023)</v>
      </c>
      <c r="H4731" s="19"/>
    </row>
    <row r="4732">
      <c r="A4732" s="9"/>
      <c r="B4732" s="15"/>
      <c r="C4732" s="9">
        <f>IFERROR(__xludf.DUMMYFUNCTION("""COMPUTED_VALUE"""),45095.0193170717)</f>
        <v>45095.01932</v>
      </c>
      <c r="D4732" s="15">
        <f>IFERROR(__xludf.DUMMYFUNCTION("""COMPUTED_VALUE"""),1.002)</f>
        <v>1.002</v>
      </c>
      <c r="E4732" s="16">
        <f>IFERROR(__xludf.DUMMYFUNCTION("""COMPUTED_VALUE"""),68.0)</f>
        <v>68</v>
      </c>
      <c r="F4732" s="19" t="str">
        <f>IFERROR(__xludf.DUMMYFUNCTION("""COMPUTED_VALUE"""),"BLUE")</f>
        <v>BLUE</v>
      </c>
      <c r="G4732" s="20" t="str">
        <f>IFERROR(__xludf.DUMMYFUNCTION("""COMPUTED_VALUE"""),"Uncle Sams Cider (04/04/2023)")</f>
        <v>Uncle Sams Cider (04/04/2023)</v>
      </c>
      <c r="H4732" s="19"/>
    </row>
    <row r="4733">
      <c r="A4733" s="9"/>
      <c r="B4733" s="15"/>
      <c r="C4733" s="9">
        <f>IFERROR(__xludf.DUMMYFUNCTION("""COMPUTED_VALUE"""),45095.0088962847)</f>
        <v>45095.0089</v>
      </c>
      <c r="D4733" s="15">
        <f>IFERROR(__xludf.DUMMYFUNCTION("""COMPUTED_VALUE"""),1.002)</f>
        <v>1.002</v>
      </c>
      <c r="E4733" s="16">
        <f>IFERROR(__xludf.DUMMYFUNCTION("""COMPUTED_VALUE"""),68.0)</f>
        <v>68</v>
      </c>
      <c r="F4733" s="19" t="str">
        <f>IFERROR(__xludf.DUMMYFUNCTION("""COMPUTED_VALUE"""),"BLUE")</f>
        <v>BLUE</v>
      </c>
      <c r="G4733" s="20" t="str">
        <f>IFERROR(__xludf.DUMMYFUNCTION("""COMPUTED_VALUE"""),"Uncle Sams Cider (04/04/2023)")</f>
        <v>Uncle Sams Cider (04/04/2023)</v>
      </c>
      <c r="H4733" s="19"/>
    </row>
    <row r="4734">
      <c r="A4734" s="9"/>
      <c r="B4734" s="15"/>
      <c r="C4734" s="9">
        <f>IFERROR(__xludf.DUMMYFUNCTION("""COMPUTED_VALUE"""),45094.9984643865)</f>
        <v>45094.99846</v>
      </c>
      <c r="D4734" s="15">
        <f>IFERROR(__xludf.DUMMYFUNCTION("""COMPUTED_VALUE"""),1.002)</f>
        <v>1.002</v>
      </c>
      <c r="E4734" s="16">
        <f>IFERROR(__xludf.DUMMYFUNCTION("""COMPUTED_VALUE"""),68.0)</f>
        <v>68</v>
      </c>
      <c r="F4734" s="19" t="str">
        <f>IFERROR(__xludf.DUMMYFUNCTION("""COMPUTED_VALUE"""),"BLUE")</f>
        <v>BLUE</v>
      </c>
      <c r="G4734" s="20" t="str">
        <f>IFERROR(__xludf.DUMMYFUNCTION("""COMPUTED_VALUE"""),"Uncle Sams Cider (04/04/2023)")</f>
        <v>Uncle Sams Cider (04/04/2023)</v>
      </c>
      <c r="H4734" s="19"/>
    </row>
    <row r="4735">
      <c r="A4735" s="9"/>
      <c r="B4735" s="15"/>
      <c r="C4735" s="9">
        <f>IFERROR(__xludf.DUMMYFUNCTION("""COMPUTED_VALUE"""),45094.988044537)</f>
        <v>45094.98804</v>
      </c>
      <c r="D4735" s="15">
        <f>IFERROR(__xludf.DUMMYFUNCTION("""COMPUTED_VALUE"""),1.002)</f>
        <v>1.002</v>
      </c>
      <c r="E4735" s="16">
        <f>IFERROR(__xludf.DUMMYFUNCTION("""COMPUTED_VALUE"""),68.0)</f>
        <v>68</v>
      </c>
      <c r="F4735" s="19" t="str">
        <f>IFERROR(__xludf.DUMMYFUNCTION("""COMPUTED_VALUE"""),"BLUE")</f>
        <v>BLUE</v>
      </c>
      <c r="G4735" s="20" t="str">
        <f>IFERROR(__xludf.DUMMYFUNCTION("""COMPUTED_VALUE"""),"Uncle Sams Cider (04/04/2023)")</f>
        <v>Uncle Sams Cider (04/04/2023)</v>
      </c>
      <c r="H4735" s="19"/>
    </row>
    <row r="4736">
      <c r="A4736" s="9"/>
      <c r="B4736" s="15"/>
      <c r="C4736" s="9">
        <f>IFERROR(__xludf.DUMMYFUNCTION("""COMPUTED_VALUE"""),45094.9775988773)</f>
        <v>45094.9776</v>
      </c>
      <c r="D4736" s="15">
        <f>IFERROR(__xludf.DUMMYFUNCTION("""COMPUTED_VALUE"""),1.002)</f>
        <v>1.002</v>
      </c>
      <c r="E4736" s="16">
        <f>IFERROR(__xludf.DUMMYFUNCTION("""COMPUTED_VALUE"""),68.0)</f>
        <v>68</v>
      </c>
      <c r="F4736" s="19" t="str">
        <f>IFERROR(__xludf.DUMMYFUNCTION("""COMPUTED_VALUE"""),"BLUE")</f>
        <v>BLUE</v>
      </c>
      <c r="G4736" s="20" t="str">
        <f>IFERROR(__xludf.DUMMYFUNCTION("""COMPUTED_VALUE"""),"Uncle Sams Cider (04/04/2023)")</f>
        <v>Uncle Sams Cider (04/04/2023)</v>
      </c>
      <c r="H4736" s="19"/>
    </row>
    <row r="4737">
      <c r="A4737" s="9"/>
      <c r="B4737" s="15"/>
      <c r="C4737" s="9">
        <f>IFERROR(__xludf.DUMMYFUNCTION("""COMPUTED_VALUE"""),45094.9671662152)</f>
        <v>45094.96717</v>
      </c>
      <c r="D4737" s="15">
        <f>IFERROR(__xludf.DUMMYFUNCTION("""COMPUTED_VALUE"""),1.002)</f>
        <v>1.002</v>
      </c>
      <c r="E4737" s="16">
        <f>IFERROR(__xludf.DUMMYFUNCTION("""COMPUTED_VALUE"""),68.0)</f>
        <v>68</v>
      </c>
      <c r="F4737" s="19" t="str">
        <f>IFERROR(__xludf.DUMMYFUNCTION("""COMPUTED_VALUE"""),"BLUE")</f>
        <v>BLUE</v>
      </c>
      <c r="G4737" s="20" t="str">
        <f>IFERROR(__xludf.DUMMYFUNCTION("""COMPUTED_VALUE"""),"Uncle Sams Cider (04/04/2023)")</f>
        <v>Uncle Sams Cider (04/04/2023)</v>
      </c>
      <c r="H4737" s="19"/>
    </row>
    <row r="4738">
      <c r="A4738" s="9"/>
      <c r="B4738" s="15"/>
      <c r="C4738" s="9">
        <f>IFERROR(__xludf.DUMMYFUNCTION("""COMPUTED_VALUE"""),45094.956745324)</f>
        <v>45094.95675</v>
      </c>
      <c r="D4738" s="15">
        <f>IFERROR(__xludf.DUMMYFUNCTION("""COMPUTED_VALUE"""),1.002)</f>
        <v>1.002</v>
      </c>
      <c r="E4738" s="16">
        <f>IFERROR(__xludf.DUMMYFUNCTION("""COMPUTED_VALUE"""),68.0)</f>
        <v>68</v>
      </c>
      <c r="F4738" s="19" t="str">
        <f>IFERROR(__xludf.DUMMYFUNCTION("""COMPUTED_VALUE"""),"BLUE")</f>
        <v>BLUE</v>
      </c>
      <c r="G4738" s="20" t="str">
        <f>IFERROR(__xludf.DUMMYFUNCTION("""COMPUTED_VALUE"""),"Uncle Sams Cider (04/04/2023)")</f>
        <v>Uncle Sams Cider (04/04/2023)</v>
      </c>
      <c r="H4738" s="19"/>
    </row>
    <row r="4739">
      <c r="A4739" s="9"/>
      <c r="B4739" s="15"/>
      <c r="C4739" s="9">
        <f>IFERROR(__xludf.DUMMYFUNCTION("""COMPUTED_VALUE"""),45094.9463014467)</f>
        <v>45094.9463</v>
      </c>
      <c r="D4739" s="15">
        <f>IFERROR(__xludf.DUMMYFUNCTION("""COMPUTED_VALUE"""),1.002)</f>
        <v>1.002</v>
      </c>
      <c r="E4739" s="16">
        <f>IFERROR(__xludf.DUMMYFUNCTION("""COMPUTED_VALUE"""),68.0)</f>
        <v>68</v>
      </c>
      <c r="F4739" s="19" t="str">
        <f>IFERROR(__xludf.DUMMYFUNCTION("""COMPUTED_VALUE"""),"BLUE")</f>
        <v>BLUE</v>
      </c>
      <c r="G4739" s="20" t="str">
        <f>IFERROR(__xludf.DUMMYFUNCTION("""COMPUTED_VALUE"""),"Uncle Sams Cider (04/04/2023)")</f>
        <v>Uncle Sams Cider (04/04/2023)</v>
      </c>
      <c r="H4739" s="19"/>
    </row>
    <row r="4740">
      <c r="A4740" s="9"/>
      <c r="B4740" s="15"/>
      <c r="C4740" s="9">
        <f>IFERROR(__xludf.DUMMYFUNCTION("""COMPUTED_VALUE"""),45094.935880787)</f>
        <v>45094.93588</v>
      </c>
      <c r="D4740" s="15">
        <f>IFERROR(__xludf.DUMMYFUNCTION("""COMPUTED_VALUE"""),1.002)</f>
        <v>1.002</v>
      </c>
      <c r="E4740" s="16">
        <f>IFERROR(__xludf.DUMMYFUNCTION("""COMPUTED_VALUE"""),68.0)</f>
        <v>68</v>
      </c>
      <c r="F4740" s="19" t="str">
        <f>IFERROR(__xludf.DUMMYFUNCTION("""COMPUTED_VALUE"""),"BLUE")</f>
        <v>BLUE</v>
      </c>
      <c r="G4740" s="20" t="str">
        <f>IFERROR(__xludf.DUMMYFUNCTION("""COMPUTED_VALUE"""),"Uncle Sams Cider (04/04/2023)")</f>
        <v>Uncle Sams Cider (04/04/2023)</v>
      </c>
      <c r="H4740" s="19"/>
    </row>
    <row r="4741">
      <c r="A4741" s="9"/>
      <c r="B4741" s="15"/>
      <c r="C4741" s="9">
        <f>IFERROR(__xludf.DUMMYFUNCTION("""COMPUTED_VALUE"""),45094.925449074)</f>
        <v>45094.92545</v>
      </c>
      <c r="D4741" s="15">
        <f>IFERROR(__xludf.DUMMYFUNCTION("""COMPUTED_VALUE"""),1.002)</f>
        <v>1.002</v>
      </c>
      <c r="E4741" s="16">
        <f>IFERROR(__xludf.DUMMYFUNCTION("""COMPUTED_VALUE"""),68.0)</f>
        <v>68</v>
      </c>
      <c r="F4741" s="19" t="str">
        <f>IFERROR(__xludf.DUMMYFUNCTION("""COMPUTED_VALUE"""),"BLUE")</f>
        <v>BLUE</v>
      </c>
      <c r="G4741" s="20" t="str">
        <f>IFERROR(__xludf.DUMMYFUNCTION("""COMPUTED_VALUE"""),"Uncle Sams Cider (04/04/2023)")</f>
        <v>Uncle Sams Cider (04/04/2023)</v>
      </c>
      <c r="H4741" s="19"/>
    </row>
    <row r="4742">
      <c r="A4742" s="9"/>
      <c r="B4742" s="15"/>
      <c r="C4742" s="9">
        <f>IFERROR(__xludf.DUMMYFUNCTION("""COMPUTED_VALUE"""),45094.9150291898)</f>
        <v>45094.91503</v>
      </c>
      <c r="D4742" s="15">
        <f>IFERROR(__xludf.DUMMYFUNCTION("""COMPUTED_VALUE"""),1.002)</f>
        <v>1.002</v>
      </c>
      <c r="E4742" s="16">
        <f>IFERROR(__xludf.DUMMYFUNCTION("""COMPUTED_VALUE"""),68.0)</f>
        <v>68</v>
      </c>
      <c r="F4742" s="19" t="str">
        <f>IFERROR(__xludf.DUMMYFUNCTION("""COMPUTED_VALUE"""),"BLUE")</f>
        <v>BLUE</v>
      </c>
      <c r="G4742" s="20" t="str">
        <f>IFERROR(__xludf.DUMMYFUNCTION("""COMPUTED_VALUE"""),"Uncle Sams Cider (04/04/2023)")</f>
        <v>Uncle Sams Cider (04/04/2023)</v>
      </c>
      <c r="H4742" s="19"/>
    </row>
    <row r="4743">
      <c r="A4743" s="9"/>
      <c r="B4743" s="15"/>
      <c r="C4743" s="9">
        <f>IFERROR(__xludf.DUMMYFUNCTION("""COMPUTED_VALUE"""),45094.9046077893)</f>
        <v>45094.90461</v>
      </c>
      <c r="D4743" s="15">
        <f>IFERROR(__xludf.DUMMYFUNCTION("""COMPUTED_VALUE"""),1.002)</f>
        <v>1.002</v>
      </c>
      <c r="E4743" s="16">
        <f>IFERROR(__xludf.DUMMYFUNCTION("""COMPUTED_VALUE"""),68.0)</f>
        <v>68</v>
      </c>
      <c r="F4743" s="19" t="str">
        <f>IFERROR(__xludf.DUMMYFUNCTION("""COMPUTED_VALUE"""),"BLUE")</f>
        <v>BLUE</v>
      </c>
      <c r="G4743" s="20" t="str">
        <f>IFERROR(__xludf.DUMMYFUNCTION("""COMPUTED_VALUE"""),"Uncle Sams Cider (04/04/2023)")</f>
        <v>Uncle Sams Cider (04/04/2023)</v>
      </c>
      <c r="H4743" s="19"/>
    </row>
    <row r="4744">
      <c r="A4744" s="9"/>
      <c r="B4744" s="15"/>
      <c r="C4744" s="9">
        <f>IFERROR(__xludf.DUMMYFUNCTION("""COMPUTED_VALUE"""),45094.8941753472)</f>
        <v>45094.89418</v>
      </c>
      <c r="D4744" s="15">
        <f>IFERROR(__xludf.DUMMYFUNCTION("""COMPUTED_VALUE"""),1.002)</f>
        <v>1.002</v>
      </c>
      <c r="E4744" s="16">
        <f>IFERROR(__xludf.DUMMYFUNCTION("""COMPUTED_VALUE"""),68.0)</f>
        <v>68</v>
      </c>
      <c r="F4744" s="19" t="str">
        <f>IFERROR(__xludf.DUMMYFUNCTION("""COMPUTED_VALUE"""),"BLUE")</f>
        <v>BLUE</v>
      </c>
      <c r="G4744" s="20" t="str">
        <f>IFERROR(__xludf.DUMMYFUNCTION("""COMPUTED_VALUE"""),"Uncle Sams Cider (04/04/2023)")</f>
        <v>Uncle Sams Cider (04/04/2023)</v>
      </c>
      <c r="H4744" s="19"/>
    </row>
    <row r="4745">
      <c r="A4745" s="9"/>
      <c r="B4745" s="15"/>
      <c r="C4745" s="9">
        <f>IFERROR(__xludf.DUMMYFUNCTION("""COMPUTED_VALUE"""),45094.8837550347)</f>
        <v>45094.88376</v>
      </c>
      <c r="D4745" s="15">
        <f>IFERROR(__xludf.DUMMYFUNCTION("""COMPUTED_VALUE"""),1.002)</f>
        <v>1.002</v>
      </c>
      <c r="E4745" s="16">
        <f>IFERROR(__xludf.DUMMYFUNCTION("""COMPUTED_VALUE"""),68.0)</f>
        <v>68</v>
      </c>
      <c r="F4745" s="19" t="str">
        <f>IFERROR(__xludf.DUMMYFUNCTION("""COMPUTED_VALUE"""),"BLUE")</f>
        <v>BLUE</v>
      </c>
      <c r="G4745" s="20" t="str">
        <f>IFERROR(__xludf.DUMMYFUNCTION("""COMPUTED_VALUE"""),"Uncle Sams Cider (04/04/2023)")</f>
        <v>Uncle Sams Cider (04/04/2023)</v>
      </c>
      <c r="H4745" s="19"/>
    </row>
    <row r="4746">
      <c r="A4746" s="9"/>
      <c r="B4746" s="15"/>
      <c r="C4746" s="9">
        <f>IFERROR(__xludf.DUMMYFUNCTION("""COMPUTED_VALUE"""),45094.8733325347)</f>
        <v>45094.87333</v>
      </c>
      <c r="D4746" s="15">
        <f>IFERROR(__xludf.DUMMYFUNCTION("""COMPUTED_VALUE"""),1.002)</f>
        <v>1.002</v>
      </c>
      <c r="E4746" s="16">
        <f>IFERROR(__xludf.DUMMYFUNCTION("""COMPUTED_VALUE"""),68.0)</f>
        <v>68</v>
      </c>
      <c r="F4746" s="19" t="str">
        <f>IFERROR(__xludf.DUMMYFUNCTION("""COMPUTED_VALUE"""),"BLUE")</f>
        <v>BLUE</v>
      </c>
      <c r="G4746" s="20" t="str">
        <f>IFERROR(__xludf.DUMMYFUNCTION("""COMPUTED_VALUE"""),"Uncle Sams Cider (04/04/2023)")</f>
        <v>Uncle Sams Cider (04/04/2023)</v>
      </c>
      <c r="H4746" s="19"/>
    </row>
    <row r="4747">
      <c r="A4747" s="9"/>
      <c r="B4747" s="15"/>
      <c r="C4747" s="9">
        <f>IFERROR(__xludf.DUMMYFUNCTION("""COMPUTED_VALUE"""),45094.8628887152)</f>
        <v>45094.86289</v>
      </c>
      <c r="D4747" s="15">
        <f>IFERROR(__xludf.DUMMYFUNCTION("""COMPUTED_VALUE"""),1.002)</f>
        <v>1.002</v>
      </c>
      <c r="E4747" s="16">
        <f>IFERROR(__xludf.DUMMYFUNCTION("""COMPUTED_VALUE"""),68.0)</f>
        <v>68</v>
      </c>
      <c r="F4747" s="19" t="str">
        <f>IFERROR(__xludf.DUMMYFUNCTION("""COMPUTED_VALUE"""),"BLUE")</f>
        <v>BLUE</v>
      </c>
      <c r="G4747" s="20" t="str">
        <f>IFERROR(__xludf.DUMMYFUNCTION("""COMPUTED_VALUE"""),"Uncle Sams Cider (04/04/2023)")</f>
        <v>Uncle Sams Cider (04/04/2023)</v>
      </c>
      <c r="H4747" s="19"/>
    </row>
    <row r="4748">
      <c r="A4748" s="9"/>
      <c r="B4748" s="15"/>
      <c r="C4748" s="9">
        <f>IFERROR(__xludf.DUMMYFUNCTION("""COMPUTED_VALUE"""),45094.8524678009)</f>
        <v>45094.85247</v>
      </c>
      <c r="D4748" s="15">
        <f>IFERROR(__xludf.DUMMYFUNCTION("""COMPUTED_VALUE"""),1.002)</f>
        <v>1.002</v>
      </c>
      <c r="E4748" s="16">
        <f>IFERROR(__xludf.DUMMYFUNCTION("""COMPUTED_VALUE"""),68.0)</f>
        <v>68</v>
      </c>
      <c r="F4748" s="19" t="str">
        <f>IFERROR(__xludf.DUMMYFUNCTION("""COMPUTED_VALUE"""),"BLUE")</f>
        <v>BLUE</v>
      </c>
      <c r="G4748" s="20" t="str">
        <f>IFERROR(__xludf.DUMMYFUNCTION("""COMPUTED_VALUE"""),"Uncle Sams Cider (04/04/2023)")</f>
        <v>Uncle Sams Cider (04/04/2023)</v>
      </c>
      <c r="H4748" s="19"/>
    </row>
    <row r="4749">
      <c r="A4749" s="9"/>
      <c r="B4749" s="15"/>
      <c r="C4749" s="9">
        <f>IFERROR(__xludf.DUMMYFUNCTION("""COMPUTED_VALUE"""),45094.8420349768)</f>
        <v>45094.84203</v>
      </c>
      <c r="D4749" s="15">
        <f>IFERROR(__xludf.DUMMYFUNCTION("""COMPUTED_VALUE"""),1.002)</f>
        <v>1.002</v>
      </c>
      <c r="E4749" s="16">
        <f>IFERROR(__xludf.DUMMYFUNCTION("""COMPUTED_VALUE"""),68.0)</f>
        <v>68</v>
      </c>
      <c r="F4749" s="19" t="str">
        <f>IFERROR(__xludf.DUMMYFUNCTION("""COMPUTED_VALUE"""),"BLUE")</f>
        <v>BLUE</v>
      </c>
      <c r="G4749" s="20" t="str">
        <f>IFERROR(__xludf.DUMMYFUNCTION("""COMPUTED_VALUE"""),"Uncle Sams Cider (04/04/2023)")</f>
        <v>Uncle Sams Cider (04/04/2023)</v>
      </c>
      <c r="H4749" s="19"/>
    </row>
    <row r="4750">
      <c r="A4750" s="9"/>
      <c r="B4750" s="15"/>
      <c r="C4750" s="9">
        <f>IFERROR(__xludf.DUMMYFUNCTION("""COMPUTED_VALUE"""),45094.8316124884)</f>
        <v>45094.83161</v>
      </c>
      <c r="D4750" s="15">
        <f>IFERROR(__xludf.DUMMYFUNCTION("""COMPUTED_VALUE"""),1.002)</f>
        <v>1.002</v>
      </c>
      <c r="E4750" s="16">
        <f>IFERROR(__xludf.DUMMYFUNCTION("""COMPUTED_VALUE"""),68.0)</f>
        <v>68</v>
      </c>
      <c r="F4750" s="19" t="str">
        <f>IFERROR(__xludf.DUMMYFUNCTION("""COMPUTED_VALUE"""),"BLUE")</f>
        <v>BLUE</v>
      </c>
      <c r="G4750" s="20" t="str">
        <f>IFERROR(__xludf.DUMMYFUNCTION("""COMPUTED_VALUE"""),"Uncle Sams Cider (04/04/2023)")</f>
        <v>Uncle Sams Cider (04/04/2023)</v>
      </c>
      <c r="H4750" s="19"/>
    </row>
    <row r="4751">
      <c r="A4751" s="9"/>
      <c r="B4751" s="15"/>
      <c r="C4751" s="9">
        <f>IFERROR(__xludf.DUMMYFUNCTION("""COMPUTED_VALUE"""),45094.8211910763)</f>
        <v>45094.82119</v>
      </c>
      <c r="D4751" s="15">
        <f>IFERROR(__xludf.DUMMYFUNCTION("""COMPUTED_VALUE"""),1.002)</f>
        <v>1.002</v>
      </c>
      <c r="E4751" s="16">
        <f>IFERROR(__xludf.DUMMYFUNCTION("""COMPUTED_VALUE"""),68.0)</f>
        <v>68</v>
      </c>
      <c r="F4751" s="19" t="str">
        <f>IFERROR(__xludf.DUMMYFUNCTION("""COMPUTED_VALUE"""),"BLUE")</f>
        <v>BLUE</v>
      </c>
      <c r="G4751" s="20" t="str">
        <f>IFERROR(__xludf.DUMMYFUNCTION("""COMPUTED_VALUE"""),"Uncle Sams Cider (04/04/2023)")</f>
        <v>Uncle Sams Cider (04/04/2023)</v>
      </c>
      <c r="H4751" s="19"/>
    </row>
    <row r="4752">
      <c r="A4752" s="9"/>
      <c r="B4752" s="15"/>
      <c r="C4752" s="9">
        <f>IFERROR(__xludf.DUMMYFUNCTION("""COMPUTED_VALUE"""),45094.8107685763)</f>
        <v>45094.81077</v>
      </c>
      <c r="D4752" s="15">
        <f>IFERROR(__xludf.DUMMYFUNCTION("""COMPUTED_VALUE"""),1.002)</f>
        <v>1.002</v>
      </c>
      <c r="E4752" s="16">
        <f>IFERROR(__xludf.DUMMYFUNCTION("""COMPUTED_VALUE"""),68.0)</f>
        <v>68</v>
      </c>
      <c r="F4752" s="19" t="str">
        <f>IFERROR(__xludf.DUMMYFUNCTION("""COMPUTED_VALUE"""),"BLUE")</f>
        <v>BLUE</v>
      </c>
      <c r="G4752" s="20" t="str">
        <f>IFERROR(__xludf.DUMMYFUNCTION("""COMPUTED_VALUE"""),"Uncle Sams Cider (04/04/2023)")</f>
        <v>Uncle Sams Cider (04/04/2023)</v>
      </c>
      <c r="H4752" s="19"/>
    </row>
    <row r="4753">
      <c r="A4753" s="9"/>
      <c r="B4753" s="15"/>
      <c r="C4753" s="9">
        <f>IFERROR(__xludf.DUMMYFUNCTION("""COMPUTED_VALUE"""),45094.8003466666)</f>
        <v>45094.80035</v>
      </c>
      <c r="D4753" s="15">
        <f>IFERROR(__xludf.DUMMYFUNCTION("""COMPUTED_VALUE"""),1.002)</f>
        <v>1.002</v>
      </c>
      <c r="E4753" s="16">
        <f>IFERROR(__xludf.DUMMYFUNCTION("""COMPUTED_VALUE"""),68.0)</f>
        <v>68</v>
      </c>
      <c r="F4753" s="19" t="str">
        <f>IFERROR(__xludf.DUMMYFUNCTION("""COMPUTED_VALUE"""),"BLUE")</f>
        <v>BLUE</v>
      </c>
      <c r="G4753" s="20" t="str">
        <f>IFERROR(__xludf.DUMMYFUNCTION("""COMPUTED_VALUE"""),"Uncle Sams Cider (04/04/2023)")</f>
        <v>Uncle Sams Cider (04/04/2023)</v>
      </c>
      <c r="H4753" s="19"/>
    </row>
    <row r="4754">
      <c r="A4754" s="9"/>
      <c r="B4754" s="15"/>
      <c r="C4754" s="9">
        <f>IFERROR(__xludf.DUMMYFUNCTION("""COMPUTED_VALUE"""),45094.7899247569)</f>
        <v>45094.78992</v>
      </c>
      <c r="D4754" s="15">
        <f>IFERROR(__xludf.DUMMYFUNCTION("""COMPUTED_VALUE"""),1.002)</f>
        <v>1.002</v>
      </c>
      <c r="E4754" s="16">
        <f>IFERROR(__xludf.DUMMYFUNCTION("""COMPUTED_VALUE"""),68.0)</f>
        <v>68</v>
      </c>
      <c r="F4754" s="19" t="str">
        <f>IFERROR(__xludf.DUMMYFUNCTION("""COMPUTED_VALUE"""),"BLUE")</f>
        <v>BLUE</v>
      </c>
      <c r="G4754" s="20" t="str">
        <f>IFERROR(__xludf.DUMMYFUNCTION("""COMPUTED_VALUE"""),"Uncle Sams Cider (04/04/2023)")</f>
        <v>Uncle Sams Cider (04/04/2023)</v>
      </c>
      <c r="H4754" s="19"/>
    </row>
    <row r="4755">
      <c r="A4755" s="9"/>
      <c r="B4755" s="15"/>
      <c r="C4755" s="9">
        <f>IFERROR(__xludf.DUMMYFUNCTION("""COMPUTED_VALUE"""),45094.7795037384)</f>
        <v>45094.7795</v>
      </c>
      <c r="D4755" s="15">
        <f>IFERROR(__xludf.DUMMYFUNCTION("""COMPUTED_VALUE"""),1.002)</f>
        <v>1.002</v>
      </c>
      <c r="E4755" s="16">
        <f>IFERROR(__xludf.DUMMYFUNCTION("""COMPUTED_VALUE"""),68.0)</f>
        <v>68</v>
      </c>
      <c r="F4755" s="19" t="str">
        <f>IFERROR(__xludf.DUMMYFUNCTION("""COMPUTED_VALUE"""),"BLUE")</f>
        <v>BLUE</v>
      </c>
      <c r="G4755" s="20" t="str">
        <f>IFERROR(__xludf.DUMMYFUNCTION("""COMPUTED_VALUE"""),"Uncle Sams Cider (04/04/2023)")</f>
        <v>Uncle Sams Cider (04/04/2023)</v>
      </c>
      <c r="H4755" s="19"/>
    </row>
    <row r="4756">
      <c r="A4756" s="9"/>
      <c r="B4756" s="15"/>
      <c r="C4756" s="9">
        <f>IFERROR(__xludf.DUMMYFUNCTION("""COMPUTED_VALUE"""),45094.7690719212)</f>
        <v>45094.76907</v>
      </c>
      <c r="D4756" s="15">
        <f>IFERROR(__xludf.DUMMYFUNCTION("""COMPUTED_VALUE"""),1.002)</f>
        <v>1.002</v>
      </c>
      <c r="E4756" s="16">
        <f>IFERROR(__xludf.DUMMYFUNCTION("""COMPUTED_VALUE"""),68.0)</f>
        <v>68</v>
      </c>
      <c r="F4756" s="19" t="str">
        <f>IFERROR(__xludf.DUMMYFUNCTION("""COMPUTED_VALUE"""),"BLUE")</f>
        <v>BLUE</v>
      </c>
      <c r="G4756" s="20" t="str">
        <f>IFERROR(__xludf.DUMMYFUNCTION("""COMPUTED_VALUE"""),"Uncle Sams Cider (04/04/2023)")</f>
        <v>Uncle Sams Cider (04/04/2023)</v>
      </c>
      <c r="H4756" s="19"/>
    </row>
    <row r="4757">
      <c r="A4757" s="9"/>
      <c r="B4757" s="15"/>
      <c r="C4757" s="9">
        <f>IFERROR(__xludf.DUMMYFUNCTION("""COMPUTED_VALUE"""),45094.7586523842)</f>
        <v>45094.75865</v>
      </c>
      <c r="D4757" s="15">
        <f>IFERROR(__xludf.DUMMYFUNCTION("""COMPUTED_VALUE"""),1.002)</f>
        <v>1.002</v>
      </c>
      <c r="E4757" s="16">
        <f>IFERROR(__xludf.DUMMYFUNCTION("""COMPUTED_VALUE"""),68.0)</f>
        <v>68</v>
      </c>
      <c r="F4757" s="19" t="str">
        <f>IFERROR(__xludf.DUMMYFUNCTION("""COMPUTED_VALUE"""),"BLUE")</f>
        <v>BLUE</v>
      </c>
      <c r="G4757" s="20" t="str">
        <f>IFERROR(__xludf.DUMMYFUNCTION("""COMPUTED_VALUE"""),"Uncle Sams Cider (04/04/2023)")</f>
        <v>Uncle Sams Cider (04/04/2023)</v>
      </c>
      <c r="H4757" s="19"/>
    </row>
    <row r="4758">
      <c r="A4758" s="9"/>
      <c r="B4758" s="15"/>
      <c r="C4758" s="9">
        <f>IFERROR(__xludf.DUMMYFUNCTION("""COMPUTED_VALUE"""),45094.7482318055)</f>
        <v>45094.74823</v>
      </c>
      <c r="D4758" s="15">
        <f>IFERROR(__xludf.DUMMYFUNCTION("""COMPUTED_VALUE"""),1.002)</f>
        <v>1.002</v>
      </c>
      <c r="E4758" s="16">
        <f>IFERROR(__xludf.DUMMYFUNCTION("""COMPUTED_VALUE"""),68.0)</f>
        <v>68</v>
      </c>
      <c r="F4758" s="19" t="str">
        <f>IFERROR(__xludf.DUMMYFUNCTION("""COMPUTED_VALUE"""),"BLUE")</f>
        <v>BLUE</v>
      </c>
      <c r="G4758" s="20" t="str">
        <f>IFERROR(__xludf.DUMMYFUNCTION("""COMPUTED_VALUE"""),"Uncle Sams Cider (04/04/2023)")</f>
        <v>Uncle Sams Cider (04/04/2023)</v>
      </c>
      <c r="H4758" s="19"/>
    </row>
    <row r="4759">
      <c r="A4759" s="9"/>
      <c r="B4759" s="15"/>
      <c r="C4759" s="9">
        <f>IFERROR(__xludf.DUMMYFUNCTION("""COMPUTED_VALUE"""),45094.7378108101)</f>
        <v>45094.73781</v>
      </c>
      <c r="D4759" s="15">
        <f>IFERROR(__xludf.DUMMYFUNCTION("""COMPUTED_VALUE"""),1.002)</f>
        <v>1.002</v>
      </c>
      <c r="E4759" s="16">
        <f>IFERROR(__xludf.DUMMYFUNCTION("""COMPUTED_VALUE"""),68.0)</f>
        <v>68</v>
      </c>
      <c r="F4759" s="19" t="str">
        <f>IFERROR(__xludf.DUMMYFUNCTION("""COMPUTED_VALUE"""),"BLUE")</f>
        <v>BLUE</v>
      </c>
      <c r="G4759" s="20" t="str">
        <f>IFERROR(__xludf.DUMMYFUNCTION("""COMPUTED_VALUE"""),"Uncle Sams Cider (04/04/2023)")</f>
        <v>Uncle Sams Cider (04/04/2023)</v>
      </c>
      <c r="H4759" s="19"/>
    </row>
    <row r="4760">
      <c r="A4760" s="9"/>
      <c r="B4760" s="15"/>
      <c r="C4760" s="9">
        <f>IFERROR(__xludf.DUMMYFUNCTION("""COMPUTED_VALUE"""),45094.7273898611)</f>
        <v>45094.72739</v>
      </c>
      <c r="D4760" s="15">
        <f>IFERROR(__xludf.DUMMYFUNCTION("""COMPUTED_VALUE"""),1.002)</f>
        <v>1.002</v>
      </c>
      <c r="E4760" s="16">
        <f>IFERROR(__xludf.DUMMYFUNCTION("""COMPUTED_VALUE"""),68.0)</f>
        <v>68</v>
      </c>
      <c r="F4760" s="19" t="str">
        <f>IFERROR(__xludf.DUMMYFUNCTION("""COMPUTED_VALUE"""),"BLUE")</f>
        <v>BLUE</v>
      </c>
      <c r="G4760" s="20" t="str">
        <f>IFERROR(__xludf.DUMMYFUNCTION("""COMPUTED_VALUE"""),"Uncle Sams Cider (04/04/2023)")</f>
        <v>Uncle Sams Cider (04/04/2023)</v>
      </c>
      <c r="H4760" s="19"/>
    </row>
    <row r="4761">
      <c r="A4761" s="9"/>
      <c r="B4761" s="15"/>
      <c r="C4761" s="9">
        <f>IFERROR(__xludf.DUMMYFUNCTION("""COMPUTED_VALUE"""),45094.7169684837)</f>
        <v>45094.71697</v>
      </c>
      <c r="D4761" s="15">
        <f>IFERROR(__xludf.DUMMYFUNCTION("""COMPUTED_VALUE"""),1.002)</f>
        <v>1.002</v>
      </c>
      <c r="E4761" s="16">
        <f>IFERROR(__xludf.DUMMYFUNCTION("""COMPUTED_VALUE"""),68.0)</f>
        <v>68</v>
      </c>
      <c r="F4761" s="19" t="str">
        <f>IFERROR(__xludf.DUMMYFUNCTION("""COMPUTED_VALUE"""),"BLUE")</f>
        <v>BLUE</v>
      </c>
      <c r="G4761" s="20" t="str">
        <f>IFERROR(__xludf.DUMMYFUNCTION("""COMPUTED_VALUE"""),"Uncle Sams Cider (04/04/2023)")</f>
        <v>Uncle Sams Cider (04/04/2023)</v>
      </c>
      <c r="H4761" s="19"/>
    </row>
    <row r="4762">
      <c r="A4762" s="9"/>
      <c r="B4762" s="15"/>
      <c r="C4762" s="9">
        <f>IFERROR(__xludf.DUMMYFUNCTION("""COMPUTED_VALUE"""),45094.7065479745)</f>
        <v>45094.70655</v>
      </c>
      <c r="D4762" s="15">
        <f>IFERROR(__xludf.DUMMYFUNCTION("""COMPUTED_VALUE"""),1.002)</f>
        <v>1.002</v>
      </c>
      <c r="E4762" s="16">
        <f>IFERROR(__xludf.DUMMYFUNCTION("""COMPUTED_VALUE"""),68.0)</f>
        <v>68</v>
      </c>
      <c r="F4762" s="19" t="str">
        <f>IFERROR(__xludf.DUMMYFUNCTION("""COMPUTED_VALUE"""),"BLUE")</f>
        <v>BLUE</v>
      </c>
      <c r="G4762" s="20" t="str">
        <f>IFERROR(__xludf.DUMMYFUNCTION("""COMPUTED_VALUE"""),"Uncle Sams Cider (04/04/2023)")</f>
        <v>Uncle Sams Cider (04/04/2023)</v>
      </c>
      <c r="H4762" s="19"/>
    </row>
    <row r="4763">
      <c r="A4763" s="9"/>
      <c r="B4763" s="15"/>
      <c r="C4763" s="9">
        <f>IFERROR(__xludf.DUMMYFUNCTION("""COMPUTED_VALUE"""),45094.6961286111)</f>
        <v>45094.69613</v>
      </c>
      <c r="D4763" s="15">
        <f>IFERROR(__xludf.DUMMYFUNCTION("""COMPUTED_VALUE"""),1.002)</f>
        <v>1.002</v>
      </c>
      <c r="E4763" s="16">
        <f>IFERROR(__xludf.DUMMYFUNCTION("""COMPUTED_VALUE"""),68.0)</f>
        <v>68</v>
      </c>
      <c r="F4763" s="19" t="str">
        <f>IFERROR(__xludf.DUMMYFUNCTION("""COMPUTED_VALUE"""),"BLUE")</f>
        <v>BLUE</v>
      </c>
      <c r="G4763" s="20" t="str">
        <f>IFERROR(__xludf.DUMMYFUNCTION("""COMPUTED_VALUE"""),"Uncle Sams Cider (04/04/2023)")</f>
        <v>Uncle Sams Cider (04/04/2023)</v>
      </c>
      <c r="H4763" s="19"/>
    </row>
    <row r="4764">
      <c r="A4764" s="9"/>
      <c r="B4764" s="15"/>
      <c r="C4764" s="9">
        <f>IFERROR(__xludf.DUMMYFUNCTION("""COMPUTED_VALUE"""),45094.6857083912)</f>
        <v>45094.68571</v>
      </c>
      <c r="D4764" s="15">
        <f>IFERROR(__xludf.DUMMYFUNCTION("""COMPUTED_VALUE"""),1.002)</f>
        <v>1.002</v>
      </c>
      <c r="E4764" s="16">
        <f>IFERROR(__xludf.DUMMYFUNCTION("""COMPUTED_VALUE"""),68.0)</f>
        <v>68</v>
      </c>
      <c r="F4764" s="19" t="str">
        <f>IFERROR(__xludf.DUMMYFUNCTION("""COMPUTED_VALUE"""),"BLUE")</f>
        <v>BLUE</v>
      </c>
      <c r="G4764" s="20" t="str">
        <f>IFERROR(__xludf.DUMMYFUNCTION("""COMPUTED_VALUE"""),"Uncle Sams Cider (04/04/2023)")</f>
        <v>Uncle Sams Cider (04/04/2023)</v>
      </c>
      <c r="H4764" s="19"/>
    </row>
    <row r="4765">
      <c r="A4765" s="9"/>
      <c r="B4765" s="15"/>
      <c r="C4765" s="9">
        <f>IFERROR(__xludf.DUMMYFUNCTION("""COMPUTED_VALUE"""),45094.6752874305)</f>
        <v>45094.67529</v>
      </c>
      <c r="D4765" s="15">
        <f>IFERROR(__xludf.DUMMYFUNCTION("""COMPUTED_VALUE"""),1.002)</f>
        <v>1.002</v>
      </c>
      <c r="E4765" s="16">
        <f>IFERROR(__xludf.DUMMYFUNCTION("""COMPUTED_VALUE"""),68.0)</f>
        <v>68</v>
      </c>
      <c r="F4765" s="19" t="str">
        <f>IFERROR(__xludf.DUMMYFUNCTION("""COMPUTED_VALUE"""),"BLUE")</f>
        <v>BLUE</v>
      </c>
      <c r="G4765" s="20" t="str">
        <f>IFERROR(__xludf.DUMMYFUNCTION("""COMPUTED_VALUE"""),"Uncle Sams Cider (04/04/2023)")</f>
        <v>Uncle Sams Cider (04/04/2023)</v>
      </c>
      <c r="H4765" s="19"/>
    </row>
    <row r="4766">
      <c r="A4766" s="9"/>
      <c r="B4766" s="15"/>
      <c r="C4766" s="9">
        <f>IFERROR(__xludf.DUMMYFUNCTION("""COMPUTED_VALUE"""),45094.664865625)</f>
        <v>45094.66487</v>
      </c>
      <c r="D4766" s="15">
        <f>IFERROR(__xludf.DUMMYFUNCTION("""COMPUTED_VALUE"""),1.002)</f>
        <v>1.002</v>
      </c>
      <c r="E4766" s="16">
        <f>IFERROR(__xludf.DUMMYFUNCTION("""COMPUTED_VALUE"""),68.0)</f>
        <v>68</v>
      </c>
      <c r="F4766" s="19" t="str">
        <f>IFERROR(__xludf.DUMMYFUNCTION("""COMPUTED_VALUE"""),"BLUE")</f>
        <v>BLUE</v>
      </c>
      <c r="G4766" s="20" t="str">
        <f>IFERROR(__xludf.DUMMYFUNCTION("""COMPUTED_VALUE"""),"Uncle Sams Cider (04/04/2023)")</f>
        <v>Uncle Sams Cider (04/04/2023)</v>
      </c>
      <c r="H4766" s="19"/>
    </row>
    <row r="4767">
      <c r="A4767" s="9"/>
      <c r="B4767" s="15"/>
      <c r="C4767" s="9">
        <f>IFERROR(__xludf.DUMMYFUNCTION("""COMPUTED_VALUE"""),45094.654445243)</f>
        <v>45094.65445</v>
      </c>
      <c r="D4767" s="15">
        <f>IFERROR(__xludf.DUMMYFUNCTION("""COMPUTED_VALUE"""),1.002)</f>
        <v>1.002</v>
      </c>
      <c r="E4767" s="16">
        <f>IFERROR(__xludf.DUMMYFUNCTION("""COMPUTED_VALUE"""),68.0)</f>
        <v>68</v>
      </c>
      <c r="F4767" s="19" t="str">
        <f>IFERROR(__xludf.DUMMYFUNCTION("""COMPUTED_VALUE"""),"BLUE")</f>
        <v>BLUE</v>
      </c>
      <c r="G4767" s="20" t="str">
        <f>IFERROR(__xludf.DUMMYFUNCTION("""COMPUTED_VALUE"""),"Uncle Sams Cider (04/04/2023)")</f>
        <v>Uncle Sams Cider (04/04/2023)</v>
      </c>
      <c r="H4767" s="19"/>
    </row>
    <row r="4768">
      <c r="A4768" s="9"/>
      <c r="B4768" s="15"/>
      <c r="C4768" s="9">
        <f>IFERROR(__xludf.DUMMYFUNCTION("""COMPUTED_VALUE"""),45094.644025324)</f>
        <v>45094.64403</v>
      </c>
      <c r="D4768" s="15">
        <f>IFERROR(__xludf.DUMMYFUNCTION("""COMPUTED_VALUE"""),1.002)</f>
        <v>1.002</v>
      </c>
      <c r="E4768" s="16">
        <f>IFERROR(__xludf.DUMMYFUNCTION("""COMPUTED_VALUE"""),67.0)</f>
        <v>67</v>
      </c>
      <c r="F4768" s="19" t="str">
        <f>IFERROR(__xludf.DUMMYFUNCTION("""COMPUTED_VALUE"""),"BLUE")</f>
        <v>BLUE</v>
      </c>
      <c r="G4768" s="20" t="str">
        <f>IFERROR(__xludf.DUMMYFUNCTION("""COMPUTED_VALUE"""),"Uncle Sams Cider (04/04/2023)")</f>
        <v>Uncle Sams Cider (04/04/2023)</v>
      </c>
      <c r="H4768" s="19"/>
    </row>
    <row r="4769">
      <c r="A4769" s="9"/>
      <c r="B4769" s="15"/>
      <c r="C4769" s="9">
        <f>IFERROR(__xludf.DUMMYFUNCTION("""COMPUTED_VALUE"""),45094.6336040046)</f>
        <v>45094.6336</v>
      </c>
      <c r="D4769" s="15">
        <f>IFERROR(__xludf.DUMMYFUNCTION("""COMPUTED_VALUE"""),1.002)</f>
        <v>1.002</v>
      </c>
      <c r="E4769" s="16">
        <f>IFERROR(__xludf.DUMMYFUNCTION("""COMPUTED_VALUE"""),68.0)</f>
        <v>68</v>
      </c>
      <c r="F4769" s="19" t="str">
        <f>IFERROR(__xludf.DUMMYFUNCTION("""COMPUTED_VALUE"""),"BLUE")</f>
        <v>BLUE</v>
      </c>
      <c r="G4769" s="20" t="str">
        <f>IFERROR(__xludf.DUMMYFUNCTION("""COMPUTED_VALUE"""),"Uncle Sams Cider (04/04/2023)")</f>
        <v>Uncle Sams Cider (04/04/2023)</v>
      </c>
      <c r="H4769" s="19"/>
    </row>
    <row r="4770">
      <c r="A4770" s="9"/>
      <c r="B4770" s="15"/>
      <c r="C4770" s="9">
        <f>IFERROR(__xludf.DUMMYFUNCTION("""COMPUTED_VALUE"""),45094.6231839236)</f>
        <v>45094.62318</v>
      </c>
      <c r="D4770" s="15">
        <f>IFERROR(__xludf.DUMMYFUNCTION("""COMPUTED_VALUE"""),1.002)</f>
        <v>1.002</v>
      </c>
      <c r="E4770" s="16">
        <f>IFERROR(__xludf.DUMMYFUNCTION("""COMPUTED_VALUE"""),67.0)</f>
        <v>67</v>
      </c>
      <c r="F4770" s="19" t="str">
        <f>IFERROR(__xludf.DUMMYFUNCTION("""COMPUTED_VALUE"""),"BLUE")</f>
        <v>BLUE</v>
      </c>
      <c r="G4770" s="20" t="str">
        <f>IFERROR(__xludf.DUMMYFUNCTION("""COMPUTED_VALUE"""),"Uncle Sams Cider (04/04/2023)")</f>
        <v>Uncle Sams Cider (04/04/2023)</v>
      </c>
      <c r="H4770" s="19"/>
    </row>
    <row r="4771">
      <c r="A4771" s="9"/>
      <c r="B4771" s="15"/>
      <c r="C4771" s="9">
        <f>IFERROR(__xludf.DUMMYFUNCTION("""COMPUTED_VALUE"""),45094.6127620486)</f>
        <v>45094.61276</v>
      </c>
      <c r="D4771" s="15">
        <f>IFERROR(__xludf.DUMMYFUNCTION("""COMPUTED_VALUE"""),1.002)</f>
        <v>1.002</v>
      </c>
      <c r="E4771" s="16">
        <f>IFERROR(__xludf.DUMMYFUNCTION("""COMPUTED_VALUE"""),68.0)</f>
        <v>68</v>
      </c>
      <c r="F4771" s="19" t="str">
        <f>IFERROR(__xludf.DUMMYFUNCTION("""COMPUTED_VALUE"""),"BLUE")</f>
        <v>BLUE</v>
      </c>
      <c r="G4771" s="20" t="str">
        <f>IFERROR(__xludf.DUMMYFUNCTION("""COMPUTED_VALUE"""),"Uncle Sams Cider (04/04/2023)")</f>
        <v>Uncle Sams Cider (04/04/2023)</v>
      </c>
      <c r="H4771" s="19"/>
    </row>
    <row r="4772">
      <c r="A4772" s="9"/>
      <c r="B4772" s="15"/>
      <c r="C4772" s="9">
        <f>IFERROR(__xludf.DUMMYFUNCTION("""COMPUTED_VALUE"""),45094.6023416782)</f>
        <v>45094.60234</v>
      </c>
      <c r="D4772" s="15">
        <f>IFERROR(__xludf.DUMMYFUNCTION("""COMPUTED_VALUE"""),1.002)</f>
        <v>1.002</v>
      </c>
      <c r="E4772" s="16">
        <f>IFERROR(__xludf.DUMMYFUNCTION("""COMPUTED_VALUE"""),68.0)</f>
        <v>68</v>
      </c>
      <c r="F4772" s="19" t="str">
        <f>IFERROR(__xludf.DUMMYFUNCTION("""COMPUTED_VALUE"""),"BLUE")</f>
        <v>BLUE</v>
      </c>
      <c r="G4772" s="20" t="str">
        <f>IFERROR(__xludf.DUMMYFUNCTION("""COMPUTED_VALUE"""),"Uncle Sams Cider (04/04/2023)")</f>
        <v>Uncle Sams Cider (04/04/2023)</v>
      </c>
      <c r="H4772" s="19"/>
    </row>
    <row r="4773">
      <c r="A4773" s="9"/>
      <c r="B4773" s="15"/>
      <c r="C4773" s="9">
        <f>IFERROR(__xludf.DUMMYFUNCTION("""COMPUTED_VALUE"""),45094.591920081)</f>
        <v>45094.59192</v>
      </c>
      <c r="D4773" s="15">
        <f>IFERROR(__xludf.DUMMYFUNCTION("""COMPUTED_VALUE"""),1.002)</f>
        <v>1.002</v>
      </c>
      <c r="E4773" s="16">
        <f>IFERROR(__xludf.DUMMYFUNCTION("""COMPUTED_VALUE"""),67.0)</f>
        <v>67</v>
      </c>
      <c r="F4773" s="19" t="str">
        <f>IFERROR(__xludf.DUMMYFUNCTION("""COMPUTED_VALUE"""),"BLUE")</f>
        <v>BLUE</v>
      </c>
      <c r="G4773" s="20" t="str">
        <f>IFERROR(__xludf.DUMMYFUNCTION("""COMPUTED_VALUE"""),"Uncle Sams Cider (04/04/2023)")</f>
        <v>Uncle Sams Cider (04/04/2023)</v>
      </c>
      <c r="H4773" s="19"/>
    </row>
    <row r="4774">
      <c r="A4774" s="9"/>
      <c r="B4774" s="15"/>
      <c r="C4774" s="9">
        <f>IFERROR(__xludf.DUMMYFUNCTION("""COMPUTED_VALUE"""),45094.5815011111)</f>
        <v>45094.5815</v>
      </c>
      <c r="D4774" s="15">
        <f>IFERROR(__xludf.DUMMYFUNCTION("""COMPUTED_VALUE"""),1.002)</f>
        <v>1.002</v>
      </c>
      <c r="E4774" s="16">
        <f>IFERROR(__xludf.DUMMYFUNCTION("""COMPUTED_VALUE"""),67.0)</f>
        <v>67</v>
      </c>
      <c r="F4774" s="19" t="str">
        <f>IFERROR(__xludf.DUMMYFUNCTION("""COMPUTED_VALUE"""),"BLUE")</f>
        <v>BLUE</v>
      </c>
      <c r="G4774" s="20" t="str">
        <f>IFERROR(__xludf.DUMMYFUNCTION("""COMPUTED_VALUE"""),"Uncle Sams Cider (04/04/2023)")</f>
        <v>Uncle Sams Cider (04/04/2023)</v>
      </c>
      <c r="H4774" s="19"/>
    </row>
    <row r="4775">
      <c r="A4775" s="9"/>
      <c r="B4775" s="15"/>
      <c r="C4775" s="9">
        <f>IFERROR(__xludf.DUMMYFUNCTION("""COMPUTED_VALUE"""),45094.5710794791)</f>
        <v>45094.57108</v>
      </c>
      <c r="D4775" s="15">
        <f>IFERROR(__xludf.DUMMYFUNCTION("""COMPUTED_VALUE"""),1.002)</f>
        <v>1.002</v>
      </c>
      <c r="E4775" s="16">
        <f>IFERROR(__xludf.DUMMYFUNCTION("""COMPUTED_VALUE"""),68.0)</f>
        <v>68</v>
      </c>
      <c r="F4775" s="19" t="str">
        <f>IFERROR(__xludf.DUMMYFUNCTION("""COMPUTED_VALUE"""),"BLUE")</f>
        <v>BLUE</v>
      </c>
      <c r="G4775" s="20" t="str">
        <f>IFERROR(__xludf.DUMMYFUNCTION("""COMPUTED_VALUE"""),"Uncle Sams Cider (04/04/2023)")</f>
        <v>Uncle Sams Cider (04/04/2023)</v>
      </c>
      <c r="H4775" s="19"/>
    </row>
    <row r="4776">
      <c r="A4776" s="9"/>
      <c r="B4776" s="15"/>
      <c r="C4776" s="9">
        <f>IFERROR(__xludf.DUMMYFUNCTION("""COMPUTED_VALUE"""),45094.5606580671)</f>
        <v>45094.56066</v>
      </c>
      <c r="D4776" s="15">
        <f>IFERROR(__xludf.DUMMYFUNCTION("""COMPUTED_VALUE"""),1.002)</f>
        <v>1.002</v>
      </c>
      <c r="E4776" s="16">
        <f>IFERROR(__xludf.DUMMYFUNCTION("""COMPUTED_VALUE"""),68.0)</f>
        <v>68</v>
      </c>
      <c r="F4776" s="19" t="str">
        <f>IFERROR(__xludf.DUMMYFUNCTION("""COMPUTED_VALUE"""),"BLUE")</f>
        <v>BLUE</v>
      </c>
      <c r="G4776" s="20" t="str">
        <f>IFERROR(__xludf.DUMMYFUNCTION("""COMPUTED_VALUE"""),"Uncle Sams Cider (04/04/2023)")</f>
        <v>Uncle Sams Cider (04/04/2023)</v>
      </c>
      <c r="H4776" s="19"/>
    </row>
    <row r="4777">
      <c r="A4777" s="9"/>
      <c r="B4777" s="15"/>
      <c r="C4777" s="9">
        <f>IFERROR(__xludf.DUMMYFUNCTION("""COMPUTED_VALUE"""),45094.5502361574)</f>
        <v>45094.55024</v>
      </c>
      <c r="D4777" s="15">
        <f>IFERROR(__xludf.DUMMYFUNCTION("""COMPUTED_VALUE"""),1.002)</f>
        <v>1.002</v>
      </c>
      <c r="E4777" s="16">
        <f>IFERROR(__xludf.DUMMYFUNCTION("""COMPUTED_VALUE"""),68.0)</f>
        <v>68</v>
      </c>
      <c r="F4777" s="19" t="str">
        <f>IFERROR(__xludf.DUMMYFUNCTION("""COMPUTED_VALUE"""),"BLUE")</f>
        <v>BLUE</v>
      </c>
      <c r="G4777" s="20" t="str">
        <f>IFERROR(__xludf.DUMMYFUNCTION("""COMPUTED_VALUE"""),"Uncle Sams Cider (04/04/2023)")</f>
        <v>Uncle Sams Cider (04/04/2023)</v>
      </c>
      <c r="H4777" s="19"/>
    </row>
    <row r="4778">
      <c r="A4778" s="9"/>
      <c r="B4778" s="15"/>
      <c r="C4778" s="9">
        <f>IFERROR(__xludf.DUMMYFUNCTION("""COMPUTED_VALUE"""),45094.5398153703)</f>
        <v>45094.53982</v>
      </c>
      <c r="D4778" s="15">
        <f>IFERROR(__xludf.DUMMYFUNCTION("""COMPUTED_VALUE"""),1.002)</f>
        <v>1.002</v>
      </c>
      <c r="E4778" s="16">
        <f>IFERROR(__xludf.DUMMYFUNCTION("""COMPUTED_VALUE"""),68.0)</f>
        <v>68</v>
      </c>
      <c r="F4778" s="19" t="str">
        <f>IFERROR(__xludf.DUMMYFUNCTION("""COMPUTED_VALUE"""),"BLUE")</f>
        <v>BLUE</v>
      </c>
      <c r="G4778" s="20" t="str">
        <f>IFERROR(__xludf.DUMMYFUNCTION("""COMPUTED_VALUE"""),"Uncle Sams Cider (04/04/2023)")</f>
        <v>Uncle Sams Cider (04/04/2023)</v>
      </c>
      <c r="H4778" s="19"/>
    </row>
    <row r="4779">
      <c r="A4779" s="9"/>
      <c r="B4779" s="15"/>
      <c r="C4779" s="9">
        <f>IFERROR(__xludf.DUMMYFUNCTION("""COMPUTED_VALUE"""),45094.5293951157)</f>
        <v>45094.5294</v>
      </c>
      <c r="D4779" s="15">
        <f>IFERROR(__xludf.DUMMYFUNCTION("""COMPUTED_VALUE"""),1.002)</f>
        <v>1.002</v>
      </c>
      <c r="E4779" s="16">
        <f>IFERROR(__xludf.DUMMYFUNCTION("""COMPUTED_VALUE"""),67.0)</f>
        <v>67</v>
      </c>
      <c r="F4779" s="19" t="str">
        <f>IFERROR(__xludf.DUMMYFUNCTION("""COMPUTED_VALUE"""),"BLUE")</f>
        <v>BLUE</v>
      </c>
      <c r="G4779" s="20" t="str">
        <f>IFERROR(__xludf.DUMMYFUNCTION("""COMPUTED_VALUE"""),"Uncle Sams Cider (04/04/2023)")</f>
        <v>Uncle Sams Cider (04/04/2023)</v>
      </c>
      <c r="H4779" s="19"/>
    </row>
    <row r="4780">
      <c r="A4780" s="9"/>
      <c r="B4780" s="15"/>
      <c r="C4780" s="9">
        <f>IFERROR(__xludf.DUMMYFUNCTION("""COMPUTED_VALUE"""),45094.5189726967)</f>
        <v>45094.51897</v>
      </c>
      <c r="D4780" s="15">
        <f>IFERROR(__xludf.DUMMYFUNCTION("""COMPUTED_VALUE"""),1.002)</f>
        <v>1.002</v>
      </c>
      <c r="E4780" s="16">
        <f>IFERROR(__xludf.DUMMYFUNCTION("""COMPUTED_VALUE"""),68.0)</f>
        <v>68</v>
      </c>
      <c r="F4780" s="19" t="str">
        <f>IFERROR(__xludf.DUMMYFUNCTION("""COMPUTED_VALUE"""),"BLUE")</f>
        <v>BLUE</v>
      </c>
      <c r="G4780" s="20" t="str">
        <f>IFERROR(__xludf.DUMMYFUNCTION("""COMPUTED_VALUE"""),"Uncle Sams Cider (04/04/2023)")</f>
        <v>Uncle Sams Cider (04/04/2023)</v>
      </c>
      <c r="H4780" s="19"/>
    </row>
    <row r="4781">
      <c r="A4781" s="9"/>
      <c r="B4781" s="15"/>
      <c r="C4781" s="9">
        <f>IFERROR(__xludf.DUMMYFUNCTION("""COMPUTED_VALUE"""),45094.5085401851)</f>
        <v>45094.50854</v>
      </c>
      <c r="D4781" s="15">
        <f>IFERROR(__xludf.DUMMYFUNCTION("""COMPUTED_VALUE"""),1.002)</f>
        <v>1.002</v>
      </c>
      <c r="E4781" s="16">
        <f>IFERROR(__xludf.DUMMYFUNCTION("""COMPUTED_VALUE"""),68.0)</f>
        <v>68</v>
      </c>
      <c r="F4781" s="19" t="str">
        <f>IFERROR(__xludf.DUMMYFUNCTION("""COMPUTED_VALUE"""),"BLUE")</f>
        <v>BLUE</v>
      </c>
      <c r="G4781" s="20" t="str">
        <f>IFERROR(__xludf.DUMMYFUNCTION("""COMPUTED_VALUE"""),"Uncle Sams Cider (04/04/2023)")</f>
        <v>Uncle Sams Cider (04/04/2023)</v>
      </c>
      <c r="H4781" s="19"/>
    </row>
    <row r="4782">
      <c r="A4782" s="9"/>
      <c r="B4782" s="15"/>
      <c r="C4782" s="9">
        <f>IFERROR(__xludf.DUMMYFUNCTION("""COMPUTED_VALUE"""),45094.4981196064)</f>
        <v>45094.49812</v>
      </c>
      <c r="D4782" s="15">
        <f>IFERROR(__xludf.DUMMYFUNCTION("""COMPUTED_VALUE"""),1.002)</f>
        <v>1.002</v>
      </c>
      <c r="E4782" s="16">
        <f>IFERROR(__xludf.DUMMYFUNCTION("""COMPUTED_VALUE"""),68.0)</f>
        <v>68</v>
      </c>
      <c r="F4782" s="19" t="str">
        <f>IFERROR(__xludf.DUMMYFUNCTION("""COMPUTED_VALUE"""),"BLUE")</f>
        <v>BLUE</v>
      </c>
      <c r="G4782" s="20" t="str">
        <f>IFERROR(__xludf.DUMMYFUNCTION("""COMPUTED_VALUE"""),"Uncle Sams Cider (04/04/2023)")</f>
        <v>Uncle Sams Cider (04/04/2023)</v>
      </c>
      <c r="H4782" s="19"/>
    </row>
    <row r="4783">
      <c r="A4783" s="9"/>
      <c r="B4783" s="15"/>
      <c r="C4783" s="9">
        <f>IFERROR(__xludf.DUMMYFUNCTION("""COMPUTED_VALUE"""),45094.4876984375)</f>
        <v>45094.4877</v>
      </c>
      <c r="D4783" s="15">
        <f>IFERROR(__xludf.DUMMYFUNCTION("""COMPUTED_VALUE"""),1.002)</f>
        <v>1.002</v>
      </c>
      <c r="E4783" s="16">
        <f>IFERROR(__xludf.DUMMYFUNCTION("""COMPUTED_VALUE"""),68.0)</f>
        <v>68</v>
      </c>
      <c r="F4783" s="19" t="str">
        <f>IFERROR(__xludf.DUMMYFUNCTION("""COMPUTED_VALUE"""),"BLUE")</f>
        <v>BLUE</v>
      </c>
      <c r="G4783" s="20" t="str">
        <f>IFERROR(__xludf.DUMMYFUNCTION("""COMPUTED_VALUE"""),"Uncle Sams Cider (04/04/2023)")</f>
        <v>Uncle Sams Cider (04/04/2023)</v>
      </c>
      <c r="H4783" s="19"/>
    </row>
    <row r="4784">
      <c r="A4784" s="9"/>
      <c r="B4784" s="15"/>
      <c r="C4784" s="9">
        <f>IFERROR(__xludf.DUMMYFUNCTION("""COMPUTED_VALUE"""),45094.4772773726)</f>
        <v>45094.47728</v>
      </c>
      <c r="D4784" s="15">
        <f>IFERROR(__xludf.DUMMYFUNCTION("""COMPUTED_VALUE"""),1.002)</f>
        <v>1.002</v>
      </c>
      <c r="E4784" s="16">
        <f>IFERROR(__xludf.DUMMYFUNCTION("""COMPUTED_VALUE"""),68.0)</f>
        <v>68</v>
      </c>
      <c r="F4784" s="19" t="str">
        <f>IFERROR(__xludf.DUMMYFUNCTION("""COMPUTED_VALUE"""),"BLUE")</f>
        <v>BLUE</v>
      </c>
      <c r="G4784" s="20" t="str">
        <f>IFERROR(__xludf.DUMMYFUNCTION("""COMPUTED_VALUE"""),"Uncle Sams Cider (04/04/2023)")</f>
        <v>Uncle Sams Cider (04/04/2023)</v>
      </c>
      <c r="H4784" s="19"/>
    </row>
    <row r="4785">
      <c r="A4785" s="9"/>
      <c r="B4785" s="15"/>
      <c r="C4785" s="9">
        <f>IFERROR(__xludf.DUMMYFUNCTION("""COMPUTED_VALUE"""),45094.466855706)</f>
        <v>45094.46686</v>
      </c>
      <c r="D4785" s="15">
        <f>IFERROR(__xludf.DUMMYFUNCTION("""COMPUTED_VALUE"""),1.002)</f>
        <v>1.002</v>
      </c>
      <c r="E4785" s="16">
        <f>IFERROR(__xludf.DUMMYFUNCTION("""COMPUTED_VALUE"""),67.0)</f>
        <v>67</v>
      </c>
      <c r="F4785" s="19" t="str">
        <f>IFERROR(__xludf.DUMMYFUNCTION("""COMPUTED_VALUE"""),"BLUE")</f>
        <v>BLUE</v>
      </c>
      <c r="G4785" s="20" t="str">
        <f>IFERROR(__xludf.DUMMYFUNCTION("""COMPUTED_VALUE"""),"Uncle Sams Cider (04/04/2023)")</f>
        <v>Uncle Sams Cider (04/04/2023)</v>
      </c>
      <c r="H4785" s="19"/>
    </row>
    <row r="4786">
      <c r="A4786" s="9"/>
      <c r="B4786" s="15"/>
      <c r="C4786" s="9">
        <f>IFERROR(__xludf.DUMMYFUNCTION("""COMPUTED_VALUE"""),45094.4564338657)</f>
        <v>45094.45643</v>
      </c>
      <c r="D4786" s="15">
        <f>IFERROR(__xludf.DUMMYFUNCTION("""COMPUTED_VALUE"""),1.002)</f>
        <v>1.002</v>
      </c>
      <c r="E4786" s="16">
        <f>IFERROR(__xludf.DUMMYFUNCTION("""COMPUTED_VALUE"""),68.0)</f>
        <v>68</v>
      </c>
      <c r="F4786" s="19" t="str">
        <f>IFERROR(__xludf.DUMMYFUNCTION("""COMPUTED_VALUE"""),"BLUE")</f>
        <v>BLUE</v>
      </c>
      <c r="G4786" s="20" t="str">
        <f>IFERROR(__xludf.DUMMYFUNCTION("""COMPUTED_VALUE"""),"Uncle Sams Cider (04/04/2023)")</f>
        <v>Uncle Sams Cider (04/04/2023)</v>
      </c>
      <c r="H4786" s="19"/>
    </row>
    <row r="4787">
      <c r="A4787" s="9"/>
      <c r="B4787" s="15"/>
      <c r="C4787" s="9">
        <f>IFERROR(__xludf.DUMMYFUNCTION("""COMPUTED_VALUE"""),45094.4460030902)</f>
        <v>45094.446</v>
      </c>
      <c r="D4787" s="15">
        <f>IFERROR(__xludf.DUMMYFUNCTION("""COMPUTED_VALUE"""),1.002)</f>
        <v>1.002</v>
      </c>
      <c r="E4787" s="16">
        <f>IFERROR(__xludf.DUMMYFUNCTION("""COMPUTED_VALUE"""),67.0)</f>
        <v>67</v>
      </c>
      <c r="F4787" s="19" t="str">
        <f>IFERROR(__xludf.DUMMYFUNCTION("""COMPUTED_VALUE"""),"BLUE")</f>
        <v>BLUE</v>
      </c>
      <c r="G4787" s="20" t="str">
        <f>IFERROR(__xludf.DUMMYFUNCTION("""COMPUTED_VALUE"""),"Uncle Sams Cider (04/04/2023)")</f>
        <v>Uncle Sams Cider (04/04/2023)</v>
      </c>
      <c r="H4787" s="19"/>
    </row>
    <row r="4788">
      <c r="A4788" s="9"/>
      <c r="B4788" s="15"/>
      <c r="C4788" s="9">
        <f>IFERROR(__xludf.DUMMYFUNCTION("""COMPUTED_VALUE"""),45094.4355842824)</f>
        <v>45094.43558</v>
      </c>
      <c r="D4788" s="15">
        <f>IFERROR(__xludf.DUMMYFUNCTION("""COMPUTED_VALUE"""),1.002)</f>
        <v>1.002</v>
      </c>
      <c r="E4788" s="16">
        <f>IFERROR(__xludf.DUMMYFUNCTION("""COMPUTED_VALUE"""),68.0)</f>
        <v>68</v>
      </c>
      <c r="F4788" s="19" t="str">
        <f>IFERROR(__xludf.DUMMYFUNCTION("""COMPUTED_VALUE"""),"BLUE")</f>
        <v>BLUE</v>
      </c>
      <c r="G4788" s="20" t="str">
        <f>IFERROR(__xludf.DUMMYFUNCTION("""COMPUTED_VALUE"""),"Uncle Sams Cider (04/04/2023)")</f>
        <v>Uncle Sams Cider (04/04/2023)</v>
      </c>
      <c r="H4788" s="19"/>
    </row>
    <row r="4789">
      <c r="A4789" s="9"/>
      <c r="B4789" s="15"/>
      <c r="C4789" s="9">
        <f>IFERROR(__xludf.DUMMYFUNCTION("""COMPUTED_VALUE"""),45094.4251606018)</f>
        <v>45094.42516</v>
      </c>
      <c r="D4789" s="15">
        <f>IFERROR(__xludf.DUMMYFUNCTION("""COMPUTED_VALUE"""),1.002)</f>
        <v>1.002</v>
      </c>
      <c r="E4789" s="16">
        <f>IFERROR(__xludf.DUMMYFUNCTION("""COMPUTED_VALUE"""),68.0)</f>
        <v>68</v>
      </c>
      <c r="F4789" s="19" t="str">
        <f>IFERROR(__xludf.DUMMYFUNCTION("""COMPUTED_VALUE"""),"BLUE")</f>
        <v>BLUE</v>
      </c>
      <c r="G4789" s="20" t="str">
        <f>IFERROR(__xludf.DUMMYFUNCTION("""COMPUTED_VALUE"""),"Uncle Sams Cider (04/04/2023)")</f>
        <v>Uncle Sams Cider (04/04/2023)</v>
      </c>
      <c r="H4789" s="19"/>
    </row>
    <row r="4790">
      <c r="A4790" s="9"/>
      <c r="B4790" s="15"/>
      <c r="C4790" s="9">
        <f>IFERROR(__xludf.DUMMYFUNCTION("""COMPUTED_VALUE"""),45094.414727581)</f>
        <v>45094.41473</v>
      </c>
      <c r="D4790" s="15">
        <f>IFERROR(__xludf.DUMMYFUNCTION("""COMPUTED_VALUE"""),1.002)</f>
        <v>1.002</v>
      </c>
      <c r="E4790" s="16">
        <f>IFERROR(__xludf.DUMMYFUNCTION("""COMPUTED_VALUE"""),68.0)</f>
        <v>68</v>
      </c>
      <c r="F4790" s="19" t="str">
        <f>IFERROR(__xludf.DUMMYFUNCTION("""COMPUTED_VALUE"""),"BLUE")</f>
        <v>BLUE</v>
      </c>
      <c r="G4790" s="20" t="str">
        <f>IFERROR(__xludf.DUMMYFUNCTION("""COMPUTED_VALUE"""),"Uncle Sams Cider (04/04/2023)")</f>
        <v>Uncle Sams Cider (04/04/2023)</v>
      </c>
      <c r="H4790" s="19"/>
    </row>
    <row r="4791">
      <c r="A4791" s="9"/>
      <c r="B4791" s="15"/>
      <c r="C4791" s="9">
        <f>IFERROR(__xludf.DUMMYFUNCTION("""COMPUTED_VALUE"""),45094.4043052546)</f>
        <v>45094.40431</v>
      </c>
      <c r="D4791" s="15">
        <f>IFERROR(__xludf.DUMMYFUNCTION("""COMPUTED_VALUE"""),1.002)</f>
        <v>1.002</v>
      </c>
      <c r="E4791" s="16">
        <f>IFERROR(__xludf.DUMMYFUNCTION("""COMPUTED_VALUE"""),68.0)</f>
        <v>68</v>
      </c>
      <c r="F4791" s="19" t="str">
        <f>IFERROR(__xludf.DUMMYFUNCTION("""COMPUTED_VALUE"""),"BLUE")</f>
        <v>BLUE</v>
      </c>
      <c r="G4791" s="20" t="str">
        <f>IFERROR(__xludf.DUMMYFUNCTION("""COMPUTED_VALUE"""),"Uncle Sams Cider (04/04/2023)")</f>
        <v>Uncle Sams Cider (04/04/2023)</v>
      </c>
      <c r="H4791" s="19"/>
    </row>
    <row r="4792">
      <c r="A4792" s="9"/>
      <c r="B4792" s="15"/>
      <c r="C4792" s="9">
        <f>IFERROR(__xludf.DUMMYFUNCTION("""COMPUTED_VALUE"""),45094.3938721064)</f>
        <v>45094.39387</v>
      </c>
      <c r="D4792" s="15">
        <f>IFERROR(__xludf.DUMMYFUNCTION("""COMPUTED_VALUE"""),1.002)</f>
        <v>1.002</v>
      </c>
      <c r="E4792" s="16">
        <f>IFERROR(__xludf.DUMMYFUNCTION("""COMPUTED_VALUE"""),67.0)</f>
        <v>67</v>
      </c>
      <c r="F4792" s="19" t="str">
        <f>IFERROR(__xludf.DUMMYFUNCTION("""COMPUTED_VALUE"""),"BLUE")</f>
        <v>BLUE</v>
      </c>
      <c r="G4792" s="20" t="str">
        <f>IFERROR(__xludf.DUMMYFUNCTION("""COMPUTED_VALUE"""),"Uncle Sams Cider (04/04/2023)")</f>
        <v>Uncle Sams Cider (04/04/2023)</v>
      </c>
      <c r="H4792" s="19"/>
    </row>
    <row r="4793">
      <c r="A4793" s="9"/>
      <c r="B4793" s="15"/>
      <c r="C4793" s="9">
        <f>IFERROR(__xludf.DUMMYFUNCTION("""COMPUTED_VALUE"""),45094.383452118)</f>
        <v>45094.38345</v>
      </c>
      <c r="D4793" s="15">
        <f>IFERROR(__xludf.DUMMYFUNCTION("""COMPUTED_VALUE"""),1.002)</f>
        <v>1.002</v>
      </c>
      <c r="E4793" s="16">
        <f>IFERROR(__xludf.DUMMYFUNCTION("""COMPUTED_VALUE"""),68.0)</f>
        <v>68</v>
      </c>
      <c r="F4793" s="19" t="str">
        <f>IFERROR(__xludf.DUMMYFUNCTION("""COMPUTED_VALUE"""),"BLUE")</f>
        <v>BLUE</v>
      </c>
      <c r="G4793" s="20" t="str">
        <f>IFERROR(__xludf.DUMMYFUNCTION("""COMPUTED_VALUE"""),"Uncle Sams Cider (04/04/2023)")</f>
        <v>Uncle Sams Cider (04/04/2023)</v>
      </c>
      <c r="H4793" s="19"/>
    </row>
    <row r="4794">
      <c r="A4794" s="9"/>
      <c r="B4794" s="15"/>
      <c r="C4794" s="9">
        <f>IFERROR(__xludf.DUMMYFUNCTION("""COMPUTED_VALUE"""),45094.3730312615)</f>
        <v>45094.37303</v>
      </c>
      <c r="D4794" s="15">
        <f>IFERROR(__xludf.DUMMYFUNCTION("""COMPUTED_VALUE"""),1.002)</f>
        <v>1.002</v>
      </c>
      <c r="E4794" s="16">
        <f>IFERROR(__xludf.DUMMYFUNCTION("""COMPUTED_VALUE"""),68.0)</f>
        <v>68</v>
      </c>
      <c r="F4794" s="19" t="str">
        <f>IFERROR(__xludf.DUMMYFUNCTION("""COMPUTED_VALUE"""),"BLUE")</f>
        <v>BLUE</v>
      </c>
      <c r="G4794" s="20" t="str">
        <f>IFERROR(__xludf.DUMMYFUNCTION("""COMPUTED_VALUE"""),"Uncle Sams Cider (04/04/2023)")</f>
        <v>Uncle Sams Cider (04/04/2023)</v>
      </c>
      <c r="H4794" s="19"/>
    </row>
    <row r="4795">
      <c r="A4795" s="9"/>
      <c r="B4795" s="15"/>
      <c r="C4795" s="9">
        <f>IFERROR(__xludf.DUMMYFUNCTION("""COMPUTED_VALUE"""),45094.3626116203)</f>
        <v>45094.36261</v>
      </c>
      <c r="D4795" s="15">
        <f>IFERROR(__xludf.DUMMYFUNCTION("""COMPUTED_VALUE"""),1.002)</f>
        <v>1.002</v>
      </c>
      <c r="E4795" s="16">
        <f>IFERROR(__xludf.DUMMYFUNCTION("""COMPUTED_VALUE"""),68.0)</f>
        <v>68</v>
      </c>
      <c r="F4795" s="19" t="str">
        <f>IFERROR(__xludf.DUMMYFUNCTION("""COMPUTED_VALUE"""),"BLUE")</f>
        <v>BLUE</v>
      </c>
      <c r="G4795" s="20" t="str">
        <f>IFERROR(__xludf.DUMMYFUNCTION("""COMPUTED_VALUE"""),"Uncle Sams Cider (04/04/2023)")</f>
        <v>Uncle Sams Cider (04/04/2023)</v>
      </c>
      <c r="H4795" s="19"/>
    </row>
    <row r="4796">
      <c r="A4796" s="9"/>
      <c r="B4796" s="15"/>
      <c r="C4796" s="9">
        <f>IFERROR(__xludf.DUMMYFUNCTION("""COMPUTED_VALUE"""),45094.3521914583)</f>
        <v>45094.35219</v>
      </c>
      <c r="D4796" s="15">
        <f>IFERROR(__xludf.DUMMYFUNCTION("""COMPUTED_VALUE"""),1.002)</f>
        <v>1.002</v>
      </c>
      <c r="E4796" s="16">
        <f>IFERROR(__xludf.DUMMYFUNCTION("""COMPUTED_VALUE"""),68.0)</f>
        <v>68</v>
      </c>
      <c r="F4796" s="19" t="str">
        <f>IFERROR(__xludf.DUMMYFUNCTION("""COMPUTED_VALUE"""),"BLUE")</f>
        <v>BLUE</v>
      </c>
      <c r="G4796" s="20" t="str">
        <f>IFERROR(__xludf.DUMMYFUNCTION("""COMPUTED_VALUE"""),"Uncle Sams Cider (04/04/2023)")</f>
        <v>Uncle Sams Cider (04/04/2023)</v>
      </c>
      <c r="H4796" s="19"/>
    </row>
    <row r="4797">
      <c r="A4797" s="9"/>
      <c r="B4797" s="15"/>
      <c r="C4797" s="9">
        <f>IFERROR(__xludf.DUMMYFUNCTION("""COMPUTED_VALUE"""),45094.3417693634)</f>
        <v>45094.34177</v>
      </c>
      <c r="D4797" s="15">
        <f>IFERROR(__xludf.DUMMYFUNCTION("""COMPUTED_VALUE"""),1.002)</f>
        <v>1.002</v>
      </c>
      <c r="E4797" s="16">
        <f>IFERROR(__xludf.DUMMYFUNCTION("""COMPUTED_VALUE"""),68.0)</f>
        <v>68</v>
      </c>
      <c r="F4797" s="19" t="str">
        <f>IFERROR(__xludf.DUMMYFUNCTION("""COMPUTED_VALUE"""),"BLUE")</f>
        <v>BLUE</v>
      </c>
      <c r="G4797" s="20" t="str">
        <f>IFERROR(__xludf.DUMMYFUNCTION("""COMPUTED_VALUE"""),"Uncle Sams Cider (04/04/2023)")</f>
        <v>Uncle Sams Cider (04/04/2023)</v>
      </c>
      <c r="H4797" s="19"/>
    </row>
    <row r="4798">
      <c r="A4798" s="9"/>
      <c r="B4798" s="15"/>
      <c r="C4798" s="9">
        <f>IFERROR(__xludf.DUMMYFUNCTION("""COMPUTED_VALUE"""),45094.3313476504)</f>
        <v>45094.33135</v>
      </c>
      <c r="D4798" s="15">
        <f>IFERROR(__xludf.DUMMYFUNCTION("""COMPUTED_VALUE"""),1.002)</f>
        <v>1.002</v>
      </c>
      <c r="E4798" s="16">
        <f>IFERROR(__xludf.DUMMYFUNCTION("""COMPUTED_VALUE"""),68.0)</f>
        <v>68</v>
      </c>
      <c r="F4798" s="19" t="str">
        <f>IFERROR(__xludf.DUMMYFUNCTION("""COMPUTED_VALUE"""),"BLUE")</f>
        <v>BLUE</v>
      </c>
      <c r="G4798" s="20" t="str">
        <f>IFERROR(__xludf.DUMMYFUNCTION("""COMPUTED_VALUE"""),"Uncle Sams Cider (04/04/2023)")</f>
        <v>Uncle Sams Cider (04/04/2023)</v>
      </c>
      <c r="H4798" s="19"/>
    </row>
    <row r="4799">
      <c r="A4799" s="9"/>
      <c r="B4799" s="15"/>
      <c r="C4799" s="9">
        <f>IFERROR(__xludf.DUMMYFUNCTION("""COMPUTED_VALUE"""),45094.3209164583)</f>
        <v>45094.32092</v>
      </c>
      <c r="D4799" s="15">
        <f>IFERROR(__xludf.DUMMYFUNCTION("""COMPUTED_VALUE"""),1.002)</f>
        <v>1.002</v>
      </c>
      <c r="E4799" s="16">
        <f>IFERROR(__xludf.DUMMYFUNCTION("""COMPUTED_VALUE"""),68.0)</f>
        <v>68</v>
      </c>
      <c r="F4799" s="19" t="str">
        <f>IFERROR(__xludf.DUMMYFUNCTION("""COMPUTED_VALUE"""),"BLUE")</f>
        <v>BLUE</v>
      </c>
      <c r="G4799" s="20" t="str">
        <f>IFERROR(__xludf.DUMMYFUNCTION("""COMPUTED_VALUE"""),"Uncle Sams Cider (04/04/2023)")</f>
        <v>Uncle Sams Cider (04/04/2023)</v>
      </c>
      <c r="H4799" s="19"/>
    </row>
    <row r="4800">
      <c r="A4800" s="9"/>
      <c r="B4800" s="15"/>
      <c r="C4800" s="9">
        <f>IFERROR(__xludf.DUMMYFUNCTION("""COMPUTED_VALUE"""),45094.3104954513)</f>
        <v>45094.3105</v>
      </c>
      <c r="D4800" s="15">
        <f>IFERROR(__xludf.DUMMYFUNCTION("""COMPUTED_VALUE"""),1.002)</f>
        <v>1.002</v>
      </c>
      <c r="E4800" s="16">
        <f>IFERROR(__xludf.DUMMYFUNCTION("""COMPUTED_VALUE"""),68.0)</f>
        <v>68</v>
      </c>
      <c r="F4800" s="19" t="str">
        <f>IFERROR(__xludf.DUMMYFUNCTION("""COMPUTED_VALUE"""),"BLUE")</f>
        <v>BLUE</v>
      </c>
      <c r="G4800" s="20" t="str">
        <f>IFERROR(__xludf.DUMMYFUNCTION("""COMPUTED_VALUE"""),"Uncle Sams Cider (04/04/2023)")</f>
        <v>Uncle Sams Cider (04/04/2023)</v>
      </c>
      <c r="H4800" s="19"/>
    </row>
    <row r="4801">
      <c r="A4801" s="9"/>
      <c r="B4801" s="15"/>
      <c r="C4801" s="9">
        <f>IFERROR(__xludf.DUMMYFUNCTION("""COMPUTED_VALUE"""),45094.3000750694)</f>
        <v>45094.30008</v>
      </c>
      <c r="D4801" s="15">
        <f>IFERROR(__xludf.DUMMYFUNCTION("""COMPUTED_VALUE"""),1.002)</f>
        <v>1.002</v>
      </c>
      <c r="E4801" s="16">
        <f>IFERROR(__xludf.DUMMYFUNCTION("""COMPUTED_VALUE"""),68.0)</f>
        <v>68</v>
      </c>
      <c r="F4801" s="19" t="str">
        <f>IFERROR(__xludf.DUMMYFUNCTION("""COMPUTED_VALUE"""),"BLUE")</f>
        <v>BLUE</v>
      </c>
      <c r="G4801" s="20" t="str">
        <f>IFERROR(__xludf.DUMMYFUNCTION("""COMPUTED_VALUE"""),"Uncle Sams Cider (04/04/2023)")</f>
        <v>Uncle Sams Cider (04/04/2023)</v>
      </c>
      <c r="H4801" s="19"/>
    </row>
    <row r="4802">
      <c r="A4802" s="9"/>
      <c r="B4802" s="15"/>
      <c r="C4802" s="9">
        <f>IFERROR(__xludf.DUMMYFUNCTION("""COMPUTED_VALUE"""),45094.2896533796)</f>
        <v>45094.28965</v>
      </c>
      <c r="D4802" s="15">
        <f>IFERROR(__xludf.DUMMYFUNCTION("""COMPUTED_VALUE"""),1.002)</f>
        <v>1.002</v>
      </c>
      <c r="E4802" s="16">
        <f>IFERROR(__xludf.DUMMYFUNCTION("""COMPUTED_VALUE"""),68.0)</f>
        <v>68</v>
      </c>
      <c r="F4802" s="19" t="str">
        <f>IFERROR(__xludf.DUMMYFUNCTION("""COMPUTED_VALUE"""),"BLUE")</f>
        <v>BLUE</v>
      </c>
      <c r="G4802" s="20" t="str">
        <f>IFERROR(__xludf.DUMMYFUNCTION("""COMPUTED_VALUE"""),"Uncle Sams Cider (04/04/2023)")</f>
        <v>Uncle Sams Cider (04/04/2023)</v>
      </c>
      <c r="H4802" s="19"/>
    </row>
    <row r="4803">
      <c r="A4803" s="9"/>
      <c r="B4803" s="15"/>
      <c r="C4803" s="9">
        <f>IFERROR(__xludf.DUMMYFUNCTION("""COMPUTED_VALUE"""),45094.2792211574)</f>
        <v>45094.27922</v>
      </c>
      <c r="D4803" s="15">
        <f>IFERROR(__xludf.DUMMYFUNCTION("""COMPUTED_VALUE"""),1.002)</f>
        <v>1.002</v>
      </c>
      <c r="E4803" s="16">
        <f>IFERROR(__xludf.DUMMYFUNCTION("""COMPUTED_VALUE"""),68.0)</f>
        <v>68</v>
      </c>
      <c r="F4803" s="19" t="str">
        <f>IFERROR(__xludf.DUMMYFUNCTION("""COMPUTED_VALUE"""),"BLUE")</f>
        <v>BLUE</v>
      </c>
      <c r="G4803" s="20" t="str">
        <f>IFERROR(__xludf.DUMMYFUNCTION("""COMPUTED_VALUE"""),"Uncle Sams Cider (04/04/2023)")</f>
        <v>Uncle Sams Cider (04/04/2023)</v>
      </c>
      <c r="H4803" s="19"/>
    </row>
    <row r="4804">
      <c r="A4804" s="9"/>
      <c r="B4804" s="15"/>
      <c r="C4804" s="9">
        <f>IFERROR(__xludf.DUMMYFUNCTION("""COMPUTED_VALUE"""),45094.2688001041)</f>
        <v>45094.2688</v>
      </c>
      <c r="D4804" s="15">
        <f>IFERROR(__xludf.DUMMYFUNCTION("""COMPUTED_VALUE"""),1.002)</f>
        <v>1.002</v>
      </c>
      <c r="E4804" s="16">
        <f>IFERROR(__xludf.DUMMYFUNCTION("""COMPUTED_VALUE"""),68.0)</f>
        <v>68</v>
      </c>
      <c r="F4804" s="19" t="str">
        <f>IFERROR(__xludf.DUMMYFUNCTION("""COMPUTED_VALUE"""),"BLUE")</f>
        <v>BLUE</v>
      </c>
      <c r="G4804" s="20" t="str">
        <f>IFERROR(__xludf.DUMMYFUNCTION("""COMPUTED_VALUE"""),"Uncle Sams Cider (04/04/2023)")</f>
        <v>Uncle Sams Cider (04/04/2023)</v>
      </c>
      <c r="H4804" s="19"/>
    </row>
    <row r="4805">
      <c r="A4805" s="9"/>
      <c r="B4805" s="15"/>
      <c r="C4805" s="9">
        <f>IFERROR(__xludf.DUMMYFUNCTION("""COMPUTED_VALUE"""),45094.2583787963)</f>
        <v>45094.25838</v>
      </c>
      <c r="D4805" s="15">
        <f>IFERROR(__xludf.DUMMYFUNCTION("""COMPUTED_VALUE"""),1.002)</f>
        <v>1.002</v>
      </c>
      <c r="E4805" s="16">
        <f>IFERROR(__xludf.DUMMYFUNCTION("""COMPUTED_VALUE"""),68.0)</f>
        <v>68</v>
      </c>
      <c r="F4805" s="19" t="str">
        <f>IFERROR(__xludf.DUMMYFUNCTION("""COMPUTED_VALUE"""),"BLUE")</f>
        <v>BLUE</v>
      </c>
      <c r="G4805" s="20" t="str">
        <f>IFERROR(__xludf.DUMMYFUNCTION("""COMPUTED_VALUE"""),"Uncle Sams Cider (04/04/2023)")</f>
        <v>Uncle Sams Cider (04/04/2023)</v>
      </c>
      <c r="H4805" s="19"/>
    </row>
    <row r="4806">
      <c r="A4806" s="9"/>
      <c r="B4806" s="15"/>
      <c r="C4806" s="9">
        <f>IFERROR(__xludf.DUMMYFUNCTION("""COMPUTED_VALUE"""),45094.2479568402)</f>
        <v>45094.24796</v>
      </c>
      <c r="D4806" s="15">
        <f>IFERROR(__xludf.DUMMYFUNCTION("""COMPUTED_VALUE"""),1.002)</f>
        <v>1.002</v>
      </c>
      <c r="E4806" s="16">
        <f>IFERROR(__xludf.DUMMYFUNCTION("""COMPUTED_VALUE"""),68.0)</f>
        <v>68</v>
      </c>
      <c r="F4806" s="19" t="str">
        <f>IFERROR(__xludf.DUMMYFUNCTION("""COMPUTED_VALUE"""),"BLUE")</f>
        <v>BLUE</v>
      </c>
      <c r="G4806" s="20" t="str">
        <f>IFERROR(__xludf.DUMMYFUNCTION("""COMPUTED_VALUE"""),"Uncle Sams Cider (04/04/2023)")</f>
        <v>Uncle Sams Cider (04/04/2023)</v>
      </c>
      <c r="H4806" s="19"/>
    </row>
    <row r="4807">
      <c r="A4807" s="9"/>
      <c r="B4807" s="15"/>
      <c r="C4807" s="9">
        <f>IFERROR(__xludf.DUMMYFUNCTION("""COMPUTED_VALUE"""),45094.2375227314)</f>
        <v>45094.23752</v>
      </c>
      <c r="D4807" s="15">
        <f>IFERROR(__xludf.DUMMYFUNCTION("""COMPUTED_VALUE"""),1.002)</f>
        <v>1.002</v>
      </c>
      <c r="E4807" s="16">
        <f>IFERROR(__xludf.DUMMYFUNCTION("""COMPUTED_VALUE"""),68.0)</f>
        <v>68</v>
      </c>
      <c r="F4807" s="19" t="str">
        <f>IFERROR(__xludf.DUMMYFUNCTION("""COMPUTED_VALUE"""),"BLUE")</f>
        <v>BLUE</v>
      </c>
      <c r="G4807" s="20" t="str">
        <f>IFERROR(__xludf.DUMMYFUNCTION("""COMPUTED_VALUE"""),"Uncle Sams Cider (04/04/2023)")</f>
        <v>Uncle Sams Cider (04/04/2023)</v>
      </c>
      <c r="H4807" s="19"/>
    </row>
    <row r="4808">
      <c r="A4808" s="9"/>
      <c r="B4808" s="15"/>
      <c r="C4808" s="9">
        <f>IFERROR(__xludf.DUMMYFUNCTION("""COMPUTED_VALUE"""),45094.2271009375)</f>
        <v>45094.2271</v>
      </c>
      <c r="D4808" s="15">
        <f>IFERROR(__xludf.DUMMYFUNCTION("""COMPUTED_VALUE"""),1.002)</f>
        <v>1.002</v>
      </c>
      <c r="E4808" s="16">
        <f>IFERROR(__xludf.DUMMYFUNCTION("""COMPUTED_VALUE"""),68.0)</f>
        <v>68</v>
      </c>
      <c r="F4808" s="19" t="str">
        <f>IFERROR(__xludf.DUMMYFUNCTION("""COMPUTED_VALUE"""),"BLUE")</f>
        <v>BLUE</v>
      </c>
      <c r="G4808" s="20" t="str">
        <f>IFERROR(__xludf.DUMMYFUNCTION("""COMPUTED_VALUE"""),"Uncle Sams Cider (04/04/2023)")</f>
        <v>Uncle Sams Cider (04/04/2023)</v>
      </c>
      <c r="H4808" s="19"/>
    </row>
    <row r="4809">
      <c r="A4809" s="9"/>
      <c r="B4809" s="15"/>
      <c r="C4809" s="9">
        <f>IFERROR(__xludf.DUMMYFUNCTION("""COMPUTED_VALUE"""),45094.2166791666)</f>
        <v>45094.21668</v>
      </c>
      <c r="D4809" s="15">
        <f>IFERROR(__xludf.DUMMYFUNCTION("""COMPUTED_VALUE"""),1.002)</f>
        <v>1.002</v>
      </c>
      <c r="E4809" s="16">
        <f>IFERROR(__xludf.DUMMYFUNCTION("""COMPUTED_VALUE"""),67.0)</f>
        <v>67</v>
      </c>
      <c r="F4809" s="19" t="str">
        <f>IFERROR(__xludf.DUMMYFUNCTION("""COMPUTED_VALUE"""),"BLUE")</f>
        <v>BLUE</v>
      </c>
      <c r="G4809" s="20" t="str">
        <f>IFERROR(__xludf.DUMMYFUNCTION("""COMPUTED_VALUE"""),"Uncle Sams Cider (04/04/2023)")</f>
        <v>Uncle Sams Cider (04/04/2023)</v>
      </c>
      <c r="H4809" s="19"/>
    </row>
    <row r="4810">
      <c r="A4810" s="9"/>
      <c r="B4810" s="15"/>
      <c r="C4810" s="9">
        <f>IFERROR(__xludf.DUMMYFUNCTION("""COMPUTED_VALUE"""),45094.2062572685)</f>
        <v>45094.20626</v>
      </c>
      <c r="D4810" s="15">
        <f>IFERROR(__xludf.DUMMYFUNCTION("""COMPUTED_VALUE"""),1.002)</f>
        <v>1.002</v>
      </c>
      <c r="E4810" s="16">
        <f>IFERROR(__xludf.DUMMYFUNCTION("""COMPUTED_VALUE"""),68.0)</f>
        <v>68</v>
      </c>
      <c r="F4810" s="19" t="str">
        <f>IFERROR(__xludf.DUMMYFUNCTION("""COMPUTED_VALUE"""),"BLUE")</f>
        <v>BLUE</v>
      </c>
      <c r="G4810" s="20" t="str">
        <f>IFERROR(__xludf.DUMMYFUNCTION("""COMPUTED_VALUE"""),"Uncle Sams Cider (04/04/2023)")</f>
        <v>Uncle Sams Cider (04/04/2023)</v>
      </c>
      <c r="H4810" s="19"/>
    </row>
    <row r="4811">
      <c r="A4811" s="9"/>
      <c r="B4811" s="15"/>
      <c r="C4811" s="9">
        <f>IFERROR(__xludf.DUMMYFUNCTION("""COMPUTED_VALUE"""),45094.1958350578)</f>
        <v>45094.19584</v>
      </c>
      <c r="D4811" s="15">
        <f>IFERROR(__xludf.DUMMYFUNCTION("""COMPUTED_VALUE"""),1.002)</f>
        <v>1.002</v>
      </c>
      <c r="E4811" s="16">
        <f>IFERROR(__xludf.DUMMYFUNCTION("""COMPUTED_VALUE"""),68.0)</f>
        <v>68</v>
      </c>
      <c r="F4811" s="19" t="str">
        <f>IFERROR(__xludf.DUMMYFUNCTION("""COMPUTED_VALUE"""),"BLUE")</f>
        <v>BLUE</v>
      </c>
      <c r="G4811" s="20" t="str">
        <f>IFERROR(__xludf.DUMMYFUNCTION("""COMPUTED_VALUE"""),"Uncle Sams Cider (04/04/2023)")</f>
        <v>Uncle Sams Cider (04/04/2023)</v>
      </c>
      <c r="H4811" s="19"/>
    </row>
    <row r="4812">
      <c r="A4812" s="9"/>
      <c r="B4812" s="15"/>
      <c r="C4812" s="9">
        <f>IFERROR(__xludf.DUMMYFUNCTION("""COMPUTED_VALUE"""),45094.1854127314)</f>
        <v>45094.18541</v>
      </c>
      <c r="D4812" s="15">
        <f>IFERROR(__xludf.DUMMYFUNCTION("""COMPUTED_VALUE"""),1.002)</f>
        <v>1.002</v>
      </c>
      <c r="E4812" s="16">
        <f>IFERROR(__xludf.DUMMYFUNCTION("""COMPUTED_VALUE"""),68.0)</f>
        <v>68</v>
      </c>
      <c r="F4812" s="19" t="str">
        <f>IFERROR(__xludf.DUMMYFUNCTION("""COMPUTED_VALUE"""),"BLUE")</f>
        <v>BLUE</v>
      </c>
      <c r="G4812" s="20" t="str">
        <f>IFERROR(__xludf.DUMMYFUNCTION("""COMPUTED_VALUE"""),"Uncle Sams Cider (04/04/2023)")</f>
        <v>Uncle Sams Cider (04/04/2023)</v>
      </c>
      <c r="H4812" s="19"/>
    </row>
    <row r="4813">
      <c r="A4813" s="9"/>
      <c r="B4813" s="15"/>
      <c r="C4813" s="9">
        <f>IFERROR(__xludf.DUMMYFUNCTION("""COMPUTED_VALUE"""),45094.1749907523)</f>
        <v>45094.17499</v>
      </c>
      <c r="D4813" s="15">
        <f>IFERROR(__xludf.DUMMYFUNCTION("""COMPUTED_VALUE"""),1.002)</f>
        <v>1.002</v>
      </c>
      <c r="E4813" s="16">
        <f>IFERROR(__xludf.DUMMYFUNCTION("""COMPUTED_VALUE"""),68.0)</f>
        <v>68</v>
      </c>
      <c r="F4813" s="19" t="str">
        <f>IFERROR(__xludf.DUMMYFUNCTION("""COMPUTED_VALUE"""),"BLUE")</f>
        <v>BLUE</v>
      </c>
      <c r="G4813" s="20" t="str">
        <f>IFERROR(__xludf.DUMMYFUNCTION("""COMPUTED_VALUE"""),"Uncle Sams Cider (04/04/2023)")</f>
        <v>Uncle Sams Cider (04/04/2023)</v>
      </c>
      <c r="H4813" s="19"/>
    </row>
    <row r="4814">
      <c r="A4814" s="9"/>
      <c r="B4814" s="15"/>
      <c r="C4814" s="9">
        <f>IFERROR(__xludf.DUMMYFUNCTION("""COMPUTED_VALUE"""),45094.1645583101)</f>
        <v>45094.16456</v>
      </c>
      <c r="D4814" s="15">
        <f>IFERROR(__xludf.DUMMYFUNCTION("""COMPUTED_VALUE"""),1.002)</f>
        <v>1.002</v>
      </c>
      <c r="E4814" s="16">
        <f>IFERROR(__xludf.DUMMYFUNCTION("""COMPUTED_VALUE"""),68.0)</f>
        <v>68</v>
      </c>
      <c r="F4814" s="19" t="str">
        <f>IFERROR(__xludf.DUMMYFUNCTION("""COMPUTED_VALUE"""),"BLUE")</f>
        <v>BLUE</v>
      </c>
      <c r="G4814" s="20" t="str">
        <f>IFERROR(__xludf.DUMMYFUNCTION("""COMPUTED_VALUE"""),"Uncle Sams Cider (04/04/2023)")</f>
        <v>Uncle Sams Cider (04/04/2023)</v>
      </c>
      <c r="H4814" s="19"/>
    </row>
    <row r="4815">
      <c r="A4815" s="9"/>
      <c r="B4815" s="15"/>
      <c r="C4815" s="9">
        <f>IFERROR(__xludf.DUMMYFUNCTION("""COMPUTED_VALUE"""),45094.154137824)</f>
        <v>45094.15414</v>
      </c>
      <c r="D4815" s="15">
        <f>IFERROR(__xludf.DUMMYFUNCTION("""COMPUTED_VALUE"""),1.002)</f>
        <v>1.002</v>
      </c>
      <c r="E4815" s="16">
        <f>IFERROR(__xludf.DUMMYFUNCTION("""COMPUTED_VALUE"""),68.0)</f>
        <v>68</v>
      </c>
      <c r="F4815" s="19" t="str">
        <f>IFERROR(__xludf.DUMMYFUNCTION("""COMPUTED_VALUE"""),"BLUE")</f>
        <v>BLUE</v>
      </c>
      <c r="G4815" s="20" t="str">
        <f>IFERROR(__xludf.DUMMYFUNCTION("""COMPUTED_VALUE"""),"Uncle Sams Cider (04/04/2023)")</f>
        <v>Uncle Sams Cider (04/04/2023)</v>
      </c>
      <c r="H4815" s="19"/>
    </row>
    <row r="4816">
      <c r="A4816" s="9"/>
      <c r="B4816" s="15"/>
      <c r="C4816" s="9">
        <f>IFERROR(__xludf.DUMMYFUNCTION("""COMPUTED_VALUE"""),45094.1437161921)</f>
        <v>45094.14372</v>
      </c>
      <c r="D4816" s="15">
        <f>IFERROR(__xludf.DUMMYFUNCTION("""COMPUTED_VALUE"""),1.002)</f>
        <v>1.002</v>
      </c>
      <c r="E4816" s="16">
        <f>IFERROR(__xludf.DUMMYFUNCTION("""COMPUTED_VALUE"""),68.0)</f>
        <v>68</v>
      </c>
      <c r="F4816" s="19" t="str">
        <f>IFERROR(__xludf.DUMMYFUNCTION("""COMPUTED_VALUE"""),"BLUE")</f>
        <v>BLUE</v>
      </c>
      <c r="G4816" s="20" t="str">
        <f>IFERROR(__xludf.DUMMYFUNCTION("""COMPUTED_VALUE"""),"Uncle Sams Cider (04/04/2023)")</f>
        <v>Uncle Sams Cider (04/04/2023)</v>
      </c>
      <c r="H4816" s="19"/>
    </row>
    <row r="4817">
      <c r="A4817" s="9"/>
      <c r="B4817" s="15"/>
      <c r="C4817" s="9">
        <f>IFERROR(__xludf.DUMMYFUNCTION("""COMPUTED_VALUE"""),45094.1332943287)</f>
        <v>45094.13329</v>
      </c>
      <c r="D4817" s="15">
        <f>IFERROR(__xludf.DUMMYFUNCTION("""COMPUTED_VALUE"""),1.002)</f>
        <v>1.002</v>
      </c>
      <c r="E4817" s="16">
        <f>IFERROR(__xludf.DUMMYFUNCTION("""COMPUTED_VALUE"""),68.0)</f>
        <v>68</v>
      </c>
      <c r="F4817" s="19" t="str">
        <f>IFERROR(__xludf.DUMMYFUNCTION("""COMPUTED_VALUE"""),"BLUE")</f>
        <v>BLUE</v>
      </c>
      <c r="G4817" s="20" t="str">
        <f>IFERROR(__xludf.DUMMYFUNCTION("""COMPUTED_VALUE"""),"Uncle Sams Cider (04/04/2023)")</f>
        <v>Uncle Sams Cider (04/04/2023)</v>
      </c>
      <c r="H4817" s="19"/>
    </row>
    <row r="4818">
      <c r="A4818" s="9"/>
      <c r="B4818" s="15"/>
      <c r="C4818" s="9">
        <f>IFERROR(__xludf.DUMMYFUNCTION("""COMPUTED_VALUE"""),45094.1228376388)</f>
        <v>45094.12284</v>
      </c>
      <c r="D4818" s="15">
        <f>IFERROR(__xludf.DUMMYFUNCTION("""COMPUTED_VALUE"""),1.002)</f>
        <v>1.002</v>
      </c>
      <c r="E4818" s="16">
        <f>IFERROR(__xludf.DUMMYFUNCTION("""COMPUTED_VALUE"""),68.0)</f>
        <v>68</v>
      </c>
      <c r="F4818" s="19" t="str">
        <f>IFERROR(__xludf.DUMMYFUNCTION("""COMPUTED_VALUE"""),"BLUE")</f>
        <v>BLUE</v>
      </c>
      <c r="G4818" s="20" t="str">
        <f>IFERROR(__xludf.DUMMYFUNCTION("""COMPUTED_VALUE"""),"Uncle Sams Cider (04/04/2023)")</f>
        <v>Uncle Sams Cider (04/04/2023)</v>
      </c>
      <c r="H4818" s="19"/>
    </row>
    <row r="4819">
      <c r="A4819" s="9"/>
      <c r="B4819" s="15"/>
      <c r="C4819" s="9">
        <f>IFERROR(__xludf.DUMMYFUNCTION("""COMPUTED_VALUE"""),45094.1123928588)</f>
        <v>45094.11239</v>
      </c>
      <c r="D4819" s="15">
        <f>IFERROR(__xludf.DUMMYFUNCTION("""COMPUTED_VALUE"""),1.002)</f>
        <v>1.002</v>
      </c>
      <c r="E4819" s="16">
        <f>IFERROR(__xludf.DUMMYFUNCTION("""COMPUTED_VALUE"""),68.0)</f>
        <v>68</v>
      </c>
      <c r="F4819" s="19" t="str">
        <f>IFERROR(__xludf.DUMMYFUNCTION("""COMPUTED_VALUE"""),"BLUE")</f>
        <v>BLUE</v>
      </c>
      <c r="G4819" s="20" t="str">
        <f>IFERROR(__xludf.DUMMYFUNCTION("""COMPUTED_VALUE"""),"Uncle Sams Cider (04/04/2023)")</f>
        <v>Uncle Sams Cider (04/04/2023)</v>
      </c>
      <c r="H4819" s="19"/>
    </row>
    <row r="4820">
      <c r="A4820" s="9"/>
      <c r="B4820" s="15"/>
      <c r="C4820" s="9">
        <f>IFERROR(__xludf.DUMMYFUNCTION("""COMPUTED_VALUE"""),45094.101971574)</f>
        <v>45094.10197</v>
      </c>
      <c r="D4820" s="15">
        <f>IFERROR(__xludf.DUMMYFUNCTION("""COMPUTED_VALUE"""),1.002)</f>
        <v>1.002</v>
      </c>
      <c r="E4820" s="16">
        <f>IFERROR(__xludf.DUMMYFUNCTION("""COMPUTED_VALUE"""),68.0)</f>
        <v>68</v>
      </c>
      <c r="F4820" s="19" t="str">
        <f>IFERROR(__xludf.DUMMYFUNCTION("""COMPUTED_VALUE"""),"BLUE")</f>
        <v>BLUE</v>
      </c>
      <c r="G4820" s="20" t="str">
        <f>IFERROR(__xludf.DUMMYFUNCTION("""COMPUTED_VALUE"""),"Uncle Sams Cider (04/04/2023)")</f>
        <v>Uncle Sams Cider (04/04/2023)</v>
      </c>
      <c r="H4820" s="19"/>
    </row>
    <row r="4821">
      <c r="A4821" s="9"/>
      <c r="B4821" s="15"/>
      <c r="C4821" s="9">
        <f>IFERROR(__xludf.DUMMYFUNCTION("""COMPUTED_VALUE"""),45094.0915496643)</f>
        <v>45094.09155</v>
      </c>
      <c r="D4821" s="15">
        <f>IFERROR(__xludf.DUMMYFUNCTION("""COMPUTED_VALUE"""),1.002)</f>
        <v>1.002</v>
      </c>
      <c r="E4821" s="16">
        <f>IFERROR(__xludf.DUMMYFUNCTION("""COMPUTED_VALUE"""),68.0)</f>
        <v>68</v>
      </c>
      <c r="F4821" s="19" t="str">
        <f>IFERROR(__xludf.DUMMYFUNCTION("""COMPUTED_VALUE"""),"BLUE")</f>
        <v>BLUE</v>
      </c>
      <c r="G4821" s="20" t="str">
        <f>IFERROR(__xludf.DUMMYFUNCTION("""COMPUTED_VALUE"""),"Uncle Sams Cider (04/04/2023)")</f>
        <v>Uncle Sams Cider (04/04/2023)</v>
      </c>
      <c r="H4821" s="19"/>
    </row>
    <row r="4822">
      <c r="A4822" s="9"/>
      <c r="B4822" s="15"/>
      <c r="C4822" s="9">
        <f>IFERROR(__xludf.DUMMYFUNCTION("""COMPUTED_VALUE"""),45094.0811301273)</f>
        <v>45094.08113</v>
      </c>
      <c r="D4822" s="15">
        <f>IFERROR(__xludf.DUMMYFUNCTION("""COMPUTED_VALUE"""),1.002)</f>
        <v>1.002</v>
      </c>
      <c r="E4822" s="16">
        <f>IFERROR(__xludf.DUMMYFUNCTION("""COMPUTED_VALUE"""),68.0)</f>
        <v>68</v>
      </c>
      <c r="F4822" s="19" t="str">
        <f>IFERROR(__xludf.DUMMYFUNCTION("""COMPUTED_VALUE"""),"BLUE")</f>
        <v>BLUE</v>
      </c>
      <c r="G4822" s="20" t="str">
        <f>IFERROR(__xludf.DUMMYFUNCTION("""COMPUTED_VALUE"""),"Uncle Sams Cider (04/04/2023)")</f>
        <v>Uncle Sams Cider (04/04/2023)</v>
      </c>
      <c r="H4822" s="19"/>
    </row>
    <row r="4823">
      <c r="A4823" s="9"/>
      <c r="B4823" s="15"/>
      <c r="C4823" s="9">
        <f>IFERROR(__xludf.DUMMYFUNCTION("""COMPUTED_VALUE"""),45094.0706977083)</f>
        <v>45094.0707</v>
      </c>
      <c r="D4823" s="15">
        <f>IFERROR(__xludf.DUMMYFUNCTION("""COMPUTED_VALUE"""),1.002)</f>
        <v>1.002</v>
      </c>
      <c r="E4823" s="16">
        <f>IFERROR(__xludf.DUMMYFUNCTION("""COMPUTED_VALUE"""),68.0)</f>
        <v>68</v>
      </c>
      <c r="F4823" s="19" t="str">
        <f>IFERROR(__xludf.DUMMYFUNCTION("""COMPUTED_VALUE"""),"BLUE")</f>
        <v>BLUE</v>
      </c>
      <c r="G4823" s="20" t="str">
        <f>IFERROR(__xludf.DUMMYFUNCTION("""COMPUTED_VALUE"""),"Uncle Sams Cider (04/04/2023)")</f>
        <v>Uncle Sams Cider (04/04/2023)</v>
      </c>
      <c r="H4823" s="19"/>
    </row>
    <row r="4824">
      <c r="A4824" s="9"/>
      <c r="B4824" s="15"/>
      <c r="C4824" s="9">
        <f>IFERROR(__xludf.DUMMYFUNCTION("""COMPUTED_VALUE"""),45094.0602775)</f>
        <v>45094.06028</v>
      </c>
      <c r="D4824" s="15">
        <f>IFERROR(__xludf.DUMMYFUNCTION("""COMPUTED_VALUE"""),1.002)</f>
        <v>1.002</v>
      </c>
      <c r="E4824" s="16">
        <f>IFERROR(__xludf.DUMMYFUNCTION("""COMPUTED_VALUE"""),68.0)</f>
        <v>68</v>
      </c>
      <c r="F4824" s="19" t="str">
        <f>IFERROR(__xludf.DUMMYFUNCTION("""COMPUTED_VALUE"""),"BLUE")</f>
        <v>BLUE</v>
      </c>
      <c r="G4824" s="20" t="str">
        <f>IFERROR(__xludf.DUMMYFUNCTION("""COMPUTED_VALUE"""),"Uncle Sams Cider (04/04/2023)")</f>
        <v>Uncle Sams Cider (04/04/2023)</v>
      </c>
      <c r="H4824" s="19"/>
    </row>
    <row r="4825">
      <c r="A4825" s="9"/>
      <c r="B4825" s="15"/>
      <c r="C4825" s="9">
        <f>IFERROR(__xludf.DUMMYFUNCTION("""COMPUTED_VALUE"""),45094.0498565277)</f>
        <v>45094.04986</v>
      </c>
      <c r="D4825" s="15">
        <f>IFERROR(__xludf.DUMMYFUNCTION("""COMPUTED_VALUE"""),1.003)</f>
        <v>1.003</v>
      </c>
      <c r="E4825" s="16">
        <f>IFERROR(__xludf.DUMMYFUNCTION("""COMPUTED_VALUE"""),68.0)</f>
        <v>68</v>
      </c>
      <c r="F4825" s="19" t="str">
        <f>IFERROR(__xludf.DUMMYFUNCTION("""COMPUTED_VALUE"""),"BLUE")</f>
        <v>BLUE</v>
      </c>
      <c r="G4825" s="20" t="str">
        <f>IFERROR(__xludf.DUMMYFUNCTION("""COMPUTED_VALUE"""),"Uncle Sams Cider (04/04/2023)")</f>
        <v>Uncle Sams Cider (04/04/2023)</v>
      </c>
      <c r="H4825" s="19"/>
    </row>
    <row r="4826">
      <c r="A4826" s="9"/>
      <c r="B4826" s="15"/>
      <c r="C4826" s="9">
        <f>IFERROR(__xludf.DUMMYFUNCTION("""COMPUTED_VALUE"""),45094.0394374189)</f>
        <v>45094.03944</v>
      </c>
      <c r="D4826" s="15">
        <f>IFERROR(__xludf.DUMMYFUNCTION("""COMPUTED_VALUE"""),1.002)</f>
        <v>1.002</v>
      </c>
      <c r="E4826" s="16">
        <f>IFERROR(__xludf.DUMMYFUNCTION("""COMPUTED_VALUE"""),68.0)</f>
        <v>68</v>
      </c>
      <c r="F4826" s="19" t="str">
        <f>IFERROR(__xludf.DUMMYFUNCTION("""COMPUTED_VALUE"""),"BLUE")</f>
        <v>BLUE</v>
      </c>
      <c r="G4826" s="20" t="str">
        <f>IFERROR(__xludf.DUMMYFUNCTION("""COMPUTED_VALUE"""),"Uncle Sams Cider (04/04/2023)")</f>
        <v>Uncle Sams Cider (04/04/2023)</v>
      </c>
      <c r="H4826" s="19"/>
    </row>
    <row r="4827">
      <c r="A4827" s="9"/>
      <c r="B4827" s="15"/>
      <c r="C4827" s="9">
        <f>IFERROR(__xludf.DUMMYFUNCTION("""COMPUTED_VALUE"""),45094.0290176157)</f>
        <v>45094.02902</v>
      </c>
      <c r="D4827" s="15">
        <f>IFERROR(__xludf.DUMMYFUNCTION("""COMPUTED_VALUE"""),1.002)</f>
        <v>1.002</v>
      </c>
      <c r="E4827" s="16">
        <f>IFERROR(__xludf.DUMMYFUNCTION("""COMPUTED_VALUE"""),68.0)</f>
        <v>68</v>
      </c>
      <c r="F4827" s="19" t="str">
        <f>IFERROR(__xludf.DUMMYFUNCTION("""COMPUTED_VALUE"""),"BLUE")</f>
        <v>BLUE</v>
      </c>
      <c r="G4827" s="20" t="str">
        <f>IFERROR(__xludf.DUMMYFUNCTION("""COMPUTED_VALUE"""),"Uncle Sams Cider (04/04/2023)")</f>
        <v>Uncle Sams Cider (04/04/2023)</v>
      </c>
      <c r="H4827" s="19"/>
    </row>
    <row r="4828">
      <c r="A4828" s="9"/>
      <c r="B4828" s="15"/>
      <c r="C4828" s="9">
        <f>IFERROR(__xludf.DUMMYFUNCTION("""COMPUTED_VALUE"""),45094.0185947337)</f>
        <v>45094.01859</v>
      </c>
      <c r="D4828" s="15">
        <f>IFERROR(__xludf.DUMMYFUNCTION("""COMPUTED_VALUE"""),1.002)</f>
        <v>1.002</v>
      </c>
      <c r="E4828" s="16">
        <f>IFERROR(__xludf.DUMMYFUNCTION("""COMPUTED_VALUE"""),68.0)</f>
        <v>68</v>
      </c>
      <c r="F4828" s="19" t="str">
        <f>IFERROR(__xludf.DUMMYFUNCTION("""COMPUTED_VALUE"""),"BLUE")</f>
        <v>BLUE</v>
      </c>
      <c r="G4828" s="20" t="str">
        <f>IFERROR(__xludf.DUMMYFUNCTION("""COMPUTED_VALUE"""),"Uncle Sams Cider (04/04/2023)")</f>
        <v>Uncle Sams Cider (04/04/2023)</v>
      </c>
      <c r="H4828" s="19"/>
    </row>
    <row r="4829">
      <c r="A4829" s="9"/>
      <c r="B4829" s="15"/>
      <c r="C4829" s="9">
        <f>IFERROR(__xludf.DUMMYFUNCTION("""COMPUTED_VALUE"""),45094.0081728472)</f>
        <v>45094.00817</v>
      </c>
      <c r="D4829" s="15">
        <f>IFERROR(__xludf.DUMMYFUNCTION("""COMPUTED_VALUE"""),1.002)</f>
        <v>1.002</v>
      </c>
      <c r="E4829" s="16">
        <f>IFERROR(__xludf.DUMMYFUNCTION("""COMPUTED_VALUE"""),68.0)</f>
        <v>68</v>
      </c>
      <c r="F4829" s="19" t="str">
        <f>IFERROR(__xludf.DUMMYFUNCTION("""COMPUTED_VALUE"""),"BLUE")</f>
        <v>BLUE</v>
      </c>
      <c r="G4829" s="20" t="str">
        <f>IFERROR(__xludf.DUMMYFUNCTION("""COMPUTED_VALUE"""),"Uncle Sams Cider (04/04/2023)")</f>
        <v>Uncle Sams Cider (04/04/2023)</v>
      </c>
      <c r="H4829" s="19"/>
    </row>
    <row r="4830">
      <c r="A4830" s="9"/>
      <c r="B4830" s="15"/>
      <c r="C4830" s="9">
        <f>IFERROR(__xludf.DUMMYFUNCTION("""COMPUTED_VALUE"""),45093.9873301273)</f>
        <v>45093.98733</v>
      </c>
      <c r="D4830" s="15">
        <f>IFERROR(__xludf.DUMMYFUNCTION("""COMPUTED_VALUE"""),1.002)</f>
        <v>1.002</v>
      </c>
      <c r="E4830" s="16">
        <f>IFERROR(__xludf.DUMMYFUNCTION("""COMPUTED_VALUE"""),68.0)</f>
        <v>68</v>
      </c>
      <c r="F4830" s="19" t="str">
        <f>IFERROR(__xludf.DUMMYFUNCTION("""COMPUTED_VALUE"""),"BLUE")</f>
        <v>BLUE</v>
      </c>
      <c r="G4830" s="20" t="str">
        <f>IFERROR(__xludf.DUMMYFUNCTION("""COMPUTED_VALUE"""),"Uncle Sams Cider (04/04/2023)")</f>
        <v>Uncle Sams Cider (04/04/2023)</v>
      </c>
      <c r="H4830" s="19"/>
    </row>
    <row r="4831">
      <c r="A4831" s="9"/>
      <c r="B4831" s="15"/>
      <c r="C4831" s="9">
        <f>IFERROR(__xludf.DUMMYFUNCTION("""COMPUTED_VALUE"""),45093.9768966087)</f>
        <v>45093.9769</v>
      </c>
      <c r="D4831" s="15">
        <f>IFERROR(__xludf.DUMMYFUNCTION("""COMPUTED_VALUE"""),1.002)</f>
        <v>1.002</v>
      </c>
      <c r="E4831" s="16">
        <f>IFERROR(__xludf.DUMMYFUNCTION("""COMPUTED_VALUE"""),68.0)</f>
        <v>68</v>
      </c>
      <c r="F4831" s="19" t="str">
        <f>IFERROR(__xludf.DUMMYFUNCTION("""COMPUTED_VALUE"""),"BLUE")</f>
        <v>BLUE</v>
      </c>
      <c r="G4831" s="20" t="str">
        <f>IFERROR(__xludf.DUMMYFUNCTION("""COMPUTED_VALUE"""),"Uncle Sams Cider (04/04/2023)")</f>
        <v>Uncle Sams Cider (04/04/2023)</v>
      </c>
      <c r="H4831" s="19"/>
    </row>
    <row r="4832">
      <c r="A4832" s="9"/>
      <c r="B4832" s="15"/>
      <c r="C4832" s="9">
        <f>IFERROR(__xludf.DUMMYFUNCTION("""COMPUTED_VALUE"""),45093.9664748495)</f>
        <v>45093.96647</v>
      </c>
      <c r="D4832" s="15">
        <f>IFERROR(__xludf.DUMMYFUNCTION("""COMPUTED_VALUE"""),1.003)</f>
        <v>1.003</v>
      </c>
      <c r="E4832" s="16">
        <f>IFERROR(__xludf.DUMMYFUNCTION("""COMPUTED_VALUE"""),68.0)</f>
        <v>68</v>
      </c>
      <c r="F4832" s="19" t="str">
        <f>IFERROR(__xludf.DUMMYFUNCTION("""COMPUTED_VALUE"""),"BLUE")</f>
        <v>BLUE</v>
      </c>
      <c r="G4832" s="20" t="str">
        <f>IFERROR(__xludf.DUMMYFUNCTION("""COMPUTED_VALUE"""),"Uncle Sams Cider (04/04/2023)")</f>
        <v>Uncle Sams Cider (04/04/2023)</v>
      </c>
      <c r="H4832" s="19"/>
    </row>
    <row r="4833">
      <c r="A4833" s="9"/>
      <c r="B4833" s="15"/>
      <c r="C4833" s="9">
        <f>IFERROR(__xludf.DUMMYFUNCTION("""COMPUTED_VALUE"""),45093.9560537152)</f>
        <v>45093.95605</v>
      </c>
      <c r="D4833" s="15">
        <f>IFERROR(__xludf.DUMMYFUNCTION("""COMPUTED_VALUE"""),1.002)</f>
        <v>1.002</v>
      </c>
      <c r="E4833" s="16">
        <f>IFERROR(__xludf.DUMMYFUNCTION("""COMPUTED_VALUE"""),68.0)</f>
        <v>68</v>
      </c>
      <c r="F4833" s="19" t="str">
        <f>IFERROR(__xludf.DUMMYFUNCTION("""COMPUTED_VALUE"""),"BLUE")</f>
        <v>BLUE</v>
      </c>
      <c r="G4833" s="20" t="str">
        <f>IFERROR(__xludf.DUMMYFUNCTION("""COMPUTED_VALUE"""),"Uncle Sams Cider (04/04/2023)")</f>
        <v>Uncle Sams Cider (04/04/2023)</v>
      </c>
      <c r="H4833" s="19"/>
    </row>
    <row r="4834">
      <c r="A4834" s="9"/>
      <c r="B4834" s="15"/>
      <c r="C4834" s="9">
        <f>IFERROR(__xludf.DUMMYFUNCTION("""COMPUTED_VALUE"""),45093.9456300578)</f>
        <v>45093.94563</v>
      </c>
      <c r="D4834" s="15">
        <f>IFERROR(__xludf.DUMMYFUNCTION("""COMPUTED_VALUE"""),1.003)</f>
        <v>1.003</v>
      </c>
      <c r="E4834" s="16">
        <f>IFERROR(__xludf.DUMMYFUNCTION("""COMPUTED_VALUE"""),68.0)</f>
        <v>68</v>
      </c>
      <c r="F4834" s="19" t="str">
        <f>IFERROR(__xludf.DUMMYFUNCTION("""COMPUTED_VALUE"""),"BLUE")</f>
        <v>BLUE</v>
      </c>
      <c r="G4834" s="20" t="str">
        <f>IFERROR(__xludf.DUMMYFUNCTION("""COMPUTED_VALUE"""),"Uncle Sams Cider (04/04/2023)")</f>
        <v>Uncle Sams Cider (04/04/2023)</v>
      </c>
      <c r="H4834" s="19"/>
    </row>
    <row r="4835">
      <c r="A4835" s="9"/>
      <c r="B4835" s="15"/>
      <c r="C4835" s="9">
        <f>IFERROR(__xludf.DUMMYFUNCTION("""COMPUTED_VALUE"""),45093.9352101967)</f>
        <v>45093.93521</v>
      </c>
      <c r="D4835" s="15">
        <f>IFERROR(__xludf.DUMMYFUNCTION("""COMPUTED_VALUE"""),1.002)</f>
        <v>1.002</v>
      </c>
      <c r="E4835" s="16">
        <f>IFERROR(__xludf.DUMMYFUNCTION("""COMPUTED_VALUE"""),68.0)</f>
        <v>68</v>
      </c>
      <c r="F4835" s="19" t="str">
        <f>IFERROR(__xludf.DUMMYFUNCTION("""COMPUTED_VALUE"""),"BLUE")</f>
        <v>BLUE</v>
      </c>
      <c r="G4835" s="20" t="str">
        <f>IFERROR(__xludf.DUMMYFUNCTION("""COMPUTED_VALUE"""),"Uncle Sams Cider (04/04/2023)")</f>
        <v>Uncle Sams Cider (04/04/2023)</v>
      </c>
      <c r="H4835" s="19"/>
    </row>
    <row r="4836">
      <c r="A4836" s="9"/>
      <c r="B4836" s="15"/>
      <c r="C4836" s="9">
        <f>IFERROR(__xludf.DUMMYFUNCTION("""COMPUTED_VALUE"""),45093.924778449)</f>
        <v>45093.92478</v>
      </c>
      <c r="D4836" s="15">
        <f>IFERROR(__xludf.DUMMYFUNCTION("""COMPUTED_VALUE"""),1.002)</f>
        <v>1.002</v>
      </c>
      <c r="E4836" s="16">
        <f>IFERROR(__xludf.DUMMYFUNCTION("""COMPUTED_VALUE"""),68.0)</f>
        <v>68</v>
      </c>
      <c r="F4836" s="19" t="str">
        <f>IFERROR(__xludf.DUMMYFUNCTION("""COMPUTED_VALUE"""),"BLUE")</f>
        <v>BLUE</v>
      </c>
      <c r="G4836" s="20" t="str">
        <f>IFERROR(__xludf.DUMMYFUNCTION("""COMPUTED_VALUE"""),"Uncle Sams Cider (04/04/2023)")</f>
        <v>Uncle Sams Cider (04/04/2023)</v>
      </c>
      <c r="H4836" s="19"/>
    </row>
    <row r="4837">
      <c r="A4837" s="9"/>
      <c r="B4837" s="15"/>
      <c r="C4837" s="9">
        <f>IFERROR(__xludf.DUMMYFUNCTION("""COMPUTED_VALUE"""),45093.9143442129)</f>
        <v>45093.91434</v>
      </c>
      <c r="D4837" s="15">
        <f>IFERROR(__xludf.DUMMYFUNCTION("""COMPUTED_VALUE"""),1.002)</f>
        <v>1.002</v>
      </c>
      <c r="E4837" s="16">
        <f>IFERROR(__xludf.DUMMYFUNCTION("""COMPUTED_VALUE"""),68.0)</f>
        <v>68</v>
      </c>
      <c r="F4837" s="19" t="str">
        <f>IFERROR(__xludf.DUMMYFUNCTION("""COMPUTED_VALUE"""),"BLUE")</f>
        <v>BLUE</v>
      </c>
      <c r="G4837" s="20" t="str">
        <f>IFERROR(__xludf.DUMMYFUNCTION("""COMPUTED_VALUE"""),"Uncle Sams Cider (04/04/2023)")</f>
        <v>Uncle Sams Cider (04/04/2023)</v>
      </c>
      <c r="H4837" s="19"/>
    </row>
    <row r="4838">
      <c r="A4838" s="9"/>
      <c r="B4838" s="15"/>
      <c r="C4838" s="9">
        <f>IFERROR(__xludf.DUMMYFUNCTION("""COMPUTED_VALUE"""),45093.9039232754)</f>
        <v>45093.90392</v>
      </c>
      <c r="D4838" s="15">
        <f>IFERROR(__xludf.DUMMYFUNCTION("""COMPUTED_VALUE"""),1.002)</f>
        <v>1.002</v>
      </c>
      <c r="E4838" s="16">
        <f>IFERROR(__xludf.DUMMYFUNCTION("""COMPUTED_VALUE"""),68.0)</f>
        <v>68</v>
      </c>
      <c r="F4838" s="19" t="str">
        <f>IFERROR(__xludf.DUMMYFUNCTION("""COMPUTED_VALUE"""),"BLUE")</f>
        <v>BLUE</v>
      </c>
      <c r="G4838" s="20" t="str">
        <f>IFERROR(__xludf.DUMMYFUNCTION("""COMPUTED_VALUE"""),"Uncle Sams Cider (04/04/2023)")</f>
        <v>Uncle Sams Cider (04/04/2023)</v>
      </c>
      <c r="H4838" s="19"/>
    </row>
    <row r="4839">
      <c r="A4839" s="9"/>
      <c r="B4839" s="15"/>
      <c r="C4839" s="9">
        <f>IFERROR(__xludf.DUMMYFUNCTION("""COMPUTED_VALUE"""),45093.8934666898)</f>
        <v>45093.89347</v>
      </c>
      <c r="D4839" s="15">
        <f>IFERROR(__xludf.DUMMYFUNCTION("""COMPUTED_VALUE"""),1.002)</f>
        <v>1.002</v>
      </c>
      <c r="E4839" s="16">
        <f>IFERROR(__xludf.DUMMYFUNCTION("""COMPUTED_VALUE"""),68.0)</f>
        <v>68</v>
      </c>
      <c r="F4839" s="19" t="str">
        <f>IFERROR(__xludf.DUMMYFUNCTION("""COMPUTED_VALUE"""),"BLUE")</f>
        <v>BLUE</v>
      </c>
      <c r="G4839" s="20" t="str">
        <f>IFERROR(__xludf.DUMMYFUNCTION("""COMPUTED_VALUE"""),"Uncle Sams Cider (04/04/2023)")</f>
        <v>Uncle Sams Cider (04/04/2023)</v>
      </c>
      <c r="H4839" s="19"/>
    </row>
    <row r="4840">
      <c r="A4840" s="9"/>
      <c r="B4840" s="15"/>
      <c r="C4840" s="9">
        <f>IFERROR(__xludf.DUMMYFUNCTION("""COMPUTED_VALUE"""),45093.8830455671)</f>
        <v>45093.88305</v>
      </c>
      <c r="D4840" s="15">
        <f>IFERROR(__xludf.DUMMYFUNCTION("""COMPUTED_VALUE"""),1.002)</f>
        <v>1.002</v>
      </c>
      <c r="E4840" s="16">
        <f>IFERROR(__xludf.DUMMYFUNCTION("""COMPUTED_VALUE"""),68.0)</f>
        <v>68</v>
      </c>
      <c r="F4840" s="19" t="str">
        <f>IFERROR(__xludf.DUMMYFUNCTION("""COMPUTED_VALUE"""),"BLUE")</f>
        <v>BLUE</v>
      </c>
      <c r="G4840" s="20" t="str">
        <f>IFERROR(__xludf.DUMMYFUNCTION("""COMPUTED_VALUE"""),"Uncle Sams Cider (04/04/2023)")</f>
        <v>Uncle Sams Cider (04/04/2023)</v>
      </c>
      <c r="H4840" s="19"/>
    </row>
    <row r="4841">
      <c r="A4841" s="9"/>
      <c r="B4841" s="15"/>
      <c r="C4841" s="9">
        <f>IFERROR(__xludf.DUMMYFUNCTION("""COMPUTED_VALUE"""),45093.8726242129)</f>
        <v>45093.87262</v>
      </c>
      <c r="D4841" s="15">
        <f>IFERROR(__xludf.DUMMYFUNCTION("""COMPUTED_VALUE"""),1.002)</f>
        <v>1.002</v>
      </c>
      <c r="E4841" s="16">
        <f>IFERROR(__xludf.DUMMYFUNCTION("""COMPUTED_VALUE"""),68.0)</f>
        <v>68</v>
      </c>
      <c r="F4841" s="19" t="str">
        <f>IFERROR(__xludf.DUMMYFUNCTION("""COMPUTED_VALUE"""),"BLUE")</f>
        <v>BLUE</v>
      </c>
      <c r="G4841" s="20" t="str">
        <f>IFERROR(__xludf.DUMMYFUNCTION("""COMPUTED_VALUE"""),"Uncle Sams Cider (04/04/2023)")</f>
        <v>Uncle Sams Cider (04/04/2023)</v>
      </c>
      <c r="H4841" s="19"/>
    </row>
    <row r="4842">
      <c r="A4842" s="9"/>
      <c r="B4842" s="15"/>
      <c r="C4842" s="9">
        <f>IFERROR(__xludf.DUMMYFUNCTION("""COMPUTED_VALUE"""),45093.8622037268)</f>
        <v>45093.8622</v>
      </c>
      <c r="D4842" s="15">
        <f>IFERROR(__xludf.DUMMYFUNCTION("""COMPUTED_VALUE"""),1.002)</f>
        <v>1.002</v>
      </c>
      <c r="E4842" s="16">
        <f>IFERROR(__xludf.DUMMYFUNCTION("""COMPUTED_VALUE"""),68.0)</f>
        <v>68</v>
      </c>
      <c r="F4842" s="19" t="str">
        <f>IFERROR(__xludf.DUMMYFUNCTION("""COMPUTED_VALUE"""),"BLUE")</f>
        <v>BLUE</v>
      </c>
      <c r="G4842" s="20" t="str">
        <f>IFERROR(__xludf.DUMMYFUNCTION("""COMPUTED_VALUE"""),"Uncle Sams Cider (04/04/2023)")</f>
        <v>Uncle Sams Cider (04/04/2023)</v>
      </c>
      <c r="H4842" s="19"/>
    </row>
    <row r="4843">
      <c r="A4843" s="9"/>
      <c r="B4843" s="15"/>
      <c r="C4843" s="9">
        <f>IFERROR(__xludf.DUMMYFUNCTION("""COMPUTED_VALUE"""),45093.8517822337)</f>
        <v>45093.85178</v>
      </c>
      <c r="D4843" s="15">
        <f>IFERROR(__xludf.DUMMYFUNCTION("""COMPUTED_VALUE"""),1.002)</f>
        <v>1.002</v>
      </c>
      <c r="E4843" s="16">
        <f>IFERROR(__xludf.DUMMYFUNCTION("""COMPUTED_VALUE"""),68.0)</f>
        <v>68</v>
      </c>
      <c r="F4843" s="19" t="str">
        <f>IFERROR(__xludf.DUMMYFUNCTION("""COMPUTED_VALUE"""),"BLUE")</f>
        <v>BLUE</v>
      </c>
      <c r="G4843" s="20" t="str">
        <f>IFERROR(__xludf.DUMMYFUNCTION("""COMPUTED_VALUE"""),"Uncle Sams Cider (04/04/2023)")</f>
        <v>Uncle Sams Cider (04/04/2023)</v>
      </c>
      <c r="H4843" s="19"/>
    </row>
    <row r="4844">
      <c r="A4844" s="9"/>
      <c r="B4844" s="15"/>
      <c r="C4844" s="9">
        <f>IFERROR(__xludf.DUMMYFUNCTION("""COMPUTED_VALUE"""),45093.841337037)</f>
        <v>45093.84134</v>
      </c>
      <c r="D4844" s="15">
        <f>IFERROR(__xludf.DUMMYFUNCTION("""COMPUTED_VALUE"""),1.002)</f>
        <v>1.002</v>
      </c>
      <c r="E4844" s="16">
        <f>IFERROR(__xludf.DUMMYFUNCTION("""COMPUTED_VALUE"""),68.0)</f>
        <v>68</v>
      </c>
      <c r="F4844" s="19" t="str">
        <f>IFERROR(__xludf.DUMMYFUNCTION("""COMPUTED_VALUE"""),"BLUE")</f>
        <v>BLUE</v>
      </c>
      <c r="G4844" s="20" t="str">
        <f>IFERROR(__xludf.DUMMYFUNCTION("""COMPUTED_VALUE"""),"Uncle Sams Cider (04/04/2023)")</f>
        <v>Uncle Sams Cider (04/04/2023)</v>
      </c>
      <c r="H4844" s="19"/>
    </row>
    <row r="4845">
      <c r="A4845" s="9"/>
      <c r="B4845" s="15"/>
      <c r="C4845" s="9">
        <f>IFERROR(__xludf.DUMMYFUNCTION("""COMPUTED_VALUE"""),45093.8309144213)</f>
        <v>45093.83091</v>
      </c>
      <c r="D4845" s="15">
        <f>IFERROR(__xludf.DUMMYFUNCTION("""COMPUTED_VALUE"""),1.002)</f>
        <v>1.002</v>
      </c>
      <c r="E4845" s="16">
        <f>IFERROR(__xludf.DUMMYFUNCTION("""COMPUTED_VALUE"""),68.0)</f>
        <v>68</v>
      </c>
      <c r="F4845" s="19" t="str">
        <f>IFERROR(__xludf.DUMMYFUNCTION("""COMPUTED_VALUE"""),"BLUE")</f>
        <v>BLUE</v>
      </c>
      <c r="G4845" s="20" t="str">
        <f>IFERROR(__xludf.DUMMYFUNCTION("""COMPUTED_VALUE"""),"Uncle Sams Cider (04/04/2023)")</f>
        <v>Uncle Sams Cider (04/04/2023)</v>
      </c>
      <c r="H4845" s="19"/>
    </row>
    <row r="4846">
      <c r="A4846" s="9"/>
      <c r="B4846" s="15"/>
      <c r="C4846" s="9">
        <f>IFERROR(__xludf.DUMMYFUNCTION("""COMPUTED_VALUE"""),45093.8204927314)</f>
        <v>45093.82049</v>
      </c>
      <c r="D4846" s="15">
        <f>IFERROR(__xludf.DUMMYFUNCTION("""COMPUTED_VALUE"""),1.002)</f>
        <v>1.002</v>
      </c>
      <c r="E4846" s="16">
        <f>IFERROR(__xludf.DUMMYFUNCTION("""COMPUTED_VALUE"""),68.0)</f>
        <v>68</v>
      </c>
      <c r="F4846" s="19" t="str">
        <f>IFERROR(__xludf.DUMMYFUNCTION("""COMPUTED_VALUE"""),"BLUE")</f>
        <v>BLUE</v>
      </c>
      <c r="G4846" s="20" t="str">
        <f>IFERROR(__xludf.DUMMYFUNCTION("""COMPUTED_VALUE"""),"Uncle Sams Cider (04/04/2023)")</f>
        <v>Uncle Sams Cider (04/04/2023)</v>
      </c>
      <c r="H4846" s="19"/>
    </row>
    <row r="4847">
      <c r="A4847" s="9"/>
      <c r="B4847" s="15"/>
      <c r="C4847" s="9">
        <f>IFERROR(__xludf.DUMMYFUNCTION("""COMPUTED_VALUE"""),45093.8100718865)</f>
        <v>45093.81007</v>
      </c>
      <c r="D4847" s="15">
        <f>IFERROR(__xludf.DUMMYFUNCTION("""COMPUTED_VALUE"""),1.002)</f>
        <v>1.002</v>
      </c>
      <c r="E4847" s="16">
        <f>IFERROR(__xludf.DUMMYFUNCTION("""COMPUTED_VALUE"""),68.0)</f>
        <v>68</v>
      </c>
      <c r="F4847" s="19" t="str">
        <f>IFERROR(__xludf.DUMMYFUNCTION("""COMPUTED_VALUE"""),"BLUE")</f>
        <v>BLUE</v>
      </c>
      <c r="G4847" s="20" t="str">
        <f>IFERROR(__xludf.DUMMYFUNCTION("""COMPUTED_VALUE"""),"Uncle Sams Cider (04/04/2023)")</f>
        <v>Uncle Sams Cider (04/04/2023)</v>
      </c>
      <c r="H4847" s="19"/>
    </row>
    <row r="4848">
      <c r="A4848" s="9"/>
      <c r="B4848" s="15"/>
      <c r="C4848" s="9">
        <f>IFERROR(__xludf.DUMMYFUNCTION("""COMPUTED_VALUE"""),45093.7996502662)</f>
        <v>45093.79965</v>
      </c>
      <c r="D4848" s="15">
        <f>IFERROR(__xludf.DUMMYFUNCTION("""COMPUTED_VALUE"""),1.002)</f>
        <v>1.002</v>
      </c>
      <c r="E4848" s="16">
        <f>IFERROR(__xludf.DUMMYFUNCTION("""COMPUTED_VALUE"""),68.0)</f>
        <v>68</v>
      </c>
      <c r="F4848" s="19" t="str">
        <f>IFERROR(__xludf.DUMMYFUNCTION("""COMPUTED_VALUE"""),"BLUE")</f>
        <v>BLUE</v>
      </c>
      <c r="G4848" s="20" t="str">
        <f>IFERROR(__xludf.DUMMYFUNCTION("""COMPUTED_VALUE"""),"Uncle Sams Cider (04/04/2023)")</f>
        <v>Uncle Sams Cider (04/04/2023)</v>
      </c>
      <c r="H4848" s="19"/>
    </row>
    <row r="4849">
      <c r="A4849" s="9"/>
      <c r="B4849" s="15"/>
      <c r="C4849" s="9">
        <f>IFERROR(__xludf.DUMMYFUNCTION("""COMPUTED_VALUE"""),45093.7788080555)</f>
        <v>45093.77881</v>
      </c>
      <c r="D4849" s="15">
        <f>IFERROR(__xludf.DUMMYFUNCTION("""COMPUTED_VALUE"""),1.002)</f>
        <v>1.002</v>
      </c>
      <c r="E4849" s="16">
        <f>IFERROR(__xludf.DUMMYFUNCTION("""COMPUTED_VALUE"""),68.0)</f>
        <v>68</v>
      </c>
      <c r="F4849" s="19" t="str">
        <f>IFERROR(__xludf.DUMMYFUNCTION("""COMPUTED_VALUE"""),"BLUE")</f>
        <v>BLUE</v>
      </c>
      <c r="G4849" s="20" t="str">
        <f>IFERROR(__xludf.DUMMYFUNCTION("""COMPUTED_VALUE"""),"Uncle Sams Cider (04/04/2023)")</f>
        <v>Uncle Sams Cider (04/04/2023)</v>
      </c>
      <c r="H4849" s="19"/>
    </row>
    <row r="4850">
      <c r="A4850" s="9"/>
      <c r="B4850" s="15"/>
      <c r="C4850" s="9">
        <f>IFERROR(__xludf.DUMMYFUNCTION("""COMPUTED_VALUE"""),45093.7683880671)</f>
        <v>45093.76839</v>
      </c>
      <c r="D4850" s="15">
        <f>IFERROR(__xludf.DUMMYFUNCTION("""COMPUTED_VALUE"""),1.002)</f>
        <v>1.002</v>
      </c>
      <c r="E4850" s="16">
        <f>IFERROR(__xludf.DUMMYFUNCTION("""COMPUTED_VALUE"""),68.0)</f>
        <v>68</v>
      </c>
      <c r="F4850" s="19" t="str">
        <f>IFERROR(__xludf.DUMMYFUNCTION("""COMPUTED_VALUE"""),"BLUE")</f>
        <v>BLUE</v>
      </c>
      <c r="G4850" s="20" t="str">
        <f>IFERROR(__xludf.DUMMYFUNCTION("""COMPUTED_VALUE"""),"Uncle Sams Cider (04/04/2023)")</f>
        <v>Uncle Sams Cider (04/04/2023)</v>
      </c>
      <c r="H4850" s="19"/>
    </row>
    <row r="4851">
      <c r="A4851" s="9"/>
      <c r="B4851" s="15"/>
      <c r="C4851" s="9">
        <f>IFERROR(__xludf.DUMMYFUNCTION("""COMPUTED_VALUE"""),45093.7579672337)</f>
        <v>45093.75797</v>
      </c>
      <c r="D4851" s="15">
        <f>IFERROR(__xludf.DUMMYFUNCTION("""COMPUTED_VALUE"""),1.002)</f>
        <v>1.002</v>
      </c>
      <c r="E4851" s="16">
        <f>IFERROR(__xludf.DUMMYFUNCTION("""COMPUTED_VALUE"""),68.0)</f>
        <v>68</v>
      </c>
      <c r="F4851" s="19" t="str">
        <f>IFERROR(__xludf.DUMMYFUNCTION("""COMPUTED_VALUE"""),"BLUE")</f>
        <v>BLUE</v>
      </c>
      <c r="G4851" s="20" t="str">
        <f>IFERROR(__xludf.DUMMYFUNCTION("""COMPUTED_VALUE"""),"Uncle Sams Cider (04/04/2023)")</f>
        <v>Uncle Sams Cider (04/04/2023)</v>
      </c>
      <c r="H4851" s="19"/>
    </row>
    <row r="4852">
      <c r="A4852" s="9"/>
      <c r="B4852" s="15"/>
      <c r="C4852" s="9">
        <f>IFERROR(__xludf.DUMMYFUNCTION("""COMPUTED_VALUE"""),45093.7475462731)</f>
        <v>45093.74755</v>
      </c>
      <c r="D4852" s="15">
        <f>IFERROR(__xludf.DUMMYFUNCTION("""COMPUTED_VALUE"""),1.003)</f>
        <v>1.003</v>
      </c>
      <c r="E4852" s="16">
        <f>IFERROR(__xludf.DUMMYFUNCTION("""COMPUTED_VALUE"""),68.0)</f>
        <v>68</v>
      </c>
      <c r="F4852" s="19" t="str">
        <f>IFERROR(__xludf.DUMMYFUNCTION("""COMPUTED_VALUE"""),"BLUE")</f>
        <v>BLUE</v>
      </c>
      <c r="G4852" s="20" t="str">
        <f>IFERROR(__xludf.DUMMYFUNCTION("""COMPUTED_VALUE"""),"Uncle Sams Cider (04/04/2023)")</f>
        <v>Uncle Sams Cider (04/04/2023)</v>
      </c>
      <c r="H4852" s="19"/>
    </row>
    <row r="4853">
      <c r="A4853" s="9"/>
      <c r="B4853" s="15"/>
      <c r="C4853" s="9">
        <f>IFERROR(__xludf.DUMMYFUNCTION("""COMPUTED_VALUE"""),45093.7371260764)</f>
        <v>45093.73713</v>
      </c>
      <c r="D4853" s="15">
        <f>IFERROR(__xludf.DUMMYFUNCTION("""COMPUTED_VALUE"""),1.002)</f>
        <v>1.002</v>
      </c>
      <c r="E4853" s="16">
        <f>IFERROR(__xludf.DUMMYFUNCTION("""COMPUTED_VALUE"""),68.0)</f>
        <v>68</v>
      </c>
      <c r="F4853" s="19" t="str">
        <f>IFERROR(__xludf.DUMMYFUNCTION("""COMPUTED_VALUE"""),"BLUE")</f>
        <v>BLUE</v>
      </c>
      <c r="G4853" s="20" t="str">
        <f>IFERROR(__xludf.DUMMYFUNCTION("""COMPUTED_VALUE"""),"Uncle Sams Cider (04/04/2023)")</f>
        <v>Uncle Sams Cider (04/04/2023)</v>
      </c>
      <c r="H4853" s="19"/>
    </row>
    <row r="4854">
      <c r="A4854" s="9"/>
      <c r="B4854" s="15"/>
      <c r="C4854" s="9">
        <f>IFERROR(__xludf.DUMMYFUNCTION("""COMPUTED_VALUE"""),45093.7267053009)</f>
        <v>45093.72671</v>
      </c>
      <c r="D4854" s="15">
        <f>IFERROR(__xludf.DUMMYFUNCTION("""COMPUTED_VALUE"""),1.002)</f>
        <v>1.002</v>
      </c>
      <c r="E4854" s="16">
        <f>IFERROR(__xludf.DUMMYFUNCTION("""COMPUTED_VALUE"""),68.0)</f>
        <v>68</v>
      </c>
      <c r="F4854" s="19" t="str">
        <f>IFERROR(__xludf.DUMMYFUNCTION("""COMPUTED_VALUE"""),"BLUE")</f>
        <v>BLUE</v>
      </c>
      <c r="G4854" s="20" t="str">
        <f>IFERROR(__xludf.DUMMYFUNCTION("""COMPUTED_VALUE"""),"Uncle Sams Cider (04/04/2023)")</f>
        <v>Uncle Sams Cider (04/04/2023)</v>
      </c>
      <c r="H4854" s="19"/>
    </row>
    <row r="4855">
      <c r="A4855" s="9"/>
      <c r="B4855" s="15"/>
      <c r="C4855" s="9">
        <f>IFERROR(__xludf.DUMMYFUNCTION("""COMPUTED_VALUE"""),45093.7162849421)</f>
        <v>45093.71628</v>
      </c>
      <c r="D4855" s="15">
        <f>IFERROR(__xludf.DUMMYFUNCTION("""COMPUTED_VALUE"""),1.002)</f>
        <v>1.002</v>
      </c>
      <c r="E4855" s="16">
        <f>IFERROR(__xludf.DUMMYFUNCTION("""COMPUTED_VALUE"""),68.0)</f>
        <v>68</v>
      </c>
      <c r="F4855" s="19" t="str">
        <f>IFERROR(__xludf.DUMMYFUNCTION("""COMPUTED_VALUE"""),"BLUE")</f>
        <v>BLUE</v>
      </c>
      <c r="G4855" s="20" t="str">
        <f>IFERROR(__xludf.DUMMYFUNCTION("""COMPUTED_VALUE"""),"Uncle Sams Cider (04/04/2023)")</f>
        <v>Uncle Sams Cider (04/04/2023)</v>
      </c>
      <c r="H4855" s="19"/>
    </row>
    <row r="4856">
      <c r="A4856" s="9"/>
      <c r="B4856" s="15"/>
      <c r="C4856" s="9">
        <f>IFERROR(__xludf.DUMMYFUNCTION("""COMPUTED_VALUE"""),45093.7058630555)</f>
        <v>45093.70586</v>
      </c>
      <c r="D4856" s="15">
        <f>IFERROR(__xludf.DUMMYFUNCTION("""COMPUTED_VALUE"""),1.002)</f>
        <v>1.002</v>
      </c>
      <c r="E4856" s="16">
        <f>IFERROR(__xludf.DUMMYFUNCTION("""COMPUTED_VALUE"""),68.0)</f>
        <v>68</v>
      </c>
      <c r="F4856" s="19" t="str">
        <f>IFERROR(__xludf.DUMMYFUNCTION("""COMPUTED_VALUE"""),"BLUE")</f>
        <v>BLUE</v>
      </c>
      <c r="G4856" s="20" t="str">
        <f>IFERROR(__xludf.DUMMYFUNCTION("""COMPUTED_VALUE"""),"Uncle Sams Cider (04/04/2023)")</f>
        <v>Uncle Sams Cider (04/04/2023)</v>
      </c>
      <c r="H4856" s="19"/>
    </row>
    <row r="4857">
      <c r="A4857" s="9"/>
      <c r="B4857" s="15"/>
      <c r="C4857" s="9">
        <f>IFERROR(__xludf.DUMMYFUNCTION("""COMPUTED_VALUE"""),45093.6954403587)</f>
        <v>45093.69544</v>
      </c>
      <c r="D4857" s="15">
        <f>IFERROR(__xludf.DUMMYFUNCTION("""COMPUTED_VALUE"""),1.002)</f>
        <v>1.002</v>
      </c>
      <c r="E4857" s="16">
        <f>IFERROR(__xludf.DUMMYFUNCTION("""COMPUTED_VALUE"""),68.0)</f>
        <v>68</v>
      </c>
      <c r="F4857" s="19" t="str">
        <f>IFERROR(__xludf.DUMMYFUNCTION("""COMPUTED_VALUE"""),"BLUE")</f>
        <v>BLUE</v>
      </c>
      <c r="G4857" s="20" t="str">
        <f>IFERROR(__xludf.DUMMYFUNCTION("""COMPUTED_VALUE"""),"Uncle Sams Cider (04/04/2023)")</f>
        <v>Uncle Sams Cider (04/04/2023)</v>
      </c>
      <c r="H4857" s="19"/>
    </row>
    <row r="4858">
      <c r="A4858" s="9"/>
      <c r="B4858" s="15"/>
      <c r="C4858" s="9">
        <f>IFERROR(__xludf.DUMMYFUNCTION("""COMPUTED_VALUE"""),45093.6850081134)</f>
        <v>45093.68501</v>
      </c>
      <c r="D4858" s="15">
        <f>IFERROR(__xludf.DUMMYFUNCTION("""COMPUTED_VALUE"""),1.002)</f>
        <v>1.002</v>
      </c>
      <c r="E4858" s="16">
        <f>IFERROR(__xludf.DUMMYFUNCTION("""COMPUTED_VALUE"""),68.0)</f>
        <v>68</v>
      </c>
      <c r="F4858" s="19" t="str">
        <f>IFERROR(__xludf.DUMMYFUNCTION("""COMPUTED_VALUE"""),"BLUE")</f>
        <v>BLUE</v>
      </c>
      <c r="G4858" s="20" t="str">
        <f>IFERROR(__xludf.DUMMYFUNCTION("""COMPUTED_VALUE"""),"Uncle Sams Cider (04/04/2023)")</f>
        <v>Uncle Sams Cider (04/04/2023)</v>
      </c>
      <c r="H4858" s="19"/>
    </row>
    <row r="4859">
      <c r="A4859" s="9"/>
      <c r="B4859" s="15"/>
      <c r="C4859" s="9">
        <f>IFERROR(__xludf.DUMMYFUNCTION("""COMPUTED_VALUE"""),45093.6745879282)</f>
        <v>45093.67459</v>
      </c>
      <c r="D4859" s="15">
        <f>IFERROR(__xludf.DUMMYFUNCTION("""COMPUTED_VALUE"""),1.002)</f>
        <v>1.002</v>
      </c>
      <c r="E4859" s="16">
        <f>IFERROR(__xludf.DUMMYFUNCTION("""COMPUTED_VALUE"""),68.0)</f>
        <v>68</v>
      </c>
      <c r="F4859" s="19" t="str">
        <f>IFERROR(__xludf.DUMMYFUNCTION("""COMPUTED_VALUE"""),"BLUE")</f>
        <v>BLUE</v>
      </c>
      <c r="G4859" s="20" t="str">
        <f>IFERROR(__xludf.DUMMYFUNCTION("""COMPUTED_VALUE"""),"Uncle Sams Cider (04/04/2023)")</f>
        <v>Uncle Sams Cider (04/04/2023)</v>
      </c>
      <c r="H4859" s="19"/>
    </row>
    <row r="4860">
      <c r="A4860" s="9"/>
      <c r="B4860" s="15"/>
      <c r="C4860" s="9">
        <f>IFERROR(__xludf.DUMMYFUNCTION("""COMPUTED_VALUE"""),45093.6641678125)</f>
        <v>45093.66417</v>
      </c>
      <c r="D4860" s="15">
        <f>IFERROR(__xludf.DUMMYFUNCTION("""COMPUTED_VALUE"""),1.002)</f>
        <v>1.002</v>
      </c>
      <c r="E4860" s="16">
        <f>IFERROR(__xludf.DUMMYFUNCTION("""COMPUTED_VALUE"""),67.0)</f>
        <v>67</v>
      </c>
      <c r="F4860" s="19" t="str">
        <f>IFERROR(__xludf.DUMMYFUNCTION("""COMPUTED_VALUE"""),"BLUE")</f>
        <v>BLUE</v>
      </c>
      <c r="G4860" s="20" t="str">
        <f>IFERROR(__xludf.DUMMYFUNCTION("""COMPUTED_VALUE"""),"Uncle Sams Cider (04/04/2023)")</f>
        <v>Uncle Sams Cider (04/04/2023)</v>
      </c>
      <c r="H4860" s="19"/>
    </row>
    <row r="4861">
      <c r="A4861" s="9"/>
      <c r="B4861" s="15"/>
      <c r="C4861" s="9">
        <f>IFERROR(__xludf.DUMMYFUNCTION("""COMPUTED_VALUE"""),45093.653747037)</f>
        <v>45093.65375</v>
      </c>
      <c r="D4861" s="15">
        <f>IFERROR(__xludf.DUMMYFUNCTION("""COMPUTED_VALUE"""),1.002)</f>
        <v>1.002</v>
      </c>
      <c r="E4861" s="16">
        <f>IFERROR(__xludf.DUMMYFUNCTION("""COMPUTED_VALUE"""),68.0)</f>
        <v>68</v>
      </c>
      <c r="F4861" s="19" t="str">
        <f>IFERROR(__xludf.DUMMYFUNCTION("""COMPUTED_VALUE"""),"BLUE")</f>
        <v>BLUE</v>
      </c>
      <c r="G4861" s="20" t="str">
        <f>IFERROR(__xludf.DUMMYFUNCTION("""COMPUTED_VALUE"""),"Uncle Sams Cider (04/04/2023)")</f>
        <v>Uncle Sams Cider (04/04/2023)</v>
      </c>
      <c r="H4861" s="19"/>
    </row>
    <row r="4862">
      <c r="A4862" s="9"/>
      <c r="B4862" s="15"/>
      <c r="C4862" s="9">
        <f>IFERROR(__xludf.DUMMYFUNCTION("""COMPUTED_VALUE"""),45093.6433268981)</f>
        <v>45093.64333</v>
      </c>
      <c r="D4862" s="15">
        <f>IFERROR(__xludf.DUMMYFUNCTION("""COMPUTED_VALUE"""),1.002)</f>
        <v>1.002</v>
      </c>
      <c r="E4862" s="16">
        <f>IFERROR(__xludf.DUMMYFUNCTION("""COMPUTED_VALUE"""),68.0)</f>
        <v>68</v>
      </c>
      <c r="F4862" s="19" t="str">
        <f>IFERROR(__xludf.DUMMYFUNCTION("""COMPUTED_VALUE"""),"BLUE")</f>
        <v>BLUE</v>
      </c>
      <c r="G4862" s="20" t="str">
        <f>IFERROR(__xludf.DUMMYFUNCTION("""COMPUTED_VALUE"""),"Uncle Sams Cider (04/04/2023)")</f>
        <v>Uncle Sams Cider (04/04/2023)</v>
      </c>
      <c r="H4862" s="19"/>
    </row>
    <row r="4863">
      <c r="A4863" s="9"/>
      <c r="B4863" s="15"/>
      <c r="C4863" s="9">
        <f>IFERROR(__xludf.DUMMYFUNCTION("""COMPUTED_VALUE"""),45093.6329052083)</f>
        <v>45093.63291</v>
      </c>
      <c r="D4863" s="15">
        <f>IFERROR(__xludf.DUMMYFUNCTION("""COMPUTED_VALUE"""),1.002)</f>
        <v>1.002</v>
      </c>
      <c r="E4863" s="16">
        <f>IFERROR(__xludf.DUMMYFUNCTION("""COMPUTED_VALUE"""),68.0)</f>
        <v>68</v>
      </c>
      <c r="F4863" s="19" t="str">
        <f>IFERROR(__xludf.DUMMYFUNCTION("""COMPUTED_VALUE"""),"BLUE")</f>
        <v>BLUE</v>
      </c>
      <c r="G4863" s="20" t="str">
        <f>IFERROR(__xludf.DUMMYFUNCTION("""COMPUTED_VALUE"""),"Uncle Sams Cider (04/04/2023)")</f>
        <v>Uncle Sams Cider (04/04/2023)</v>
      </c>
      <c r="H4863" s="19"/>
    </row>
    <row r="4864">
      <c r="A4864" s="9"/>
      <c r="B4864" s="15"/>
      <c r="C4864" s="9">
        <f>IFERROR(__xludf.DUMMYFUNCTION("""COMPUTED_VALUE"""),45093.6224838425)</f>
        <v>45093.62248</v>
      </c>
      <c r="D4864" s="15">
        <f>IFERROR(__xludf.DUMMYFUNCTION("""COMPUTED_VALUE"""),1.002)</f>
        <v>1.002</v>
      </c>
      <c r="E4864" s="16">
        <f>IFERROR(__xludf.DUMMYFUNCTION("""COMPUTED_VALUE"""),68.0)</f>
        <v>68</v>
      </c>
      <c r="F4864" s="19" t="str">
        <f>IFERROR(__xludf.DUMMYFUNCTION("""COMPUTED_VALUE"""),"BLUE")</f>
        <v>BLUE</v>
      </c>
      <c r="G4864" s="20" t="str">
        <f>IFERROR(__xludf.DUMMYFUNCTION("""COMPUTED_VALUE"""),"Uncle Sams Cider (04/04/2023)")</f>
        <v>Uncle Sams Cider (04/04/2023)</v>
      </c>
      <c r="H4864" s="19"/>
    </row>
    <row r="4865">
      <c r="A4865" s="9"/>
      <c r="B4865" s="15"/>
      <c r="C4865" s="9">
        <f>IFERROR(__xludf.DUMMYFUNCTION("""COMPUTED_VALUE"""),45093.6120637037)</f>
        <v>45093.61206</v>
      </c>
      <c r="D4865" s="15">
        <f>IFERROR(__xludf.DUMMYFUNCTION("""COMPUTED_VALUE"""),1.002)</f>
        <v>1.002</v>
      </c>
      <c r="E4865" s="16">
        <f>IFERROR(__xludf.DUMMYFUNCTION("""COMPUTED_VALUE"""),68.0)</f>
        <v>68</v>
      </c>
      <c r="F4865" s="19" t="str">
        <f>IFERROR(__xludf.DUMMYFUNCTION("""COMPUTED_VALUE"""),"BLUE")</f>
        <v>BLUE</v>
      </c>
      <c r="G4865" s="20" t="str">
        <f>IFERROR(__xludf.DUMMYFUNCTION("""COMPUTED_VALUE"""),"Uncle Sams Cider (04/04/2023)")</f>
        <v>Uncle Sams Cider (04/04/2023)</v>
      </c>
      <c r="H4865" s="19"/>
    </row>
    <row r="4866">
      <c r="A4866" s="9"/>
      <c r="B4866" s="15"/>
      <c r="C4866" s="9">
        <f>IFERROR(__xludf.DUMMYFUNCTION("""COMPUTED_VALUE"""),45093.6016434259)</f>
        <v>45093.60164</v>
      </c>
      <c r="D4866" s="15">
        <f>IFERROR(__xludf.DUMMYFUNCTION("""COMPUTED_VALUE"""),1.002)</f>
        <v>1.002</v>
      </c>
      <c r="E4866" s="16">
        <f>IFERROR(__xludf.DUMMYFUNCTION("""COMPUTED_VALUE"""),68.0)</f>
        <v>68</v>
      </c>
      <c r="F4866" s="19" t="str">
        <f>IFERROR(__xludf.DUMMYFUNCTION("""COMPUTED_VALUE"""),"BLUE")</f>
        <v>BLUE</v>
      </c>
      <c r="G4866" s="20" t="str">
        <f>IFERROR(__xludf.DUMMYFUNCTION("""COMPUTED_VALUE"""),"Uncle Sams Cider (04/04/2023)")</f>
        <v>Uncle Sams Cider (04/04/2023)</v>
      </c>
      <c r="H4866" s="19"/>
    </row>
    <row r="4867">
      <c r="A4867" s="9"/>
      <c r="B4867" s="15"/>
      <c r="C4867" s="9">
        <f>IFERROR(__xludf.DUMMYFUNCTION("""COMPUTED_VALUE"""),45093.5912120833)</f>
        <v>45093.59121</v>
      </c>
      <c r="D4867" s="15">
        <f>IFERROR(__xludf.DUMMYFUNCTION("""COMPUTED_VALUE"""),1.002)</f>
        <v>1.002</v>
      </c>
      <c r="E4867" s="16">
        <f>IFERROR(__xludf.DUMMYFUNCTION("""COMPUTED_VALUE"""),68.0)</f>
        <v>68</v>
      </c>
      <c r="F4867" s="19" t="str">
        <f>IFERROR(__xludf.DUMMYFUNCTION("""COMPUTED_VALUE"""),"BLUE")</f>
        <v>BLUE</v>
      </c>
      <c r="G4867" s="20" t="str">
        <f>IFERROR(__xludf.DUMMYFUNCTION("""COMPUTED_VALUE"""),"Uncle Sams Cider (04/04/2023)")</f>
        <v>Uncle Sams Cider (04/04/2023)</v>
      </c>
      <c r="H4867" s="19"/>
    </row>
    <row r="4868">
      <c r="A4868" s="9"/>
      <c r="B4868" s="15"/>
      <c r="C4868" s="9">
        <f>IFERROR(__xludf.DUMMYFUNCTION("""COMPUTED_VALUE"""),45093.5807926967)</f>
        <v>45093.58079</v>
      </c>
      <c r="D4868" s="15">
        <f>IFERROR(__xludf.DUMMYFUNCTION("""COMPUTED_VALUE"""),1.002)</f>
        <v>1.002</v>
      </c>
      <c r="E4868" s="16">
        <f>IFERROR(__xludf.DUMMYFUNCTION("""COMPUTED_VALUE"""),68.0)</f>
        <v>68</v>
      </c>
      <c r="F4868" s="19" t="str">
        <f>IFERROR(__xludf.DUMMYFUNCTION("""COMPUTED_VALUE"""),"BLUE")</f>
        <v>BLUE</v>
      </c>
      <c r="G4868" s="20" t="str">
        <f>IFERROR(__xludf.DUMMYFUNCTION("""COMPUTED_VALUE"""),"Uncle Sams Cider (04/04/2023)")</f>
        <v>Uncle Sams Cider (04/04/2023)</v>
      </c>
      <c r="H4868" s="19"/>
    </row>
    <row r="4869">
      <c r="A4869" s="9"/>
      <c r="B4869" s="15"/>
      <c r="C4869" s="9">
        <f>IFERROR(__xludf.DUMMYFUNCTION("""COMPUTED_VALUE"""),45093.5703713194)</f>
        <v>45093.57037</v>
      </c>
      <c r="D4869" s="15">
        <f>IFERROR(__xludf.DUMMYFUNCTION("""COMPUTED_VALUE"""),1.002)</f>
        <v>1.002</v>
      </c>
      <c r="E4869" s="16">
        <f>IFERROR(__xludf.DUMMYFUNCTION("""COMPUTED_VALUE"""),68.0)</f>
        <v>68</v>
      </c>
      <c r="F4869" s="19" t="str">
        <f>IFERROR(__xludf.DUMMYFUNCTION("""COMPUTED_VALUE"""),"BLUE")</f>
        <v>BLUE</v>
      </c>
      <c r="G4869" s="20" t="str">
        <f>IFERROR(__xludf.DUMMYFUNCTION("""COMPUTED_VALUE"""),"Uncle Sams Cider (04/04/2023)")</f>
        <v>Uncle Sams Cider (04/04/2023)</v>
      </c>
      <c r="H4869" s="19"/>
    </row>
    <row r="4870">
      <c r="A4870" s="9"/>
      <c r="B4870" s="15"/>
      <c r="C4870" s="9">
        <f>IFERROR(__xludf.DUMMYFUNCTION("""COMPUTED_VALUE"""),45093.5599506018)</f>
        <v>45093.55995</v>
      </c>
      <c r="D4870" s="15">
        <f>IFERROR(__xludf.DUMMYFUNCTION("""COMPUTED_VALUE"""),1.002)</f>
        <v>1.002</v>
      </c>
      <c r="E4870" s="16">
        <f>IFERROR(__xludf.DUMMYFUNCTION("""COMPUTED_VALUE"""),68.0)</f>
        <v>68</v>
      </c>
      <c r="F4870" s="19" t="str">
        <f>IFERROR(__xludf.DUMMYFUNCTION("""COMPUTED_VALUE"""),"BLUE")</f>
        <v>BLUE</v>
      </c>
      <c r="G4870" s="20" t="str">
        <f>IFERROR(__xludf.DUMMYFUNCTION("""COMPUTED_VALUE"""),"Uncle Sams Cider (04/04/2023)")</f>
        <v>Uncle Sams Cider (04/04/2023)</v>
      </c>
      <c r="H4870" s="19"/>
    </row>
    <row r="4871">
      <c r="A4871" s="9"/>
      <c r="B4871" s="15"/>
      <c r="C4871" s="9">
        <f>IFERROR(__xludf.DUMMYFUNCTION("""COMPUTED_VALUE"""),45093.5495299884)</f>
        <v>45093.54953</v>
      </c>
      <c r="D4871" s="15">
        <f>IFERROR(__xludf.DUMMYFUNCTION("""COMPUTED_VALUE"""),1.002)</f>
        <v>1.002</v>
      </c>
      <c r="E4871" s="16">
        <f>IFERROR(__xludf.DUMMYFUNCTION("""COMPUTED_VALUE"""),68.0)</f>
        <v>68</v>
      </c>
      <c r="F4871" s="19" t="str">
        <f>IFERROR(__xludf.DUMMYFUNCTION("""COMPUTED_VALUE"""),"BLUE")</f>
        <v>BLUE</v>
      </c>
      <c r="G4871" s="20" t="str">
        <f>IFERROR(__xludf.DUMMYFUNCTION("""COMPUTED_VALUE"""),"Uncle Sams Cider (04/04/2023)")</f>
        <v>Uncle Sams Cider (04/04/2023)</v>
      </c>
      <c r="H4871" s="19"/>
    </row>
    <row r="4872">
      <c r="A4872" s="9"/>
      <c r="B4872" s="15"/>
      <c r="C4872" s="9">
        <f>IFERROR(__xludf.DUMMYFUNCTION("""COMPUTED_VALUE"""),45093.5391098032)</f>
        <v>45093.53911</v>
      </c>
      <c r="D4872" s="15">
        <f>IFERROR(__xludf.DUMMYFUNCTION("""COMPUTED_VALUE"""),1.002)</f>
        <v>1.002</v>
      </c>
      <c r="E4872" s="16">
        <f>IFERROR(__xludf.DUMMYFUNCTION("""COMPUTED_VALUE"""),67.0)</f>
        <v>67</v>
      </c>
      <c r="F4872" s="19" t="str">
        <f>IFERROR(__xludf.DUMMYFUNCTION("""COMPUTED_VALUE"""),"BLUE")</f>
        <v>BLUE</v>
      </c>
      <c r="G4872" s="20" t="str">
        <f>IFERROR(__xludf.DUMMYFUNCTION("""COMPUTED_VALUE"""),"Uncle Sams Cider (04/04/2023)")</f>
        <v>Uncle Sams Cider (04/04/2023)</v>
      </c>
      <c r="H4872" s="19"/>
    </row>
    <row r="4873">
      <c r="A4873" s="9"/>
      <c r="B4873" s="15"/>
      <c r="C4873" s="9">
        <f>IFERROR(__xludf.DUMMYFUNCTION("""COMPUTED_VALUE"""),45093.5286878009)</f>
        <v>45093.52869</v>
      </c>
      <c r="D4873" s="15">
        <f>IFERROR(__xludf.DUMMYFUNCTION("""COMPUTED_VALUE"""),1.003)</f>
        <v>1.003</v>
      </c>
      <c r="E4873" s="16">
        <f>IFERROR(__xludf.DUMMYFUNCTION("""COMPUTED_VALUE"""),68.0)</f>
        <v>68</v>
      </c>
      <c r="F4873" s="19" t="str">
        <f>IFERROR(__xludf.DUMMYFUNCTION("""COMPUTED_VALUE"""),"BLUE")</f>
        <v>BLUE</v>
      </c>
      <c r="G4873" s="20" t="str">
        <f>IFERROR(__xludf.DUMMYFUNCTION("""COMPUTED_VALUE"""),"Uncle Sams Cider (04/04/2023)")</f>
        <v>Uncle Sams Cider (04/04/2023)</v>
      </c>
      <c r="H4873" s="19"/>
    </row>
    <row r="4874">
      <c r="A4874" s="9"/>
      <c r="B4874" s="15"/>
      <c r="C4874" s="9">
        <f>IFERROR(__xludf.DUMMYFUNCTION("""COMPUTED_VALUE"""),45093.5182540046)</f>
        <v>45093.51825</v>
      </c>
      <c r="D4874" s="15">
        <f>IFERROR(__xludf.DUMMYFUNCTION("""COMPUTED_VALUE"""),1.002)</f>
        <v>1.002</v>
      </c>
      <c r="E4874" s="16">
        <f>IFERROR(__xludf.DUMMYFUNCTION("""COMPUTED_VALUE"""),68.0)</f>
        <v>68</v>
      </c>
      <c r="F4874" s="19" t="str">
        <f>IFERROR(__xludf.DUMMYFUNCTION("""COMPUTED_VALUE"""),"BLUE")</f>
        <v>BLUE</v>
      </c>
      <c r="G4874" s="20" t="str">
        <f>IFERROR(__xludf.DUMMYFUNCTION("""COMPUTED_VALUE"""),"Uncle Sams Cider (04/04/2023)")</f>
        <v>Uncle Sams Cider (04/04/2023)</v>
      </c>
      <c r="H4874" s="19"/>
    </row>
    <row r="4875">
      <c r="A4875" s="9"/>
      <c r="B4875" s="15"/>
      <c r="C4875" s="9">
        <f>IFERROR(__xludf.DUMMYFUNCTION("""COMPUTED_VALUE"""),45093.5078326157)</f>
        <v>45093.50783</v>
      </c>
      <c r="D4875" s="15">
        <f>IFERROR(__xludf.DUMMYFUNCTION("""COMPUTED_VALUE"""),1.002)</f>
        <v>1.002</v>
      </c>
      <c r="E4875" s="16">
        <f>IFERROR(__xludf.DUMMYFUNCTION("""COMPUTED_VALUE"""),68.0)</f>
        <v>68</v>
      </c>
      <c r="F4875" s="19" t="str">
        <f>IFERROR(__xludf.DUMMYFUNCTION("""COMPUTED_VALUE"""),"BLUE")</f>
        <v>BLUE</v>
      </c>
      <c r="G4875" s="20" t="str">
        <f>IFERROR(__xludf.DUMMYFUNCTION("""COMPUTED_VALUE"""),"Uncle Sams Cider (04/04/2023)")</f>
        <v>Uncle Sams Cider (04/04/2023)</v>
      </c>
      <c r="H4875" s="19"/>
    </row>
    <row r="4876">
      <c r="A4876" s="9"/>
      <c r="B4876" s="15"/>
      <c r="C4876" s="9">
        <f>IFERROR(__xludf.DUMMYFUNCTION("""COMPUTED_VALUE"""),45093.4974093981)</f>
        <v>45093.49741</v>
      </c>
      <c r="D4876" s="15">
        <f>IFERROR(__xludf.DUMMYFUNCTION("""COMPUTED_VALUE"""),1.003)</f>
        <v>1.003</v>
      </c>
      <c r="E4876" s="16">
        <f>IFERROR(__xludf.DUMMYFUNCTION("""COMPUTED_VALUE"""),68.0)</f>
        <v>68</v>
      </c>
      <c r="F4876" s="19" t="str">
        <f>IFERROR(__xludf.DUMMYFUNCTION("""COMPUTED_VALUE"""),"BLUE")</f>
        <v>BLUE</v>
      </c>
      <c r="G4876" s="20" t="str">
        <f>IFERROR(__xludf.DUMMYFUNCTION("""COMPUTED_VALUE"""),"Uncle Sams Cider (04/04/2023)")</f>
        <v>Uncle Sams Cider (04/04/2023)</v>
      </c>
      <c r="H4876" s="19"/>
    </row>
    <row r="4877">
      <c r="A4877" s="9"/>
      <c r="B4877" s="15"/>
      <c r="C4877" s="9">
        <f>IFERROR(__xludf.DUMMYFUNCTION("""COMPUTED_VALUE"""),45093.4869884953)</f>
        <v>45093.48699</v>
      </c>
      <c r="D4877" s="15">
        <f>IFERROR(__xludf.DUMMYFUNCTION("""COMPUTED_VALUE"""),1.002)</f>
        <v>1.002</v>
      </c>
      <c r="E4877" s="16">
        <f>IFERROR(__xludf.DUMMYFUNCTION("""COMPUTED_VALUE"""),68.0)</f>
        <v>68</v>
      </c>
      <c r="F4877" s="19" t="str">
        <f>IFERROR(__xludf.DUMMYFUNCTION("""COMPUTED_VALUE"""),"BLUE")</f>
        <v>BLUE</v>
      </c>
      <c r="G4877" s="20" t="str">
        <f>IFERROR(__xludf.DUMMYFUNCTION("""COMPUTED_VALUE"""),"Uncle Sams Cider (04/04/2023)")</f>
        <v>Uncle Sams Cider (04/04/2023)</v>
      </c>
      <c r="H4877" s="19"/>
    </row>
    <row r="4878">
      <c r="A4878" s="9"/>
      <c r="B4878" s="15"/>
      <c r="C4878" s="9">
        <f>IFERROR(__xludf.DUMMYFUNCTION("""COMPUTED_VALUE"""),45093.4765209027)</f>
        <v>45093.47652</v>
      </c>
      <c r="D4878" s="15">
        <f>IFERROR(__xludf.DUMMYFUNCTION("""COMPUTED_VALUE"""),1.002)</f>
        <v>1.002</v>
      </c>
      <c r="E4878" s="16">
        <f>IFERROR(__xludf.DUMMYFUNCTION("""COMPUTED_VALUE"""),68.0)</f>
        <v>68</v>
      </c>
      <c r="F4878" s="19" t="str">
        <f>IFERROR(__xludf.DUMMYFUNCTION("""COMPUTED_VALUE"""),"BLUE")</f>
        <v>BLUE</v>
      </c>
      <c r="G4878" s="20" t="str">
        <f>IFERROR(__xludf.DUMMYFUNCTION("""COMPUTED_VALUE"""),"Uncle Sams Cider (04/04/2023)")</f>
        <v>Uncle Sams Cider (04/04/2023)</v>
      </c>
      <c r="H4878" s="19"/>
    </row>
    <row r="4879">
      <c r="A4879" s="9"/>
      <c r="B4879" s="15"/>
      <c r="C4879" s="9">
        <f>IFERROR(__xludf.DUMMYFUNCTION("""COMPUTED_VALUE"""),45093.4660989351)</f>
        <v>45093.4661</v>
      </c>
      <c r="D4879" s="15">
        <f>IFERROR(__xludf.DUMMYFUNCTION("""COMPUTED_VALUE"""),1.002)</f>
        <v>1.002</v>
      </c>
      <c r="E4879" s="16">
        <f>IFERROR(__xludf.DUMMYFUNCTION("""COMPUTED_VALUE"""),68.0)</f>
        <v>68</v>
      </c>
      <c r="F4879" s="19" t="str">
        <f>IFERROR(__xludf.DUMMYFUNCTION("""COMPUTED_VALUE"""),"BLUE")</f>
        <v>BLUE</v>
      </c>
      <c r="G4879" s="20" t="str">
        <f>IFERROR(__xludf.DUMMYFUNCTION("""COMPUTED_VALUE"""),"Uncle Sams Cider (04/04/2023)")</f>
        <v>Uncle Sams Cider (04/04/2023)</v>
      </c>
      <c r="H4879" s="19"/>
    </row>
    <row r="4880">
      <c r="A4880" s="9"/>
      <c r="B4880" s="15"/>
      <c r="C4880" s="9">
        <f>IFERROR(__xludf.DUMMYFUNCTION("""COMPUTED_VALUE"""),45093.4556795254)</f>
        <v>45093.45568</v>
      </c>
      <c r="D4880" s="15">
        <f>IFERROR(__xludf.DUMMYFUNCTION("""COMPUTED_VALUE"""),1.002)</f>
        <v>1.002</v>
      </c>
      <c r="E4880" s="16">
        <f>IFERROR(__xludf.DUMMYFUNCTION("""COMPUTED_VALUE"""),68.0)</f>
        <v>68</v>
      </c>
      <c r="F4880" s="19" t="str">
        <f>IFERROR(__xludf.DUMMYFUNCTION("""COMPUTED_VALUE"""),"BLUE")</f>
        <v>BLUE</v>
      </c>
      <c r="G4880" s="20" t="str">
        <f>IFERROR(__xludf.DUMMYFUNCTION("""COMPUTED_VALUE"""),"Uncle Sams Cider (04/04/2023)")</f>
        <v>Uncle Sams Cider (04/04/2023)</v>
      </c>
      <c r="H4880" s="19"/>
    </row>
    <row r="4881">
      <c r="A4881" s="9"/>
      <c r="B4881" s="15"/>
      <c r="C4881" s="9">
        <f>IFERROR(__xludf.DUMMYFUNCTION("""COMPUTED_VALUE"""),45093.445247037)</f>
        <v>45093.44525</v>
      </c>
      <c r="D4881" s="15">
        <f>IFERROR(__xludf.DUMMYFUNCTION("""COMPUTED_VALUE"""),1.002)</f>
        <v>1.002</v>
      </c>
      <c r="E4881" s="16">
        <f>IFERROR(__xludf.DUMMYFUNCTION("""COMPUTED_VALUE"""),68.0)</f>
        <v>68</v>
      </c>
      <c r="F4881" s="19" t="str">
        <f>IFERROR(__xludf.DUMMYFUNCTION("""COMPUTED_VALUE"""),"BLUE")</f>
        <v>BLUE</v>
      </c>
      <c r="G4881" s="20" t="str">
        <f>IFERROR(__xludf.DUMMYFUNCTION("""COMPUTED_VALUE"""),"Uncle Sams Cider (04/04/2023)")</f>
        <v>Uncle Sams Cider (04/04/2023)</v>
      </c>
      <c r="H4881" s="19"/>
    </row>
    <row r="4882">
      <c r="A4882" s="9"/>
      <c r="B4882" s="15"/>
      <c r="C4882" s="9">
        <f>IFERROR(__xludf.DUMMYFUNCTION("""COMPUTED_VALUE"""),45093.434825625)</f>
        <v>45093.43483</v>
      </c>
      <c r="D4882" s="15">
        <f>IFERROR(__xludf.DUMMYFUNCTION("""COMPUTED_VALUE"""),1.003)</f>
        <v>1.003</v>
      </c>
      <c r="E4882" s="16">
        <f>IFERROR(__xludf.DUMMYFUNCTION("""COMPUTED_VALUE"""),68.0)</f>
        <v>68</v>
      </c>
      <c r="F4882" s="19" t="str">
        <f>IFERROR(__xludf.DUMMYFUNCTION("""COMPUTED_VALUE"""),"BLUE")</f>
        <v>BLUE</v>
      </c>
      <c r="G4882" s="20" t="str">
        <f>IFERROR(__xludf.DUMMYFUNCTION("""COMPUTED_VALUE"""),"Uncle Sams Cider (04/04/2023)")</f>
        <v>Uncle Sams Cider (04/04/2023)</v>
      </c>
      <c r="H4882" s="19"/>
    </row>
    <row r="4883">
      <c r="A4883" s="9"/>
      <c r="B4883" s="15"/>
      <c r="C4883" s="9">
        <f>IFERROR(__xludf.DUMMYFUNCTION("""COMPUTED_VALUE"""),45093.4244050462)</f>
        <v>45093.42441</v>
      </c>
      <c r="D4883" s="15">
        <f>IFERROR(__xludf.DUMMYFUNCTION("""COMPUTED_VALUE"""),1.002)</f>
        <v>1.002</v>
      </c>
      <c r="E4883" s="16">
        <f>IFERROR(__xludf.DUMMYFUNCTION("""COMPUTED_VALUE"""),68.0)</f>
        <v>68</v>
      </c>
      <c r="F4883" s="19" t="str">
        <f>IFERROR(__xludf.DUMMYFUNCTION("""COMPUTED_VALUE"""),"BLUE")</f>
        <v>BLUE</v>
      </c>
      <c r="G4883" s="20" t="str">
        <f>IFERROR(__xludf.DUMMYFUNCTION("""COMPUTED_VALUE"""),"Uncle Sams Cider (04/04/2023)")</f>
        <v>Uncle Sams Cider (04/04/2023)</v>
      </c>
      <c r="H4883" s="19"/>
    </row>
    <row r="4884">
      <c r="A4884" s="9"/>
      <c r="B4884" s="15"/>
      <c r="C4884" s="9">
        <f>IFERROR(__xludf.DUMMYFUNCTION("""COMPUTED_VALUE"""),45093.4139828009)</f>
        <v>45093.41398</v>
      </c>
      <c r="D4884" s="15">
        <f>IFERROR(__xludf.DUMMYFUNCTION("""COMPUTED_VALUE"""),1.003)</f>
        <v>1.003</v>
      </c>
      <c r="E4884" s="16">
        <f>IFERROR(__xludf.DUMMYFUNCTION("""COMPUTED_VALUE"""),68.0)</f>
        <v>68</v>
      </c>
      <c r="F4884" s="19" t="str">
        <f>IFERROR(__xludf.DUMMYFUNCTION("""COMPUTED_VALUE"""),"BLUE")</f>
        <v>BLUE</v>
      </c>
      <c r="G4884" s="20" t="str">
        <f>IFERROR(__xludf.DUMMYFUNCTION("""COMPUTED_VALUE"""),"Uncle Sams Cider (04/04/2023)")</f>
        <v>Uncle Sams Cider (04/04/2023)</v>
      </c>
      <c r="H4884" s="19"/>
    </row>
    <row r="4885">
      <c r="A4885" s="9"/>
      <c r="B4885" s="15"/>
      <c r="C4885" s="9">
        <f>IFERROR(__xludf.DUMMYFUNCTION("""COMPUTED_VALUE"""),45093.4035621527)</f>
        <v>45093.40356</v>
      </c>
      <c r="D4885" s="15">
        <f>IFERROR(__xludf.DUMMYFUNCTION("""COMPUTED_VALUE"""),1.002)</f>
        <v>1.002</v>
      </c>
      <c r="E4885" s="16">
        <f>IFERROR(__xludf.DUMMYFUNCTION("""COMPUTED_VALUE"""),67.0)</f>
        <v>67</v>
      </c>
      <c r="F4885" s="19" t="str">
        <f>IFERROR(__xludf.DUMMYFUNCTION("""COMPUTED_VALUE"""),"BLUE")</f>
        <v>BLUE</v>
      </c>
      <c r="G4885" s="20" t="str">
        <f>IFERROR(__xludf.DUMMYFUNCTION("""COMPUTED_VALUE"""),"Uncle Sams Cider (04/04/2023)")</f>
        <v>Uncle Sams Cider (04/04/2023)</v>
      </c>
      <c r="H4885" s="19"/>
    </row>
    <row r="4886">
      <c r="A4886" s="9"/>
      <c r="B4886" s="15"/>
      <c r="C4886" s="9">
        <f>IFERROR(__xludf.DUMMYFUNCTION("""COMPUTED_VALUE"""),45093.3931303703)</f>
        <v>45093.39313</v>
      </c>
      <c r="D4886" s="15">
        <f>IFERROR(__xludf.DUMMYFUNCTION("""COMPUTED_VALUE"""),1.002)</f>
        <v>1.002</v>
      </c>
      <c r="E4886" s="16">
        <f>IFERROR(__xludf.DUMMYFUNCTION("""COMPUTED_VALUE"""),68.0)</f>
        <v>68</v>
      </c>
      <c r="F4886" s="19" t="str">
        <f>IFERROR(__xludf.DUMMYFUNCTION("""COMPUTED_VALUE"""),"BLUE")</f>
        <v>BLUE</v>
      </c>
      <c r="G4886" s="20" t="str">
        <f>IFERROR(__xludf.DUMMYFUNCTION("""COMPUTED_VALUE"""),"Uncle Sams Cider (04/04/2023)")</f>
        <v>Uncle Sams Cider (04/04/2023)</v>
      </c>
      <c r="H4886" s="19"/>
    </row>
    <row r="4887">
      <c r="A4887" s="9"/>
      <c r="B4887" s="15"/>
      <c r="C4887" s="9">
        <f>IFERROR(__xludf.DUMMYFUNCTION("""COMPUTED_VALUE"""),45093.3827098495)</f>
        <v>45093.38271</v>
      </c>
      <c r="D4887" s="15">
        <f>IFERROR(__xludf.DUMMYFUNCTION("""COMPUTED_VALUE"""),1.002)</f>
        <v>1.002</v>
      </c>
      <c r="E4887" s="16">
        <f>IFERROR(__xludf.DUMMYFUNCTION("""COMPUTED_VALUE"""),67.0)</f>
        <v>67</v>
      </c>
      <c r="F4887" s="19" t="str">
        <f>IFERROR(__xludf.DUMMYFUNCTION("""COMPUTED_VALUE"""),"BLUE")</f>
        <v>BLUE</v>
      </c>
      <c r="G4887" s="20" t="str">
        <f>IFERROR(__xludf.DUMMYFUNCTION("""COMPUTED_VALUE"""),"Uncle Sams Cider (04/04/2023)")</f>
        <v>Uncle Sams Cider (04/04/2023)</v>
      </c>
      <c r="H4887" s="19"/>
    </row>
    <row r="4888">
      <c r="A4888" s="9"/>
      <c r="B4888" s="15"/>
      <c r="C4888" s="9">
        <f>IFERROR(__xludf.DUMMYFUNCTION("""COMPUTED_VALUE"""),45093.3722884143)</f>
        <v>45093.37229</v>
      </c>
      <c r="D4888" s="15">
        <f>IFERROR(__xludf.DUMMYFUNCTION("""COMPUTED_VALUE"""),1.002)</f>
        <v>1.002</v>
      </c>
      <c r="E4888" s="16">
        <f>IFERROR(__xludf.DUMMYFUNCTION("""COMPUTED_VALUE"""),68.0)</f>
        <v>68</v>
      </c>
      <c r="F4888" s="19" t="str">
        <f>IFERROR(__xludf.DUMMYFUNCTION("""COMPUTED_VALUE"""),"BLUE")</f>
        <v>BLUE</v>
      </c>
      <c r="G4888" s="20" t="str">
        <f>IFERROR(__xludf.DUMMYFUNCTION("""COMPUTED_VALUE"""),"Uncle Sams Cider (04/04/2023)")</f>
        <v>Uncle Sams Cider (04/04/2023)</v>
      </c>
      <c r="H4888" s="19"/>
    </row>
    <row r="4889">
      <c r="A4889" s="9"/>
      <c r="B4889" s="15"/>
      <c r="C4889" s="9">
        <f>IFERROR(__xludf.DUMMYFUNCTION("""COMPUTED_VALUE"""),45093.3618680439)</f>
        <v>45093.36187</v>
      </c>
      <c r="D4889" s="15">
        <f>IFERROR(__xludf.DUMMYFUNCTION("""COMPUTED_VALUE"""),1.002)</f>
        <v>1.002</v>
      </c>
      <c r="E4889" s="16">
        <f>IFERROR(__xludf.DUMMYFUNCTION("""COMPUTED_VALUE"""),68.0)</f>
        <v>68</v>
      </c>
      <c r="F4889" s="19" t="str">
        <f>IFERROR(__xludf.DUMMYFUNCTION("""COMPUTED_VALUE"""),"BLUE")</f>
        <v>BLUE</v>
      </c>
      <c r="G4889" s="20" t="str">
        <f>IFERROR(__xludf.DUMMYFUNCTION("""COMPUTED_VALUE"""),"Uncle Sams Cider (04/04/2023)")</f>
        <v>Uncle Sams Cider (04/04/2023)</v>
      </c>
      <c r="H4889" s="19"/>
    </row>
    <row r="4890">
      <c r="A4890" s="9"/>
      <c r="B4890" s="15"/>
      <c r="C4890" s="9">
        <f>IFERROR(__xludf.DUMMYFUNCTION("""COMPUTED_VALUE"""),45093.3514459143)</f>
        <v>45093.35145</v>
      </c>
      <c r="D4890" s="15">
        <f>IFERROR(__xludf.DUMMYFUNCTION("""COMPUTED_VALUE"""),1.002)</f>
        <v>1.002</v>
      </c>
      <c r="E4890" s="16">
        <f>IFERROR(__xludf.DUMMYFUNCTION("""COMPUTED_VALUE"""),68.0)</f>
        <v>68</v>
      </c>
      <c r="F4890" s="19" t="str">
        <f>IFERROR(__xludf.DUMMYFUNCTION("""COMPUTED_VALUE"""),"BLUE")</f>
        <v>BLUE</v>
      </c>
      <c r="G4890" s="20" t="str">
        <f>IFERROR(__xludf.DUMMYFUNCTION("""COMPUTED_VALUE"""),"Uncle Sams Cider (04/04/2023)")</f>
        <v>Uncle Sams Cider (04/04/2023)</v>
      </c>
      <c r="H4890" s="19"/>
    </row>
    <row r="4891">
      <c r="A4891" s="9"/>
      <c r="B4891" s="15"/>
      <c r="C4891" s="9">
        <f>IFERROR(__xludf.DUMMYFUNCTION("""COMPUTED_VALUE"""),45093.3410274768)</f>
        <v>45093.34103</v>
      </c>
      <c r="D4891" s="15">
        <f>IFERROR(__xludf.DUMMYFUNCTION("""COMPUTED_VALUE"""),1.002)</f>
        <v>1.002</v>
      </c>
      <c r="E4891" s="16">
        <f>IFERROR(__xludf.DUMMYFUNCTION("""COMPUTED_VALUE"""),68.0)</f>
        <v>68</v>
      </c>
      <c r="F4891" s="19" t="str">
        <f>IFERROR(__xludf.DUMMYFUNCTION("""COMPUTED_VALUE"""),"BLUE")</f>
        <v>BLUE</v>
      </c>
      <c r="G4891" s="20" t="str">
        <f>IFERROR(__xludf.DUMMYFUNCTION("""COMPUTED_VALUE"""),"Uncle Sams Cider (04/04/2023)")</f>
        <v>Uncle Sams Cider (04/04/2023)</v>
      </c>
      <c r="H4891" s="19"/>
    </row>
    <row r="4892">
      <c r="A4892" s="9"/>
      <c r="B4892" s="15"/>
      <c r="C4892" s="9">
        <f>IFERROR(__xludf.DUMMYFUNCTION("""COMPUTED_VALUE"""),45093.330605405)</f>
        <v>45093.33061</v>
      </c>
      <c r="D4892" s="15">
        <f>IFERROR(__xludf.DUMMYFUNCTION("""COMPUTED_VALUE"""),1.002)</f>
        <v>1.002</v>
      </c>
      <c r="E4892" s="16">
        <f>IFERROR(__xludf.DUMMYFUNCTION("""COMPUTED_VALUE"""),68.0)</f>
        <v>68</v>
      </c>
      <c r="F4892" s="19" t="str">
        <f>IFERROR(__xludf.DUMMYFUNCTION("""COMPUTED_VALUE"""),"BLUE")</f>
        <v>BLUE</v>
      </c>
      <c r="G4892" s="20" t="str">
        <f>IFERROR(__xludf.DUMMYFUNCTION("""COMPUTED_VALUE"""),"Uncle Sams Cider (04/04/2023)")</f>
        <v>Uncle Sams Cider (04/04/2023)</v>
      </c>
      <c r="H4892" s="19"/>
    </row>
    <row r="4893">
      <c r="A4893" s="9"/>
      <c r="B4893" s="15"/>
      <c r="C4893" s="9">
        <f>IFERROR(__xludf.DUMMYFUNCTION("""COMPUTED_VALUE"""),45093.3201840393)</f>
        <v>45093.32018</v>
      </c>
      <c r="D4893" s="15">
        <f>IFERROR(__xludf.DUMMYFUNCTION("""COMPUTED_VALUE"""),1.002)</f>
        <v>1.002</v>
      </c>
      <c r="E4893" s="16">
        <f>IFERROR(__xludf.DUMMYFUNCTION("""COMPUTED_VALUE"""),68.0)</f>
        <v>68</v>
      </c>
      <c r="F4893" s="19" t="str">
        <f>IFERROR(__xludf.DUMMYFUNCTION("""COMPUTED_VALUE"""),"BLUE")</f>
        <v>BLUE</v>
      </c>
      <c r="G4893" s="20" t="str">
        <f>IFERROR(__xludf.DUMMYFUNCTION("""COMPUTED_VALUE"""),"Uncle Sams Cider (04/04/2023)")</f>
        <v>Uncle Sams Cider (04/04/2023)</v>
      </c>
      <c r="H4893" s="19"/>
    </row>
    <row r="4894">
      <c r="A4894" s="9"/>
      <c r="B4894" s="15"/>
      <c r="C4894" s="9">
        <f>IFERROR(__xludf.DUMMYFUNCTION("""COMPUTED_VALUE"""),45093.3097524884)</f>
        <v>45093.30975</v>
      </c>
      <c r="D4894" s="15">
        <f>IFERROR(__xludf.DUMMYFUNCTION("""COMPUTED_VALUE"""),1.002)</f>
        <v>1.002</v>
      </c>
      <c r="E4894" s="16">
        <f>IFERROR(__xludf.DUMMYFUNCTION("""COMPUTED_VALUE"""),68.0)</f>
        <v>68</v>
      </c>
      <c r="F4894" s="19" t="str">
        <f>IFERROR(__xludf.DUMMYFUNCTION("""COMPUTED_VALUE"""),"BLUE")</f>
        <v>BLUE</v>
      </c>
      <c r="G4894" s="20" t="str">
        <f>IFERROR(__xludf.DUMMYFUNCTION("""COMPUTED_VALUE"""),"Uncle Sams Cider (04/04/2023)")</f>
        <v>Uncle Sams Cider (04/04/2023)</v>
      </c>
      <c r="H4894" s="19"/>
    </row>
    <row r="4895">
      <c r="A4895" s="9"/>
      <c r="B4895" s="15"/>
      <c r="C4895" s="9">
        <f>IFERROR(__xludf.DUMMYFUNCTION("""COMPUTED_VALUE"""),45093.2993309722)</f>
        <v>45093.29933</v>
      </c>
      <c r="D4895" s="15">
        <f>IFERROR(__xludf.DUMMYFUNCTION("""COMPUTED_VALUE"""),1.002)</f>
        <v>1.002</v>
      </c>
      <c r="E4895" s="16">
        <f>IFERROR(__xludf.DUMMYFUNCTION("""COMPUTED_VALUE"""),68.0)</f>
        <v>68</v>
      </c>
      <c r="F4895" s="19" t="str">
        <f>IFERROR(__xludf.DUMMYFUNCTION("""COMPUTED_VALUE"""),"BLUE")</f>
        <v>BLUE</v>
      </c>
      <c r="G4895" s="20" t="str">
        <f>IFERROR(__xludf.DUMMYFUNCTION("""COMPUTED_VALUE"""),"Uncle Sams Cider (04/04/2023)")</f>
        <v>Uncle Sams Cider (04/04/2023)</v>
      </c>
      <c r="H4895" s="19"/>
    </row>
    <row r="4896">
      <c r="A4896" s="9"/>
      <c r="B4896" s="15"/>
      <c r="C4896" s="9">
        <f>IFERROR(__xludf.DUMMYFUNCTION("""COMPUTED_VALUE"""),45093.2889096527)</f>
        <v>45093.28891</v>
      </c>
      <c r="D4896" s="15">
        <f>IFERROR(__xludf.DUMMYFUNCTION("""COMPUTED_VALUE"""),1.002)</f>
        <v>1.002</v>
      </c>
      <c r="E4896" s="16">
        <f>IFERROR(__xludf.DUMMYFUNCTION("""COMPUTED_VALUE"""),68.0)</f>
        <v>68</v>
      </c>
      <c r="F4896" s="19" t="str">
        <f>IFERROR(__xludf.DUMMYFUNCTION("""COMPUTED_VALUE"""),"BLUE")</f>
        <v>BLUE</v>
      </c>
      <c r="G4896" s="20" t="str">
        <f>IFERROR(__xludf.DUMMYFUNCTION("""COMPUTED_VALUE"""),"Uncle Sams Cider (04/04/2023)")</f>
        <v>Uncle Sams Cider (04/04/2023)</v>
      </c>
      <c r="H4896" s="19"/>
    </row>
    <row r="4897">
      <c r="A4897" s="9"/>
      <c r="B4897" s="15"/>
      <c r="C4897" s="9">
        <f>IFERROR(__xludf.DUMMYFUNCTION("""COMPUTED_VALUE"""),45093.278487037)</f>
        <v>45093.27849</v>
      </c>
      <c r="D4897" s="15">
        <f>IFERROR(__xludf.DUMMYFUNCTION("""COMPUTED_VALUE"""),1.003)</f>
        <v>1.003</v>
      </c>
      <c r="E4897" s="16">
        <f>IFERROR(__xludf.DUMMYFUNCTION("""COMPUTED_VALUE"""),68.0)</f>
        <v>68</v>
      </c>
      <c r="F4897" s="19" t="str">
        <f>IFERROR(__xludf.DUMMYFUNCTION("""COMPUTED_VALUE"""),"BLUE")</f>
        <v>BLUE</v>
      </c>
      <c r="G4897" s="20" t="str">
        <f>IFERROR(__xludf.DUMMYFUNCTION("""COMPUTED_VALUE"""),"Uncle Sams Cider (04/04/2023)")</f>
        <v>Uncle Sams Cider (04/04/2023)</v>
      </c>
      <c r="H4897" s="19"/>
    </row>
    <row r="4898">
      <c r="A4898" s="9"/>
      <c r="B4898" s="15"/>
      <c r="C4898" s="9">
        <f>IFERROR(__xludf.DUMMYFUNCTION("""COMPUTED_VALUE"""),45093.2680670601)</f>
        <v>45093.26807</v>
      </c>
      <c r="D4898" s="15">
        <f>IFERROR(__xludf.DUMMYFUNCTION("""COMPUTED_VALUE"""),1.002)</f>
        <v>1.002</v>
      </c>
      <c r="E4898" s="16">
        <f>IFERROR(__xludf.DUMMYFUNCTION("""COMPUTED_VALUE"""),68.0)</f>
        <v>68</v>
      </c>
      <c r="F4898" s="19" t="str">
        <f>IFERROR(__xludf.DUMMYFUNCTION("""COMPUTED_VALUE"""),"BLUE")</f>
        <v>BLUE</v>
      </c>
      <c r="G4898" s="20" t="str">
        <f>IFERROR(__xludf.DUMMYFUNCTION("""COMPUTED_VALUE"""),"Uncle Sams Cider (04/04/2023)")</f>
        <v>Uncle Sams Cider (04/04/2023)</v>
      </c>
      <c r="H4898" s="19"/>
    </row>
    <row r="4899">
      <c r="A4899" s="9"/>
      <c r="B4899" s="15"/>
      <c r="C4899" s="9">
        <f>IFERROR(__xludf.DUMMYFUNCTION("""COMPUTED_VALUE"""),45093.257622118)</f>
        <v>45093.25762</v>
      </c>
      <c r="D4899" s="15">
        <f>IFERROR(__xludf.DUMMYFUNCTION("""COMPUTED_VALUE"""),1.002)</f>
        <v>1.002</v>
      </c>
      <c r="E4899" s="16">
        <f>IFERROR(__xludf.DUMMYFUNCTION("""COMPUTED_VALUE"""),68.0)</f>
        <v>68</v>
      </c>
      <c r="F4899" s="19" t="str">
        <f>IFERROR(__xludf.DUMMYFUNCTION("""COMPUTED_VALUE"""),"BLUE")</f>
        <v>BLUE</v>
      </c>
      <c r="G4899" s="20" t="str">
        <f>IFERROR(__xludf.DUMMYFUNCTION("""COMPUTED_VALUE"""),"Uncle Sams Cider (04/04/2023)")</f>
        <v>Uncle Sams Cider (04/04/2023)</v>
      </c>
      <c r="H4899" s="19"/>
    </row>
    <row r="4900">
      <c r="A4900" s="9"/>
      <c r="B4900" s="15"/>
      <c r="C4900" s="9">
        <f>IFERROR(__xludf.DUMMYFUNCTION("""COMPUTED_VALUE"""),45093.2471998495)</f>
        <v>45093.2472</v>
      </c>
      <c r="D4900" s="15">
        <f>IFERROR(__xludf.DUMMYFUNCTION("""COMPUTED_VALUE"""),1.002)</f>
        <v>1.002</v>
      </c>
      <c r="E4900" s="16">
        <f>IFERROR(__xludf.DUMMYFUNCTION("""COMPUTED_VALUE"""),68.0)</f>
        <v>68</v>
      </c>
      <c r="F4900" s="19" t="str">
        <f>IFERROR(__xludf.DUMMYFUNCTION("""COMPUTED_VALUE"""),"BLUE")</f>
        <v>BLUE</v>
      </c>
      <c r="G4900" s="20" t="str">
        <f>IFERROR(__xludf.DUMMYFUNCTION("""COMPUTED_VALUE"""),"Uncle Sams Cider (04/04/2023)")</f>
        <v>Uncle Sams Cider (04/04/2023)</v>
      </c>
      <c r="H4900" s="19"/>
    </row>
    <row r="4901">
      <c r="A4901" s="9"/>
      <c r="B4901" s="15"/>
      <c r="C4901" s="9">
        <f>IFERROR(__xludf.DUMMYFUNCTION("""COMPUTED_VALUE"""),45093.2367799305)</f>
        <v>45093.23678</v>
      </c>
      <c r="D4901" s="15">
        <f>IFERROR(__xludf.DUMMYFUNCTION("""COMPUTED_VALUE"""),1.002)</f>
        <v>1.002</v>
      </c>
      <c r="E4901" s="16">
        <f>IFERROR(__xludf.DUMMYFUNCTION("""COMPUTED_VALUE"""),68.0)</f>
        <v>68</v>
      </c>
      <c r="F4901" s="19" t="str">
        <f>IFERROR(__xludf.DUMMYFUNCTION("""COMPUTED_VALUE"""),"BLUE")</f>
        <v>BLUE</v>
      </c>
      <c r="G4901" s="20" t="str">
        <f>IFERROR(__xludf.DUMMYFUNCTION("""COMPUTED_VALUE"""),"Uncle Sams Cider (04/04/2023)")</f>
        <v>Uncle Sams Cider (04/04/2023)</v>
      </c>
      <c r="H4901" s="19"/>
    </row>
    <row r="4902">
      <c r="A4902" s="9"/>
      <c r="B4902" s="15"/>
      <c r="C4902" s="9">
        <f>IFERROR(__xludf.DUMMYFUNCTION("""COMPUTED_VALUE"""),45093.2263575115)</f>
        <v>45093.22636</v>
      </c>
      <c r="D4902" s="15">
        <f>IFERROR(__xludf.DUMMYFUNCTION("""COMPUTED_VALUE"""),1.002)</f>
        <v>1.002</v>
      </c>
      <c r="E4902" s="16">
        <f>IFERROR(__xludf.DUMMYFUNCTION("""COMPUTED_VALUE"""),68.0)</f>
        <v>68</v>
      </c>
      <c r="F4902" s="19" t="str">
        <f>IFERROR(__xludf.DUMMYFUNCTION("""COMPUTED_VALUE"""),"BLUE")</f>
        <v>BLUE</v>
      </c>
      <c r="G4902" s="20" t="str">
        <f>IFERROR(__xludf.DUMMYFUNCTION("""COMPUTED_VALUE"""),"Uncle Sams Cider (04/04/2023)")</f>
        <v>Uncle Sams Cider (04/04/2023)</v>
      </c>
      <c r="H4902" s="19"/>
    </row>
    <row r="4903">
      <c r="A4903" s="9"/>
      <c r="B4903" s="15"/>
      <c r="C4903" s="9">
        <f>IFERROR(__xludf.DUMMYFUNCTION("""COMPUTED_VALUE"""),45093.215935162)</f>
        <v>45093.21594</v>
      </c>
      <c r="D4903" s="15">
        <f>IFERROR(__xludf.DUMMYFUNCTION("""COMPUTED_VALUE"""),1.003)</f>
        <v>1.003</v>
      </c>
      <c r="E4903" s="16">
        <f>IFERROR(__xludf.DUMMYFUNCTION("""COMPUTED_VALUE"""),68.0)</f>
        <v>68</v>
      </c>
      <c r="F4903" s="19" t="str">
        <f>IFERROR(__xludf.DUMMYFUNCTION("""COMPUTED_VALUE"""),"BLUE")</f>
        <v>BLUE</v>
      </c>
      <c r="G4903" s="20" t="str">
        <f>IFERROR(__xludf.DUMMYFUNCTION("""COMPUTED_VALUE"""),"Uncle Sams Cider (04/04/2023)")</f>
        <v>Uncle Sams Cider (04/04/2023)</v>
      </c>
      <c r="H4903" s="19"/>
    </row>
    <row r="4904">
      <c r="A4904" s="9"/>
      <c r="B4904" s="15"/>
      <c r="C4904" s="9">
        <f>IFERROR(__xludf.DUMMYFUNCTION("""COMPUTED_VALUE"""),45093.2055023379)</f>
        <v>45093.2055</v>
      </c>
      <c r="D4904" s="15">
        <f>IFERROR(__xludf.DUMMYFUNCTION("""COMPUTED_VALUE"""),1.002)</f>
        <v>1.002</v>
      </c>
      <c r="E4904" s="16">
        <f>IFERROR(__xludf.DUMMYFUNCTION("""COMPUTED_VALUE"""),68.0)</f>
        <v>68</v>
      </c>
      <c r="F4904" s="19" t="str">
        <f>IFERROR(__xludf.DUMMYFUNCTION("""COMPUTED_VALUE"""),"BLUE")</f>
        <v>BLUE</v>
      </c>
      <c r="G4904" s="20" t="str">
        <f>IFERROR(__xludf.DUMMYFUNCTION("""COMPUTED_VALUE"""),"Uncle Sams Cider (04/04/2023)")</f>
        <v>Uncle Sams Cider (04/04/2023)</v>
      </c>
      <c r="H4904" s="19"/>
    </row>
    <row r="4905">
      <c r="A4905" s="9"/>
      <c r="B4905" s="15"/>
      <c r="C4905" s="9">
        <f>IFERROR(__xludf.DUMMYFUNCTION("""COMPUTED_VALUE"""),45093.1950810301)</f>
        <v>45093.19508</v>
      </c>
      <c r="D4905" s="15">
        <f>IFERROR(__xludf.DUMMYFUNCTION("""COMPUTED_VALUE"""),1.003)</f>
        <v>1.003</v>
      </c>
      <c r="E4905" s="16">
        <f>IFERROR(__xludf.DUMMYFUNCTION("""COMPUTED_VALUE"""),68.0)</f>
        <v>68</v>
      </c>
      <c r="F4905" s="19" t="str">
        <f>IFERROR(__xludf.DUMMYFUNCTION("""COMPUTED_VALUE"""),"BLUE")</f>
        <v>BLUE</v>
      </c>
      <c r="G4905" s="20" t="str">
        <f>IFERROR(__xludf.DUMMYFUNCTION("""COMPUTED_VALUE"""),"Uncle Sams Cider (04/04/2023)")</f>
        <v>Uncle Sams Cider (04/04/2023)</v>
      </c>
      <c r="H4905" s="19"/>
    </row>
    <row r="4906">
      <c r="A4906" s="9"/>
      <c r="B4906" s="15"/>
      <c r="C4906" s="9">
        <f>IFERROR(__xludf.DUMMYFUNCTION("""COMPUTED_VALUE"""),45093.1846605324)</f>
        <v>45093.18466</v>
      </c>
      <c r="D4906" s="15">
        <f>IFERROR(__xludf.DUMMYFUNCTION("""COMPUTED_VALUE"""),1.003)</f>
        <v>1.003</v>
      </c>
      <c r="E4906" s="16">
        <f>IFERROR(__xludf.DUMMYFUNCTION("""COMPUTED_VALUE"""),68.0)</f>
        <v>68</v>
      </c>
      <c r="F4906" s="19" t="str">
        <f>IFERROR(__xludf.DUMMYFUNCTION("""COMPUTED_VALUE"""),"BLUE")</f>
        <v>BLUE</v>
      </c>
      <c r="G4906" s="20" t="str">
        <f>IFERROR(__xludf.DUMMYFUNCTION("""COMPUTED_VALUE"""),"Uncle Sams Cider (04/04/2023)")</f>
        <v>Uncle Sams Cider (04/04/2023)</v>
      </c>
      <c r="H4906" s="19"/>
    </row>
    <row r="4907">
      <c r="A4907" s="9"/>
      <c r="B4907" s="15"/>
      <c r="C4907" s="9">
        <f>IFERROR(__xludf.DUMMYFUNCTION("""COMPUTED_VALUE"""),45093.1742377777)</f>
        <v>45093.17424</v>
      </c>
      <c r="D4907" s="15">
        <f>IFERROR(__xludf.DUMMYFUNCTION("""COMPUTED_VALUE"""),1.002)</f>
        <v>1.002</v>
      </c>
      <c r="E4907" s="16">
        <f>IFERROR(__xludf.DUMMYFUNCTION("""COMPUTED_VALUE"""),68.0)</f>
        <v>68</v>
      </c>
      <c r="F4907" s="19" t="str">
        <f>IFERROR(__xludf.DUMMYFUNCTION("""COMPUTED_VALUE"""),"BLUE")</f>
        <v>BLUE</v>
      </c>
      <c r="G4907" s="20" t="str">
        <f>IFERROR(__xludf.DUMMYFUNCTION("""COMPUTED_VALUE"""),"Uncle Sams Cider (04/04/2023)")</f>
        <v>Uncle Sams Cider (04/04/2023)</v>
      </c>
      <c r="H4907" s="19"/>
    </row>
    <row r="4908">
      <c r="A4908" s="9"/>
      <c r="B4908" s="15"/>
      <c r="C4908" s="9">
        <f>IFERROR(__xludf.DUMMYFUNCTION("""COMPUTED_VALUE"""),45093.1638147685)</f>
        <v>45093.16381</v>
      </c>
      <c r="D4908" s="15">
        <f>IFERROR(__xludf.DUMMYFUNCTION("""COMPUTED_VALUE"""),1.003)</f>
        <v>1.003</v>
      </c>
      <c r="E4908" s="16">
        <f>IFERROR(__xludf.DUMMYFUNCTION("""COMPUTED_VALUE"""),68.0)</f>
        <v>68</v>
      </c>
      <c r="F4908" s="19" t="str">
        <f>IFERROR(__xludf.DUMMYFUNCTION("""COMPUTED_VALUE"""),"BLUE")</f>
        <v>BLUE</v>
      </c>
      <c r="G4908" s="20" t="str">
        <f>IFERROR(__xludf.DUMMYFUNCTION("""COMPUTED_VALUE"""),"Uncle Sams Cider (04/04/2023)")</f>
        <v>Uncle Sams Cider (04/04/2023)</v>
      </c>
      <c r="H4908" s="19"/>
    </row>
    <row r="4909">
      <c r="A4909" s="9"/>
      <c r="B4909" s="15"/>
      <c r="C4909" s="9">
        <f>IFERROR(__xludf.DUMMYFUNCTION("""COMPUTED_VALUE"""),45093.1533939236)</f>
        <v>45093.15339</v>
      </c>
      <c r="D4909" s="15">
        <f>IFERROR(__xludf.DUMMYFUNCTION("""COMPUTED_VALUE"""),1.002)</f>
        <v>1.002</v>
      </c>
      <c r="E4909" s="16">
        <f>IFERROR(__xludf.DUMMYFUNCTION("""COMPUTED_VALUE"""),68.0)</f>
        <v>68</v>
      </c>
      <c r="F4909" s="19" t="str">
        <f>IFERROR(__xludf.DUMMYFUNCTION("""COMPUTED_VALUE"""),"BLUE")</f>
        <v>BLUE</v>
      </c>
      <c r="G4909" s="20" t="str">
        <f>IFERROR(__xludf.DUMMYFUNCTION("""COMPUTED_VALUE"""),"Uncle Sams Cider (04/04/2023)")</f>
        <v>Uncle Sams Cider (04/04/2023)</v>
      </c>
      <c r="H4909" s="19"/>
    </row>
    <row r="4910">
      <c r="A4910" s="9"/>
      <c r="B4910" s="15"/>
      <c r="C4910" s="9">
        <f>IFERROR(__xludf.DUMMYFUNCTION("""COMPUTED_VALUE"""),45093.1429611342)</f>
        <v>45093.14296</v>
      </c>
      <c r="D4910" s="15">
        <f>IFERROR(__xludf.DUMMYFUNCTION("""COMPUTED_VALUE"""),1.002)</f>
        <v>1.002</v>
      </c>
      <c r="E4910" s="16">
        <f>IFERROR(__xludf.DUMMYFUNCTION("""COMPUTED_VALUE"""),68.0)</f>
        <v>68</v>
      </c>
      <c r="F4910" s="19" t="str">
        <f>IFERROR(__xludf.DUMMYFUNCTION("""COMPUTED_VALUE"""),"BLUE")</f>
        <v>BLUE</v>
      </c>
      <c r="G4910" s="20" t="str">
        <f>IFERROR(__xludf.DUMMYFUNCTION("""COMPUTED_VALUE"""),"Uncle Sams Cider (04/04/2023)")</f>
        <v>Uncle Sams Cider (04/04/2023)</v>
      </c>
      <c r="H4910" s="19"/>
    </row>
    <row r="4911">
      <c r="A4911" s="9"/>
      <c r="B4911" s="15"/>
      <c r="C4911" s="9">
        <f>IFERROR(__xludf.DUMMYFUNCTION("""COMPUTED_VALUE"""),45093.1325281828)</f>
        <v>45093.13253</v>
      </c>
      <c r="D4911" s="15">
        <f>IFERROR(__xludf.DUMMYFUNCTION("""COMPUTED_VALUE"""),1.003)</f>
        <v>1.003</v>
      </c>
      <c r="E4911" s="16">
        <f>IFERROR(__xludf.DUMMYFUNCTION("""COMPUTED_VALUE"""),68.0)</f>
        <v>68</v>
      </c>
      <c r="F4911" s="19" t="str">
        <f>IFERROR(__xludf.DUMMYFUNCTION("""COMPUTED_VALUE"""),"BLUE")</f>
        <v>BLUE</v>
      </c>
      <c r="G4911" s="20" t="str">
        <f>IFERROR(__xludf.DUMMYFUNCTION("""COMPUTED_VALUE"""),"Uncle Sams Cider (04/04/2023)")</f>
        <v>Uncle Sams Cider (04/04/2023)</v>
      </c>
      <c r="H4911" s="19"/>
    </row>
    <row r="4912">
      <c r="A4912" s="9"/>
      <c r="B4912" s="15"/>
      <c r="C4912" s="9">
        <f>IFERROR(__xludf.DUMMYFUNCTION("""COMPUTED_VALUE"""),45093.122096331)</f>
        <v>45093.1221</v>
      </c>
      <c r="D4912" s="15">
        <f>IFERROR(__xludf.DUMMYFUNCTION("""COMPUTED_VALUE"""),1.002)</f>
        <v>1.002</v>
      </c>
      <c r="E4912" s="16">
        <f>IFERROR(__xludf.DUMMYFUNCTION("""COMPUTED_VALUE"""),68.0)</f>
        <v>68</v>
      </c>
      <c r="F4912" s="19" t="str">
        <f>IFERROR(__xludf.DUMMYFUNCTION("""COMPUTED_VALUE"""),"BLUE")</f>
        <v>BLUE</v>
      </c>
      <c r="G4912" s="20" t="str">
        <f>IFERROR(__xludf.DUMMYFUNCTION("""COMPUTED_VALUE"""),"Uncle Sams Cider (04/04/2023)")</f>
        <v>Uncle Sams Cider (04/04/2023)</v>
      </c>
      <c r="H4912" s="19"/>
    </row>
    <row r="4913">
      <c r="A4913" s="9"/>
      <c r="B4913" s="15"/>
      <c r="C4913" s="9">
        <f>IFERROR(__xludf.DUMMYFUNCTION("""COMPUTED_VALUE"""),45093.111675706)</f>
        <v>45093.11168</v>
      </c>
      <c r="D4913" s="15">
        <f>IFERROR(__xludf.DUMMYFUNCTION("""COMPUTED_VALUE"""),1.002)</f>
        <v>1.002</v>
      </c>
      <c r="E4913" s="16">
        <f>IFERROR(__xludf.DUMMYFUNCTION("""COMPUTED_VALUE"""),68.0)</f>
        <v>68</v>
      </c>
      <c r="F4913" s="19" t="str">
        <f>IFERROR(__xludf.DUMMYFUNCTION("""COMPUTED_VALUE"""),"BLUE")</f>
        <v>BLUE</v>
      </c>
      <c r="G4913" s="20" t="str">
        <f>IFERROR(__xludf.DUMMYFUNCTION("""COMPUTED_VALUE"""),"Uncle Sams Cider (04/04/2023)")</f>
        <v>Uncle Sams Cider (04/04/2023)</v>
      </c>
      <c r="H4913" s="19"/>
    </row>
    <row r="4914">
      <c r="A4914" s="9"/>
      <c r="B4914" s="15"/>
      <c r="C4914" s="9">
        <f>IFERROR(__xludf.DUMMYFUNCTION("""COMPUTED_VALUE"""),45093.1012537268)</f>
        <v>45093.10125</v>
      </c>
      <c r="D4914" s="15">
        <f>IFERROR(__xludf.DUMMYFUNCTION("""COMPUTED_VALUE"""),1.002)</f>
        <v>1.002</v>
      </c>
      <c r="E4914" s="16">
        <f>IFERROR(__xludf.DUMMYFUNCTION("""COMPUTED_VALUE"""),68.0)</f>
        <v>68</v>
      </c>
      <c r="F4914" s="19" t="str">
        <f>IFERROR(__xludf.DUMMYFUNCTION("""COMPUTED_VALUE"""),"BLUE")</f>
        <v>BLUE</v>
      </c>
      <c r="G4914" s="20" t="str">
        <f>IFERROR(__xludf.DUMMYFUNCTION("""COMPUTED_VALUE"""),"Uncle Sams Cider (04/04/2023)")</f>
        <v>Uncle Sams Cider (04/04/2023)</v>
      </c>
      <c r="H4914" s="19"/>
    </row>
    <row r="4915">
      <c r="A4915" s="9"/>
      <c r="B4915" s="15"/>
      <c r="C4915" s="9">
        <f>IFERROR(__xludf.DUMMYFUNCTION("""COMPUTED_VALUE"""),45093.0908315277)</f>
        <v>45093.09083</v>
      </c>
      <c r="D4915" s="15">
        <f>IFERROR(__xludf.DUMMYFUNCTION("""COMPUTED_VALUE"""),1.002)</f>
        <v>1.002</v>
      </c>
      <c r="E4915" s="16">
        <f>IFERROR(__xludf.DUMMYFUNCTION("""COMPUTED_VALUE"""),68.0)</f>
        <v>68</v>
      </c>
      <c r="F4915" s="19" t="str">
        <f>IFERROR(__xludf.DUMMYFUNCTION("""COMPUTED_VALUE"""),"BLUE")</f>
        <v>BLUE</v>
      </c>
      <c r="G4915" s="20" t="str">
        <f>IFERROR(__xludf.DUMMYFUNCTION("""COMPUTED_VALUE"""),"Uncle Sams Cider (04/04/2023)")</f>
        <v>Uncle Sams Cider (04/04/2023)</v>
      </c>
      <c r="H4915" s="19"/>
    </row>
    <row r="4916">
      <c r="A4916" s="9"/>
      <c r="B4916" s="15"/>
      <c r="C4916" s="9">
        <f>IFERROR(__xludf.DUMMYFUNCTION("""COMPUTED_VALUE"""),45093.0804109722)</f>
        <v>45093.08041</v>
      </c>
      <c r="D4916" s="15">
        <f>IFERROR(__xludf.DUMMYFUNCTION("""COMPUTED_VALUE"""),1.003)</f>
        <v>1.003</v>
      </c>
      <c r="E4916" s="16">
        <f>IFERROR(__xludf.DUMMYFUNCTION("""COMPUTED_VALUE"""),68.0)</f>
        <v>68</v>
      </c>
      <c r="F4916" s="19" t="str">
        <f>IFERROR(__xludf.DUMMYFUNCTION("""COMPUTED_VALUE"""),"BLUE")</f>
        <v>BLUE</v>
      </c>
      <c r="G4916" s="20" t="str">
        <f>IFERROR(__xludf.DUMMYFUNCTION("""COMPUTED_VALUE"""),"Uncle Sams Cider (04/04/2023)")</f>
        <v>Uncle Sams Cider (04/04/2023)</v>
      </c>
      <c r="H4916" s="19"/>
    </row>
    <row r="4917">
      <c r="A4917" s="9"/>
      <c r="B4917" s="15"/>
      <c r="C4917" s="9">
        <f>IFERROR(__xludf.DUMMYFUNCTION("""COMPUTED_VALUE"""),45093.0699893634)</f>
        <v>45093.06999</v>
      </c>
      <c r="D4917" s="15">
        <f>IFERROR(__xludf.DUMMYFUNCTION("""COMPUTED_VALUE"""),1.002)</f>
        <v>1.002</v>
      </c>
      <c r="E4917" s="16">
        <f>IFERROR(__xludf.DUMMYFUNCTION("""COMPUTED_VALUE"""),68.0)</f>
        <v>68</v>
      </c>
      <c r="F4917" s="19" t="str">
        <f>IFERROR(__xludf.DUMMYFUNCTION("""COMPUTED_VALUE"""),"BLUE")</f>
        <v>BLUE</v>
      </c>
      <c r="G4917" s="20" t="str">
        <f>IFERROR(__xludf.DUMMYFUNCTION("""COMPUTED_VALUE"""),"Uncle Sams Cider (04/04/2023)")</f>
        <v>Uncle Sams Cider (04/04/2023)</v>
      </c>
      <c r="H4917" s="19"/>
    </row>
    <row r="4918">
      <c r="A4918" s="9"/>
      <c r="B4918" s="15"/>
      <c r="C4918" s="9">
        <f>IFERROR(__xludf.DUMMYFUNCTION("""COMPUTED_VALUE"""),45093.059567118)</f>
        <v>45093.05957</v>
      </c>
      <c r="D4918" s="15">
        <f>IFERROR(__xludf.DUMMYFUNCTION("""COMPUTED_VALUE"""),1.002)</f>
        <v>1.002</v>
      </c>
      <c r="E4918" s="16">
        <f>IFERROR(__xludf.DUMMYFUNCTION("""COMPUTED_VALUE"""),68.0)</f>
        <v>68</v>
      </c>
      <c r="F4918" s="19" t="str">
        <f>IFERROR(__xludf.DUMMYFUNCTION("""COMPUTED_VALUE"""),"BLUE")</f>
        <v>BLUE</v>
      </c>
      <c r="G4918" s="20" t="str">
        <f>IFERROR(__xludf.DUMMYFUNCTION("""COMPUTED_VALUE"""),"Uncle Sams Cider (04/04/2023)")</f>
        <v>Uncle Sams Cider (04/04/2023)</v>
      </c>
      <c r="H4918" s="19"/>
    </row>
    <row r="4919">
      <c r="A4919" s="9"/>
      <c r="B4919" s="15"/>
      <c r="C4919" s="9">
        <f>IFERROR(__xludf.DUMMYFUNCTION("""COMPUTED_VALUE"""),45093.0491458217)</f>
        <v>45093.04915</v>
      </c>
      <c r="D4919" s="15">
        <f>IFERROR(__xludf.DUMMYFUNCTION("""COMPUTED_VALUE"""),1.002)</f>
        <v>1.002</v>
      </c>
      <c r="E4919" s="16">
        <f>IFERROR(__xludf.DUMMYFUNCTION("""COMPUTED_VALUE"""),68.0)</f>
        <v>68</v>
      </c>
      <c r="F4919" s="19" t="str">
        <f>IFERROR(__xludf.DUMMYFUNCTION("""COMPUTED_VALUE"""),"BLUE")</f>
        <v>BLUE</v>
      </c>
      <c r="G4919" s="20" t="str">
        <f>IFERROR(__xludf.DUMMYFUNCTION("""COMPUTED_VALUE"""),"Uncle Sams Cider (04/04/2023)")</f>
        <v>Uncle Sams Cider (04/04/2023)</v>
      </c>
      <c r="H4919" s="19"/>
    </row>
    <row r="4920">
      <c r="A4920" s="9"/>
      <c r="B4920" s="15"/>
      <c r="C4920" s="9">
        <f>IFERROR(__xludf.DUMMYFUNCTION("""COMPUTED_VALUE"""),45093.0387241551)</f>
        <v>45093.03872</v>
      </c>
      <c r="D4920" s="15">
        <f>IFERROR(__xludf.DUMMYFUNCTION("""COMPUTED_VALUE"""),1.003)</f>
        <v>1.003</v>
      </c>
      <c r="E4920" s="16">
        <f>IFERROR(__xludf.DUMMYFUNCTION("""COMPUTED_VALUE"""),68.0)</f>
        <v>68</v>
      </c>
      <c r="F4920" s="19" t="str">
        <f>IFERROR(__xludf.DUMMYFUNCTION("""COMPUTED_VALUE"""),"BLUE")</f>
        <v>BLUE</v>
      </c>
      <c r="G4920" s="20" t="str">
        <f>IFERROR(__xludf.DUMMYFUNCTION("""COMPUTED_VALUE"""),"Uncle Sams Cider (04/04/2023)")</f>
        <v>Uncle Sams Cider (04/04/2023)</v>
      </c>
      <c r="H4920" s="19"/>
    </row>
    <row r="4921">
      <c r="A4921" s="9"/>
      <c r="B4921" s="15"/>
      <c r="C4921" s="9">
        <f>IFERROR(__xludf.DUMMYFUNCTION("""COMPUTED_VALUE"""),45093.0283021759)</f>
        <v>45093.0283</v>
      </c>
      <c r="D4921" s="15">
        <f>IFERROR(__xludf.DUMMYFUNCTION("""COMPUTED_VALUE"""),1.002)</f>
        <v>1.002</v>
      </c>
      <c r="E4921" s="16">
        <f>IFERROR(__xludf.DUMMYFUNCTION("""COMPUTED_VALUE"""),68.0)</f>
        <v>68</v>
      </c>
      <c r="F4921" s="19" t="str">
        <f>IFERROR(__xludf.DUMMYFUNCTION("""COMPUTED_VALUE"""),"BLUE")</f>
        <v>BLUE</v>
      </c>
      <c r="G4921" s="20" t="str">
        <f>IFERROR(__xludf.DUMMYFUNCTION("""COMPUTED_VALUE"""),"Uncle Sams Cider (04/04/2023)")</f>
        <v>Uncle Sams Cider (04/04/2023)</v>
      </c>
      <c r="H4921" s="19"/>
    </row>
    <row r="4922">
      <c r="A4922" s="9"/>
      <c r="B4922" s="15"/>
      <c r="C4922" s="9">
        <f>IFERROR(__xludf.DUMMYFUNCTION("""COMPUTED_VALUE"""),45093.0178800462)</f>
        <v>45093.01788</v>
      </c>
      <c r="D4922" s="15">
        <f>IFERROR(__xludf.DUMMYFUNCTION("""COMPUTED_VALUE"""),1.003)</f>
        <v>1.003</v>
      </c>
      <c r="E4922" s="16">
        <f>IFERROR(__xludf.DUMMYFUNCTION("""COMPUTED_VALUE"""),68.0)</f>
        <v>68</v>
      </c>
      <c r="F4922" s="19" t="str">
        <f>IFERROR(__xludf.DUMMYFUNCTION("""COMPUTED_VALUE"""),"BLUE")</f>
        <v>BLUE</v>
      </c>
      <c r="G4922" s="20" t="str">
        <f>IFERROR(__xludf.DUMMYFUNCTION("""COMPUTED_VALUE"""),"Uncle Sams Cider (04/04/2023)")</f>
        <v>Uncle Sams Cider (04/04/2023)</v>
      </c>
      <c r="H4922" s="19"/>
    </row>
    <row r="4923">
      <c r="A4923" s="9"/>
      <c r="B4923" s="15"/>
      <c r="C4923" s="9">
        <f>IFERROR(__xludf.DUMMYFUNCTION("""COMPUTED_VALUE"""),45093.0074578935)</f>
        <v>45093.00746</v>
      </c>
      <c r="D4923" s="15">
        <f>IFERROR(__xludf.DUMMYFUNCTION("""COMPUTED_VALUE"""),1.003)</f>
        <v>1.003</v>
      </c>
      <c r="E4923" s="16">
        <f>IFERROR(__xludf.DUMMYFUNCTION("""COMPUTED_VALUE"""),68.0)</f>
        <v>68</v>
      </c>
      <c r="F4923" s="19" t="str">
        <f>IFERROR(__xludf.DUMMYFUNCTION("""COMPUTED_VALUE"""),"BLUE")</f>
        <v>BLUE</v>
      </c>
      <c r="G4923" s="20" t="str">
        <f>IFERROR(__xludf.DUMMYFUNCTION("""COMPUTED_VALUE"""),"Uncle Sams Cider (04/04/2023)")</f>
        <v>Uncle Sams Cider (04/04/2023)</v>
      </c>
      <c r="H4923" s="19"/>
    </row>
    <row r="4924">
      <c r="A4924" s="9"/>
      <c r="B4924" s="15"/>
      <c r="C4924" s="9">
        <f>IFERROR(__xludf.DUMMYFUNCTION("""COMPUTED_VALUE"""),45092.9970366203)</f>
        <v>45092.99704</v>
      </c>
      <c r="D4924" s="15">
        <f>IFERROR(__xludf.DUMMYFUNCTION("""COMPUTED_VALUE"""),1.002)</f>
        <v>1.002</v>
      </c>
      <c r="E4924" s="16">
        <f>IFERROR(__xludf.DUMMYFUNCTION("""COMPUTED_VALUE"""),68.0)</f>
        <v>68</v>
      </c>
      <c r="F4924" s="19" t="str">
        <f>IFERROR(__xludf.DUMMYFUNCTION("""COMPUTED_VALUE"""),"BLUE")</f>
        <v>BLUE</v>
      </c>
      <c r="G4924" s="20" t="str">
        <f>IFERROR(__xludf.DUMMYFUNCTION("""COMPUTED_VALUE"""),"Uncle Sams Cider (04/04/2023)")</f>
        <v>Uncle Sams Cider (04/04/2023)</v>
      </c>
      <c r="H4924" s="19"/>
    </row>
    <row r="4925">
      <c r="A4925" s="9"/>
      <c r="B4925" s="15"/>
      <c r="C4925" s="9">
        <f>IFERROR(__xludf.DUMMYFUNCTION("""COMPUTED_VALUE"""),45092.9866165162)</f>
        <v>45092.98662</v>
      </c>
      <c r="D4925" s="15">
        <f>IFERROR(__xludf.DUMMYFUNCTION("""COMPUTED_VALUE"""),1.002)</f>
        <v>1.002</v>
      </c>
      <c r="E4925" s="16">
        <f>IFERROR(__xludf.DUMMYFUNCTION("""COMPUTED_VALUE"""),68.0)</f>
        <v>68</v>
      </c>
      <c r="F4925" s="19" t="str">
        <f>IFERROR(__xludf.DUMMYFUNCTION("""COMPUTED_VALUE"""),"BLUE")</f>
        <v>BLUE</v>
      </c>
      <c r="G4925" s="20" t="str">
        <f>IFERROR(__xludf.DUMMYFUNCTION("""COMPUTED_VALUE"""),"Uncle Sams Cider (04/04/2023)")</f>
        <v>Uncle Sams Cider (04/04/2023)</v>
      </c>
      <c r="H4925" s="19"/>
    </row>
    <row r="4926">
      <c r="A4926" s="9"/>
      <c r="B4926" s="15"/>
      <c r="C4926" s="9">
        <f>IFERROR(__xludf.DUMMYFUNCTION("""COMPUTED_VALUE"""),45092.9761949305)</f>
        <v>45092.97619</v>
      </c>
      <c r="D4926" s="15">
        <f>IFERROR(__xludf.DUMMYFUNCTION("""COMPUTED_VALUE"""),1.003)</f>
        <v>1.003</v>
      </c>
      <c r="E4926" s="16">
        <f>IFERROR(__xludf.DUMMYFUNCTION("""COMPUTED_VALUE"""),68.0)</f>
        <v>68</v>
      </c>
      <c r="F4926" s="19" t="str">
        <f>IFERROR(__xludf.DUMMYFUNCTION("""COMPUTED_VALUE"""),"BLUE")</f>
        <v>BLUE</v>
      </c>
      <c r="G4926" s="20" t="str">
        <f>IFERROR(__xludf.DUMMYFUNCTION("""COMPUTED_VALUE"""),"Uncle Sams Cider (04/04/2023)")</f>
        <v>Uncle Sams Cider (04/04/2023)</v>
      </c>
      <c r="H4926" s="19"/>
    </row>
    <row r="4927">
      <c r="A4927" s="9"/>
      <c r="B4927" s="15"/>
      <c r="C4927" s="9">
        <f>IFERROR(__xludf.DUMMYFUNCTION("""COMPUTED_VALUE"""),45092.96577353)</f>
        <v>45092.96577</v>
      </c>
      <c r="D4927" s="15">
        <f>IFERROR(__xludf.DUMMYFUNCTION("""COMPUTED_VALUE"""),1.002)</f>
        <v>1.002</v>
      </c>
      <c r="E4927" s="16">
        <f>IFERROR(__xludf.DUMMYFUNCTION("""COMPUTED_VALUE"""),68.0)</f>
        <v>68</v>
      </c>
      <c r="F4927" s="19" t="str">
        <f>IFERROR(__xludf.DUMMYFUNCTION("""COMPUTED_VALUE"""),"BLUE")</f>
        <v>BLUE</v>
      </c>
      <c r="G4927" s="20" t="str">
        <f>IFERROR(__xludf.DUMMYFUNCTION("""COMPUTED_VALUE"""),"Uncle Sams Cider (04/04/2023)")</f>
        <v>Uncle Sams Cider (04/04/2023)</v>
      </c>
      <c r="H4927" s="19"/>
    </row>
    <row r="4928">
      <c r="A4928" s="9"/>
      <c r="B4928" s="15"/>
      <c r="C4928" s="9">
        <f>IFERROR(__xludf.DUMMYFUNCTION("""COMPUTED_VALUE"""),45092.9553523842)</f>
        <v>45092.95535</v>
      </c>
      <c r="D4928" s="15">
        <f>IFERROR(__xludf.DUMMYFUNCTION("""COMPUTED_VALUE"""),1.002)</f>
        <v>1.002</v>
      </c>
      <c r="E4928" s="16">
        <f>IFERROR(__xludf.DUMMYFUNCTION("""COMPUTED_VALUE"""),68.0)</f>
        <v>68</v>
      </c>
      <c r="F4928" s="19" t="str">
        <f>IFERROR(__xludf.DUMMYFUNCTION("""COMPUTED_VALUE"""),"BLUE")</f>
        <v>BLUE</v>
      </c>
      <c r="G4928" s="20" t="str">
        <f>IFERROR(__xludf.DUMMYFUNCTION("""COMPUTED_VALUE"""),"Uncle Sams Cider (04/04/2023)")</f>
        <v>Uncle Sams Cider (04/04/2023)</v>
      </c>
      <c r="H4928" s="19"/>
    </row>
    <row r="4929">
      <c r="A4929" s="9"/>
      <c r="B4929" s="15"/>
      <c r="C4929" s="9">
        <f>IFERROR(__xludf.DUMMYFUNCTION("""COMPUTED_VALUE"""),45092.9344860532)</f>
        <v>45092.93449</v>
      </c>
      <c r="D4929" s="15">
        <f>IFERROR(__xludf.DUMMYFUNCTION("""COMPUTED_VALUE"""),1.003)</f>
        <v>1.003</v>
      </c>
      <c r="E4929" s="16">
        <f>IFERROR(__xludf.DUMMYFUNCTION("""COMPUTED_VALUE"""),68.0)</f>
        <v>68</v>
      </c>
      <c r="F4929" s="19" t="str">
        <f>IFERROR(__xludf.DUMMYFUNCTION("""COMPUTED_VALUE"""),"BLUE")</f>
        <v>BLUE</v>
      </c>
      <c r="G4929" s="20" t="str">
        <f>IFERROR(__xludf.DUMMYFUNCTION("""COMPUTED_VALUE"""),"Uncle Sams Cider (04/04/2023)")</f>
        <v>Uncle Sams Cider (04/04/2023)</v>
      </c>
      <c r="H4929" s="19"/>
    </row>
    <row r="4930">
      <c r="A4930" s="9"/>
      <c r="B4930" s="15"/>
      <c r="C4930" s="9">
        <f>IFERROR(__xludf.DUMMYFUNCTION("""COMPUTED_VALUE"""),45092.9240632176)</f>
        <v>45092.92406</v>
      </c>
      <c r="D4930" s="15">
        <f>IFERROR(__xludf.DUMMYFUNCTION("""COMPUTED_VALUE"""),1.002)</f>
        <v>1.002</v>
      </c>
      <c r="E4930" s="16">
        <f>IFERROR(__xludf.DUMMYFUNCTION("""COMPUTED_VALUE"""),68.0)</f>
        <v>68</v>
      </c>
      <c r="F4930" s="19" t="str">
        <f>IFERROR(__xludf.DUMMYFUNCTION("""COMPUTED_VALUE"""),"BLUE")</f>
        <v>BLUE</v>
      </c>
      <c r="G4930" s="20" t="str">
        <f>IFERROR(__xludf.DUMMYFUNCTION("""COMPUTED_VALUE"""),"Uncle Sams Cider (04/04/2023)")</f>
        <v>Uncle Sams Cider (04/04/2023)</v>
      </c>
      <c r="H4930" s="19"/>
    </row>
    <row r="4931">
      <c r="A4931" s="9"/>
      <c r="B4931" s="15"/>
      <c r="C4931" s="9">
        <f>IFERROR(__xludf.DUMMYFUNCTION("""COMPUTED_VALUE"""),45092.913641956)</f>
        <v>45092.91364</v>
      </c>
      <c r="D4931" s="15">
        <f>IFERROR(__xludf.DUMMYFUNCTION("""COMPUTED_VALUE"""),1.003)</f>
        <v>1.003</v>
      </c>
      <c r="E4931" s="16">
        <f>IFERROR(__xludf.DUMMYFUNCTION("""COMPUTED_VALUE"""),68.0)</f>
        <v>68</v>
      </c>
      <c r="F4931" s="19" t="str">
        <f>IFERROR(__xludf.DUMMYFUNCTION("""COMPUTED_VALUE"""),"BLUE")</f>
        <v>BLUE</v>
      </c>
      <c r="G4931" s="20" t="str">
        <f>IFERROR(__xludf.DUMMYFUNCTION("""COMPUTED_VALUE"""),"Uncle Sams Cider (04/04/2023)")</f>
        <v>Uncle Sams Cider (04/04/2023)</v>
      </c>
      <c r="H4931" s="19"/>
    </row>
    <row r="4932">
      <c r="A4932" s="9"/>
      <c r="B4932" s="15"/>
      <c r="C4932" s="9">
        <f>IFERROR(__xludf.DUMMYFUNCTION("""COMPUTED_VALUE"""),45092.9032211342)</f>
        <v>45092.90322</v>
      </c>
      <c r="D4932" s="15">
        <f>IFERROR(__xludf.DUMMYFUNCTION("""COMPUTED_VALUE"""),1.003)</f>
        <v>1.003</v>
      </c>
      <c r="E4932" s="16">
        <f>IFERROR(__xludf.DUMMYFUNCTION("""COMPUTED_VALUE"""),68.0)</f>
        <v>68</v>
      </c>
      <c r="F4932" s="19" t="str">
        <f>IFERROR(__xludf.DUMMYFUNCTION("""COMPUTED_VALUE"""),"BLUE")</f>
        <v>BLUE</v>
      </c>
      <c r="G4932" s="20" t="str">
        <f>IFERROR(__xludf.DUMMYFUNCTION("""COMPUTED_VALUE"""),"Uncle Sams Cider (04/04/2023)")</f>
        <v>Uncle Sams Cider (04/04/2023)</v>
      </c>
      <c r="H4932" s="19"/>
    </row>
    <row r="4933">
      <c r="A4933" s="9"/>
      <c r="B4933" s="15"/>
      <c r="C4933" s="9">
        <f>IFERROR(__xludf.DUMMYFUNCTION("""COMPUTED_VALUE"""),45092.8928008912)</f>
        <v>45092.8928</v>
      </c>
      <c r="D4933" s="15">
        <f>IFERROR(__xludf.DUMMYFUNCTION("""COMPUTED_VALUE"""),1.002)</f>
        <v>1.002</v>
      </c>
      <c r="E4933" s="16">
        <f>IFERROR(__xludf.DUMMYFUNCTION("""COMPUTED_VALUE"""),68.0)</f>
        <v>68</v>
      </c>
      <c r="F4933" s="19" t="str">
        <f>IFERROR(__xludf.DUMMYFUNCTION("""COMPUTED_VALUE"""),"BLUE")</f>
        <v>BLUE</v>
      </c>
      <c r="G4933" s="20" t="str">
        <f>IFERROR(__xludf.DUMMYFUNCTION("""COMPUTED_VALUE"""),"Uncle Sams Cider (04/04/2023)")</f>
        <v>Uncle Sams Cider (04/04/2023)</v>
      </c>
      <c r="H4933" s="19"/>
    </row>
    <row r="4934">
      <c r="A4934" s="9"/>
      <c r="B4934" s="15"/>
      <c r="C4934" s="9">
        <f>IFERROR(__xludf.DUMMYFUNCTION("""COMPUTED_VALUE"""),45092.8823786689)</f>
        <v>45092.88238</v>
      </c>
      <c r="D4934" s="15">
        <f>IFERROR(__xludf.DUMMYFUNCTION("""COMPUTED_VALUE"""),1.003)</f>
        <v>1.003</v>
      </c>
      <c r="E4934" s="16">
        <f>IFERROR(__xludf.DUMMYFUNCTION("""COMPUTED_VALUE"""),68.0)</f>
        <v>68</v>
      </c>
      <c r="F4934" s="19" t="str">
        <f>IFERROR(__xludf.DUMMYFUNCTION("""COMPUTED_VALUE"""),"BLUE")</f>
        <v>BLUE</v>
      </c>
      <c r="G4934" s="20" t="str">
        <f>IFERROR(__xludf.DUMMYFUNCTION("""COMPUTED_VALUE"""),"Uncle Sams Cider (04/04/2023)")</f>
        <v>Uncle Sams Cider (04/04/2023)</v>
      </c>
      <c r="H4934" s="19"/>
    </row>
    <row r="4935">
      <c r="A4935" s="9"/>
      <c r="B4935" s="15"/>
      <c r="C4935" s="9">
        <f>IFERROR(__xludf.DUMMYFUNCTION("""COMPUTED_VALUE"""),45092.8719589236)</f>
        <v>45092.87196</v>
      </c>
      <c r="D4935" s="15">
        <f>IFERROR(__xludf.DUMMYFUNCTION("""COMPUTED_VALUE"""),1.003)</f>
        <v>1.003</v>
      </c>
      <c r="E4935" s="16">
        <f>IFERROR(__xludf.DUMMYFUNCTION("""COMPUTED_VALUE"""),68.0)</f>
        <v>68</v>
      </c>
      <c r="F4935" s="19" t="str">
        <f>IFERROR(__xludf.DUMMYFUNCTION("""COMPUTED_VALUE"""),"BLUE")</f>
        <v>BLUE</v>
      </c>
      <c r="G4935" s="20" t="str">
        <f>IFERROR(__xludf.DUMMYFUNCTION("""COMPUTED_VALUE"""),"Uncle Sams Cider (04/04/2023)")</f>
        <v>Uncle Sams Cider (04/04/2023)</v>
      </c>
      <c r="H4935" s="19"/>
    </row>
    <row r="4936">
      <c r="A4936" s="9"/>
      <c r="B4936" s="15"/>
      <c r="C4936" s="9">
        <f>IFERROR(__xludf.DUMMYFUNCTION("""COMPUTED_VALUE"""),45092.8615376967)</f>
        <v>45092.86154</v>
      </c>
      <c r="D4936" s="15">
        <f>IFERROR(__xludf.DUMMYFUNCTION("""COMPUTED_VALUE"""),1.002)</f>
        <v>1.002</v>
      </c>
      <c r="E4936" s="16">
        <f>IFERROR(__xludf.DUMMYFUNCTION("""COMPUTED_VALUE"""),68.0)</f>
        <v>68</v>
      </c>
      <c r="F4936" s="19" t="str">
        <f>IFERROR(__xludf.DUMMYFUNCTION("""COMPUTED_VALUE"""),"BLUE")</f>
        <v>BLUE</v>
      </c>
      <c r="G4936" s="20" t="str">
        <f>IFERROR(__xludf.DUMMYFUNCTION("""COMPUTED_VALUE"""),"Uncle Sams Cider (04/04/2023)")</f>
        <v>Uncle Sams Cider (04/04/2023)</v>
      </c>
      <c r="H4936" s="19"/>
    </row>
    <row r="4937">
      <c r="A4937" s="9"/>
      <c r="B4937" s="15"/>
      <c r="C4937" s="9">
        <f>IFERROR(__xludf.DUMMYFUNCTION("""COMPUTED_VALUE"""),45092.8511163078)</f>
        <v>45092.85112</v>
      </c>
      <c r="D4937" s="15">
        <f>IFERROR(__xludf.DUMMYFUNCTION("""COMPUTED_VALUE"""),1.003)</f>
        <v>1.003</v>
      </c>
      <c r="E4937" s="16">
        <f>IFERROR(__xludf.DUMMYFUNCTION("""COMPUTED_VALUE"""),68.0)</f>
        <v>68</v>
      </c>
      <c r="F4937" s="19" t="str">
        <f>IFERROR(__xludf.DUMMYFUNCTION("""COMPUTED_VALUE"""),"BLUE")</f>
        <v>BLUE</v>
      </c>
      <c r="G4937" s="20" t="str">
        <f>IFERROR(__xludf.DUMMYFUNCTION("""COMPUTED_VALUE"""),"Uncle Sams Cider (04/04/2023)")</f>
        <v>Uncle Sams Cider (04/04/2023)</v>
      </c>
      <c r="H4937" s="19"/>
    </row>
    <row r="4938">
      <c r="A4938" s="9"/>
      <c r="B4938" s="15"/>
      <c r="C4938" s="9">
        <f>IFERROR(__xludf.DUMMYFUNCTION("""COMPUTED_VALUE"""),45092.8406952314)</f>
        <v>45092.8407</v>
      </c>
      <c r="D4938" s="15">
        <f>IFERROR(__xludf.DUMMYFUNCTION("""COMPUTED_VALUE"""),1.002)</f>
        <v>1.002</v>
      </c>
      <c r="E4938" s="16">
        <f>IFERROR(__xludf.DUMMYFUNCTION("""COMPUTED_VALUE"""),68.0)</f>
        <v>68</v>
      </c>
      <c r="F4938" s="19" t="str">
        <f>IFERROR(__xludf.DUMMYFUNCTION("""COMPUTED_VALUE"""),"BLUE")</f>
        <v>BLUE</v>
      </c>
      <c r="G4938" s="20" t="str">
        <f>IFERROR(__xludf.DUMMYFUNCTION("""COMPUTED_VALUE"""),"Uncle Sams Cider (04/04/2023)")</f>
        <v>Uncle Sams Cider (04/04/2023)</v>
      </c>
      <c r="H4938" s="19"/>
    </row>
    <row r="4939">
      <c r="A4939" s="9"/>
      <c r="B4939" s="15"/>
      <c r="C4939" s="9">
        <f>IFERROR(__xludf.DUMMYFUNCTION("""COMPUTED_VALUE"""),45092.8302629861)</f>
        <v>45092.83026</v>
      </c>
      <c r="D4939" s="15">
        <f>IFERROR(__xludf.DUMMYFUNCTION("""COMPUTED_VALUE"""),1.003)</f>
        <v>1.003</v>
      </c>
      <c r="E4939" s="16">
        <f>IFERROR(__xludf.DUMMYFUNCTION("""COMPUTED_VALUE"""),68.0)</f>
        <v>68</v>
      </c>
      <c r="F4939" s="19" t="str">
        <f>IFERROR(__xludf.DUMMYFUNCTION("""COMPUTED_VALUE"""),"BLUE")</f>
        <v>BLUE</v>
      </c>
      <c r="G4939" s="20" t="str">
        <f>IFERROR(__xludf.DUMMYFUNCTION("""COMPUTED_VALUE"""),"Uncle Sams Cider (04/04/2023)")</f>
        <v>Uncle Sams Cider (04/04/2023)</v>
      </c>
      <c r="H4939" s="19"/>
    </row>
    <row r="4940">
      <c r="A4940" s="9"/>
      <c r="B4940" s="15"/>
      <c r="C4940" s="9">
        <f>IFERROR(__xludf.DUMMYFUNCTION("""COMPUTED_VALUE"""),45092.8198420254)</f>
        <v>45092.81984</v>
      </c>
      <c r="D4940" s="15">
        <f>IFERROR(__xludf.DUMMYFUNCTION("""COMPUTED_VALUE"""),1.002)</f>
        <v>1.002</v>
      </c>
      <c r="E4940" s="16">
        <f>IFERROR(__xludf.DUMMYFUNCTION("""COMPUTED_VALUE"""),68.0)</f>
        <v>68</v>
      </c>
      <c r="F4940" s="19" t="str">
        <f>IFERROR(__xludf.DUMMYFUNCTION("""COMPUTED_VALUE"""),"BLUE")</f>
        <v>BLUE</v>
      </c>
      <c r="G4940" s="20" t="str">
        <f>IFERROR(__xludf.DUMMYFUNCTION("""COMPUTED_VALUE"""),"Uncle Sams Cider (04/04/2023)")</f>
        <v>Uncle Sams Cider (04/04/2023)</v>
      </c>
      <c r="H4940" s="19"/>
    </row>
    <row r="4941">
      <c r="A4941" s="9"/>
      <c r="B4941" s="15"/>
      <c r="C4941" s="9">
        <f>IFERROR(__xludf.DUMMYFUNCTION("""COMPUTED_VALUE"""),45092.8094206481)</f>
        <v>45092.80942</v>
      </c>
      <c r="D4941" s="15">
        <f>IFERROR(__xludf.DUMMYFUNCTION("""COMPUTED_VALUE"""),1.003)</f>
        <v>1.003</v>
      </c>
      <c r="E4941" s="16">
        <f>IFERROR(__xludf.DUMMYFUNCTION("""COMPUTED_VALUE"""),68.0)</f>
        <v>68</v>
      </c>
      <c r="F4941" s="19" t="str">
        <f>IFERROR(__xludf.DUMMYFUNCTION("""COMPUTED_VALUE"""),"BLUE")</f>
        <v>BLUE</v>
      </c>
      <c r="G4941" s="20" t="str">
        <f>IFERROR(__xludf.DUMMYFUNCTION("""COMPUTED_VALUE"""),"Uncle Sams Cider (04/04/2023)")</f>
        <v>Uncle Sams Cider (04/04/2023)</v>
      </c>
      <c r="H4941" s="19"/>
    </row>
    <row r="4942">
      <c r="A4942" s="9"/>
      <c r="B4942" s="15"/>
      <c r="C4942" s="9">
        <f>IFERROR(__xludf.DUMMYFUNCTION("""COMPUTED_VALUE"""),45092.7989893518)</f>
        <v>45092.79899</v>
      </c>
      <c r="D4942" s="15">
        <f>IFERROR(__xludf.DUMMYFUNCTION("""COMPUTED_VALUE"""),1.003)</f>
        <v>1.003</v>
      </c>
      <c r="E4942" s="16">
        <f>IFERROR(__xludf.DUMMYFUNCTION("""COMPUTED_VALUE"""),67.0)</f>
        <v>67</v>
      </c>
      <c r="F4942" s="19" t="str">
        <f>IFERROR(__xludf.DUMMYFUNCTION("""COMPUTED_VALUE"""),"BLUE")</f>
        <v>BLUE</v>
      </c>
      <c r="G4942" s="20" t="str">
        <f>IFERROR(__xludf.DUMMYFUNCTION("""COMPUTED_VALUE"""),"Uncle Sams Cider (04/04/2023)")</f>
        <v>Uncle Sams Cider (04/04/2023)</v>
      </c>
      <c r="H4942" s="19"/>
    </row>
    <row r="4943">
      <c r="A4943" s="9"/>
      <c r="B4943" s="15"/>
      <c r="C4943" s="9">
        <f>IFERROR(__xludf.DUMMYFUNCTION("""COMPUTED_VALUE"""),45092.7885682638)</f>
        <v>45092.78857</v>
      </c>
      <c r="D4943" s="15">
        <f>IFERROR(__xludf.DUMMYFUNCTION("""COMPUTED_VALUE"""),1.003)</f>
        <v>1.003</v>
      </c>
      <c r="E4943" s="16">
        <f>IFERROR(__xludf.DUMMYFUNCTION("""COMPUTED_VALUE"""),67.0)</f>
        <v>67</v>
      </c>
      <c r="F4943" s="19" t="str">
        <f>IFERROR(__xludf.DUMMYFUNCTION("""COMPUTED_VALUE"""),"BLUE")</f>
        <v>BLUE</v>
      </c>
      <c r="G4943" s="20" t="str">
        <f>IFERROR(__xludf.DUMMYFUNCTION("""COMPUTED_VALUE"""),"Uncle Sams Cider (04/04/2023)")</f>
        <v>Uncle Sams Cider (04/04/2023)</v>
      </c>
      <c r="H4943" s="19"/>
    </row>
    <row r="4944">
      <c r="A4944" s="9"/>
      <c r="B4944" s="15"/>
      <c r="C4944" s="9">
        <f>IFERROR(__xludf.DUMMYFUNCTION("""COMPUTED_VALUE"""),45092.7781469675)</f>
        <v>45092.77815</v>
      </c>
      <c r="D4944" s="15">
        <f>IFERROR(__xludf.DUMMYFUNCTION("""COMPUTED_VALUE"""),1.003)</f>
        <v>1.003</v>
      </c>
      <c r="E4944" s="16">
        <f>IFERROR(__xludf.DUMMYFUNCTION("""COMPUTED_VALUE"""),68.0)</f>
        <v>68</v>
      </c>
      <c r="F4944" s="19" t="str">
        <f>IFERROR(__xludf.DUMMYFUNCTION("""COMPUTED_VALUE"""),"BLUE")</f>
        <v>BLUE</v>
      </c>
      <c r="G4944" s="20" t="str">
        <f>IFERROR(__xludf.DUMMYFUNCTION("""COMPUTED_VALUE"""),"Uncle Sams Cider (04/04/2023)")</f>
        <v>Uncle Sams Cider (04/04/2023)</v>
      </c>
      <c r="H4944" s="19"/>
    </row>
    <row r="4945">
      <c r="A4945" s="9"/>
      <c r="B4945" s="15"/>
      <c r="C4945" s="9">
        <f>IFERROR(__xludf.DUMMYFUNCTION("""COMPUTED_VALUE"""),45092.7677270601)</f>
        <v>45092.76773</v>
      </c>
      <c r="D4945" s="15">
        <f>IFERROR(__xludf.DUMMYFUNCTION("""COMPUTED_VALUE"""),1.003)</f>
        <v>1.003</v>
      </c>
      <c r="E4945" s="16">
        <f>IFERROR(__xludf.DUMMYFUNCTION("""COMPUTED_VALUE"""),67.0)</f>
        <v>67</v>
      </c>
      <c r="F4945" s="19" t="str">
        <f>IFERROR(__xludf.DUMMYFUNCTION("""COMPUTED_VALUE"""),"BLUE")</f>
        <v>BLUE</v>
      </c>
      <c r="G4945" s="20" t="str">
        <f>IFERROR(__xludf.DUMMYFUNCTION("""COMPUTED_VALUE"""),"Uncle Sams Cider (04/04/2023)")</f>
        <v>Uncle Sams Cider (04/04/2023)</v>
      </c>
      <c r="H4945" s="19"/>
    </row>
    <row r="4946">
      <c r="A4946" s="9"/>
      <c r="B4946" s="15"/>
      <c r="C4946" s="9">
        <f>IFERROR(__xludf.DUMMYFUNCTION("""COMPUTED_VALUE"""),45092.7573057638)</f>
        <v>45092.75731</v>
      </c>
      <c r="D4946" s="15">
        <f>IFERROR(__xludf.DUMMYFUNCTION("""COMPUTED_VALUE"""),1.003)</f>
        <v>1.003</v>
      </c>
      <c r="E4946" s="16">
        <f>IFERROR(__xludf.DUMMYFUNCTION("""COMPUTED_VALUE"""),67.0)</f>
        <v>67</v>
      </c>
      <c r="F4946" s="19" t="str">
        <f>IFERROR(__xludf.DUMMYFUNCTION("""COMPUTED_VALUE"""),"BLUE")</f>
        <v>BLUE</v>
      </c>
      <c r="G4946" s="20" t="str">
        <f>IFERROR(__xludf.DUMMYFUNCTION("""COMPUTED_VALUE"""),"Uncle Sams Cider (04/04/2023)")</f>
        <v>Uncle Sams Cider (04/04/2023)</v>
      </c>
      <c r="H4946" s="19"/>
    </row>
    <row r="4947">
      <c r="A4947" s="9"/>
      <c r="B4947" s="15"/>
      <c r="C4947" s="9">
        <f>IFERROR(__xludf.DUMMYFUNCTION("""COMPUTED_VALUE"""),45092.7468860648)</f>
        <v>45092.74689</v>
      </c>
      <c r="D4947" s="15">
        <f>IFERROR(__xludf.DUMMYFUNCTION("""COMPUTED_VALUE"""),1.002)</f>
        <v>1.002</v>
      </c>
      <c r="E4947" s="16">
        <f>IFERROR(__xludf.DUMMYFUNCTION("""COMPUTED_VALUE"""),67.0)</f>
        <v>67</v>
      </c>
      <c r="F4947" s="19" t="str">
        <f>IFERROR(__xludf.DUMMYFUNCTION("""COMPUTED_VALUE"""),"BLUE")</f>
        <v>BLUE</v>
      </c>
      <c r="G4947" s="20" t="str">
        <f>IFERROR(__xludf.DUMMYFUNCTION("""COMPUTED_VALUE"""),"Uncle Sams Cider (04/04/2023)")</f>
        <v>Uncle Sams Cider (04/04/2023)</v>
      </c>
      <c r="H4947" s="19"/>
    </row>
    <row r="4948">
      <c r="A4948" s="9"/>
      <c r="B4948" s="15"/>
      <c r="C4948" s="9">
        <f>IFERROR(__xludf.DUMMYFUNCTION("""COMPUTED_VALUE"""),45092.7364660069)</f>
        <v>45092.73647</v>
      </c>
      <c r="D4948" s="15">
        <f>IFERROR(__xludf.DUMMYFUNCTION("""COMPUTED_VALUE"""),1.003)</f>
        <v>1.003</v>
      </c>
      <c r="E4948" s="16">
        <f>IFERROR(__xludf.DUMMYFUNCTION("""COMPUTED_VALUE"""),68.0)</f>
        <v>68</v>
      </c>
      <c r="F4948" s="19" t="str">
        <f>IFERROR(__xludf.DUMMYFUNCTION("""COMPUTED_VALUE"""),"BLUE")</f>
        <v>BLUE</v>
      </c>
      <c r="G4948" s="20" t="str">
        <f>IFERROR(__xludf.DUMMYFUNCTION("""COMPUTED_VALUE"""),"Uncle Sams Cider (04/04/2023)")</f>
        <v>Uncle Sams Cider (04/04/2023)</v>
      </c>
      <c r="H4948" s="19"/>
    </row>
    <row r="4949">
      <c r="A4949" s="9"/>
      <c r="B4949" s="15"/>
      <c r="C4949" s="9">
        <f>IFERROR(__xludf.DUMMYFUNCTION("""COMPUTED_VALUE"""),45092.7260453009)</f>
        <v>45092.72605</v>
      </c>
      <c r="D4949" s="15">
        <f>IFERROR(__xludf.DUMMYFUNCTION("""COMPUTED_VALUE"""),1.003)</f>
        <v>1.003</v>
      </c>
      <c r="E4949" s="16">
        <f>IFERROR(__xludf.DUMMYFUNCTION("""COMPUTED_VALUE"""),68.0)</f>
        <v>68</v>
      </c>
      <c r="F4949" s="19" t="str">
        <f>IFERROR(__xludf.DUMMYFUNCTION("""COMPUTED_VALUE"""),"BLUE")</f>
        <v>BLUE</v>
      </c>
      <c r="G4949" s="20" t="str">
        <f>IFERROR(__xludf.DUMMYFUNCTION("""COMPUTED_VALUE"""),"Uncle Sams Cider (04/04/2023)")</f>
        <v>Uncle Sams Cider (04/04/2023)</v>
      </c>
      <c r="H4949" s="19"/>
    </row>
    <row r="4950">
      <c r="A4950" s="9"/>
      <c r="B4950" s="15"/>
      <c r="C4950" s="9">
        <f>IFERROR(__xludf.DUMMYFUNCTION("""COMPUTED_VALUE"""),45092.7156258564)</f>
        <v>45092.71563</v>
      </c>
      <c r="D4950" s="15">
        <f>IFERROR(__xludf.DUMMYFUNCTION("""COMPUTED_VALUE"""),1.003)</f>
        <v>1.003</v>
      </c>
      <c r="E4950" s="16">
        <f>IFERROR(__xludf.DUMMYFUNCTION("""COMPUTED_VALUE"""),67.0)</f>
        <v>67</v>
      </c>
      <c r="F4950" s="19" t="str">
        <f>IFERROR(__xludf.DUMMYFUNCTION("""COMPUTED_VALUE"""),"BLUE")</f>
        <v>BLUE</v>
      </c>
      <c r="G4950" s="20" t="str">
        <f>IFERROR(__xludf.DUMMYFUNCTION("""COMPUTED_VALUE"""),"Uncle Sams Cider (04/04/2023)")</f>
        <v>Uncle Sams Cider (04/04/2023)</v>
      </c>
      <c r="H4950" s="19"/>
    </row>
    <row r="4951">
      <c r="A4951" s="9"/>
      <c r="B4951" s="15"/>
      <c r="C4951" s="9">
        <f>IFERROR(__xludf.DUMMYFUNCTION("""COMPUTED_VALUE"""),45092.7052044328)</f>
        <v>45092.7052</v>
      </c>
      <c r="D4951" s="15">
        <f>IFERROR(__xludf.DUMMYFUNCTION("""COMPUTED_VALUE"""),1.003)</f>
        <v>1.003</v>
      </c>
      <c r="E4951" s="16">
        <f>IFERROR(__xludf.DUMMYFUNCTION("""COMPUTED_VALUE"""),67.0)</f>
        <v>67</v>
      </c>
      <c r="F4951" s="19" t="str">
        <f>IFERROR(__xludf.DUMMYFUNCTION("""COMPUTED_VALUE"""),"BLUE")</f>
        <v>BLUE</v>
      </c>
      <c r="G4951" s="20" t="str">
        <f>IFERROR(__xludf.DUMMYFUNCTION("""COMPUTED_VALUE"""),"Uncle Sams Cider (04/04/2023)")</f>
        <v>Uncle Sams Cider (04/04/2023)</v>
      </c>
      <c r="H4951" s="19"/>
    </row>
    <row r="4952">
      <c r="A4952" s="9"/>
      <c r="B4952" s="15"/>
      <c r="C4952" s="9">
        <f>IFERROR(__xludf.DUMMYFUNCTION("""COMPUTED_VALUE"""),45092.6947835069)</f>
        <v>45092.69478</v>
      </c>
      <c r="D4952" s="15">
        <f>IFERROR(__xludf.DUMMYFUNCTION("""COMPUTED_VALUE"""),1.003)</f>
        <v>1.003</v>
      </c>
      <c r="E4952" s="16">
        <f>IFERROR(__xludf.DUMMYFUNCTION("""COMPUTED_VALUE"""),67.0)</f>
        <v>67</v>
      </c>
      <c r="F4952" s="19" t="str">
        <f>IFERROR(__xludf.DUMMYFUNCTION("""COMPUTED_VALUE"""),"BLUE")</f>
        <v>BLUE</v>
      </c>
      <c r="G4952" s="20" t="str">
        <f>IFERROR(__xludf.DUMMYFUNCTION("""COMPUTED_VALUE"""),"Uncle Sams Cider (04/04/2023)")</f>
        <v>Uncle Sams Cider (04/04/2023)</v>
      </c>
      <c r="H4952" s="19"/>
    </row>
    <row r="4953">
      <c r="A4953" s="9"/>
      <c r="B4953" s="15"/>
      <c r="C4953" s="9">
        <f>IFERROR(__xludf.DUMMYFUNCTION("""COMPUTED_VALUE"""),45092.6843635648)</f>
        <v>45092.68436</v>
      </c>
      <c r="D4953" s="15">
        <f>IFERROR(__xludf.DUMMYFUNCTION("""COMPUTED_VALUE"""),1.003)</f>
        <v>1.003</v>
      </c>
      <c r="E4953" s="16">
        <f>IFERROR(__xludf.DUMMYFUNCTION("""COMPUTED_VALUE"""),67.0)</f>
        <v>67</v>
      </c>
      <c r="F4953" s="19" t="str">
        <f>IFERROR(__xludf.DUMMYFUNCTION("""COMPUTED_VALUE"""),"BLUE")</f>
        <v>BLUE</v>
      </c>
      <c r="G4953" s="20" t="str">
        <f>IFERROR(__xludf.DUMMYFUNCTION("""COMPUTED_VALUE"""),"Uncle Sams Cider (04/04/2023)")</f>
        <v>Uncle Sams Cider (04/04/2023)</v>
      </c>
      <c r="H4953" s="19"/>
    </row>
    <row r="4954">
      <c r="A4954" s="9"/>
      <c r="B4954" s="15"/>
      <c r="C4954" s="9">
        <f>IFERROR(__xludf.DUMMYFUNCTION("""COMPUTED_VALUE"""),45092.6739419444)</f>
        <v>45092.67394</v>
      </c>
      <c r="D4954" s="15">
        <f>IFERROR(__xludf.DUMMYFUNCTION("""COMPUTED_VALUE"""),1.003)</f>
        <v>1.003</v>
      </c>
      <c r="E4954" s="16">
        <f>IFERROR(__xludf.DUMMYFUNCTION("""COMPUTED_VALUE"""),67.0)</f>
        <v>67</v>
      </c>
      <c r="F4954" s="19" t="str">
        <f>IFERROR(__xludf.DUMMYFUNCTION("""COMPUTED_VALUE"""),"BLUE")</f>
        <v>BLUE</v>
      </c>
      <c r="G4954" s="20" t="str">
        <f>IFERROR(__xludf.DUMMYFUNCTION("""COMPUTED_VALUE"""),"Uncle Sams Cider (04/04/2023)")</f>
        <v>Uncle Sams Cider (04/04/2023)</v>
      </c>
      <c r="H4954" s="19"/>
    </row>
    <row r="4955">
      <c r="A4955" s="9"/>
      <c r="B4955" s="15"/>
      <c r="C4955" s="9">
        <f>IFERROR(__xludf.DUMMYFUNCTION("""COMPUTED_VALUE"""),45092.6635210069)</f>
        <v>45092.66352</v>
      </c>
      <c r="D4955" s="15">
        <f>IFERROR(__xludf.DUMMYFUNCTION("""COMPUTED_VALUE"""),1.003)</f>
        <v>1.003</v>
      </c>
      <c r="E4955" s="16">
        <f>IFERROR(__xludf.DUMMYFUNCTION("""COMPUTED_VALUE"""),67.0)</f>
        <v>67</v>
      </c>
      <c r="F4955" s="19" t="str">
        <f>IFERROR(__xludf.DUMMYFUNCTION("""COMPUTED_VALUE"""),"BLUE")</f>
        <v>BLUE</v>
      </c>
      <c r="G4955" s="20" t="str">
        <f>IFERROR(__xludf.DUMMYFUNCTION("""COMPUTED_VALUE"""),"Uncle Sams Cider (04/04/2023)")</f>
        <v>Uncle Sams Cider (04/04/2023)</v>
      </c>
      <c r="H4955" s="19"/>
    </row>
    <row r="4956">
      <c r="A4956" s="9"/>
      <c r="B4956" s="15"/>
      <c r="C4956" s="9">
        <f>IFERROR(__xludf.DUMMYFUNCTION("""COMPUTED_VALUE"""),45092.6530994328)</f>
        <v>45092.6531</v>
      </c>
      <c r="D4956" s="15">
        <f>IFERROR(__xludf.DUMMYFUNCTION("""COMPUTED_VALUE"""),1.003)</f>
        <v>1.003</v>
      </c>
      <c r="E4956" s="16">
        <f>IFERROR(__xludf.DUMMYFUNCTION("""COMPUTED_VALUE"""),67.0)</f>
        <v>67</v>
      </c>
      <c r="F4956" s="19" t="str">
        <f>IFERROR(__xludf.DUMMYFUNCTION("""COMPUTED_VALUE"""),"BLUE")</f>
        <v>BLUE</v>
      </c>
      <c r="G4956" s="20" t="str">
        <f>IFERROR(__xludf.DUMMYFUNCTION("""COMPUTED_VALUE"""),"Uncle Sams Cider (04/04/2023)")</f>
        <v>Uncle Sams Cider (04/04/2023)</v>
      </c>
      <c r="H4956" s="19"/>
    </row>
    <row r="4957">
      <c r="A4957" s="9"/>
      <c r="B4957" s="15"/>
      <c r="C4957" s="9">
        <f>IFERROR(__xludf.DUMMYFUNCTION("""COMPUTED_VALUE"""),45092.6426803703)</f>
        <v>45092.64268</v>
      </c>
      <c r="D4957" s="15">
        <f>IFERROR(__xludf.DUMMYFUNCTION("""COMPUTED_VALUE"""),1.003)</f>
        <v>1.003</v>
      </c>
      <c r="E4957" s="16">
        <f>IFERROR(__xludf.DUMMYFUNCTION("""COMPUTED_VALUE"""),67.0)</f>
        <v>67</v>
      </c>
      <c r="F4957" s="19" t="str">
        <f>IFERROR(__xludf.DUMMYFUNCTION("""COMPUTED_VALUE"""),"BLUE")</f>
        <v>BLUE</v>
      </c>
      <c r="G4957" s="20" t="str">
        <f>IFERROR(__xludf.DUMMYFUNCTION("""COMPUTED_VALUE"""),"Uncle Sams Cider (04/04/2023)")</f>
        <v>Uncle Sams Cider (04/04/2023)</v>
      </c>
      <c r="H4957" s="19"/>
    </row>
    <row r="4958">
      <c r="A4958" s="9"/>
      <c r="B4958" s="15"/>
      <c r="C4958" s="9">
        <f>IFERROR(__xludf.DUMMYFUNCTION("""COMPUTED_VALUE"""),45092.6322476041)</f>
        <v>45092.63225</v>
      </c>
      <c r="D4958" s="15">
        <f>IFERROR(__xludf.DUMMYFUNCTION("""COMPUTED_VALUE"""),1.003)</f>
        <v>1.003</v>
      </c>
      <c r="E4958" s="16">
        <f>IFERROR(__xludf.DUMMYFUNCTION("""COMPUTED_VALUE"""),67.0)</f>
        <v>67</v>
      </c>
      <c r="F4958" s="19" t="str">
        <f>IFERROR(__xludf.DUMMYFUNCTION("""COMPUTED_VALUE"""),"BLUE")</f>
        <v>BLUE</v>
      </c>
      <c r="G4958" s="20" t="str">
        <f>IFERROR(__xludf.DUMMYFUNCTION("""COMPUTED_VALUE"""),"Uncle Sams Cider (04/04/2023)")</f>
        <v>Uncle Sams Cider (04/04/2023)</v>
      </c>
      <c r="H4958" s="19"/>
    </row>
    <row r="4959">
      <c r="A4959" s="9"/>
      <c r="B4959" s="15"/>
      <c r="C4959" s="9">
        <f>IFERROR(__xludf.DUMMYFUNCTION("""COMPUTED_VALUE"""),45092.6218148148)</f>
        <v>45092.62181</v>
      </c>
      <c r="D4959" s="15">
        <f>IFERROR(__xludf.DUMMYFUNCTION("""COMPUTED_VALUE"""),1.003)</f>
        <v>1.003</v>
      </c>
      <c r="E4959" s="16">
        <f>IFERROR(__xludf.DUMMYFUNCTION("""COMPUTED_VALUE"""),67.0)</f>
        <v>67</v>
      </c>
      <c r="F4959" s="19" t="str">
        <f>IFERROR(__xludf.DUMMYFUNCTION("""COMPUTED_VALUE"""),"BLUE")</f>
        <v>BLUE</v>
      </c>
      <c r="G4959" s="20" t="str">
        <f>IFERROR(__xludf.DUMMYFUNCTION("""COMPUTED_VALUE"""),"Uncle Sams Cider (04/04/2023)")</f>
        <v>Uncle Sams Cider (04/04/2023)</v>
      </c>
      <c r="H4959" s="19"/>
    </row>
    <row r="4960">
      <c r="A4960" s="9"/>
      <c r="B4960" s="15"/>
      <c r="C4960" s="9">
        <f>IFERROR(__xludf.DUMMYFUNCTION("""COMPUTED_VALUE"""),45092.6113941203)</f>
        <v>45092.61139</v>
      </c>
      <c r="D4960" s="15">
        <f>IFERROR(__xludf.DUMMYFUNCTION("""COMPUTED_VALUE"""),1.003)</f>
        <v>1.003</v>
      </c>
      <c r="E4960" s="16">
        <f>IFERROR(__xludf.DUMMYFUNCTION("""COMPUTED_VALUE"""),68.0)</f>
        <v>68</v>
      </c>
      <c r="F4960" s="19" t="str">
        <f>IFERROR(__xludf.DUMMYFUNCTION("""COMPUTED_VALUE"""),"BLUE")</f>
        <v>BLUE</v>
      </c>
      <c r="G4960" s="20" t="str">
        <f>IFERROR(__xludf.DUMMYFUNCTION("""COMPUTED_VALUE"""),"Uncle Sams Cider (04/04/2023)")</f>
        <v>Uncle Sams Cider (04/04/2023)</v>
      </c>
      <c r="H4960" s="19"/>
    </row>
    <row r="4961">
      <c r="A4961" s="9"/>
      <c r="B4961" s="15"/>
      <c r="C4961" s="9">
        <f>IFERROR(__xludf.DUMMYFUNCTION("""COMPUTED_VALUE"""),45092.6009726851)</f>
        <v>45092.60097</v>
      </c>
      <c r="D4961" s="15">
        <f>IFERROR(__xludf.DUMMYFUNCTION("""COMPUTED_VALUE"""),1.003)</f>
        <v>1.003</v>
      </c>
      <c r="E4961" s="16">
        <f>IFERROR(__xludf.DUMMYFUNCTION("""COMPUTED_VALUE"""),68.0)</f>
        <v>68</v>
      </c>
      <c r="F4961" s="19" t="str">
        <f>IFERROR(__xludf.DUMMYFUNCTION("""COMPUTED_VALUE"""),"BLUE")</f>
        <v>BLUE</v>
      </c>
      <c r="G4961" s="20" t="str">
        <f>IFERROR(__xludf.DUMMYFUNCTION("""COMPUTED_VALUE"""),"Uncle Sams Cider (04/04/2023)")</f>
        <v>Uncle Sams Cider (04/04/2023)</v>
      </c>
      <c r="H4961" s="19"/>
    </row>
    <row r="4962">
      <c r="A4962" s="9"/>
      <c r="B4962" s="15"/>
      <c r="C4962" s="9">
        <f>IFERROR(__xludf.DUMMYFUNCTION("""COMPUTED_VALUE"""),45092.5905277662)</f>
        <v>45092.59053</v>
      </c>
      <c r="D4962" s="15">
        <f>IFERROR(__xludf.DUMMYFUNCTION("""COMPUTED_VALUE"""),1.003)</f>
        <v>1.003</v>
      </c>
      <c r="E4962" s="16">
        <f>IFERROR(__xludf.DUMMYFUNCTION("""COMPUTED_VALUE"""),67.0)</f>
        <v>67</v>
      </c>
      <c r="F4962" s="19" t="str">
        <f>IFERROR(__xludf.DUMMYFUNCTION("""COMPUTED_VALUE"""),"BLUE")</f>
        <v>BLUE</v>
      </c>
      <c r="G4962" s="20" t="str">
        <f>IFERROR(__xludf.DUMMYFUNCTION("""COMPUTED_VALUE"""),"Uncle Sams Cider (04/04/2023)")</f>
        <v>Uncle Sams Cider (04/04/2023)</v>
      </c>
      <c r="H4962" s="19"/>
    </row>
    <row r="4963">
      <c r="A4963" s="9"/>
      <c r="B4963" s="15"/>
      <c r="C4963" s="9">
        <f>IFERROR(__xludf.DUMMYFUNCTION("""COMPUTED_VALUE"""),45092.5801060069)</f>
        <v>45092.58011</v>
      </c>
      <c r="D4963" s="15">
        <f>IFERROR(__xludf.DUMMYFUNCTION("""COMPUTED_VALUE"""),1.003)</f>
        <v>1.003</v>
      </c>
      <c r="E4963" s="16">
        <f>IFERROR(__xludf.DUMMYFUNCTION("""COMPUTED_VALUE"""),67.0)</f>
        <v>67</v>
      </c>
      <c r="F4963" s="19" t="str">
        <f>IFERROR(__xludf.DUMMYFUNCTION("""COMPUTED_VALUE"""),"BLUE")</f>
        <v>BLUE</v>
      </c>
      <c r="G4963" s="20" t="str">
        <f>IFERROR(__xludf.DUMMYFUNCTION("""COMPUTED_VALUE"""),"Uncle Sams Cider (04/04/2023)")</f>
        <v>Uncle Sams Cider (04/04/2023)</v>
      </c>
      <c r="H4963" s="19"/>
    </row>
    <row r="4964">
      <c r="A4964" s="9"/>
      <c r="B4964" s="15"/>
      <c r="C4964" s="9">
        <f>IFERROR(__xludf.DUMMYFUNCTION("""COMPUTED_VALUE"""),45092.5696854166)</f>
        <v>45092.56969</v>
      </c>
      <c r="D4964" s="15">
        <f>IFERROR(__xludf.DUMMYFUNCTION("""COMPUTED_VALUE"""),1.003)</f>
        <v>1.003</v>
      </c>
      <c r="E4964" s="16">
        <f>IFERROR(__xludf.DUMMYFUNCTION("""COMPUTED_VALUE"""),67.0)</f>
        <v>67</v>
      </c>
      <c r="F4964" s="19" t="str">
        <f>IFERROR(__xludf.DUMMYFUNCTION("""COMPUTED_VALUE"""),"BLUE")</f>
        <v>BLUE</v>
      </c>
      <c r="G4964" s="20" t="str">
        <f>IFERROR(__xludf.DUMMYFUNCTION("""COMPUTED_VALUE"""),"Uncle Sams Cider (04/04/2023)")</f>
        <v>Uncle Sams Cider (04/04/2023)</v>
      </c>
      <c r="H4964" s="19"/>
    </row>
    <row r="4965">
      <c r="A4965" s="9"/>
      <c r="B4965" s="15"/>
      <c r="C4965" s="9">
        <f>IFERROR(__xludf.DUMMYFUNCTION("""COMPUTED_VALUE"""),45092.5592528935)</f>
        <v>45092.55925</v>
      </c>
      <c r="D4965" s="15">
        <f>IFERROR(__xludf.DUMMYFUNCTION("""COMPUTED_VALUE"""),1.003)</f>
        <v>1.003</v>
      </c>
      <c r="E4965" s="16">
        <f>IFERROR(__xludf.DUMMYFUNCTION("""COMPUTED_VALUE"""),67.0)</f>
        <v>67</v>
      </c>
      <c r="F4965" s="19" t="str">
        <f>IFERROR(__xludf.DUMMYFUNCTION("""COMPUTED_VALUE"""),"BLUE")</f>
        <v>BLUE</v>
      </c>
      <c r="G4965" s="20" t="str">
        <f>IFERROR(__xludf.DUMMYFUNCTION("""COMPUTED_VALUE"""),"Uncle Sams Cider (04/04/2023)")</f>
        <v>Uncle Sams Cider (04/04/2023)</v>
      </c>
      <c r="H4965" s="19"/>
    </row>
    <row r="4966">
      <c r="A4966" s="9"/>
      <c r="B4966" s="15"/>
      <c r="C4966" s="9">
        <f>IFERROR(__xludf.DUMMYFUNCTION("""COMPUTED_VALUE"""),45092.5488315856)</f>
        <v>45092.54883</v>
      </c>
      <c r="D4966" s="15">
        <f>IFERROR(__xludf.DUMMYFUNCTION("""COMPUTED_VALUE"""),1.003)</f>
        <v>1.003</v>
      </c>
      <c r="E4966" s="16">
        <f>IFERROR(__xludf.DUMMYFUNCTION("""COMPUTED_VALUE"""),68.0)</f>
        <v>68</v>
      </c>
      <c r="F4966" s="19" t="str">
        <f>IFERROR(__xludf.DUMMYFUNCTION("""COMPUTED_VALUE"""),"BLUE")</f>
        <v>BLUE</v>
      </c>
      <c r="G4966" s="20" t="str">
        <f>IFERROR(__xludf.DUMMYFUNCTION("""COMPUTED_VALUE"""),"Uncle Sams Cider (04/04/2023)")</f>
        <v>Uncle Sams Cider (04/04/2023)</v>
      </c>
      <c r="H4966" s="19"/>
    </row>
    <row r="4967">
      <c r="A4967" s="9"/>
      <c r="B4967" s="15"/>
      <c r="C4967" s="9">
        <f>IFERROR(__xludf.DUMMYFUNCTION("""COMPUTED_VALUE"""),45092.5384091319)</f>
        <v>45092.53841</v>
      </c>
      <c r="D4967" s="15">
        <f>IFERROR(__xludf.DUMMYFUNCTION("""COMPUTED_VALUE"""),1.003)</f>
        <v>1.003</v>
      </c>
      <c r="E4967" s="16">
        <f>IFERROR(__xludf.DUMMYFUNCTION("""COMPUTED_VALUE"""),67.0)</f>
        <v>67</v>
      </c>
      <c r="F4967" s="19" t="str">
        <f>IFERROR(__xludf.DUMMYFUNCTION("""COMPUTED_VALUE"""),"BLUE")</f>
        <v>BLUE</v>
      </c>
      <c r="G4967" s="20" t="str">
        <f>IFERROR(__xludf.DUMMYFUNCTION("""COMPUTED_VALUE"""),"Uncle Sams Cider (04/04/2023)")</f>
        <v>Uncle Sams Cider (04/04/2023)</v>
      </c>
      <c r="H4967" s="19"/>
    </row>
    <row r="4968">
      <c r="A4968" s="9"/>
      <c r="B4968" s="15"/>
      <c r="C4968" s="9">
        <f>IFERROR(__xludf.DUMMYFUNCTION("""COMPUTED_VALUE"""),45092.5279873611)</f>
        <v>45092.52799</v>
      </c>
      <c r="D4968" s="15">
        <f>IFERROR(__xludf.DUMMYFUNCTION("""COMPUTED_VALUE"""),1.003)</f>
        <v>1.003</v>
      </c>
      <c r="E4968" s="16">
        <f>IFERROR(__xludf.DUMMYFUNCTION("""COMPUTED_VALUE"""),68.0)</f>
        <v>68</v>
      </c>
      <c r="F4968" s="19" t="str">
        <f>IFERROR(__xludf.DUMMYFUNCTION("""COMPUTED_VALUE"""),"BLUE")</f>
        <v>BLUE</v>
      </c>
      <c r="G4968" s="20" t="str">
        <f>IFERROR(__xludf.DUMMYFUNCTION("""COMPUTED_VALUE"""),"Uncle Sams Cider (04/04/2023)")</f>
        <v>Uncle Sams Cider (04/04/2023)</v>
      </c>
      <c r="H4968" s="19"/>
    </row>
    <row r="4969">
      <c r="A4969" s="9"/>
      <c r="B4969" s="15"/>
      <c r="C4969" s="9">
        <f>IFERROR(__xludf.DUMMYFUNCTION("""COMPUTED_VALUE"""),45092.5175658796)</f>
        <v>45092.51757</v>
      </c>
      <c r="D4969" s="15">
        <f>IFERROR(__xludf.DUMMYFUNCTION("""COMPUTED_VALUE"""),1.003)</f>
        <v>1.003</v>
      </c>
      <c r="E4969" s="16">
        <f>IFERROR(__xludf.DUMMYFUNCTION("""COMPUTED_VALUE"""),67.0)</f>
        <v>67</v>
      </c>
      <c r="F4969" s="19" t="str">
        <f>IFERROR(__xludf.DUMMYFUNCTION("""COMPUTED_VALUE"""),"BLUE")</f>
        <v>BLUE</v>
      </c>
      <c r="G4969" s="20" t="str">
        <f>IFERROR(__xludf.DUMMYFUNCTION("""COMPUTED_VALUE"""),"Uncle Sams Cider (04/04/2023)")</f>
        <v>Uncle Sams Cider (04/04/2023)</v>
      </c>
      <c r="H4969" s="19"/>
    </row>
    <row r="4970">
      <c r="A4970" s="9"/>
      <c r="B4970" s="15"/>
      <c r="C4970" s="9">
        <f>IFERROR(__xludf.DUMMYFUNCTION("""COMPUTED_VALUE"""),45092.5071446064)</f>
        <v>45092.50714</v>
      </c>
      <c r="D4970" s="15">
        <f>IFERROR(__xludf.DUMMYFUNCTION("""COMPUTED_VALUE"""),1.003)</f>
        <v>1.003</v>
      </c>
      <c r="E4970" s="16">
        <f>IFERROR(__xludf.DUMMYFUNCTION("""COMPUTED_VALUE"""),68.0)</f>
        <v>68</v>
      </c>
      <c r="F4970" s="19" t="str">
        <f>IFERROR(__xludf.DUMMYFUNCTION("""COMPUTED_VALUE"""),"BLUE")</f>
        <v>BLUE</v>
      </c>
      <c r="G4970" s="20" t="str">
        <f>IFERROR(__xludf.DUMMYFUNCTION("""COMPUTED_VALUE"""),"Uncle Sams Cider (04/04/2023)")</f>
        <v>Uncle Sams Cider (04/04/2023)</v>
      </c>
      <c r="H4970" s="19"/>
    </row>
    <row r="4971">
      <c r="A4971" s="9"/>
      <c r="B4971" s="15"/>
      <c r="C4971" s="9">
        <f>IFERROR(__xludf.DUMMYFUNCTION("""COMPUTED_VALUE"""),45092.4967102199)</f>
        <v>45092.49671</v>
      </c>
      <c r="D4971" s="15">
        <f>IFERROR(__xludf.DUMMYFUNCTION("""COMPUTED_VALUE"""),1.002)</f>
        <v>1.002</v>
      </c>
      <c r="E4971" s="16">
        <f>IFERROR(__xludf.DUMMYFUNCTION("""COMPUTED_VALUE"""),68.0)</f>
        <v>68</v>
      </c>
      <c r="F4971" s="19" t="str">
        <f>IFERROR(__xludf.DUMMYFUNCTION("""COMPUTED_VALUE"""),"BLUE")</f>
        <v>BLUE</v>
      </c>
      <c r="G4971" s="20" t="str">
        <f>IFERROR(__xludf.DUMMYFUNCTION("""COMPUTED_VALUE"""),"Uncle Sams Cider (04/04/2023)")</f>
        <v>Uncle Sams Cider (04/04/2023)</v>
      </c>
      <c r="H4971" s="19"/>
    </row>
    <row r="4972">
      <c r="A4972" s="9"/>
      <c r="B4972" s="15"/>
      <c r="C4972" s="9">
        <f>IFERROR(__xludf.DUMMYFUNCTION("""COMPUTED_VALUE"""),45092.4862884606)</f>
        <v>45092.48629</v>
      </c>
      <c r="D4972" s="15">
        <f>IFERROR(__xludf.DUMMYFUNCTION("""COMPUTED_VALUE"""),1.003)</f>
        <v>1.003</v>
      </c>
      <c r="E4972" s="16">
        <f>IFERROR(__xludf.DUMMYFUNCTION("""COMPUTED_VALUE"""),68.0)</f>
        <v>68</v>
      </c>
      <c r="F4972" s="19" t="str">
        <f>IFERROR(__xludf.DUMMYFUNCTION("""COMPUTED_VALUE"""),"BLUE")</f>
        <v>BLUE</v>
      </c>
      <c r="G4972" s="20" t="str">
        <f>IFERROR(__xludf.DUMMYFUNCTION("""COMPUTED_VALUE"""),"Uncle Sams Cider (04/04/2023)")</f>
        <v>Uncle Sams Cider (04/04/2023)</v>
      </c>
      <c r="H4972" s="19"/>
    </row>
    <row r="4973">
      <c r="A4973" s="9"/>
      <c r="B4973" s="15"/>
      <c r="C4973" s="9">
        <f>IFERROR(__xludf.DUMMYFUNCTION("""COMPUTED_VALUE"""),45092.4758667361)</f>
        <v>45092.47587</v>
      </c>
      <c r="D4973" s="15">
        <f>IFERROR(__xludf.DUMMYFUNCTION("""COMPUTED_VALUE"""),1.003)</f>
        <v>1.003</v>
      </c>
      <c r="E4973" s="16">
        <f>IFERROR(__xludf.DUMMYFUNCTION("""COMPUTED_VALUE"""),67.0)</f>
        <v>67</v>
      </c>
      <c r="F4973" s="19" t="str">
        <f>IFERROR(__xludf.DUMMYFUNCTION("""COMPUTED_VALUE"""),"BLUE")</f>
        <v>BLUE</v>
      </c>
      <c r="G4973" s="20" t="str">
        <f>IFERROR(__xludf.DUMMYFUNCTION("""COMPUTED_VALUE"""),"Uncle Sams Cider (04/04/2023)")</f>
        <v>Uncle Sams Cider (04/04/2023)</v>
      </c>
      <c r="H4973" s="19"/>
    </row>
    <row r="4974">
      <c r="A4974" s="9"/>
      <c r="B4974" s="15"/>
      <c r="C4974" s="9">
        <f>IFERROR(__xludf.DUMMYFUNCTION("""COMPUTED_VALUE"""),45092.4654340856)</f>
        <v>45092.46543</v>
      </c>
      <c r="D4974" s="15">
        <f>IFERROR(__xludf.DUMMYFUNCTION("""COMPUTED_VALUE"""),1.003)</f>
        <v>1.003</v>
      </c>
      <c r="E4974" s="16">
        <f>IFERROR(__xludf.DUMMYFUNCTION("""COMPUTED_VALUE"""),68.0)</f>
        <v>68</v>
      </c>
      <c r="F4974" s="19" t="str">
        <f>IFERROR(__xludf.DUMMYFUNCTION("""COMPUTED_VALUE"""),"BLUE")</f>
        <v>BLUE</v>
      </c>
      <c r="G4974" s="20" t="str">
        <f>IFERROR(__xludf.DUMMYFUNCTION("""COMPUTED_VALUE"""),"Uncle Sams Cider (04/04/2023)")</f>
        <v>Uncle Sams Cider (04/04/2023)</v>
      </c>
      <c r="H4974" s="19"/>
    </row>
    <row r="4975">
      <c r="A4975" s="9"/>
      <c r="B4975" s="15"/>
      <c r="C4975" s="9">
        <f>IFERROR(__xludf.DUMMYFUNCTION("""COMPUTED_VALUE"""),45092.4550027893)</f>
        <v>45092.455</v>
      </c>
      <c r="D4975" s="15">
        <f>IFERROR(__xludf.DUMMYFUNCTION("""COMPUTED_VALUE"""),1.003)</f>
        <v>1.003</v>
      </c>
      <c r="E4975" s="16">
        <f>IFERROR(__xludf.DUMMYFUNCTION("""COMPUTED_VALUE"""),67.0)</f>
        <v>67</v>
      </c>
      <c r="F4975" s="19" t="str">
        <f>IFERROR(__xludf.DUMMYFUNCTION("""COMPUTED_VALUE"""),"BLUE")</f>
        <v>BLUE</v>
      </c>
      <c r="G4975" s="20" t="str">
        <f>IFERROR(__xludf.DUMMYFUNCTION("""COMPUTED_VALUE"""),"Uncle Sams Cider (04/04/2023)")</f>
        <v>Uncle Sams Cider (04/04/2023)</v>
      </c>
      <c r="H4975" s="19"/>
    </row>
    <row r="4976">
      <c r="A4976" s="9"/>
      <c r="B4976" s="15"/>
      <c r="C4976" s="9">
        <f>IFERROR(__xludf.DUMMYFUNCTION("""COMPUTED_VALUE"""),45092.4445801157)</f>
        <v>45092.44458</v>
      </c>
      <c r="D4976" s="15">
        <f>IFERROR(__xludf.DUMMYFUNCTION("""COMPUTED_VALUE"""),1.003)</f>
        <v>1.003</v>
      </c>
      <c r="E4976" s="16">
        <f>IFERROR(__xludf.DUMMYFUNCTION("""COMPUTED_VALUE"""),68.0)</f>
        <v>68</v>
      </c>
      <c r="F4976" s="19" t="str">
        <f>IFERROR(__xludf.DUMMYFUNCTION("""COMPUTED_VALUE"""),"BLUE")</f>
        <v>BLUE</v>
      </c>
      <c r="G4976" s="20" t="str">
        <f>IFERROR(__xludf.DUMMYFUNCTION("""COMPUTED_VALUE"""),"Uncle Sams Cider (04/04/2023)")</f>
        <v>Uncle Sams Cider (04/04/2023)</v>
      </c>
      <c r="H4976" s="19"/>
    </row>
    <row r="4977">
      <c r="A4977" s="9"/>
      <c r="B4977" s="15"/>
      <c r="C4977" s="9">
        <f>IFERROR(__xludf.DUMMYFUNCTION("""COMPUTED_VALUE"""),45092.4341592708)</f>
        <v>45092.43416</v>
      </c>
      <c r="D4977" s="15">
        <f>IFERROR(__xludf.DUMMYFUNCTION("""COMPUTED_VALUE"""),1.003)</f>
        <v>1.003</v>
      </c>
      <c r="E4977" s="16">
        <f>IFERROR(__xludf.DUMMYFUNCTION("""COMPUTED_VALUE"""),68.0)</f>
        <v>68</v>
      </c>
      <c r="F4977" s="19" t="str">
        <f>IFERROR(__xludf.DUMMYFUNCTION("""COMPUTED_VALUE"""),"BLUE")</f>
        <v>BLUE</v>
      </c>
      <c r="G4977" s="20" t="str">
        <f>IFERROR(__xludf.DUMMYFUNCTION("""COMPUTED_VALUE"""),"Uncle Sams Cider (04/04/2023)")</f>
        <v>Uncle Sams Cider (04/04/2023)</v>
      </c>
      <c r="H4977" s="19"/>
    </row>
    <row r="4978">
      <c r="A4978" s="9"/>
      <c r="B4978" s="15"/>
      <c r="C4978" s="9">
        <f>IFERROR(__xludf.DUMMYFUNCTION("""COMPUTED_VALUE"""),45092.4237274305)</f>
        <v>45092.42373</v>
      </c>
      <c r="D4978" s="15">
        <f>IFERROR(__xludf.DUMMYFUNCTION("""COMPUTED_VALUE"""),1.003)</f>
        <v>1.003</v>
      </c>
      <c r="E4978" s="16">
        <f>IFERROR(__xludf.DUMMYFUNCTION("""COMPUTED_VALUE"""),68.0)</f>
        <v>68</v>
      </c>
      <c r="F4978" s="19" t="str">
        <f>IFERROR(__xludf.DUMMYFUNCTION("""COMPUTED_VALUE"""),"BLUE")</f>
        <v>BLUE</v>
      </c>
      <c r="G4978" s="20" t="str">
        <f>IFERROR(__xludf.DUMMYFUNCTION("""COMPUTED_VALUE"""),"Uncle Sams Cider (04/04/2023)")</f>
        <v>Uncle Sams Cider (04/04/2023)</v>
      </c>
      <c r="H4978" s="19"/>
    </row>
    <row r="4979">
      <c r="A4979" s="9"/>
      <c r="B4979" s="15"/>
      <c r="C4979" s="9">
        <f>IFERROR(__xludf.DUMMYFUNCTION("""COMPUTED_VALUE"""),45092.4133054861)</f>
        <v>45092.41331</v>
      </c>
      <c r="D4979" s="15">
        <f>IFERROR(__xludf.DUMMYFUNCTION("""COMPUTED_VALUE"""),1.003)</f>
        <v>1.003</v>
      </c>
      <c r="E4979" s="16">
        <f>IFERROR(__xludf.DUMMYFUNCTION("""COMPUTED_VALUE"""),68.0)</f>
        <v>68</v>
      </c>
      <c r="F4979" s="19" t="str">
        <f>IFERROR(__xludf.DUMMYFUNCTION("""COMPUTED_VALUE"""),"BLUE")</f>
        <v>BLUE</v>
      </c>
      <c r="G4979" s="20" t="str">
        <f>IFERROR(__xludf.DUMMYFUNCTION("""COMPUTED_VALUE"""),"Uncle Sams Cider (04/04/2023)")</f>
        <v>Uncle Sams Cider (04/04/2023)</v>
      </c>
      <c r="H4979" s="19"/>
    </row>
    <row r="4980">
      <c r="A4980" s="9"/>
      <c r="B4980" s="15"/>
      <c r="C4980" s="9">
        <f>IFERROR(__xludf.DUMMYFUNCTION("""COMPUTED_VALUE"""),45092.4028842592)</f>
        <v>45092.40288</v>
      </c>
      <c r="D4980" s="15">
        <f>IFERROR(__xludf.DUMMYFUNCTION("""COMPUTED_VALUE"""),1.003)</f>
        <v>1.003</v>
      </c>
      <c r="E4980" s="16">
        <f>IFERROR(__xludf.DUMMYFUNCTION("""COMPUTED_VALUE"""),68.0)</f>
        <v>68</v>
      </c>
      <c r="F4980" s="19" t="str">
        <f>IFERROR(__xludf.DUMMYFUNCTION("""COMPUTED_VALUE"""),"BLUE")</f>
        <v>BLUE</v>
      </c>
      <c r="G4980" s="20" t="str">
        <f>IFERROR(__xludf.DUMMYFUNCTION("""COMPUTED_VALUE"""),"Uncle Sams Cider (04/04/2023)")</f>
        <v>Uncle Sams Cider (04/04/2023)</v>
      </c>
      <c r="H4980" s="19"/>
    </row>
    <row r="4981">
      <c r="A4981" s="9"/>
      <c r="B4981" s="15"/>
      <c r="C4981" s="9">
        <f>IFERROR(__xludf.DUMMYFUNCTION("""COMPUTED_VALUE"""),45092.3924623726)</f>
        <v>45092.39246</v>
      </c>
      <c r="D4981" s="15">
        <f>IFERROR(__xludf.DUMMYFUNCTION("""COMPUTED_VALUE"""),1.003)</f>
        <v>1.003</v>
      </c>
      <c r="E4981" s="16">
        <f>IFERROR(__xludf.DUMMYFUNCTION("""COMPUTED_VALUE"""),68.0)</f>
        <v>68</v>
      </c>
      <c r="F4981" s="19" t="str">
        <f>IFERROR(__xludf.DUMMYFUNCTION("""COMPUTED_VALUE"""),"BLUE")</f>
        <v>BLUE</v>
      </c>
      <c r="G4981" s="20" t="str">
        <f>IFERROR(__xludf.DUMMYFUNCTION("""COMPUTED_VALUE"""),"Uncle Sams Cider (04/04/2023)")</f>
        <v>Uncle Sams Cider (04/04/2023)</v>
      </c>
      <c r="H4981" s="19"/>
    </row>
    <row r="4982">
      <c r="A4982" s="9"/>
      <c r="B4982" s="15"/>
      <c r="C4982" s="9">
        <f>IFERROR(__xludf.DUMMYFUNCTION("""COMPUTED_VALUE"""),45092.3820419212)</f>
        <v>45092.38204</v>
      </c>
      <c r="D4982" s="15">
        <f>IFERROR(__xludf.DUMMYFUNCTION("""COMPUTED_VALUE"""),1.002)</f>
        <v>1.002</v>
      </c>
      <c r="E4982" s="16">
        <f>IFERROR(__xludf.DUMMYFUNCTION("""COMPUTED_VALUE"""),68.0)</f>
        <v>68</v>
      </c>
      <c r="F4982" s="19" t="str">
        <f>IFERROR(__xludf.DUMMYFUNCTION("""COMPUTED_VALUE"""),"BLUE")</f>
        <v>BLUE</v>
      </c>
      <c r="G4982" s="20" t="str">
        <f>IFERROR(__xludf.DUMMYFUNCTION("""COMPUTED_VALUE"""),"Uncle Sams Cider (04/04/2023)")</f>
        <v>Uncle Sams Cider (04/04/2023)</v>
      </c>
      <c r="H4982" s="19"/>
    </row>
    <row r="4983">
      <c r="A4983" s="9"/>
      <c r="B4983" s="15"/>
      <c r="C4983" s="9">
        <f>IFERROR(__xludf.DUMMYFUNCTION("""COMPUTED_VALUE"""),45092.37162228)</f>
        <v>45092.37162</v>
      </c>
      <c r="D4983" s="15">
        <f>IFERROR(__xludf.DUMMYFUNCTION("""COMPUTED_VALUE"""),1.003)</f>
        <v>1.003</v>
      </c>
      <c r="E4983" s="16">
        <f>IFERROR(__xludf.DUMMYFUNCTION("""COMPUTED_VALUE"""),68.0)</f>
        <v>68</v>
      </c>
      <c r="F4983" s="19" t="str">
        <f>IFERROR(__xludf.DUMMYFUNCTION("""COMPUTED_VALUE"""),"BLUE")</f>
        <v>BLUE</v>
      </c>
      <c r="G4983" s="20" t="str">
        <f>IFERROR(__xludf.DUMMYFUNCTION("""COMPUTED_VALUE"""),"Uncle Sams Cider (04/04/2023)")</f>
        <v>Uncle Sams Cider (04/04/2023)</v>
      </c>
      <c r="H4983" s="19"/>
    </row>
    <row r="4984">
      <c r="A4984" s="9"/>
      <c r="B4984" s="15"/>
      <c r="C4984" s="9">
        <f>IFERROR(__xludf.DUMMYFUNCTION("""COMPUTED_VALUE"""),45092.3612020023)</f>
        <v>45092.3612</v>
      </c>
      <c r="D4984" s="15">
        <f>IFERROR(__xludf.DUMMYFUNCTION("""COMPUTED_VALUE"""),1.003)</f>
        <v>1.003</v>
      </c>
      <c r="E4984" s="16">
        <f>IFERROR(__xludf.DUMMYFUNCTION("""COMPUTED_VALUE"""),68.0)</f>
        <v>68</v>
      </c>
      <c r="F4984" s="19" t="str">
        <f>IFERROR(__xludf.DUMMYFUNCTION("""COMPUTED_VALUE"""),"BLUE")</f>
        <v>BLUE</v>
      </c>
      <c r="G4984" s="20" t="str">
        <f>IFERROR(__xludf.DUMMYFUNCTION("""COMPUTED_VALUE"""),"Uncle Sams Cider (04/04/2023)")</f>
        <v>Uncle Sams Cider (04/04/2023)</v>
      </c>
      <c r="H4984" s="19"/>
    </row>
    <row r="4985">
      <c r="A4985" s="9"/>
      <c r="B4985" s="15"/>
      <c r="C4985" s="9">
        <f>IFERROR(__xludf.DUMMYFUNCTION("""COMPUTED_VALUE"""),45092.3507441087)</f>
        <v>45092.35074</v>
      </c>
      <c r="D4985" s="15">
        <f>IFERROR(__xludf.DUMMYFUNCTION("""COMPUTED_VALUE"""),1.003)</f>
        <v>1.003</v>
      </c>
      <c r="E4985" s="16">
        <f>IFERROR(__xludf.DUMMYFUNCTION("""COMPUTED_VALUE"""),68.0)</f>
        <v>68</v>
      </c>
      <c r="F4985" s="19" t="str">
        <f>IFERROR(__xludf.DUMMYFUNCTION("""COMPUTED_VALUE"""),"BLUE")</f>
        <v>BLUE</v>
      </c>
      <c r="G4985" s="20" t="str">
        <f>IFERROR(__xludf.DUMMYFUNCTION("""COMPUTED_VALUE"""),"Uncle Sams Cider (04/04/2023)")</f>
        <v>Uncle Sams Cider (04/04/2023)</v>
      </c>
      <c r="H4985" s="19"/>
    </row>
    <row r="4986">
      <c r="A4986" s="9"/>
      <c r="B4986" s="15"/>
      <c r="C4986" s="9">
        <f>IFERROR(__xludf.DUMMYFUNCTION("""COMPUTED_VALUE"""),45092.3403203588)</f>
        <v>45092.34032</v>
      </c>
      <c r="D4986" s="15">
        <f>IFERROR(__xludf.DUMMYFUNCTION("""COMPUTED_VALUE"""),1.003)</f>
        <v>1.003</v>
      </c>
      <c r="E4986" s="16">
        <f>IFERROR(__xludf.DUMMYFUNCTION("""COMPUTED_VALUE"""),68.0)</f>
        <v>68</v>
      </c>
      <c r="F4986" s="19" t="str">
        <f>IFERROR(__xludf.DUMMYFUNCTION("""COMPUTED_VALUE"""),"BLUE")</f>
        <v>BLUE</v>
      </c>
      <c r="G4986" s="20" t="str">
        <f>IFERROR(__xludf.DUMMYFUNCTION("""COMPUTED_VALUE"""),"Uncle Sams Cider (04/04/2023)")</f>
        <v>Uncle Sams Cider (04/04/2023)</v>
      </c>
      <c r="H4986" s="19"/>
    </row>
    <row r="4987">
      <c r="A4987" s="9"/>
      <c r="B4987" s="15"/>
      <c r="C4987" s="9">
        <f>IFERROR(__xludf.DUMMYFUNCTION("""COMPUTED_VALUE"""),45092.3298980787)</f>
        <v>45092.3299</v>
      </c>
      <c r="D4987" s="15">
        <f>IFERROR(__xludf.DUMMYFUNCTION("""COMPUTED_VALUE"""),1.003)</f>
        <v>1.003</v>
      </c>
      <c r="E4987" s="16">
        <f>IFERROR(__xludf.DUMMYFUNCTION("""COMPUTED_VALUE"""),68.0)</f>
        <v>68</v>
      </c>
      <c r="F4987" s="19" t="str">
        <f>IFERROR(__xludf.DUMMYFUNCTION("""COMPUTED_VALUE"""),"BLUE")</f>
        <v>BLUE</v>
      </c>
      <c r="G4987" s="20" t="str">
        <f>IFERROR(__xludf.DUMMYFUNCTION("""COMPUTED_VALUE"""),"Uncle Sams Cider (04/04/2023)")</f>
        <v>Uncle Sams Cider (04/04/2023)</v>
      </c>
      <c r="H4987" s="19"/>
    </row>
    <row r="4988">
      <c r="A4988" s="9"/>
      <c r="B4988" s="15"/>
      <c r="C4988" s="9">
        <f>IFERROR(__xludf.DUMMYFUNCTION("""COMPUTED_VALUE"""),45092.3194753587)</f>
        <v>45092.31948</v>
      </c>
      <c r="D4988" s="15">
        <f>IFERROR(__xludf.DUMMYFUNCTION("""COMPUTED_VALUE"""),1.003)</f>
        <v>1.003</v>
      </c>
      <c r="E4988" s="16">
        <f>IFERROR(__xludf.DUMMYFUNCTION("""COMPUTED_VALUE"""),68.0)</f>
        <v>68</v>
      </c>
      <c r="F4988" s="19" t="str">
        <f>IFERROR(__xludf.DUMMYFUNCTION("""COMPUTED_VALUE"""),"BLUE")</f>
        <v>BLUE</v>
      </c>
      <c r="G4988" s="20" t="str">
        <f>IFERROR(__xludf.DUMMYFUNCTION("""COMPUTED_VALUE"""),"Uncle Sams Cider (04/04/2023)")</f>
        <v>Uncle Sams Cider (04/04/2023)</v>
      </c>
      <c r="H4988" s="19"/>
    </row>
    <row r="4989">
      <c r="A4989" s="9"/>
      <c r="B4989" s="15"/>
      <c r="C4989" s="9">
        <f>IFERROR(__xludf.DUMMYFUNCTION("""COMPUTED_VALUE"""),45092.3090533449)</f>
        <v>45092.30905</v>
      </c>
      <c r="D4989" s="15">
        <f>IFERROR(__xludf.DUMMYFUNCTION("""COMPUTED_VALUE"""),1.003)</f>
        <v>1.003</v>
      </c>
      <c r="E4989" s="16">
        <f>IFERROR(__xludf.DUMMYFUNCTION("""COMPUTED_VALUE"""),68.0)</f>
        <v>68</v>
      </c>
      <c r="F4989" s="19" t="str">
        <f>IFERROR(__xludf.DUMMYFUNCTION("""COMPUTED_VALUE"""),"BLUE")</f>
        <v>BLUE</v>
      </c>
      <c r="G4989" s="20" t="str">
        <f>IFERROR(__xludf.DUMMYFUNCTION("""COMPUTED_VALUE"""),"Uncle Sams Cider (04/04/2023)")</f>
        <v>Uncle Sams Cider (04/04/2023)</v>
      </c>
      <c r="H4989" s="19"/>
    </row>
    <row r="4990">
      <c r="A4990" s="9"/>
      <c r="B4990" s="15"/>
      <c r="C4990" s="9">
        <f>IFERROR(__xludf.DUMMYFUNCTION("""COMPUTED_VALUE"""),45092.298633449)</f>
        <v>45092.29863</v>
      </c>
      <c r="D4990" s="15">
        <f>IFERROR(__xludf.DUMMYFUNCTION("""COMPUTED_VALUE"""),1.003)</f>
        <v>1.003</v>
      </c>
      <c r="E4990" s="16">
        <f>IFERROR(__xludf.DUMMYFUNCTION("""COMPUTED_VALUE"""),68.0)</f>
        <v>68</v>
      </c>
      <c r="F4990" s="19" t="str">
        <f>IFERROR(__xludf.DUMMYFUNCTION("""COMPUTED_VALUE"""),"BLUE")</f>
        <v>BLUE</v>
      </c>
      <c r="G4990" s="20" t="str">
        <f>IFERROR(__xludf.DUMMYFUNCTION("""COMPUTED_VALUE"""),"Uncle Sams Cider (04/04/2023)")</f>
        <v>Uncle Sams Cider (04/04/2023)</v>
      </c>
      <c r="H4990" s="19"/>
    </row>
    <row r="4991">
      <c r="A4991" s="9"/>
      <c r="B4991" s="15"/>
      <c r="C4991" s="9">
        <f>IFERROR(__xludf.DUMMYFUNCTION("""COMPUTED_VALUE"""),45092.2882016319)</f>
        <v>45092.2882</v>
      </c>
      <c r="D4991" s="15">
        <f>IFERROR(__xludf.DUMMYFUNCTION("""COMPUTED_VALUE"""),1.003)</f>
        <v>1.003</v>
      </c>
      <c r="E4991" s="16">
        <f>IFERROR(__xludf.DUMMYFUNCTION("""COMPUTED_VALUE"""),68.0)</f>
        <v>68</v>
      </c>
      <c r="F4991" s="19" t="str">
        <f>IFERROR(__xludf.DUMMYFUNCTION("""COMPUTED_VALUE"""),"BLUE")</f>
        <v>BLUE</v>
      </c>
      <c r="G4991" s="20" t="str">
        <f>IFERROR(__xludf.DUMMYFUNCTION("""COMPUTED_VALUE"""),"Uncle Sams Cider (04/04/2023)")</f>
        <v>Uncle Sams Cider (04/04/2023)</v>
      </c>
      <c r="H4991" s="19"/>
    </row>
    <row r="4992">
      <c r="A4992" s="9"/>
      <c r="B4992" s="15"/>
      <c r="C4992" s="9">
        <f>IFERROR(__xludf.DUMMYFUNCTION("""COMPUTED_VALUE"""),45092.2777687615)</f>
        <v>45092.27777</v>
      </c>
      <c r="D4992" s="15">
        <f>IFERROR(__xludf.DUMMYFUNCTION("""COMPUTED_VALUE"""),1.003)</f>
        <v>1.003</v>
      </c>
      <c r="E4992" s="16">
        <f>IFERROR(__xludf.DUMMYFUNCTION("""COMPUTED_VALUE"""),68.0)</f>
        <v>68</v>
      </c>
      <c r="F4992" s="19" t="str">
        <f>IFERROR(__xludf.DUMMYFUNCTION("""COMPUTED_VALUE"""),"BLUE")</f>
        <v>BLUE</v>
      </c>
      <c r="G4992" s="20" t="str">
        <f>IFERROR(__xludf.DUMMYFUNCTION("""COMPUTED_VALUE"""),"Uncle Sams Cider (04/04/2023)")</f>
        <v>Uncle Sams Cider (04/04/2023)</v>
      </c>
      <c r="H4992" s="19"/>
    </row>
    <row r="4993">
      <c r="A4993" s="9"/>
      <c r="B4993" s="15"/>
      <c r="C4993" s="9">
        <f>IFERROR(__xludf.DUMMYFUNCTION("""COMPUTED_VALUE"""),45092.2673360763)</f>
        <v>45092.26734</v>
      </c>
      <c r="D4993" s="15">
        <f>IFERROR(__xludf.DUMMYFUNCTION("""COMPUTED_VALUE"""),1.003)</f>
        <v>1.003</v>
      </c>
      <c r="E4993" s="16">
        <f>IFERROR(__xludf.DUMMYFUNCTION("""COMPUTED_VALUE"""),68.0)</f>
        <v>68</v>
      </c>
      <c r="F4993" s="19" t="str">
        <f>IFERROR(__xludf.DUMMYFUNCTION("""COMPUTED_VALUE"""),"BLUE")</f>
        <v>BLUE</v>
      </c>
      <c r="G4993" s="20" t="str">
        <f>IFERROR(__xludf.DUMMYFUNCTION("""COMPUTED_VALUE"""),"Uncle Sams Cider (04/04/2023)")</f>
        <v>Uncle Sams Cider (04/04/2023)</v>
      </c>
      <c r="H4993" s="19"/>
    </row>
    <row r="4994">
      <c r="A4994" s="9"/>
      <c r="B4994" s="15"/>
      <c r="C4994" s="9">
        <f>IFERROR(__xludf.DUMMYFUNCTION("""COMPUTED_VALUE"""),45092.2569048842)</f>
        <v>45092.2569</v>
      </c>
      <c r="D4994" s="15">
        <f>IFERROR(__xludf.DUMMYFUNCTION("""COMPUTED_VALUE"""),1.003)</f>
        <v>1.003</v>
      </c>
      <c r="E4994" s="16">
        <f>IFERROR(__xludf.DUMMYFUNCTION("""COMPUTED_VALUE"""),68.0)</f>
        <v>68</v>
      </c>
      <c r="F4994" s="19" t="str">
        <f>IFERROR(__xludf.DUMMYFUNCTION("""COMPUTED_VALUE"""),"BLUE")</f>
        <v>BLUE</v>
      </c>
      <c r="G4994" s="20" t="str">
        <f>IFERROR(__xludf.DUMMYFUNCTION("""COMPUTED_VALUE"""),"Uncle Sams Cider (04/04/2023)")</f>
        <v>Uncle Sams Cider (04/04/2023)</v>
      </c>
      <c r="H4994" s="19"/>
    </row>
    <row r="4995">
      <c r="A4995" s="9"/>
      <c r="B4995" s="15"/>
      <c r="C4995" s="9">
        <f>IFERROR(__xludf.DUMMYFUNCTION("""COMPUTED_VALUE"""),45092.2464828703)</f>
        <v>45092.24648</v>
      </c>
      <c r="D4995" s="15">
        <f>IFERROR(__xludf.DUMMYFUNCTION("""COMPUTED_VALUE"""),1.003)</f>
        <v>1.003</v>
      </c>
      <c r="E4995" s="16">
        <f>IFERROR(__xludf.DUMMYFUNCTION("""COMPUTED_VALUE"""),68.0)</f>
        <v>68</v>
      </c>
      <c r="F4995" s="19" t="str">
        <f>IFERROR(__xludf.DUMMYFUNCTION("""COMPUTED_VALUE"""),"BLUE")</f>
        <v>BLUE</v>
      </c>
      <c r="G4995" s="20" t="str">
        <f>IFERROR(__xludf.DUMMYFUNCTION("""COMPUTED_VALUE"""),"Uncle Sams Cider (04/04/2023)")</f>
        <v>Uncle Sams Cider (04/04/2023)</v>
      </c>
      <c r="H4995" s="19"/>
    </row>
    <row r="4996">
      <c r="A4996" s="9"/>
      <c r="B4996" s="15"/>
      <c r="C4996" s="9">
        <f>IFERROR(__xludf.DUMMYFUNCTION("""COMPUTED_VALUE"""),45092.2360267939)</f>
        <v>45092.23603</v>
      </c>
      <c r="D4996" s="15">
        <f>IFERROR(__xludf.DUMMYFUNCTION("""COMPUTED_VALUE"""),1.002)</f>
        <v>1.002</v>
      </c>
      <c r="E4996" s="16">
        <f>IFERROR(__xludf.DUMMYFUNCTION("""COMPUTED_VALUE"""),68.0)</f>
        <v>68</v>
      </c>
      <c r="F4996" s="19" t="str">
        <f>IFERROR(__xludf.DUMMYFUNCTION("""COMPUTED_VALUE"""),"BLUE")</f>
        <v>BLUE</v>
      </c>
      <c r="G4996" s="20" t="str">
        <f>IFERROR(__xludf.DUMMYFUNCTION("""COMPUTED_VALUE"""),"Uncle Sams Cider (04/04/2023)")</f>
        <v>Uncle Sams Cider (04/04/2023)</v>
      </c>
      <c r="H4996" s="19"/>
    </row>
    <row r="4997">
      <c r="A4997" s="9"/>
      <c r="B4997" s="15"/>
      <c r="C4997" s="9">
        <f>IFERROR(__xludf.DUMMYFUNCTION("""COMPUTED_VALUE"""),45092.2255939583)</f>
        <v>45092.22559</v>
      </c>
      <c r="D4997" s="15">
        <f>IFERROR(__xludf.DUMMYFUNCTION("""COMPUTED_VALUE"""),1.003)</f>
        <v>1.003</v>
      </c>
      <c r="E4997" s="16">
        <f>IFERROR(__xludf.DUMMYFUNCTION("""COMPUTED_VALUE"""),68.0)</f>
        <v>68</v>
      </c>
      <c r="F4997" s="19" t="str">
        <f>IFERROR(__xludf.DUMMYFUNCTION("""COMPUTED_VALUE"""),"BLUE")</f>
        <v>BLUE</v>
      </c>
      <c r="G4997" s="20" t="str">
        <f>IFERROR(__xludf.DUMMYFUNCTION("""COMPUTED_VALUE"""),"Uncle Sams Cider (04/04/2023)")</f>
        <v>Uncle Sams Cider (04/04/2023)</v>
      </c>
      <c r="H4997" s="19"/>
    </row>
    <row r="4998">
      <c r="A4998" s="9"/>
      <c r="B4998" s="15"/>
      <c r="C4998" s="9">
        <f>IFERROR(__xludf.DUMMYFUNCTION("""COMPUTED_VALUE"""),45092.2151743865)</f>
        <v>45092.21517</v>
      </c>
      <c r="D4998" s="15">
        <f>IFERROR(__xludf.DUMMYFUNCTION("""COMPUTED_VALUE"""),1.003)</f>
        <v>1.003</v>
      </c>
      <c r="E4998" s="16">
        <f>IFERROR(__xludf.DUMMYFUNCTION("""COMPUTED_VALUE"""),68.0)</f>
        <v>68</v>
      </c>
      <c r="F4998" s="19" t="str">
        <f>IFERROR(__xludf.DUMMYFUNCTION("""COMPUTED_VALUE"""),"BLUE")</f>
        <v>BLUE</v>
      </c>
      <c r="G4998" s="20" t="str">
        <f>IFERROR(__xludf.DUMMYFUNCTION("""COMPUTED_VALUE"""),"Uncle Sams Cider (04/04/2023)")</f>
        <v>Uncle Sams Cider (04/04/2023)</v>
      </c>
      <c r="H4998" s="19"/>
    </row>
    <row r="4999">
      <c r="A4999" s="9"/>
      <c r="B4999" s="15"/>
      <c r="C4999" s="9">
        <f>IFERROR(__xludf.DUMMYFUNCTION("""COMPUTED_VALUE"""),45092.2047391319)</f>
        <v>45092.20474</v>
      </c>
      <c r="D4999" s="15">
        <f>IFERROR(__xludf.DUMMYFUNCTION("""COMPUTED_VALUE"""),1.003)</f>
        <v>1.003</v>
      </c>
      <c r="E4999" s="16">
        <f>IFERROR(__xludf.DUMMYFUNCTION("""COMPUTED_VALUE"""),68.0)</f>
        <v>68</v>
      </c>
      <c r="F4999" s="19" t="str">
        <f>IFERROR(__xludf.DUMMYFUNCTION("""COMPUTED_VALUE"""),"BLUE")</f>
        <v>BLUE</v>
      </c>
      <c r="G4999" s="20" t="str">
        <f>IFERROR(__xludf.DUMMYFUNCTION("""COMPUTED_VALUE"""),"Uncle Sams Cider (04/04/2023)")</f>
        <v>Uncle Sams Cider (04/04/2023)</v>
      </c>
      <c r="H4999" s="19"/>
    </row>
    <row r="5000">
      <c r="A5000" s="9"/>
      <c r="B5000" s="15"/>
      <c r="C5000" s="9">
        <f>IFERROR(__xludf.DUMMYFUNCTION("""COMPUTED_VALUE"""),45092.1943168402)</f>
        <v>45092.19432</v>
      </c>
      <c r="D5000" s="15">
        <f>IFERROR(__xludf.DUMMYFUNCTION("""COMPUTED_VALUE"""),1.003)</f>
        <v>1.003</v>
      </c>
      <c r="E5000" s="16">
        <f>IFERROR(__xludf.DUMMYFUNCTION("""COMPUTED_VALUE"""),68.0)</f>
        <v>68</v>
      </c>
      <c r="F5000" s="19" t="str">
        <f>IFERROR(__xludf.DUMMYFUNCTION("""COMPUTED_VALUE"""),"BLUE")</f>
        <v>BLUE</v>
      </c>
      <c r="G5000" s="20" t="str">
        <f>IFERROR(__xludf.DUMMYFUNCTION("""COMPUTED_VALUE"""),"Uncle Sams Cider (04/04/2023)")</f>
        <v>Uncle Sams Cider (04/04/2023)</v>
      </c>
      <c r="H5000" s="19"/>
    </row>
    <row r="5001">
      <c r="A5001" s="9"/>
      <c r="B5001" s="15"/>
      <c r="C5001" s="9">
        <f>IFERROR(__xludf.DUMMYFUNCTION("""COMPUTED_VALUE"""),45092.1838957986)</f>
        <v>45092.1839</v>
      </c>
      <c r="D5001" s="15">
        <f>IFERROR(__xludf.DUMMYFUNCTION("""COMPUTED_VALUE"""),1.003)</f>
        <v>1.003</v>
      </c>
      <c r="E5001" s="16">
        <f>IFERROR(__xludf.DUMMYFUNCTION("""COMPUTED_VALUE"""),68.0)</f>
        <v>68</v>
      </c>
      <c r="F5001" s="19" t="str">
        <f>IFERROR(__xludf.DUMMYFUNCTION("""COMPUTED_VALUE"""),"BLUE")</f>
        <v>BLUE</v>
      </c>
      <c r="G5001" s="20" t="str">
        <f>IFERROR(__xludf.DUMMYFUNCTION("""COMPUTED_VALUE"""),"Uncle Sams Cider (04/04/2023)")</f>
        <v>Uncle Sams Cider (04/04/2023)</v>
      </c>
      <c r="H5001" s="19"/>
    </row>
    <row r="5002">
      <c r="A5002" s="9"/>
      <c r="B5002" s="15"/>
      <c r="C5002" s="9">
        <f>IFERROR(__xludf.DUMMYFUNCTION("""COMPUTED_VALUE"""),45092.1734754398)</f>
        <v>45092.17348</v>
      </c>
      <c r="D5002" s="15">
        <f>IFERROR(__xludf.DUMMYFUNCTION("""COMPUTED_VALUE"""),1.003)</f>
        <v>1.003</v>
      </c>
      <c r="E5002" s="16">
        <f>IFERROR(__xludf.DUMMYFUNCTION("""COMPUTED_VALUE"""),68.0)</f>
        <v>68</v>
      </c>
      <c r="F5002" s="19" t="str">
        <f>IFERROR(__xludf.DUMMYFUNCTION("""COMPUTED_VALUE"""),"BLUE")</f>
        <v>BLUE</v>
      </c>
      <c r="G5002" s="20" t="str">
        <f>IFERROR(__xludf.DUMMYFUNCTION("""COMPUTED_VALUE"""),"Uncle Sams Cider (04/04/2023)")</f>
        <v>Uncle Sams Cider (04/04/2023)</v>
      </c>
      <c r="H5002" s="19"/>
    </row>
    <row r="5003">
      <c r="A5003" s="9"/>
      <c r="B5003" s="15"/>
      <c r="C5003" s="9">
        <f>IFERROR(__xludf.DUMMYFUNCTION("""COMPUTED_VALUE"""),45092.163053912)</f>
        <v>45092.16305</v>
      </c>
      <c r="D5003" s="15">
        <f>IFERROR(__xludf.DUMMYFUNCTION("""COMPUTED_VALUE"""),1.003)</f>
        <v>1.003</v>
      </c>
      <c r="E5003" s="16">
        <f>IFERROR(__xludf.DUMMYFUNCTION("""COMPUTED_VALUE"""),68.0)</f>
        <v>68</v>
      </c>
      <c r="F5003" s="19" t="str">
        <f>IFERROR(__xludf.DUMMYFUNCTION("""COMPUTED_VALUE"""),"BLUE")</f>
        <v>BLUE</v>
      </c>
      <c r="G5003" s="20" t="str">
        <f>IFERROR(__xludf.DUMMYFUNCTION("""COMPUTED_VALUE"""),"Uncle Sams Cider (04/04/2023)")</f>
        <v>Uncle Sams Cider (04/04/2023)</v>
      </c>
      <c r="H5003" s="19"/>
    </row>
    <row r="5004">
      <c r="A5004" s="9"/>
      <c r="B5004" s="15"/>
      <c r="C5004" s="9">
        <f>IFERROR(__xludf.DUMMYFUNCTION("""COMPUTED_VALUE"""),45092.1526317939)</f>
        <v>45092.15263</v>
      </c>
      <c r="D5004" s="15">
        <f>IFERROR(__xludf.DUMMYFUNCTION("""COMPUTED_VALUE"""),1.003)</f>
        <v>1.003</v>
      </c>
      <c r="E5004" s="16">
        <f>IFERROR(__xludf.DUMMYFUNCTION("""COMPUTED_VALUE"""),68.0)</f>
        <v>68</v>
      </c>
      <c r="F5004" s="19" t="str">
        <f>IFERROR(__xludf.DUMMYFUNCTION("""COMPUTED_VALUE"""),"BLUE")</f>
        <v>BLUE</v>
      </c>
      <c r="G5004" s="20" t="str">
        <f>IFERROR(__xludf.DUMMYFUNCTION("""COMPUTED_VALUE"""),"Uncle Sams Cider (04/04/2023)")</f>
        <v>Uncle Sams Cider (04/04/2023)</v>
      </c>
      <c r="H5004" s="19"/>
    </row>
    <row r="5005">
      <c r="A5005" s="9"/>
      <c r="B5005" s="15"/>
      <c r="C5005" s="9">
        <f>IFERROR(__xludf.DUMMYFUNCTION("""COMPUTED_VALUE"""),45092.1422117129)</f>
        <v>45092.14221</v>
      </c>
      <c r="D5005" s="15">
        <f>IFERROR(__xludf.DUMMYFUNCTION("""COMPUTED_VALUE"""),1.003)</f>
        <v>1.003</v>
      </c>
      <c r="E5005" s="16">
        <f>IFERROR(__xludf.DUMMYFUNCTION("""COMPUTED_VALUE"""),68.0)</f>
        <v>68</v>
      </c>
      <c r="F5005" s="19" t="str">
        <f>IFERROR(__xludf.DUMMYFUNCTION("""COMPUTED_VALUE"""),"BLUE")</f>
        <v>BLUE</v>
      </c>
      <c r="G5005" s="20" t="str">
        <f>IFERROR(__xludf.DUMMYFUNCTION("""COMPUTED_VALUE"""),"Uncle Sams Cider (04/04/2023)")</f>
        <v>Uncle Sams Cider (04/04/2023)</v>
      </c>
      <c r="H5005" s="19"/>
    </row>
    <row r="5006">
      <c r="A5006" s="9"/>
      <c r="B5006" s="15"/>
      <c r="C5006" s="9">
        <f>IFERROR(__xludf.DUMMYFUNCTION("""COMPUTED_VALUE"""),45092.1317905324)</f>
        <v>45092.13179</v>
      </c>
      <c r="D5006" s="15">
        <f>IFERROR(__xludf.DUMMYFUNCTION("""COMPUTED_VALUE"""),1.003)</f>
        <v>1.003</v>
      </c>
      <c r="E5006" s="16">
        <f>IFERROR(__xludf.DUMMYFUNCTION("""COMPUTED_VALUE"""),68.0)</f>
        <v>68</v>
      </c>
      <c r="F5006" s="19" t="str">
        <f>IFERROR(__xludf.DUMMYFUNCTION("""COMPUTED_VALUE"""),"BLUE")</f>
        <v>BLUE</v>
      </c>
      <c r="G5006" s="20" t="str">
        <f>IFERROR(__xludf.DUMMYFUNCTION("""COMPUTED_VALUE"""),"Uncle Sams Cider (04/04/2023)")</f>
        <v>Uncle Sams Cider (04/04/2023)</v>
      </c>
      <c r="H5006" s="19"/>
    </row>
    <row r="5007">
      <c r="A5007" s="9"/>
      <c r="B5007" s="15"/>
      <c r="C5007" s="9">
        <f>IFERROR(__xludf.DUMMYFUNCTION("""COMPUTED_VALUE"""),45092.1213704282)</f>
        <v>45092.12137</v>
      </c>
      <c r="D5007" s="15">
        <f>IFERROR(__xludf.DUMMYFUNCTION("""COMPUTED_VALUE"""),1.003)</f>
        <v>1.003</v>
      </c>
      <c r="E5007" s="16">
        <f>IFERROR(__xludf.DUMMYFUNCTION("""COMPUTED_VALUE"""),68.0)</f>
        <v>68</v>
      </c>
      <c r="F5007" s="19" t="str">
        <f>IFERROR(__xludf.DUMMYFUNCTION("""COMPUTED_VALUE"""),"BLUE")</f>
        <v>BLUE</v>
      </c>
      <c r="G5007" s="20" t="str">
        <f>IFERROR(__xludf.DUMMYFUNCTION("""COMPUTED_VALUE"""),"Uncle Sams Cider (04/04/2023)")</f>
        <v>Uncle Sams Cider (04/04/2023)</v>
      </c>
      <c r="H5007" s="19"/>
    </row>
    <row r="5008">
      <c r="A5008" s="9"/>
      <c r="B5008" s="15"/>
      <c r="C5008" s="9">
        <f>IFERROR(__xludf.DUMMYFUNCTION("""COMPUTED_VALUE"""),45092.1109267129)</f>
        <v>45092.11093</v>
      </c>
      <c r="D5008" s="15">
        <f>IFERROR(__xludf.DUMMYFUNCTION("""COMPUTED_VALUE"""),1.003)</f>
        <v>1.003</v>
      </c>
      <c r="E5008" s="16">
        <f>IFERROR(__xludf.DUMMYFUNCTION("""COMPUTED_VALUE"""),68.0)</f>
        <v>68</v>
      </c>
      <c r="F5008" s="19" t="str">
        <f>IFERROR(__xludf.DUMMYFUNCTION("""COMPUTED_VALUE"""),"BLUE")</f>
        <v>BLUE</v>
      </c>
      <c r="G5008" s="20" t="str">
        <f>IFERROR(__xludf.DUMMYFUNCTION("""COMPUTED_VALUE"""),"Uncle Sams Cider (04/04/2023)")</f>
        <v>Uncle Sams Cider (04/04/2023)</v>
      </c>
      <c r="H5008" s="19"/>
    </row>
    <row r="5009">
      <c r="A5009" s="9"/>
      <c r="B5009" s="15"/>
      <c r="C5009" s="9">
        <f>IFERROR(__xludf.DUMMYFUNCTION("""COMPUTED_VALUE"""),45092.1005049768)</f>
        <v>45092.1005</v>
      </c>
      <c r="D5009" s="15">
        <f>IFERROR(__xludf.DUMMYFUNCTION("""COMPUTED_VALUE"""),1.003)</f>
        <v>1.003</v>
      </c>
      <c r="E5009" s="16">
        <f>IFERROR(__xludf.DUMMYFUNCTION("""COMPUTED_VALUE"""),68.0)</f>
        <v>68</v>
      </c>
      <c r="F5009" s="19" t="str">
        <f>IFERROR(__xludf.DUMMYFUNCTION("""COMPUTED_VALUE"""),"BLUE")</f>
        <v>BLUE</v>
      </c>
      <c r="G5009" s="20" t="str">
        <f>IFERROR(__xludf.DUMMYFUNCTION("""COMPUTED_VALUE"""),"Uncle Sams Cider (04/04/2023)")</f>
        <v>Uncle Sams Cider (04/04/2023)</v>
      </c>
      <c r="H5009" s="19"/>
    </row>
    <row r="5010">
      <c r="A5010" s="9"/>
      <c r="B5010" s="15"/>
      <c r="C5010" s="9">
        <f>IFERROR(__xludf.DUMMYFUNCTION("""COMPUTED_VALUE"""),45092.0900846064)</f>
        <v>45092.09008</v>
      </c>
      <c r="D5010" s="15">
        <f>IFERROR(__xludf.DUMMYFUNCTION("""COMPUTED_VALUE"""),1.003)</f>
        <v>1.003</v>
      </c>
      <c r="E5010" s="16">
        <f>IFERROR(__xludf.DUMMYFUNCTION("""COMPUTED_VALUE"""),68.0)</f>
        <v>68</v>
      </c>
      <c r="F5010" s="19" t="str">
        <f>IFERROR(__xludf.DUMMYFUNCTION("""COMPUTED_VALUE"""),"BLUE")</f>
        <v>BLUE</v>
      </c>
      <c r="G5010" s="20" t="str">
        <f>IFERROR(__xludf.DUMMYFUNCTION("""COMPUTED_VALUE"""),"Uncle Sams Cider (04/04/2023)")</f>
        <v>Uncle Sams Cider (04/04/2023)</v>
      </c>
      <c r="H5010" s="19"/>
    </row>
    <row r="5011">
      <c r="A5011" s="9"/>
      <c r="B5011" s="15"/>
      <c r="C5011" s="9">
        <f>IFERROR(__xludf.DUMMYFUNCTION("""COMPUTED_VALUE"""),45092.0796626736)</f>
        <v>45092.07966</v>
      </c>
      <c r="D5011" s="15">
        <f>IFERROR(__xludf.DUMMYFUNCTION("""COMPUTED_VALUE"""),1.003)</f>
        <v>1.003</v>
      </c>
      <c r="E5011" s="16">
        <f>IFERROR(__xludf.DUMMYFUNCTION("""COMPUTED_VALUE"""),68.0)</f>
        <v>68</v>
      </c>
      <c r="F5011" s="19" t="str">
        <f>IFERROR(__xludf.DUMMYFUNCTION("""COMPUTED_VALUE"""),"BLUE")</f>
        <v>BLUE</v>
      </c>
      <c r="G5011" s="20" t="str">
        <f>IFERROR(__xludf.DUMMYFUNCTION("""COMPUTED_VALUE"""),"Uncle Sams Cider (04/04/2023)")</f>
        <v>Uncle Sams Cider (04/04/2023)</v>
      </c>
      <c r="H5011" s="19"/>
    </row>
    <row r="5012">
      <c r="A5012" s="9"/>
      <c r="B5012" s="15"/>
      <c r="C5012" s="9">
        <f>IFERROR(__xludf.DUMMYFUNCTION("""COMPUTED_VALUE"""),45092.0692411458)</f>
        <v>45092.06924</v>
      </c>
      <c r="D5012" s="15">
        <f>IFERROR(__xludf.DUMMYFUNCTION("""COMPUTED_VALUE"""),1.003)</f>
        <v>1.003</v>
      </c>
      <c r="E5012" s="16">
        <f>IFERROR(__xludf.DUMMYFUNCTION("""COMPUTED_VALUE"""),68.0)</f>
        <v>68</v>
      </c>
      <c r="F5012" s="19" t="str">
        <f>IFERROR(__xludf.DUMMYFUNCTION("""COMPUTED_VALUE"""),"BLUE")</f>
        <v>BLUE</v>
      </c>
      <c r="G5012" s="20" t="str">
        <f>IFERROR(__xludf.DUMMYFUNCTION("""COMPUTED_VALUE"""),"Uncle Sams Cider (04/04/2023)")</f>
        <v>Uncle Sams Cider (04/04/2023)</v>
      </c>
      <c r="H5012" s="19"/>
    </row>
    <row r="5013">
      <c r="A5013" s="9"/>
      <c r="B5013" s="15"/>
      <c r="C5013" s="9">
        <f>IFERROR(__xludf.DUMMYFUNCTION("""COMPUTED_VALUE"""),45092.0587847569)</f>
        <v>45092.05878</v>
      </c>
      <c r="D5013" s="15">
        <f>IFERROR(__xludf.DUMMYFUNCTION("""COMPUTED_VALUE"""),1.003)</f>
        <v>1.003</v>
      </c>
      <c r="E5013" s="16">
        <f>IFERROR(__xludf.DUMMYFUNCTION("""COMPUTED_VALUE"""),68.0)</f>
        <v>68</v>
      </c>
      <c r="F5013" s="19" t="str">
        <f>IFERROR(__xludf.DUMMYFUNCTION("""COMPUTED_VALUE"""),"BLUE")</f>
        <v>BLUE</v>
      </c>
      <c r="G5013" s="20" t="str">
        <f>IFERROR(__xludf.DUMMYFUNCTION("""COMPUTED_VALUE"""),"Uncle Sams Cider (04/04/2023)")</f>
        <v>Uncle Sams Cider (04/04/2023)</v>
      </c>
      <c r="H5013" s="19"/>
    </row>
    <row r="5014">
      <c r="A5014" s="9"/>
      <c r="B5014" s="15"/>
      <c r="C5014" s="9">
        <f>IFERROR(__xludf.DUMMYFUNCTION("""COMPUTED_VALUE"""),45092.0483643171)</f>
        <v>45092.04836</v>
      </c>
      <c r="D5014" s="15">
        <f>IFERROR(__xludf.DUMMYFUNCTION("""COMPUTED_VALUE"""),1.003)</f>
        <v>1.003</v>
      </c>
      <c r="E5014" s="16">
        <f>IFERROR(__xludf.DUMMYFUNCTION("""COMPUTED_VALUE"""),68.0)</f>
        <v>68</v>
      </c>
      <c r="F5014" s="19" t="str">
        <f>IFERROR(__xludf.DUMMYFUNCTION("""COMPUTED_VALUE"""),"BLUE")</f>
        <v>BLUE</v>
      </c>
      <c r="G5014" s="20" t="str">
        <f>IFERROR(__xludf.DUMMYFUNCTION("""COMPUTED_VALUE"""),"Uncle Sams Cider (04/04/2023)")</f>
        <v>Uncle Sams Cider (04/04/2023)</v>
      </c>
      <c r="H5014" s="19"/>
    </row>
    <row r="5015">
      <c r="A5015" s="9"/>
      <c r="B5015" s="15"/>
      <c r="C5015" s="9">
        <f>IFERROR(__xludf.DUMMYFUNCTION("""COMPUTED_VALUE"""),45092.037933449)</f>
        <v>45092.03793</v>
      </c>
      <c r="D5015" s="15">
        <f>IFERROR(__xludf.DUMMYFUNCTION("""COMPUTED_VALUE"""),1.003)</f>
        <v>1.003</v>
      </c>
      <c r="E5015" s="16">
        <f>IFERROR(__xludf.DUMMYFUNCTION("""COMPUTED_VALUE"""),68.0)</f>
        <v>68</v>
      </c>
      <c r="F5015" s="19" t="str">
        <f>IFERROR(__xludf.DUMMYFUNCTION("""COMPUTED_VALUE"""),"BLUE")</f>
        <v>BLUE</v>
      </c>
      <c r="G5015" s="20" t="str">
        <f>IFERROR(__xludf.DUMMYFUNCTION("""COMPUTED_VALUE"""),"Uncle Sams Cider (04/04/2023)")</f>
        <v>Uncle Sams Cider (04/04/2023)</v>
      </c>
      <c r="H5015" s="19"/>
    </row>
    <row r="5016">
      <c r="A5016" s="9"/>
      <c r="B5016" s="15"/>
      <c r="C5016" s="9">
        <f>IFERROR(__xludf.DUMMYFUNCTION("""COMPUTED_VALUE"""),45092.0275013194)</f>
        <v>45092.0275</v>
      </c>
      <c r="D5016" s="15">
        <f>IFERROR(__xludf.DUMMYFUNCTION("""COMPUTED_VALUE"""),1.003)</f>
        <v>1.003</v>
      </c>
      <c r="E5016" s="16">
        <f>IFERROR(__xludf.DUMMYFUNCTION("""COMPUTED_VALUE"""),68.0)</f>
        <v>68</v>
      </c>
      <c r="F5016" s="19" t="str">
        <f>IFERROR(__xludf.DUMMYFUNCTION("""COMPUTED_VALUE"""),"BLUE")</f>
        <v>BLUE</v>
      </c>
      <c r="G5016" s="20" t="str">
        <f>IFERROR(__xludf.DUMMYFUNCTION("""COMPUTED_VALUE"""),"Uncle Sams Cider (04/04/2023)")</f>
        <v>Uncle Sams Cider (04/04/2023)</v>
      </c>
      <c r="H5016" s="19"/>
    </row>
    <row r="5017">
      <c r="A5017" s="9"/>
      <c r="B5017" s="15"/>
      <c r="C5017" s="9">
        <f>IFERROR(__xludf.DUMMYFUNCTION("""COMPUTED_VALUE"""),45092.0170813657)</f>
        <v>45092.01708</v>
      </c>
      <c r="D5017" s="15">
        <f>IFERROR(__xludf.DUMMYFUNCTION("""COMPUTED_VALUE"""),1.003)</f>
        <v>1.003</v>
      </c>
      <c r="E5017" s="16">
        <f>IFERROR(__xludf.DUMMYFUNCTION("""COMPUTED_VALUE"""),68.0)</f>
        <v>68</v>
      </c>
      <c r="F5017" s="19" t="str">
        <f>IFERROR(__xludf.DUMMYFUNCTION("""COMPUTED_VALUE"""),"BLUE")</f>
        <v>BLUE</v>
      </c>
      <c r="G5017" s="20" t="str">
        <f>IFERROR(__xludf.DUMMYFUNCTION("""COMPUTED_VALUE"""),"Uncle Sams Cider (04/04/2023)")</f>
        <v>Uncle Sams Cider (04/04/2023)</v>
      </c>
      <c r="H5017" s="19"/>
    </row>
    <row r="5018">
      <c r="A5018" s="9"/>
      <c r="B5018" s="15"/>
      <c r="C5018" s="9">
        <f>IFERROR(__xludf.DUMMYFUNCTION("""COMPUTED_VALUE"""),45092.0066500462)</f>
        <v>45092.00665</v>
      </c>
      <c r="D5018" s="15">
        <f>IFERROR(__xludf.DUMMYFUNCTION("""COMPUTED_VALUE"""),1.003)</f>
        <v>1.003</v>
      </c>
      <c r="E5018" s="16">
        <f>IFERROR(__xludf.DUMMYFUNCTION("""COMPUTED_VALUE"""),68.0)</f>
        <v>68</v>
      </c>
      <c r="F5018" s="19" t="str">
        <f>IFERROR(__xludf.DUMMYFUNCTION("""COMPUTED_VALUE"""),"BLUE")</f>
        <v>BLUE</v>
      </c>
      <c r="G5018" s="20" t="str">
        <f>IFERROR(__xludf.DUMMYFUNCTION("""COMPUTED_VALUE"""),"Uncle Sams Cider (04/04/2023)")</f>
        <v>Uncle Sams Cider (04/04/2023)</v>
      </c>
      <c r="H5018" s="19"/>
    </row>
    <row r="5019">
      <c r="A5019" s="9"/>
      <c r="B5019" s="15"/>
      <c r="C5019" s="9">
        <f>IFERROR(__xludf.DUMMYFUNCTION("""COMPUTED_VALUE"""),45091.996228912)</f>
        <v>45091.99623</v>
      </c>
      <c r="D5019" s="15">
        <f>IFERROR(__xludf.DUMMYFUNCTION("""COMPUTED_VALUE"""),1.003)</f>
        <v>1.003</v>
      </c>
      <c r="E5019" s="16">
        <f>IFERROR(__xludf.DUMMYFUNCTION("""COMPUTED_VALUE"""),68.0)</f>
        <v>68</v>
      </c>
      <c r="F5019" s="19" t="str">
        <f>IFERROR(__xludf.DUMMYFUNCTION("""COMPUTED_VALUE"""),"BLUE")</f>
        <v>BLUE</v>
      </c>
      <c r="G5019" s="20" t="str">
        <f>IFERROR(__xludf.DUMMYFUNCTION("""COMPUTED_VALUE"""),"Uncle Sams Cider (04/04/2023)")</f>
        <v>Uncle Sams Cider (04/04/2023)</v>
      </c>
      <c r="H5019" s="19"/>
    </row>
    <row r="5020">
      <c r="A5020" s="9"/>
      <c r="B5020" s="15"/>
      <c r="C5020" s="9">
        <f>IFERROR(__xludf.DUMMYFUNCTION("""COMPUTED_VALUE"""),45091.9857948958)</f>
        <v>45091.98579</v>
      </c>
      <c r="D5020" s="15">
        <f>IFERROR(__xludf.DUMMYFUNCTION("""COMPUTED_VALUE"""),1.003)</f>
        <v>1.003</v>
      </c>
      <c r="E5020" s="16">
        <f>IFERROR(__xludf.DUMMYFUNCTION("""COMPUTED_VALUE"""),68.0)</f>
        <v>68</v>
      </c>
      <c r="F5020" s="19" t="str">
        <f>IFERROR(__xludf.DUMMYFUNCTION("""COMPUTED_VALUE"""),"BLUE")</f>
        <v>BLUE</v>
      </c>
      <c r="G5020" s="20" t="str">
        <f>IFERROR(__xludf.DUMMYFUNCTION("""COMPUTED_VALUE"""),"Uncle Sams Cider (04/04/2023)")</f>
        <v>Uncle Sams Cider (04/04/2023)</v>
      </c>
      <c r="H5020" s="19"/>
    </row>
    <row r="5021">
      <c r="A5021" s="9"/>
      <c r="B5021" s="15"/>
      <c r="C5021" s="9">
        <f>IFERROR(__xludf.DUMMYFUNCTION("""COMPUTED_VALUE"""),45091.9753746296)</f>
        <v>45091.97537</v>
      </c>
      <c r="D5021" s="15">
        <f>IFERROR(__xludf.DUMMYFUNCTION("""COMPUTED_VALUE"""),1.003)</f>
        <v>1.003</v>
      </c>
      <c r="E5021" s="16">
        <f>IFERROR(__xludf.DUMMYFUNCTION("""COMPUTED_VALUE"""),68.0)</f>
        <v>68</v>
      </c>
      <c r="F5021" s="19" t="str">
        <f>IFERROR(__xludf.DUMMYFUNCTION("""COMPUTED_VALUE"""),"BLUE")</f>
        <v>BLUE</v>
      </c>
      <c r="G5021" s="20" t="str">
        <f>IFERROR(__xludf.DUMMYFUNCTION("""COMPUTED_VALUE"""),"Uncle Sams Cider (04/04/2023)")</f>
        <v>Uncle Sams Cider (04/04/2023)</v>
      </c>
      <c r="H5021" s="19"/>
    </row>
    <row r="5022">
      <c r="A5022" s="9"/>
      <c r="B5022" s="15"/>
      <c r="C5022" s="9">
        <f>IFERROR(__xludf.DUMMYFUNCTION("""COMPUTED_VALUE"""),45091.9649534722)</f>
        <v>45091.96495</v>
      </c>
      <c r="D5022" s="15">
        <f>IFERROR(__xludf.DUMMYFUNCTION("""COMPUTED_VALUE"""),1.003)</f>
        <v>1.003</v>
      </c>
      <c r="E5022" s="16">
        <f>IFERROR(__xludf.DUMMYFUNCTION("""COMPUTED_VALUE"""),68.0)</f>
        <v>68</v>
      </c>
      <c r="F5022" s="19" t="str">
        <f>IFERROR(__xludf.DUMMYFUNCTION("""COMPUTED_VALUE"""),"BLUE")</f>
        <v>BLUE</v>
      </c>
      <c r="G5022" s="20" t="str">
        <f>IFERROR(__xludf.DUMMYFUNCTION("""COMPUTED_VALUE"""),"Uncle Sams Cider (04/04/2023)")</f>
        <v>Uncle Sams Cider (04/04/2023)</v>
      </c>
      <c r="H5022" s="19"/>
    </row>
    <row r="5023">
      <c r="A5023" s="9"/>
      <c r="B5023" s="15"/>
      <c r="C5023" s="9">
        <f>IFERROR(__xludf.DUMMYFUNCTION("""COMPUTED_VALUE"""),45091.9545199189)</f>
        <v>45091.95452</v>
      </c>
      <c r="D5023" s="15">
        <f>IFERROR(__xludf.DUMMYFUNCTION("""COMPUTED_VALUE"""),1.003)</f>
        <v>1.003</v>
      </c>
      <c r="E5023" s="16">
        <f>IFERROR(__xludf.DUMMYFUNCTION("""COMPUTED_VALUE"""),68.0)</f>
        <v>68</v>
      </c>
      <c r="F5023" s="19" t="str">
        <f>IFERROR(__xludf.DUMMYFUNCTION("""COMPUTED_VALUE"""),"BLUE")</f>
        <v>BLUE</v>
      </c>
      <c r="G5023" s="20" t="str">
        <f>IFERROR(__xludf.DUMMYFUNCTION("""COMPUTED_VALUE"""),"Uncle Sams Cider (04/04/2023)")</f>
        <v>Uncle Sams Cider (04/04/2023)</v>
      </c>
      <c r="H5023" s="19"/>
    </row>
    <row r="5024">
      <c r="A5024" s="9"/>
      <c r="B5024" s="15"/>
      <c r="C5024" s="9">
        <f>IFERROR(__xludf.DUMMYFUNCTION("""COMPUTED_VALUE"""),45091.9440987962)</f>
        <v>45091.9441</v>
      </c>
      <c r="D5024" s="15">
        <f>IFERROR(__xludf.DUMMYFUNCTION("""COMPUTED_VALUE"""),1.003)</f>
        <v>1.003</v>
      </c>
      <c r="E5024" s="16">
        <f>IFERROR(__xludf.DUMMYFUNCTION("""COMPUTED_VALUE"""),68.0)</f>
        <v>68</v>
      </c>
      <c r="F5024" s="19" t="str">
        <f>IFERROR(__xludf.DUMMYFUNCTION("""COMPUTED_VALUE"""),"BLUE")</f>
        <v>BLUE</v>
      </c>
      <c r="G5024" s="20" t="str">
        <f>IFERROR(__xludf.DUMMYFUNCTION("""COMPUTED_VALUE"""),"Uncle Sams Cider (04/04/2023)")</f>
        <v>Uncle Sams Cider (04/04/2023)</v>
      </c>
      <c r="H5024" s="19"/>
    </row>
    <row r="5025">
      <c r="A5025" s="9"/>
      <c r="B5025" s="15"/>
      <c r="C5025" s="9">
        <f>IFERROR(__xludf.DUMMYFUNCTION("""COMPUTED_VALUE"""),45091.9336763888)</f>
        <v>45091.93368</v>
      </c>
      <c r="D5025" s="15">
        <f>IFERROR(__xludf.DUMMYFUNCTION("""COMPUTED_VALUE"""),1.003)</f>
        <v>1.003</v>
      </c>
      <c r="E5025" s="16">
        <f>IFERROR(__xludf.DUMMYFUNCTION("""COMPUTED_VALUE"""),68.0)</f>
        <v>68</v>
      </c>
      <c r="F5025" s="19" t="str">
        <f>IFERROR(__xludf.DUMMYFUNCTION("""COMPUTED_VALUE"""),"BLUE")</f>
        <v>BLUE</v>
      </c>
      <c r="G5025" s="20" t="str">
        <f>IFERROR(__xludf.DUMMYFUNCTION("""COMPUTED_VALUE"""),"Uncle Sams Cider (04/04/2023)")</f>
        <v>Uncle Sams Cider (04/04/2023)</v>
      </c>
      <c r="H5025" s="19"/>
    </row>
    <row r="5026">
      <c r="A5026" s="9"/>
      <c r="B5026" s="15"/>
      <c r="C5026" s="9">
        <f>IFERROR(__xludf.DUMMYFUNCTION("""COMPUTED_VALUE"""),45091.923254699)</f>
        <v>45091.92325</v>
      </c>
      <c r="D5026" s="15">
        <f>IFERROR(__xludf.DUMMYFUNCTION("""COMPUTED_VALUE"""),1.003)</f>
        <v>1.003</v>
      </c>
      <c r="E5026" s="16">
        <f>IFERROR(__xludf.DUMMYFUNCTION("""COMPUTED_VALUE"""),68.0)</f>
        <v>68</v>
      </c>
      <c r="F5026" s="19" t="str">
        <f>IFERROR(__xludf.DUMMYFUNCTION("""COMPUTED_VALUE"""),"BLUE")</f>
        <v>BLUE</v>
      </c>
      <c r="G5026" s="20" t="str">
        <f>IFERROR(__xludf.DUMMYFUNCTION("""COMPUTED_VALUE"""),"Uncle Sams Cider (04/04/2023)")</f>
        <v>Uncle Sams Cider (04/04/2023)</v>
      </c>
      <c r="H5026" s="19"/>
    </row>
    <row r="5027">
      <c r="A5027" s="9"/>
      <c r="B5027" s="15"/>
      <c r="C5027" s="9">
        <f>IFERROR(__xludf.DUMMYFUNCTION("""COMPUTED_VALUE"""),45091.9128210995)</f>
        <v>45091.91282</v>
      </c>
      <c r="D5027" s="15">
        <f>IFERROR(__xludf.DUMMYFUNCTION("""COMPUTED_VALUE"""),1.003)</f>
        <v>1.003</v>
      </c>
      <c r="E5027" s="16">
        <f>IFERROR(__xludf.DUMMYFUNCTION("""COMPUTED_VALUE"""),68.0)</f>
        <v>68</v>
      </c>
      <c r="F5027" s="19" t="str">
        <f>IFERROR(__xludf.DUMMYFUNCTION("""COMPUTED_VALUE"""),"BLUE")</f>
        <v>BLUE</v>
      </c>
      <c r="G5027" s="20" t="str">
        <f>IFERROR(__xludf.DUMMYFUNCTION("""COMPUTED_VALUE"""),"Uncle Sams Cider (04/04/2023)")</f>
        <v>Uncle Sams Cider (04/04/2023)</v>
      </c>
      <c r="H5027" s="19"/>
    </row>
    <row r="5028">
      <c r="A5028" s="9"/>
      <c r="B5028" s="15"/>
      <c r="C5028" s="9">
        <f>IFERROR(__xludf.DUMMYFUNCTION("""COMPUTED_VALUE"""),45091.9023996759)</f>
        <v>45091.9024</v>
      </c>
      <c r="D5028" s="15">
        <f>IFERROR(__xludf.DUMMYFUNCTION("""COMPUTED_VALUE"""),1.003)</f>
        <v>1.003</v>
      </c>
      <c r="E5028" s="16">
        <f>IFERROR(__xludf.DUMMYFUNCTION("""COMPUTED_VALUE"""),68.0)</f>
        <v>68</v>
      </c>
      <c r="F5028" s="19" t="str">
        <f>IFERROR(__xludf.DUMMYFUNCTION("""COMPUTED_VALUE"""),"BLUE")</f>
        <v>BLUE</v>
      </c>
      <c r="G5028" s="20" t="str">
        <f>IFERROR(__xludf.DUMMYFUNCTION("""COMPUTED_VALUE"""),"Uncle Sams Cider (04/04/2023)")</f>
        <v>Uncle Sams Cider (04/04/2023)</v>
      </c>
      <c r="H5028" s="19"/>
    </row>
    <row r="5029">
      <c r="A5029" s="9"/>
      <c r="B5029" s="15"/>
      <c r="C5029" s="9">
        <f>IFERROR(__xludf.DUMMYFUNCTION("""COMPUTED_VALUE"""),45091.8919783564)</f>
        <v>45091.89198</v>
      </c>
      <c r="D5029" s="15">
        <f>IFERROR(__xludf.DUMMYFUNCTION("""COMPUTED_VALUE"""),1.003)</f>
        <v>1.003</v>
      </c>
      <c r="E5029" s="16">
        <f>IFERROR(__xludf.DUMMYFUNCTION("""COMPUTED_VALUE"""),68.0)</f>
        <v>68</v>
      </c>
      <c r="F5029" s="19" t="str">
        <f>IFERROR(__xludf.DUMMYFUNCTION("""COMPUTED_VALUE"""),"BLUE")</f>
        <v>BLUE</v>
      </c>
      <c r="G5029" s="20" t="str">
        <f>IFERROR(__xludf.DUMMYFUNCTION("""COMPUTED_VALUE"""),"Uncle Sams Cider (04/04/2023)")</f>
        <v>Uncle Sams Cider (04/04/2023)</v>
      </c>
      <c r="H5029" s="19"/>
    </row>
    <row r="5030">
      <c r="A5030" s="9"/>
      <c r="B5030" s="15"/>
      <c r="C5030" s="9">
        <f>IFERROR(__xludf.DUMMYFUNCTION("""COMPUTED_VALUE"""),45091.8815580787)</f>
        <v>45091.88156</v>
      </c>
      <c r="D5030" s="15">
        <f>IFERROR(__xludf.DUMMYFUNCTION("""COMPUTED_VALUE"""),1.003)</f>
        <v>1.003</v>
      </c>
      <c r="E5030" s="16">
        <f>IFERROR(__xludf.DUMMYFUNCTION("""COMPUTED_VALUE"""),68.0)</f>
        <v>68</v>
      </c>
      <c r="F5030" s="19" t="str">
        <f>IFERROR(__xludf.DUMMYFUNCTION("""COMPUTED_VALUE"""),"BLUE")</f>
        <v>BLUE</v>
      </c>
      <c r="G5030" s="20" t="str">
        <f>IFERROR(__xludf.DUMMYFUNCTION("""COMPUTED_VALUE"""),"Uncle Sams Cider (04/04/2023)")</f>
        <v>Uncle Sams Cider (04/04/2023)</v>
      </c>
      <c r="H5030" s="19"/>
    </row>
    <row r="5031">
      <c r="A5031" s="9"/>
      <c r="B5031" s="15"/>
      <c r="C5031" s="9">
        <f>IFERROR(__xludf.DUMMYFUNCTION("""COMPUTED_VALUE"""),45091.8711370486)</f>
        <v>45091.87114</v>
      </c>
      <c r="D5031" s="15">
        <f>IFERROR(__xludf.DUMMYFUNCTION("""COMPUTED_VALUE"""),1.003)</f>
        <v>1.003</v>
      </c>
      <c r="E5031" s="16">
        <f>IFERROR(__xludf.DUMMYFUNCTION("""COMPUTED_VALUE"""),68.0)</f>
        <v>68</v>
      </c>
      <c r="F5031" s="19" t="str">
        <f>IFERROR(__xludf.DUMMYFUNCTION("""COMPUTED_VALUE"""),"BLUE")</f>
        <v>BLUE</v>
      </c>
      <c r="G5031" s="20" t="str">
        <f>IFERROR(__xludf.DUMMYFUNCTION("""COMPUTED_VALUE"""),"Uncle Sams Cider (04/04/2023)")</f>
        <v>Uncle Sams Cider (04/04/2023)</v>
      </c>
      <c r="H5031" s="19"/>
    </row>
    <row r="5032">
      <c r="A5032" s="9"/>
      <c r="B5032" s="15"/>
      <c r="C5032" s="9">
        <f>IFERROR(__xludf.DUMMYFUNCTION("""COMPUTED_VALUE"""),45091.8607154398)</f>
        <v>45091.86072</v>
      </c>
      <c r="D5032" s="15">
        <f>IFERROR(__xludf.DUMMYFUNCTION("""COMPUTED_VALUE"""),1.003)</f>
        <v>1.003</v>
      </c>
      <c r="E5032" s="16">
        <f>IFERROR(__xludf.DUMMYFUNCTION("""COMPUTED_VALUE"""),68.0)</f>
        <v>68</v>
      </c>
      <c r="F5032" s="19" t="str">
        <f>IFERROR(__xludf.DUMMYFUNCTION("""COMPUTED_VALUE"""),"BLUE")</f>
        <v>BLUE</v>
      </c>
      <c r="G5032" s="20" t="str">
        <f>IFERROR(__xludf.DUMMYFUNCTION("""COMPUTED_VALUE"""),"Uncle Sams Cider (04/04/2023)")</f>
        <v>Uncle Sams Cider (04/04/2023)</v>
      </c>
      <c r="H5032" s="19"/>
    </row>
    <row r="5033">
      <c r="A5033" s="9"/>
      <c r="B5033" s="15"/>
      <c r="C5033" s="9">
        <f>IFERROR(__xludf.DUMMYFUNCTION("""COMPUTED_VALUE"""),45091.850294074)</f>
        <v>45091.85029</v>
      </c>
      <c r="D5033" s="15">
        <f>IFERROR(__xludf.DUMMYFUNCTION("""COMPUTED_VALUE"""),1.003)</f>
        <v>1.003</v>
      </c>
      <c r="E5033" s="16">
        <f>IFERROR(__xludf.DUMMYFUNCTION("""COMPUTED_VALUE"""),68.0)</f>
        <v>68</v>
      </c>
      <c r="F5033" s="19" t="str">
        <f>IFERROR(__xludf.DUMMYFUNCTION("""COMPUTED_VALUE"""),"BLUE")</f>
        <v>BLUE</v>
      </c>
      <c r="G5033" s="20" t="str">
        <f>IFERROR(__xludf.DUMMYFUNCTION("""COMPUTED_VALUE"""),"Uncle Sams Cider (04/04/2023)")</f>
        <v>Uncle Sams Cider (04/04/2023)</v>
      </c>
      <c r="H5033" s="19"/>
    </row>
    <row r="5034">
      <c r="A5034" s="9"/>
      <c r="B5034" s="15"/>
      <c r="C5034" s="9">
        <f>IFERROR(__xludf.DUMMYFUNCTION("""COMPUTED_VALUE"""),45091.8398728703)</f>
        <v>45091.83987</v>
      </c>
      <c r="D5034" s="15">
        <f>IFERROR(__xludf.DUMMYFUNCTION("""COMPUTED_VALUE"""),1.003)</f>
        <v>1.003</v>
      </c>
      <c r="E5034" s="16">
        <f>IFERROR(__xludf.DUMMYFUNCTION("""COMPUTED_VALUE"""),68.0)</f>
        <v>68</v>
      </c>
      <c r="F5034" s="19" t="str">
        <f>IFERROR(__xludf.DUMMYFUNCTION("""COMPUTED_VALUE"""),"BLUE")</f>
        <v>BLUE</v>
      </c>
      <c r="G5034" s="20" t="str">
        <f>IFERROR(__xludf.DUMMYFUNCTION("""COMPUTED_VALUE"""),"Uncle Sams Cider (04/04/2023)")</f>
        <v>Uncle Sams Cider (04/04/2023)</v>
      </c>
      <c r="H5034" s="19"/>
    </row>
    <row r="5035">
      <c r="A5035" s="9"/>
      <c r="B5035" s="15"/>
      <c r="C5035" s="9">
        <f>IFERROR(__xludf.DUMMYFUNCTION("""COMPUTED_VALUE"""),45091.8294507407)</f>
        <v>45091.82945</v>
      </c>
      <c r="D5035" s="15">
        <f>IFERROR(__xludf.DUMMYFUNCTION("""COMPUTED_VALUE"""),1.003)</f>
        <v>1.003</v>
      </c>
      <c r="E5035" s="16">
        <f>IFERROR(__xludf.DUMMYFUNCTION("""COMPUTED_VALUE"""),68.0)</f>
        <v>68</v>
      </c>
      <c r="F5035" s="19" t="str">
        <f>IFERROR(__xludf.DUMMYFUNCTION("""COMPUTED_VALUE"""),"BLUE")</f>
        <v>BLUE</v>
      </c>
      <c r="G5035" s="20" t="str">
        <f>IFERROR(__xludf.DUMMYFUNCTION("""COMPUTED_VALUE"""),"Uncle Sams Cider (04/04/2023)")</f>
        <v>Uncle Sams Cider (04/04/2023)</v>
      </c>
      <c r="H5035" s="19"/>
    </row>
    <row r="5036">
      <c r="A5036" s="9"/>
      <c r="B5036" s="15"/>
      <c r="C5036" s="9">
        <f>IFERROR(__xludf.DUMMYFUNCTION("""COMPUTED_VALUE"""),45091.8190288657)</f>
        <v>45091.81903</v>
      </c>
      <c r="D5036" s="15">
        <f>IFERROR(__xludf.DUMMYFUNCTION("""COMPUTED_VALUE"""),1.003)</f>
        <v>1.003</v>
      </c>
      <c r="E5036" s="16">
        <f>IFERROR(__xludf.DUMMYFUNCTION("""COMPUTED_VALUE"""),68.0)</f>
        <v>68</v>
      </c>
      <c r="F5036" s="19" t="str">
        <f>IFERROR(__xludf.DUMMYFUNCTION("""COMPUTED_VALUE"""),"BLUE")</f>
        <v>BLUE</v>
      </c>
      <c r="G5036" s="20" t="str">
        <f>IFERROR(__xludf.DUMMYFUNCTION("""COMPUTED_VALUE"""),"Uncle Sams Cider (04/04/2023)")</f>
        <v>Uncle Sams Cider (04/04/2023)</v>
      </c>
      <c r="H5036" s="19"/>
    </row>
    <row r="5037">
      <c r="A5037" s="9"/>
      <c r="B5037" s="15"/>
      <c r="C5037" s="9">
        <f>IFERROR(__xludf.DUMMYFUNCTION("""COMPUTED_VALUE"""),45091.8086083564)</f>
        <v>45091.80861</v>
      </c>
      <c r="D5037" s="15">
        <f>IFERROR(__xludf.DUMMYFUNCTION("""COMPUTED_VALUE"""),1.003)</f>
        <v>1.003</v>
      </c>
      <c r="E5037" s="16">
        <f>IFERROR(__xludf.DUMMYFUNCTION("""COMPUTED_VALUE"""),68.0)</f>
        <v>68</v>
      </c>
      <c r="F5037" s="19" t="str">
        <f>IFERROR(__xludf.DUMMYFUNCTION("""COMPUTED_VALUE"""),"BLUE")</f>
        <v>BLUE</v>
      </c>
      <c r="G5037" s="20" t="str">
        <f>IFERROR(__xludf.DUMMYFUNCTION("""COMPUTED_VALUE"""),"Uncle Sams Cider (04/04/2023)")</f>
        <v>Uncle Sams Cider (04/04/2023)</v>
      </c>
      <c r="H5037" s="19"/>
    </row>
    <row r="5038">
      <c r="A5038" s="9"/>
      <c r="B5038" s="15"/>
      <c r="C5038" s="9">
        <f>IFERROR(__xludf.DUMMYFUNCTION("""COMPUTED_VALUE"""),45091.7981744907)</f>
        <v>45091.79817</v>
      </c>
      <c r="D5038" s="15">
        <f>IFERROR(__xludf.DUMMYFUNCTION("""COMPUTED_VALUE"""),1.003)</f>
        <v>1.003</v>
      </c>
      <c r="E5038" s="16">
        <f>IFERROR(__xludf.DUMMYFUNCTION("""COMPUTED_VALUE"""),68.0)</f>
        <v>68</v>
      </c>
      <c r="F5038" s="19" t="str">
        <f>IFERROR(__xludf.DUMMYFUNCTION("""COMPUTED_VALUE"""),"BLUE")</f>
        <v>BLUE</v>
      </c>
      <c r="G5038" s="20" t="str">
        <f>IFERROR(__xludf.DUMMYFUNCTION("""COMPUTED_VALUE"""),"Uncle Sams Cider (04/04/2023)")</f>
        <v>Uncle Sams Cider (04/04/2023)</v>
      </c>
      <c r="H5038" s="19"/>
    </row>
    <row r="5039">
      <c r="A5039" s="9"/>
      <c r="B5039" s="15"/>
      <c r="C5039" s="9">
        <f>IFERROR(__xludf.DUMMYFUNCTION("""COMPUTED_VALUE"""),45091.7877525578)</f>
        <v>45091.78775</v>
      </c>
      <c r="D5039" s="15">
        <f>IFERROR(__xludf.DUMMYFUNCTION("""COMPUTED_VALUE"""),1.003)</f>
        <v>1.003</v>
      </c>
      <c r="E5039" s="16">
        <f>IFERROR(__xludf.DUMMYFUNCTION("""COMPUTED_VALUE"""),68.0)</f>
        <v>68</v>
      </c>
      <c r="F5039" s="19" t="str">
        <f>IFERROR(__xludf.DUMMYFUNCTION("""COMPUTED_VALUE"""),"BLUE")</f>
        <v>BLUE</v>
      </c>
      <c r="G5039" s="20" t="str">
        <f>IFERROR(__xludf.DUMMYFUNCTION("""COMPUTED_VALUE"""),"Uncle Sams Cider (04/04/2023)")</f>
        <v>Uncle Sams Cider (04/04/2023)</v>
      </c>
      <c r="H5039" s="19"/>
    </row>
    <row r="5040">
      <c r="A5040" s="9"/>
      <c r="B5040" s="15"/>
      <c r="C5040" s="9">
        <f>IFERROR(__xludf.DUMMYFUNCTION("""COMPUTED_VALUE"""),45091.7773180787)</f>
        <v>45091.77732</v>
      </c>
      <c r="D5040" s="15">
        <f>IFERROR(__xludf.DUMMYFUNCTION("""COMPUTED_VALUE"""),1.003)</f>
        <v>1.003</v>
      </c>
      <c r="E5040" s="16">
        <f>IFERROR(__xludf.DUMMYFUNCTION("""COMPUTED_VALUE"""),68.0)</f>
        <v>68</v>
      </c>
      <c r="F5040" s="19" t="str">
        <f>IFERROR(__xludf.DUMMYFUNCTION("""COMPUTED_VALUE"""),"BLUE")</f>
        <v>BLUE</v>
      </c>
      <c r="G5040" s="20" t="str">
        <f>IFERROR(__xludf.DUMMYFUNCTION("""COMPUTED_VALUE"""),"Uncle Sams Cider (04/04/2023)")</f>
        <v>Uncle Sams Cider (04/04/2023)</v>
      </c>
      <c r="H5040" s="19"/>
    </row>
    <row r="5041">
      <c r="A5041" s="9"/>
      <c r="B5041" s="15"/>
      <c r="C5041" s="9">
        <f>IFERROR(__xludf.DUMMYFUNCTION("""COMPUTED_VALUE"""),45091.7668966666)</f>
        <v>45091.7669</v>
      </c>
      <c r="D5041" s="15">
        <f>IFERROR(__xludf.DUMMYFUNCTION("""COMPUTED_VALUE"""),1.003)</f>
        <v>1.003</v>
      </c>
      <c r="E5041" s="16">
        <f>IFERROR(__xludf.DUMMYFUNCTION("""COMPUTED_VALUE"""),68.0)</f>
        <v>68</v>
      </c>
      <c r="F5041" s="19" t="str">
        <f>IFERROR(__xludf.DUMMYFUNCTION("""COMPUTED_VALUE"""),"BLUE")</f>
        <v>BLUE</v>
      </c>
      <c r="G5041" s="20" t="str">
        <f>IFERROR(__xludf.DUMMYFUNCTION("""COMPUTED_VALUE"""),"Uncle Sams Cider (04/04/2023)")</f>
        <v>Uncle Sams Cider (04/04/2023)</v>
      </c>
      <c r="H5041" s="19"/>
    </row>
    <row r="5042">
      <c r="A5042" s="9"/>
      <c r="B5042" s="15"/>
      <c r="C5042" s="9">
        <f>IFERROR(__xludf.DUMMYFUNCTION("""COMPUTED_VALUE"""),45091.7564745833)</f>
        <v>45091.75647</v>
      </c>
      <c r="D5042" s="15">
        <f>IFERROR(__xludf.DUMMYFUNCTION("""COMPUTED_VALUE"""),1.003)</f>
        <v>1.003</v>
      </c>
      <c r="E5042" s="16">
        <f>IFERROR(__xludf.DUMMYFUNCTION("""COMPUTED_VALUE"""),68.0)</f>
        <v>68</v>
      </c>
      <c r="F5042" s="19" t="str">
        <f>IFERROR(__xludf.DUMMYFUNCTION("""COMPUTED_VALUE"""),"BLUE")</f>
        <v>BLUE</v>
      </c>
      <c r="G5042" s="20" t="str">
        <f>IFERROR(__xludf.DUMMYFUNCTION("""COMPUTED_VALUE"""),"Uncle Sams Cider (04/04/2023)")</f>
        <v>Uncle Sams Cider (04/04/2023)</v>
      </c>
      <c r="H5042" s="19"/>
    </row>
    <row r="5043">
      <c r="A5043" s="9"/>
      <c r="B5043" s="15"/>
      <c r="C5043" s="9">
        <f>IFERROR(__xludf.DUMMYFUNCTION("""COMPUTED_VALUE"""),45091.7460546064)</f>
        <v>45091.74605</v>
      </c>
      <c r="D5043" s="15">
        <f>IFERROR(__xludf.DUMMYFUNCTION("""COMPUTED_VALUE"""),1.003)</f>
        <v>1.003</v>
      </c>
      <c r="E5043" s="16">
        <f>IFERROR(__xludf.DUMMYFUNCTION("""COMPUTED_VALUE"""),68.0)</f>
        <v>68</v>
      </c>
      <c r="F5043" s="19" t="str">
        <f>IFERROR(__xludf.DUMMYFUNCTION("""COMPUTED_VALUE"""),"BLUE")</f>
        <v>BLUE</v>
      </c>
      <c r="G5043" s="20" t="str">
        <f>IFERROR(__xludf.DUMMYFUNCTION("""COMPUTED_VALUE"""),"Uncle Sams Cider (04/04/2023)")</f>
        <v>Uncle Sams Cider (04/04/2023)</v>
      </c>
      <c r="H5043" s="19"/>
    </row>
    <row r="5044">
      <c r="A5044" s="9"/>
      <c r="B5044" s="15"/>
      <c r="C5044" s="9">
        <f>IFERROR(__xludf.DUMMYFUNCTION("""COMPUTED_VALUE"""),45091.735634699)</f>
        <v>45091.73563</v>
      </c>
      <c r="D5044" s="15">
        <f>IFERROR(__xludf.DUMMYFUNCTION("""COMPUTED_VALUE"""),1.003)</f>
        <v>1.003</v>
      </c>
      <c r="E5044" s="16">
        <f>IFERROR(__xludf.DUMMYFUNCTION("""COMPUTED_VALUE"""),68.0)</f>
        <v>68</v>
      </c>
      <c r="F5044" s="19" t="str">
        <f>IFERROR(__xludf.DUMMYFUNCTION("""COMPUTED_VALUE"""),"BLUE")</f>
        <v>BLUE</v>
      </c>
      <c r="G5044" s="20" t="str">
        <f>IFERROR(__xludf.DUMMYFUNCTION("""COMPUTED_VALUE"""),"Uncle Sams Cider (04/04/2023)")</f>
        <v>Uncle Sams Cider (04/04/2023)</v>
      </c>
      <c r="H5044" s="19"/>
    </row>
    <row r="5045">
      <c r="A5045" s="9"/>
      <c r="B5045" s="15"/>
      <c r="C5045" s="9">
        <f>IFERROR(__xludf.DUMMYFUNCTION("""COMPUTED_VALUE"""),45091.7252130671)</f>
        <v>45091.72521</v>
      </c>
      <c r="D5045" s="15">
        <f>IFERROR(__xludf.DUMMYFUNCTION("""COMPUTED_VALUE"""),1.003)</f>
        <v>1.003</v>
      </c>
      <c r="E5045" s="16">
        <f>IFERROR(__xludf.DUMMYFUNCTION("""COMPUTED_VALUE"""),68.0)</f>
        <v>68</v>
      </c>
      <c r="F5045" s="19" t="str">
        <f>IFERROR(__xludf.DUMMYFUNCTION("""COMPUTED_VALUE"""),"BLUE")</f>
        <v>BLUE</v>
      </c>
      <c r="G5045" s="20" t="str">
        <f>IFERROR(__xludf.DUMMYFUNCTION("""COMPUTED_VALUE"""),"Uncle Sams Cider (04/04/2023)")</f>
        <v>Uncle Sams Cider (04/04/2023)</v>
      </c>
      <c r="H5045" s="19"/>
    </row>
    <row r="5046">
      <c r="A5046" s="9"/>
      <c r="B5046" s="15"/>
      <c r="C5046" s="9">
        <f>IFERROR(__xludf.DUMMYFUNCTION("""COMPUTED_VALUE"""),45091.7147790509)</f>
        <v>45091.71478</v>
      </c>
      <c r="D5046" s="15">
        <f>IFERROR(__xludf.DUMMYFUNCTION("""COMPUTED_VALUE"""),1.003)</f>
        <v>1.003</v>
      </c>
      <c r="E5046" s="16">
        <f>IFERROR(__xludf.DUMMYFUNCTION("""COMPUTED_VALUE"""),68.0)</f>
        <v>68</v>
      </c>
      <c r="F5046" s="19" t="str">
        <f>IFERROR(__xludf.DUMMYFUNCTION("""COMPUTED_VALUE"""),"BLUE")</f>
        <v>BLUE</v>
      </c>
      <c r="G5046" s="20" t="str">
        <f>IFERROR(__xludf.DUMMYFUNCTION("""COMPUTED_VALUE"""),"Uncle Sams Cider (04/04/2023)")</f>
        <v>Uncle Sams Cider (04/04/2023)</v>
      </c>
      <c r="H5046" s="19"/>
    </row>
    <row r="5047">
      <c r="A5047" s="9"/>
      <c r="B5047" s="15"/>
      <c r="C5047" s="9">
        <f>IFERROR(__xludf.DUMMYFUNCTION("""COMPUTED_VALUE"""),45091.7043467592)</f>
        <v>45091.70435</v>
      </c>
      <c r="D5047" s="15">
        <f>IFERROR(__xludf.DUMMYFUNCTION("""COMPUTED_VALUE"""),1.003)</f>
        <v>1.003</v>
      </c>
      <c r="E5047" s="16">
        <f>IFERROR(__xludf.DUMMYFUNCTION("""COMPUTED_VALUE"""),68.0)</f>
        <v>68</v>
      </c>
      <c r="F5047" s="19" t="str">
        <f>IFERROR(__xludf.DUMMYFUNCTION("""COMPUTED_VALUE"""),"BLUE")</f>
        <v>BLUE</v>
      </c>
      <c r="G5047" s="20" t="str">
        <f>IFERROR(__xludf.DUMMYFUNCTION("""COMPUTED_VALUE"""),"Uncle Sams Cider (04/04/2023)")</f>
        <v>Uncle Sams Cider (04/04/2023)</v>
      </c>
      <c r="H5047" s="19"/>
    </row>
    <row r="5048">
      <c r="A5048" s="9"/>
      <c r="B5048" s="15"/>
      <c r="C5048" s="9">
        <f>IFERROR(__xludf.DUMMYFUNCTION("""COMPUTED_VALUE"""),45091.6939283333)</f>
        <v>45091.69393</v>
      </c>
      <c r="D5048" s="15">
        <f>IFERROR(__xludf.DUMMYFUNCTION("""COMPUTED_VALUE"""),1.003)</f>
        <v>1.003</v>
      </c>
      <c r="E5048" s="16">
        <f>IFERROR(__xludf.DUMMYFUNCTION("""COMPUTED_VALUE"""),68.0)</f>
        <v>68</v>
      </c>
      <c r="F5048" s="19" t="str">
        <f>IFERROR(__xludf.DUMMYFUNCTION("""COMPUTED_VALUE"""),"BLUE")</f>
        <v>BLUE</v>
      </c>
      <c r="G5048" s="20" t="str">
        <f>IFERROR(__xludf.DUMMYFUNCTION("""COMPUTED_VALUE"""),"Uncle Sams Cider (04/04/2023)")</f>
        <v>Uncle Sams Cider (04/04/2023)</v>
      </c>
      <c r="H5048" s="19"/>
    </row>
    <row r="5049">
      <c r="A5049" s="9"/>
      <c r="B5049" s="15"/>
      <c r="C5049" s="9">
        <f>IFERROR(__xludf.DUMMYFUNCTION("""COMPUTED_VALUE"""),45091.683507199)</f>
        <v>45091.68351</v>
      </c>
      <c r="D5049" s="15">
        <f>IFERROR(__xludf.DUMMYFUNCTION("""COMPUTED_VALUE"""),1.003)</f>
        <v>1.003</v>
      </c>
      <c r="E5049" s="16">
        <f>IFERROR(__xludf.DUMMYFUNCTION("""COMPUTED_VALUE"""),68.0)</f>
        <v>68</v>
      </c>
      <c r="F5049" s="19" t="str">
        <f>IFERROR(__xludf.DUMMYFUNCTION("""COMPUTED_VALUE"""),"BLUE")</f>
        <v>BLUE</v>
      </c>
      <c r="G5049" s="20" t="str">
        <f>IFERROR(__xludf.DUMMYFUNCTION("""COMPUTED_VALUE"""),"Uncle Sams Cider (04/04/2023)")</f>
        <v>Uncle Sams Cider (04/04/2023)</v>
      </c>
      <c r="H5049" s="19"/>
    </row>
    <row r="5050">
      <c r="A5050" s="9"/>
      <c r="B5050" s="15"/>
      <c r="C5050" s="9">
        <f>IFERROR(__xludf.DUMMYFUNCTION("""COMPUTED_VALUE"""),45091.6730876736)</f>
        <v>45091.67309</v>
      </c>
      <c r="D5050" s="15">
        <f>IFERROR(__xludf.DUMMYFUNCTION("""COMPUTED_VALUE"""),1.003)</f>
        <v>1.003</v>
      </c>
      <c r="E5050" s="16">
        <f>IFERROR(__xludf.DUMMYFUNCTION("""COMPUTED_VALUE"""),68.0)</f>
        <v>68</v>
      </c>
      <c r="F5050" s="19" t="str">
        <f>IFERROR(__xludf.DUMMYFUNCTION("""COMPUTED_VALUE"""),"BLUE")</f>
        <v>BLUE</v>
      </c>
      <c r="G5050" s="20" t="str">
        <f>IFERROR(__xludf.DUMMYFUNCTION("""COMPUTED_VALUE"""),"Uncle Sams Cider (04/04/2023)")</f>
        <v>Uncle Sams Cider (04/04/2023)</v>
      </c>
      <c r="H5050" s="19"/>
    </row>
    <row r="5051">
      <c r="A5051" s="9"/>
      <c r="B5051" s="15"/>
      <c r="C5051" s="9">
        <f>IFERROR(__xludf.DUMMYFUNCTION("""COMPUTED_VALUE"""),45091.6626647106)</f>
        <v>45091.66266</v>
      </c>
      <c r="D5051" s="15">
        <f>IFERROR(__xludf.DUMMYFUNCTION("""COMPUTED_VALUE"""),1.003)</f>
        <v>1.003</v>
      </c>
      <c r="E5051" s="16">
        <f>IFERROR(__xludf.DUMMYFUNCTION("""COMPUTED_VALUE"""),68.0)</f>
        <v>68</v>
      </c>
      <c r="F5051" s="19" t="str">
        <f>IFERROR(__xludf.DUMMYFUNCTION("""COMPUTED_VALUE"""),"BLUE")</f>
        <v>BLUE</v>
      </c>
      <c r="G5051" s="20" t="str">
        <f>IFERROR(__xludf.DUMMYFUNCTION("""COMPUTED_VALUE"""),"Uncle Sams Cider (04/04/2023)")</f>
        <v>Uncle Sams Cider (04/04/2023)</v>
      </c>
      <c r="H5051" s="19"/>
    </row>
    <row r="5052">
      <c r="A5052" s="9"/>
      <c r="B5052" s="15"/>
      <c r="C5052" s="9">
        <f>IFERROR(__xludf.DUMMYFUNCTION("""COMPUTED_VALUE"""),45091.6522441551)</f>
        <v>45091.65224</v>
      </c>
      <c r="D5052" s="15">
        <f>IFERROR(__xludf.DUMMYFUNCTION("""COMPUTED_VALUE"""),1.003)</f>
        <v>1.003</v>
      </c>
      <c r="E5052" s="16">
        <f>IFERROR(__xludf.DUMMYFUNCTION("""COMPUTED_VALUE"""),68.0)</f>
        <v>68</v>
      </c>
      <c r="F5052" s="19" t="str">
        <f>IFERROR(__xludf.DUMMYFUNCTION("""COMPUTED_VALUE"""),"BLUE")</f>
        <v>BLUE</v>
      </c>
      <c r="G5052" s="20" t="str">
        <f>IFERROR(__xludf.DUMMYFUNCTION("""COMPUTED_VALUE"""),"Uncle Sams Cider (04/04/2023)")</f>
        <v>Uncle Sams Cider (04/04/2023)</v>
      </c>
      <c r="H5052" s="19"/>
    </row>
    <row r="5053">
      <c r="A5053" s="9"/>
      <c r="B5053" s="15"/>
      <c r="C5053" s="9">
        <f>IFERROR(__xludf.DUMMYFUNCTION("""COMPUTED_VALUE"""),45091.6418233217)</f>
        <v>45091.64182</v>
      </c>
      <c r="D5053" s="15">
        <f>IFERROR(__xludf.DUMMYFUNCTION("""COMPUTED_VALUE"""),1.003)</f>
        <v>1.003</v>
      </c>
      <c r="E5053" s="16">
        <f>IFERROR(__xludf.DUMMYFUNCTION("""COMPUTED_VALUE"""),68.0)</f>
        <v>68</v>
      </c>
      <c r="F5053" s="19" t="str">
        <f>IFERROR(__xludf.DUMMYFUNCTION("""COMPUTED_VALUE"""),"BLUE")</f>
        <v>BLUE</v>
      </c>
      <c r="G5053" s="20" t="str">
        <f>IFERROR(__xludf.DUMMYFUNCTION("""COMPUTED_VALUE"""),"Uncle Sams Cider (04/04/2023)")</f>
        <v>Uncle Sams Cider (04/04/2023)</v>
      </c>
      <c r="H5053" s="19"/>
    </row>
    <row r="5054">
      <c r="A5054" s="9"/>
      <c r="B5054" s="15"/>
      <c r="C5054" s="9">
        <f>IFERROR(__xludf.DUMMYFUNCTION("""COMPUTED_VALUE"""),45091.6314008101)</f>
        <v>45091.6314</v>
      </c>
      <c r="D5054" s="15">
        <f>IFERROR(__xludf.DUMMYFUNCTION("""COMPUTED_VALUE"""),1.003)</f>
        <v>1.003</v>
      </c>
      <c r="E5054" s="16">
        <f>IFERROR(__xludf.DUMMYFUNCTION("""COMPUTED_VALUE"""),68.0)</f>
        <v>68</v>
      </c>
      <c r="F5054" s="19" t="str">
        <f>IFERROR(__xludf.DUMMYFUNCTION("""COMPUTED_VALUE"""),"BLUE")</f>
        <v>BLUE</v>
      </c>
      <c r="G5054" s="20" t="str">
        <f>IFERROR(__xludf.DUMMYFUNCTION("""COMPUTED_VALUE"""),"Uncle Sams Cider (04/04/2023)")</f>
        <v>Uncle Sams Cider (04/04/2023)</v>
      </c>
      <c r="H5054" s="19"/>
    </row>
    <row r="5055">
      <c r="A5055" s="9"/>
      <c r="B5055" s="15"/>
      <c r="C5055" s="9">
        <f>IFERROR(__xludf.DUMMYFUNCTION("""COMPUTED_VALUE"""),45091.6209782291)</f>
        <v>45091.62098</v>
      </c>
      <c r="D5055" s="15">
        <f>IFERROR(__xludf.DUMMYFUNCTION("""COMPUTED_VALUE"""),1.003)</f>
        <v>1.003</v>
      </c>
      <c r="E5055" s="16">
        <f>IFERROR(__xludf.DUMMYFUNCTION("""COMPUTED_VALUE"""),68.0)</f>
        <v>68</v>
      </c>
      <c r="F5055" s="19" t="str">
        <f>IFERROR(__xludf.DUMMYFUNCTION("""COMPUTED_VALUE"""),"BLUE")</f>
        <v>BLUE</v>
      </c>
      <c r="G5055" s="20" t="str">
        <f>IFERROR(__xludf.DUMMYFUNCTION("""COMPUTED_VALUE"""),"Uncle Sams Cider (04/04/2023)")</f>
        <v>Uncle Sams Cider (04/04/2023)</v>
      </c>
      <c r="H5055" s="19"/>
    </row>
    <row r="5056">
      <c r="A5056" s="9"/>
      <c r="B5056" s="15"/>
      <c r="C5056" s="9">
        <f>IFERROR(__xludf.DUMMYFUNCTION("""COMPUTED_VALUE"""),45091.6105345717)</f>
        <v>45091.61053</v>
      </c>
      <c r="D5056" s="15">
        <f>IFERROR(__xludf.DUMMYFUNCTION("""COMPUTED_VALUE"""),1.003)</f>
        <v>1.003</v>
      </c>
      <c r="E5056" s="16">
        <f>IFERROR(__xludf.DUMMYFUNCTION("""COMPUTED_VALUE"""),68.0)</f>
        <v>68</v>
      </c>
      <c r="F5056" s="19" t="str">
        <f>IFERROR(__xludf.DUMMYFUNCTION("""COMPUTED_VALUE"""),"BLUE")</f>
        <v>BLUE</v>
      </c>
      <c r="G5056" s="20" t="str">
        <f>IFERROR(__xludf.DUMMYFUNCTION("""COMPUTED_VALUE"""),"Uncle Sams Cider (04/04/2023)")</f>
        <v>Uncle Sams Cider (04/04/2023)</v>
      </c>
      <c r="H5056" s="19"/>
    </row>
    <row r="5057">
      <c r="A5057" s="9"/>
      <c r="B5057" s="15"/>
      <c r="C5057" s="9">
        <f>IFERROR(__xludf.DUMMYFUNCTION("""COMPUTED_VALUE"""),45091.6001151041)</f>
        <v>45091.60012</v>
      </c>
      <c r="D5057" s="15">
        <f>IFERROR(__xludf.DUMMYFUNCTION("""COMPUTED_VALUE"""),1.003)</f>
        <v>1.003</v>
      </c>
      <c r="E5057" s="16">
        <f>IFERROR(__xludf.DUMMYFUNCTION("""COMPUTED_VALUE"""),68.0)</f>
        <v>68</v>
      </c>
      <c r="F5057" s="19" t="str">
        <f>IFERROR(__xludf.DUMMYFUNCTION("""COMPUTED_VALUE"""),"BLUE")</f>
        <v>BLUE</v>
      </c>
      <c r="G5057" s="20" t="str">
        <f>IFERROR(__xludf.DUMMYFUNCTION("""COMPUTED_VALUE"""),"Uncle Sams Cider (04/04/2023)")</f>
        <v>Uncle Sams Cider (04/04/2023)</v>
      </c>
      <c r="H5057" s="19"/>
    </row>
    <row r="5058">
      <c r="A5058" s="9"/>
      <c r="B5058" s="15"/>
      <c r="C5058" s="9">
        <f>IFERROR(__xludf.DUMMYFUNCTION("""COMPUTED_VALUE"""),45091.5896814351)</f>
        <v>45091.58968</v>
      </c>
      <c r="D5058" s="15">
        <f>IFERROR(__xludf.DUMMYFUNCTION("""COMPUTED_VALUE"""),1.003)</f>
        <v>1.003</v>
      </c>
      <c r="E5058" s="16">
        <f>IFERROR(__xludf.DUMMYFUNCTION("""COMPUTED_VALUE"""),68.0)</f>
        <v>68</v>
      </c>
      <c r="F5058" s="19" t="str">
        <f>IFERROR(__xludf.DUMMYFUNCTION("""COMPUTED_VALUE"""),"BLUE")</f>
        <v>BLUE</v>
      </c>
      <c r="G5058" s="20" t="str">
        <f>IFERROR(__xludf.DUMMYFUNCTION("""COMPUTED_VALUE"""),"Uncle Sams Cider (04/04/2023)")</f>
        <v>Uncle Sams Cider (04/04/2023)</v>
      </c>
      <c r="H5058" s="19"/>
    </row>
    <row r="5059">
      <c r="A5059" s="9"/>
      <c r="B5059" s="15"/>
      <c r="C5059" s="9">
        <f>IFERROR(__xludf.DUMMYFUNCTION("""COMPUTED_VALUE"""),45091.5792598495)</f>
        <v>45091.57926</v>
      </c>
      <c r="D5059" s="15">
        <f>IFERROR(__xludf.DUMMYFUNCTION("""COMPUTED_VALUE"""),1.003)</f>
        <v>1.003</v>
      </c>
      <c r="E5059" s="16">
        <f>IFERROR(__xludf.DUMMYFUNCTION("""COMPUTED_VALUE"""),68.0)</f>
        <v>68</v>
      </c>
      <c r="F5059" s="19" t="str">
        <f>IFERROR(__xludf.DUMMYFUNCTION("""COMPUTED_VALUE"""),"BLUE")</f>
        <v>BLUE</v>
      </c>
      <c r="G5059" s="20" t="str">
        <f>IFERROR(__xludf.DUMMYFUNCTION("""COMPUTED_VALUE"""),"Uncle Sams Cider (04/04/2023)")</f>
        <v>Uncle Sams Cider (04/04/2023)</v>
      </c>
      <c r="H5059" s="19"/>
    </row>
    <row r="5060">
      <c r="A5060" s="9"/>
      <c r="B5060" s="15"/>
      <c r="C5060" s="9">
        <f>IFERROR(__xludf.DUMMYFUNCTION("""COMPUTED_VALUE"""),45091.5688387962)</f>
        <v>45091.56884</v>
      </c>
      <c r="D5060" s="15">
        <f>IFERROR(__xludf.DUMMYFUNCTION("""COMPUTED_VALUE"""),1.003)</f>
        <v>1.003</v>
      </c>
      <c r="E5060" s="16">
        <f>IFERROR(__xludf.DUMMYFUNCTION("""COMPUTED_VALUE"""),68.0)</f>
        <v>68</v>
      </c>
      <c r="F5060" s="19" t="str">
        <f>IFERROR(__xludf.DUMMYFUNCTION("""COMPUTED_VALUE"""),"BLUE")</f>
        <v>BLUE</v>
      </c>
      <c r="G5060" s="20" t="str">
        <f>IFERROR(__xludf.DUMMYFUNCTION("""COMPUTED_VALUE"""),"Uncle Sams Cider (04/04/2023)")</f>
        <v>Uncle Sams Cider (04/04/2023)</v>
      </c>
      <c r="H5060" s="19"/>
    </row>
    <row r="5061">
      <c r="A5061" s="9"/>
      <c r="B5061" s="15"/>
      <c r="C5061" s="9">
        <f>IFERROR(__xludf.DUMMYFUNCTION("""COMPUTED_VALUE"""),45091.5584076967)</f>
        <v>45091.55841</v>
      </c>
      <c r="D5061" s="15">
        <f>IFERROR(__xludf.DUMMYFUNCTION("""COMPUTED_VALUE"""),1.003)</f>
        <v>1.003</v>
      </c>
      <c r="E5061" s="16">
        <f>IFERROR(__xludf.DUMMYFUNCTION("""COMPUTED_VALUE"""),68.0)</f>
        <v>68</v>
      </c>
      <c r="F5061" s="19" t="str">
        <f>IFERROR(__xludf.DUMMYFUNCTION("""COMPUTED_VALUE"""),"BLUE")</f>
        <v>BLUE</v>
      </c>
      <c r="G5061" s="20" t="str">
        <f>IFERROR(__xludf.DUMMYFUNCTION("""COMPUTED_VALUE"""),"Uncle Sams Cider (04/04/2023)")</f>
        <v>Uncle Sams Cider (04/04/2023)</v>
      </c>
      <c r="H5061" s="19"/>
    </row>
    <row r="5062">
      <c r="A5062" s="9"/>
      <c r="B5062" s="15"/>
      <c r="C5062" s="9">
        <f>IFERROR(__xludf.DUMMYFUNCTION("""COMPUTED_VALUE"""),45091.5479870717)</f>
        <v>45091.54799</v>
      </c>
      <c r="D5062" s="15">
        <f>IFERROR(__xludf.DUMMYFUNCTION("""COMPUTED_VALUE"""),1.003)</f>
        <v>1.003</v>
      </c>
      <c r="E5062" s="16">
        <f>IFERROR(__xludf.DUMMYFUNCTION("""COMPUTED_VALUE"""),68.0)</f>
        <v>68</v>
      </c>
      <c r="F5062" s="19" t="str">
        <f>IFERROR(__xludf.DUMMYFUNCTION("""COMPUTED_VALUE"""),"BLUE")</f>
        <v>BLUE</v>
      </c>
      <c r="G5062" s="20" t="str">
        <f>IFERROR(__xludf.DUMMYFUNCTION("""COMPUTED_VALUE"""),"Uncle Sams Cider (04/04/2023)")</f>
        <v>Uncle Sams Cider (04/04/2023)</v>
      </c>
      <c r="H5062" s="19"/>
    </row>
    <row r="5063">
      <c r="A5063" s="9"/>
      <c r="B5063" s="15"/>
      <c r="C5063" s="9">
        <f>IFERROR(__xludf.DUMMYFUNCTION("""COMPUTED_VALUE"""),45091.5375675578)</f>
        <v>45091.53757</v>
      </c>
      <c r="D5063" s="15">
        <f>IFERROR(__xludf.DUMMYFUNCTION("""COMPUTED_VALUE"""),1.003)</f>
        <v>1.003</v>
      </c>
      <c r="E5063" s="16">
        <f>IFERROR(__xludf.DUMMYFUNCTION("""COMPUTED_VALUE"""),68.0)</f>
        <v>68</v>
      </c>
      <c r="F5063" s="19" t="str">
        <f>IFERROR(__xludf.DUMMYFUNCTION("""COMPUTED_VALUE"""),"BLUE")</f>
        <v>BLUE</v>
      </c>
      <c r="G5063" s="20" t="str">
        <f>IFERROR(__xludf.DUMMYFUNCTION("""COMPUTED_VALUE"""),"Uncle Sams Cider (04/04/2023)")</f>
        <v>Uncle Sams Cider (04/04/2023)</v>
      </c>
      <c r="H5063" s="19"/>
    </row>
    <row r="5064">
      <c r="A5064" s="9"/>
      <c r="B5064" s="15"/>
      <c r="C5064" s="9">
        <f>IFERROR(__xludf.DUMMYFUNCTION("""COMPUTED_VALUE"""),45091.5271473726)</f>
        <v>45091.52715</v>
      </c>
      <c r="D5064" s="15">
        <f>IFERROR(__xludf.DUMMYFUNCTION("""COMPUTED_VALUE"""),1.003)</f>
        <v>1.003</v>
      </c>
      <c r="E5064" s="16">
        <f>IFERROR(__xludf.DUMMYFUNCTION("""COMPUTED_VALUE"""),68.0)</f>
        <v>68</v>
      </c>
      <c r="F5064" s="19" t="str">
        <f>IFERROR(__xludf.DUMMYFUNCTION("""COMPUTED_VALUE"""),"BLUE")</f>
        <v>BLUE</v>
      </c>
      <c r="G5064" s="20" t="str">
        <f>IFERROR(__xludf.DUMMYFUNCTION("""COMPUTED_VALUE"""),"Uncle Sams Cider (04/04/2023)")</f>
        <v>Uncle Sams Cider (04/04/2023)</v>
      </c>
      <c r="H5064" s="19"/>
    </row>
    <row r="5065">
      <c r="A5065" s="9"/>
      <c r="B5065" s="15"/>
      <c r="C5065" s="9">
        <f>IFERROR(__xludf.DUMMYFUNCTION("""COMPUTED_VALUE"""),45091.5167268055)</f>
        <v>45091.51673</v>
      </c>
      <c r="D5065" s="15">
        <f>IFERROR(__xludf.DUMMYFUNCTION("""COMPUTED_VALUE"""),1.003)</f>
        <v>1.003</v>
      </c>
      <c r="E5065" s="16">
        <f>IFERROR(__xludf.DUMMYFUNCTION("""COMPUTED_VALUE"""),68.0)</f>
        <v>68</v>
      </c>
      <c r="F5065" s="19" t="str">
        <f>IFERROR(__xludf.DUMMYFUNCTION("""COMPUTED_VALUE"""),"BLUE")</f>
        <v>BLUE</v>
      </c>
      <c r="G5065" s="20" t="str">
        <f>IFERROR(__xludf.DUMMYFUNCTION("""COMPUTED_VALUE"""),"Uncle Sams Cider (04/04/2023)")</f>
        <v>Uncle Sams Cider (04/04/2023)</v>
      </c>
      <c r="H5065" s="19"/>
    </row>
    <row r="5066">
      <c r="A5066" s="9"/>
      <c r="B5066" s="15"/>
      <c r="C5066" s="9">
        <f>IFERROR(__xludf.DUMMYFUNCTION("""COMPUTED_VALUE"""),45091.5063040046)</f>
        <v>45091.5063</v>
      </c>
      <c r="D5066" s="15">
        <f>IFERROR(__xludf.DUMMYFUNCTION("""COMPUTED_VALUE"""),1.003)</f>
        <v>1.003</v>
      </c>
      <c r="E5066" s="16">
        <f>IFERROR(__xludf.DUMMYFUNCTION("""COMPUTED_VALUE"""),68.0)</f>
        <v>68</v>
      </c>
      <c r="F5066" s="19" t="str">
        <f>IFERROR(__xludf.DUMMYFUNCTION("""COMPUTED_VALUE"""),"BLUE")</f>
        <v>BLUE</v>
      </c>
      <c r="G5066" s="20" t="str">
        <f>IFERROR(__xludf.DUMMYFUNCTION("""COMPUTED_VALUE"""),"Uncle Sams Cider (04/04/2023)")</f>
        <v>Uncle Sams Cider (04/04/2023)</v>
      </c>
      <c r="H5066" s="19"/>
    </row>
    <row r="5067">
      <c r="A5067" s="9"/>
      <c r="B5067" s="15"/>
      <c r="C5067" s="9">
        <f>IFERROR(__xludf.DUMMYFUNCTION("""COMPUTED_VALUE"""),45091.4958702777)</f>
        <v>45091.49587</v>
      </c>
      <c r="D5067" s="15">
        <f>IFERROR(__xludf.DUMMYFUNCTION("""COMPUTED_VALUE"""),1.003)</f>
        <v>1.003</v>
      </c>
      <c r="E5067" s="16">
        <f>IFERROR(__xludf.DUMMYFUNCTION("""COMPUTED_VALUE"""),68.0)</f>
        <v>68</v>
      </c>
      <c r="F5067" s="19" t="str">
        <f>IFERROR(__xludf.DUMMYFUNCTION("""COMPUTED_VALUE"""),"BLUE")</f>
        <v>BLUE</v>
      </c>
      <c r="G5067" s="20" t="str">
        <f>IFERROR(__xludf.DUMMYFUNCTION("""COMPUTED_VALUE"""),"Uncle Sams Cider (04/04/2023)")</f>
        <v>Uncle Sams Cider (04/04/2023)</v>
      </c>
      <c r="H5067" s="19"/>
    </row>
    <row r="5068">
      <c r="A5068" s="9"/>
      <c r="B5068" s="15"/>
      <c r="C5068" s="9">
        <f>IFERROR(__xludf.DUMMYFUNCTION("""COMPUTED_VALUE"""),45091.4854482986)</f>
        <v>45091.48545</v>
      </c>
      <c r="D5068" s="15">
        <f>IFERROR(__xludf.DUMMYFUNCTION("""COMPUTED_VALUE"""),1.003)</f>
        <v>1.003</v>
      </c>
      <c r="E5068" s="16">
        <f>IFERROR(__xludf.DUMMYFUNCTION("""COMPUTED_VALUE"""),68.0)</f>
        <v>68</v>
      </c>
      <c r="F5068" s="19" t="str">
        <f>IFERROR(__xludf.DUMMYFUNCTION("""COMPUTED_VALUE"""),"BLUE")</f>
        <v>BLUE</v>
      </c>
      <c r="G5068" s="20" t="str">
        <f>IFERROR(__xludf.DUMMYFUNCTION("""COMPUTED_VALUE"""),"Uncle Sams Cider (04/04/2023)")</f>
        <v>Uncle Sams Cider (04/04/2023)</v>
      </c>
      <c r="H5068" s="19"/>
    </row>
    <row r="5069">
      <c r="A5069" s="9"/>
      <c r="B5069" s="15"/>
      <c r="C5069" s="9">
        <f>IFERROR(__xludf.DUMMYFUNCTION("""COMPUTED_VALUE"""),45091.4646040972)</f>
        <v>45091.4646</v>
      </c>
      <c r="D5069" s="15">
        <f>IFERROR(__xludf.DUMMYFUNCTION("""COMPUTED_VALUE"""),1.003)</f>
        <v>1.003</v>
      </c>
      <c r="E5069" s="16">
        <f>IFERROR(__xludf.DUMMYFUNCTION("""COMPUTED_VALUE"""),68.0)</f>
        <v>68</v>
      </c>
      <c r="F5069" s="19" t="str">
        <f>IFERROR(__xludf.DUMMYFUNCTION("""COMPUTED_VALUE"""),"BLUE")</f>
        <v>BLUE</v>
      </c>
      <c r="G5069" s="20" t="str">
        <f>IFERROR(__xludf.DUMMYFUNCTION("""COMPUTED_VALUE"""),"Uncle Sams Cider (04/04/2023)")</f>
        <v>Uncle Sams Cider (04/04/2023)</v>
      </c>
      <c r="H5069" s="19"/>
    </row>
    <row r="5070">
      <c r="A5070" s="9"/>
      <c r="B5070" s="15"/>
      <c r="C5070" s="9">
        <f>IFERROR(__xludf.DUMMYFUNCTION("""COMPUTED_VALUE"""),45091.4437616782)</f>
        <v>45091.44376</v>
      </c>
      <c r="D5070" s="15">
        <f>IFERROR(__xludf.DUMMYFUNCTION("""COMPUTED_VALUE"""),1.003)</f>
        <v>1.003</v>
      </c>
      <c r="E5070" s="16">
        <f>IFERROR(__xludf.DUMMYFUNCTION("""COMPUTED_VALUE"""),68.0)</f>
        <v>68</v>
      </c>
      <c r="F5070" s="19" t="str">
        <f>IFERROR(__xludf.DUMMYFUNCTION("""COMPUTED_VALUE"""),"BLUE")</f>
        <v>BLUE</v>
      </c>
      <c r="G5070" s="20" t="str">
        <f>IFERROR(__xludf.DUMMYFUNCTION("""COMPUTED_VALUE"""),"Uncle Sams Cider (04/04/2023)")</f>
        <v>Uncle Sams Cider (04/04/2023)</v>
      </c>
      <c r="H5070" s="19"/>
    </row>
    <row r="5071">
      <c r="A5071" s="9"/>
      <c r="B5071" s="15"/>
      <c r="C5071" s="9">
        <f>IFERROR(__xludf.DUMMYFUNCTION("""COMPUTED_VALUE"""),45091.4333399305)</f>
        <v>45091.43334</v>
      </c>
      <c r="D5071" s="15">
        <f>IFERROR(__xludf.DUMMYFUNCTION("""COMPUTED_VALUE"""),1.003)</f>
        <v>1.003</v>
      </c>
      <c r="E5071" s="16">
        <f>IFERROR(__xludf.DUMMYFUNCTION("""COMPUTED_VALUE"""),68.0)</f>
        <v>68</v>
      </c>
      <c r="F5071" s="19" t="str">
        <f>IFERROR(__xludf.DUMMYFUNCTION("""COMPUTED_VALUE"""),"BLUE")</f>
        <v>BLUE</v>
      </c>
      <c r="G5071" s="20" t="str">
        <f>IFERROR(__xludf.DUMMYFUNCTION("""COMPUTED_VALUE"""),"Uncle Sams Cider (04/04/2023)")</f>
        <v>Uncle Sams Cider (04/04/2023)</v>
      </c>
      <c r="H5071" s="19"/>
    </row>
    <row r="5072">
      <c r="A5072" s="9"/>
      <c r="B5072" s="15"/>
      <c r="C5072" s="9">
        <f>IFERROR(__xludf.DUMMYFUNCTION("""COMPUTED_VALUE"""),45091.4229068981)</f>
        <v>45091.42291</v>
      </c>
      <c r="D5072" s="15">
        <f>IFERROR(__xludf.DUMMYFUNCTION("""COMPUTED_VALUE"""),1.003)</f>
        <v>1.003</v>
      </c>
      <c r="E5072" s="16">
        <f>IFERROR(__xludf.DUMMYFUNCTION("""COMPUTED_VALUE"""),68.0)</f>
        <v>68</v>
      </c>
      <c r="F5072" s="19" t="str">
        <f>IFERROR(__xludf.DUMMYFUNCTION("""COMPUTED_VALUE"""),"BLUE")</f>
        <v>BLUE</v>
      </c>
      <c r="G5072" s="20" t="str">
        <f>IFERROR(__xludf.DUMMYFUNCTION("""COMPUTED_VALUE"""),"Uncle Sams Cider (04/04/2023)")</f>
        <v>Uncle Sams Cider (04/04/2023)</v>
      </c>
      <c r="H5072" s="19"/>
    </row>
    <row r="5073">
      <c r="A5073" s="9"/>
      <c r="B5073" s="15"/>
      <c r="C5073" s="9">
        <f>IFERROR(__xludf.DUMMYFUNCTION("""COMPUTED_VALUE"""),45091.4124740277)</f>
        <v>45091.41247</v>
      </c>
      <c r="D5073" s="15">
        <f>IFERROR(__xludf.DUMMYFUNCTION("""COMPUTED_VALUE"""),1.003)</f>
        <v>1.003</v>
      </c>
      <c r="E5073" s="16">
        <f>IFERROR(__xludf.DUMMYFUNCTION("""COMPUTED_VALUE"""),68.0)</f>
        <v>68</v>
      </c>
      <c r="F5073" s="19" t="str">
        <f>IFERROR(__xludf.DUMMYFUNCTION("""COMPUTED_VALUE"""),"BLUE")</f>
        <v>BLUE</v>
      </c>
      <c r="G5073" s="20" t="str">
        <f>IFERROR(__xludf.DUMMYFUNCTION("""COMPUTED_VALUE"""),"Uncle Sams Cider (04/04/2023)")</f>
        <v>Uncle Sams Cider (04/04/2023)</v>
      </c>
      <c r="H5073" s="19"/>
    </row>
    <row r="5074">
      <c r="A5074" s="9"/>
      <c r="B5074" s="15"/>
      <c r="C5074" s="9">
        <f>IFERROR(__xludf.DUMMYFUNCTION("""COMPUTED_VALUE"""),45091.4020528935)</f>
        <v>45091.40205</v>
      </c>
      <c r="D5074" s="15">
        <f>IFERROR(__xludf.DUMMYFUNCTION("""COMPUTED_VALUE"""),1.003)</f>
        <v>1.003</v>
      </c>
      <c r="E5074" s="16">
        <f>IFERROR(__xludf.DUMMYFUNCTION("""COMPUTED_VALUE"""),68.0)</f>
        <v>68</v>
      </c>
      <c r="F5074" s="19" t="str">
        <f>IFERROR(__xludf.DUMMYFUNCTION("""COMPUTED_VALUE"""),"BLUE")</f>
        <v>BLUE</v>
      </c>
      <c r="G5074" s="20" t="str">
        <f>IFERROR(__xludf.DUMMYFUNCTION("""COMPUTED_VALUE"""),"Uncle Sams Cider (04/04/2023)")</f>
        <v>Uncle Sams Cider (04/04/2023)</v>
      </c>
      <c r="H5074" s="19"/>
    </row>
    <row r="5075">
      <c r="A5075" s="9"/>
      <c r="B5075" s="15"/>
      <c r="C5075" s="9">
        <f>IFERROR(__xludf.DUMMYFUNCTION("""COMPUTED_VALUE"""),45091.3916325115)</f>
        <v>45091.39163</v>
      </c>
      <c r="D5075" s="15">
        <f>IFERROR(__xludf.DUMMYFUNCTION("""COMPUTED_VALUE"""),1.003)</f>
        <v>1.003</v>
      </c>
      <c r="E5075" s="16">
        <f>IFERROR(__xludf.DUMMYFUNCTION("""COMPUTED_VALUE"""),68.0)</f>
        <v>68</v>
      </c>
      <c r="F5075" s="19" t="str">
        <f>IFERROR(__xludf.DUMMYFUNCTION("""COMPUTED_VALUE"""),"BLUE")</f>
        <v>BLUE</v>
      </c>
      <c r="G5075" s="20" t="str">
        <f>IFERROR(__xludf.DUMMYFUNCTION("""COMPUTED_VALUE"""),"Uncle Sams Cider (04/04/2023)")</f>
        <v>Uncle Sams Cider (04/04/2023)</v>
      </c>
      <c r="H5075" s="19"/>
    </row>
    <row r="5076">
      <c r="A5076" s="9"/>
      <c r="B5076" s="15"/>
      <c r="C5076" s="9">
        <f>IFERROR(__xludf.DUMMYFUNCTION("""COMPUTED_VALUE"""),45091.3811996759)</f>
        <v>45091.3812</v>
      </c>
      <c r="D5076" s="15">
        <f>IFERROR(__xludf.DUMMYFUNCTION("""COMPUTED_VALUE"""),1.003)</f>
        <v>1.003</v>
      </c>
      <c r="E5076" s="16">
        <f>IFERROR(__xludf.DUMMYFUNCTION("""COMPUTED_VALUE"""),68.0)</f>
        <v>68</v>
      </c>
      <c r="F5076" s="19" t="str">
        <f>IFERROR(__xludf.DUMMYFUNCTION("""COMPUTED_VALUE"""),"BLUE")</f>
        <v>BLUE</v>
      </c>
      <c r="G5076" s="20" t="str">
        <f>IFERROR(__xludf.DUMMYFUNCTION("""COMPUTED_VALUE"""),"Uncle Sams Cider (04/04/2023)")</f>
        <v>Uncle Sams Cider (04/04/2023)</v>
      </c>
      <c r="H5076" s="19"/>
    </row>
    <row r="5077">
      <c r="A5077" s="9"/>
      <c r="B5077" s="15"/>
      <c r="C5077" s="9">
        <f>IFERROR(__xludf.DUMMYFUNCTION("""COMPUTED_VALUE"""),45091.3707772338)</f>
        <v>45091.37078</v>
      </c>
      <c r="D5077" s="15">
        <f>IFERROR(__xludf.DUMMYFUNCTION("""COMPUTED_VALUE"""),1.003)</f>
        <v>1.003</v>
      </c>
      <c r="E5077" s="16">
        <f>IFERROR(__xludf.DUMMYFUNCTION("""COMPUTED_VALUE"""),68.0)</f>
        <v>68</v>
      </c>
      <c r="F5077" s="19" t="str">
        <f>IFERROR(__xludf.DUMMYFUNCTION("""COMPUTED_VALUE"""),"BLUE")</f>
        <v>BLUE</v>
      </c>
      <c r="G5077" s="20" t="str">
        <f>IFERROR(__xludf.DUMMYFUNCTION("""COMPUTED_VALUE"""),"Uncle Sams Cider (04/04/2023)")</f>
        <v>Uncle Sams Cider (04/04/2023)</v>
      </c>
      <c r="H5077" s="19"/>
    </row>
    <row r="5078">
      <c r="A5078" s="9"/>
      <c r="B5078" s="15"/>
      <c r="C5078" s="9">
        <f>IFERROR(__xludf.DUMMYFUNCTION("""COMPUTED_VALUE"""),45091.3603559027)</f>
        <v>45091.36036</v>
      </c>
      <c r="D5078" s="15">
        <f>IFERROR(__xludf.DUMMYFUNCTION("""COMPUTED_VALUE"""),1.003)</f>
        <v>1.003</v>
      </c>
      <c r="E5078" s="16">
        <f>IFERROR(__xludf.DUMMYFUNCTION("""COMPUTED_VALUE"""),68.0)</f>
        <v>68</v>
      </c>
      <c r="F5078" s="19" t="str">
        <f>IFERROR(__xludf.DUMMYFUNCTION("""COMPUTED_VALUE"""),"BLUE")</f>
        <v>BLUE</v>
      </c>
      <c r="G5078" s="20" t="str">
        <f>IFERROR(__xludf.DUMMYFUNCTION("""COMPUTED_VALUE"""),"Uncle Sams Cider (04/04/2023)")</f>
        <v>Uncle Sams Cider (04/04/2023)</v>
      </c>
      <c r="H5078" s="19"/>
    </row>
    <row r="5079">
      <c r="A5079" s="9"/>
      <c r="B5079" s="15"/>
      <c r="C5079" s="9">
        <f>IFERROR(__xludf.DUMMYFUNCTION("""COMPUTED_VALUE"""),45091.3499343171)</f>
        <v>45091.34993</v>
      </c>
      <c r="D5079" s="15">
        <f>IFERROR(__xludf.DUMMYFUNCTION("""COMPUTED_VALUE"""),1.003)</f>
        <v>1.003</v>
      </c>
      <c r="E5079" s="16">
        <f>IFERROR(__xludf.DUMMYFUNCTION("""COMPUTED_VALUE"""),68.0)</f>
        <v>68</v>
      </c>
      <c r="F5079" s="19" t="str">
        <f>IFERROR(__xludf.DUMMYFUNCTION("""COMPUTED_VALUE"""),"BLUE")</f>
        <v>BLUE</v>
      </c>
      <c r="G5079" s="20" t="str">
        <f>IFERROR(__xludf.DUMMYFUNCTION("""COMPUTED_VALUE"""),"Uncle Sams Cider (04/04/2023)")</f>
        <v>Uncle Sams Cider (04/04/2023)</v>
      </c>
      <c r="H5079" s="19"/>
    </row>
    <row r="5080">
      <c r="A5080" s="9"/>
      <c r="B5080" s="15"/>
      <c r="C5080" s="9">
        <f>IFERROR(__xludf.DUMMYFUNCTION("""COMPUTED_VALUE"""),45091.3395144444)</f>
        <v>45091.33951</v>
      </c>
      <c r="D5080" s="15">
        <f>IFERROR(__xludf.DUMMYFUNCTION("""COMPUTED_VALUE"""),1.003)</f>
        <v>1.003</v>
      </c>
      <c r="E5080" s="16">
        <f>IFERROR(__xludf.DUMMYFUNCTION("""COMPUTED_VALUE"""),68.0)</f>
        <v>68</v>
      </c>
      <c r="F5080" s="19" t="str">
        <f>IFERROR(__xludf.DUMMYFUNCTION("""COMPUTED_VALUE"""),"BLUE")</f>
        <v>BLUE</v>
      </c>
      <c r="G5080" s="20" t="str">
        <f>IFERROR(__xludf.DUMMYFUNCTION("""COMPUTED_VALUE"""),"Uncle Sams Cider (04/04/2023)")</f>
        <v>Uncle Sams Cider (04/04/2023)</v>
      </c>
      <c r="H5080" s="19"/>
    </row>
    <row r="5081">
      <c r="A5081" s="9"/>
      <c r="B5081" s="15"/>
      <c r="C5081" s="9">
        <f>IFERROR(__xludf.DUMMYFUNCTION("""COMPUTED_VALUE"""),45091.3290931713)</f>
        <v>45091.32909</v>
      </c>
      <c r="D5081" s="15">
        <f>IFERROR(__xludf.DUMMYFUNCTION("""COMPUTED_VALUE"""),1.003)</f>
        <v>1.003</v>
      </c>
      <c r="E5081" s="16">
        <f>IFERROR(__xludf.DUMMYFUNCTION("""COMPUTED_VALUE"""),68.0)</f>
        <v>68</v>
      </c>
      <c r="F5081" s="19" t="str">
        <f>IFERROR(__xludf.DUMMYFUNCTION("""COMPUTED_VALUE"""),"BLUE")</f>
        <v>BLUE</v>
      </c>
      <c r="G5081" s="20" t="str">
        <f>IFERROR(__xludf.DUMMYFUNCTION("""COMPUTED_VALUE"""),"Uncle Sams Cider (04/04/2023)")</f>
        <v>Uncle Sams Cider (04/04/2023)</v>
      </c>
      <c r="H5081" s="19"/>
    </row>
    <row r="5082">
      <c r="A5082" s="9"/>
      <c r="B5082" s="15"/>
      <c r="C5082" s="9">
        <f>IFERROR(__xludf.DUMMYFUNCTION("""COMPUTED_VALUE"""),45091.3186721759)</f>
        <v>45091.31867</v>
      </c>
      <c r="D5082" s="15">
        <f>IFERROR(__xludf.DUMMYFUNCTION("""COMPUTED_VALUE"""),1.003)</f>
        <v>1.003</v>
      </c>
      <c r="E5082" s="16">
        <f>IFERROR(__xludf.DUMMYFUNCTION("""COMPUTED_VALUE"""),68.0)</f>
        <v>68</v>
      </c>
      <c r="F5082" s="19" t="str">
        <f>IFERROR(__xludf.DUMMYFUNCTION("""COMPUTED_VALUE"""),"BLUE")</f>
        <v>BLUE</v>
      </c>
      <c r="G5082" s="20" t="str">
        <f>IFERROR(__xludf.DUMMYFUNCTION("""COMPUTED_VALUE"""),"Uncle Sams Cider (04/04/2023)")</f>
        <v>Uncle Sams Cider (04/04/2023)</v>
      </c>
      <c r="H5082" s="19"/>
    </row>
    <row r="5083">
      <c r="A5083" s="9"/>
      <c r="B5083" s="15"/>
      <c r="C5083" s="9">
        <f>IFERROR(__xludf.DUMMYFUNCTION("""COMPUTED_VALUE"""),45091.3082525115)</f>
        <v>45091.30825</v>
      </c>
      <c r="D5083" s="15">
        <f>IFERROR(__xludf.DUMMYFUNCTION("""COMPUTED_VALUE"""),1.003)</f>
        <v>1.003</v>
      </c>
      <c r="E5083" s="16">
        <f>IFERROR(__xludf.DUMMYFUNCTION("""COMPUTED_VALUE"""),68.0)</f>
        <v>68</v>
      </c>
      <c r="F5083" s="19" t="str">
        <f>IFERROR(__xludf.DUMMYFUNCTION("""COMPUTED_VALUE"""),"BLUE")</f>
        <v>BLUE</v>
      </c>
      <c r="G5083" s="20" t="str">
        <f>IFERROR(__xludf.DUMMYFUNCTION("""COMPUTED_VALUE"""),"Uncle Sams Cider (04/04/2023)")</f>
        <v>Uncle Sams Cider (04/04/2023)</v>
      </c>
      <c r="H5083" s="19"/>
    </row>
    <row r="5084">
      <c r="A5084" s="9"/>
      <c r="B5084" s="15"/>
      <c r="C5084" s="9">
        <f>IFERROR(__xludf.DUMMYFUNCTION("""COMPUTED_VALUE"""),45091.2978306134)</f>
        <v>45091.29783</v>
      </c>
      <c r="D5084" s="15">
        <f>IFERROR(__xludf.DUMMYFUNCTION("""COMPUTED_VALUE"""),1.003)</f>
        <v>1.003</v>
      </c>
      <c r="E5084" s="16">
        <f>IFERROR(__xludf.DUMMYFUNCTION("""COMPUTED_VALUE"""),68.0)</f>
        <v>68</v>
      </c>
      <c r="F5084" s="19" t="str">
        <f>IFERROR(__xludf.DUMMYFUNCTION("""COMPUTED_VALUE"""),"BLUE")</f>
        <v>BLUE</v>
      </c>
      <c r="G5084" s="20" t="str">
        <f>IFERROR(__xludf.DUMMYFUNCTION("""COMPUTED_VALUE"""),"Uncle Sams Cider (04/04/2023)")</f>
        <v>Uncle Sams Cider (04/04/2023)</v>
      </c>
      <c r="H5084" s="19"/>
    </row>
    <row r="5085">
      <c r="A5085" s="9"/>
      <c r="B5085" s="15"/>
      <c r="C5085" s="9">
        <f>IFERROR(__xludf.DUMMYFUNCTION("""COMPUTED_VALUE"""),45091.287397199)</f>
        <v>45091.2874</v>
      </c>
      <c r="D5085" s="15">
        <f>IFERROR(__xludf.DUMMYFUNCTION("""COMPUTED_VALUE"""),1.003)</f>
        <v>1.003</v>
      </c>
      <c r="E5085" s="16">
        <f>IFERROR(__xludf.DUMMYFUNCTION("""COMPUTED_VALUE"""),68.0)</f>
        <v>68</v>
      </c>
      <c r="F5085" s="19" t="str">
        <f>IFERROR(__xludf.DUMMYFUNCTION("""COMPUTED_VALUE"""),"BLUE")</f>
        <v>BLUE</v>
      </c>
      <c r="G5085" s="20" t="str">
        <f>IFERROR(__xludf.DUMMYFUNCTION("""COMPUTED_VALUE"""),"Uncle Sams Cider (04/04/2023)")</f>
        <v>Uncle Sams Cider (04/04/2023)</v>
      </c>
      <c r="H5085" s="19"/>
    </row>
    <row r="5086">
      <c r="A5086" s="9"/>
      <c r="B5086" s="15"/>
      <c r="C5086" s="9">
        <f>IFERROR(__xludf.DUMMYFUNCTION("""COMPUTED_VALUE"""),45091.2769761111)</f>
        <v>45091.27698</v>
      </c>
      <c r="D5086" s="15">
        <f>IFERROR(__xludf.DUMMYFUNCTION("""COMPUTED_VALUE"""),1.003)</f>
        <v>1.003</v>
      </c>
      <c r="E5086" s="16">
        <f>IFERROR(__xludf.DUMMYFUNCTION("""COMPUTED_VALUE"""),68.0)</f>
        <v>68</v>
      </c>
      <c r="F5086" s="19" t="str">
        <f>IFERROR(__xludf.DUMMYFUNCTION("""COMPUTED_VALUE"""),"BLUE")</f>
        <v>BLUE</v>
      </c>
      <c r="G5086" s="20" t="str">
        <f>IFERROR(__xludf.DUMMYFUNCTION("""COMPUTED_VALUE"""),"Uncle Sams Cider (04/04/2023)")</f>
        <v>Uncle Sams Cider (04/04/2023)</v>
      </c>
      <c r="H5086" s="19"/>
    </row>
    <row r="5087">
      <c r="A5087" s="9"/>
      <c r="B5087" s="15"/>
      <c r="C5087" s="9">
        <f>IFERROR(__xludf.DUMMYFUNCTION("""COMPUTED_VALUE"""),45091.2665544097)</f>
        <v>45091.26655</v>
      </c>
      <c r="D5087" s="15">
        <f>IFERROR(__xludf.DUMMYFUNCTION("""COMPUTED_VALUE"""),1.003)</f>
        <v>1.003</v>
      </c>
      <c r="E5087" s="16">
        <f>IFERROR(__xludf.DUMMYFUNCTION("""COMPUTED_VALUE"""),68.0)</f>
        <v>68</v>
      </c>
      <c r="F5087" s="19" t="str">
        <f>IFERROR(__xludf.DUMMYFUNCTION("""COMPUTED_VALUE"""),"BLUE")</f>
        <v>BLUE</v>
      </c>
      <c r="G5087" s="20" t="str">
        <f>IFERROR(__xludf.DUMMYFUNCTION("""COMPUTED_VALUE"""),"Uncle Sams Cider (04/04/2023)")</f>
        <v>Uncle Sams Cider (04/04/2023)</v>
      </c>
      <c r="H5087" s="19"/>
    </row>
    <row r="5088">
      <c r="A5088" s="9"/>
      <c r="B5088" s="15"/>
      <c r="C5088" s="9">
        <f>IFERROR(__xludf.DUMMYFUNCTION("""COMPUTED_VALUE"""),45091.2561320138)</f>
        <v>45091.25613</v>
      </c>
      <c r="D5088" s="15">
        <f>IFERROR(__xludf.DUMMYFUNCTION("""COMPUTED_VALUE"""),1.003)</f>
        <v>1.003</v>
      </c>
      <c r="E5088" s="16">
        <f>IFERROR(__xludf.DUMMYFUNCTION("""COMPUTED_VALUE"""),68.0)</f>
        <v>68</v>
      </c>
      <c r="F5088" s="19" t="str">
        <f>IFERROR(__xludf.DUMMYFUNCTION("""COMPUTED_VALUE"""),"BLUE")</f>
        <v>BLUE</v>
      </c>
      <c r="G5088" s="20" t="str">
        <f>IFERROR(__xludf.DUMMYFUNCTION("""COMPUTED_VALUE"""),"Uncle Sams Cider (04/04/2023)")</f>
        <v>Uncle Sams Cider (04/04/2023)</v>
      </c>
      <c r="H5088" s="19"/>
    </row>
    <row r="5089">
      <c r="A5089" s="9"/>
      <c r="B5089" s="15"/>
      <c r="C5089" s="9">
        <f>IFERROR(__xludf.DUMMYFUNCTION("""COMPUTED_VALUE"""),45091.2457114236)</f>
        <v>45091.24571</v>
      </c>
      <c r="D5089" s="15">
        <f>IFERROR(__xludf.DUMMYFUNCTION("""COMPUTED_VALUE"""),1.003)</f>
        <v>1.003</v>
      </c>
      <c r="E5089" s="16">
        <f>IFERROR(__xludf.DUMMYFUNCTION("""COMPUTED_VALUE"""),68.0)</f>
        <v>68</v>
      </c>
      <c r="F5089" s="19" t="str">
        <f>IFERROR(__xludf.DUMMYFUNCTION("""COMPUTED_VALUE"""),"BLUE")</f>
        <v>BLUE</v>
      </c>
      <c r="G5089" s="20" t="str">
        <f>IFERROR(__xludf.DUMMYFUNCTION("""COMPUTED_VALUE"""),"Uncle Sams Cider (04/04/2023)")</f>
        <v>Uncle Sams Cider (04/04/2023)</v>
      </c>
      <c r="H5089" s="19"/>
    </row>
    <row r="5090">
      <c r="A5090" s="9"/>
      <c r="B5090" s="15"/>
      <c r="C5090" s="9">
        <f>IFERROR(__xludf.DUMMYFUNCTION("""COMPUTED_VALUE"""),45091.2248685648)</f>
        <v>45091.22487</v>
      </c>
      <c r="D5090" s="15">
        <f>IFERROR(__xludf.DUMMYFUNCTION("""COMPUTED_VALUE"""),1.003)</f>
        <v>1.003</v>
      </c>
      <c r="E5090" s="16">
        <f>IFERROR(__xludf.DUMMYFUNCTION("""COMPUTED_VALUE"""),68.0)</f>
        <v>68</v>
      </c>
      <c r="F5090" s="19" t="str">
        <f>IFERROR(__xludf.DUMMYFUNCTION("""COMPUTED_VALUE"""),"BLUE")</f>
        <v>BLUE</v>
      </c>
      <c r="G5090" s="20" t="str">
        <f>IFERROR(__xludf.DUMMYFUNCTION("""COMPUTED_VALUE"""),"Uncle Sams Cider (04/04/2023)")</f>
        <v>Uncle Sams Cider (04/04/2023)</v>
      </c>
      <c r="H5090" s="19"/>
    </row>
    <row r="5091">
      <c r="A5091" s="9"/>
      <c r="B5091" s="15"/>
      <c r="C5091" s="9">
        <f>IFERROR(__xludf.DUMMYFUNCTION("""COMPUTED_VALUE"""),45091.2144474305)</f>
        <v>45091.21445</v>
      </c>
      <c r="D5091" s="15">
        <f>IFERROR(__xludf.DUMMYFUNCTION("""COMPUTED_VALUE"""),1.003)</f>
        <v>1.003</v>
      </c>
      <c r="E5091" s="16">
        <f>IFERROR(__xludf.DUMMYFUNCTION("""COMPUTED_VALUE"""),68.0)</f>
        <v>68</v>
      </c>
      <c r="F5091" s="19" t="str">
        <f>IFERROR(__xludf.DUMMYFUNCTION("""COMPUTED_VALUE"""),"BLUE")</f>
        <v>BLUE</v>
      </c>
      <c r="G5091" s="20" t="str">
        <f>IFERROR(__xludf.DUMMYFUNCTION("""COMPUTED_VALUE"""),"Uncle Sams Cider (04/04/2023)")</f>
        <v>Uncle Sams Cider (04/04/2023)</v>
      </c>
      <c r="H5091" s="19"/>
    </row>
    <row r="5092">
      <c r="A5092" s="9"/>
      <c r="B5092" s="15"/>
      <c r="C5092" s="9">
        <f>IFERROR(__xludf.DUMMYFUNCTION("""COMPUTED_VALUE"""),45091.2040264814)</f>
        <v>45091.20403</v>
      </c>
      <c r="D5092" s="15">
        <f>IFERROR(__xludf.DUMMYFUNCTION("""COMPUTED_VALUE"""),1.003)</f>
        <v>1.003</v>
      </c>
      <c r="E5092" s="16">
        <f>IFERROR(__xludf.DUMMYFUNCTION("""COMPUTED_VALUE"""),68.0)</f>
        <v>68</v>
      </c>
      <c r="F5092" s="19" t="str">
        <f>IFERROR(__xludf.DUMMYFUNCTION("""COMPUTED_VALUE"""),"BLUE")</f>
        <v>BLUE</v>
      </c>
      <c r="G5092" s="20" t="str">
        <f>IFERROR(__xludf.DUMMYFUNCTION("""COMPUTED_VALUE"""),"Uncle Sams Cider (04/04/2023)")</f>
        <v>Uncle Sams Cider (04/04/2023)</v>
      </c>
      <c r="H5092" s="19"/>
    </row>
    <row r="5093">
      <c r="A5093" s="9"/>
      <c r="B5093" s="15"/>
      <c r="C5093" s="9">
        <f>IFERROR(__xludf.DUMMYFUNCTION("""COMPUTED_VALUE"""),45091.1935807407)</f>
        <v>45091.19358</v>
      </c>
      <c r="D5093" s="15">
        <f>IFERROR(__xludf.DUMMYFUNCTION("""COMPUTED_VALUE"""),1.003)</f>
        <v>1.003</v>
      </c>
      <c r="E5093" s="16">
        <f>IFERROR(__xludf.DUMMYFUNCTION("""COMPUTED_VALUE"""),68.0)</f>
        <v>68</v>
      </c>
      <c r="F5093" s="19" t="str">
        <f>IFERROR(__xludf.DUMMYFUNCTION("""COMPUTED_VALUE"""),"BLUE")</f>
        <v>BLUE</v>
      </c>
      <c r="G5093" s="20" t="str">
        <f>IFERROR(__xludf.DUMMYFUNCTION("""COMPUTED_VALUE"""),"Uncle Sams Cider (04/04/2023)")</f>
        <v>Uncle Sams Cider (04/04/2023)</v>
      </c>
      <c r="H5093" s="19"/>
    </row>
    <row r="5094">
      <c r="A5094" s="9"/>
      <c r="B5094" s="15"/>
      <c r="C5094" s="9">
        <f>IFERROR(__xludf.DUMMYFUNCTION("""COMPUTED_VALUE"""),45091.1831594676)</f>
        <v>45091.18316</v>
      </c>
      <c r="D5094" s="15">
        <f>IFERROR(__xludf.DUMMYFUNCTION("""COMPUTED_VALUE"""),1.003)</f>
        <v>1.003</v>
      </c>
      <c r="E5094" s="16">
        <f>IFERROR(__xludf.DUMMYFUNCTION("""COMPUTED_VALUE"""),68.0)</f>
        <v>68</v>
      </c>
      <c r="F5094" s="19" t="str">
        <f>IFERROR(__xludf.DUMMYFUNCTION("""COMPUTED_VALUE"""),"BLUE")</f>
        <v>BLUE</v>
      </c>
      <c r="G5094" s="20" t="str">
        <f>IFERROR(__xludf.DUMMYFUNCTION("""COMPUTED_VALUE"""),"Uncle Sams Cider (04/04/2023)")</f>
        <v>Uncle Sams Cider (04/04/2023)</v>
      </c>
      <c r="H5094" s="19"/>
    </row>
    <row r="5095">
      <c r="A5095" s="9"/>
      <c r="B5095" s="15"/>
      <c r="C5095" s="9">
        <f>IFERROR(__xludf.DUMMYFUNCTION("""COMPUTED_VALUE"""),45091.172738125)</f>
        <v>45091.17274</v>
      </c>
      <c r="D5095" s="15">
        <f>IFERROR(__xludf.DUMMYFUNCTION("""COMPUTED_VALUE"""),1.003)</f>
        <v>1.003</v>
      </c>
      <c r="E5095" s="16">
        <f>IFERROR(__xludf.DUMMYFUNCTION("""COMPUTED_VALUE"""),68.0)</f>
        <v>68</v>
      </c>
      <c r="F5095" s="19" t="str">
        <f>IFERROR(__xludf.DUMMYFUNCTION("""COMPUTED_VALUE"""),"BLUE")</f>
        <v>BLUE</v>
      </c>
      <c r="G5095" s="20" t="str">
        <f>IFERROR(__xludf.DUMMYFUNCTION("""COMPUTED_VALUE"""),"Uncle Sams Cider (04/04/2023)")</f>
        <v>Uncle Sams Cider (04/04/2023)</v>
      </c>
      <c r="H5095" s="19"/>
    </row>
    <row r="5096">
      <c r="A5096" s="9"/>
      <c r="B5096" s="15"/>
      <c r="C5096" s="9">
        <f>IFERROR(__xludf.DUMMYFUNCTION("""COMPUTED_VALUE"""),45091.1623171064)</f>
        <v>45091.16232</v>
      </c>
      <c r="D5096" s="15">
        <f>IFERROR(__xludf.DUMMYFUNCTION("""COMPUTED_VALUE"""),1.003)</f>
        <v>1.003</v>
      </c>
      <c r="E5096" s="16">
        <f>IFERROR(__xludf.DUMMYFUNCTION("""COMPUTED_VALUE"""),68.0)</f>
        <v>68</v>
      </c>
      <c r="F5096" s="19" t="str">
        <f>IFERROR(__xludf.DUMMYFUNCTION("""COMPUTED_VALUE"""),"BLUE")</f>
        <v>BLUE</v>
      </c>
      <c r="G5096" s="20" t="str">
        <f>IFERROR(__xludf.DUMMYFUNCTION("""COMPUTED_VALUE"""),"Uncle Sams Cider (04/04/2023)")</f>
        <v>Uncle Sams Cider (04/04/2023)</v>
      </c>
      <c r="H5096" s="19"/>
    </row>
    <row r="5097">
      <c r="A5097" s="9"/>
      <c r="B5097" s="15"/>
      <c r="C5097" s="9">
        <f>IFERROR(__xludf.DUMMYFUNCTION("""COMPUTED_VALUE"""),45091.151874537)</f>
        <v>45091.15187</v>
      </c>
      <c r="D5097" s="15">
        <f>IFERROR(__xludf.DUMMYFUNCTION("""COMPUTED_VALUE"""),1.003)</f>
        <v>1.003</v>
      </c>
      <c r="E5097" s="16">
        <f>IFERROR(__xludf.DUMMYFUNCTION("""COMPUTED_VALUE"""),68.0)</f>
        <v>68</v>
      </c>
      <c r="F5097" s="19" t="str">
        <f>IFERROR(__xludf.DUMMYFUNCTION("""COMPUTED_VALUE"""),"BLUE")</f>
        <v>BLUE</v>
      </c>
      <c r="G5097" s="20" t="str">
        <f>IFERROR(__xludf.DUMMYFUNCTION("""COMPUTED_VALUE"""),"Uncle Sams Cider (04/04/2023)")</f>
        <v>Uncle Sams Cider (04/04/2023)</v>
      </c>
      <c r="H5097" s="19"/>
    </row>
    <row r="5098">
      <c r="A5098" s="9"/>
      <c r="B5098" s="15"/>
      <c r="C5098" s="9">
        <f>IFERROR(__xludf.DUMMYFUNCTION("""COMPUTED_VALUE"""),45091.1414526157)</f>
        <v>45091.14145</v>
      </c>
      <c r="D5098" s="15">
        <f>IFERROR(__xludf.DUMMYFUNCTION("""COMPUTED_VALUE"""),1.003)</f>
        <v>1.003</v>
      </c>
      <c r="E5098" s="16">
        <f>IFERROR(__xludf.DUMMYFUNCTION("""COMPUTED_VALUE"""),68.0)</f>
        <v>68</v>
      </c>
      <c r="F5098" s="19" t="str">
        <f>IFERROR(__xludf.DUMMYFUNCTION("""COMPUTED_VALUE"""),"BLUE")</f>
        <v>BLUE</v>
      </c>
      <c r="G5098" s="20" t="str">
        <f>IFERROR(__xludf.DUMMYFUNCTION("""COMPUTED_VALUE"""),"Uncle Sams Cider (04/04/2023)")</f>
        <v>Uncle Sams Cider (04/04/2023)</v>
      </c>
      <c r="H5098" s="19"/>
    </row>
    <row r="5099">
      <c r="A5099" s="9"/>
      <c r="B5099" s="15"/>
      <c r="C5099" s="9">
        <f>IFERROR(__xludf.DUMMYFUNCTION("""COMPUTED_VALUE"""),45091.1310312268)</f>
        <v>45091.13103</v>
      </c>
      <c r="D5099" s="15">
        <f>IFERROR(__xludf.DUMMYFUNCTION("""COMPUTED_VALUE"""),1.003)</f>
        <v>1.003</v>
      </c>
      <c r="E5099" s="16">
        <f>IFERROR(__xludf.DUMMYFUNCTION("""COMPUTED_VALUE"""),68.0)</f>
        <v>68</v>
      </c>
      <c r="F5099" s="19" t="str">
        <f>IFERROR(__xludf.DUMMYFUNCTION("""COMPUTED_VALUE"""),"BLUE")</f>
        <v>BLUE</v>
      </c>
      <c r="G5099" s="20" t="str">
        <f>IFERROR(__xludf.DUMMYFUNCTION("""COMPUTED_VALUE"""),"Uncle Sams Cider (04/04/2023)")</f>
        <v>Uncle Sams Cider (04/04/2023)</v>
      </c>
      <c r="H5099" s="19"/>
    </row>
    <row r="5100">
      <c r="A5100" s="9"/>
      <c r="B5100" s="15"/>
      <c r="C5100" s="9">
        <f>IFERROR(__xludf.DUMMYFUNCTION("""COMPUTED_VALUE"""),45091.1206077662)</f>
        <v>45091.12061</v>
      </c>
      <c r="D5100" s="15">
        <f>IFERROR(__xludf.DUMMYFUNCTION("""COMPUTED_VALUE"""),1.003)</f>
        <v>1.003</v>
      </c>
      <c r="E5100" s="16">
        <f>IFERROR(__xludf.DUMMYFUNCTION("""COMPUTED_VALUE"""),68.0)</f>
        <v>68</v>
      </c>
      <c r="F5100" s="19" t="str">
        <f>IFERROR(__xludf.DUMMYFUNCTION("""COMPUTED_VALUE"""),"BLUE")</f>
        <v>BLUE</v>
      </c>
      <c r="G5100" s="20" t="str">
        <f>IFERROR(__xludf.DUMMYFUNCTION("""COMPUTED_VALUE"""),"Uncle Sams Cider (04/04/2023)")</f>
        <v>Uncle Sams Cider (04/04/2023)</v>
      </c>
      <c r="H5100" s="19"/>
    </row>
    <row r="5101">
      <c r="A5101" s="9"/>
      <c r="B5101" s="15"/>
      <c r="C5101" s="9">
        <f>IFERROR(__xludf.DUMMYFUNCTION("""COMPUTED_VALUE"""),45091.0997530787)</f>
        <v>45091.09975</v>
      </c>
      <c r="D5101" s="15">
        <f>IFERROR(__xludf.DUMMYFUNCTION("""COMPUTED_VALUE"""),1.003)</f>
        <v>1.003</v>
      </c>
      <c r="E5101" s="16">
        <f>IFERROR(__xludf.DUMMYFUNCTION("""COMPUTED_VALUE"""),68.0)</f>
        <v>68</v>
      </c>
      <c r="F5101" s="19" t="str">
        <f>IFERROR(__xludf.DUMMYFUNCTION("""COMPUTED_VALUE"""),"BLUE")</f>
        <v>BLUE</v>
      </c>
      <c r="G5101" s="20" t="str">
        <f>IFERROR(__xludf.DUMMYFUNCTION("""COMPUTED_VALUE"""),"Uncle Sams Cider (04/04/2023)")</f>
        <v>Uncle Sams Cider (04/04/2023)</v>
      </c>
      <c r="H5101" s="19"/>
    </row>
    <row r="5102">
      <c r="A5102" s="9"/>
      <c r="B5102" s="15"/>
      <c r="C5102" s="9">
        <f>IFERROR(__xludf.DUMMYFUNCTION("""COMPUTED_VALUE"""),45091.0893338425)</f>
        <v>45091.08933</v>
      </c>
      <c r="D5102" s="15">
        <f>IFERROR(__xludf.DUMMYFUNCTION("""COMPUTED_VALUE"""),1.003)</f>
        <v>1.003</v>
      </c>
      <c r="E5102" s="16">
        <f>IFERROR(__xludf.DUMMYFUNCTION("""COMPUTED_VALUE"""),68.0)</f>
        <v>68</v>
      </c>
      <c r="F5102" s="19" t="str">
        <f>IFERROR(__xludf.DUMMYFUNCTION("""COMPUTED_VALUE"""),"BLUE")</f>
        <v>BLUE</v>
      </c>
      <c r="G5102" s="20" t="str">
        <f>IFERROR(__xludf.DUMMYFUNCTION("""COMPUTED_VALUE"""),"Uncle Sams Cider (04/04/2023)")</f>
        <v>Uncle Sams Cider (04/04/2023)</v>
      </c>
      <c r="H5102" s="19"/>
    </row>
    <row r="5103">
      <c r="A5103" s="9"/>
      <c r="B5103" s="15"/>
      <c r="C5103" s="9">
        <f>IFERROR(__xludf.DUMMYFUNCTION("""COMPUTED_VALUE"""),45091.0789119907)</f>
        <v>45091.07891</v>
      </c>
      <c r="D5103" s="15">
        <f>IFERROR(__xludf.DUMMYFUNCTION("""COMPUTED_VALUE"""),1.003)</f>
        <v>1.003</v>
      </c>
      <c r="E5103" s="16">
        <f>IFERROR(__xludf.DUMMYFUNCTION("""COMPUTED_VALUE"""),68.0)</f>
        <v>68</v>
      </c>
      <c r="F5103" s="19" t="str">
        <f>IFERROR(__xludf.DUMMYFUNCTION("""COMPUTED_VALUE"""),"BLUE")</f>
        <v>BLUE</v>
      </c>
      <c r="G5103" s="20" t="str">
        <f>IFERROR(__xludf.DUMMYFUNCTION("""COMPUTED_VALUE"""),"Uncle Sams Cider (04/04/2023)")</f>
        <v>Uncle Sams Cider (04/04/2023)</v>
      </c>
      <c r="H5103" s="19"/>
    </row>
    <row r="5104">
      <c r="A5104" s="9"/>
      <c r="B5104" s="15"/>
      <c r="C5104" s="9">
        <f>IFERROR(__xludf.DUMMYFUNCTION("""COMPUTED_VALUE"""),45091.0684914699)</f>
        <v>45091.06849</v>
      </c>
      <c r="D5104" s="15">
        <f>IFERROR(__xludf.DUMMYFUNCTION("""COMPUTED_VALUE"""),1.003)</f>
        <v>1.003</v>
      </c>
      <c r="E5104" s="16">
        <f>IFERROR(__xludf.DUMMYFUNCTION("""COMPUTED_VALUE"""),68.0)</f>
        <v>68</v>
      </c>
      <c r="F5104" s="19" t="str">
        <f>IFERROR(__xludf.DUMMYFUNCTION("""COMPUTED_VALUE"""),"BLUE")</f>
        <v>BLUE</v>
      </c>
      <c r="G5104" s="20" t="str">
        <f>IFERROR(__xludf.DUMMYFUNCTION("""COMPUTED_VALUE"""),"Uncle Sams Cider (04/04/2023)")</f>
        <v>Uncle Sams Cider (04/04/2023)</v>
      </c>
      <c r="H5104" s="19"/>
    </row>
    <row r="5105">
      <c r="A5105" s="9"/>
      <c r="B5105" s="15"/>
      <c r="C5105" s="9">
        <f>IFERROR(__xludf.DUMMYFUNCTION("""COMPUTED_VALUE"""),45091.0580718055)</f>
        <v>45091.05807</v>
      </c>
      <c r="D5105" s="15">
        <f>IFERROR(__xludf.DUMMYFUNCTION("""COMPUTED_VALUE"""),1.003)</f>
        <v>1.003</v>
      </c>
      <c r="E5105" s="16">
        <f>IFERROR(__xludf.DUMMYFUNCTION("""COMPUTED_VALUE"""),68.0)</f>
        <v>68</v>
      </c>
      <c r="F5105" s="19" t="str">
        <f>IFERROR(__xludf.DUMMYFUNCTION("""COMPUTED_VALUE"""),"BLUE")</f>
        <v>BLUE</v>
      </c>
      <c r="G5105" s="20" t="str">
        <f>IFERROR(__xludf.DUMMYFUNCTION("""COMPUTED_VALUE"""),"Uncle Sams Cider (04/04/2023)")</f>
        <v>Uncle Sams Cider (04/04/2023)</v>
      </c>
      <c r="H5105" s="19"/>
    </row>
    <row r="5106">
      <c r="A5106" s="9"/>
      <c r="B5106" s="15"/>
      <c r="C5106" s="9">
        <f>IFERROR(__xludf.DUMMYFUNCTION("""COMPUTED_VALUE"""),45091.0372199652)</f>
        <v>45091.03722</v>
      </c>
      <c r="D5106" s="15">
        <f>IFERROR(__xludf.DUMMYFUNCTION("""COMPUTED_VALUE"""),1.003)</f>
        <v>1.003</v>
      </c>
      <c r="E5106" s="16">
        <f>IFERROR(__xludf.DUMMYFUNCTION("""COMPUTED_VALUE"""),68.0)</f>
        <v>68</v>
      </c>
      <c r="F5106" s="19" t="str">
        <f>IFERROR(__xludf.DUMMYFUNCTION("""COMPUTED_VALUE"""),"BLUE")</f>
        <v>BLUE</v>
      </c>
      <c r="G5106" s="20" t="str">
        <f>IFERROR(__xludf.DUMMYFUNCTION("""COMPUTED_VALUE"""),"Uncle Sams Cider (04/04/2023)")</f>
        <v>Uncle Sams Cider (04/04/2023)</v>
      </c>
      <c r="H5106" s="19"/>
    </row>
    <row r="5107">
      <c r="A5107" s="9"/>
      <c r="B5107" s="15"/>
      <c r="C5107" s="9">
        <f>IFERROR(__xludf.DUMMYFUNCTION("""COMPUTED_VALUE"""),45091.0267988078)</f>
        <v>45091.0268</v>
      </c>
      <c r="D5107" s="15">
        <f>IFERROR(__xludf.DUMMYFUNCTION("""COMPUTED_VALUE"""),1.003)</f>
        <v>1.003</v>
      </c>
      <c r="E5107" s="16">
        <f>IFERROR(__xludf.DUMMYFUNCTION("""COMPUTED_VALUE"""),68.0)</f>
        <v>68</v>
      </c>
      <c r="F5107" s="19" t="str">
        <f>IFERROR(__xludf.DUMMYFUNCTION("""COMPUTED_VALUE"""),"BLUE")</f>
        <v>BLUE</v>
      </c>
      <c r="G5107" s="20" t="str">
        <f>IFERROR(__xludf.DUMMYFUNCTION("""COMPUTED_VALUE"""),"Uncle Sams Cider (04/04/2023)")</f>
        <v>Uncle Sams Cider (04/04/2023)</v>
      </c>
      <c r="H5107" s="19"/>
    </row>
    <row r="5108">
      <c r="A5108" s="9"/>
      <c r="B5108" s="15"/>
      <c r="C5108" s="9">
        <f>IFERROR(__xludf.DUMMYFUNCTION("""COMPUTED_VALUE"""),45091.0163760069)</f>
        <v>45091.01638</v>
      </c>
      <c r="D5108" s="15">
        <f>IFERROR(__xludf.DUMMYFUNCTION("""COMPUTED_VALUE"""),1.003)</f>
        <v>1.003</v>
      </c>
      <c r="E5108" s="16">
        <f>IFERROR(__xludf.DUMMYFUNCTION("""COMPUTED_VALUE"""),68.0)</f>
        <v>68</v>
      </c>
      <c r="F5108" s="19" t="str">
        <f>IFERROR(__xludf.DUMMYFUNCTION("""COMPUTED_VALUE"""),"BLUE")</f>
        <v>BLUE</v>
      </c>
      <c r="G5108" s="20" t="str">
        <f>IFERROR(__xludf.DUMMYFUNCTION("""COMPUTED_VALUE"""),"Uncle Sams Cider (04/04/2023)")</f>
        <v>Uncle Sams Cider (04/04/2023)</v>
      </c>
      <c r="H5108" s="19"/>
    </row>
    <row r="5109">
      <c r="A5109" s="9"/>
      <c r="B5109" s="15"/>
      <c r="C5109" s="9">
        <f>IFERROR(__xludf.DUMMYFUNCTION("""COMPUTED_VALUE"""),45090.9955358333)</f>
        <v>45090.99554</v>
      </c>
      <c r="D5109" s="15">
        <f>IFERROR(__xludf.DUMMYFUNCTION("""COMPUTED_VALUE"""),1.003)</f>
        <v>1.003</v>
      </c>
      <c r="E5109" s="16">
        <f>IFERROR(__xludf.DUMMYFUNCTION("""COMPUTED_VALUE"""),68.0)</f>
        <v>68</v>
      </c>
      <c r="F5109" s="19" t="str">
        <f>IFERROR(__xludf.DUMMYFUNCTION("""COMPUTED_VALUE"""),"BLUE")</f>
        <v>BLUE</v>
      </c>
      <c r="G5109" s="20" t="str">
        <f>IFERROR(__xludf.DUMMYFUNCTION("""COMPUTED_VALUE"""),"Uncle Sams Cider (04/04/2023)")</f>
        <v>Uncle Sams Cider (04/04/2023)</v>
      </c>
      <c r="H5109" s="19"/>
    </row>
    <row r="5110">
      <c r="A5110" s="9"/>
      <c r="B5110" s="15"/>
      <c r="C5110" s="9">
        <f>IFERROR(__xludf.DUMMYFUNCTION("""COMPUTED_VALUE"""),45090.985115405)</f>
        <v>45090.98512</v>
      </c>
      <c r="D5110" s="15">
        <f>IFERROR(__xludf.DUMMYFUNCTION("""COMPUTED_VALUE"""),1.003)</f>
        <v>1.003</v>
      </c>
      <c r="E5110" s="16">
        <f>IFERROR(__xludf.DUMMYFUNCTION("""COMPUTED_VALUE"""),68.0)</f>
        <v>68</v>
      </c>
      <c r="F5110" s="19" t="str">
        <f>IFERROR(__xludf.DUMMYFUNCTION("""COMPUTED_VALUE"""),"BLUE")</f>
        <v>BLUE</v>
      </c>
      <c r="G5110" s="20" t="str">
        <f>IFERROR(__xludf.DUMMYFUNCTION("""COMPUTED_VALUE"""),"Uncle Sams Cider (04/04/2023)")</f>
        <v>Uncle Sams Cider (04/04/2023)</v>
      </c>
      <c r="H5110" s="19"/>
    </row>
    <row r="5111">
      <c r="A5111" s="9"/>
      <c r="B5111" s="15"/>
      <c r="C5111" s="9">
        <f>IFERROR(__xludf.DUMMYFUNCTION("""COMPUTED_VALUE"""),45090.9746947453)</f>
        <v>45090.97469</v>
      </c>
      <c r="D5111" s="15">
        <f>IFERROR(__xludf.DUMMYFUNCTION("""COMPUTED_VALUE"""),1.003)</f>
        <v>1.003</v>
      </c>
      <c r="E5111" s="16">
        <f>IFERROR(__xludf.DUMMYFUNCTION("""COMPUTED_VALUE"""),68.0)</f>
        <v>68</v>
      </c>
      <c r="F5111" s="19" t="str">
        <f>IFERROR(__xludf.DUMMYFUNCTION("""COMPUTED_VALUE"""),"BLUE")</f>
        <v>BLUE</v>
      </c>
      <c r="G5111" s="20" t="str">
        <f>IFERROR(__xludf.DUMMYFUNCTION("""COMPUTED_VALUE"""),"Uncle Sams Cider (04/04/2023)")</f>
        <v>Uncle Sams Cider (04/04/2023)</v>
      </c>
      <c r="H5111" s="19"/>
    </row>
    <row r="5112">
      <c r="A5112" s="9"/>
      <c r="B5112" s="15"/>
      <c r="C5112" s="9">
        <f>IFERROR(__xludf.DUMMYFUNCTION("""COMPUTED_VALUE"""),45090.9642731134)</f>
        <v>45090.96427</v>
      </c>
      <c r="D5112" s="15">
        <f>IFERROR(__xludf.DUMMYFUNCTION("""COMPUTED_VALUE"""),1.003)</f>
        <v>1.003</v>
      </c>
      <c r="E5112" s="16">
        <f>IFERROR(__xludf.DUMMYFUNCTION("""COMPUTED_VALUE"""),68.0)</f>
        <v>68</v>
      </c>
      <c r="F5112" s="19" t="str">
        <f>IFERROR(__xludf.DUMMYFUNCTION("""COMPUTED_VALUE"""),"BLUE")</f>
        <v>BLUE</v>
      </c>
      <c r="G5112" s="20" t="str">
        <f>IFERROR(__xludf.DUMMYFUNCTION("""COMPUTED_VALUE"""),"Uncle Sams Cider (04/04/2023)")</f>
        <v>Uncle Sams Cider (04/04/2023)</v>
      </c>
      <c r="H5112" s="19"/>
    </row>
    <row r="5113">
      <c r="A5113" s="9"/>
      <c r="B5113" s="15"/>
      <c r="C5113" s="9">
        <f>IFERROR(__xludf.DUMMYFUNCTION("""COMPUTED_VALUE"""),45090.9538510301)</f>
        <v>45090.95385</v>
      </c>
      <c r="D5113" s="15">
        <f>IFERROR(__xludf.DUMMYFUNCTION("""COMPUTED_VALUE"""),1.003)</f>
        <v>1.003</v>
      </c>
      <c r="E5113" s="16">
        <f>IFERROR(__xludf.DUMMYFUNCTION("""COMPUTED_VALUE"""),68.0)</f>
        <v>68</v>
      </c>
      <c r="F5113" s="19" t="str">
        <f>IFERROR(__xludf.DUMMYFUNCTION("""COMPUTED_VALUE"""),"BLUE")</f>
        <v>BLUE</v>
      </c>
      <c r="G5113" s="20" t="str">
        <f>IFERROR(__xludf.DUMMYFUNCTION("""COMPUTED_VALUE"""),"Uncle Sams Cider (04/04/2023)")</f>
        <v>Uncle Sams Cider (04/04/2023)</v>
      </c>
      <c r="H5113" s="19"/>
    </row>
    <row r="5114">
      <c r="A5114" s="9"/>
      <c r="B5114" s="15"/>
      <c r="C5114" s="9">
        <f>IFERROR(__xludf.DUMMYFUNCTION("""COMPUTED_VALUE"""),45090.9434287615)</f>
        <v>45090.94343</v>
      </c>
      <c r="D5114" s="15">
        <f>IFERROR(__xludf.DUMMYFUNCTION("""COMPUTED_VALUE"""),1.003)</f>
        <v>1.003</v>
      </c>
      <c r="E5114" s="16">
        <f>IFERROR(__xludf.DUMMYFUNCTION("""COMPUTED_VALUE"""),68.0)</f>
        <v>68</v>
      </c>
      <c r="F5114" s="19" t="str">
        <f>IFERROR(__xludf.DUMMYFUNCTION("""COMPUTED_VALUE"""),"BLUE")</f>
        <v>BLUE</v>
      </c>
      <c r="G5114" s="20" t="str">
        <f>IFERROR(__xludf.DUMMYFUNCTION("""COMPUTED_VALUE"""),"Uncle Sams Cider (04/04/2023)")</f>
        <v>Uncle Sams Cider (04/04/2023)</v>
      </c>
      <c r="H5114" s="19"/>
    </row>
    <row r="5115">
      <c r="A5115" s="9"/>
      <c r="B5115" s="15"/>
      <c r="C5115" s="9">
        <f>IFERROR(__xludf.DUMMYFUNCTION("""COMPUTED_VALUE"""),45090.9329945601)</f>
        <v>45090.93299</v>
      </c>
      <c r="D5115" s="15">
        <f>IFERROR(__xludf.DUMMYFUNCTION("""COMPUTED_VALUE"""),1.003)</f>
        <v>1.003</v>
      </c>
      <c r="E5115" s="16">
        <f>IFERROR(__xludf.DUMMYFUNCTION("""COMPUTED_VALUE"""),68.0)</f>
        <v>68</v>
      </c>
      <c r="F5115" s="19" t="str">
        <f>IFERROR(__xludf.DUMMYFUNCTION("""COMPUTED_VALUE"""),"BLUE")</f>
        <v>BLUE</v>
      </c>
      <c r="G5115" s="20" t="str">
        <f>IFERROR(__xludf.DUMMYFUNCTION("""COMPUTED_VALUE"""),"Uncle Sams Cider (04/04/2023)")</f>
        <v>Uncle Sams Cider (04/04/2023)</v>
      </c>
      <c r="H5115" s="19"/>
    </row>
    <row r="5116">
      <c r="A5116" s="9"/>
      <c r="B5116" s="15"/>
      <c r="C5116" s="9">
        <f>IFERROR(__xludf.DUMMYFUNCTION("""COMPUTED_VALUE"""),45090.9121537384)</f>
        <v>45090.91215</v>
      </c>
      <c r="D5116" s="15">
        <f>IFERROR(__xludf.DUMMYFUNCTION("""COMPUTED_VALUE"""),1.003)</f>
        <v>1.003</v>
      </c>
      <c r="E5116" s="16">
        <f>IFERROR(__xludf.DUMMYFUNCTION("""COMPUTED_VALUE"""),68.0)</f>
        <v>68</v>
      </c>
      <c r="F5116" s="19" t="str">
        <f>IFERROR(__xludf.DUMMYFUNCTION("""COMPUTED_VALUE"""),"BLUE")</f>
        <v>BLUE</v>
      </c>
      <c r="G5116" s="20" t="str">
        <f>IFERROR(__xludf.DUMMYFUNCTION("""COMPUTED_VALUE"""),"Uncle Sams Cider (04/04/2023)")</f>
        <v>Uncle Sams Cider (04/04/2023)</v>
      </c>
      <c r="H5116" s="19"/>
    </row>
    <row r="5117">
      <c r="A5117" s="9"/>
      <c r="B5117" s="15"/>
      <c r="C5117" s="9">
        <f>IFERROR(__xludf.DUMMYFUNCTION("""COMPUTED_VALUE"""),45090.9017201273)</f>
        <v>45090.90172</v>
      </c>
      <c r="D5117" s="15">
        <f>IFERROR(__xludf.DUMMYFUNCTION("""COMPUTED_VALUE"""),1.003)</f>
        <v>1.003</v>
      </c>
      <c r="E5117" s="16">
        <f>IFERROR(__xludf.DUMMYFUNCTION("""COMPUTED_VALUE"""),68.0)</f>
        <v>68</v>
      </c>
      <c r="F5117" s="19" t="str">
        <f>IFERROR(__xludf.DUMMYFUNCTION("""COMPUTED_VALUE"""),"BLUE")</f>
        <v>BLUE</v>
      </c>
      <c r="G5117" s="20" t="str">
        <f>IFERROR(__xludf.DUMMYFUNCTION("""COMPUTED_VALUE"""),"Uncle Sams Cider (04/04/2023)")</f>
        <v>Uncle Sams Cider (04/04/2023)</v>
      </c>
      <c r="H5117" s="19"/>
    </row>
    <row r="5118">
      <c r="A5118" s="9"/>
      <c r="B5118" s="15"/>
      <c r="C5118" s="9">
        <f>IFERROR(__xludf.DUMMYFUNCTION("""COMPUTED_VALUE"""),45090.8913006134)</f>
        <v>45090.8913</v>
      </c>
      <c r="D5118" s="15">
        <f>IFERROR(__xludf.DUMMYFUNCTION("""COMPUTED_VALUE"""),1.003)</f>
        <v>1.003</v>
      </c>
      <c r="E5118" s="16">
        <f>IFERROR(__xludf.DUMMYFUNCTION("""COMPUTED_VALUE"""),68.0)</f>
        <v>68</v>
      </c>
      <c r="F5118" s="19" t="str">
        <f>IFERROR(__xludf.DUMMYFUNCTION("""COMPUTED_VALUE"""),"BLUE")</f>
        <v>BLUE</v>
      </c>
      <c r="G5118" s="20" t="str">
        <f>IFERROR(__xludf.DUMMYFUNCTION("""COMPUTED_VALUE"""),"Uncle Sams Cider (04/04/2023)")</f>
        <v>Uncle Sams Cider (04/04/2023)</v>
      </c>
      <c r="H5118" s="19"/>
    </row>
    <row r="5119">
      <c r="A5119" s="9"/>
      <c r="B5119" s="15"/>
      <c r="C5119" s="9">
        <f>IFERROR(__xludf.DUMMYFUNCTION("""COMPUTED_VALUE"""),45090.8808794097)</f>
        <v>45090.88088</v>
      </c>
      <c r="D5119" s="15">
        <f>IFERROR(__xludf.DUMMYFUNCTION("""COMPUTED_VALUE"""),1.003)</f>
        <v>1.003</v>
      </c>
      <c r="E5119" s="16">
        <f>IFERROR(__xludf.DUMMYFUNCTION("""COMPUTED_VALUE"""),68.0)</f>
        <v>68</v>
      </c>
      <c r="F5119" s="19" t="str">
        <f>IFERROR(__xludf.DUMMYFUNCTION("""COMPUTED_VALUE"""),"BLUE")</f>
        <v>BLUE</v>
      </c>
      <c r="G5119" s="20" t="str">
        <f>IFERROR(__xludf.DUMMYFUNCTION("""COMPUTED_VALUE"""),"Uncle Sams Cider (04/04/2023)")</f>
        <v>Uncle Sams Cider (04/04/2023)</v>
      </c>
      <c r="H5119" s="19"/>
    </row>
    <row r="5120">
      <c r="A5120" s="9"/>
      <c r="B5120" s="15"/>
      <c r="C5120" s="9">
        <f>IFERROR(__xludf.DUMMYFUNCTION("""COMPUTED_VALUE"""),45090.87045853)</f>
        <v>45090.87046</v>
      </c>
      <c r="D5120" s="15">
        <f>IFERROR(__xludf.DUMMYFUNCTION("""COMPUTED_VALUE"""),1.003)</f>
        <v>1.003</v>
      </c>
      <c r="E5120" s="16">
        <f>IFERROR(__xludf.DUMMYFUNCTION("""COMPUTED_VALUE"""),68.0)</f>
        <v>68</v>
      </c>
      <c r="F5120" s="19" t="str">
        <f>IFERROR(__xludf.DUMMYFUNCTION("""COMPUTED_VALUE"""),"BLUE")</f>
        <v>BLUE</v>
      </c>
      <c r="G5120" s="20" t="str">
        <f>IFERROR(__xludf.DUMMYFUNCTION("""COMPUTED_VALUE"""),"Uncle Sams Cider (04/04/2023)")</f>
        <v>Uncle Sams Cider (04/04/2023)</v>
      </c>
      <c r="H5120" s="19"/>
    </row>
    <row r="5121">
      <c r="A5121" s="9"/>
      <c r="B5121" s="15"/>
      <c r="C5121" s="9">
        <f>IFERROR(__xludf.DUMMYFUNCTION("""COMPUTED_VALUE"""),45090.8600378356)</f>
        <v>45090.86004</v>
      </c>
      <c r="D5121" s="15">
        <f>IFERROR(__xludf.DUMMYFUNCTION("""COMPUTED_VALUE"""),1.003)</f>
        <v>1.003</v>
      </c>
      <c r="E5121" s="16">
        <f>IFERROR(__xludf.DUMMYFUNCTION("""COMPUTED_VALUE"""),68.0)</f>
        <v>68</v>
      </c>
      <c r="F5121" s="19" t="str">
        <f>IFERROR(__xludf.DUMMYFUNCTION("""COMPUTED_VALUE"""),"BLUE")</f>
        <v>BLUE</v>
      </c>
      <c r="G5121" s="20" t="str">
        <f>IFERROR(__xludf.DUMMYFUNCTION("""COMPUTED_VALUE"""),"Uncle Sams Cider (04/04/2023)")</f>
        <v>Uncle Sams Cider (04/04/2023)</v>
      </c>
      <c r="H5121" s="19"/>
    </row>
    <row r="5122">
      <c r="A5122" s="9"/>
      <c r="B5122" s="15"/>
      <c r="C5122" s="9">
        <f>IFERROR(__xludf.DUMMYFUNCTION("""COMPUTED_VALUE"""),45090.8496166666)</f>
        <v>45090.84962</v>
      </c>
      <c r="D5122" s="15">
        <f>IFERROR(__xludf.DUMMYFUNCTION("""COMPUTED_VALUE"""),1.003)</f>
        <v>1.003</v>
      </c>
      <c r="E5122" s="16">
        <f>IFERROR(__xludf.DUMMYFUNCTION("""COMPUTED_VALUE"""),68.0)</f>
        <v>68</v>
      </c>
      <c r="F5122" s="19" t="str">
        <f>IFERROR(__xludf.DUMMYFUNCTION("""COMPUTED_VALUE"""),"BLUE")</f>
        <v>BLUE</v>
      </c>
      <c r="G5122" s="20" t="str">
        <f>IFERROR(__xludf.DUMMYFUNCTION("""COMPUTED_VALUE"""),"Uncle Sams Cider (04/04/2023)")</f>
        <v>Uncle Sams Cider (04/04/2023)</v>
      </c>
      <c r="H5122" s="19"/>
    </row>
    <row r="5123">
      <c r="A5123" s="9"/>
      <c r="B5123" s="15"/>
      <c r="C5123" s="9">
        <f>IFERROR(__xludf.DUMMYFUNCTION("""COMPUTED_VALUE"""),45090.8391966203)</f>
        <v>45090.8392</v>
      </c>
      <c r="D5123" s="15">
        <f>IFERROR(__xludf.DUMMYFUNCTION("""COMPUTED_VALUE"""),1.003)</f>
        <v>1.003</v>
      </c>
      <c r="E5123" s="16">
        <f>IFERROR(__xludf.DUMMYFUNCTION("""COMPUTED_VALUE"""),68.0)</f>
        <v>68</v>
      </c>
      <c r="F5123" s="19" t="str">
        <f>IFERROR(__xludf.DUMMYFUNCTION("""COMPUTED_VALUE"""),"BLUE")</f>
        <v>BLUE</v>
      </c>
      <c r="G5123" s="20" t="str">
        <f>IFERROR(__xludf.DUMMYFUNCTION("""COMPUTED_VALUE"""),"Uncle Sams Cider (04/04/2023)")</f>
        <v>Uncle Sams Cider (04/04/2023)</v>
      </c>
      <c r="H5123" s="19"/>
    </row>
    <row r="5124">
      <c r="A5124" s="9"/>
      <c r="B5124" s="15"/>
      <c r="C5124" s="9">
        <f>IFERROR(__xludf.DUMMYFUNCTION("""COMPUTED_VALUE"""),45090.8287753125)</f>
        <v>45090.82878</v>
      </c>
      <c r="D5124" s="15">
        <f>IFERROR(__xludf.DUMMYFUNCTION("""COMPUTED_VALUE"""),1.003)</f>
        <v>1.003</v>
      </c>
      <c r="E5124" s="16">
        <f>IFERROR(__xludf.DUMMYFUNCTION("""COMPUTED_VALUE"""),68.0)</f>
        <v>68</v>
      </c>
      <c r="F5124" s="19" t="str">
        <f>IFERROR(__xludf.DUMMYFUNCTION("""COMPUTED_VALUE"""),"BLUE")</f>
        <v>BLUE</v>
      </c>
      <c r="G5124" s="20" t="str">
        <f>IFERROR(__xludf.DUMMYFUNCTION("""COMPUTED_VALUE"""),"Uncle Sams Cider (04/04/2023)")</f>
        <v>Uncle Sams Cider (04/04/2023)</v>
      </c>
      <c r="H5124" s="19"/>
    </row>
    <row r="5125">
      <c r="A5125" s="9"/>
      <c r="B5125" s="15"/>
      <c r="C5125" s="9">
        <f>IFERROR(__xludf.DUMMYFUNCTION("""COMPUTED_VALUE"""),45090.8183550462)</f>
        <v>45090.81836</v>
      </c>
      <c r="D5125" s="15">
        <f>IFERROR(__xludf.DUMMYFUNCTION("""COMPUTED_VALUE"""),1.003)</f>
        <v>1.003</v>
      </c>
      <c r="E5125" s="16">
        <f>IFERROR(__xludf.DUMMYFUNCTION("""COMPUTED_VALUE"""),68.0)</f>
        <v>68</v>
      </c>
      <c r="F5125" s="19" t="str">
        <f>IFERROR(__xludf.DUMMYFUNCTION("""COMPUTED_VALUE"""),"BLUE")</f>
        <v>BLUE</v>
      </c>
      <c r="G5125" s="20" t="str">
        <f>IFERROR(__xludf.DUMMYFUNCTION("""COMPUTED_VALUE"""),"Uncle Sams Cider (04/04/2023)")</f>
        <v>Uncle Sams Cider (04/04/2023)</v>
      </c>
      <c r="H5125" s="19"/>
    </row>
    <row r="5126">
      <c r="A5126" s="9"/>
      <c r="B5126" s="15"/>
      <c r="C5126" s="9">
        <f>IFERROR(__xludf.DUMMYFUNCTION("""COMPUTED_VALUE"""),45090.8079322916)</f>
        <v>45090.80793</v>
      </c>
      <c r="D5126" s="15">
        <f>IFERROR(__xludf.DUMMYFUNCTION("""COMPUTED_VALUE"""),1.003)</f>
        <v>1.003</v>
      </c>
      <c r="E5126" s="16">
        <f>IFERROR(__xludf.DUMMYFUNCTION("""COMPUTED_VALUE"""),68.0)</f>
        <v>68</v>
      </c>
      <c r="F5126" s="19" t="str">
        <f>IFERROR(__xludf.DUMMYFUNCTION("""COMPUTED_VALUE"""),"BLUE")</f>
        <v>BLUE</v>
      </c>
      <c r="G5126" s="20" t="str">
        <f>IFERROR(__xludf.DUMMYFUNCTION("""COMPUTED_VALUE"""),"Uncle Sams Cider (04/04/2023)")</f>
        <v>Uncle Sams Cider (04/04/2023)</v>
      </c>
      <c r="H5126" s="19"/>
    </row>
    <row r="5127">
      <c r="A5127" s="9"/>
      <c r="B5127" s="15"/>
      <c r="C5127" s="9">
        <f>IFERROR(__xludf.DUMMYFUNCTION("""COMPUTED_VALUE"""),45090.7975108101)</f>
        <v>45090.79751</v>
      </c>
      <c r="D5127" s="15">
        <f>IFERROR(__xludf.DUMMYFUNCTION("""COMPUTED_VALUE"""),1.003)</f>
        <v>1.003</v>
      </c>
      <c r="E5127" s="16">
        <f>IFERROR(__xludf.DUMMYFUNCTION("""COMPUTED_VALUE"""),68.0)</f>
        <v>68</v>
      </c>
      <c r="F5127" s="19" t="str">
        <f>IFERROR(__xludf.DUMMYFUNCTION("""COMPUTED_VALUE"""),"BLUE")</f>
        <v>BLUE</v>
      </c>
      <c r="G5127" s="20" t="str">
        <f>IFERROR(__xludf.DUMMYFUNCTION("""COMPUTED_VALUE"""),"Uncle Sams Cider (04/04/2023)")</f>
        <v>Uncle Sams Cider (04/04/2023)</v>
      </c>
      <c r="H5127" s="19"/>
    </row>
    <row r="5128">
      <c r="A5128" s="9"/>
      <c r="B5128" s="15"/>
      <c r="C5128" s="9">
        <f>IFERROR(__xludf.DUMMYFUNCTION("""COMPUTED_VALUE"""),45090.7870883912)</f>
        <v>45090.78709</v>
      </c>
      <c r="D5128" s="15">
        <f>IFERROR(__xludf.DUMMYFUNCTION("""COMPUTED_VALUE"""),1.003)</f>
        <v>1.003</v>
      </c>
      <c r="E5128" s="16">
        <f>IFERROR(__xludf.DUMMYFUNCTION("""COMPUTED_VALUE"""),68.0)</f>
        <v>68</v>
      </c>
      <c r="F5128" s="19" t="str">
        <f>IFERROR(__xludf.DUMMYFUNCTION("""COMPUTED_VALUE"""),"BLUE")</f>
        <v>BLUE</v>
      </c>
      <c r="G5128" s="20" t="str">
        <f>IFERROR(__xludf.DUMMYFUNCTION("""COMPUTED_VALUE"""),"Uncle Sams Cider (04/04/2023)")</f>
        <v>Uncle Sams Cider (04/04/2023)</v>
      </c>
      <c r="H5128" s="19"/>
    </row>
    <row r="5129">
      <c r="A5129" s="9"/>
      <c r="B5129" s="15"/>
      <c r="C5129" s="9">
        <f>IFERROR(__xludf.DUMMYFUNCTION("""COMPUTED_VALUE"""),45090.7766555555)</f>
        <v>45090.77666</v>
      </c>
      <c r="D5129" s="15">
        <f>IFERROR(__xludf.DUMMYFUNCTION("""COMPUTED_VALUE"""),1.003)</f>
        <v>1.003</v>
      </c>
      <c r="E5129" s="16">
        <f>IFERROR(__xludf.DUMMYFUNCTION("""COMPUTED_VALUE"""),68.0)</f>
        <v>68</v>
      </c>
      <c r="F5129" s="19" t="str">
        <f>IFERROR(__xludf.DUMMYFUNCTION("""COMPUTED_VALUE"""),"BLUE")</f>
        <v>BLUE</v>
      </c>
      <c r="G5129" s="20" t="str">
        <f>IFERROR(__xludf.DUMMYFUNCTION("""COMPUTED_VALUE"""),"Uncle Sams Cider (04/04/2023)")</f>
        <v>Uncle Sams Cider (04/04/2023)</v>
      </c>
      <c r="H5129" s="19"/>
    </row>
    <row r="5130">
      <c r="A5130" s="9"/>
      <c r="B5130" s="15"/>
      <c r="C5130" s="9">
        <f>IFERROR(__xludf.DUMMYFUNCTION("""COMPUTED_VALUE"""),45090.7558131712)</f>
        <v>45090.75581</v>
      </c>
      <c r="D5130" s="15">
        <f>IFERROR(__xludf.DUMMYFUNCTION("""COMPUTED_VALUE"""),1.003)</f>
        <v>1.003</v>
      </c>
      <c r="E5130" s="16">
        <f>IFERROR(__xludf.DUMMYFUNCTION("""COMPUTED_VALUE"""),68.0)</f>
        <v>68</v>
      </c>
      <c r="F5130" s="19" t="str">
        <f>IFERROR(__xludf.DUMMYFUNCTION("""COMPUTED_VALUE"""),"BLUE")</f>
        <v>BLUE</v>
      </c>
      <c r="G5130" s="20" t="str">
        <f>IFERROR(__xludf.DUMMYFUNCTION("""COMPUTED_VALUE"""),"Uncle Sams Cider (04/04/2023)")</f>
        <v>Uncle Sams Cider (04/04/2023)</v>
      </c>
      <c r="H5130" s="19"/>
    </row>
    <row r="5131">
      <c r="A5131" s="9"/>
      <c r="B5131" s="15"/>
      <c r="C5131" s="9">
        <f>IFERROR(__xludf.DUMMYFUNCTION("""COMPUTED_VALUE"""),45090.7453918518)</f>
        <v>45090.74539</v>
      </c>
      <c r="D5131" s="15">
        <f>IFERROR(__xludf.DUMMYFUNCTION("""COMPUTED_VALUE"""),1.003)</f>
        <v>1.003</v>
      </c>
      <c r="E5131" s="16">
        <f>IFERROR(__xludf.DUMMYFUNCTION("""COMPUTED_VALUE"""),68.0)</f>
        <v>68</v>
      </c>
      <c r="F5131" s="19" t="str">
        <f>IFERROR(__xludf.DUMMYFUNCTION("""COMPUTED_VALUE"""),"BLUE")</f>
        <v>BLUE</v>
      </c>
      <c r="G5131" s="20" t="str">
        <f>IFERROR(__xludf.DUMMYFUNCTION("""COMPUTED_VALUE"""),"Uncle Sams Cider (04/04/2023)")</f>
        <v>Uncle Sams Cider (04/04/2023)</v>
      </c>
      <c r="H5131" s="19"/>
    </row>
    <row r="5132">
      <c r="A5132" s="9"/>
      <c r="B5132" s="15"/>
      <c r="C5132" s="9">
        <f>IFERROR(__xludf.DUMMYFUNCTION("""COMPUTED_VALUE"""),45090.7349695833)</f>
        <v>45090.73497</v>
      </c>
      <c r="D5132" s="15">
        <f>IFERROR(__xludf.DUMMYFUNCTION("""COMPUTED_VALUE"""),1.003)</f>
        <v>1.003</v>
      </c>
      <c r="E5132" s="16">
        <f>IFERROR(__xludf.DUMMYFUNCTION("""COMPUTED_VALUE"""),68.0)</f>
        <v>68</v>
      </c>
      <c r="F5132" s="19" t="str">
        <f>IFERROR(__xludf.DUMMYFUNCTION("""COMPUTED_VALUE"""),"BLUE")</f>
        <v>BLUE</v>
      </c>
      <c r="G5132" s="20" t="str">
        <f>IFERROR(__xludf.DUMMYFUNCTION("""COMPUTED_VALUE"""),"Uncle Sams Cider (04/04/2023)")</f>
        <v>Uncle Sams Cider (04/04/2023)</v>
      </c>
      <c r="H5132" s="19"/>
    </row>
    <row r="5133">
      <c r="A5133" s="9"/>
      <c r="B5133" s="15"/>
      <c r="C5133" s="9">
        <f>IFERROR(__xludf.DUMMYFUNCTION("""COMPUTED_VALUE"""),45090.7245486689)</f>
        <v>45090.72455</v>
      </c>
      <c r="D5133" s="15">
        <f>IFERROR(__xludf.DUMMYFUNCTION("""COMPUTED_VALUE"""),1.003)</f>
        <v>1.003</v>
      </c>
      <c r="E5133" s="16">
        <f>IFERROR(__xludf.DUMMYFUNCTION("""COMPUTED_VALUE"""),68.0)</f>
        <v>68</v>
      </c>
      <c r="F5133" s="19" t="str">
        <f>IFERROR(__xludf.DUMMYFUNCTION("""COMPUTED_VALUE"""),"BLUE")</f>
        <v>BLUE</v>
      </c>
      <c r="G5133" s="20" t="str">
        <f>IFERROR(__xludf.DUMMYFUNCTION("""COMPUTED_VALUE"""),"Uncle Sams Cider (04/04/2023)")</f>
        <v>Uncle Sams Cider (04/04/2023)</v>
      </c>
      <c r="H5133" s="19"/>
    </row>
    <row r="5134">
      <c r="A5134" s="9"/>
      <c r="B5134" s="15"/>
      <c r="C5134" s="9">
        <f>IFERROR(__xludf.DUMMYFUNCTION("""COMPUTED_VALUE"""),45090.703694074)</f>
        <v>45090.70369</v>
      </c>
      <c r="D5134" s="15">
        <f>IFERROR(__xludf.DUMMYFUNCTION("""COMPUTED_VALUE"""),1.003)</f>
        <v>1.003</v>
      </c>
      <c r="E5134" s="16">
        <f>IFERROR(__xludf.DUMMYFUNCTION("""COMPUTED_VALUE"""),68.0)</f>
        <v>68</v>
      </c>
      <c r="F5134" s="19" t="str">
        <f>IFERROR(__xludf.DUMMYFUNCTION("""COMPUTED_VALUE"""),"BLUE")</f>
        <v>BLUE</v>
      </c>
      <c r="G5134" s="20" t="str">
        <f>IFERROR(__xludf.DUMMYFUNCTION("""COMPUTED_VALUE"""),"Uncle Sams Cider (04/04/2023)")</f>
        <v>Uncle Sams Cider (04/04/2023)</v>
      </c>
      <c r="H5134" s="19"/>
    </row>
    <row r="5135">
      <c r="A5135" s="9"/>
      <c r="B5135" s="15"/>
      <c r="C5135" s="9">
        <f>IFERROR(__xludf.DUMMYFUNCTION("""COMPUTED_VALUE"""),45090.6932609838)</f>
        <v>45090.69326</v>
      </c>
      <c r="D5135" s="15">
        <f>IFERROR(__xludf.DUMMYFUNCTION("""COMPUTED_VALUE"""),1.003)</f>
        <v>1.003</v>
      </c>
      <c r="E5135" s="16">
        <f>IFERROR(__xludf.DUMMYFUNCTION("""COMPUTED_VALUE"""),68.0)</f>
        <v>68</v>
      </c>
      <c r="F5135" s="19" t="str">
        <f>IFERROR(__xludf.DUMMYFUNCTION("""COMPUTED_VALUE"""),"BLUE")</f>
        <v>BLUE</v>
      </c>
      <c r="G5135" s="20" t="str">
        <f>IFERROR(__xludf.DUMMYFUNCTION("""COMPUTED_VALUE"""),"Uncle Sams Cider (04/04/2023)")</f>
        <v>Uncle Sams Cider (04/04/2023)</v>
      </c>
      <c r="H5135" s="19"/>
    </row>
    <row r="5136">
      <c r="A5136" s="9"/>
      <c r="B5136" s="15"/>
      <c r="C5136" s="9">
        <f>IFERROR(__xludf.DUMMYFUNCTION("""COMPUTED_VALUE"""),45090.6828396296)</f>
        <v>45090.68284</v>
      </c>
      <c r="D5136" s="15">
        <f>IFERROR(__xludf.DUMMYFUNCTION("""COMPUTED_VALUE"""),1.003)</f>
        <v>1.003</v>
      </c>
      <c r="E5136" s="16">
        <f>IFERROR(__xludf.DUMMYFUNCTION("""COMPUTED_VALUE"""),68.0)</f>
        <v>68</v>
      </c>
      <c r="F5136" s="19" t="str">
        <f>IFERROR(__xludf.DUMMYFUNCTION("""COMPUTED_VALUE"""),"BLUE")</f>
        <v>BLUE</v>
      </c>
      <c r="G5136" s="20" t="str">
        <f>IFERROR(__xludf.DUMMYFUNCTION("""COMPUTED_VALUE"""),"Uncle Sams Cider (04/04/2023)")</f>
        <v>Uncle Sams Cider (04/04/2023)</v>
      </c>
      <c r="H5136" s="19"/>
    </row>
    <row r="5137">
      <c r="A5137" s="9"/>
      <c r="B5137" s="15"/>
      <c r="C5137" s="9">
        <f>IFERROR(__xludf.DUMMYFUNCTION("""COMPUTED_VALUE"""),45090.6724190509)</f>
        <v>45090.67242</v>
      </c>
      <c r="D5137" s="15">
        <f>IFERROR(__xludf.DUMMYFUNCTION("""COMPUTED_VALUE"""),1.003)</f>
        <v>1.003</v>
      </c>
      <c r="E5137" s="16">
        <f>IFERROR(__xludf.DUMMYFUNCTION("""COMPUTED_VALUE"""),68.0)</f>
        <v>68</v>
      </c>
      <c r="F5137" s="19" t="str">
        <f>IFERROR(__xludf.DUMMYFUNCTION("""COMPUTED_VALUE"""),"BLUE")</f>
        <v>BLUE</v>
      </c>
      <c r="G5137" s="20" t="str">
        <f>IFERROR(__xludf.DUMMYFUNCTION("""COMPUTED_VALUE"""),"Uncle Sams Cider (04/04/2023)")</f>
        <v>Uncle Sams Cider (04/04/2023)</v>
      </c>
      <c r="H5137" s="19"/>
    </row>
    <row r="5138">
      <c r="A5138" s="9"/>
      <c r="B5138" s="15"/>
      <c r="C5138" s="9">
        <f>IFERROR(__xludf.DUMMYFUNCTION("""COMPUTED_VALUE"""),45090.6619983101)</f>
        <v>45090.662</v>
      </c>
      <c r="D5138" s="15">
        <f>IFERROR(__xludf.DUMMYFUNCTION("""COMPUTED_VALUE"""),1.003)</f>
        <v>1.003</v>
      </c>
      <c r="E5138" s="16">
        <f>IFERROR(__xludf.DUMMYFUNCTION("""COMPUTED_VALUE"""),68.0)</f>
        <v>68</v>
      </c>
      <c r="F5138" s="19" t="str">
        <f>IFERROR(__xludf.DUMMYFUNCTION("""COMPUTED_VALUE"""),"BLUE")</f>
        <v>BLUE</v>
      </c>
      <c r="G5138" s="20" t="str">
        <f>IFERROR(__xludf.DUMMYFUNCTION("""COMPUTED_VALUE"""),"Uncle Sams Cider (04/04/2023)")</f>
        <v>Uncle Sams Cider (04/04/2023)</v>
      </c>
      <c r="H5138" s="19"/>
    </row>
    <row r="5139">
      <c r="A5139" s="9"/>
      <c r="B5139" s="15"/>
      <c r="C5139" s="9">
        <f>IFERROR(__xludf.DUMMYFUNCTION("""COMPUTED_VALUE"""),45090.6515752199)</f>
        <v>45090.65158</v>
      </c>
      <c r="D5139" s="15">
        <f>IFERROR(__xludf.DUMMYFUNCTION("""COMPUTED_VALUE"""),1.003)</f>
        <v>1.003</v>
      </c>
      <c r="E5139" s="16">
        <f>IFERROR(__xludf.DUMMYFUNCTION("""COMPUTED_VALUE"""),68.0)</f>
        <v>68</v>
      </c>
      <c r="F5139" s="19" t="str">
        <f>IFERROR(__xludf.DUMMYFUNCTION("""COMPUTED_VALUE"""),"BLUE")</f>
        <v>BLUE</v>
      </c>
      <c r="G5139" s="20" t="str">
        <f>IFERROR(__xludf.DUMMYFUNCTION("""COMPUTED_VALUE"""),"Uncle Sams Cider (04/04/2023)")</f>
        <v>Uncle Sams Cider (04/04/2023)</v>
      </c>
      <c r="H5139" s="19"/>
    </row>
    <row r="5140">
      <c r="A5140" s="9"/>
      <c r="B5140" s="15"/>
      <c r="C5140" s="9">
        <f>IFERROR(__xludf.DUMMYFUNCTION("""COMPUTED_VALUE"""),45090.64115478)</f>
        <v>45090.64115</v>
      </c>
      <c r="D5140" s="15">
        <f>IFERROR(__xludf.DUMMYFUNCTION("""COMPUTED_VALUE"""),1.003)</f>
        <v>1.003</v>
      </c>
      <c r="E5140" s="16">
        <f>IFERROR(__xludf.DUMMYFUNCTION("""COMPUTED_VALUE"""),68.0)</f>
        <v>68</v>
      </c>
      <c r="F5140" s="19" t="str">
        <f>IFERROR(__xludf.DUMMYFUNCTION("""COMPUTED_VALUE"""),"BLUE")</f>
        <v>BLUE</v>
      </c>
      <c r="G5140" s="20" t="str">
        <f>IFERROR(__xludf.DUMMYFUNCTION("""COMPUTED_VALUE"""),"Uncle Sams Cider (04/04/2023)")</f>
        <v>Uncle Sams Cider (04/04/2023)</v>
      </c>
      <c r="H5140" s="19"/>
    </row>
    <row r="5141">
      <c r="A5141" s="9"/>
      <c r="B5141" s="15"/>
      <c r="C5141" s="9">
        <f>IFERROR(__xludf.DUMMYFUNCTION("""COMPUTED_VALUE"""),45090.6307332986)</f>
        <v>45090.63073</v>
      </c>
      <c r="D5141" s="15">
        <f>IFERROR(__xludf.DUMMYFUNCTION("""COMPUTED_VALUE"""),1.003)</f>
        <v>1.003</v>
      </c>
      <c r="E5141" s="16">
        <f>IFERROR(__xludf.DUMMYFUNCTION("""COMPUTED_VALUE"""),68.0)</f>
        <v>68</v>
      </c>
      <c r="F5141" s="19" t="str">
        <f>IFERROR(__xludf.DUMMYFUNCTION("""COMPUTED_VALUE"""),"BLUE")</f>
        <v>BLUE</v>
      </c>
      <c r="G5141" s="20" t="str">
        <f>IFERROR(__xludf.DUMMYFUNCTION("""COMPUTED_VALUE"""),"Uncle Sams Cider (04/04/2023)")</f>
        <v>Uncle Sams Cider (04/04/2023)</v>
      </c>
      <c r="H5141" s="19"/>
    </row>
    <row r="5142">
      <c r="A5142" s="9"/>
      <c r="B5142" s="15"/>
      <c r="C5142" s="9">
        <f>IFERROR(__xludf.DUMMYFUNCTION("""COMPUTED_VALUE"""),45090.6203116551)</f>
        <v>45090.62031</v>
      </c>
      <c r="D5142" s="15">
        <f>IFERROR(__xludf.DUMMYFUNCTION("""COMPUTED_VALUE"""),1.003)</f>
        <v>1.003</v>
      </c>
      <c r="E5142" s="16">
        <f>IFERROR(__xludf.DUMMYFUNCTION("""COMPUTED_VALUE"""),68.0)</f>
        <v>68</v>
      </c>
      <c r="F5142" s="19" t="str">
        <f>IFERROR(__xludf.DUMMYFUNCTION("""COMPUTED_VALUE"""),"BLUE")</f>
        <v>BLUE</v>
      </c>
      <c r="G5142" s="20" t="str">
        <f>IFERROR(__xludf.DUMMYFUNCTION("""COMPUTED_VALUE"""),"Uncle Sams Cider (04/04/2023)")</f>
        <v>Uncle Sams Cider (04/04/2023)</v>
      </c>
      <c r="H5142" s="19"/>
    </row>
    <row r="5143">
      <c r="A5143" s="9"/>
      <c r="B5143" s="15"/>
      <c r="C5143" s="9">
        <f>IFERROR(__xludf.DUMMYFUNCTION("""COMPUTED_VALUE"""),45090.6098780092)</f>
        <v>45090.60988</v>
      </c>
      <c r="D5143" s="15">
        <f>IFERROR(__xludf.DUMMYFUNCTION("""COMPUTED_VALUE"""),1.003)</f>
        <v>1.003</v>
      </c>
      <c r="E5143" s="16">
        <f>IFERROR(__xludf.DUMMYFUNCTION("""COMPUTED_VALUE"""),68.0)</f>
        <v>68</v>
      </c>
      <c r="F5143" s="19" t="str">
        <f>IFERROR(__xludf.DUMMYFUNCTION("""COMPUTED_VALUE"""),"BLUE")</f>
        <v>BLUE</v>
      </c>
      <c r="G5143" s="20" t="str">
        <f>IFERROR(__xludf.DUMMYFUNCTION("""COMPUTED_VALUE"""),"Uncle Sams Cider (04/04/2023)")</f>
        <v>Uncle Sams Cider (04/04/2023)</v>
      </c>
      <c r="H5143" s="19"/>
    </row>
    <row r="5144">
      <c r="A5144" s="9"/>
      <c r="B5144" s="15"/>
      <c r="C5144" s="9">
        <f>IFERROR(__xludf.DUMMYFUNCTION("""COMPUTED_VALUE"""),45090.5994212963)</f>
        <v>45090.59942</v>
      </c>
      <c r="D5144" s="15">
        <f>IFERROR(__xludf.DUMMYFUNCTION("""COMPUTED_VALUE"""),1.003)</f>
        <v>1.003</v>
      </c>
      <c r="E5144" s="16">
        <f>IFERROR(__xludf.DUMMYFUNCTION("""COMPUTED_VALUE"""),68.0)</f>
        <v>68</v>
      </c>
      <c r="F5144" s="19" t="str">
        <f>IFERROR(__xludf.DUMMYFUNCTION("""COMPUTED_VALUE"""),"BLUE")</f>
        <v>BLUE</v>
      </c>
      <c r="G5144" s="20" t="str">
        <f>IFERROR(__xludf.DUMMYFUNCTION("""COMPUTED_VALUE"""),"Uncle Sams Cider (04/04/2023)")</f>
        <v>Uncle Sams Cider (04/04/2023)</v>
      </c>
      <c r="H5144" s="19"/>
    </row>
    <row r="5145">
      <c r="A5145" s="9"/>
      <c r="B5145" s="15"/>
      <c r="C5145" s="9">
        <f>IFERROR(__xludf.DUMMYFUNCTION("""COMPUTED_VALUE"""),45090.589000243)</f>
        <v>45090.589</v>
      </c>
      <c r="D5145" s="15">
        <f>IFERROR(__xludf.DUMMYFUNCTION("""COMPUTED_VALUE"""),1.003)</f>
        <v>1.003</v>
      </c>
      <c r="E5145" s="16">
        <f>IFERROR(__xludf.DUMMYFUNCTION("""COMPUTED_VALUE"""),68.0)</f>
        <v>68</v>
      </c>
      <c r="F5145" s="19" t="str">
        <f>IFERROR(__xludf.DUMMYFUNCTION("""COMPUTED_VALUE"""),"BLUE")</f>
        <v>BLUE</v>
      </c>
      <c r="G5145" s="20" t="str">
        <f>IFERROR(__xludf.DUMMYFUNCTION("""COMPUTED_VALUE"""),"Uncle Sams Cider (04/04/2023)")</f>
        <v>Uncle Sams Cider (04/04/2023)</v>
      </c>
      <c r="H5145" s="19"/>
    </row>
    <row r="5146">
      <c r="A5146" s="9"/>
      <c r="B5146" s="15"/>
      <c r="C5146" s="9">
        <f>IFERROR(__xludf.DUMMYFUNCTION("""COMPUTED_VALUE"""),45090.5785808101)</f>
        <v>45090.57858</v>
      </c>
      <c r="D5146" s="15">
        <f>IFERROR(__xludf.DUMMYFUNCTION("""COMPUTED_VALUE"""),1.003)</f>
        <v>1.003</v>
      </c>
      <c r="E5146" s="16">
        <f>IFERROR(__xludf.DUMMYFUNCTION("""COMPUTED_VALUE"""),68.0)</f>
        <v>68</v>
      </c>
      <c r="F5146" s="19" t="str">
        <f>IFERROR(__xludf.DUMMYFUNCTION("""COMPUTED_VALUE"""),"BLUE")</f>
        <v>BLUE</v>
      </c>
      <c r="G5146" s="20" t="str">
        <f>IFERROR(__xludf.DUMMYFUNCTION("""COMPUTED_VALUE"""),"Uncle Sams Cider (04/04/2023)")</f>
        <v>Uncle Sams Cider (04/04/2023)</v>
      </c>
      <c r="H5146" s="19"/>
    </row>
    <row r="5147">
      <c r="A5147" s="9"/>
      <c r="B5147" s="15"/>
      <c r="C5147" s="9">
        <f>IFERROR(__xludf.DUMMYFUNCTION("""COMPUTED_VALUE"""),45090.5681596875)</f>
        <v>45090.56816</v>
      </c>
      <c r="D5147" s="15">
        <f>IFERROR(__xludf.DUMMYFUNCTION("""COMPUTED_VALUE"""),1.003)</f>
        <v>1.003</v>
      </c>
      <c r="E5147" s="16">
        <f>IFERROR(__xludf.DUMMYFUNCTION("""COMPUTED_VALUE"""),68.0)</f>
        <v>68</v>
      </c>
      <c r="F5147" s="19" t="str">
        <f>IFERROR(__xludf.DUMMYFUNCTION("""COMPUTED_VALUE"""),"BLUE")</f>
        <v>BLUE</v>
      </c>
      <c r="G5147" s="20" t="str">
        <f>IFERROR(__xludf.DUMMYFUNCTION("""COMPUTED_VALUE"""),"Uncle Sams Cider (04/04/2023)")</f>
        <v>Uncle Sams Cider (04/04/2023)</v>
      </c>
      <c r="H5147" s="19"/>
    </row>
    <row r="5148">
      <c r="A5148" s="9"/>
      <c r="B5148" s="15"/>
      <c r="C5148" s="9">
        <f>IFERROR(__xludf.DUMMYFUNCTION("""COMPUTED_VALUE"""),45090.5577388773)</f>
        <v>45090.55774</v>
      </c>
      <c r="D5148" s="15">
        <f>IFERROR(__xludf.DUMMYFUNCTION("""COMPUTED_VALUE"""),1.003)</f>
        <v>1.003</v>
      </c>
      <c r="E5148" s="16">
        <f>IFERROR(__xludf.DUMMYFUNCTION("""COMPUTED_VALUE"""),68.0)</f>
        <v>68</v>
      </c>
      <c r="F5148" s="19" t="str">
        <f>IFERROR(__xludf.DUMMYFUNCTION("""COMPUTED_VALUE"""),"BLUE")</f>
        <v>BLUE</v>
      </c>
      <c r="G5148" s="20" t="str">
        <f>IFERROR(__xludf.DUMMYFUNCTION("""COMPUTED_VALUE"""),"Uncle Sams Cider (04/04/2023)")</f>
        <v>Uncle Sams Cider (04/04/2023)</v>
      </c>
      <c r="H5148" s="19"/>
    </row>
    <row r="5149">
      <c r="A5149" s="9"/>
      <c r="B5149" s="15"/>
      <c r="C5149" s="9">
        <f>IFERROR(__xludf.DUMMYFUNCTION("""COMPUTED_VALUE"""),45090.5473193981)</f>
        <v>45090.54732</v>
      </c>
      <c r="D5149" s="15">
        <f>IFERROR(__xludf.DUMMYFUNCTION("""COMPUTED_VALUE"""),1.003)</f>
        <v>1.003</v>
      </c>
      <c r="E5149" s="16">
        <f>IFERROR(__xludf.DUMMYFUNCTION("""COMPUTED_VALUE"""),68.0)</f>
        <v>68</v>
      </c>
      <c r="F5149" s="19" t="str">
        <f>IFERROR(__xludf.DUMMYFUNCTION("""COMPUTED_VALUE"""),"BLUE")</f>
        <v>BLUE</v>
      </c>
      <c r="G5149" s="20" t="str">
        <f>IFERROR(__xludf.DUMMYFUNCTION("""COMPUTED_VALUE"""),"Uncle Sams Cider (04/04/2023)")</f>
        <v>Uncle Sams Cider (04/04/2023)</v>
      </c>
      <c r="H5149" s="19"/>
    </row>
    <row r="5150">
      <c r="A5150" s="9"/>
      <c r="B5150" s="15"/>
      <c r="C5150" s="9">
        <f>IFERROR(__xludf.DUMMYFUNCTION("""COMPUTED_VALUE"""),45090.5369000231)</f>
        <v>45090.5369</v>
      </c>
      <c r="D5150" s="15">
        <f>IFERROR(__xludf.DUMMYFUNCTION("""COMPUTED_VALUE"""),1.003)</f>
        <v>1.003</v>
      </c>
      <c r="E5150" s="16">
        <f>IFERROR(__xludf.DUMMYFUNCTION("""COMPUTED_VALUE"""),68.0)</f>
        <v>68</v>
      </c>
      <c r="F5150" s="19" t="str">
        <f>IFERROR(__xludf.DUMMYFUNCTION("""COMPUTED_VALUE"""),"BLUE")</f>
        <v>BLUE</v>
      </c>
      <c r="G5150" s="20" t="str">
        <f>IFERROR(__xludf.DUMMYFUNCTION("""COMPUTED_VALUE"""),"Uncle Sams Cider (04/04/2023)")</f>
        <v>Uncle Sams Cider (04/04/2023)</v>
      </c>
      <c r="H5150" s="19"/>
    </row>
    <row r="5151">
      <c r="A5151" s="9"/>
      <c r="B5151" s="15"/>
      <c r="C5151" s="9">
        <f>IFERROR(__xludf.DUMMYFUNCTION("""COMPUTED_VALUE"""),45090.5264678125)</f>
        <v>45090.52647</v>
      </c>
      <c r="D5151" s="15">
        <f>IFERROR(__xludf.DUMMYFUNCTION("""COMPUTED_VALUE"""),1.003)</f>
        <v>1.003</v>
      </c>
      <c r="E5151" s="16">
        <f>IFERROR(__xludf.DUMMYFUNCTION("""COMPUTED_VALUE"""),68.0)</f>
        <v>68</v>
      </c>
      <c r="F5151" s="19" t="str">
        <f>IFERROR(__xludf.DUMMYFUNCTION("""COMPUTED_VALUE"""),"BLUE")</f>
        <v>BLUE</v>
      </c>
      <c r="G5151" s="20" t="str">
        <f>IFERROR(__xludf.DUMMYFUNCTION("""COMPUTED_VALUE"""),"Uncle Sams Cider (04/04/2023)")</f>
        <v>Uncle Sams Cider (04/04/2023)</v>
      </c>
      <c r="H5151" s="19"/>
    </row>
    <row r="5152">
      <c r="A5152" s="9"/>
      <c r="B5152" s="15"/>
      <c r="C5152" s="9">
        <f>IFERROR(__xludf.DUMMYFUNCTION("""COMPUTED_VALUE"""),45090.5160336921)</f>
        <v>45090.51603</v>
      </c>
      <c r="D5152" s="15">
        <f>IFERROR(__xludf.DUMMYFUNCTION("""COMPUTED_VALUE"""),1.003)</f>
        <v>1.003</v>
      </c>
      <c r="E5152" s="16">
        <f>IFERROR(__xludf.DUMMYFUNCTION("""COMPUTED_VALUE"""),68.0)</f>
        <v>68</v>
      </c>
      <c r="F5152" s="19" t="str">
        <f>IFERROR(__xludf.DUMMYFUNCTION("""COMPUTED_VALUE"""),"BLUE")</f>
        <v>BLUE</v>
      </c>
      <c r="G5152" s="20" t="str">
        <f>IFERROR(__xludf.DUMMYFUNCTION("""COMPUTED_VALUE"""),"Uncle Sams Cider (04/04/2023)")</f>
        <v>Uncle Sams Cider (04/04/2023)</v>
      </c>
      <c r="H5152" s="19"/>
    </row>
    <row r="5153">
      <c r="A5153" s="9"/>
      <c r="B5153" s="15"/>
      <c r="C5153" s="9">
        <f>IFERROR(__xludf.DUMMYFUNCTION("""COMPUTED_VALUE"""),45090.5056121064)</f>
        <v>45090.50561</v>
      </c>
      <c r="D5153" s="15">
        <f>IFERROR(__xludf.DUMMYFUNCTION("""COMPUTED_VALUE"""),1.003)</f>
        <v>1.003</v>
      </c>
      <c r="E5153" s="16">
        <f>IFERROR(__xludf.DUMMYFUNCTION("""COMPUTED_VALUE"""),68.0)</f>
        <v>68</v>
      </c>
      <c r="F5153" s="19" t="str">
        <f>IFERROR(__xludf.DUMMYFUNCTION("""COMPUTED_VALUE"""),"BLUE")</f>
        <v>BLUE</v>
      </c>
      <c r="G5153" s="20" t="str">
        <f>IFERROR(__xludf.DUMMYFUNCTION("""COMPUTED_VALUE"""),"Uncle Sams Cider (04/04/2023)")</f>
        <v>Uncle Sams Cider (04/04/2023)</v>
      </c>
      <c r="H5153" s="19"/>
    </row>
    <row r="5154">
      <c r="A5154" s="9"/>
      <c r="B5154" s="15"/>
      <c r="C5154" s="9">
        <f>IFERROR(__xludf.DUMMYFUNCTION("""COMPUTED_VALUE"""),45090.4951914351)</f>
        <v>45090.49519</v>
      </c>
      <c r="D5154" s="15">
        <f>IFERROR(__xludf.DUMMYFUNCTION("""COMPUTED_VALUE"""),1.003)</f>
        <v>1.003</v>
      </c>
      <c r="E5154" s="16">
        <f>IFERROR(__xludf.DUMMYFUNCTION("""COMPUTED_VALUE"""),68.0)</f>
        <v>68</v>
      </c>
      <c r="F5154" s="19" t="str">
        <f>IFERROR(__xludf.DUMMYFUNCTION("""COMPUTED_VALUE"""),"BLUE")</f>
        <v>BLUE</v>
      </c>
      <c r="G5154" s="20" t="str">
        <f>IFERROR(__xludf.DUMMYFUNCTION("""COMPUTED_VALUE"""),"Uncle Sams Cider (04/04/2023)")</f>
        <v>Uncle Sams Cider (04/04/2023)</v>
      </c>
      <c r="H5154" s="19"/>
    </row>
    <row r="5155">
      <c r="A5155" s="9"/>
      <c r="B5155" s="15"/>
      <c r="C5155" s="9">
        <f>IFERROR(__xludf.DUMMYFUNCTION("""COMPUTED_VALUE"""),45090.4847705555)</f>
        <v>45090.48477</v>
      </c>
      <c r="D5155" s="15">
        <f>IFERROR(__xludf.DUMMYFUNCTION("""COMPUTED_VALUE"""),1.003)</f>
        <v>1.003</v>
      </c>
      <c r="E5155" s="16">
        <f>IFERROR(__xludf.DUMMYFUNCTION("""COMPUTED_VALUE"""),68.0)</f>
        <v>68</v>
      </c>
      <c r="F5155" s="19" t="str">
        <f>IFERROR(__xludf.DUMMYFUNCTION("""COMPUTED_VALUE"""),"BLUE")</f>
        <v>BLUE</v>
      </c>
      <c r="G5155" s="20" t="str">
        <f>IFERROR(__xludf.DUMMYFUNCTION("""COMPUTED_VALUE"""),"Uncle Sams Cider (04/04/2023)")</f>
        <v>Uncle Sams Cider (04/04/2023)</v>
      </c>
      <c r="H5155" s="19"/>
    </row>
    <row r="5156">
      <c r="A5156" s="9"/>
      <c r="B5156" s="15"/>
      <c r="C5156" s="9">
        <f>IFERROR(__xludf.DUMMYFUNCTION("""COMPUTED_VALUE"""),45090.4743395717)</f>
        <v>45090.47434</v>
      </c>
      <c r="D5156" s="15">
        <f>IFERROR(__xludf.DUMMYFUNCTION("""COMPUTED_VALUE"""),1.003)</f>
        <v>1.003</v>
      </c>
      <c r="E5156" s="16">
        <f>IFERROR(__xludf.DUMMYFUNCTION("""COMPUTED_VALUE"""),68.0)</f>
        <v>68</v>
      </c>
      <c r="F5156" s="19" t="str">
        <f>IFERROR(__xludf.DUMMYFUNCTION("""COMPUTED_VALUE"""),"BLUE")</f>
        <v>BLUE</v>
      </c>
      <c r="G5156" s="20" t="str">
        <f>IFERROR(__xludf.DUMMYFUNCTION("""COMPUTED_VALUE"""),"Uncle Sams Cider (04/04/2023)")</f>
        <v>Uncle Sams Cider (04/04/2023)</v>
      </c>
      <c r="H5156" s="19"/>
    </row>
    <row r="5157">
      <c r="A5157" s="9"/>
      <c r="B5157" s="15"/>
      <c r="C5157" s="9">
        <f>IFERROR(__xludf.DUMMYFUNCTION("""COMPUTED_VALUE"""),45090.4639181597)</f>
        <v>45090.46392</v>
      </c>
      <c r="D5157" s="15">
        <f>IFERROR(__xludf.DUMMYFUNCTION("""COMPUTED_VALUE"""),1.003)</f>
        <v>1.003</v>
      </c>
      <c r="E5157" s="16">
        <f>IFERROR(__xludf.DUMMYFUNCTION("""COMPUTED_VALUE"""),68.0)</f>
        <v>68</v>
      </c>
      <c r="F5157" s="19" t="str">
        <f>IFERROR(__xludf.DUMMYFUNCTION("""COMPUTED_VALUE"""),"BLUE")</f>
        <v>BLUE</v>
      </c>
      <c r="G5157" s="20" t="str">
        <f>IFERROR(__xludf.DUMMYFUNCTION("""COMPUTED_VALUE"""),"Uncle Sams Cider (04/04/2023)")</f>
        <v>Uncle Sams Cider (04/04/2023)</v>
      </c>
      <c r="H5157" s="19"/>
    </row>
    <row r="5158">
      <c r="A5158" s="9"/>
      <c r="B5158" s="15"/>
      <c r="C5158" s="9">
        <f>IFERROR(__xludf.DUMMYFUNCTION("""COMPUTED_VALUE"""),45090.4534857291)</f>
        <v>45090.45349</v>
      </c>
      <c r="D5158" s="15">
        <f>IFERROR(__xludf.DUMMYFUNCTION("""COMPUTED_VALUE"""),1.003)</f>
        <v>1.003</v>
      </c>
      <c r="E5158" s="16">
        <f>IFERROR(__xludf.DUMMYFUNCTION("""COMPUTED_VALUE"""),68.0)</f>
        <v>68</v>
      </c>
      <c r="F5158" s="19" t="str">
        <f>IFERROR(__xludf.DUMMYFUNCTION("""COMPUTED_VALUE"""),"BLUE")</f>
        <v>BLUE</v>
      </c>
      <c r="G5158" s="20" t="str">
        <f>IFERROR(__xludf.DUMMYFUNCTION("""COMPUTED_VALUE"""),"Uncle Sams Cider (04/04/2023)")</f>
        <v>Uncle Sams Cider (04/04/2023)</v>
      </c>
      <c r="H5158" s="19"/>
    </row>
    <row r="5159">
      <c r="A5159" s="9"/>
      <c r="B5159" s="15"/>
      <c r="C5159" s="9">
        <f>IFERROR(__xludf.DUMMYFUNCTION("""COMPUTED_VALUE"""),45090.4430648379)</f>
        <v>45090.44306</v>
      </c>
      <c r="D5159" s="15">
        <f>IFERROR(__xludf.DUMMYFUNCTION("""COMPUTED_VALUE"""),1.003)</f>
        <v>1.003</v>
      </c>
      <c r="E5159" s="16">
        <f>IFERROR(__xludf.DUMMYFUNCTION("""COMPUTED_VALUE"""),68.0)</f>
        <v>68</v>
      </c>
      <c r="F5159" s="19" t="str">
        <f>IFERROR(__xludf.DUMMYFUNCTION("""COMPUTED_VALUE"""),"BLUE")</f>
        <v>BLUE</v>
      </c>
      <c r="G5159" s="20" t="str">
        <f>IFERROR(__xludf.DUMMYFUNCTION("""COMPUTED_VALUE"""),"Uncle Sams Cider (04/04/2023)")</f>
        <v>Uncle Sams Cider (04/04/2023)</v>
      </c>
      <c r="H5159" s="19"/>
    </row>
    <row r="5160">
      <c r="A5160" s="9"/>
      <c r="B5160" s="15"/>
      <c r="C5160" s="9">
        <f>IFERROR(__xludf.DUMMYFUNCTION("""COMPUTED_VALUE"""),45090.4326442013)</f>
        <v>45090.43264</v>
      </c>
      <c r="D5160" s="15">
        <f>IFERROR(__xludf.DUMMYFUNCTION("""COMPUTED_VALUE"""),1.003)</f>
        <v>1.003</v>
      </c>
      <c r="E5160" s="16">
        <f>IFERROR(__xludf.DUMMYFUNCTION("""COMPUTED_VALUE"""),68.0)</f>
        <v>68</v>
      </c>
      <c r="F5160" s="19" t="str">
        <f>IFERROR(__xludf.DUMMYFUNCTION("""COMPUTED_VALUE"""),"BLUE")</f>
        <v>BLUE</v>
      </c>
      <c r="G5160" s="20" t="str">
        <f>IFERROR(__xludf.DUMMYFUNCTION("""COMPUTED_VALUE"""),"Uncle Sams Cider (04/04/2023)")</f>
        <v>Uncle Sams Cider (04/04/2023)</v>
      </c>
      <c r="H5160" s="19"/>
    </row>
    <row r="5161">
      <c r="A5161" s="9"/>
      <c r="B5161" s="15"/>
      <c r="C5161" s="9">
        <f>IFERROR(__xludf.DUMMYFUNCTION("""COMPUTED_VALUE"""),45090.4222114236)</f>
        <v>45090.42221</v>
      </c>
      <c r="D5161" s="15">
        <f>IFERROR(__xludf.DUMMYFUNCTION("""COMPUTED_VALUE"""),1.003)</f>
        <v>1.003</v>
      </c>
      <c r="E5161" s="16">
        <f>IFERROR(__xludf.DUMMYFUNCTION("""COMPUTED_VALUE"""),68.0)</f>
        <v>68</v>
      </c>
      <c r="F5161" s="19" t="str">
        <f>IFERROR(__xludf.DUMMYFUNCTION("""COMPUTED_VALUE"""),"BLUE")</f>
        <v>BLUE</v>
      </c>
      <c r="G5161" s="20" t="str">
        <f>IFERROR(__xludf.DUMMYFUNCTION("""COMPUTED_VALUE"""),"Uncle Sams Cider (04/04/2023)")</f>
        <v>Uncle Sams Cider (04/04/2023)</v>
      </c>
      <c r="H5161" s="19"/>
    </row>
    <row r="5162">
      <c r="A5162" s="9"/>
      <c r="B5162" s="15"/>
      <c r="C5162" s="9">
        <f>IFERROR(__xludf.DUMMYFUNCTION("""COMPUTED_VALUE"""),45090.4117910879)</f>
        <v>45090.41179</v>
      </c>
      <c r="D5162" s="15">
        <f>IFERROR(__xludf.DUMMYFUNCTION("""COMPUTED_VALUE"""),1.003)</f>
        <v>1.003</v>
      </c>
      <c r="E5162" s="16">
        <f>IFERROR(__xludf.DUMMYFUNCTION("""COMPUTED_VALUE"""),68.0)</f>
        <v>68</v>
      </c>
      <c r="F5162" s="19" t="str">
        <f>IFERROR(__xludf.DUMMYFUNCTION("""COMPUTED_VALUE"""),"BLUE")</f>
        <v>BLUE</v>
      </c>
      <c r="G5162" s="20" t="str">
        <f>IFERROR(__xludf.DUMMYFUNCTION("""COMPUTED_VALUE"""),"Uncle Sams Cider (04/04/2023)")</f>
        <v>Uncle Sams Cider (04/04/2023)</v>
      </c>
      <c r="H5162" s="19"/>
    </row>
    <row r="5163">
      <c r="A5163" s="9"/>
      <c r="B5163" s="15"/>
      <c r="C5163" s="9">
        <f>IFERROR(__xludf.DUMMYFUNCTION("""COMPUTED_VALUE"""),45090.4013721296)</f>
        <v>45090.40137</v>
      </c>
      <c r="D5163" s="15">
        <f>IFERROR(__xludf.DUMMYFUNCTION("""COMPUTED_VALUE"""),1.003)</f>
        <v>1.003</v>
      </c>
      <c r="E5163" s="16">
        <f>IFERROR(__xludf.DUMMYFUNCTION("""COMPUTED_VALUE"""),68.0)</f>
        <v>68</v>
      </c>
      <c r="F5163" s="19" t="str">
        <f>IFERROR(__xludf.DUMMYFUNCTION("""COMPUTED_VALUE"""),"BLUE")</f>
        <v>BLUE</v>
      </c>
      <c r="G5163" s="20" t="str">
        <f>IFERROR(__xludf.DUMMYFUNCTION("""COMPUTED_VALUE"""),"Uncle Sams Cider (04/04/2023)")</f>
        <v>Uncle Sams Cider (04/04/2023)</v>
      </c>
      <c r="H5163" s="19"/>
    </row>
    <row r="5164">
      <c r="A5164" s="9"/>
      <c r="B5164" s="15"/>
      <c r="C5164" s="9">
        <f>IFERROR(__xludf.DUMMYFUNCTION("""COMPUTED_VALUE"""),45090.3909512963)</f>
        <v>45090.39095</v>
      </c>
      <c r="D5164" s="15">
        <f>IFERROR(__xludf.DUMMYFUNCTION("""COMPUTED_VALUE"""),1.003)</f>
        <v>1.003</v>
      </c>
      <c r="E5164" s="16">
        <f>IFERROR(__xludf.DUMMYFUNCTION("""COMPUTED_VALUE"""),68.0)</f>
        <v>68</v>
      </c>
      <c r="F5164" s="19" t="str">
        <f>IFERROR(__xludf.DUMMYFUNCTION("""COMPUTED_VALUE"""),"BLUE")</f>
        <v>BLUE</v>
      </c>
      <c r="G5164" s="20" t="str">
        <f>IFERROR(__xludf.DUMMYFUNCTION("""COMPUTED_VALUE"""),"Uncle Sams Cider (04/04/2023)")</f>
        <v>Uncle Sams Cider (04/04/2023)</v>
      </c>
      <c r="H5164" s="19"/>
    </row>
    <row r="5165">
      <c r="A5165" s="9"/>
      <c r="B5165" s="15"/>
      <c r="C5165" s="9">
        <f>IFERROR(__xludf.DUMMYFUNCTION("""COMPUTED_VALUE"""),45090.3805179745)</f>
        <v>45090.38052</v>
      </c>
      <c r="D5165" s="15">
        <f>IFERROR(__xludf.DUMMYFUNCTION("""COMPUTED_VALUE"""),1.003)</f>
        <v>1.003</v>
      </c>
      <c r="E5165" s="16">
        <f>IFERROR(__xludf.DUMMYFUNCTION("""COMPUTED_VALUE"""),68.0)</f>
        <v>68</v>
      </c>
      <c r="F5165" s="19" t="str">
        <f>IFERROR(__xludf.DUMMYFUNCTION("""COMPUTED_VALUE"""),"BLUE")</f>
        <v>BLUE</v>
      </c>
      <c r="G5165" s="20" t="str">
        <f>IFERROR(__xludf.DUMMYFUNCTION("""COMPUTED_VALUE"""),"Uncle Sams Cider (04/04/2023)")</f>
        <v>Uncle Sams Cider (04/04/2023)</v>
      </c>
      <c r="H5165" s="19"/>
    </row>
    <row r="5166">
      <c r="A5166" s="9"/>
      <c r="B5166" s="15"/>
      <c r="C5166" s="9">
        <f>IFERROR(__xludf.DUMMYFUNCTION("""COMPUTED_VALUE"""),45090.370095949)</f>
        <v>45090.3701</v>
      </c>
      <c r="D5166" s="15">
        <f>IFERROR(__xludf.DUMMYFUNCTION("""COMPUTED_VALUE"""),1.003)</f>
        <v>1.003</v>
      </c>
      <c r="E5166" s="16">
        <f>IFERROR(__xludf.DUMMYFUNCTION("""COMPUTED_VALUE"""),68.0)</f>
        <v>68</v>
      </c>
      <c r="F5166" s="19" t="str">
        <f>IFERROR(__xludf.DUMMYFUNCTION("""COMPUTED_VALUE"""),"BLUE")</f>
        <v>BLUE</v>
      </c>
      <c r="G5166" s="20" t="str">
        <f>IFERROR(__xludf.DUMMYFUNCTION("""COMPUTED_VALUE"""),"Uncle Sams Cider (04/04/2023)")</f>
        <v>Uncle Sams Cider (04/04/2023)</v>
      </c>
      <c r="H5166" s="19"/>
    </row>
    <row r="5167">
      <c r="A5167" s="9"/>
      <c r="B5167" s="15"/>
      <c r="C5167" s="9">
        <f>IFERROR(__xludf.DUMMYFUNCTION("""COMPUTED_VALUE"""),45090.3596626736)</f>
        <v>45090.35966</v>
      </c>
      <c r="D5167" s="15">
        <f>IFERROR(__xludf.DUMMYFUNCTION("""COMPUTED_VALUE"""),1.003)</f>
        <v>1.003</v>
      </c>
      <c r="E5167" s="16">
        <f>IFERROR(__xludf.DUMMYFUNCTION("""COMPUTED_VALUE"""),68.0)</f>
        <v>68</v>
      </c>
      <c r="F5167" s="19" t="str">
        <f>IFERROR(__xludf.DUMMYFUNCTION("""COMPUTED_VALUE"""),"BLUE")</f>
        <v>BLUE</v>
      </c>
      <c r="G5167" s="20" t="str">
        <f>IFERROR(__xludf.DUMMYFUNCTION("""COMPUTED_VALUE"""),"Uncle Sams Cider (04/04/2023)")</f>
        <v>Uncle Sams Cider (04/04/2023)</v>
      </c>
      <c r="H5167" s="19"/>
    </row>
    <row r="5168">
      <c r="A5168" s="9"/>
      <c r="B5168" s="15"/>
      <c r="C5168" s="9">
        <f>IFERROR(__xludf.DUMMYFUNCTION("""COMPUTED_VALUE"""),45090.3492419097)</f>
        <v>45090.34924</v>
      </c>
      <c r="D5168" s="15">
        <f>IFERROR(__xludf.DUMMYFUNCTION("""COMPUTED_VALUE"""),1.003)</f>
        <v>1.003</v>
      </c>
      <c r="E5168" s="16">
        <f>IFERROR(__xludf.DUMMYFUNCTION("""COMPUTED_VALUE"""),68.0)</f>
        <v>68</v>
      </c>
      <c r="F5168" s="19" t="str">
        <f>IFERROR(__xludf.DUMMYFUNCTION("""COMPUTED_VALUE"""),"BLUE")</f>
        <v>BLUE</v>
      </c>
      <c r="G5168" s="20" t="str">
        <f>IFERROR(__xludf.DUMMYFUNCTION("""COMPUTED_VALUE"""),"Uncle Sams Cider (04/04/2023)")</f>
        <v>Uncle Sams Cider (04/04/2023)</v>
      </c>
      <c r="H5168" s="19"/>
    </row>
    <row r="5169">
      <c r="A5169" s="9"/>
      <c r="B5169" s="15"/>
      <c r="C5169" s="9">
        <f>IFERROR(__xludf.DUMMYFUNCTION("""COMPUTED_VALUE"""),45090.3387992476)</f>
        <v>45090.3388</v>
      </c>
      <c r="D5169" s="15">
        <f>IFERROR(__xludf.DUMMYFUNCTION("""COMPUTED_VALUE"""),1.003)</f>
        <v>1.003</v>
      </c>
      <c r="E5169" s="16">
        <f>IFERROR(__xludf.DUMMYFUNCTION("""COMPUTED_VALUE"""),68.0)</f>
        <v>68</v>
      </c>
      <c r="F5169" s="19" t="str">
        <f>IFERROR(__xludf.DUMMYFUNCTION("""COMPUTED_VALUE"""),"BLUE")</f>
        <v>BLUE</v>
      </c>
      <c r="G5169" s="20" t="str">
        <f>IFERROR(__xludf.DUMMYFUNCTION("""COMPUTED_VALUE"""),"Uncle Sams Cider (04/04/2023)")</f>
        <v>Uncle Sams Cider (04/04/2023)</v>
      </c>
      <c r="H5169" s="19"/>
    </row>
    <row r="5170">
      <c r="A5170" s="9"/>
      <c r="B5170" s="15"/>
      <c r="C5170" s="9">
        <f>IFERROR(__xludf.DUMMYFUNCTION("""COMPUTED_VALUE"""),45090.3283774652)</f>
        <v>45090.32838</v>
      </c>
      <c r="D5170" s="15">
        <f>IFERROR(__xludf.DUMMYFUNCTION("""COMPUTED_VALUE"""),1.003)</f>
        <v>1.003</v>
      </c>
      <c r="E5170" s="16">
        <f>IFERROR(__xludf.DUMMYFUNCTION("""COMPUTED_VALUE"""),68.0)</f>
        <v>68</v>
      </c>
      <c r="F5170" s="19" t="str">
        <f>IFERROR(__xludf.DUMMYFUNCTION("""COMPUTED_VALUE"""),"BLUE")</f>
        <v>BLUE</v>
      </c>
      <c r="G5170" s="20" t="str">
        <f>IFERROR(__xludf.DUMMYFUNCTION("""COMPUTED_VALUE"""),"Uncle Sams Cider (04/04/2023)")</f>
        <v>Uncle Sams Cider (04/04/2023)</v>
      </c>
      <c r="H5170" s="19"/>
    </row>
    <row r="5171">
      <c r="A5171" s="9"/>
      <c r="B5171" s="15"/>
      <c r="C5171" s="9">
        <f>IFERROR(__xludf.DUMMYFUNCTION("""COMPUTED_VALUE"""),45090.307522118)</f>
        <v>45090.30752</v>
      </c>
      <c r="D5171" s="15">
        <f>IFERROR(__xludf.DUMMYFUNCTION("""COMPUTED_VALUE"""),1.003)</f>
        <v>1.003</v>
      </c>
      <c r="E5171" s="16">
        <f>IFERROR(__xludf.DUMMYFUNCTION("""COMPUTED_VALUE"""),68.0)</f>
        <v>68</v>
      </c>
      <c r="F5171" s="19" t="str">
        <f>IFERROR(__xludf.DUMMYFUNCTION("""COMPUTED_VALUE"""),"BLUE")</f>
        <v>BLUE</v>
      </c>
      <c r="G5171" s="20" t="str">
        <f>IFERROR(__xludf.DUMMYFUNCTION("""COMPUTED_VALUE"""),"Uncle Sams Cider (04/04/2023)")</f>
        <v>Uncle Sams Cider (04/04/2023)</v>
      </c>
      <c r="H5171" s="19"/>
    </row>
    <row r="5172">
      <c r="A5172" s="9"/>
      <c r="B5172" s="15"/>
      <c r="C5172" s="9">
        <f>IFERROR(__xludf.DUMMYFUNCTION("""COMPUTED_VALUE"""),45090.2971003125)</f>
        <v>45090.2971</v>
      </c>
      <c r="D5172" s="15">
        <f>IFERROR(__xludf.DUMMYFUNCTION("""COMPUTED_VALUE"""),1.003)</f>
        <v>1.003</v>
      </c>
      <c r="E5172" s="16">
        <f>IFERROR(__xludf.DUMMYFUNCTION("""COMPUTED_VALUE"""),68.0)</f>
        <v>68</v>
      </c>
      <c r="F5172" s="19" t="str">
        <f>IFERROR(__xludf.DUMMYFUNCTION("""COMPUTED_VALUE"""),"BLUE")</f>
        <v>BLUE</v>
      </c>
      <c r="G5172" s="20" t="str">
        <f>IFERROR(__xludf.DUMMYFUNCTION("""COMPUTED_VALUE"""),"Uncle Sams Cider (04/04/2023)")</f>
        <v>Uncle Sams Cider (04/04/2023)</v>
      </c>
      <c r="H5172" s="19"/>
    </row>
    <row r="5173">
      <c r="A5173" s="9"/>
      <c r="B5173" s="15"/>
      <c r="C5173" s="9">
        <f>IFERROR(__xludf.DUMMYFUNCTION("""COMPUTED_VALUE"""),45090.2866778009)</f>
        <v>45090.28668</v>
      </c>
      <c r="D5173" s="15">
        <f>IFERROR(__xludf.DUMMYFUNCTION("""COMPUTED_VALUE"""),1.003)</f>
        <v>1.003</v>
      </c>
      <c r="E5173" s="16">
        <f>IFERROR(__xludf.DUMMYFUNCTION("""COMPUTED_VALUE"""),68.0)</f>
        <v>68</v>
      </c>
      <c r="F5173" s="19" t="str">
        <f>IFERROR(__xludf.DUMMYFUNCTION("""COMPUTED_VALUE"""),"BLUE")</f>
        <v>BLUE</v>
      </c>
      <c r="G5173" s="20" t="str">
        <f>IFERROR(__xludf.DUMMYFUNCTION("""COMPUTED_VALUE"""),"Uncle Sams Cider (04/04/2023)")</f>
        <v>Uncle Sams Cider (04/04/2023)</v>
      </c>
      <c r="H5173" s="19"/>
    </row>
    <row r="5174">
      <c r="A5174" s="9"/>
      <c r="B5174" s="15"/>
      <c r="C5174" s="9">
        <f>IFERROR(__xludf.DUMMYFUNCTION("""COMPUTED_VALUE"""),45090.276257581)</f>
        <v>45090.27626</v>
      </c>
      <c r="D5174" s="15">
        <f>IFERROR(__xludf.DUMMYFUNCTION("""COMPUTED_VALUE"""),1.003)</f>
        <v>1.003</v>
      </c>
      <c r="E5174" s="16">
        <f>IFERROR(__xludf.DUMMYFUNCTION("""COMPUTED_VALUE"""),68.0)</f>
        <v>68</v>
      </c>
      <c r="F5174" s="19" t="str">
        <f>IFERROR(__xludf.DUMMYFUNCTION("""COMPUTED_VALUE"""),"BLUE")</f>
        <v>BLUE</v>
      </c>
      <c r="G5174" s="20" t="str">
        <f>IFERROR(__xludf.DUMMYFUNCTION("""COMPUTED_VALUE"""),"Uncle Sams Cider (04/04/2023)")</f>
        <v>Uncle Sams Cider (04/04/2023)</v>
      </c>
      <c r="H5174" s="19"/>
    </row>
    <row r="5175">
      <c r="A5175" s="9"/>
      <c r="B5175" s="15"/>
      <c r="C5175" s="9">
        <f>IFERROR(__xludf.DUMMYFUNCTION("""COMPUTED_VALUE"""),45090.2658346412)</f>
        <v>45090.26583</v>
      </c>
      <c r="D5175" s="15">
        <f>IFERROR(__xludf.DUMMYFUNCTION("""COMPUTED_VALUE"""),1.003)</f>
        <v>1.003</v>
      </c>
      <c r="E5175" s="16">
        <f>IFERROR(__xludf.DUMMYFUNCTION("""COMPUTED_VALUE"""),68.0)</f>
        <v>68</v>
      </c>
      <c r="F5175" s="19" t="str">
        <f>IFERROR(__xludf.DUMMYFUNCTION("""COMPUTED_VALUE"""),"BLUE")</f>
        <v>BLUE</v>
      </c>
      <c r="G5175" s="20" t="str">
        <f>IFERROR(__xludf.DUMMYFUNCTION("""COMPUTED_VALUE"""),"Uncle Sams Cider (04/04/2023)")</f>
        <v>Uncle Sams Cider (04/04/2023)</v>
      </c>
      <c r="H5175" s="19"/>
    </row>
    <row r="5176">
      <c r="A5176" s="9"/>
      <c r="B5176" s="15"/>
      <c r="C5176" s="9">
        <f>IFERROR(__xludf.DUMMYFUNCTION("""COMPUTED_VALUE"""),45090.2554015393)</f>
        <v>45090.2554</v>
      </c>
      <c r="D5176" s="15">
        <f>IFERROR(__xludf.DUMMYFUNCTION("""COMPUTED_VALUE"""),1.003)</f>
        <v>1.003</v>
      </c>
      <c r="E5176" s="16">
        <f>IFERROR(__xludf.DUMMYFUNCTION("""COMPUTED_VALUE"""),68.0)</f>
        <v>68</v>
      </c>
      <c r="F5176" s="19" t="str">
        <f>IFERROR(__xludf.DUMMYFUNCTION("""COMPUTED_VALUE"""),"BLUE")</f>
        <v>BLUE</v>
      </c>
      <c r="G5176" s="20" t="str">
        <f>IFERROR(__xludf.DUMMYFUNCTION("""COMPUTED_VALUE"""),"Uncle Sams Cider (04/04/2023)")</f>
        <v>Uncle Sams Cider (04/04/2023)</v>
      </c>
      <c r="H5176" s="19"/>
    </row>
    <row r="5177">
      <c r="A5177" s="9"/>
      <c r="B5177" s="15"/>
      <c r="C5177" s="9">
        <f>IFERROR(__xludf.DUMMYFUNCTION("""COMPUTED_VALUE"""),45090.2449795601)</f>
        <v>45090.24498</v>
      </c>
      <c r="D5177" s="15">
        <f>IFERROR(__xludf.DUMMYFUNCTION("""COMPUTED_VALUE"""),1.003)</f>
        <v>1.003</v>
      </c>
      <c r="E5177" s="16">
        <f>IFERROR(__xludf.DUMMYFUNCTION("""COMPUTED_VALUE"""),68.0)</f>
        <v>68</v>
      </c>
      <c r="F5177" s="19" t="str">
        <f>IFERROR(__xludf.DUMMYFUNCTION("""COMPUTED_VALUE"""),"BLUE")</f>
        <v>BLUE</v>
      </c>
      <c r="G5177" s="20" t="str">
        <f>IFERROR(__xludf.DUMMYFUNCTION("""COMPUTED_VALUE"""),"Uncle Sams Cider (04/04/2023)")</f>
        <v>Uncle Sams Cider (04/04/2023)</v>
      </c>
      <c r="H5177" s="19"/>
    </row>
    <row r="5178">
      <c r="A5178" s="9"/>
      <c r="B5178" s="15"/>
      <c r="C5178" s="9">
        <f>IFERROR(__xludf.DUMMYFUNCTION("""COMPUTED_VALUE"""),45090.2345582638)</f>
        <v>45090.23456</v>
      </c>
      <c r="D5178" s="15">
        <f>IFERROR(__xludf.DUMMYFUNCTION("""COMPUTED_VALUE"""),1.003)</f>
        <v>1.003</v>
      </c>
      <c r="E5178" s="16">
        <f>IFERROR(__xludf.DUMMYFUNCTION("""COMPUTED_VALUE"""),68.0)</f>
        <v>68</v>
      </c>
      <c r="F5178" s="19" t="str">
        <f>IFERROR(__xludf.DUMMYFUNCTION("""COMPUTED_VALUE"""),"BLUE")</f>
        <v>BLUE</v>
      </c>
      <c r="G5178" s="20" t="str">
        <f>IFERROR(__xludf.DUMMYFUNCTION("""COMPUTED_VALUE"""),"Uncle Sams Cider (04/04/2023)")</f>
        <v>Uncle Sams Cider (04/04/2023)</v>
      </c>
      <c r="H5178" s="19"/>
    </row>
    <row r="5179">
      <c r="A5179" s="9"/>
      <c r="B5179" s="15"/>
      <c r="C5179" s="9">
        <f>IFERROR(__xludf.DUMMYFUNCTION("""COMPUTED_VALUE"""),45090.2241392592)</f>
        <v>45090.22414</v>
      </c>
      <c r="D5179" s="15">
        <f>IFERROR(__xludf.DUMMYFUNCTION("""COMPUTED_VALUE"""),1.003)</f>
        <v>1.003</v>
      </c>
      <c r="E5179" s="16">
        <f>IFERROR(__xludf.DUMMYFUNCTION("""COMPUTED_VALUE"""),68.0)</f>
        <v>68</v>
      </c>
      <c r="F5179" s="19" t="str">
        <f>IFERROR(__xludf.DUMMYFUNCTION("""COMPUTED_VALUE"""),"BLUE")</f>
        <v>BLUE</v>
      </c>
      <c r="G5179" s="20" t="str">
        <f>IFERROR(__xludf.DUMMYFUNCTION("""COMPUTED_VALUE"""),"Uncle Sams Cider (04/04/2023)")</f>
        <v>Uncle Sams Cider (04/04/2023)</v>
      </c>
      <c r="H5179" s="19"/>
    </row>
    <row r="5180">
      <c r="A5180" s="9"/>
      <c r="B5180" s="15"/>
      <c r="C5180" s="9">
        <f>IFERROR(__xludf.DUMMYFUNCTION("""COMPUTED_VALUE"""),45090.2137170949)</f>
        <v>45090.21372</v>
      </c>
      <c r="D5180" s="15">
        <f>IFERROR(__xludf.DUMMYFUNCTION("""COMPUTED_VALUE"""),1.003)</f>
        <v>1.003</v>
      </c>
      <c r="E5180" s="16">
        <f>IFERROR(__xludf.DUMMYFUNCTION("""COMPUTED_VALUE"""),68.0)</f>
        <v>68</v>
      </c>
      <c r="F5180" s="19" t="str">
        <f>IFERROR(__xludf.DUMMYFUNCTION("""COMPUTED_VALUE"""),"BLUE")</f>
        <v>BLUE</v>
      </c>
      <c r="G5180" s="20" t="str">
        <f>IFERROR(__xludf.DUMMYFUNCTION("""COMPUTED_VALUE"""),"Uncle Sams Cider (04/04/2023)")</f>
        <v>Uncle Sams Cider (04/04/2023)</v>
      </c>
      <c r="H5180" s="19"/>
    </row>
    <row r="5181">
      <c r="A5181" s="9"/>
      <c r="B5181" s="15"/>
      <c r="C5181" s="9">
        <f>IFERROR(__xludf.DUMMYFUNCTION("""COMPUTED_VALUE"""),45090.2032969791)</f>
        <v>45090.2033</v>
      </c>
      <c r="D5181" s="15">
        <f>IFERROR(__xludf.DUMMYFUNCTION("""COMPUTED_VALUE"""),1.003)</f>
        <v>1.003</v>
      </c>
      <c r="E5181" s="16">
        <f>IFERROR(__xludf.DUMMYFUNCTION("""COMPUTED_VALUE"""),68.0)</f>
        <v>68</v>
      </c>
      <c r="F5181" s="19" t="str">
        <f>IFERROR(__xludf.DUMMYFUNCTION("""COMPUTED_VALUE"""),"BLUE")</f>
        <v>BLUE</v>
      </c>
      <c r="G5181" s="20" t="str">
        <f>IFERROR(__xludf.DUMMYFUNCTION("""COMPUTED_VALUE"""),"Uncle Sams Cider (04/04/2023)")</f>
        <v>Uncle Sams Cider (04/04/2023)</v>
      </c>
      <c r="H5181" s="19"/>
    </row>
    <row r="5182">
      <c r="A5182" s="9"/>
      <c r="B5182" s="15"/>
      <c r="C5182" s="9">
        <f>IFERROR(__xludf.DUMMYFUNCTION("""COMPUTED_VALUE"""),45090.1928633564)</f>
        <v>45090.19286</v>
      </c>
      <c r="D5182" s="15">
        <f>IFERROR(__xludf.DUMMYFUNCTION("""COMPUTED_VALUE"""),1.003)</f>
        <v>1.003</v>
      </c>
      <c r="E5182" s="16">
        <f>IFERROR(__xludf.DUMMYFUNCTION("""COMPUTED_VALUE"""),68.0)</f>
        <v>68</v>
      </c>
      <c r="F5182" s="19" t="str">
        <f>IFERROR(__xludf.DUMMYFUNCTION("""COMPUTED_VALUE"""),"BLUE")</f>
        <v>BLUE</v>
      </c>
      <c r="G5182" s="20" t="str">
        <f>IFERROR(__xludf.DUMMYFUNCTION("""COMPUTED_VALUE"""),"Uncle Sams Cider (04/04/2023)")</f>
        <v>Uncle Sams Cider (04/04/2023)</v>
      </c>
      <c r="H5182" s="19"/>
    </row>
    <row r="5183">
      <c r="A5183" s="9"/>
      <c r="B5183" s="15"/>
      <c r="C5183" s="9">
        <f>IFERROR(__xludf.DUMMYFUNCTION("""COMPUTED_VALUE"""),45090.1824298611)</f>
        <v>45090.18243</v>
      </c>
      <c r="D5183" s="15">
        <f>IFERROR(__xludf.DUMMYFUNCTION("""COMPUTED_VALUE"""),1.003)</f>
        <v>1.003</v>
      </c>
      <c r="E5183" s="16">
        <f>IFERROR(__xludf.DUMMYFUNCTION("""COMPUTED_VALUE"""),68.0)</f>
        <v>68</v>
      </c>
      <c r="F5183" s="19" t="str">
        <f>IFERROR(__xludf.DUMMYFUNCTION("""COMPUTED_VALUE"""),"BLUE")</f>
        <v>BLUE</v>
      </c>
      <c r="G5183" s="20" t="str">
        <f>IFERROR(__xludf.DUMMYFUNCTION("""COMPUTED_VALUE"""),"Uncle Sams Cider (04/04/2023)")</f>
        <v>Uncle Sams Cider (04/04/2023)</v>
      </c>
      <c r="H5183" s="19"/>
    </row>
    <row r="5184">
      <c r="A5184" s="9"/>
      <c r="B5184" s="15"/>
      <c r="C5184" s="9">
        <f>IFERROR(__xludf.DUMMYFUNCTION("""COMPUTED_VALUE"""),45090.1720072338)</f>
        <v>45090.17201</v>
      </c>
      <c r="D5184" s="15">
        <f>IFERROR(__xludf.DUMMYFUNCTION("""COMPUTED_VALUE"""),1.003)</f>
        <v>1.003</v>
      </c>
      <c r="E5184" s="16">
        <f>IFERROR(__xludf.DUMMYFUNCTION("""COMPUTED_VALUE"""),68.0)</f>
        <v>68</v>
      </c>
      <c r="F5184" s="19" t="str">
        <f>IFERROR(__xludf.DUMMYFUNCTION("""COMPUTED_VALUE"""),"BLUE")</f>
        <v>BLUE</v>
      </c>
      <c r="G5184" s="20" t="str">
        <f>IFERROR(__xludf.DUMMYFUNCTION("""COMPUTED_VALUE"""),"Uncle Sams Cider (04/04/2023)")</f>
        <v>Uncle Sams Cider (04/04/2023)</v>
      </c>
      <c r="H5184" s="19"/>
    </row>
    <row r="5185">
      <c r="A5185" s="9"/>
      <c r="B5185" s="15"/>
      <c r="C5185" s="9">
        <f>IFERROR(__xludf.DUMMYFUNCTION("""COMPUTED_VALUE"""),45090.1615873032)</f>
        <v>45090.16159</v>
      </c>
      <c r="D5185" s="15">
        <f>IFERROR(__xludf.DUMMYFUNCTION("""COMPUTED_VALUE"""),1.003)</f>
        <v>1.003</v>
      </c>
      <c r="E5185" s="16">
        <f>IFERROR(__xludf.DUMMYFUNCTION("""COMPUTED_VALUE"""),68.0)</f>
        <v>68</v>
      </c>
      <c r="F5185" s="19" t="str">
        <f>IFERROR(__xludf.DUMMYFUNCTION("""COMPUTED_VALUE"""),"BLUE")</f>
        <v>BLUE</v>
      </c>
      <c r="G5185" s="20" t="str">
        <f>IFERROR(__xludf.DUMMYFUNCTION("""COMPUTED_VALUE"""),"Uncle Sams Cider (04/04/2023)")</f>
        <v>Uncle Sams Cider (04/04/2023)</v>
      </c>
      <c r="H5185" s="19"/>
    </row>
    <row r="5186">
      <c r="A5186" s="9"/>
      <c r="B5186" s="15"/>
      <c r="C5186" s="9">
        <f>IFERROR(__xludf.DUMMYFUNCTION("""COMPUTED_VALUE"""),45090.1511671064)</f>
        <v>45090.15117</v>
      </c>
      <c r="D5186" s="15">
        <f>IFERROR(__xludf.DUMMYFUNCTION("""COMPUTED_VALUE"""),1.003)</f>
        <v>1.003</v>
      </c>
      <c r="E5186" s="16">
        <f>IFERROR(__xludf.DUMMYFUNCTION("""COMPUTED_VALUE"""),68.0)</f>
        <v>68</v>
      </c>
      <c r="F5186" s="19" t="str">
        <f>IFERROR(__xludf.DUMMYFUNCTION("""COMPUTED_VALUE"""),"BLUE")</f>
        <v>BLUE</v>
      </c>
      <c r="G5186" s="20" t="str">
        <f>IFERROR(__xludf.DUMMYFUNCTION("""COMPUTED_VALUE"""),"Uncle Sams Cider (04/04/2023)")</f>
        <v>Uncle Sams Cider (04/04/2023)</v>
      </c>
      <c r="H5186" s="19"/>
    </row>
    <row r="5187">
      <c r="A5187" s="9"/>
      <c r="B5187" s="15"/>
      <c r="C5187" s="9">
        <f>IFERROR(__xludf.DUMMYFUNCTION("""COMPUTED_VALUE"""),45090.1407456134)</f>
        <v>45090.14075</v>
      </c>
      <c r="D5187" s="15">
        <f>IFERROR(__xludf.DUMMYFUNCTION("""COMPUTED_VALUE"""),1.004)</f>
        <v>1.004</v>
      </c>
      <c r="E5187" s="16">
        <f>IFERROR(__xludf.DUMMYFUNCTION("""COMPUTED_VALUE"""),68.0)</f>
        <v>68</v>
      </c>
      <c r="F5187" s="19" t="str">
        <f>IFERROR(__xludf.DUMMYFUNCTION("""COMPUTED_VALUE"""),"BLUE")</f>
        <v>BLUE</v>
      </c>
      <c r="G5187" s="20" t="str">
        <f>IFERROR(__xludf.DUMMYFUNCTION("""COMPUTED_VALUE"""),"Uncle Sams Cider (04/04/2023)")</f>
        <v>Uncle Sams Cider (04/04/2023)</v>
      </c>
      <c r="H5187" s="19"/>
    </row>
    <row r="5188">
      <c r="A5188" s="9"/>
      <c r="B5188" s="15"/>
      <c r="C5188" s="9">
        <f>IFERROR(__xludf.DUMMYFUNCTION("""COMPUTED_VALUE"""),45090.1303123726)</f>
        <v>45090.13031</v>
      </c>
      <c r="D5188" s="15">
        <f>IFERROR(__xludf.DUMMYFUNCTION("""COMPUTED_VALUE"""),1.003)</f>
        <v>1.003</v>
      </c>
      <c r="E5188" s="16">
        <f>IFERROR(__xludf.DUMMYFUNCTION("""COMPUTED_VALUE"""),68.0)</f>
        <v>68</v>
      </c>
      <c r="F5188" s="19" t="str">
        <f>IFERROR(__xludf.DUMMYFUNCTION("""COMPUTED_VALUE"""),"BLUE")</f>
        <v>BLUE</v>
      </c>
      <c r="G5188" s="20" t="str">
        <f>IFERROR(__xludf.DUMMYFUNCTION("""COMPUTED_VALUE"""),"Uncle Sams Cider (04/04/2023)")</f>
        <v>Uncle Sams Cider (04/04/2023)</v>
      </c>
      <c r="H5188" s="19"/>
    </row>
    <row r="5189">
      <c r="A5189" s="9"/>
      <c r="B5189" s="15"/>
      <c r="C5189" s="9">
        <f>IFERROR(__xludf.DUMMYFUNCTION("""COMPUTED_VALUE"""),45090.1198903588)</f>
        <v>45090.11989</v>
      </c>
      <c r="D5189" s="15">
        <f>IFERROR(__xludf.DUMMYFUNCTION("""COMPUTED_VALUE"""),1.003)</f>
        <v>1.003</v>
      </c>
      <c r="E5189" s="16">
        <f>IFERROR(__xludf.DUMMYFUNCTION("""COMPUTED_VALUE"""),68.0)</f>
        <v>68</v>
      </c>
      <c r="F5189" s="19" t="str">
        <f>IFERROR(__xludf.DUMMYFUNCTION("""COMPUTED_VALUE"""),"BLUE")</f>
        <v>BLUE</v>
      </c>
      <c r="G5189" s="20" t="str">
        <f>IFERROR(__xludf.DUMMYFUNCTION("""COMPUTED_VALUE"""),"Uncle Sams Cider (04/04/2023)")</f>
        <v>Uncle Sams Cider (04/04/2023)</v>
      </c>
      <c r="H5189" s="19"/>
    </row>
    <row r="5190">
      <c r="A5190" s="9"/>
      <c r="B5190" s="15"/>
      <c r="C5190" s="9">
        <f>IFERROR(__xludf.DUMMYFUNCTION("""COMPUTED_VALUE"""),45090.1094684375)</f>
        <v>45090.10947</v>
      </c>
      <c r="D5190" s="15">
        <f>IFERROR(__xludf.DUMMYFUNCTION("""COMPUTED_VALUE"""),1.003)</f>
        <v>1.003</v>
      </c>
      <c r="E5190" s="16">
        <f>IFERROR(__xludf.DUMMYFUNCTION("""COMPUTED_VALUE"""),68.0)</f>
        <v>68</v>
      </c>
      <c r="F5190" s="19" t="str">
        <f>IFERROR(__xludf.DUMMYFUNCTION("""COMPUTED_VALUE"""),"BLUE")</f>
        <v>BLUE</v>
      </c>
      <c r="G5190" s="20" t="str">
        <f>IFERROR(__xludf.DUMMYFUNCTION("""COMPUTED_VALUE"""),"Uncle Sams Cider (04/04/2023)")</f>
        <v>Uncle Sams Cider (04/04/2023)</v>
      </c>
      <c r="H5190" s="19"/>
    </row>
    <row r="5191">
      <c r="A5191" s="9"/>
      <c r="B5191" s="15"/>
      <c r="C5191" s="9">
        <f>IFERROR(__xludf.DUMMYFUNCTION("""COMPUTED_VALUE"""),45090.099048831)</f>
        <v>45090.09905</v>
      </c>
      <c r="D5191" s="15">
        <f>IFERROR(__xludf.DUMMYFUNCTION("""COMPUTED_VALUE"""),1.003)</f>
        <v>1.003</v>
      </c>
      <c r="E5191" s="16">
        <f>IFERROR(__xludf.DUMMYFUNCTION("""COMPUTED_VALUE"""),68.0)</f>
        <v>68</v>
      </c>
      <c r="F5191" s="19" t="str">
        <f>IFERROR(__xludf.DUMMYFUNCTION("""COMPUTED_VALUE"""),"BLUE")</f>
        <v>BLUE</v>
      </c>
      <c r="G5191" s="20" t="str">
        <f>IFERROR(__xludf.DUMMYFUNCTION("""COMPUTED_VALUE"""),"Uncle Sams Cider (04/04/2023)")</f>
        <v>Uncle Sams Cider (04/04/2023)</v>
      </c>
      <c r="H5191" s="19"/>
    </row>
    <row r="5192">
      <c r="A5192" s="9"/>
      <c r="B5192" s="15"/>
      <c r="C5192" s="9">
        <f>IFERROR(__xludf.DUMMYFUNCTION("""COMPUTED_VALUE"""),45090.0886274189)</f>
        <v>45090.08863</v>
      </c>
      <c r="D5192" s="15">
        <f>IFERROR(__xludf.DUMMYFUNCTION("""COMPUTED_VALUE"""),1.003)</f>
        <v>1.003</v>
      </c>
      <c r="E5192" s="16">
        <f>IFERROR(__xludf.DUMMYFUNCTION("""COMPUTED_VALUE"""),68.0)</f>
        <v>68</v>
      </c>
      <c r="F5192" s="19" t="str">
        <f>IFERROR(__xludf.DUMMYFUNCTION("""COMPUTED_VALUE"""),"BLUE")</f>
        <v>BLUE</v>
      </c>
      <c r="G5192" s="20" t="str">
        <f>IFERROR(__xludf.DUMMYFUNCTION("""COMPUTED_VALUE"""),"Uncle Sams Cider (04/04/2023)")</f>
        <v>Uncle Sams Cider (04/04/2023)</v>
      </c>
      <c r="H5192" s="19"/>
    </row>
    <row r="5193">
      <c r="A5193" s="9"/>
      <c r="B5193" s="15"/>
      <c r="C5193" s="9">
        <f>IFERROR(__xludf.DUMMYFUNCTION("""COMPUTED_VALUE"""),45090.0782071875)</f>
        <v>45090.07821</v>
      </c>
      <c r="D5193" s="15">
        <f>IFERROR(__xludf.DUMMYFUNCTION("""COMPUTED_VALUE"""),1.003)</f>
        <v>1.003</v>
      </c>
      <c r="E5193" s="16">
        <f>IFERROR(__xludf.DUMMYFUNCTION("""COMPUTED_VALUE"""),68.0)</f>
        <v>68</v>
      </c>
      <c r="F5193" s="19" t="str">
        <f>IFERROR(__xludf.DUMMYFUNCTION("""COMPUTED_VALUE"""),"BLUE")</f>
        <v>BLUE</v>
      </c>
      <c r="G5193" s="20" t="str">
        <f>IFERROR(__xludf.DUMMYFUNCTION("""COMPUTED_VALUE"""),"Uncle Sams Cider (04/04/2023)")</f>
        <v>Uncle Sams Cider (04/04/2023)</v>
      </c>
      <c r="H5193" s="19"/>
    </row>
    <row r="5194">
      <c r="A5194" s="9"/>
      <c r="B5194" s="15"/>
      <c r="C5194" s="9">
        <f>IFERROR(__xludf.DUMMYFUNCTION("""COMPUTED_VALUE"""),45090.0677874884)</f>
        <v>45090.06779</v>
      </c>
      <c r="D5194" s="15">
        <f>IFERROR(__xludf.DUMMYFUNCTION("""COMPUTED_VALUE"""),1.003)</f>
        <v>1.003</v>
      </c>
      <c r="E5194" s="16">
        <f>IFERROR(__xludf.DUMMYFUNCTION("""COMPUTED_VALUE"""),68.0)</f>
        <v>68</v>
      </c>
      <c r="F5194" s="19" t="str">
        <f>IFERROR(__xludf.DUMMYFUNCTION("""COMPUTED_VALUE"""),"BLUE")</f>
        <v>BLUE</v>
      </c>
      <c r="G5194" s="20" t="str">
        <f>IFERROR(__xludf.DUMMYFUNCTION("""COMPUTED_VALUE"""),"Uncle Sams Cider (04/04/2023)")</f>
        <v>Uncle Sams Cider (04/04/2023)</v>
      </c>
      <c r="H5194" s="19"/>
    </row>
    <row r="5195">
      <c r="A5195" s="9"/>
      <c r="B5195" s="15"/>
      <c r="C5195" s="9">
        <f>IFERROR(__xludf.DUMMYFUNCTION("""COMPUTED_VALUE"""),45090.0573297685)</f>
        <v>45090.05733</v>
      </c>
      <c r="D5195" s="15">
        <f>IFERROR(__xludf.DUMMYFUNCTION("""COMPUTED_VALUE"""),1.003)</f>
        <v>1.003</v>
      </c>
      <c r="E5195" s="16">
        <f>IFERROR(__xludf.DUMMYFUNCTION("""COMPUTED_VALUE"""),68.0)</f>
        <v>68</v>
      </c>
      <c r="F5195" s="19" t="str">
        <f>IFERROR(__xludf.DUMMYFUNCTION("""COMPUTED_VALUE"""),"BLUE")</f>
        <v>BLUE</v>
      </c>
      <c r="G5195" s="20" t="str">
        <f>IFERROR(__xludf.DUMMYFUNCTION("""COMPUTED_VALUE"""),"Uncle Sams Cider (04/04/2023)")</f>
        <v>Uncle Sams Cider (04/04/2023)</v>
      </c>
      <c r="H5195" s="19"/>
    </row>
    <row r="5196">
      <c r="A5196" s="9"/>
      <c r="B5196" s="15"/>
      <c r="C5196" s="9">
        <f>IFERROR(__xludf.DUMMYFUNCTION("""COMPUTED_VALUE"""),45090.0468864583)</f>
        <v>45090.04689</v>
      </c>
      <c r="D5196" s="15">
        <f>IFERROR(__xludf.DUMMYFUNCTION("""COMPUTED_VALUE"""),1.003)</f>
        <v>1.003</v>
      </c>
      <c r="E5196" s="16">
        <f>IFERROR(__xludf.DUMMYFUNCTION("""COMPUTED_VALUE"""),68.0)</f>
        <v>68</v>
      </c>
      <c r="F5196" s="19" t="str">
        <f>IFERROR(__xludf.DUMMYFUNCTION("""COMPUTED_VALUE"""),"BLUE")</f>
        <v>BLUE</v>
      </c>
      <c r="G5196" s="20" t="str">
        <f>IFERROR(__xludf.DUMMYFUNCTION("""COMPUTED_VALUE"""),"Uncle Sams Cider (04/04/2023)")</f>
        <v>Uncle Sams Cider (04/04/2023)</v>
      </c>
      <c r="H5196" s="19"/>
    </row>
    <row r="5197">
      <c r="A5197" s="9"/>
      <c r="B5197" s="15"/>
      <c r="C5197" s="9">
        <f>IFERROR(__xludf.DUMMYFUNCTION("""COMPUTED_VALUE"""),45090.0364655671)</f>
        <v>45090.03647</v>
      </c>
      <c r="D5197" s="15">
        <f>IFERROR(__xludf.DUMMYFUNCTION("""COMPUTED_VALUE"""),1.003)</f>
        <v>1.003</v>
      </c>
      <c r="E5197" s="16">
        <f>IFERROR(__xludf.DUMMYFUNCTION("""COMPUTED_VALUE"""),68.0)</f>
        <v>68</v>
      </c>
      <c r="F5197" s="19" t="str">
        <f>IFERROR(__xludf.DUMMYFUNCTION("""COMPUTED_VALUE"""),"BLUE")</f>
        <v>BLUE</v>
      </c>
      <c r="G5197" s="20" t="str">
        <f>IFERROR(__xludf.DUMMYFUNCTION("""COMPUTED_VALUE"""),"Uncle Sams Cider (04/04/2023)")</f>
        <v>Uncle Sams Cider (04/04/2023)</v>
      </c>
      <c r="H5197" s="19"/>
    </row>
    <row r="5198">
      <c r="A5198" s="9"/>
      <c r="B5198" s="15"/>
      <c r="C5198" s="9">
        <f>IFERROR(__xludf.DUMMYFUNCTION("""COMPUTED_VALUE"""),45090.0260460185)</f>
        <v>45090.02605</v>
      </c>
      <c r="D5198" s="15">
        <f>IFERROR(__xludf.DUMMYFUNCTION("""COMPUTED_VALUE"""),1.003)</f>
        <v>1.003</v>
      </c>
      <c r="E5198" s="16">
        <f>IFERROR(__xludf.DUMMYFUNCTION("""COMPUTED_VALUE"""),68.0)</f>
        <v>68</v>
      </c>
      <c r="F5198" s="19" t="str">
        <f>IFERROR(__xludf.DUMMYFUNCTION("""COMPUTED_VALUE"""),"BLUE")</f>
        <v>BLUE</v>
      </c>
      <c r="G5198" s="20" t="str">
        <f>IFERROR(__xludf.DUMMYFUNCTION("""COMPUTED_VALUE"""),"Uncle Sams Cider (04/04/2023)")</f>
        <v>Uncle Sams Cider (04/04/2023)</v>
      </c>
      <c r="H5198" s="19"/>
    </row>
    <row r="5199">
      <c r="A5199" s="9"/>
      <c r="B5199" s="15"/>
      <c r="C5199" s="9">
        <f>IFERROR(__xludf.DUMMYFUNCTION("""COMPUTED_VALUE"""),45090.0156252777)</f>
        <v>45090.01563</v>
      </c>
      <c r="D5199" s="15">
        <f>IFERROR(__xludf.DUMMYFUNCTION("""COMPUTED_VALUE"""),1.003)</f>
        <v>1.003</v>
      </c>
      <c r="E5199" s="16">
        <f>IFERROR(__xludf.DUMMYFUNCTION("""COMPUTED_VALUE"""),68.0)</f>
        <v>68</v>
      </c>
      <c r="F5199" s="19" t="str">
        <f>IFERROR(__xludf.DUMMYFUNCTION("""COMPUTED_VALUE"""),"BLUE")</f>
        <v>BLUE</v>
      </c>
      <c r="G5199" s="20" t="str">
        <f>IFERROR(__xludf.DUMMYFUNCTION("""COMPUTED_VALUE"""),"Uncle Sams Cider (04/04/2023)")</f>
        <v>Uncle Sams Cider (04/04/2023)</v>
      </c>
      <c r="H5199" s="19"/>
    </row>
    <row r="5200">
      <c r="A5200" s="9"/>
      <c r="B5200" s="15"/>
      <c r="C5200" s="9">
        <f>IFERROR(__xludf.DUMMYFUNCTION("""COMPUTED_VALUE"""),45090.0051798726)</f>
        <v>45090.00518</v>
      </c>
      <c r="D5200" s="15">
        <f>IFERROR(__xludf.DUMMYFUNCTION("""COMPUTED_VALUE"""),1.004)</f>
        <v>1.004</v>
      </c>
      <c r="E5200" s="16">
        <f>IFERROR(__xludf.DUMMYFUNCTION("""COMPUTED_VALUE"""),68.0)</f>
        <v>68</v>
      </c>
      <c r="F5200" s="19" t="str">
        <f>IFERROR(__xludf.DUMMYFUNCTION("""COMPUTED_VALUE"""),"BLUE")</f>
        <v>BLUE</v>
      </c>
      <c r="G5200" s="20" t="str">
        <f>IFERROR(__xludf.DUMMYFUNCTION("""COMPUTED_VALUE"""),"Uncle Sams Cider (04/04/2023)")</f>
        <v>Uncle Sams Cider (04/04/2023)</v>
      </c>
      <c r="H5200" s="19"/>
    </row>
    <row r="5201">
      <c r="A5201" s="9"/>
      <c r="B5201" s="15"/>
      <c r="C5201" s="9">
        <f>IFERROR(__xludf.DUMMYFUNCTION("""COMPUTED_VALUE"""),45089.9947590393)</f>
        <v>45089.99476</v>
      </c>
      <c r="D5201" s="15">
        <f>IFERROR(__xludf.DUMMYFUNCTION("""COMPUTED_VALUE"""),1.003)</f>
        <v>1.003</v>
      </c>
      <c r="E5201" s="16">
        <f>IFERROR(__xludf.DUMMYFUNCTION("""COMPUTED_VALUE"""),68.0)</f>
        <v>68</v>
      </c>
      <c r="F5201" s="19" t="str">
        <f>IFERROR(__xludf.DUMMYFUNCTION("""COMPUTED_VALUE"""),"BLUE")</f>
        <v>BLUE</v>
      </c>
      <c r="G5201" s="20" t="str">
        <f>IFERROR(__xludf.DUMMYFUNCTION("""COMPUTED_VALUE"""),"Uncle Sams Cider (04/04/2023)")</f>
        <v>Uncle Sams Cider (04/04/2023)</v>
      </c>
      <c r="H5201" s="19"/>
    </row>
    <row r="5202">
      <c r="A5202" s="9"/>
      <c r="B5202" s="15"/>
      <c r="C5202" s="9">
        <f>IFERROR(__xludf.DUMMYFUNCTION("""COMPUTED_VALUE"""),45089.9843371412)</f>
        <v>45089.98434</v>
      </c>
      <c r="D5202" s="15">
        <f>IFERROR(__xludf.DUMMYFUNCTION("""COMPUTED_VALUE"""),1.003)</f>
        <v>1.003</v>
      </c>
      <c r="E5202" s="16">
        <f>IFERROR(__xludf.DUMMYFUNCTION("""COMPUTED_VALUE"""),68.0)</f>
        <v>68</v>
      </c>
      <c r="F5202" s="19" t="str">
        <f>IFERROR(__xludf.DUMMYFUNCTION("""COMPUTED_VALUE"""),"BLUE")</f>
        <v>BLUE</v>
      </c>
      <c r="G5202" s="20" t="str">
        <f>IFERROR(__xludf.DUMMYFUNCTION("""COMPUTED_VALUE"""),"Uncle Sams Cider (04/04/2023)")</f>
        <v>Uncle Sams Cider (04/04/2023)</v>
      </c>
      <c r="H5202" s="19"/>
    </row>
    <row r="5203">
      <c r="A5203" s="9"/>
      <c r="B5203" s="15"/>
      <c r="C5203" s="9">
        <f>IFERROR(__xludf.DUMMYFUNCTION("""COMPUTED_VALUE"""),45089.9739039583)</f>
        <v>45089.9739</v>
      </c>
      <c r="D5203" s="15">
        <f>IFERROR(__xludf.DUMMYFUNCTION("""COMPUTED_VALUE"""),1.003)</f>
        <v>1.003</v>
      </c>
      <c r="E5203" s="16">
        <f>IFERROR(__xludf.DUMMYFUNCTION("""COMPUTED_VALUE"""),68.0)</f>
        <v>68</v>
      </c>
      <c r="F5203" s="19" t="str">
        <f>IFERROR(__xludf.DUMMYFUNCTION("""COMPUTED_VALUE"""),"BLUE")</f>
        <v>BLUE</v>
      </c>
      <c r="G5203" s="20" t="str">
        <f>IFERROR(__xludf.DUMMYFUNCTION("""COMPUTED_VALUE"""),"Uncle Sams Cider (04/04/2023)")</f>
        <v>Uncle Sams Cider (04/04/2023)</v>
      </c>
      <c r="H5203" s="19"/>
    </row>
    <row r="5204">
      <c r="A5204" s="9"/>
      <c r="B5204" s="15"/>
      <c r="C5204" s="9">
        <f>IFERROR(__xludf.DUMMYFUNCTION("""COMPUTED_VALUE"""),45089.9634825347)</f>
        <v>45089.96348</v>
      </c>
      <c r="D5204" s="15">
        <f>IFERROR(__xludf.DUMMYFUNCTION("""COMPUTED_VALUE"""),1.003)</f>
        <v>1.003</v>
      </c>
      <c r="E5204" s="16">
        <f>IFERROR(__xludf.DUMMYFUNCTION("""COMPUTED_VALUE"""),68.0)</f>
        <v>68</v>
      </c>
      <c r="F5204" s="19" t="str">
        <f>IFERROR(__xludf.DUMMYFUNCTION("""COMPUTED_VALUE"""),"BLUE")</f>
        <v>BLUE</v>
      </c>
      <c r="G5204" s="20" t="str">
        <f>IFERROR(__xludf.DUMMYFUNCTION("""COMPUTED_VALUE"""),"Uncle Sams Cider (04/04/2023)")</f>
        <v>Uncle Sams Cider (04/04/2023)</v>
      </c>
      <c r="H5204" s="19"/>
    </row>
    <row r="5205">
      <c r="A5205" s="9"/>
      <c r="B5205" s="15"/>
      <c r="C5205" s="9">
        <f>IFERROR(__xludf.DUMMYFUNCTION("""COMPUTED_VALUE"""),45089.9530512152)</f>
        <v>45089.95305</v>
      </c>
      <c r="D5205" s="15">
        <f>IFERROR(__xludf.DUMMYFUNCTION("""COMPUTED_VALUE"""),1.004)</f>
        <v>1.004</v>
      </c>
      <c r="E5205" s="16">
        <f>IFERROR(__xludf.DUMMYFUNCTION("""COMPUTED_VALUE"""),68.0)</f>
        <v>68</v>
      </c>
      <c r="F5205" s="19" t="str">
        <f>IFERROR(__xludf.DUMMYFUNCTION("""COMPUTED_VALUE"""),"BLUE")</f>
        <v>BLUE</v>
      </c>
      <c r="G5205" s="20" t="str">
        <f>IFERROR(__xludf.DUMMYFUNCTION("""COMPUTED_VALUE"""),"Uncle Sams Cider (04/04/2023)")</f>
        <v>Uncle Sams Cider (04/04/2023)</v>
      </c>
      <c r="H5205" s="19"/>
    </row>
    <row r="5206">
      <c r="A5206" s="9"/>
      <c r="B5206" s="15"/>
      <c r="C5206" s="9">
        <f>IFERROR(__xludf.DUMMYFUNCTION("""COMPUTED_VALUE"""),45089.9426054166)</f>
        <v>45089.94261</v>
      </c>
      <c r="D5206" s="15">
        <f>IFERROR(__xludf.DUMMYFUNCTION("""COMPUTED_VALUE"""),1.003)</f>
        <v>1.003</v>
      </c>
      <c r="E5206" s="16">
        <f>IFERROR(__xludf.DUMMYFUNCTION("""COMPUTED_VALUE"""),68.0)</f>
        <v>68</v>
      </c>
      <c r="F5206" s="19" t="str">
        <f>IFERROR(__xludf.DUMMYFUNCTION("""COMPUTED_VALUE"""),"BLUE")</f>
        <v>BLUE</v>
      </c>
      <c r="G5206" s="20" t="str">
        <f>IFERROR(__xludf.DUMMYFUNCTION("""COMPUTED_VALUE"""),"Uncle Sams Cider (04/04/2023)")</f>
        <v>Uncle Sams Cider (04/04/2023)</v>
      </c>
      <c r="H5206" s="19"/>
    </row>
    <row r="5207">
      <c r="A5207" s="9"/>
      <c r="B5207" s="15"/>
      <c r="C5207" s="9">
        <f>IFERROR(__xludf.DUMMYFUNCTION("""COMPUTED_VALUE"""),45089.9321851504)</f>
        <v>45089.93219</v>
      </c>
      <c r="D5207" s="15">
        <f>IFERROR(__xludf.DUMMYFUNCTION("""COMPUTED_VALUE"""),1.003)</f>
        <v>1.003</v>
      </c>
      <c r="E5207" s="16">
        <f>IFERROR(__xludf.DUMMYFUNCTION("""COMPUTED_VALUE"""),68.0)</f>
        <v>68</v>
      </c>
      <c r="F5207" s="19" t="str">
        <f>IFERROR(__xludf.DUMMYFUNCTION("""COMPUTED_VALUE"""),"BLUE")</f>
        <v>BLUE</v>
      </c>
      <c r="G5207" s="20" t="str">
        <f>IFERROR(__xludf.DUMMYFUNCTION("""COMPUTED_VALUE"""),"Uncle Sams Cider (04/04/2023)")</f>
        <v>Uncle Sams Cider (04/04/2023)</v>
      </c>
      <c r="H5207" s="19"/>
    </row>
    <row r="5208">
      <c r="A5208" s="9"/>
      <c r="B5208" s="15"/>
      <c r="C5208" s="9">
        <f>IFERROR(__xludf.DUMMYFUNCTION("""COMPUTED_VALUE"""),45089.9217646527)</f>
        <v>45089.92176</v>
      </c>
      <c r="D5208" s="15">
        <f>IFERROR(__xludf.DUMMYFUNCTION("""COMPUTED_VALUE"""),1.003)</f>
        <v>1.003</v>
      </c>
      <c r="E5208" s="16">
        <f>IFERROR(__xludf.DUMMYFUNCTION("""COMPUTED_VALUE"""),68.0)</f>
        <v>68</v>
      </c>
      <c r="F5208" s="19" t="str">
        <f>IFERROR(__xludf.DUMMYFUNCTION("""COMPUTED_VALUE"""),"BLUE")</f>
        <v>BLUE</v>
      </c>
      <c r="G5208" s="20" t="str">
        <f>IFERROR(__xludf.DUMMYFUNCTION("""COMPUTED_VALUE"""),"Uncle Sams Cider (04/04/2023)")</f>
        <v>Uncle Sams Cider (04/04/2023)</v>
      </c>
      <c r="H5208" s="19"/>
    </row>
    <row r="5209">
      <c r="A5209" s="9"/>
      <c r="B5209" s="15"/>
      <c r="C5209" s="9">
        <f>IFERROR(__xludf.DUMMYFUNCTION("""COMPUTED_VALUE"""),45089.9113441782)</f>
        <v>45089.91134</v>
      </c>
      <c r="D5209" s="15">
        <f>IFERROR(__xludf.DUMMYFUNCTION("""COMPUTED_VALUE"""),1.003)</f>
        <v>1.003</v>
      </c>
      <c r="E5209" s="16">
        <f>IFERROR(__xludf.DUMMYFUNCTION("""COMPUTED_VALUE"""),68.0)</f>
        <v>68</v>
      </c>
      <c r="F5209" s="19" t="str">
        <f>IFERROR(__xludf.DUMMYFUNCTION("""COMPUTED_VALUE"""),"BLUE")</f>
        <v>BLUE</v>
      </c>
      <c r="G5209" s="20" t="str">
        <f>IFERROR(__xludf.DUMMYFUNCTION("""COMPUTED_VALUE"""),"Uncle Sams Cider (04/04/2023)")</f>
        <v>Uncle Sams Cider (04/04/2023)</v>
      </c>
      <c r="H5209" s="19"/>
    </row>
    <row r="5210">
      <c r="A5210" s="9"/>
      <c r="B5210" s="15"/>
      <c r="C5210" s="9">
        <f>IFERROR(__xludf.DUMMYFUNCTION("""COMPUTED_VALUE"""),45089.9009227546)</f>
        <v>45089.90092</v>
      </c>
      <c r="D5210" s="15">
        <f>IFERROR(__xludf.DUMMYFUNCTION("""COMPUTED_VALUE"""),1.003)</f>
        <v>1.003</v>
      </c>
      <c r="E5210" s="16">
        <f>IFERROR(__xludf.DUMMYFUNCTION("""COMPUTED_VALUE"""),68.0)</f>
        <v>68</v>
      </c>
      <c r="F5210" s="19" t="str">
        <f>IFERROR(__xludf.DUMMYFUNCTION("""COMPUTED_VALUE"""),"BLUE")</f>
        <v>BLUE</v>
      </c>
      <c r="G5210" s="20" t="str">
        <f>IFERROR(__xludf.DUMMYFUNCTION("""COMPUTED_VALUE"""),"Uncle Sams Cider (04/04/2023)")</f>
        <v>Uncle Sams Cider (04/04/2023)</v>
      </c>
      <c r="H5210" s="19"/>
    </row>
    <row r="5211">
      <c r="A5211" s="9"/>
      <c r="B5211" s="15"/>
      <c r="C5211" s="9">
        <f>IFERROR(__xludf.DUMMYFUNCTION("""COMPUTED_VALUE"""),45089.8905020486)</f>
        <v>45089.8905</v>
      </c>
      <c r="D5211" s="15">
        <f>IFERROR(__xludf.DUMMYFUNCTION("""COMPUTED_VALUE"""),1.003)</f>
        <v>1.003</v>
      </c>
      <c r="E5211" s="16">
        <f>IFERROR(__xludf.DUMMYFUNCTION("""COMPUTED_VALUE"""),68.0)</f>
        <v>68</v>
      </c>
      <c r="F5211" s="19" t="str">
        <f>IFERROR(__xludf.DUMMYFUNCTION("""COMPUTED_VALUE"""),"BLUE")</f>
        <v>BLUE</v>
      </c>
      <c r="G5211" s="20" t="str">
        <f>IFERROR(__xludf.DUMMYFUNCTION("""COMPUTED_VALUE"""),"Uncle Sams Cider (04/04/2023)")</f>
        <v>Uncle Sams Cider (04/04/2023)</v>
      </c>
      <c r="H5211" s="19"/>
    </row>
    <row r="5212">
      <c r="A5212" s="9"/>
      <c r="B5212" s="15"/>
      <c r="C5212" s="9">
        <f>IFERROR(__xludf.DUMMYFUNCTION("""COMPUTED_VALUE"""),45089.8800461574)</f>
        <v>45089.88005</v>
      </c>
      <c r="D5212" s="15">
        <f>IFERROR(__xludf.DUMMYFUNCTION("""COMPUTED_VALUE"""),1.003)</f>
        <v>1.003</v>
      </c>
      <c r="E5212" s="16">
        <f>IFERROR(__xludf.DUMMYFUNCTION("""COMPUTED_VALUE"""),68.0)</f>
        <v>68</v>
      </c>
      <c r="F5212" s="19" t="str">
        <f>IFERROR(__xludf.DUMMYFUNCTION("""COMPUTED_VALUE"""),"BLUE")</f>
        <v>BLUE</v>
      </c>
      <c r="G5212" s="20" t="str">
        <f>IFERROR(__xludf.DUMMYFUNCTION("""COMPUTED_VALUE"""),"Uncle Sams Cider (04/04/2023)")</f>
        <v>Uncle Sams Cider (04/04/2023)</v>
      </c>
      <c r="H5212" s="19"/>
    </row>
    <row r="5213">
      <c r="A5213" s="9"/>
      <c r="B5213" s="15"/>
      <c r="C5213" s="9">
        <f>IFERROR(__xludf.DUMMYFUNCTION("""COMPUTED_VALUE"""),45089.8696250115)</f>
        <v>45089.86963</v>
      </c>
      <c r="D5213" s="15">
        <f>IFERROR(__xludf.DUMMYFUNCTION("""COMPUTED_VALUE"""),1.003)</f>
        <v>1.003</v>
      </c>
      <c r="E5213" s="16">
        <f>IFERROR(__xludf.DUMMYFUNCTION("""COMPUTED_VALUE"""),68.0)</f>
        <v>68</v>
      </c>
      <c r="F5213" s="19" t="str">
        <f>IFERROR(__xludf.DUMMYFUNCTION("""COMPUTED_VALUE"""),"BLUE")</f>
        <v>BLUE</v>
      </c>
      <c r="G5213" s="20" t="str">
        <f>IFERROR(__xludf.DUMMYFUNCTION("""COMPUTED_VALUE"""),"Uncle Sams Cider (04/04/2023)")</f>
        <v>Uncle Sams Cider (04/04/2023)</v>
      </c>
      <c r="H5213" s="19"/>
    </row>
    <row r="5214">
      <c r="A5214" s="9"/>
      <c r="B5214" s="15"/>
      <c r="C5214" s="9">
        <f>IFERROR(__xludf.DUMMYFUNCTION("""COMPUTED_VALUE"""),45089.8592042245)</f>
        <v>45089.8592</v>
      </c>
      <c r="D5214" s="15">
        <f>IFERROR(__xludf.DUMMYFUNCTION("""COMPUTED_VALUE"""),1.004)</f>
        <v>1.004</v>
      </c>
      <c r="E5214" s="16">
        <f>IFERROR(__xludf.DUMMYFUNCTION("""COMPUTED_VALUE"""),68.0)</f>
        <v>68</v>
      </c>
      <c r="F5214" s="19" t="str">
        <f>IFERROR(__xludf.DUMMYFUNCTION("""COMPUTED_VALUE"""),"BLUE")</f>
        <v>BLUE</v>
      </c>
      <c r="G5214" s="20" t="str">
        <f>IFERROR(__xludf.DUMMYFUNCTION("""COMPUTED_VALUE"""),"Uncle Sams Cider (04/04/2023)")</f>
        <v>Uncle Sams Cider (04/04/2023)</v>
      </c>
      <c r="H5214" s="19"/>
    </row>
    <row r="5215">
      <c r="A5215" s="9"/>
      <c r="B5215" s="15"/>
      <c r="C5215" s="9">
        <f>IFERROR(__xludf.DUMMYFUNCTION("""COMPUTED_VALUE"""),45089.8487825463)</f>
        <v>45089.84878</v>
      </c>
      <c r="D5215" s="15">
        <f>IFERROR(__xludf.DUMMYFUNCTION("""COMPUTED_VALUE"""),1.003)</f>
        <v>1.003</v>
      </c>
      <c r="E5215" s="16">
        <f>IFERROR(__xludf.DUMMYFUNCTION("""COMPUTED_VALUE"""),68.0)</f>
        <v>68</v>
      </c>
      <c r="F5215" s="19" t="str">
        <f>IFERROR(__xludf.DUMMYFUNCTION("""COMPUTED_VALUE"""),"BLUE")</f>
        <v>BLUE</v>
      </c>
      <c r="G5215" s="20" t="str">
        <f>IFERROR(__xludf.DUMMYFUNCTION("""COMPUTED_VALUE"""),"Uncle Sams Cider (04/04/2023)")</f>
        <v>Uncle Sams Cider (04/04/2023)</v>
      </c>
      <c r="H5215" s="19"/>
    </row>
    <row r="5216">
      <c r="A5216" s="9"/>
      <c r="B5216" s="15"/>
      <c r="C5216" s="9">
        <f>IFERROR(__xludf.DUMMYFUNCTION("""COMPUTED_VALUE"""),45089.8383601504)</f>
        <v>45089.83836</v>
      </c>
      <c r="D5216" s="15">
        <f>IFERROR(__xludf.DUMMYFUNCTION("""COMPUTED_VALUE"""),1.003)</f>
        <v>1.003</v>
      </c>
      <c r="E5216" s="16">
        <f>IFERROR(__xludf.DUMMYFUNCTION("""COMPUTED_VALUE"""),68.0)</f>
        <v>68</v>
      </c>
      <c r="F5216" s="19" t="str">
        <f>IFERROR(__xludf.DUMMYFUNCTION("""COMPUTED_VALUE"""),"BLUE")</f>
        <v>BLUE</v>
      </c>
      <c r="G5216" s="20" t="str">
        <f>IFERROR(__xludf.DUMMYFUNCTION("""COMPUTED_VALUE"""),"Uncle Sams Cider (04/04/2023)")</f>
        <v>Uncle Sams Cider (04/04/2023)</v>
      </c>
      <c r="H5216" s="19"/>
    </row>
    <row r="5217">
      <c r="A5217" s="9"/>
      <c r="B5217" s="15"/>
      <c r="C5217" s="9">
        <f>IFERROR(__xludf.DUMMYFUNCTION("""COMPUTED_VALUE"""),45089.8279405787)</f>
        <v>45089.82794</v>
      </c>
      <c r="D5217" s="15">
        <f>IFERROR(__xludf.DUMMYFUNCTION("""COMPUTED_VALUE"""),1.003)</f>
        <v>1.003</v>
      </c>
      <c r="E5217" s="16">
        <f>IFERROR(__xludf.DUMMYFUNCTION("""COMPUTED_VALUE"""),68.0)</f>
        <v>68</v>
      </c>
      <c r="F5217" s="19" t="str">
        <f>IFERROR(__xludf.DUMMYFUNCTION("""COMPUTED_VALUE"""),"BLUE")</f>
        <v>BLUE</v>
      </c>
      <c r="G5217" s="20" t="str">
        <f>IFERROR(__xludf.DUMMYFUNCTION("""COMPUTED_VALUE"""),"Uncle Sams Cider (04/04/2023)")</f>
        <v>Uncle Sams Cider (04/04/2023)</v>
      </c>
      <c r="H5217" s="19"/>
    </row>
    <row r="5218">
      <c r="A5218" s="9"/>
      <c r="B5218" s="15"/>
      <c r="C5218" s="9">
        <f>IFERROR(__xludf.DUMMYFUNCTION("""COMPUTED_VALUE"""),45089.8175201388)</f>
        <v>45089.81752</v>
      </c>
      <c r="D5218" s="15">
        <f>IFERROR(__xludf.DUMMYFUNCTION("""COMPUTED_VALUE"""),1.003)</f>
        <v>1.003</v>
      </c>
      <c r="E5218" s="16">
        <f>IFERROR(__xludf.DUMMYFUNCTION("""COMPUTED_VALUE"""),68.0)</f>
        <v>68</v>
      </c>
      <c r="F5218" s="19" t="str">
        <f>IFERROR(__xludf.DUMMYFUNCTION("""COMPUTED_VALUE"""),"BLUE")</f>
        <v>BLUE</v>
      </c>
      <c r="G5218" s="20" t="str">
        <f>IFERROR(__xludf.DUMMYFUNCTION("""COMPUTED_VALUE"""),"Uncle Sams Cider (04/04/2023)")</f>
        <v>Uncle Sams Cider (04/04/2023)</v>
      </c>
      <c r="H5218" s="19"/>
    </row>
    <row r="5219">
      <c r="A5219" s="9"/>
      <c r="B5219" s="15"/>
      <c r="C5219" s="9">
        <f>IFERROR(__xludf.DUMMYFUNCTION("""COMPUTED_VALUE"""),45089.8070737963)</f>
        <v>45089.80707</v>
      </c>
      <c r="D5219" s="15">
        <f>IFERROR(__xludf.DUMMYFUNCTION("""COMPUTED_VALUE"""),1.003)</f>
        <v>1.003</v>
      </c>
      <c r="E5219" s="16">
        <f>IFERROR(__xludf.DUMMYFUNCTION("""COMPUTED_VALUE"""),68.0)</f>
        <v>68</v>
      </c>
      <c r="F5219" s="19" t="str">
        <f>IFERROR(__xludf.DUMMYFUNCTION("""COMPUTED_VALUE"""),"BLUE")</f>
        <v>BLUE</v>
      </c>
      <c r="G5219" s="20" t="str">
        <f>IFERROR(__xludf.DUMMYFUNCTION("""COMPUTED_VALUE"""),"Uncle Sams Cider (04/04/2023)")</f>
        <v>Uncle Sams Cider (04/04/2023)</v>
      </c>
      <c r="H5219" s="19"/>
    </row>
    <row r="5220">
      <c r="A5220" s="9"/>
      <c r="B5220" s="15"/>
      <c r="C5220" s="9">
        <f>IFERROR(__xludf.DUMMYFUNCTION("""COMPUTED_VALUE"""),45089.7966414236)</f>
        <v>45089.79664</v>
      </c>
      <c r="D5220" s="15">
        <f>IFERROR(__xludf.DUMMYFUNCTION("""COMPUTED_VALUE"""),1.003)</f>
        <v>1.003</v>
      </c>
      <c r="E5220" s="16">
        <f>IFERROR(__xludf.DUMMYFUNCTION("""COMPUTED_VALUE"""),68.0)</f>
        <v>68</v>
      </c>
      <c r="F5220" s="19" t="str">
        <f>IFERROR(__xludf.DUMMYFUNCTION("""COMPUTED_VALUE"""),"BLUE")</f>
        <v>BLUE</v>
      </c>
      <c r="G5220" s="20" t="str">
        <f>IFERROR(__xludf.DUMMYFUNCTION("""COMPUTED_VALUE"""),"Uncle Sams Cider (04/04/2023)")</f>
        <v>Uncle Sams Cider (04/04/2023)</v>
      </c>
      <c r="H5220" s="19"/>
    </row>
    <row r="5221">
      <c r="A5221" s="9"/>
      <c r="B5221" s="15"/>
      <c r="C5221" s="9">
        <f>IFERROR(__xludf.DUMMYFUNCTION("""COMPUTED_VALUE"""),45089.7862200925)</f>
        <v>45089.78622</v>
      </c>
      <c r="D5221" s="15">
        <f>IFERROR(__xludf.DUMMYFUNCTION("""COMPUTED_VALUE"""),1.004)</f>
        <v>1.004</v>
      </c>
      <c r="E5221" s="16">
        <f>IFERROR(__xludf.DUMMYFUNCTION("""COMPUTED_VALUE"""),68.0)</f>
        <v>68</v>
      </c>
      <c r="F5221" s="19" t="str">
        <f>IFERROR(__xludf.DUMMYFUNCTION("""COMPUTED_VALUE"""),"BLUE")</f>
        <v>BLUE</v>
      </c>
      <c r="G5221" s="20" t="str">
        <f>IFERROR(__xludf.DUMMYFUNCTION("""COMPUTED_VALUE"""),"Uncle Sams Cider (04/04/2023)")</f>
        <v>Uncle Sams Cider (04/04/2023)</v>
      </c>
      <c r="H5221" s="19"/>
    </row>
    <row r="5222">
      <c r="A5222" s="9"/>
      <c r="B5222" s="15"/>
      <c r="C5222" s="9">
        <f>IFERROR(__xludf.DUMMYFUNCTION("""COMPUTED_VALUE"""),45089.7757773148)</f>
        <v>45089.77578</v>
      </c>
      <c r="D5222" s="15">
        <f>IFERROR(__xludf.DUMMYFUNCTION("""COMPUTED_VALUE"""),1.003)</f>
        <v>1.003</v>
      </c>
      <c r="E5222" s="16">
        <f>IFERROR(__xludf.DUMMYFUNCTION("""COMPUTED_VALUE"""),68.0)</f>
        <v>68</v>
      </c>
      <c r="F5222" s="19" t="str">
        <f>IFERROR(__xludf.DUMMYFUNCTION("""COMPUTED_VALUE"""),"BLUE")</f>
        <v>BLUE</v>
      </c>
      <c r="G5222" s="20" t="str">
        <f>IFERROR(__xludf.DUMMYFUNCTION("""COMPUTED_VALUE"""),"Uncle Sams Cider (04/04/2023)")</f>
        <v>Uncle Sams Cider (04/04/2023)</v>
      </c>
      <c r="H5222" s="19"/>
    </row>
    <row r="5223">
      <c r="A5223" s="9"/>
      <c r="B5223" s="15"/>
      <c r="C5223" s="9">
        <f>IFERROR(__xludf.DUMMYFUNCTION("""COMPUTED_VALUE"""),45089.7653558101)</f>
        <v>45089.76536</v>
      </c>
      <c r="D5223" s="15">
        <f>IFERROR(__xludf.DUMMYFUNCTION("""COMPUTED_VALUE"""),1.004)</f>
        <v>1.004</v>
      </c>
      <c r="E5223" s="16">
        <f>IFERROR(__xludf.DUMMYFUNCTION("""COMPUTED_VALUE"""),68.0)</f>
        <v>68</v>
      </c>
      <c r="F5223" s="19" t="str">
        <f>IFERROR(__xludf.DUMMYFUNCTION("""COMPUTED_VALUE"""),"BLUE")</f>
        <v>BLUE</v>
      </c>
      <c r="G5223" s="20" t="str">
        <f>IFERROR(__xludf.DUMMYFUNCTION("""COMPUTED_VALUE"""),"Uncle Sams Cider (04/04/2023)")</f>
        <v>Uncle Sams Cider (04/04/2023)</v>
      </c>
      <c r="H5223" s="19"/>
    </row>
    <row r="5224">
      <c r="A5224" s="9"/>
      <c r="B5224" s="15"/>
      <c r="C5224" s="9">
        <f>IFERROR(__xludf.DUMMYFUNCTION("""COMPUTED_VALUE"""),45089.7549363194)</f>
        <v>45089.75494</v>
      </c>
      <c r="D5224" s="15">
        <f>IFERROR(__xludf.DUMMYFUNCTION("""COMPUTED_VALUE"""),1.004)</f>
        <v>1.004</v>
      </c>
      <c r="E5224" s="16">
        <f>IFERROR(__xludf.DUMMYFUNCTION("""COMPUTED_VALUE"""),68.0)</f>
        <v>68</v>
      </c>
      <c r="F5224" s="19" t="str">
        <f>IFERROR(__xludf.DUMMYFUNCTION("""COMPUTED_VALUE"""),"BLUE")</f>
        <v>BLUE</v>
      </c>
      <c r="G5224" s="20" t="str">
        <f>IFERROR(__xludf.DUMMYFUNCTION("""COMPUTED_VALUE"""),"Uncle Sams Cider (04/04/2023)")</f>
        <v>Uncle Sams Cider (04/04/2023)</v>
      </c>
      <c r="H5224" s="19"/>
    </row>
    <row r="5225">
      <c r="A5225" s="9"/>
      <c r="B5225" s="15"/>
      <c r="C5225" s="9">
        <f>IFERROR(__xludf.DUMMYFUNCTION("""COMPUTED_VALUE"""),45089.7445153935)</f>
        <v>45089.74452</v>
      </c>
      <c r="D5225" s="15">
        <f>IFERROR(__xludf.DUMMYFUNCTION("""COMPUTED_VALUE"""),1.003)</f>
        <v>1.003</v>
      </c>
      <c r="E5225" s="16">
        <f>IFERROR(__xludf.DUMMYFUNCTION("""COMPUTED_VALUE"""),68.0)</f>
        <v>68</v>
      </c>
      <c r="F5225" s="19" t="str">
        <f>IFERROR(__xludf.DUMMYFUNCTION("""COMPUTED_VALUE"""),"BLUE")</f>
        <v>BLUE</v>
      </c>
      <c r="G5225" s="20" t="str">
        <f>IFERROR(__xludf.DUMMYFUNCTION("""COMPUTED_VALUE"""),"Uncle Sams Cider (04/04/2023)")</f>
        <v>Uncle Sams Cider (04/04/2023)</v>
      </c>
      <c r="H5225" s="19"/>
    </row>
    <row r="5226">
      <c r="A5226" s="9"/>
      <c r="B5226" s="15"/>
      <c r="C5226" s="9">
        <f>IFERROR(__xludf.DUMMYFUNCTION("""COMPUTED_VALUE"""),45089.7340924768)</f>
        <v>45089.73409</v>
      </c>
      <c r="D5226" s="15">
        <f>IFERROR(__xludf.DUMMYFUNCTION("""COMPUTED_VALUE"""),1.004)</f>
        <v>1.004</v>
      </c>
      <c r="E5226" s="16">
        <f>IFERROR(__xludf.DUMMYFUNCTION("""COMPUTED_VALUE"""),68.0)</f>
        <v>68</v>
      </c>
      <c r="F5226" s="19" t="str">
        <f>IFERROR(__xludf.DUMMYFUNCTION("""COMPUTED_VALUE"""),"BLUE")</f>
        <v>BLUE</v>
      </c>
      <c r="G5226" s="20" t="str">
        <f>IFERROR(__xludf.DUMMYFUNCTION("""COMPUTED_VALUE"""),"Uncle Sams Cider (04/04/2023)")</f>
        <v>Uncle Sams Cider (04/04/2023)</v>
      </c>
      <c r="H5226" s="19"/>
    </row>
    <row r="5227">
      <c r="A5227" s="9"/>
      <c r="B5227" s="15"/>
      <c r="C5227" s="9">
        <f>IFERROR(__xludf.DUMMYFUNCTION("""COMPUTED_VALUE"""),45089.7236696875)</f>
        <v>45089.72367</v>
      </c>
      <c r="D5227" s="15">
        <f>IFERROR(__xludf.DUMMYFUNCTION("""COMPUTED_VALUE"""),1.003)</f>
        <v>1.003</v>
      </c>
      <c r="E5227" s="16">
        <f>IFERROR(__xludf.DUMMYFUNCTION("""COMPUTED_VALUE"""),68.0)</f>
        <v>68</v>
      </c>
      <c r="F5227" s="19" t="str">
        <f>IFERROR(__xludf.DUMMYFUNCTION("""COMPUTED_VALUE"""),"BLUE")</f>
        <v>BLUE</v>
      </c>
      <c r="G5227" s="20" t="str">
        <f>IFERROR(__xludf.DUMMYFUNCTION("""COMPUTED_VALUE"""),"Uncle Sams Cider (04/04/2023)")</f>
        <v>Uncle Sams Cider (04/04/2023)</v>
      </c>
      <c r="H5227" s="19"/>
    </row>
    <row r="5228">
      <c r="A5228" s="9"/>
      <c r="B5228" s="15"/>
      <c r="C5228" s="9">
        <f>IFERROR(__xludf.DUMMYFUNCTION("""COMPUTED_VALUE"""),45089.713224537)</f>
        <v>45089.71322</v>
      </c>
      <c r="D5228" s="15">
        <f>IFERROR(__xludf.DUMMYFUNCTION("""COMPUTED_VALUE"""),1.004)</f>
        <v>1.004</v>
      </c>
      <c r="E5228" s="16">
        <f>IFERROR(__xludf.DUMMYFUNCTION("""COMPUTED_VALUE"""),68.0)</f>
        <v>68</v>
      </c>
      <c r="F5228" s="19" t="str">
        <f>IFERROR(__xludf.DUMMYFUNCTION("""COMPUTED_VALUE"""),"BLUE")</f>
        <v>BLUE</v>
      </c>
      <c r="G5228" s="20" t="str">
        <f>IFERROR(__xludf.DUMMYFUNCTION("""COMPUTED_VALUE"""),"Uncle Sams Cider (04/04/2023)")</f>
        <v>Uncle Sams Cider (04/04/2023)</v>
      </c>
      <c r="H5228" s="19"/>
    </row>
    <row r="5229">
      <c r="A5229" s="9"/>
      <c r="B5229" s="15"/>
      <c r="C5229" s="9">
        <f>IFERROR(__xludf.DUMMYFUNCTION("""COMPUTED_VALUE"""),45089.702804074)</f>
        <v>45089.7028</v>
      </c>
      <c r="D5229" s="15">
        <f>IFERROR(__xludf.DUMMYFUNCTION("""COMPUTED_VALUE"""),1.003)</f>
        <v>1.003</v>
      </c>
      <c r="E5229" s="16">
        <f>IFERROR(__xludf.DUMMYFUNCTION("""COMPUTED_VALUE"""),68.0)</f>
        <v>68</v>
      </c>
      <c r="F5229" s="19" t="str">
        <f>IFERROR(__xludf.DUMMYFUNCTION("""COMPUTED_VALUE"""),"BLUE")</f>
        <v>BLUE</v>
      </c>
      <c r="G5229" s="20" t="str">
        <f>IFERROR(__xludf.DUMMYFUNCTION("""COMPUTED_VALUE"""),"Uncle Sams Cider (04/04/2023)")</f>
        <v>Uncle Sams Cider (04/04/2023)</v>
      </c>
      <c r="H5229" s="19"/>
    </row>
    <row r="5230">
      <c r="A5230" s="9"/>
      <c r="B5230" s="15"/>
      <c r="C5230" s="9">
        <f>IFERROR(__xludf.DUMMYFUNCTION("""COMPUTED_VALUE"""),45089.6819600925)</f>
        <v>45089.68196</v>
      </c>
      <c r="D5230" s="15">
        <f>IFERROR(__xludf.DUMMYFUNCTION("""COMPUTED_VALUE"""),1.004)</f>
        <v>1.004</v>
      </c>
      <c r="E5230" s="16">
        <f>IFERROR(__xludf.DUMMYFUNCTION("""COMPUTED_VALUE"""),68.0)</f>
        <v>68</v>
      </c>
      <c r="F5230" s="19" t="str">
        <f>IFERROR(__xludf.DUMMYFUNCTION("""COMPUTED_VALUE"""),"BLUE")</f>
        <v>BLUE</v>
      </c>
      <c r="G5230" s="20" t="str">
        <f>IFERROR(__xludf.DUMMYFUNCTION("""COMPUTED_VALUE"""),"Uncle Sams Cider (04/04/2023)")</f>
        <v>Uncle Sams Cider (04/04/2023)</v>
      </c>
      <c r="H5230" s="19"/>
    </row>
    <row r="5231">
      <c r="A5231" s="9"/>
      <c r="B5231" s="15"/>
      <c r="C5231" s="9">
        <f>IFERROR(__xludf.DUMMYFUNCTION("""COMPUTED_VALUE"""),45089.6715398726)</f>
        <v>45089.67154</v>
      </c>
      <c r="D5231" s="15">
        <f>IFERROR(__xludf.DUMMYFUNCTION("""COMPUTED_VALUE"""),1.004)</f>
        <v>1.004</v>
      </c>
      <c r="E5231" s="16">
        <f>IFERROR(__xludf.DUMMYFUNCTION("""COMPUTED_VALUE"""),68.0)</f>
        <v>68</v>
      </c>
      <c r="F5231" s="19" t="str">
        <f>IFERROR(__xludf.DUMMYFUNCTION("""COMPUTED_VALUE"""),"BLUE")</f>
        <v>BLUE</v>
      </c>
      <c r="G5231" s="20" t="str">
        <f>IFERROR(__xludf.DUMMYFUNCTION("""COMPUTED_VALUE"""),"Uncle Sams Cider (04/04/2023)")</f>
        <v>Uncle Sams Cider (04/04/2023)</v>
      </c>
      <c r="H5231" s="19"/>
    </row>
    <row r="5232">
      <c r="A5232" s="9"/>
      <c r="B5232" s="15"/>
      <c r="C5232" s="9">
        <f>IFERROR(__xludf.DUMMYFUNCTION("""COMPUTED_VALUE"""),45089.6611197106)</f>
        <v>45089.66112</v>
      </c>
      <c r="D5232" s="15">
        <f>IFERROR(__xludf.DUMMYFUNCTION("""COMPUTED_VALUE"""),1.003)</f>
        <v>1.003</v>
      </c>
      <c r="E5232" s="16">
        <f>IFERROR(__xludf.DUMMYFUNCTION("""COMPUTED_VALUE"""),68.0)</f>
        <v>68</v>
      </c>
      <c r="F5232" s="19" t="str">
        <f>IFERROR(__xludf.DUMMYFUNCTION("""COMPUTED_VALUE"""),"BLUE")</f>
        <v>BLUE</v>
      </c>
      <c r="G5232" s="20" t="str">
        <f>IFERROR(__xludf.DUMMYFUNCTION("""COMPUTED_VALUE"""),"Uncle Sams Cider (04/04/2023)")</f>
        <v>Uncle Sams Cider (04/04/2023)</v>
      </c>
      <c r="H5232" s="19"/>
    </row>
    <row r="5233">
      <c r="A5233" s="9"/>
      <c r="B5233" s="15"/>
      <c r="C5233" s="9">
        <f>IFERROR(__xludf.DUMMYFUNCTION("""COMPUTED_VALUE"""),45089.6506841319)</f>
        <v>45089.65068</v>
      </c>
      <c r="D5233" s="15">
        <f>IFERROR(__xludf.DUMMYFUNCTION("""COMPUTED_VALUE"""),1.003)</f>
        <v>1.003</v>
      </c>
      <c r="E5233" s="16">
        <f>IFERROR(__xludf.DUMMYFUNCTION("""COMPUTED_VALUE"""),68.0)</f>
        <v>68</v>
      </c>
      <c r="F5233" s="19" t="str">
        <f>IFERROR(__xludf.DUMMYFUNCTION("""COMPUTED_VALUE"""),"BLUE")</f>
        <v>BLUE</v>
      </c>
      <c r="G5233" s="20" t="str">
        <f>IFERROR(__xludf.DUMMYFUNCTION("""COMPUTED_VALUE"""),"Uncle Sams Cider (04/04/2023)")</f>
        <v>Uncle Sams Cider (04/04/2023)</v>
      </c>
      <c r="H5233" s="19"/>
    </row>
    <row r="5234">
      <c r="A5234" s="9"/>
      <c r="B5234" s="15"/>
      <c r="C5234" s="9">
        <f>IFERROR(__xludf.DUMMYFUNCTION("""COMPUTED_VALUE"""),45089.6402643634)</f>
        <v>45089.64026</v>
      </c>
      <c r="D5234" s="15">
        <f>IFERROR(__xludf.DUMMYFUNCTION("""COMPUTED_VALUE"""),1.004)</f>
        <v>1.004</v>
      </c>
      <c r="E5234" s="16">
        <f>IFERROR(__xludf.DUMMYFUNCTION("""COMPUTED_VALUE"""),68.0)</f>
        <v>68</v>
      </c>
      <c r="F5234" s="19" t="str">
        <f>IFERROR(__xludf.DUMMYFUNCTION("""COMPUTED_VALUE"""),"BLUE")</f>
        <v>BLUE</v>
      </c>
      <c r="G5234" s="20" t="str">
        <f>IFERROR(__xludf.DUMMYFUNCTION("""COMPUTED_VALUE"""),"Uncle Sams Cider (04/04/2023)")</f>
        <v>Uncle Sams Cider (04/04/2023)</v>
      </c>
      <c r="H5234" s="19"/>
    </row>
    <row r="5235">
      <c r="A5235" s="9"/>
      <c r="B5235" s="15"/>
      <c r="C5235" s="9">
        <f>IFERROR(__xludf.DUMMYFUNCTION("""COMPUTED_VALUE"""),45089.629831331)</f>
        <v>45089.62983</v>
      </c>
      <c r="D5235" s="15">
        <f>IFERROR(__xludf.DUMMYFUNCTION("""COMPUTED_VALUE"""),1.003)</f>
        <v>1.003</v>
      </c>
      <c r="E5235" s="16">
        <f>IFERROR(__xludf.DUMMYFUNCTION("""COMPUTED_VALUE"""),68.0)</f>
        <v>68</v>
      </c>
      <c r="F5235" s="19" t="str">
        <f>IFERROR(__xludf.DUMMYFUNCTION("""COMPUTED_VALUE"""),"BLUE")</f>
        <v>BLUE</v>
      </c>
      <c r="G5235" s="20" t="str">
        <f>IFERROR(__xludf.DUMMYFUNCTION("""COMPUTED_VALUE"""),"Uncle Sams Cider (04/04/2023)")</f>
        <v>Uncle Sams Cider (04/04/2023)</v>
      </c>
      <c r="H5235" s="19"/>
    </row>
    <row r="5236">
      <c r="A5236" s="9"/>
      <c r="B5236" s="15"/>
      <c r="C5236" s="9">
        <f>IFERROR(__xludf.DUMMYFUNCTION("""COMPUTED_VALUE"""),45089.6194091088)</f>
        <v>45089.61941</v>
      </c>
      <c r="D5236" s="15">
        <f>IFERROR(__xludf.DUMMYFUNCTION("""COMPUTED_VALUE"""),1.004)</f>
        <v>1.004</v>
      </c>
      <c r="E5236" s="16">
        <f>IFERROR(__xludf.DUMMYFUNCTION("""COMPUTED_VALUE"""),68.0)</f>
        <v>68</v>
      </c>
      <c r="F5236" s="19" t="str">
        <f>IFERROR(__xludf.DUMMYFUNCTION("""COMPUTED_VALUE"""),"BLUE")</f>
        <v>BLUE</v>
      </c>
      <c r="G5236" s="20" t="str">
        <f>IFERROR(__xludf.DUMMYFUNCTION("""COMPUTED_VALUE"""),"Uncle Sams Cider (04/04/2023)")</f>
        <v>Uncle Sams Cider (04/04/2023)</v>
      </c>
      <c r="H5236" s="19"/>
    </row>
    <row r="5237">
      <c r="A5237" s="9"/>
      <c r="B5237" s="15"/>
      <c r="C5237" s="9">
        <f>IFERROR(__xludf.DUMMYFUNCTION("""COMPUTED_VALUE"""),45089.6089893518)</f>
        <v>45089.60899</v>
      </c>
      <c r="D5237" s="15">
        <f>IFERROR(__xludf.DUMMYFUNCTION("""COMPUTED_VALUE"""),1.004)</f>
        <v>1.004</v>
      </c>
      <c r="E5237" s="16">
        <f>IFERROR(__xludf.DUMMYFUNCTION("""COMPUTED_VALUE"""),68.0)</f>
        <v>68</v>
      </c>
      <c r="F5237" s="19" t="str">
        <f>IFERROR(__xludf.DUMMYFUNCTION("""COMPUTED_VALUE"""),"BLUE")</f>
        <v>BLUE</v>
      </c>
      <c r="G5237" s="20" t="str">
        <f>IFERROR(__xludf.DUMMYFUNCTION("""COMPUTED_VALUE"""),"Uncle Sams Cider (04/04/2023)")</f>
        <v>Uncle Sams Cider (04/04/2023)</v>
      </c>
      <c r="H5237" s="19"/>
    </row>
    <row r="5238">
      <c r="A5238" s="9"/>
      <c r="B5238" s="15"/>
      <c r="C5238" s="9">
        <f>IFERROR(__xludf.DUMMYFUNCTION("""COMPUTED_VALUE"""),45089.5985556713)</f>
        <v>45089.59856</v>
      </c>
      <c r="D5238" s="15">
        <f>IFERROR(__xludf.DUMMYFUNCTION("""COMPUTED_VALUE"""),1.004)</f>
        <v>1.004</v>
      </c>
      <c r="E5238" s="16">
        <f>IFERROR(__xludf.DUMMYFUNCTION("""COMPUTED_VALUE"""),68.0)</f>
        <v>68</v>
      </c>
      <c r="F5238" s="19" t="str">
        <f>IFERROR(__xludf.DUMMYFUNCTION("""COMPUTED_VALUE"""),"BLUE")</f>
        <v>BLUE</v>
      </c>
      <c r="G5238" s="20" t="str">
        <f>IFERROR(__xludf.DUMMYFUNCTION("""COMPUTED_VALUE"""),"Uncle Sams Cider (04/04/2023)")</f>
        <v>Uncle Sams Cider (04/04/2023)</v>
      </c>
      <c r="H5238" s="19"/>
    </row>
    <row r="5239">
      <c r="A5239" s="9"/>
      <c r="B5239" s="15"/>
      <c r="C5239" s="9">
        <f>IFERROR(__xludf.DUMMYFUNCTION("""COMPUTED_VALUE"""),45089.5881345601)</f>
        <v>45089.58813</v>
      </c>
      <c r="D5239" s="15">
        <f>IFERROR(__xludf.DUMMYFUNCTION("""COMPUTED_VALUE"""),1.004)</f>
        <v>1.004</v>
      </c>
      <c r="E5239" s="16">
        <f>IFERROR(__xludf.DUMMYFUNCTION("""COMPUTED_VALUE"""),68.0)</f>
        <v>68</v>
      </c>
      <c r="F5239" s="19" t="str">
        <f>IFERROR(__xludf.DUMMYFUNCTION("""COMPUTED_VALUE"""),"BLUE")</f>
        <v>BLUE</v>
      </c>
      <c r="G5239" s="20" t="str">
        <f>IFERROR(__xludf.DUMMYFUNCTION("""COMPUTED_VALUE"""),"Uncle Sams Cider (04/04/2023)")</f>
        <v>Uncle Sams Cider (04/04/2023)</v>
      </c>
      <c r="H5239" s="19"/>
    </row>
    <row r="5240">
      <c r="A5240" s="9"/>
      <c r="B5240" s="15"/>
      <c r="C5240" s="9">
        <f>IFERROR(__xludf.DUMMYFUNCTION("""COMPUTED_VALUE"""),45089.5777133217)</f>
        <v>45089.57771</v>
      </c>
      <c r="D5240" s="15">
        <f>IFERROR(__xludf.DUMMYFUNCTION("""COMPUTED_VALUE"""),1.003)</f>
        <v>1.003</v>
      </c>
      <c r="E5240" s="16">
        <f>IFERROR(__xludf.DUMMYFUNCTION("""COMPUTED_VALUE"""),68.0)</f>
        <v>68</v>
      </c>
      <c r="F5240" s="19" t="str">
        <f>IFERROR(__xludf.DUMMYFUNCTION("""COMPUTED_VALUE"""),"BLUE")</f>
        <v>BLUE</v>
      </c>
      <c r="G5240" s="20" t="str">
        <f>IFERROR(__xludf.DUMMYFUNCTION("""COMPUTED_VALUE"""),"Uncle Sams Cider (04/04/2023)")</f>
        <v>Uncle Sams Cider (04/04/2023)</v>
      </c>
      <c r="H5240" s="19"/>
    </row>
    <row r="5241">
      <c r="A5241" s="9"/>
      <c r="B5241" s="15"/>
      <c r="C5241" s="9">
        <f>IFERROR(__xludf.DUMMYFUNCTION("""COMPUTED_VALUE"""),45089.5672820138)</f>
        <v>45089.56728</v>
      </c>
      <c r="D5241" s="15">
        <f>IFERROR(__xludf.DUMMYFUNCTION("""COMPUTED_VALUE"""),1.003)</f>
        <v>1.003</v>
      </c>
      <c r="E5241" s="16">
        <f>IFERROR(__xludf.DUMMYFUNCTION("""COMPUTED_VALUE"""),68.0)</f>
        <v>68</v>
      </c>
      <c r="F5241" s="19" t="str">
        <f>IFERROR(__xludf.DUMMYFUNCTION("""COMPUTED_VALUE"""),"BLUE")</f>
        <v>BLUE</v>
      </c>
      <c r="G5241" s="20" t="str">
        <f>IFERROR(__xludf.DUMMYFUNCTION("""COMPUTED_VALUE"""),"Uncle Sams Cider (04/04/2023)")</f>
        <v>Uncle Sams Cider (04/04/2023)</v>
      </c>
      <c r="H5241" s="19"/>
    </row>
    <row r="5242">
      <c r="A5242" s="9"/>
      <c r="B5242" s="15"/>
      <c r="C5242" s="9">
        <f>IFERROR(__xludf.DUMMYFUNCTION("""COMPUTED_VALUE"""),45089.5568590393)</f>
        <v>45089.55686</v>
      </c>
      <c r="D5242" s="15">
        <f>IFERROR(__xludf.DUMMYFUNCTION("""COMPUTED_VALUE"""),1.004)</f>
        <v>1.004</v>
      </c>
      <c r="E5242" s="16">
        <f>IFERROR(__xludf.DUMMYFUNCTION("""COMPUTED_VALUE"""),68.0)</f>
        <v>68</v>
      </c>
      <c r="F5242" s="19" t="str">
        <f>IFERROR(__xludf.DUMMYFUNCTION("""COMPUTED_VALUE"""),"BLUE")</f>
        <v>BLUE</v>
      </c>
      <c r="G5242" s="20" t="str">
        <f>IFERROR(__xludf.DUMMYFUNCTION("""COMPUTED_VALUE"""),"Uncle Sams Cider (04/04/2023)")</f>
        <v>Uncle Sams Cider (04/04/2023)</v>
      </c>
      <c r="H5242" s="19"/>
    </row>
    <row r="5243">
      <c r="A5243" s="9"/>
      <c r="B5243" s="15"/>
      <c r="C5243" s="9">
        <f>IFERROR(__xludf.DUMMYFUNCTION("""COMPUTED_VALUE"""),45089.5464375694)</f>
        <v>45089.54644</v>
      </c>
      <c r="D5243" s="15">
        <f>IFERROR(__xludf.DUMMYFUNCTION("""COMPUTED_VALUE"""),1.004)</f>
        <v>1.004</v>
      </c>
      <c r="E5243" s="16">
        <f>IFERROR(__xludf.DUMMYFUNCTION("""COMPUTED_VALUE"""),68.0)</f>
        <v>68</v>
      </c>
      <c r="F5243" s="19" t="str">
        <f>IFERROR(__xludf.DUMMYFUNCTION("""COMPUTED_VALUE"""),"BLUE")</f>
        <v>BLUE</v>
      </c>
      <c r="G5243" s="20" t="str">
        <f>IFERROR(__xludf.DUMMYFUNCTION("""COMPUTED_VALUE"""),"Uncle Sams Cider (04/04/2023)")</f>
        <v>Uncle Sams Cider (04/04/2023)</v>
      </c>
      <c r="H5243" s="19"/>
    </row>
    <row r="5244">
      <c r="A5244" s="9"/>
      <c r="B5244" s="15"/>
      <c r="C5244" s="9">
        <f>IFERROR(__xludf.DUMMYFUNCTION("""COMPUTED_VALUE"""),45089.5255745486)</f>
        <v>45089.52557</v>
      </c>
      <c r="D5244" s="15">
        <f>IFERROR(__xludf.DUMMYFUNCTION("""COMPUTED_VALUE"""),1.003)</f>
        <v>1.003</v>
      </c>
      <c r="E5244" s="16">
        <f>IFERROR(__xludf.DUMMYFUNCTION("""COMPUTED_VALUE"""),68.0)</f>
        <v>68</v>
      </c>
      <c r="F5244" s="19" t="str">
        <f>IFERROR(__xludf.DUMMYFUNCTION("""COMPUTED_VALUE"""),"BLUE")</f>
        <v>BLUE</v>
      </c>
      <c r="G5244" s="20" t="str">
        <f>IFERROR(__xludf.DUMMYFUNCTION("""COMPUTED_VALUE"""),"Uncle Sams Cider (04/04/2023)")</f>
        <v>Uncle Sams Cider (04/04/2023)</v>
      </c>
      <c r="H5244" s="19"/>
    </row>
    <row r="5245">
      <c r="A5245" s="9"/>
      <c r="B5245" s="15"/>
      <c r="C5245" s="9">
        <f>IFERROR(__xludf.DUMMYFUNCTION("""COMPUTED_VALUE"""),45089.5151534259)</f>
        <v>45089.51515</v>
      </c>
      <c r="D5245" s="15">
        <f>IFERROR(__xludf.DUMMYFUNCTION("""COMPUTED_VALUE"""),1.004)</f>
        <v>1.004</v>
      </c>
      <c r="E5245" s="16">
        <f>IFERROR(__xludf.DUMMYFUNCTION("""COMPUTED_VALUE"""),68.0)</f>
        <v>68</v>
      </c>
      <c r="F5245" s="19" t="str">
        <f>IFERROR(__xludf.DUMMYFUNCTION("""COMPUTED_VALUE"""),"BLUE")</f>
        <v>BLUE</v>
      </c>
      <c r="G5245" s="20" t="str">
        <f>IFERROR(__xludf.DUMMYFUNCTION("""COMPUTED_VALUE"""),"Uncle Sams Cider (04/04/2023)")</f>
        <v>Uncle Sams Cider (04/04/2023)</v>
      </c>
      <c r="H5245" s="19"/>
    </row>
    <row r="5246">
      <c r="A5246" s="9"/>
      <c r="B5246" s="15"/>
      <c r="C5246" s="9">
        <f>IFERROR(__xludf.DUMMYFUNCTION("""COMPUTED_VALUE"""),45089.5047318981)</f>
        <v>45089.50473</v>
      </c>
      <c r="D5246" s="15">
        <f>IFERROR(__xludf.DUMMYFUNCTION("""COMPUTED_VALUE"""),1.003)</f>
        <v>1.003</v>
      </c>
      <c r="E5246" s="16">
        <f>IFERROR(__xludf.DUMMYFUNCTION("""COMPUTED_VALUE"""),68.0)</f>
        <v>68</v>
      </c>
      <c r="F5246" s="19" t="str">
        <f>IFERROR(__xludf.DUMMYFUNCTION("""COMPUTED_VALUE"""),"BLUE")</f>
        <v>BLUE</v>
      </c>
      <c r="G5246" s="20" t="str">
        <f>IFERROR(__xludf.DUMMYFUNCTION("""COMPUTED_VALUE"""),"Uncle Sams Cider (04/04/2023)")</f>
        <v>Uncle Sams Cider (04/04/2023)</v>
      </c>
      <c r="H5246" s="19"/>
    </row>
    <row r="5247">
      <c r="A5247" s="9"/>
      <c r="B5247" s="15"/>
      <c r="C5247" s="9">
        <f>IFERROR(__xludf.DUMMYFUNCTION("""COMPUTED_VALUE"""),45089.4942994097)</f>
        <v>45089.4943</v>
      </c>
      <c r="D5247" s="15">
        <f>IFERROR(__xludf.DUMMYFUNCTION("""COMPUTED_VALUE"""),1.003)</f>
        <v>1.003</v>
      </c>
      <c r="E5247" s="16">
        <f>IFERROR(__xludf.DUMMYFUNCTION("""COMPUTED_VALUE"""),68.0)</f>
        <v>68</v>
      </c>
      <c r="F5247" s="19" t="str">
        <f>IFERROR(__xludf.DUMMYFUNCTION("""COMPUTED_VALUE"""),"BLUE")</f>
        <v>BLUE</v>
      </c>
      <c r="G5247" s="20" t="str">
        <f>IFERROR(__xludf.DUMMYFUNCTION("""COMPUTED_VALUE"""),"Uncle Sams Cider (04/04/2023)")</f>
        <v>Uncle Sams Cider (04/04/2023)</v>
      </c>
      <c r="H5247" s="19"/>
    </row>
    <row r="5248">
      <c r="A5248" s="9"/>
      <c r="B5248" s="15"/>
      <c r="C5248" s="9">
        <f>IFERROR(__xludf.DUMMYFUNCTION("""COMPUTED_VALUE"""),45089.4838670138)</f>
        <v>45089.48387</v>
      </c>
      <c r="D5248" s="15">
        <f>IFERROR(__xludf.DUMMYFUNCTION("""COMPUTED_VALUE"""),1.003)</f>
        <v>1.003</v>
      </c>
      <c r="E5248" s="16">
        <f>IFERROR(__xludf.DUMMYFUNCTION("""COMPUTED_VALUE"""),68.0)</f>
        <v>68</v>
      </c>
      <c r="F5248" s="19" t="str">
        <f>IFERROR(__xludf.DUMMYFUNCTION("""COMPUTED_VALUE"""),"BLUE")</f>
        <v>BLUE</v>
      </c>
      <c r="G5248" s="20" t="str">
        <f>IFERROR(__xludf.DUMMYFUNCTION("""COMPUTED_VALUE"""),"Uncle Sams Cider (04/04/2023)")</f>
        <v>Uncle Sams Cider (04/04/2023)</v>
      </c>
      <c r="H5248" s="19"/>
    </row>
    <row r="5249">
      <c r="A5249" s="9"/>
      <c r="B5249" s="15"/>
      <c r="C5249" s="9">
        <f>IFERROR(__xludf.DUMMYFUNCTION("""COMPUTED_VALUE"""),45089.4734460185)</f>
        <v>45089.47345</v>
      </c>
      <c r="D5249" s="15">
        <f>IFERROR(__xludf.DUMMYFUNCTION("""COMPUTED_VALUE"""),1.004)</f>
        <v>1.004</v>
      </c>
      <c r="E5249" s="16">
        <f>IFERROR(__xludf.DUMMYFUNCTION("""COMPUTED_VALUE"""),68.0)</f>
        <v>68</v>
      </c>
      <c r="F5249" s="19" t="str">
        <f>IFERROR(__xludf.DUMMYFUNCTION("""COMPUTED_VALUE"""),"BLUE")</f>
        <v>BLUE</v>
      </c>
      <c r="G5249" s="20" t="str">
        <f>IFERROR(__xludf.DUMMYFUNCTION("""COMPUTED_VALUE"""),"Uncle Sams Cider (04/04/2023)")</f>
        <v>Uncle Sams Cider (04/04/2023)</v>
      </c>
      <c r="H5249" s="19"/>
    </row>
    <row r="5250">
      <c r="A5250" s="9"/>
      <c r="B5250" s="15"/>
      <c r="C5250" s="9">
        <f>IFERROR(__xludf.DUMMYFUNCTION("""COMPUTED_VALUE"""),45089.46302478)</f>
        <v>45089.46302</v>
      </c>
      <c r="D5250" s="15">
        <f>IFERROR(__xludf.DUMMYFUNCTION("""COMPUTED_VALUE"""),1.003)</f>
        <v>1.003</v>
      </c>
      <c r="E5250" s="16">
        <f>IFERROR(__xludf.DUMMYFUNCTION("""COMPUTED_VALUE"""),68.0)</f>
        <v>68</v>
      </c>
      <c r="F5250" s="19" t="str">
        <f>IFERROR(__xludf.DUMMYFUNCTION("""COMPUTED_VALUE"""),"BLUE")</f>
        <v>BLUE</v>
      </c>
      <c r="G5250" s="20" t="str">
        <f>IFERROR(__xludf.DUMMYFUNCTION("""COMPUTED_VALUE"""),"Uncle Sams Cider (04/04/2023)")</f>
        <v>Uncle Sams Cider (04/04/2023)</v>
      </c>
      <c r="H5250" s="19"/>
    </row>
    <row r="5251">
      <c r="A5251" s="9"/>
      <c r="B5251" s="15"/>
      <c r="C5251" s="9">
        <f>IFERROR(__xludf.DUMMYFUNCTION("""COMPUTED_VALUE"""),45089.4526021643)</f>
        <v>45089.4526</v>
      </c>
      <c r="D5251" s="15">
        <f>IFERROR(__xludf.DUMMYFUNCTION("""COMPUTED_VALUE"""),1.004)</f>
        <v>1.004</v>
      </c>
      <c r="E5251" s="16">
        <f>IFERROR(__xludf.DUMMYFUNCTION("""COMPUTED_VALUE"""),68.0)</f>
        <v>68</v>
      </c>
      <c r="F5251" s="19" t="str">
        <f>IFERROR(__xludf.DUMMYFUNCTION("""COMPUTED_VALUE"""),"BLUE")</f>
        <v>BLUE</v>
      </c>
      <c r="G5251" s="20" t="str">
        <f>IFERROR(__xludf.DUMMYFUNCTION("""COMPUTED_VALUE"""),"Uncle Sams Cider (04/04/2023)")</f>
        <v>Uncle Sams Cider (04/04/2023)</v>
      </c>
      <c r="H5251" s="19"/>
    </row>
    <row r="5252">
      <c r="A5252" s="9"/>
      <c r="B5252" s="15"/>
      <c r="C5252" s="9">
        <f>IFERROR(__xludf.DUMMYFUNCTION("""COMPUTED_VALUE"""),45089.4421798958)</f>
        <v>45089.44218</v>
      </c>
      <c r="D5252" s="15">
        <f>IFERROR(__xludf.DUMMYFUNCTION("""COMPUTED_VALUE"""),1.003)</f>
        <v>1.003</v>
      </c>
      <c r="E5252" s="16">
        <f>IFERROR(__xludf.DUMMYFUNCTION("""COMPUTED_VALUE"""),68.0)</f>
        <v>68</v>
      </c>
      <c r="F5252" s="19" t="str">
        <f>IFERROR(__xludf.DUMMYFUNCTION("""COMPUTED_VALUE"""),"BLUE")</f>
        <v>BLUE</v>
      </c>
      <c r="G5252" s="20" t="str">
        <f>IFERROR(__xludf.DUMMYFUNCTION("""COMPUTED_VALUE"""),"Uncle Sams Cider (04/04/2023)")</f>
        <v>Uncle Sams Cider (04/04/2023)</v>
      </c>
      <c r="H5252" s="19"/>
    </row>
    <row r="5253">
      <c r="A5253" s="9"/>
      <c r="B5253" s="15"/>
      <c r="C5253" s="9">
        <f>IFERROR(__xludf.DUMMYFUNCTION("""COMPUTED_VALUE"""),45089.431747743)</f>
        <v>45089.43175</v>
      </c>
      <c r="D5253" s="15">
        <f>IFERROR(__xludf.DUMMYFUNCTION("""COMPUTED_VALUE"""),1.004)</f>
        <v>1.004</v>
      </c>
      <c r="E5253" s="16">
        <f>IFERROR(__xludf.DUMMYFUNCTION("""COMPUTED_VALUE"""),68.0)</f>
        <v>68</v>
      </c>
      <c r="F5253" s="19" t="str">
        <f>IFERROR(__xludf.DUMMYFUNCTION("""COMPUTED_VALUE"""),"BLUE")</f>
        <v>BLUE</v>
      </c>
      <c r="G5253" s="20" t="str">
        <f>IFERROR(__xludf.DUMMYFUNCTION("""COMPUTED_VALUE"""),"Uncle Sams Cider (04/04/2023)")</f>
        <v>Uncle Sams Cider (04/04/2023)</v>
      </c>
      <c r="H5253" s="19"/>
    </row>
    <row r="5254">
      <c r="A5254" s="9"/>
      <c r="B5254" s="15"/>
      <c r="C5254" s="9">
        <f>IFERROR(__xludf.DUMMYFUNCTION("""COMPUTED_VALUE"""),45089.4213151504)</f>
        <v>45089.42132</v>
      </c>
      <c r="D5254" s="15">
        <f>IFERROR(__xludf.DUMMYFUNCTION("""COMPUTED_VALUE"""),1.003)</f>
        <v>1.003</v>
      </c>
      <c r="E5254" s="16">
        <f>IFERROR(__xludf.DUMMYFUNCTION("""COMPUTED_VALUE"""),68.0)</f>
        <v>68</v>
      </c>
      <c r="F5254" s="19" t="str">
        <f>IFERROR(__xludf.DUMMYFUNCTION("""COMPUTED_VALUE"""),"BLUE")</f>
        <v>BLUE</v>
      </c>
      <c r="G5254" s="20" t="str">
        <f>IFERROR(__xludf.DUMMYFUNCTION("""COMPUTED_VALUE"""),"Uncle Sams Cider (04/04/2023)")</f>
        <v>Uncle Sams Cider (04/04/2023)</v>
      </c>
      <c r="H5254" s="19"/>
    </row>
    <row r="5255">
      <c r="A5255" s="9"/>
      <c r="B5255" s="15"/>
      <c r="C5255" s="9">
        <f>IFERROR(__xludf.DUMMYFUNCTION("""COMPUTED_VALUE"""),45089.4108831828)</f>
        <v>45089.41088</v>
      </c>
      <c r="D5255" s="15">
        <f>IFERROR(__xludf.DUMMYFUNCTION("""COMPUTED_VALUE"""),1.003)</f>
        <v>1.003</v>
      </c>
      <c r="E5255" s="16">
        <f>IFERROR(__xludf.DUMMYFUNCTION("""COMPUTED_VALUE"""),68.0)</f>
        <v>68</v>
      </c>
      <c r="F5255" s="19" t="str">
        <f>IFERROR(__xludf.DUMMYFUNCTION("""COMPUTED_VALUE"""),"BLUE")</f>
        <v>BLUE</v>
      </c>
      <c r="G5255" s="20" t="str">
        <f>IFERROR(__xludf.DUMMYFUNCTION("""COMPUTED_VALUE"""),"Uncle Sams Cider (04/04/2023)")</f>
        <v>Uncle Sams Cider (04/04/2023)</v>
      </c>
      <c r="H5255" s="19"/>
    </row>
    <row r="5256">
      <c r="A5256" s="9"/>
      <c r="B5256" s="15"/>
      <c r="C5256" s="9">
        <f>IFERROR(__xludf.DUMMYFUNCTION("""COMPUTED_VALUE"""),45089.4004629166)</f>
        <v>45089.40046</v>
      </c>
      <c r="D5256" s="15">
        <f>IFERROR(__xludf.DUMMYFUNCTION("""COMPUTED_VALUE"""),1.004)</f>
        <v>1.004</v>
      </c>
      <c r="E5256" s="16">
        <f>IFERROR(__xludf.DUMMYFUNCTION("""COMPUTED_VALUE"""),68.0)</f>
        <v>68</v>
      </c>
      <c r="F5256" s="19" t="str">
        <f>IFERROR(__xludf.DUMMYFUNCTION("""COMPUTED_VALUE"""),"BLUE")</f>
        <v>BLUE</v>
      </c>
      <c r="G5256" s="20" t="str">
        <f>IFERROR(__xludf.DUMMYFUNCTION("""COMPUTED_VALUE"""),"Uncle Sams Cider (04/04/2023)")</f>
        <v>Uncle Sams Cider (04/04/2023)</v>
      </c>
      <c r="H5256" s="19"/>
    </row>
    <row r="5257">
      <c r="A5257" s="9"/>
      <c r="B5257" s="15"/>
      <c r="C5257" s="9">
        <f>IFERROR(__xludf.DUMMYFUNCTION("""COMPUTED_VALUE"""),45089.3900423611)</f>
        <v>45089.39004</v>
      </c>
      <c r="D5257" s="15">
        <f>IFERROR(__xludf.DUMMYFUNCTION("""COMPUTED_VALUE"""),1.003)</f>
        <v>1.003</v>
      </c>
      <c r="E5257" s="16">
        <f>IFERROR(__xludf.DUMMYFUNCTION("""COMPUTED_VALUE"""),68.0)</f>
        <v>68</v>
      </c>
      <c r="F5257" s="19" t="str">
        <f>IFERROR(__xludf.DUMMYFUNCTION("""COMPUTED_VALUE"""),"BLUE")</f>
        <v>BLUE</v>
      </c>
      <c r="G5257" s="20" t="str">
        <f>IFERROR(__xludf.DUMMYFUNCTION("""COMPUTED_VALUE"""),"Uncle Sams Cider (04/04/2023)")</f>
        <v>Uncle Sams Cider (04/04/2023)</v>
      </c>
      <c r="H5257" s="19"/>
    </row>
    <row r="5258">
      <c r="A5258" s="9"/>
      <c r="B5258" s="15"/>
      <c r="C5258" s="9">
        <f>IFERROR(__xludf.DUMMYFUNCTION("""COMPUTED_VALUE"""),45089.3795974537)</f>
        <v>45089.3796</v>
      </c>
      <c r="D5258" s="15">
        <f>IFERROR(__xludf.DUMMYFUNCTION("""COMPUTED_VALUE"""),1.003)</f>
        <v>1.003</v>
      </c>
      <c r="E5258" s="16">
        <f>IFERROR(__xludf.DUMMYFUNCTION("""COMPUTED_VALUE"""),68.0)</f>
        <v>68</v>
      </c>
      <c r="F5258" s="19" t="str">
        <f>IFERROR(__xludf.DUMMYFUNCTION("""COMPUTED_VALUE"""),"BLUE")</f>
        <v>BLUE</v>
      </c>
      <c r="G5258" s="20" t="str">
        <f>IFERROR(__xludf.DUMMYFUNCTION("""COMPUTED_VALUE"""),"Uncle Sams Cider (04/04/2023)")</f>
        <v>Uncle Sams Cider (04/04/2023)</v>
      </c>
      <c r="H5258" s="19"/>
    </row>
    <row r="5259">
      <c r="A5259" s="9"/>
      <c r="B5259" s="15"/>
      <c r="C5259" s="9">
        <f>IFERROR(__xludf.DUMMYFUNCTION("""COMPUTED_VALUE"""),45089.3691765162)</f>
        <v>45089.36918</v>
      </c>
      <c r="D5259" s="15">
        <f>IFERROR(__xludf.DUMMYFUNCTION("""COMPUTED_VALUE"""),1.004)</f>
        <v>1.004</v>
      </c>
      <c r="E5259" s="16">
        <f>IFERROR(__xludf.DUMMYFUNCTION("""COMPUTED_VALUE"""),68.0)</f>
        <v>68</v>
      </c>
      <c r="F5259" s="19" t="str">
        <f>IFERROR(__xludf.DUMMYFUNCTION("""COMPUTED_VALUE"""),"BLUE")</f>
        <v>BLUE</v>
      </c>
      <c r="G5259" s="20" t="str">
        <f>IFERROR(__xludf.DUMMYFUNCTION("""COMPUTED_VALUE"""),"Uncle Sams Cider (04/04/2023)")</f>
        <v>Uncle Sams Cider (04/04/2023)</v>
      </c>
      <c r="H5259" s="19"/>
    </row>
    <row r="5260">
      <c r="A5260" s="9"/>
      <c r="B5260" s="15"/>
      <c r="C5260" s="9">
        <f>IFERROR(__xludf.DUMMYFUNCTION("""COMPUTED_VALUE"""),45089.3587533217)</f>
        <v>45089.35875</v>
      </c>
      <c r="D5260" s="15">
        <f>IFERROR(__xludf.DUMMYFUNCTION("""COMPUTED_VALUE"""),1.003)</f>
        <v>1.003</v>
      </c>
      <c r="E5260" s="16">
        <f>IFERROR(__xludf.DUMMYFUNCTION("""COMPUTED_VALUE"""),68.0)</f>
        <v>68</v>
      </c>
      <c r="F5260" s="19" t="str">
        <f>IFERROR(__xludf.DUMMYFUNCTION("""COMPUTED_VALUE"""),"BLUE")</f>
        <v>BLUE</v>
      </c>
      <c r="G5260" s="20" t="str">
        <f>IFERROR(__xludf.DUMMYFUNCTION("""COMPUTED_VALUE"""),"Uncle Sams Cider (04/04/2023)")</f>
        <v>Uncle Sams Cider (04/04/2023)</v>
      </c>
      <c r="H5260" s="19"/>
    </row>
    <row r="5261">
      <c r="A5261" s="9"/>
      <c r="B5261" s="15"/>
      <c r="C5261" s="9">
        <f>IFERROR(__xludf.DUMMYFUNCTION("""COMPUTED_VALUE"""),45089.3483329629)</f>
        <v>45089.34833</v>
      </c>
      <c r="D5261" s="15">
        <f>IFERROR(__xludf.DUMMYFUNCTION("""COMPUTED_VALUE"""),1.003)</f>
        <v>1.003</v>
      </c>
      <c r="E5261" s="16">
        <f>IFERROR(__xludf.DUMMYFUNCTION("""COMPUTED_VALUE"""),68.0)</f>
        <v>68</v>
      </c>
      <c r="F5261" s="19" t="str">
        <f>IFERROR(__xludf.DUMMYFUNCTION("""COMPUTED_VALUE"""),"BLUE")</f>
        <v>BLUE</v>
      </c>
      <c r="G5261" s="20" t="str">
        <f>IFERROR(__xludf.DUMMYFUNCTION("""COMPUTED_VALUE"""),"Uncle Sams Cider (04/04/2023)")</f>
        <v>Uncle Sams Cider (04/04/2023)</v>
      </c>
      <c r="H5261" s="19"/>
    </row>
    <row r="5262">
      <c r="A5262" s="9"/>
      <c r="B5262" s="15"/>
      <c r="C5262" s="9">
        <f>IFERROR(__xludf.DUMMYFUNCTION("""COMPUTED_VALUE"""),45089.3379124768)</f>
        <v>45089.33791</v>
      </c>
      <c r="D5262" s="15">
        <f>IFERROR(__xludf.DUMMYFUNCTION("""COMPUTED_VALUE"""),1.004)</f>
        <v>1.004</v>
      </c>
      <c r="E5262" s="16">
        <f>IFERROR(__xludf.DUMMYFUNCTION("""COMPUTED_VALUE"""),68.0)</f>
        <v>68</v>
      </c>
      <c r="F5262" s="19" t="str">
        <f>IFERROR(__xludf.DUMMYFUNCTION("""COMPUTED_VALUE"""),"BLUE")</f>
        <v>BLUE</v>
      </c>
      <c r="G5262" s="20" t="str">
        <f>IFERROR(__xludf.DUMMYFUNCTION("""COMPUTED_VALUE"""),"Uncle Sams Cider (04/04/2023)")</f>
        <v>Uncle Sams Cider (04/04/2023)</v>
      </c>
      <c r="H5262" s="19"/>
    </row>
    <row r="5263">
      <c r="A5263" s="9"/>
      <c r="B5263" s="15"/>
      <c r="C5263" s="9">
        <f>IFERROR(__xludf.DUMMYFUNCTION("""COMPUTED_VALUE"""),45089.3274930671)</f>
        <v>45089.32749</v>
      </c>
      <c r="D5263" s="15">
        <f>IFERROR(__xludf.DUMMYFUNCTION("""COMPUTED_VALUE"""),1.004)</f>
        <v>1.004</v>
      </c>
      <c r="E5263" s="16">
        <f>IFERROR(__xludf.DUMMYFUNCTION("""COMPUTED_VALUE"""),68.0)</f>
        <v>68</v>
      </c>
      <c r="F5263" s="19" t="str">
        <f>IFERROR(__xludf.DUMMYFUNCTION("""COMPUTED_VALUE"""),"BLUE")</f>
        <v>BLUE</v>
      </c>
      <c r="G5263" s="20" t="str">
        <f>IFERROR(__xludf.DUMMYFUNCTION("""COMPUTED_VALUE"""),"Uncle Sams Cider (04/04/2023)")</f>
        <v>Uncle Sams Cider (04/04/2023)</v>
      </c>
      <c r="H5263" s="19"/>
    </row>
    <row r="5264">
      <c r="A5264" s="9"/>
      <c r="B5264" s="15"/>
      <c r="C5264" s="9">
        <f>IFERROR(__xludf.DUMMYFUNCTION("""COMPUTED_VALUE"""),45089.3170703819)</f>
        <v>45089.31707</v>
      </c>
      <c r="D5264" s="15">
        <f>IFERROR(__xludf.DUMMYFUNCTION("""COMPUTED_VALUE"""),1.003)</f>
        <v>1.003</v>
      </c>
      <c r="E5264" s="16">
        <f>IFERROR(__xludf.DUMMYFUNCTION("""COMPUTED_VALUE"""),68.0)</f>
        <v>68</v>
      </c>
      <c r="F5264" s="19" t="str">
        <f>IFERROR(__xludf.DUMMYFUNCTION("""COMPUTED_VALUE"""),"BLUE")</f>
        <v>BLUE</v>
      </c>
      <c r="G5264" s="20" t="str">
        <f>IFERROR(__xludf.DUMMYFUNCTION("""COMPUTED_VALUE"""),"Uncle Sams Cider (04/04/2023)")</f>
        <v>Uncle Sams Cider (04/04/2023)</v>
      </c>
      <c r="H5264" s="19"/>
    </row>
    <row r="5265">
      <c r="A5265" s="9"/>
      <c r="B5265" s="15"/>
      <c r="C5265" s="9">
        <f>IFERROR(__xludf.DUMMYFUNCTION("""COMPUTED_VALUE"""),45089.3066490856)</f>
        <v>45089.30665</v>
      </c>
      <c r="D5265" s="15">
        <f>IFERROR(__xludf.DUMMYFUNCTION("""COMPUTED_VALUE"""),1.004)</f>
        <v>1.004</v>
      </c>
      <c r="E5265" s="16">
        <f>IFERROR(__xludf.DUMMYFUNCTION("""COMPUTED_VALUE"""),68.0)</f>
        <v>68</v>
      </c>
      <c r="F5265" s="19" t="str">
        <f>IFERROR(__xludf.DUMMYFUNCTION("""COMPUTED_VALUE"""),"BLUE")</f>
        <v>BLUE</v>
      </c>
      <c r="G5265" s="20" t="str">
        <f>IFERROR(__xludf.DUMMYFUNCTION("""COMPUTED_VALUE"""),"Uncle Sams Cider (04/04/2023)")</f>
        <v>Uncle Sams Cider (04/04/2023)</v>
      </c>
      <c r="H5265" s="19"/>
    </row>
    <row r="5266">
      <c r="A5266" s="9"/>
      <c r="B5266" s="15"/>
      <c r="C5266" s="9">
        <f>IFERROR(__xludf.DUMMYFUNCTION("""COMPUTED_VALUE"""),45089.296217037)</f>
        <v>45089.29622</v>
      </c>
      <c r="D5266" s="15">
        <f>IFERROR(__xludf.DUMMYFUNCTION("""COMPUTED_VALUE"""),1.003)</f>
        <v>1.003</v>
      </c>
      <c r="E5266" s="16">
        <f>IFERROR(__xludf.DUMMYFUNCTION("""COMPUTED_VALUE"""),67.0)</f>
        <v>67</v>
      </c>
      <c r="F5266" s="19" t="str">
        <f>IFERROR(__xludf.DUMMYFUNCTION("""COMPUTED_VALUE"""),"BLUE")</f>
        <v>BLUE</v>
      </c>
      <c r="G5266" s="20" t="str">
        <f>IFERROR(__xludf.DUMMYFUNCTION("""COMPUTED_VALUE"""),"Uncle Sams Cider (04/04/2023)")</f>
        <v>Uncle Sams Cider (04/04/2023)</v>
      </c>
      <c r="H5266" s="19"/>
    </row>
    <row r="5267">
      <c r="A5267" s="9"/>
      <c r="B5267" s="15"/>
      <c r="C5267" s="9">
        <f>IFERROR(__xludf.DUMMYFUNCTION("""COMPUTED_VALUE"""),45089.2857959953)</f>
        <v>45089.2858</v>
      </c>
      <c r="D5267" s="15">
        <f>IFERROR(__xludf.DUMMYFUNCTION("""COMPUTED_VALUE"""),1.003)</f>
        <v>1.003</v>
      </c>
      <c r="E5267" s="16">
        <f>IFERROR(__xludf.DUMMYFUNCTION("""COMPUTED_VALUE"""),68.0)</f>
        <v>68</v>
      </c>
      <c r="F5267" s="19" t="str">
        <f>IFERROR(__xludf.DUMMYFUNCTION("""COMPUTED_VALUE"""),"BLUE")</f>
        <v>BLUE</v>
      </c>
      <c r="G5267" s="20" t="str">
        <f>IFERROR(__xludf.DUMMYFUNCTION("""COMPUTED_VALUE"""),"Uncle Sams Cider (04/04/2023)")</f>
        <v>Uncle Sams Cider (04/04/2023)</v>
      </c>
      <c r="H5267" s="19"/>
    </row>
    <row r="5268">
      <c r="A5268" s="9"/>
      <c r="B5268" s="15"/>
      <c r="C5268" s="9">
        <f>IFERROR(__xludf.DUMMYFUNCTION("""COMPUTED_VALUE"""),45089.2753624768)</f>
        <v>45089.27536</v>
      </c>
      <c r="D5268" s="15">
        <f>IFERROR(__xludf.DUMMYFUNCTION("""COMPUTED_VALUE"""),1.003)</f>
        <v>1.003</v>
      </c>
      <c r="E5268" s="16">
        <f>IFERROR(__xludf.DUMMYFUNCTION("""COMPUTED_VALUE"""),68.0)</f>
        <v>68</v>
      </c>
      <c r="F5268" s="19" t="str">
        <f>IFERROR(__xludf.DUMMYFUNCTION("""COMPUTED_VALUE"""),"BLUE")</f>
        <v>BLUE</v>
      </c>
      <c r="G5268" s="20" t="str">
        <f>IFERROR(__xludf.DUMMYFUNCTION("""COMPUTED_VALUE"""),"Uncle Sams Cider (04/04/2023)")</f>
        <v>Uncle Sams Cider (04/04/2023)</v>
      </c>
      <c r="H5268" s="19"/>
    </row>
    <row r="5269">
      <c r="A5269" s="9"/>
      <c r="B5269" s="15"/>
      <c r="C5269" s="9">
        <f>IFERROR(__xludf.DUMMYFUNCTION("""COMPUTED_VALUE"""),45089.2649424652)</f>
        <v>45089.26494</v>
      </c>
      <c r="D5269" s="15">
        <f>IFERROR(__xludf.DUMMYFUNCTION("""COMPUTED_VALUE"""),1.004)</f>
        <v>1.004</v>
      </c>
      <c r="E5269" s="16">
        <f>IFERROR(__xludf.DUMMYFUNCTION("""COMPUTED_VALUE"""),68.0)</f>
        <v>68</v>
      </c>
      <c r="F5269" s="19" t="str">
        <f>IFERROR(__xludf.DUMMYFUNCTION("""COMPUTED_VALUE"""),"BLUE")</f>
        <v>BLUE</v>
      </c>
      <c r="G5269" s="20" t="str">
        <f>IFERROR(__xludf.DUMMYFUNCTION("""COMPUTED_VALUE"""),"Uncle Sams Cider (04/04/2023)")</f>
        <v>Uncle Sams Cider (04/04/2023)</v>
      </c>
      <c r="H5269" s="19"/>
    </row>
    <row r="5270">
      <c r="A5270" s="9"/>
      <c r="B5270" s="15"/>
      <c r="C5270" s="9">
        <f>IFERROR(__xludf.DUMMYFUNCTION("""COMPUTED_VALUE"""),45089.2545209259)</f>
        <v>45089.25452</v>
      </c>
      <c r="D5270" s="15">
        <f>IFERROR(__xludf.DUMMYFUNCTION("""COMPUTED_VALUE"""),1.004)</f>
        <v>1.004</v>
      </c>
      <c r="E5270" s="16">
        <f>IFERROR(__xludf.DUMMYFUNCTION("""COMPUTED_VALUE"""),68.0)</f>
        <v>68</v>
      </c>
      <c r="F5270" s="19" t="str">
        <f>IFERROR(__xludf.DUMMYFUNCTION("""COMPUTED_VALUE"""),"BLUE")</f>
        <v>BLUE</v>
      </c>
      <c r="G5270" s="20" t="str">
        <f>IFERROR(__xludf.DUMMYFUNCTION("""COMPUTED_VALUE"""),"Uncle Sams Cider (04/04/2023)")</f>
        <v>Uncle Sams Cider (04/04/2023)</v>
      </c>
      <c r="H5270" s="19"/>
    </row>
    <row r="5271">
      <c r="A5271" s="9"/>
      <c r="B5271" s="15"/>
      <c r="C5271" s="9">
        <f>IFERROR(__xludf.DUMMYFUNCTION("""COMPUTED_VALUE"""),45089.2441004745)</f>
        <v>45089.2441</v>
      </c>
      <c r="D5271" s="15">
        <f>IFERROR(__xludf.DUMMYFUNCTION("""COMPUTED_VALUE"""),1.004)</f>
        <v>1.004</v>
      </c>
      <c r="E5271" s="16">
        <f>IFERROR(__xludf.DUMMYFUNCTION("""COMPUTED_VALUE"""),67.0)</f>
        <v>67</v>
      </c>
      <c r="F5271" s="19" t="str">
        <f>IFERROR(__xludf.DUMMYFUNCTION("""COMPUTED_VALUE"""),"BLUE")</f>
        <v>BLUE</v>
      </c>
      <c r="G5271" s="20" t="str">
        <f>IFERROR(__xludf.DUMMYFUNCTION("""COMPUTED_VALUE"""),"Uncle Sams Cider (04/04/2023)")</f>
        <v>Uncle Sams Cider (04/04/2023)</v>
      </c>
      <c r="H5271" s="19"/>
    </row>
    <row r="5272">
      <c r="A5272" s="9"/>
      <c r="B5272" s="15"/>
      <c r="C5272" s="9">
        <f>IFERROR(__xludf.DUMMYFUNCTION("""COMPUTED_VALUE"""),45089.2336798726)</f>
        <v>45089.23368</v>
      </c>
      <c r="D5272" s="15">
        <f>IFERROR(__xludf.DUMMYFUNCTION("""COMPUTED_VALUE"""),1.004)</f>
        <v>1.004</v>
      </c>
      <c r="E5272" s="16">
        <f>IFERROR(__xludf.DUMMYFUNCTION("""COMPUTED_VALUE"""),67.0)</f>
        <v>67</v>
      </c>
      <c r="F5272" s="19" t="str">
        <f>IFERROR(__xludf.DUMMYFUNCTION("""COMPUTED_VALUE"""),"BLUE")</f>
        <v>BLUE</v>
      </c>
      <c r="G5272" s="20" t="str">
        <f>IFERROR(__xludf.DUMMYFUNCTION("""COMPUTED_VALUE"""),"Uncle Sams Cider (04/04/2023)")</f>
        <v>Uncle Sams Cider (04/04/2023)</v>
      </c>
      <c r="H5272" s="19"/>
    </row>
    <row r="5273">
      <c r="A5273" s="9"/>
      <c r="B5273" s="15"/>
      <c r="C5273" s="9">
        <f>IFERROR(__xludf.DUMMYFUNCTION("""COMPUTED_VALUE"""),45089.2232580439)</f>
        <v>45089.22326</v>
      </c>
      <c r="D5273" s="15">
        <f>IFERROR(__xludf.DUMMYFUNCTION("""COMPUTED_VALUE"""),1.004)</f>
        <v>1.004</v>
      </c>
      <c r="E5273" s="16">
        <f>IFERROR(__xludf.DUMMYFUNCTION("""COMPUTED_VALUE"""),67.0)</f>
        <v>67</v>
      </c>
      <c r="F5273" s="19" t="str">
        <f>IFERROR(__xludf.DUMMYFUNCTION("""COMPUTED_VALUE"""),"BLUE")</f>
        <v>BLUE</v>
      </c>
      <c r="G5273" s="20" t="str">
        <f>IFERROR(__xludf.DUMMYFUNCTION("""COMPUTED_VALUE"""),"Uncle Sams Cider (04/04/2023)")</f>
        <v>Uncle Sams Cider (04/04/2023)</v>
      </c>
      <c r="H5273" s="19"/>
    </row>
    <row r="5274">
      <c r="A5274" s="9"/>
      <c r="B5274" s="15"/>
      <c r="C5274" s="9">
        <f>IFERROR(__xludf.DUMMYFUNCTION("""COMPUTED_VALUE"""),45089.2128247916)</f>
        <v>45089.21282</v>
      </c>
      <c r="D5274" s="15">
        <f>IFERROR(__xludf.DUMMYFUNCTION("""COMPUTED_VALUE"""),1.004)</f>
        <v>1.004</v>
      </c>
      <c r="E5274" s="16">
        <f>IFERROR(__xludf.DUMMYFUNCTION("""COMPUTED_VALUE"""),67.0)</f>
        <v>67</v>
      </c>
      <c r="F5274" s="19" t="str">
        <f>IFERROR(__xludf.DUMMYFUNCTION("""COMPUTED_VALUE"""),"BLUE")</f>
        <v>BLUE</v>
      </c>
      <c r="G5274" s="20" t="str">
        <f>IFERROR(__xludf.DUMMYFUNCTION("""COMPUTED_VALUE"""),"Uncle Sams Cider (04/04/2023)")</f>
        <v>Uncle Sams Cider (04/04/2023)</v>
      </c>
      <c r="H5274" s="19"/>
    </row>
    <row r="5275">
      <c r="A5275" s="9"/>
      <c r="B5275" s="15"/>
      <c r="C5275" s="9">
        <f>IFERROR(__xludf.DUMMYFUNCTION("""COMPUTED_VALUE"""),45089.2024040277)</f>
        <v>45089.2024</v>
      </c>
      <c r="D5275" s="15">
        <f>IFERROR(__xludf.DUMMYFUNCTION("""COMPUTED_VALUE"""),1.003)</f>
        <v>1.003</v>
      </c>
      <c r="E5275" s="16">
        <f>IFERROR(__xludf.DUMMYFUNCTION("""COMPUTED_VALUE"""),68.0)</f>
        <v>68</v>
      </c>
      <c r="F5275" s="19" t="str">
        <f>IFERROR(__xludf.DUMMYFUNCTION("""COMPUTED_VALUE"""),"BLUE")</f>
        <v>BLUE</v>
      </c>
      <c r="G5275" s="20" t="str">
        <f>IFERROR(__xludf.DUMMYFUNCTION("""COMPUTED_VALUE"""),"Uncle Sams Cider (04/04/2023)")</f>
        <v>Uncle Sams Cider (04/04/2023)</v>
      </c>
      <c r="H5275" s="19"/>
    </row>
    <row r="5276">
      <c r="A5276" s="9"/>
      <c r="B5276" s="15"/>
      <c r="C5276" s="9">
        <f>IFERROR(__xludf.DUMMYFUNCTION("""COMPUTED_VALUE"""),45089.1815625463)</f>
        <v>45089.18156</v>
      </c>
      <c r="D5276" s="15">
        <f>IFERROR(__xludf.DUMMYFUNCTION("""COMPUTED_VALUE"""),1.004)</f>
        <v>1.004</v>
      </c>
      <c r="E5276" s="16">
        <f>IFERROR(__xludf.DUMMYFUNCTION("""COMPUTED_VALUE"""),67.0)</f>
        <v>67</v>
      </c>
      <c r="F5276" s="19" t="str">
        <f>IFERROR(__xludf.DUMMYFUNCTION("""COMPUTED_VALUE"""),"BLUE")</f>
        <v>BLUE</v>
      </c>
      <c r="G5276" s="20" t="str">
        <f>IFERROR(__xludf.DUMMYFUNCTION("""COMPUTED_VALUE"""),"Uncle Sams Cider (04/04/2023)")</f>
        <v>Uncle Sams Cider (04/04/2023)</v>
      </c>
      <c r="H5276" s="19"/>
    </row>
    <row r="5277">
      <c r="A5277" s="9"/>
      <c r="B5277" s="15"/>
      <c r="C5277" s="9">
        <f>IFERROR(__xludf.DUMMYFUNCTION("""COMPUTED_VALUE"""),45089.17114228)</f>
        <v>45089.17114</v>
      </c>
      <c r="D5277" s="15">
        <f>IFERROR(__xludf.DUMMYFUNCTION("""COMPUTED_VALUE"""),1.004)</f>
        <v>1.004</v>
      </c>
      <c r="E5277" s="16">
        <f>IFERROR(__xludf.DUMMYFUNCTION("""COMPUTED_VALUE"""),68.0)</f>
        <v>68</v>
      </c>
      <c r="F5277" s="19" t="str">
        <f>IFERROR(__xludf.DUMMYFUNCTION("""COMPUTED_VALUE"""),"BLUE")</f>
        <v>BLUE</v>
      </c>
      <c r="G5277" s="20" t="str">
        <f>IFERROR(__xludf.DUMMYFUNCTION("""COMPUTED_VALUE"""),"Uncle Sams Cider (04/04/2023)")</f>
        <v>Uncle Sams Cider (04/04/2023)</v>
      </c>
      <c r="H5277" s="19"/>
    </row>
    <row r="5278">
      <c r="A5278" s="9"/>
      <c r="B5278" s="15"/>
      <c r="C5278" s="9">
        <f>IFERROR(__xludf.DUMMYFUNCTION("""COMPUTED_VALUE"""),45089.1607226967)</f>
        <v>45089.16072</v>
      </c>
      <c r="D5278" s="15">
        <f>IFERROR(__xludf.DUMMYFUNCTION("""COMPUTED_VALUE"""),1.004)</f>
        <v>1.004</v>
      </c>
      <c r="E5278" s="16">
        <f>IFERROR(__xludf.DUMMYFUNCTION("""COMPUTED_VALUE"""),67.0)</f>
        <v>67</v>
      </c>
      <c r="F5278" s="19" t="str">
        <f>IFERROR(__xludf.DUMMYFUNCTION("""COMPUTED_VALUE"""),"BLUE")</f>
        <v>BLUE</v>
      </c>
      <c r="G5278" s="20" t="str">
        <f>IFERROR(__xludf.DUMMYFUNCTION("""COMPUTED_VALUE"""),"Uncle Sams Cider (04/04/2023)")</f>
        <v>Uncle Sams Cider (04/04/2023)</v>
      </c>
      <c r="H5278" s="19"/>
    </row>
    <row r="5279">
      <c r="A5279" s="9"/>
      <c r="B5279" s="15"/>
      <c r="C5279" s="9">
        <f>IFERROR(__xludf.DUMMYFUNCTION("""COMPUTED_VALUE"""),45089.1502891782)</f>
        <v>45089.15029</v>
      </c>
      <c r="D5279" s="15">
        <f>IFERROR(__xludf.DUMMYFUNCTION("""COMPUTED_VALUE"""),1.004)</f>
        <v>1.004</v>
      </c>
      <c r="E5279" s="16">
        <f>IFERROR(__xludf.DUMMYFUNCTION("""COMPUTED_VALUE"""),67.0)</f>
        <v>67</v>
      </c>
      <c r="F5279" s="19" t="str">
        <f>IFERROR(__xludf.DUMMYFUNCTION("""COMPUTED_VALUE"""),"BLUE")</f>
        <v>BLUE</v>
      </c>
      <c r="G5279" s="20" t="str">
        <f>IFERROR(__xludf.DUMMYFUNCTION("""COMPUTED_VALUE"""),"Uncle Sams Cider (04/04/2023)")</f>
        <v>Uncle Sams Cider (04/04/2023)</v>
      </c>
      <c r="H5279" s="19"/>
    </row>
    <row r="5280">
      <c r="A5280" s="9"/>
      <c r="B5280" s="15"/>
      <c r="C5280" s="9">
        <f>IFERROR(__xludf.DUMMYFUNCTION("""COMPUTED_VALUE"""),45089.1398678009)</f>
        <v>45089.13987</v>
      </c>
      <c r="D5280" s="15">
        <f>IFERROR(__xludf.DUMMYFUNCTION("""COMPUTED_VALUE"""),1.004)</f>
        <v>1.004</v>
      </c>
      <c r="E5280" s="16">
        <f>IFERROR(__xludf.DUMMYFUNCTION("""COMPUTED_VALUE"""),67.0)</f>
        <v>67</v>
      </c>
      <c r="F5280" s="19" t="str">
        <f>IFERROR(__xludf.DUMMYFUNCTION("""COMPUTED_VALUE"""),"BLUE")</f>
        <v>BLUE</v>
      </c>
      <c r="G5280" s="20" t="str">
        <f>IFERROR(__xludf.DUMMYFUNCTION("""COMPUTED_VALUE"""),"Uncle Sams Cider (04/04/2023)")</f>
        <v>Uncle Sams Cider (04/04/2023)</v>
      </c>
      <c r="H5280" s="19"/>
    </row>
    <row r="5281">
      <c r="A5281" s="9"/>
      <c r="B5281" s="15"/>
      <c r="C5281" s="9">
        <f>IFERROR(__xludf.DUMMYFUNCTION("""COMPUTED_VALUE"""),45089.1294215625)</f>
        <v>45089.12942</v>
      </c>
      <c r="D5281" s="15">
        <f>IFERROR(__xludf.DUMMYFUNCTION("""COMPUTED_VALUE"""),1.004)</f>
        <v>1.004</v>
      </c>
      <c r="E5281" s="16">
        <f>IFERROR(__xludf.DUMMYFUNCTION("""COMPUTED_VALUE"""),67.0)</f>
        <v>67</v>
      </c>
      <c r="F5281" s="19" t="str">
        <f>IFERROR(__xludf.DUMMYFUNCTION("""COMPUTED_VALUE"""),"BLUE")</f>
        <v>BLUE</v>
      </c>
      <c r="G5281" s="20" t="str">
        <f>IFERROR(__xludf.DUMMYFUNCTION("""COMPUTED_VALUE"""),"Uncle Sams Cider (04/04/2023)")</f>
        <v>Uncle Sams Cider (04/04/2023)</v>
      </c>
      <c r="H5281" s="19"/>
    </row>
    <row r="5282">
      <c r="A5282" s="9"/>
      <c r="B5282" s="15"/>
      <c r="C5282" s="9">
        <f>IFERROR(__xludf.DUMMYFUNCTION("""COMPUTED_VALUE"""),45089.1189893634)</f>
        <v>45089.11899</v>
      </c>
      <c r="D5282" s="15">
        <f>IFERROR(__xludf.DUMMYFUNCTION("""COMPUTED_VALUE"""),1.004)</f>
        <v>1.004</v>
      </c>
      <c r="E5282" s="16">
        <f>IFERROR(__xludf.DUMMYFUNCTION("""COMPUTED_VALUE"""),67.0)</f>
        <v>67</v>
      </c>
      <c r="F5282" s="19" t="str">
        <f>IFERROR(__xludf.DUMMYFUNCTION("""COMPUTED_VALUE"""),"BLUE")</f>
        <v>BLUE</v>
      </c>
      <c r="G5282" s="20" t="str">
        <f>IFERROR(__xludf.DUMMYFUNCTION("""COMPUTED_VALUE"""),"Uncle Sams Cider (04/04/2023)")</f>
        <v>Uncle Sams Cider (04/04/2023)</v>
      </c>
      <c r="H5282" s="19"/>
    </row>
    <row r="5283">
      <c r="A5283" s="9"/>
      <c r="B5283" s="15"/>
      <c r="C5283" s="9">
        <f>IFERROR(__xludf.DUMMYFUNCTION("""COMPUTED_VALUE"""),45089.1085573611)</f>
        <v>45089.10856</v>
      </c>
      <c r="D5283" s="15">
        <f>IFERROR(__xludf.DUMMYFUNCTION("""COMPUTED_VALUE"""),1.004)</f>
        <v>1.004</v>
      </c>
      <c r="E5283" s="16">
        <f>IFERROR(__xludf.DUMMYFUNCTION("""COMPUTED_VALUE"""),67.0)</f>
        <v>67</v>
      </c>
      <c r="F5283" s="19" t="str">
        <f>IFERROR(__xludf.DUMMYFUNCTION("""COMPUTED_VALUE"""),"BLUE")</f>
        <v>BLUE</v>
      </c>
      <c r="G5283" s="20" t="str">
        <f>IFERROR(__xludf.DUMMYFUNCTION("""COMPUTED_VALUE"""),"Uncle Sams Cider (04/04/2023)")</f>
        <v>Uncle Sams Cider (04/04/2023)</v>
      </c>
      <c r="H5283" s="19"/>
    </row>
    <row r="5284">
      <c r="A5284" s="9"/>
      <c r="B5284" s="15"/>
      <c r="C5284" s="9">
        <f>IFERROR(__xludf.DUMMYFUNCTION("""COMPUTED_VALUE"""),45089.098124699)</f>
        <v>45089.09812</v>
      </c>
      <c r="D5284" s="15">
        <f>IFERROR(__xludf.DUMMYFUNCTION("""COMPUTED_VALUE"""),1.004)</f>
        <v>1.004</v>
      </c>
      <c r="E5284" s="16">
        <f>IFERROR(__xludf.DUMMYFUNCTION("""COMPUTED_VALUE"""),67.0)</f>
        <v>67</v>
      </c>
      <c r="F5284" s="19" t="str">
        <f>IFERROR(__xludf.DUMMYFUNCTION("""COMPUTED_VALUE"""),"BLUE")</f>
        <v>BLUE</v>
      </c>
      <c r="G5284" s="20" t="str">
        <f>IFERROR(__xludf.DUMMYFUNCTION("""COMPUTED_VALUE"""),"Uncle Sams Cider (04/04/2023)")</f>
        <v>Uncle Sams Cider (04/04/2023)</v>
      </c>
      <c r="H5284" s="19"/>
    </row>
    <row r="5285">
      <c r="A5285" s="9"/>
      <c r="B5285" s="15"/>
      <c r="C5285" s="9">
        <f>IFERROR(__xludf.DUMMYFUNCTION("""COMPUTED_VALUE"""),45089.0877035185)</f>
        <v>45089.0877</v>
      </c>
      <c r="D5285" s="15">
        <f>IFERROR(__xludf.DUMMYFUNCTION("""COMPUTED_VALUE"""),1.004)</f>
        <v>1.004</v>
      </c>
      <c r="E5285" s="16">
        <f>IFERROR(__xludf.DUMMYFUNCTION("""COMPUTED_VALUE"""),67.0)</f>
        <v>67</v>
      </c>
      <c r="F5285" s="19" t="str">
        <f>IFERROR(__xludf.DUMMYFUNCTION("""COMPUTED_VALUE"""),"BLUE")</f>
        <v>BLUE</v>
      </c>
      <c r="G5285" s="20" t="str">
        <f>IFERROR(__xludf.DUMMYFUNCTION("""COMPUTED_VALUE"""),"Uncle Sams Cider (04/04/2023)")</f>
        <v>Uncle Sams Cider (04/04/2023)</v>
      </c>
      <c r="H5285" s="19"/>
    </row>
    <row r="5286">
      <c r="A5286" s="9"/>
      <c r="B5286" s="15"/>
      <c r="C5286" s="9">
        <f>IFERROR(__xludf.DUMMYFUNCTION("""COMPUTED_VALUE"""),45089.07728228)</f>
        <v>45089.07728</v>
      </c>
      <c r="D5286" s="15">
        <f>IFERROR(__xludf.DUMMYFUNCTION("""COMPUTED_VALUE"""),1.004)</f>
        <v>1.004</v>
      </c>
      <c r="E5286" s="16">
        <f>IFERROR(__xludf.DUMMYFUNCTION("""COMPUTED_VALUE"""),67.0)</f>
        <v>67</v>
      </c>
      <c r="F5286" s="19" t="str">
        <f>IFERROR(__xludf.DUMMYFUNCTION("""COMPUTED_VALUE"""),"BLUE")</f>
        <v>BLUE</v>
      </c>
      <c r="G5286" s="20" t="str">
        <f>IFERROR(__xludf.DUMMYFUNCTION("""COMPUTED_VALUE"""),"Uncle Sams Cider (04/04/2023)")</f>
        <v>Uncle Sams Cider (04/04/2023)</v>
      </c>
      <c r="H5286" s="19"/>
    </row>
    <row r="5287">
      <c r="A5287" s="9"/>
      <c r="B5287" s="15"/>
      <c r="C5287" s="9">
        <f>IFERROR(__xludf.DUMMYFUNCTION("""COMPUTED_VALUE"""),45089.0668607986)</f>
        <v>45089.06686</v>
      </c>
      <c r="D5287" s="15">
        <f>IFERROR(__xludf.DUMMYFUNCTION("""COMPUTED_VALUE"""),1.004)</f>
        <v>1.004</v>
      </c>
      <c r="E5287" s="16">
        <f>IFERROR(__xludf.DUMMYFUNCTION("""COMPUTED_VALUE"""),67.0)</f>
        <v>67</v>
      </c>
      <c r="F5287" s="19" t="str">
        <f>IFERROR(__xludf.DUMMYFUNCTION("""COMPUTED_VALUE"""),"BLUE")</f>
        <v>BLUE</v>
      </c>
      <c r="G5287" s="20" t="str">
        <f>IFERROR(__xludf.DUMMYFUNCTION("""COMPUTED_VALUE"""),"Uncle Sams Cider (04/04/2023)")</f>
        <v>Uncle Sams Cider (04/04/2023)</v>
      </c>
      <c r="H5287" s="19"/>
    </row>
    <row r="5288">
      <c r="A5288" s="9"/>
      <c r="B5288" s="15"/>
      <c r="C5288" s="9">
        <f>IFERROR(__xludf.DUMMYFUNCTION("""COMPUTED_VALUE"""),45089.0564386342)</f>
        <v>45089.05644</v>
      </c>
      <c r="D5288" s="15">
        <f>IFERROR(__xludf.DUMMYFUNCTION("""COMPUTED_VALUE"""),1.004)</f>
        <v>1.004</v>
      </c>
      <c r="E5288" s="16">
        <f>IFERROR(__xludf.DUMMYFUNCTION("""COMPUTED_VALUE"""),67.0)</f>
        <v>67</v>
      </c>
      <c r="F5288" s="19" t="str">
        <f>IFERROR(__xludf.DUMMYFUNCTION("""COMPUTED_VALUE"""),"BLUE")</f>
        <v>BLUE</v>
      </c>
      <c r="G5288" s="20" t="str">
        <f>IFERROR(__xludf.DUMMYFUNCTION("""COMPUTED_VALUE"""),"Uncle Sams Cider (04/04/2023)")</f>
        <v>Uncle Sams Cider (04/04/2023)</v>
      </c>
      <c r="H5288" s="19"/>
    </row>
    <row r="5289">
      <c r="A5289" s="9"/>
      <c r="B5289" s="15"/>
      <c r="C5289" s="9">
        <f>IFERROR(__xludf.DUMMYFUNCTION("""COMPUTED_VALUE"""),45089.0460174421)</f>
        <v>45089.04602</v>
      </c>
      <c r="D5289" s="15">
        <f>IFERROR(__xludf.DUMMYFUNCTION("""COMPUTED_VALUE"""),1.004)</f>
        <v>1.004</v>
      </c>
      <c r="E5289" s="16">
        <f>IFERROR(__xludf.DUMMYFUNCTION("""COMPUTED_VALUE"""),67.0)</f>
        <v>67</v>
      </c>
      <c r="F5289" s="19" t="str">
        <f>IFERROR(__xludf.DUMMYFUNCTION("""COMPUTED_VALUE"""),"BLUE")</f>
        <v>BLUE</v>
      </c>
      <c r="G5289" s="20" t="str">
        <f>IFERROR(__xludf.DUMMYFUNCTION("""COMPUTED_VALUE"""),"Uncle Sams Cider (04/04/2023)")</f>
        <v>Uncle Sams Cider (04/04/2023)</v>
      </c>
      <c r="H5289" s="19"/>
    </row>
    <row r="5290">
      <c r="A5290" s="9"/>
      <c r="B5290" s="15"/>
      <c r="C5290" s="9">
        <f>IFERROR(__xludf.DUMMYFUNCTION("""COMPUTED_VALUE"""),45089.0355975115)</f>
        <v>45089.0356</v>
      </c>
      <c r="D5290" s="15">
        <f>IFERROR(__xludf.DUMMYFUNCTION("""COMPUTED_VALUE"""),1.004)</f>
        <v>1.004</v>
      </c>
      <c r="E5290" s="16">
        <f>IFERROR(__xludf.DUMMYFUNCTION("""COMPUTED_VALUE"""),67.0)</f>
        <v>67</v>
      </c>
      <c r="F5290" s="19" t="str">
        <f>IFERROR(__xludf.DUMMYFUNCTION("""COMPUTED_VALUE"""),"BLUE")</f>
        <v>BLUE</v>
      </c>
      <c r="G5290" s="20" t="str">
        <f>IFERROR(__xludf.DUMMYFUNCTION("""COMPUTED_VALUE"""),"Uncle Sams Cider (04/04/2023)")</f>
        <v>Uncle Sams Cider (04/04/2023)</v>
      </c>
      <c r="H5290" s="19"/>
    </row>
    <row r="5291">
      <c r="A5291" s="9"/>
      <c r="B5291" s="15"/>
      <c r="C5291" s="9">
        <f>IFERROR(__xludf.DUMMYFUNCTION("""COMPUTED_VALUE"""),45089.025175787)</f>
        <v>45089.02518</v>
      </c>
      <c r="D5291" s="15">
        <f>IFERROR(__xludf.DUMMYFUNCTION("""COMPUTED_VALUE"""),1.004)</f>
        <v>1.004</v>
      </c>
      <c r="E5291" s="16">
        <f>IFERROR(__xludf.DUMMYFUNCTION("""COMPUTED_VALUE"""),67.0)</f>
        <v>67</v>
      </c>
      <c r="F5291" s="19" t="str">
        <f>IFERROR(__xludf.DUMMYFUNCTION("""COMPUTED_VALUE"""),"BLUE")</f>
        <v>BLUE</v>
      </c>
      <c r="G5291" s="20" t="str">
        <f>IFERROR(__xludf.DUMMYFUNCTION("""COMPUTED_VALUE"""),"Uncle Sams Cider (04/04/2023)")</f>
        <v>Uncle Sams Cider (04/04/2023)</v>
      </c>
      <c r="H5291" s="19"/>
    </row>
    <row r="5292">
      <c r="A5292" s="9"/>
      <c r="B5292" s="15"/>
      <c r="C5292" s="9">
        <f>IFERROR(__xludf.DUMMYFUNCTION("""COMPUTED_VALUE"""),45089.0147301851)</f>
        <v>45089.01473</v>
      </c>
      <c r="D5292" s="15">
        <f>IFERROR(__xludf.DUMMYFUNCTION("""COMPUTED_VALUE"""),1.004)</f>
        <v>1.004</v>
      </c>
      <c r="E5292" s="16">
        <f>IFERROR(__xludf.DUMMYFUNCTION("""COMPUTED_VALUE"""),67.0)</f>
        <v>67</v>
      </c>
      <c r="F5292" s="19" t="str">
        <f>IFERROR(__xludf.DUMMYFUNCTION("""COMPUTED_VALUE"""),"BLUE")</f>
        <v>BLUE</v>
      </c>
      <c r="G5292" s="20" t="str">
        <f>IFERROR(__xludf.DUMMYFUNCTION("""COMPUTED_VALUE"""),"Uncle Sams Cider (04/04/2023)")</f>
        <v>Uncle Sams Cider (04/04/2023)</v>
      </c>
      <c r="H5292" s="19"/>
    </row>
    <row r="5293">
      <c r="A5293" s="9"/>
      <c r="B5293" s="15"/>
      <c r="C5293" s="9">
        <f>IFERROR(__xludf.DUMMYFUNCTION("""COMPUTED_VALUE"""),45089.0043087152)</f>
        <v>45089.00431</v>
      </c>
      <c r="D5293" s="15">
        <f>IFERROR(__xludf.DUMMYFUNCTION("""COMPUTED_VALUE"""),1.003)</f>
        <v>1.003</v>
      </c>
      <c r="E5293" s="16">
        <f>IFERROR(__xludf.DUMMYFUNCTION("""COMPUTED_VALUE"""),67.0)</f>
        <v>67</v>
      </c>
      <c r="F5293" s="19" t="str">
        <f>IFERROR(__xludf.DUMMYFUNCTION("""COMPUTED_VALUE"""),"BLUE")</f>
        <v>BLUE</v>
      </c>
      <c r="G5293" s="20" t="str">
        <f>IFERROR(__xludf.DUMMYFUNCTION("""COMPUTED_VALUE"""),"Uncle Sams Cider (04/04/2023)")</f>
        <v>Uncle Sams Cider (04/04/2023)</v>
      </c>
      <c r="H5293" s="19"/>
    </row>
    <row r="5294">
      <c r="A5294" s="9"/>
      <c r="B5294" s="15"/>
      <c r="C5294" s="9">
        <f>IFERROR(__xludf.DUMMYFUNCTION("""COMPUTED_VALUE"""),45088.9938875347)</f>
        <v>45088.99389</v>
      </c>
      <c r="D5294" s="15">
        <f>IFERROR(__xludf.DUMMYFUNCTION("""COMPUTED_VALUE"""),1.004)</f>
        <v>1.004</v>
      </c>
      <c r="E5294" s="16">
        <f>IFERROR(__xludf.DUMMYFUNCTION("""COMPUTED_VALUE"""),67.0)</f>
        <v>67</v>
      </c>
      <c r="F5294" s="19" t="str">
        <f>IFERROR(__xludf.DUMMYFUNCTION("""COMPUTED_VALUE"""),"BLUE")</f>
        <v>BLUE</v>
      </c>
      <c r="G5294" s="20" t="str">
        <f>IFERROR(__xludf.DUMMYFUNCTION("""COMPUTED_VALUE"""),"Uncle Sams Cider (04/04/2023)")</f>
        <v>Uncle Sams Cider (04/04/2023)</v>
      </c>
      <c r="H5294" s="19"/>
    </row>
    <row r="5295">
      <c r="A5295" s="9"/>
      <c r="B5295" s="15"/>
      <c r="C5295" s="9">
        <f>IFERROR(__xludf.DUMMYFUNCTION("""COMPUTED_VALUE"""),45088.983456331)</f>
        <v>45088.98346</v>
      </c>
      <c r="D5295" s="15">
        <f>IFERROR(__xludf.DUMMYFUNCTION("""COMPUTED_VALUE"""),1.004)</f>
        <v>1.004</v>
      </c>
      <c r="E5295" s="16">
        <f>IFERROR(__xludf.DUMMYFUNCTION("""COMPUTED_VALUE"""),67.0)</f>
        <v>67</v>
      </c>
      <c r="F5295" s="19" t="str">
        <f>IFERROR(__xludf.DUMMYFUNCTION("""COMPUTED_VALUE"""),"BLUE")</f>
        <v>BLUE</v>
      </c>
      <c r="G5295" s="20" t="str">
        <f>IFERROR(__xludf.DUMMYFUNCTION("""COMPUTED_VALUE"""),"Uncle Sams Cider (04/04/2023)")</f>
        <v>Uncle Sams Cider (04/04/2023)</v>
      </c>
      <c r="H5295" s="19"/>
    </row>
    <row r="5296">
      <c r="A5296" s="9"/>
      <c r="B5296" s="15"/>
      <c r="C5296" s="9">
        <f>IFERROR(__xludf.DUMMYFUNCTION("""COMPUTED_VALUE"""),45088.9730354166)</f>
        <v>45088.97304</v>
      </c>
      <c r="D5296" s="15">
        <f>IFERROR(__xludf.DUMMYFUNCTION("""COMPUTED_VALUE"""),1.004)</f>
        <v>1.004</v>
      </c>
      <c r="E5296" s="16">
        <f>IFERROR(__xludf.DUMMYFUNCTION("""COMPUTED_VALUE"""),67.0)</f>
        <v>67</v>
      </c>
      <c r="F5296" s="19" t="str">
        <f>IFERROR(__xludf.DUMMYFUNCTION("""COMPUTED_VALUE"""),"BLUE")</f>
        <v>BLUE</v>
      </c>
      <c r="G5296" s="20" t="str">
        <f>IFERROR(__xludf.DUMMYFUNCTION("""COMPUTED_VALUE"""),"Uncle Sams Cider (04/04/2023)")</f>
        <v>Uncle Sams Cider (04/04/2023)</v>
      </c>
      <c r="H5296" s="19"/>
    </row>
    <row r="5297">
      <c r="A5297" s="9"/>
      <c r="B5297" s="15"/>
      <c r="C5297" s="9">
        <f>IFERROR(__xludf.DUMMYFUNCTION("""COMPUTED_VALUE"""),45088.9626144675)</f>
        <v>45088.96261</v>
      </c>
      <c r="D5297" s="15">
        <f>IFERROR(__xludf.DUMMYFUNCTION("""COMPUTED_VALUE"""),1.004)</f>
        <v>1.004</v>
      </c>
      <c r="E5297" s="16">
        <f>IFERROR(__xludf.DUMMYFUNCTION("""COMPUTED_VALUE"""),67.0)</f>
        <v>67</v>
      </c>
      <c r="F5297" s="19" t="str">
        <f>IFERROR(__xludf.DUMMYFUNCTION("""COMPUTED_VALUE"""),"BLUE")</f>
        <v>BLUE</v>
      </c>
      <c r="G5297" s="20" t="str">
        <f>IFERROR(__xludf.DUMMYFUNCTION("""COMPUTED_VALUE"""),"Uncle Sams Cider (04/04/2023)")</f>
        <v>Uncle Sams Cider (04/04/2023)</v>
      </c>
      <c r="H5297" s="19"/>
    </row>
    <row r="5298">
      <c r="A5298" s="9"/>
      <c r="B5298" s="15"/>
      <c r="C5298" s="9">
        <f>IFERROR(__xludf.DUMMYFUNCTION("""COMPUTED_VALUE"""),45088.9521932754)</f>
        <v>45088.95219</v>
      </c>
      <c r="D5298" s="15">
        <f>IFERROR(__xludf.DUMMYFUNCTION("""COMPUTED_VALUE"""),1.003)</f>
        <v>1.003</v>
      </c>
      <c r="E5298" s="16">
        <f>IFERROR(__xludf.DUMMYFUNCTION("""COMPUTED_VALUE"""),67.0)</f>
        <v>67</v>
      </c>
      <c r="F5298" s="19" t="str">
        <f>IFERROR(__xludf.DUMMYFUNCTION("""COMPUTED_VALUE"""),"BLUE")</f>
        <v>BLUE</v>
      </c>
      <c r="G5298" s="20" t="str">
        <f>IFERROR(__xludf.DUMMYFUNCTION("""COMPUTED_VALUE"""),"Uncle Sams Cider (04/04/2023)")</f>
        <v>Uncle Sams Cider (04/04/2023)</v>
      </c>
      <c r="H5298" s="19"/>
    </row>
    <row r="5299">
      <c r="A5299" s="9"/>
      <c r="B5299" s="15"/>
      <c r="C5299" s="9">
        <f>IFERROR(__xludf.DUMMYFUNCTION("""COMPUTED_VALUE"""),45088.9417726851)</f>
        <v>45088.94177</v>
      </c>
      <c r="D5299" s="15">
        <f>IFERROR(__xludf.DUMMYFUNCTION("""COMPUTED_VALUE"""),1.004)</f>
        <v>1.004</v>
      </c>
      <c r="E5299" s="16">
        <f>IFERROR(__xludf.DUMMYFUNCTION("""COMPUTED_VALUE"""),67.0)</f>
        <v>67</v>
      </c>
      <c r="F5299" s="19" t="str">
        <f>IFERROR(__xludf.DUMMYFUNCTION("""COMPUTED_VALUE"""),"BLUE")</f>
        <v>BLUE</v>
      </c>
      <c r="G5299" s="20" t="str">
        <f>IFERROR(__xludf.DUMMYFUNCTION("""COMPUTED_VALUE"""),"Uncle Sams Cider (04/04/2023)")</f>
        <v>Uncle Sams Cider (04/04/2023)</v>
      </c>
      <c r="H5299" s="19"/>
    </row>
    <row r="5300">
      <c r="A5300" s="9"/>
      <c r="B5300" s="15"/>
      <c r="C5300" s="9">
        <f>IFERROR(__xludf.DUMMYFUNCTION("""COMPUTED_VALUE"""),45088.9313512152)</f>
        <v>45088.93135</v>
      </c>
      <c r="D5300" s="15">
        <f>IFERROR(__xludf.DUMMYFUNCTION("""COMPUTED_VALUE"""),1.004)</f>
        <v>1.004</v>
      </c>
      <c r="E5300" s="16">
        <f>IFERROR(__xludf.DUMMYFUNCTION("""COMPUTED_VALUE"""),67.0)</f>
        <v>67</v>
      </c>
      <c r="F5300" s="19" t="str">
        <f>IFERROR(__xludf.DUMMYFUNCTION("""COMPUTED_VALUE"""),"BLUE")</f>
        <v>BLUE</v>
      </c>
      <c r="G5300" s="20" t="str">
        <f>IFERROR(__xludf.DUMMYFUNCTION("""COMPUTED_VALUE"""),"Uncle Sams Cider (04/04/2023)")</f>
        <v>Uncle Sams Cider (04/04/2023)</v>
      </c>
      <c r="H5300" s="19"/>
    </row>
    <row r="5301">
      <c r="A5301" s="9"/>
      <c r="B5301" s="15"/>
      <c r="C5301" s="9">
        <f>IFERROR(__xludf.DUMMYFUNCTION("""COMPUTED_VALUE"""),45088.9209313078)</f>
        <v>45088.92093</v>
      </c>
      <c r="D5301" s="15">
        <f>IFERROR(__xludf.DUMMYFUNCTION("""COMPUTED_VALUE"""),1.004)</f>
        <v>1.004</v>
      </c>
      <c r="E5301" s="16">
        <f>IFERROR(__xludf.DUMMYFUNCTION("""COMPUTED_VALUE"""),67.0)</f>
        <v>67</v>
      </c>
      <c r="F5301" s="19" t="str">
        <f>IFERROR(__xludf.DUMMYFUNCTION("""COMPUTED_VALUE"""),"BLUE")</f>
        <v>BLUE</v>
      </c>
      <c r="G5301" s="20" t="str">
        <f>IFERROR(__xludf.DUMMYFUNCTION("""COMPUTED_VALUE"""),"Uncle Sams Cider (04/04/2023)")</f>
        <v>Uncle Sams Cider (04/04/2023)</v>
      </c>
      <c r="H5301" s="19"/>
    </row>
    <row r="5302">
      <c r="A5302" s="9"/>
      <c r="B5302" s="15"/>
      <c r="C5302" s="9">
        <f>IFERROR(__xludf.DUMMYFUNCTION("""COMPUTED_VALUE"""),45088.9105123148)</f>
        <v>45088.91051</v>
      </c>
      <c r="D5302" s="15">
        <f>IFERROR(__xludf.DUMMYFUNCTION("""COMPUTED_VALUE"""),1.004)</f>
        <v>1.004</v>
      </c>
      <c r="E5302" s="16">
        <f>IFERROR(__xludf.DUMMYFUNCTION("""COMPUTED_VALUE"""),67.0)</f>
        <v>67</v>
      </c>
      <c r="F5302" s="19" t="str">
        <f>IFERROR(__xludf.DUMMYFUNCTION("""COMPUTED_VALUE"""),"BLUE")</f>
        <v>BLUE</v>
      </c>
      <c r="G5302" s="20" t="str">
        <f>IFERROR(__xludf.DUMMYFUNCTION("""COMPUTED_VALUE"""),"Uncle Sams Cider (04/04/2023)")</f>
        <v>Uncle Sams Cider (04/04/2023)</v>
      </c>
      <c r="H5302" s="19"/>
    </row>
    <row r="5303">
      <c r="A5303" s="9"/>
      <c r="B5303" s="15"/>
      <c r="C5303" s="9">
        <f>IFERROR(__xludf.DUMMYFUNCTION("""COMPUTED_VALUE"""),45088.9000923379)</f>
        <v>45088.90009</v>
      </c>
      <c r="D5303" s="15">
        <f>IFERROR(__xludf.DUMMYFUNCTION("""COMPUTED_VALUE"""),1.004)</f>
        <v>1.004</v>
      </c>
      <c r="E5303" s="16">
        <f>IFERROR(__xludf.DUMMYFUNCTION("""COMPUTED_VALUE"""),67.0)</f>
        <v>67</v>
      </c>
      <c r="F5303" s="19" t="str">
        <f>IFERROR(__xludf.DUMMYFUNCTION("""COMPUTED_VALUE"""),"BLUE")</f>
        <v>BLUE</v>
      </c>
      <c r="G5303" s="20" t="str">
        <f>IFERROR(__xludf.DUMMYFUNCTION("""COMPUTED_VALUE"""),"Uncle Sams Cider (04/04/2023)")</f>
        <v>Uncle Sams Cider (04/04/2023)</v>
      </c>
      <c r="H5303" s="19"/>
    </row>
    <row r="5304">
      <c r="A5304" s="9"/>
      <c r="B5304" s="15"/>
      <c r="C5304" s="9">
        <f>IFERROR(__xludf.DUMMYFUNCTION("""COMPUTED_VALUE"""),45088.8896694328)</f>
        <v>45088.88967</v>
      </c>
      <c r="D5304" s="15">
        <f>IFERROR(__xludf.DUMMYFUNCTION("""COMPUTED_VALUE"""),1.004)</f>
        <v>1.004</v>
      </c>
      <c r="E5304" s="16">
        <f>IFERROR(__xludf.DUMMYFUNCTION("""COMPUTED_VALUE"""),67.0)</f>
        <v>67</v>
      </c>
      <c r="F5304" s="19" t="str">
        <f>IFERROR(__xludf.DUMMYFUNCTION("""COMPUTED_VALUE"""),"BLUE")</f>
        <v>BLUE</v>
      </c>
      <c r="G5304" s="20" t="str">
        <f>IFERROR(__xludf.DUMMYFUNCTION("""COMPUTED_VALUE"""),"Uncle Sams Cider (04/04/2023)")</f>
        <v>Uncle Sams Cider (04/04/2023)</v>
      </c>
      <c r="H5304" s="19"/>
    </row>
    <row r="5305">
      <c r="A5305" s="9"/>
      <c r="B5305" s="15"/>
      <c r="C5305" s="9">
        <f>IFERROR(__xludf.DUMMYFUNCTION("""COMPUTED_VALUE"""),45088.879248449)</f>
        <v>45088.87925</v>
      </c>
      <c r="D5305" s="15">
        <f>IFERROR(__xludf.DUMMYFUNCTION("""COMPUTED_VALUE"""),1.004)</f>
        <v>1.004</v>
      </c>
      <c r="E5305" s="16">
        <f>IFERROR(__xludf.DUMMYFUNCTION("""COMPUTED_VALUE"""),67.0)</f>
        <v>67</v>
      </c>
      <c r="F5305" s="19" t="str">
        <f>IFERROR(__xludf.DUMMYFUNCTION("""COMPUTED_VALUE"""),"BLUE")</f>
        <v>BLUE</v>
      </c>
      <c r="G5305" s="20" t="str">
        <f>IFERROR(__xludf.DUMMYFUNCTION("""COMPUTED_VALUE"""),"Uncle Sams Cider (04/04/2023)")</f>
        <v>Uncle Sams Cider (04/04/2023)</v>
      </c>
      <c r="H5305" s="19"/>
    </row>
    <row r="5306">
      <c r="A5306" s="9"/>
      <c r="B5306" s="15"/>
      <c r="C5306" s="9">
        <f>IFERROR(__xludf.DUMMYFUNCTION("""COMPUTED_VALUE"""),45088.8688281944)</f>
        <v>45088.86883</v>
      </c>
      <c r="D5306" s="15">
        <f>IFERROR(__xludf.DUMMYFUNCTION("""COMPUTED_VALUE"""),1.004)</f>
        <v>1.004</v>
      </c>
      <c r="E5306" s="16">
        <f>IFERROR(__xludf.DUMMYFUNCTION("""COMPUTED_VALUE"""),67.0)</f>
        <v>67</v>
      </c>
      <c r="F5306" s="19" t="str">
        <f>IFERROR(__xludf.DUMMYFUNCTION("""COMPUTED_VALUE"""),"BLUE")</f>
        <v>BLUE</v>
      </c>
      <c r="G5306" s="20" t="str">
        <f>IFERROR(__xludf.DUMMYFUNCTION("""COMPUTED_VALUE"""),"Uncle Sams Cider (04/04/2023)")</f>
        <v>Uncle Sams Cider (04/04/2023)</v>
      </c>
      <c r="H5306" s="19"/>
    </row>
    <row r="5307">
      <c r="A5307" s="9"/>
      <c r="B5307" s="15"/>
      <c r="C5307" s="9">
        <f>IFERROR(__xludf.DUMMYFUNCTION("""COMPUTED_VALUE"""),45088.8584082638)</f>
        <v>45088.85841</v>
      </c>
      <c r="D5307" s="15">
        <f>IFERROR(__xludf.DUMMYFUNCTION("""COMPUTED_VALUE"""),1.004)</f>
        <v>1.004</v>
      </c>
      <c r="E5307" s="16">
        <f>IFERROR(__xludf.DUMMYFUNCTION("""COMPUTED_VALUE"""),67.0)</f>
        <v>67</v>
      </c>
      <c r="F5307" s="19" t="str">
        <f>IFERROR(__xludf.DUMMYFUNCTION("""COMPUTED_VALUE"""),"BLUE")</f>
        <v>BLUE</v>
      </c>
      <c r="G5307" s="20" t="str">
        <f>IFERROR(__xludf.DUMMYFUNCTION("""COMPUTED_VALUE"""),"Uncle Sams Cider (04/04/2023)")</f>
        <v>Uncle Sams Cider (04/04/2023)</v>
      </c>
      <c r="H5307" s="19"/>
    </row>
    <row r="5308">
      <c r="A5308" s="9"/>
      <c r="B5308" s="15"/>
      <c r="C5308" s="9">
        <f>IFERROR(__xludf.DUMMYFUNCTION("""COMPUTED_VALUE"""),45088.8479886574)</f>
        <v>45088.84799</v>
      </c>
      <c r="D5308" s="15">
        <f>IFERROR(__xludf.DUMMYFUNCTION("""COMPUTED_VALUE"""),1.004)</f>
        <v>1.004</v>
      </c>
      <c r="E5308" s="16">
        <f>IFERROR(__xludf.DUMMYFUNCTION("""COMPUTED_VALUE"""),67.0)</f>
        <v>67</v>
      </c>
      <c r="F5308" s="19" t="str">
        <f>IFERROR(__xludf.DUMMYFUNCTION("""COMPUTED_VALUE"""),"BLUE")</f>
        <v>BLUE</v>
      </c>
      <c r="G5308" s="20" t="str">
        <f>IFERROR(__xludf.DUMMYFUNCTION("""COMPUTED_VALUE"""),"Uncle Sams Cider (04/04/2023)")</f>
        <v>Uncle Sams Cider (04/04/2023)</v>
      </c>
      <c r="H5308" s="19"/>
    </row>
    <row r="5309">
      <c r="A5309" s="9"/>
      <c r="B5309" s="15"/>
      <c r="C5309" s="9">
        <f>IFERROR(__xludf.DUMMYFUNCTION("""COMPUTED_VALUE"""),45088.8375680208)</f>
        <v>45088.83757</v>
      </c>
      <c r="D5309" s="15">
        <f>IFERROR(__xludf.DUMMYFUNCTION("""COMPUTED_VALUE"""),1.004)</f>
        <v>1.004</v>
      </c>
      <c r="E5309" s="16">
        <f>IFERROR(__xludf.DUMMYFUNCTION("""COMPUTED_VALUE"""),67.0)</f>
        <v>67</v>
      </c>
      <c r="F5309" s="19" t="str">
        <f>IFERROR(__xludf.DUMMYFUNCTION("""COMPUTED_VALUE"""),"BLUE")</f>
        <v>BLUE</v>
      </c>
      <c r="G5309" s="20" t="str">
        <f>IFERROR(__xludf.DUMMYFUNCTION("""COMPUTED_VALUE"""),"Uncle Sams Cider (04/04/2023)")</f>
        <v>Uncle Sams Cider (04/04/2023)</v>
      </c>
      <c r="H5309" s="19"/>
    </row>
    <row r="5310">
      <c r="A5310" s="9"/>
      <c r="B5310" s="15"/>
      <c r="C5310" s="9">
        <f>IFERROR(__xludf.DUMMYFUNCTION("""COMPUTED_VALUE"""),45088.8271451851)</f>
        <v>45088.82715</v>
      </c>
      <c r="D5310" s="15">
        <f>IFERROR(__xludf.DUMMYFUNCTION("""COMPUTED_VALUE"""),1.004)</f>
        <v>1.004</v>
      </c>
      <c r="E5310" s="16">
        <f>IFERROR(__xludf.DUMMYFUNCTION("""COMPUTED_VALUE"""),67.0)</f>
        <v>67</v>
      </c>
      <c r="F5310" s="19" t="str">
        <f>IFERROR(__xludf.DUMMYFUNCTION("""COMPUTED_VALUE"""),"BLUE")</f>
        <v>BLUE</v>
      </c>
      <c r="G5310" s="20" t="str">
        <f>IFERROR(__xludf.DUMMYFUNCTION("""COMPUTED_VALUE"""),"Uncle Sams Cider (04/04/2023)")</f>
        <v>Uncle Sams Cider (04/04/2023)</v>
      </c>
      <c r="H5310" s="19"/>
    </row>
    <row r="5311">
      <c r="A5311" s="9"/>
      <c r="B5311" s="15"/>
      <c r="C5311" s="9">
        <f>IFERROR(__xludf.DUMMYFUNCTION("""COMPUTED_VALUE"""),45088.8167236342)</f>
        <v>45088.81672</v>
      </c>
      <c r="D5311" s="15">
        <f>IFERROR(__xludf.DUMMYFUNCTION("""COMPUTED_VALUE"""),1.004)</f>
        <v>1.004</v>
      </c>
      <c r="E5311" s="16">
        <f>IFERROR(__xludf.DUMMYFUNCTION("""COMPUTED_VALUE"""),67.0)</f>
        <v>67</v>
      </c>
      <c r="F5311" s="19" t="str">
        <f>IFERROR(__xludf.DUMMYFUNCTION("""COMPUTED_VALUE"""),"BLUE")</f>
        <v>BLUE</v>
      </c>
      <c r="G5311" s="20" t="str">
        <f>IFERROR(__xludf.DUMMYFUNCTION("""COMPUTED_VALUE"""),"Uncle Sams Cider (04/04/2023)")</f>
        <v>Uncle Sams Cider (04/04/2023)</v>
      </c>
      <c r="H5311" s="19"/>
    </row>
    <row r="5312">
      <c r="A5312" s="9"/>
      <c r="B5312" s="15"/>
      <c r="C5312" s="9">
        <f>IFERROR(__xludf.DUMMYFUNCTION("""COMPUTED_VALUE"""),45088.8063009722)</f>
        <v>45088.8063</v>
      </c>
      <c r="D5312" s="15">
        <f>IFERROR(__xludf.DUMMYFUNCTION("""COMPUTED_VALUE"""),1.004)</f>
        <v>1.004</v>
      </c>
      <c r="E5312" s="16">
        <f>IFERROR(__xludf.DUMMYFUNCTION("""COMPUTED_VALUE"""),67.0)</f>
        <v>67</v>
      </c>
      <c r="F5312" s="19" t="str">
        <f>IFERROR(__xludf.DUMMYFUNCTION("""COMPUTED_VALUE"""),"BLUE")</f>
        <v>BLUE</v>
      </c>
      <c r="G5312" s="20" t="str">
        <f>IFERROR(__xludf.DUMMYFUNCTION("""COMPUTED_VALUE"""),"Uncle Sams Cider (04/04/2023)")</f>
        <v>Uncle Sams Cider (04/04/2023)</v>
      </c>
      <c r="H5312" s="19"/>
    </row>
    <row r="5313">
      <c r="A5313" s="9"/>
      <c r="B5313" s="15"/>
      <c r="C5313" s="9">
        <f>IFERROR(__xludf.DUMMYFUNCTION("""COMPUTED_VALUE"""),45088.7958587384)</f>
        <v>45088.79586</v>
      </c>
      <c r="D5313" s="15">
        <f>IFERROR(__xludf.DUMMYFUNCTION("""COMPUTED_VALUE"""),1.004)</f>
        <v>1.004</v>
      </c>
      <c r="E5313" s="16">
        <f>IFERROR(__xludf.DUMMYFUNCTION("""COMPUTED_VALUE"""),67.0)</f>
        <v>67</v>
      </c>
      <c r="F5313" s="19" t="str">
        <f>IFERROR(__xludf.DUMMYFUNCTION("""COMPUTED_VALUE"""),"BLUE")</f>
        <v>BLUE</v>
      </c>
      <c r="G5313" s="20" t="str">
        <f>IFERROR(__xludf.DUMMYFUNCTION("""COMPUTED_VALUE"""),"Uncle Sams Cider (04/04/2023)")</f>
        <v>Uncle Sams Cider (04/04/2023)</v>
      </c>
      <c r="H5313" s="19"/>
    </row>
    <row r="5314">
      <c r="A5314" s="9"/>
      <c r="B5314" s="15"/>
      <c r="C5314" s="9">
        <f>IFERROR(__xludf.DUMMYFUNCTION("""COMPUTED_VALUE"""),45088.7854364004)</f>
        <v>45088.78544</v>
      </c>
      <c r="D5314" s="15">
        <f>IFERROR(__xludf.DUMMYFUNCTION("""COMPUTED_VALUE"""),1.004)</f>
        <v>1.004</v>
      </c>
      <c r="E5314" s="16">
        <f>IFERROR(__xludf.DUMMYFUNCTION("""COMPUTED_VALUE"""),67.0)</f>
        <v>67</v>
      </c>
      <c r="F5314" s="19" t="str">
        <f>IFERROR(__xludf.DUMMYFUNCTION("""COMPUTED_VALUE"""),"BLUE")</f>
        <v>BLUE</v>
      </c>
      <c r="G5314" s="20" t="str">
        <f>IFERROR(__xludf.DUMMYFUNCTION("""COMPUTED_VALUE"""),"Uncle Sams Cider (04/04/2023)")</f>
        <v>Uncle Sams Cider (04/04/2023)</v>
      </c>
      <c r="H5314" s="19"/>
    </row>
    <row r="5315">
      <c r="A5315" s="9"/>
      <c r="B5315" s="15"/>
      <c r="C5315" s="9">
        <f>IFERROR(__xludf.DUMMYFUNCTION("""COMPUTED_VALUE"""),45088.7750146296)</f>
        <v>45088.77501</v>
      </c>
      <c r="D5315" s="15">
        <f>IFERROR(__xludf.DUMMYFUNCTION("""COMPUTED_VALUE"""),1.004)</f>
        <v>1.004</v>
      </c>
      <c r="E5315" s="16">
        <f>IFERROR(__xludf.DUMMYFUNCTION("""COMPUTED_VALUE"""),67.0)</f>
        <v>67</v>
      </c>
      <c r="F5315" s="19" t="str">
        <f>IFERROR(__xludf.DUMMYFUNCTION("""COMPUTED_VALUE"""),"BLUE")</f>
        <v>BLUE</v>
      </c>
      <c r="G5315" s="20" t="str">
        <f>IFERROR(__xludf.DUMMYFUNCTION("""COMPUTED_VALUE"""),"Uncle Sams Cider (04/04/2023)")</f>
        <v>Uncle Sams Cider (04/04/2023)</v>
      </c>
      <c r="H5315" s="19"/>
    </row>
    <row r="5316">
      <c r="A5316" s="9"/>
      <c r="B5316" s="15"/>
      <c r="C5316" s="9">
        <f>IFERROR(__xludf.DUMMYFUNCTION("""COMPUTED_VALUE"""),45088.7645942476)</f>
        <v>45088.76459</v>
      </c>
      <c r="D5316" s="15">
        <f>IFERROR(__xludf.DUMMYFUNCTION("""COMPUTED_VALUE"""),1.004)</f>
        <v>1.004</v>
      </c>
      <c r="E5316" s="16">
        <f>IFERROR(__xludf.DUMMYFUNCTION("""COMPUTED_VALUE"""),67.0)</f>
        <v>67</v>
      </c>
      <c r="F5316" s="19" t="str">
        <f>IFERROR(__xludf.DUMMYFUNCTION("""COMPUTED_VALUE"""),"BLUE")</f>
        <v>BLUE</v>
      </c>
      <c r="G5316" s="20" t="str">
        <f>IFERROR(__xludf.DUMMYFUNCTION("""COMPUTED_VALUE"""),"Uncle Sams Cider (04/04/2023)")</f>
        <v>Uncle Sams Cider (04/04/2023)</v>
      </c>
      <c r="H5316" s="19"/>
    </row>
    <row r="5317">
      <c r="A5317" s="9"/>
      <c r="B5317" s="15"/>
      <c r="C5317" s="9">
        <f>IFERROR(__xludf.DUMMYFUNCTION("""COMPUTED_VALUE"""),45088.7541720023)</f>
        <v>45088.75417</v>
      </c>
      <c r="D5317" s="15">
        <f>IFERROR(__xludf.DUMMYFUNCTION("""COMPUTED_VALUE"""),1.004)</f>
        <v>1.004</v>
      </c>
      <c r="E5317" s="16">
        <f>IFERROR(__xludf.DUMMYFUNCTION("""COMPUTED_VALUE"""),67.0)</f>
        <v>67</v>
      </c>
      <c r="F5317" s="19" t="str">
        <f>IFERROR(__xludf.DUMMYFUNCTION("""COMPUTED_VALUE"""),"BLUE")</f>
        <v>BLUE</v>
      </c>
      <c r="G5317" s="20" t="str">
        <f>IFERROR(__xludf.DUMMYFUNCTION("""COMPUTED_VALUE"""),"Uncle Sams Cider (04/04/2023)")</f>
        <v>Uncle Sams Cider (04/04/2023)</v>
      </c>
      <c r="H5317" s="19"/>
    </row>
    <row r="5318">
      <c r="A5318" s="9"/>
      <c r="B5318" s="15"/>
      <c r="C5318" s="9">
        <f>IFERROR(__xludf.DUMMYFUNCTION("""COMPUTED_VALUE"""),45088.7437487384)</f>
        <v>45088.74375</v>
      </c>
      <c r="D5318" s="15">
        <f>IFERROR(__xludf.DUMMYFUNCTION("""COMPUTED_VALUE"""),1.004)</f>
        <v>1.004</v>
      </c>
      <c r="E5318" s="16">
        <f>IFERROR(__xludf.DUMMYFUNCTION("""COMPUTED_VALUE"""),67.0)</f>
        <v>67</v>
      </c>
      <c r="F5318" s="19" t="str">
        <f>IFERROR(__xludf.DUMMYFUNCTION("""COMPUTED_VALUE"""),"BLUE")</f>
        <v>BLUE</v>
      </c>
      <c r="G5318" s="20" t="str">
        <f>IFERROR(__xludf.DUMMYFUNCTION("""COMPUTED_VALUE"""),"Uncle Sams Cider (04/04/2023)")</f>
        <v>Uncle Sams Cider (04/04/2023)</v>
      </c>
      <c r="H5318" s="19"/>
    </row>
    <row r="5319">
      <c r="A5319" s="9"/>
      <c r="B5319" s="15"/>
      <c r="C5319" s="9">
        <f>IFERROR(__xludf.DUMMYFUNCTION("""COMPUTED_VALUE"""),45088.733326574)</f>
        <v>45088.73333</v>
      </c>
      <c r="D5319" s="15">
        <f>IFERROR(__xludf.DUMMYFUNCTION("""COMPUTED_VALUE"""),1.004)</f>
        <v>1.004</v>
      </c>
      <c r="E5319" s="16">
        <f>IFERROR(__xludf.DUMMYFUNCTION("""COMPUTED_VALUE"""),67.0)</f>
        <v>67</v>
      </c>
      <c r="F5319" s="19" t="str">
        <f>IFERROR(__xludf.DUMMYFUNCTION("""COMPUTED_VALUE"""),"BLUE")</f>
        <v>BLUE</v>
      </c>
      <c r="G5319" s="20" t="str">
        <f>IFERROR(__xludf.DUMMYFUNCTION("""COMPUTED_VALUE"""),"Uncle Sams Cider (04/04/2023)")</f>
        <v>Uncle Sams Cider (04/04/2023)</v>
      </c>
      <c r="H5319" s="19"/>
    </row>
    <row r="5320">
      <c r="A5320" s="9"/>
      <c r="B5320" s="15"/>
      <c r="C5320" s="9">
        <f>IFERROR(__xludf.DUMMYFUNCTION("""COMPUTED_VALUE"""),45088.7228929861)</f>
        <v>45088.72289</v>
      </c>
      <c r="D5320" s="15">
        <f>IFERROR(__xludf.DUMMYFUNCTION("""COMPUTED_VALUE"""),1.004)</f>
        <v>1.004</v>
      </c>
      <c r="E5320" s="16">
        <f>IFERROR(__xludf.DUMMYFUNCTION("""COMPUTED_VALUE"""),67.0)</f>
        <v>67</v>
      </c>
      <c r="F5320" s="19" t="str">
        <f>IFERROR(__xludf.DUMMYFUNCTION("""COMPUTED_VALUE"""),"BLUE")</f>
        <v>BLUE</v>
      </c>
      <c r="G5320" s="20" t="str">
        <f>IFERROR(__xludf.DUMMYFUNCTION("""COMPUTED_VALUE"""),"Uncle Sams Cider (04/04/2023)")</f>
        <v>Uncle Sams Cider (04/04/2023)</v>
      </c>
      <c r="H5320" s="19"/>
    </row>
    <row r="5321">
      <c r="A5321" s="9"/>
      <c r="B5321" s="15"/>
      <c r="C5321" s="9">
        <f>IFERROR(__xludf.DUMMYFUNCTION("""COMPUTED_VALUE"""),45088.7124722569)</f>
        <v>45088.71247</v>
      </c>
      <c r="D5321" s="15">
        <f>IFERROR(__xludf.DUMMYFUNCTION("""COMPUTED_VALUE"""),1.004)</f>
        <v>1.004</v>
      </c>
      <c r="E5321" s="16">
        <f>IFERROR(__xludf.DUMMYFUNCTION("""COMPUTED_VALUE"""),67.0)</f>
        <v>67</v>
      </c>
      <c r="F5321" s="19" t="str">
        <f>IFERROR(__xludf.DUMMYFUNCTION("""COMPUTED_VALUE"""),"BLUE")</f>
        <v>BLUE</v>
      </c>
      <c r="G5321" s="20" t="str">
        <f>IFERROR(__xludf.DUMMYFUNCTION("""COMPUTED_VALUE"""),"Uncle Sams Cider (04/04/2023)")</f>
        <v>Uncle Sams Cider (04/04/2023)</v>
      </c>
      <c r="H5321" s="19"/>
    </row>
    <row r="5322">
      <c r="A5322" s="9"/>
      <c r="B5322" s="15"/>
      <c r="C5322" s="9">
        <f>IFERROR(__xludf.DUMMYFUNCTION("""COMPUTED_VALUE"""),45088.7020517708)</f>
        <v>45088.70205</v>
      </c>
      <c r="D5322" s="15">
        <f>IFERROR(__xludf.DUMMYFUNCTION("""COMPUTED_VALUE"""),1.004)</f>
        <v>1.004</v>
      </c>
      <c r="E5322" s="16">
        <f>IFERROR(__xludf.DUMMYFUNCTION("""COMPUTED_VALUE"""),67.0)</f>
        <v>67</v>
      </c>
      <c r="F5322" s="19" t="str">
        <f>IFERROR(__xludf.DUMMYFUNCTION("""COMPUTED_VALUE"""),"BLUE")</f>
        <v>BLUE</v>
      </c>
      <c r="G5322" s="20" t="str">
        <f>IFERROR(__xludf.DUMMYFUNCTION("""COMPUTED_VALUE"""),"Uncle Sams Cider (04/04/2023)")</f>
        <v>Uncle Sams Cider (04/04/2023)</v>
      </c>
      <c r="H5322" s="19"/>
    </row>
    <row r="5323">
      <c r="A5323" s="9"/>
      <c r="B5323" s="15"/>
      <c r="C5323" s="9">
        <f>IFERROR(__xludf.DUMMYFUNCTION("""COMPUTED_VALUE"""),45088.6916315393)</f>
        <v>45088.69163</v>
      </c>
      <c r="D5323" s="15">
        <f>IFERROR(__xludf.DUMMYFUNCTION("""COMPUTED_VALUE"""),1.004)</f>
        <v>1.004</v>
      </c>
      <c r="E5323" s="16">
        <f>IFERROR(__xludf.DUMMYFUNCTION("""COMPUTED_VALUE"""),67.0)</f>
        <v>67</v>
      </c>
      <c r="F5323" s="19" t="str">
        <f>IFERROR(__xludf.DUMMYFUNCTION("""COMPUTED_VALUE"""),"BLUE")</f>
        <v>BLUE</v>
      </c>
      <c r="G5323" s="20" t="str">
        <f>IFERROR(__xludf.DUMMYFUNCTION("""COMPUTED_VALUE"""),"Uncle Sams Cider (04/04/2023)")</f>
        <v>Uncle Sams Cider (04/04/2023)</v>
      </c>
      <c r="H5323" s="19"/>
    </row>
    <row r="5324">
      <c r="A5324" s="9"/>
      <c r="B5324" s="15"/>
      <c r="C5324" s="9">
        <f>IFERROR(__xludf.DUMMYFUNCTION("""COMPUTED_VALUE"""),45088.6811886689)</f>
        <v>45088.68119</v>
      </c>
      <c r="D5324" s="15">
        <f>IFERROR(__xludf.DUMMYFUNCTION("""COMPUTED_VALUE"""),1.004)</f>
        <v>1.004</v>
      </c>
      <c r="E5324" s="16">
        <f>IFERROR(__xludf.DUMMYFUNCTION("""COMPUTED_VALUE"""),67.0)</f>
        <v>67</v>
      </c>
      <c r="F5324" s="19" t="str">
        <f>IFERROR(__xludf.DUMMYFUNCTION("""COMPUTED_VALUE"""),"BLUE")</f>
        <v>BLUE</v>
      </c>
      <c r="G5324" s="20" t="str">
        <f>IFERROR(__xludf.DUMMYFUNCTION("""COMPUTED_VALUE"""),"Uncle Sams Cider (04/04/2023)")</f>
        <v>Uncle Sams Cider (04/04/2023)</v>
      </c>
      <c r="H5324" s="19"/>
    </row>
    <row r="5325">
      <c r="A5325" s="9"/>
      <c r="B5325" s="15"/>
      <c r="C5325" s="9">
        <f>IFERROR(__xludf.DUMMYFUNCTION("""COMPUTED_VALUE"""),45088.6707650578)</f>
        <v>45088.67077</v>
      </c>
      <c r="D5325" s="15">
        <f>IFERROR(__xludf.DUMMYFUNCTION("""COMPUTED_VALUE"""),1.004)</f>
        <v>1.004</v>
      </c>
      <c r="E5325" s="16">
        <f>IFERROR(__xludf.DUMMYFUNCTION("""COMPUTED_VALUE"""),67.0)</f>
        <v>67</v>
      </c>
      <c r="F5325" s="19" t="str">
        <f>IFERROR(__xludf.DUMMYFUNCTION("""COMPUTED_VALUE"""),"BLUE")</f>
        <v>BLUE</v>
      </c>
      <c r="G5325" s="20" t="str">
        <f>IFERROR(__xludf.DUMMYFUNCTION("""COMPUTED_VALUE"""),"Uncle Sams Cider (04/04/2023)")</f>
        <v>Uncle Sams Cider (04/04/2023)</v>
      </c>
      <c r="H5325" s="19"/>
    </row>
    <row r="5326">
      <c r="A5326" s="9"/>
      <c r="B5326" s="15"/>
      <c r="C5326" s="9">
        <f>IFERROR(__xludf.DUMMYFUNCTION("""COMPUTED_VALUE"""),45088.6603435763)</f>
        <v>45088.66034</v>
      </c>
      <c r="D5326" s="15">
        <f>IFERROR(__xludf.DUMMYFUNCTION("""COMPUTED_VALUE"""),1.004)</f>
        <v>1.004</v>
      </c>
      <c r="E5326" s="16">
        <f>IFERROR(__xludf.DUMMYFUNCTION("""COMPUTED_VALUE"""),67.0)</f>
        <v>67</v>
      </c>
      <c r="F5326" s="19" t="str">
        <f>IFERROR(__xludf.DUMMYFUNCTION("""COMPUTED_VALUE"""),"BLUE")</f>
        <v>BLUE</v>
      </c>
      <c r="G5326" s="20" t="str">
        <f>IFERROR(__xludf.DUMMYFUNCTION("""COMPUTED_VALUE"""),"Uncle Sams Cider (04/04/2023)")</f>
        <v>Uncle Sams Cider (04/04/2023)</v>
      </c>
      <c r="H5326" s="19"/>
    </row>
    <row r="5327">
      <c r="A5327" s="9"/>
      <c r="B5327" s="15"/>
      <c r="C5327" s="9">
        <f>IFERROR(__xludf.DUMMYFUNCTION("""COMPUTED_VALUE"""),45088.6499232407)</f>
        <v>45088.64992</v>
      </c>
      <c r="D5327" s="15">
        <f>IFERROR(__xludf.DUMMYFUNCTION("""COMPUTED_VALUE"""),1.004)</f>
        <v>1.004</v>
      </c>
      <c r="E5327" s="16">
        <f>IFERROR(__xludf.DUMMYFUNCTION("""COMPUTED_VALUE"""),67.0)</f>
        <v>67</v>
      </c>
      <c r="F5327" s="19" t="str">
        <f>IFERROR(__xludf.DUMMYFUNCTION("""COMPUTED_VALUE"""),"BLUE")</f>
        <v>BLUE</v>
      </c>
      <c r="G5327" s="20" t="str">
        <f>IFERROR(__xludf.DUMMYFUNCTION("""COMPUTED_VALUE"""),"Uncle Sams Cider (04/04/2023)")</f>
        <v>Uncle Sams Cider (04/04/2023)</v>
      </c>
      <c r="H5327" s="19"/>
    </row>
    <row r="5328">
      <c r="A5328" s="9"/>
      <c r="B5328" s="15"/>
      <c r="C5328" s="9">
        <f>IFERROR(__xludf.DUMMYFUNCTION("""COMPUTED_VALUE"""),45088.6394900115)</f>
        <v>45088.63949</v>
      </c>
      <c r="D5328" s="15">
        <f>IFERROR(__xludf.DUMMYFUNCTION("""COMPUTED_VALUE"""),1.004)</f>
        <v>1.004</v>
      </c>
      <c r="E5328" s="16">
        <f>IFERROR(__xludf.DUMMYFUNCTION("""COMPUTED_VALUE"""),67.0)</f>
        <v>67</v>
      </c>
      <c r="F5328" s="19" t="str">
        <f>IFERROR(__xludf.DUMMYFUNCTION("""COMPUTED_VALUE"""),"BLUE")</f>
        <v>BLUE</v>
      </c>
      <c r="G5328" s="20" t="str">
        <f>IFERROR(__xludf.DUMMYFUNCTION("""COMPUTED_VALUE"""),"Uncle Sams Cider (04/04/2023)")</f>
        <v>Uncle Sams Cider (04/04/2023)</v>
      </c>
      <c r="H5328" s="19"/>
    </row>
    <row r="5329">
      <c r="A5329" s="9"/>
      <c r="B5329" s="15"/>
      <c r="C5329" s="9">
        <f>IFERROR(__xludf.DUMMYFUNCTION("""COMPUTED_VALUE"""),45088.6290571527)</f>
        <v>45088.62906</v>
      </c>
      <c r="D5329" s="15">
        <f>IFERROR(__xludf.DUMMYFUNCTION("""COMPUTED_VALUE"""),1.004)</f>
        <v>1.004</v>
      </c>
      <c r="E5329" s="16">
        <f>IFERROR(__xludf.DUMMYFUNCTION("""COMPUTED_VALUE"""),67.0)</f>
        <v>67</v>
      </c>
      <c r="F5329" s="19" t="str">
        <f>IFERROR(__xludf.DUMMYFUNCTION("""COMPUTED_VALUE"""),"BLUE")</f>
        <v>BLUE</v>
      </c>
      <c r="G5329" s="20" t="str">
        <f>IFERROR(__xludf.DUMMYFUNCTION("""COMPUTED_VALUE"""),"Uncle Sams Cider (04/04/2023)")</f>
        <v>Uncle Sams Cider (04/04/2023)</v>
      </c>
      <c r="H5329" s="19"/>
    </row>
    <row r="5330">
      <c r="A5330" s="9"/>
      <c r="B5330" s="15"/>
      <c r="C5330" s="9">
        <f>IFERROR(__xludf.DUMMYFUNCTION("""COMPUTED_VALUE"""),45088.6186349305)</f>
        <v>45088.61863</v>
      </c>
      <c r="D5330" s="15">
        <f>IFERROR(__xludf.DUMMYFUNCTION("""COMPUTED_VALUE"""),1.004)</f>
        <v>1.004</v>
      </c>
      <c r="E5330" s="16">
        <f>IFERROR(__xludf.DUMMYFUNCTION("""COMPUTED_VALUE"""),67.0)</f>
        <v>67</v>
      </c>
      <c r="F5330" s="19" t="str">
        <f>IFERROR(__xludf.DUMMYFUNCTION("""COMPUTED_VALUE"""),"BLUE")</f>
        <v>BLUE</v>
      </c>
      <c r="G5330" s="20" t="str">
        <f>IFERROR(__xludf.DUMMYFUNCTION("""COMPUTED_VALUE"""),"Uncle Sams Cider (04/04/2023)")</f>
        <v>Uncle Sams Cider (04/04/2023)</v>
      </c>
      <c r="H5330" s="19"/>
    </row>
    <row r="5331">
      <c r="A5331" s="9"/>
      <c r="B5331" s="15"/>
      <c r="C5331" s="9">
        <f>IFERROR(__xludf.DUMMYFUNCTION("""COMPUTED_VALUE"""),45088.6082127893)</f>
        <v>45088.60821</v>
      </c>
      <c r="D5331" s="15">
        <f>IFERROR(__xludf.DUMMYFUNCTION("""COMPUTED_VALUE"""),1.004)</f>
        <v>1.004</v>
      </c>
      <c r="E5331" s="16">
        <f>IFERROR(__xludf.DUMMYFUNCTION("""COMPUTED_VALUE"""),67.0)</f>
        <v>67</v>
      </c>
      <c r="F5331" s="19" t="str">
        <f>IFERROR(__xludf.DUMMYFUNCTION("""COMPUTED_VALUE"""),"BLUE")</f>
        <v>BLUE</v>
      </c>
      <c r="G5331" s="20" t="str">
        <f>IFERROR(__xludf.DUMMYFUNCTION("""COMPUTED_VALUE"""),"Uncle Sams Cider (04/04/2023)")</f>
        <v>Uncle Sams Cider (04/04/2023)</v>
      </c>
      <c r="H5331" s="19"/>
    </row>
    <row r="5332">
      <c r="A5332" s="9"/>
      <c r="B5332" s="15"/>
      <c r="C5332" s="9">
        <f>IFERROR(__xludf.DUMMYFUNCTION("""COMPUTED_VALUE"""),45088.5977922222)</f>
        <v>45088.59779</v>
      </c>
      <c r="D5332" s="15">
        <f>IFERROR(__xludf.DUMMYFUNCTION("""COMPUTED_VALUE"""),1.004)</f>
        <v>1.004</v>
      </c>
      <c r="E5332" s="16">
        <f>IFERROR(__xludf.DUMMYFUNCTION("""COMPUTED_VALUE"""),67.0)</f>
        <v>67</v>
      </c>
      <c r="F5332" s="19" t="str">
        <f>IFERROR(__xludf.DUMMYFUNCTION("""COMPUTED_VALUE"""),"BLUE")</f>
        <v>BLUE</v>
      </c>
      <c r="G5332" s="20" t="str">
        <f>IFERROR(__xludf.DUMMYFUNCTION("""COMPUTED_VALUE"""),"Uncle Sams Cider (04/04/2023)")</f>
        <v>Uncle Sams Cider (04/04/2023)</v>
      </c>
      <c r="H5332" s="19"/>
    </row>
    <row r="5333">
      <c r="A5333" s="9"/>
      <c r="B5333" s="15"/>
      <c r="C5333" s="9">
        <f>IFERROR(__xludf.DUMMYFUNCTION("""COMPUTED_VALUE"""),45088.5873713888)</f>
        <v>45088.58737</v>
      </c>
      <c r="D5333" s="15">
        <f>IFERROR(__xludf.DUMMYFUNCTION("""COMPUTED_VALUE"""),1.004)</f>
        <v>1.004</v>
      </c>
      <c r="E5333" s="16">
        <f>IFERROR(__xludf.DUMMYFUNCTION("""COMPUTED_VALUE"""),67.0)</f>
        <v>67</v>
      </c>
      <c r="F5333" s="19" t="str">
        <f>IFERROR(__xludf.DUMMYFUNCTION("""COMPUTED_VALUE"""),"BLUE")</f>
        <v>BLUE</v>
      </c>
      <c r="G5333" s="20" t="str">
        <f>IFERROR(__xludf.DUMMYFUNCTION("""COMPUTED_VALUE"""),"Uncle Sams Cider (04/04/2023)")</f>
        <v>Uncle Sams Cider (04/04/2023)</v>
      </c>
      <c r="H5333" s="19"/>
    </row>
    <row r="5334">
      <c r="A5334" s="9"/>
      <c r="B5334" s="15"/>
      <c r="C5334" s="9">
        <f>IFERROR(__xludf.DUMMYFUNCTION("""COMPUTED_VALUE"""),45088.5769391088)</f>
        <v>45088.57694</v>
      </c>
      <c r="D5334" s="15">
        <f>IFERROR(__xludf.DUMMYFUNCTION("""COMPUTED_VALUE"""),1.004)</f>
        <v>1.004</v>
      </c>
      <c r="E5334" s="16">
        <f>IFERROR(__xludf.DUMMYFUNCTION("""COMPUTED_VALUE"""),67.0)</f>
        <v>67</v>
      </c>
      <c r="F5334" s="19" t="str">
        <f>IFERROR(__xludf.DUMMYFUNCTION("""COMPUTED_VALUE"""),"BLUE")</f>
        <v>BLUE</v>
      </c>
      <c r="G5334" s="20" t="str">
        <f>IFERROR(__xludf.DUMMYFUNCTION("""COMPUTED_VALUE"""),"Uncle Sams Cider (04/04/2023)")</f>
        <v>Uncle Sams Cider (04/04/2023)</v>
      </c>
      <c r="H5334" s="19"/>
    </row>
    <row r="5335">
      <c r="A5335" s="9"/>
      <c r="B5335" s="15"/>
      <c r="C5335" s="9">
        <f>IFERROR(__xludf.DUMMYFUNCTION("""COMPUTED_VALUE"""),45088.5665056828)</f>
        <v>45088.56651</v>
      </c>
      <c r="D5335" s="15">
        <f>IFERROR(__xludf.DUMMYFUNCTION("""COMPUTED_VALUE"""),1.004)</f>
        <v>1.004</v>
      </c>
      <c r="E5335" s="16">
        <f>IFERROR(__xludf.DUMMYFUNCTION("""COMPUTED_VALUE"""),67.0)</f>
        <v>67</v>
      </c>
      <c r="F5335" s="19" t="str">
        <f>IFERROR(__xludf.DUMMYFUNCTION("""COMPUTED_VALUE"""),"BLUE")</f>
        <v>BLUE</v>
      </c>
      <c r="G5335" s="20" t="str">
        <f>IFERROR(__xludf.DUMMYFUNCTION("""COMPUTED_VALUE"""),"Uncle Sams Cider (04/04/2023)")</f>
        <v>Uncle Sams Cider (04/04/2023)</v>
      </c>
      <c r="H5335" s="19"/>
    </row>
    <row r="5336">
      <c r="A5336" s="9"/>
      <c r="B5336" s="15"/>
      <c r="C5336" s="9">
        <f>IFERROR(__xludf.DUMMYFUNCTION("""COMPUTED_VALUE"""),45088.5560853935)</f>
        <v>45088.55609</v>
      </c>
      <c r="D5336" s="15">
        <f>IFERROR(__xludf.DUMMYFUNCTION("""COMPUTED_VALUE"""),1.004)</f>
        <v>1.004</v>
      </c>
      <c r="E5336" s="16">
        <f>IFERROR(__xludf.DUMMYFUNCTION("""COMPUTED_VALUE"""),67.0)</f>
        <v>67</v>
      </c>
      <c r="F5336" s="19" t="str">
        <f>IFERROR(__xludf.DUMMYFUNCTION("""COMPUTED_VALUE"""),"BLUE")</f>
        <v>BLUE</v>
      </c>
      <c r="G5336" s="20" t="str">
        <f>IFERROR(__xludf.DUMMYFUNCTION("""COMPUTED_VALUE"""),"Uncle Sams Cider (04/04/2023)")</f>
        <v>Uncle Sams Cider (04/04/2023)</v>
      </c>
      <c r="H5336" s="19"/>
    </row>
    <row r="5337">
      <c r="A5337" s="9"/>
      <c r="B5337" s="15"/>
      <c r="C5337" s="9">
        <f>IFERROR(__xludf.DUMMYFUNCTION("""COMPUTED_VALUE"""),45088.5456649652)</f>
        <v>45088.54566</v>
      </c>
      <c r="D5337" s="15">
        <f>IFERROR(__xludf.DUMMYFUNCTION("""COMPUTED_VALUE"""),1.004)</f>
        <v>1.004</v>
      </c>
      <c r="E5337" s="16">
        <f>IFERROR(__xludf.DUMMYFUNCTION("""COMPUTED_VALUE"""),67.0)</f>
        <v>67</v>
      </c>
      <c r="F5337" s="19" t="str">
        <f>IFERROR(__xludf.DUMMYFUNCTION("""COMPUTED_VALUE"""),"BLUE")</f>
        <v>BLUE</v>
      </c>
      <c r="G5337" s="20" t="str">
        <f>IFERROR(__xludf.DUMMYFUNCTION("""COMPUTED_VALUE"""),"Uncle Sams Cider (04/04/2023)")</f>
        <v>Uncle Sams Cider (04/04/2023)</v>
      </c>
      <c r="H5337" s="19"/>
    </row>
    <row r="5338">
      <c r="A5338" s="9"/>
      <c r="B5338" s="15"/>
      <c r="C5338" s="9">
        <f>IFERROR(__xludf.DUMMYFUNCTION("""COMPUTED_VALUE"""),45088.5352424074)</f>
        <v>45088.53524</v>
      </c>
      <c r="D5338" s="15">
        <f>IFERROR(__xludf.DUMMYFUNCTION("""COMPUTED_VALUE"""),1.004)</f>
        <v>1.004</v>
      </c>
      <c r="E5338" s="16">
        <f>IFERROR(__xludf.DUMMYFUNCTION("""COMPUTED_VALUE"""),67.0)</f>
        <v>67</v>
      </c>
      <c r="F5338" s="19" t="str">
        <f>IFERROR(__xludf.DUMMYFUNCTION("""COMPUTED_VALUE"""),"BLUE")</f>
        <v>BLUE</v>
      </c>
      <c r="G5338" s="20" t="str">
        <f>IFERROR(__xludf.DUMMYFUNCTION("""COMPUTED_VALUE"""),"Uncle Sams Cider (04/04/2023)")</f>
        <v>Uncle Sams Cider (04/04/2023)</v>
      </c>
      <c r="H5338" s="19"/>
    </row>
    <row r="5339">
      <c r="A5339" s="9"/>
      <c r="B5339" s="15"/>
      <c r="C5339" s="9">
        <f>IFERROR(__xludf.DUMMYFUNCTION("""COMPUTED_VALUE"""),45088.5248112847)</f>
        <v>45088.52481</v>
      </c>
      <c r="D5339" s="15">
        <f>IFERROR(__xludf.DUMMYFUNCTION("""COMPUTED_VALUE"""),1.004)</f>
        <v>1.004</v>
      </c>
      <c r="E5339" s="16">
        <f>IFERROR(__xludf.DUMMYFUNCTION("""COMPUTED_VALUE"""),67.0)</f>
        <v>67</v>
      </c>
      <c r="F5339" s="19" t="str">
        <f>IFERROR(__xludf.DUMMYFUNCTION("""COMPUTED_VALUE"""),"BLUE")</f>
        <v>BLUE</v>
      </c>
      <c r="G5339" s="20" t="str">
        <f>IFERROR(__xludf.DUMMYFUNCTION("""COMPUTED_VALUE"""),"Uncle Sams Cider (04/04/2023)")</f>
        <v>Uncle Sams Cider (04/04/2023)</v>
      </c>
      <c r="H5339" s="19"/>
    </row>
    <row r="5340">
      <c r="A5340" s="9"/>
      <c r="B5340" s="15"/>
      <c r="C5340" s="9">
        <f>IFERROR(__xludf.DUMMYFUNCTION("""COMPUTED_VALUE"""),45088.5143895601)</f>
        <v>45088.51439</v>
      </c>
      <c r="D5340" s="15">
        <f>IFERROR(__xludf.DUMMYFUNCTION("""COMPUTED_VALUE"""),1.004)</f>
        <v>1.004</v>
      </c>
      <c r="E5340" s="16">
        <f>IFERROR(__xludf.DUMMYFUNCTION("""COMPUTED_VALUE"""),67.0)</f>
        <v>67</v>
      </c>
      <c r="F5340" s="19" t="str">
        <f>IFERROR(__xludf.DUMMYFUNCTION("""COMPUTED_VALUE"""),"BLUE")</f>
        <v>BLUE</v>
      </c>
      <c r="G5340" s="20" t="str">
        <f>IFERROR(__xludf.DUMMYFUNCTION("""COMPUTED_VALUE"""),"Uncle Sams Cider (04/04/2023)")</f>
        <v>Uncle Sams Cider (04/04/2023)</v>
      </c>
      <c r="H5340" s="19"/>
    </row>
    <row r="5341">
      <c r="A5341" s="9"/>
      <c r="B5341" s="15"/>
      <c r="C5341" s="9">
        <f>IFERROR(__xludf.DUMMYFUNCTION("""COMPUTED_VALUE"""),45088.5039674074)</f>
        <v>45088.50397</v>
      </c>
      <c r="D5341" s="15">
        <f>IFERROR(__xludf.DUMMYFUNCTION("""COMPUTED_VALUE"""),1.004)</f>
        <v>1.004</v>
      </c>
      <c r="E5341" s="16">
        <f>IFERROR(__xludf.DUMMYFUNCTION("""COMPUTED_VALUE"""),67.0)</f>
        <v>67</v>
      </c>
      <c r="F5341" s="19" t="str">
        <f>IFERROR(__xludf.DUMMYFUNCTION("""COMPUTED_VALUE"""),"BLUE")</f>
        <v>BLUE</v>
      </c>
      <c r="G5341" s="20" t="str">
        <f>IFERROR(__xludf.DUMMYFUNCTION("""COMPUTED_VALUE"""),"Uncle Sams Cider (04/04/2023)")</f>
        <v>Uncle Sams Cider (04/04/2023)</v>
      </c>
      <c r="H5341" s="19"/>
    </row>
    <row r="5342">
      <c r="A5342" s="9"/>
      <c r="B5342" s="15"/>
      <c r="C5342" s="9">
        <f>IFERROR(__xludf.DUMMYFUNCTION("""COMPUTED_VALUE"""),45088.4935464467)</f>
        <v>45088.49355</v>
      </c>
      <c r="D5342" s="15">
        <f>IFERROR(__xludf.DUMMYFUNCTION("""COMPUTED_VALUE"""),1.004)</f>
        <v>1.004</v>
      </c>
      <c r="E5342" s="16">
        <f>IFERROR(__xludf.DUMMYFUNCTION("""COMPUTED_VALUE"""),67.0)</f>
        <v>67</v>
      </c>
      <c r="F5342" s="19" t="str">
        <f>IFERROR(__xludf.DUMMYFUNCTION("""COMPUTED_VALUE"""),"BLUE")</f>
        <v>BLUE</v>
      </c>
      <c r="G5342" s="20" t="str">
        <f>IFERROR(__xludf.DUMMYFUNCTION("""COMPUTED_VALUE"""),"Uncle Sams Cider (04/04/2023)")</f>
        <v>Uncle Sams Cider (04/04/2023)</v>
      </c>
      <c r="H5342" s="19"/>
    </row>
    <row r="5343">
      <c r="A5343" s="9"/>
      <c r="B5343" s="15"/>
      <c r="C5343" s="9">
        <f>IFERROR(__xludf.DUMMYFUNCTION("""COMPUTED_VALUE"""),45088.4831150578)</f>
        <v>45088.48312</v>
      </c>
      <c r="D5343" s="15">
        <f>IFERROR(__xludf.DUMMYFUNCTION("""COMPUTED_VALUE"""),1.004)</f>
        <v>1.004</v>
      </c>
      <c r="E5343" s="16">
        <f>IFERROR(__xludf.DUMMYFUNCTION("""COMPUTED_VALUE"""),67.0)</f>
        <v>67</v>
      </c>
      <c r="F5343" s="19" t="str">
        <f>IFERROR(__xludf.DUMMYFUNCTION("""COMPUTED_VALUE"""),"BLUE")</f>
        <v>BLUE</v>
      </c>
      <c r="G5343" s="20" t="str">
        <f>IFERROR(__xludf.DUMMYFUNCTION("""COMPUTED_VALUE"""),"Uncle Sams Cider (04/04/2023)")</f>
        <v>Uncle Sams Cider (04/04/2023)</v>
      </c>
      <c r="H5343" s="19"/>
    </row>
    <row r="5344">
      <c r="A5344" s="9"/>
      <c r="B5344" s="15"/>
      <c r="C5344" s="9">
        <f>IFERROR(__xludf.DUMMYFUNCTION("""COMPUTED_VALUE"""),45088.4726933333)</f>
        <v>45088.47269</v>
      </c>
      <c r="D5344" s="15">
        <f>IFERROR(__xludf.DUMMYFUNCTION("""COMPUTED_VALUE"""),1.004)</f>
        <v>1.004</v>
      </c>
      <c r="E5344" s="16">
        <f>IFERROR(__xludf.DUMMYFUNCTION("""COMPUTED_VALUE"""),67.0)</f>
        <v>67</v>
      </c>
      <c r="F5344" s="19" t="str">
        <f>IFERROR(__xludf.DUMMYFUNCTION("""COMPUTED_VALUE"""),"BLUE")</f>
        <v>BLUE</v>
      </c>
      <c r="G5344" s="20" t="str">
        <f>IFERROR(__xludf.DUMMYFUNCTION("""COMPUTED_VALUE"""),"Uncle Sams Cider (04/04/2023)")</f>
        <v>Uncle Sams Cider (04/04/2023)</v>
      </c>
      <c r="H5344" s="19"/>
    </row>
    <row r="5345">
      <c r="A5345" s="9"/>
      <c r="B5345" s="15"/>
      <c r="C5345" s="9">
        <f>IFERROR(__xludf.DUMMYFUNCTION("""COMPUTED_VALUE"""),45088.462270324)</f>
        <v>45088.46227</v>
      </c>
      <c r="D5345" s="15">
        <f>IFERROR(__xludf.DUMMYFUNCTION("""COMPUTED_VALUE"""),1.004)</f>
        <v>1.004</v>
      </c>
      <c r="E5345" s="16">
        <f>IFERROR(__xludf.DUMMYFUNCTION("""COMPUTED_VALUE"""),67.0)</f>
        <v>67</v>
      </c>
      <c r="F5345" s="19" t="str">
        <f>IFERROR(__xludf.DUMMYFUNCTION("""COMPUTED_VALUE"""),"BLUE")</f>
        <v>BLUE</v>
      </c>
      <c r="G5345" s="20" t="str">
        <f>IFERROR(__xludf.DUMMYFUNCTION("""COMPUTED_VALUE"""),"Uncle Sams Cider (04/04/2023)")</f>
        <v>Uncle Sams Cider (04/04/2023)</v>
      </c>
      <c r="H5345" s="19"/>
    </row>
    <row r="5346">
      <c r="A5346" s="9"/>
      <c r="B5346" s="15"/>
      <c r="C5346" s="9">
        <f>IFERROR(__xludf.DUMMYFUNCTION("""COMPUTED_VALUE"""),45088.4518485532)</f>
        <v>45088.45185</v>
      </c>
      <c r="D5346" s="15">
        <f>IFERROR(__xludf.DUMMYFUNCTION("""COMPUTED_VALUE"""),1.004)</f>
        <v>1.004</v>
      </c>
      <c r="E5346" s="16">
        <f>IFERROR(__xludf.DUMMYFUNCTION("""COMPUTED_VALUE"""),67.0)</f>
        <v>67</v>
      </c>
      <c r="F5346" s="19" t="str">
        <f>IFERROR(__xludf.DUMMYFUNCTION("""COMPUTED_VALUE"""),"BLUE")</f>
        <v>BLUE</v>
      </c>
      <c r="G5346" s="20" t="str">
        <f>IFERROR(__xludf.DUMMYFUNCTION("""COMPUTED_VALUE"""),"Uncle Sams Cider (04/04/2023)")</f>
        <v>Uncle Sams Cider (04/04/2023)</v>
      </c>
      <c r="H5346" s="19"/>
    </row>
    <row r="5347">
      <c r="A5347" s="9"/>
      <c r="B5347" s="15"/>
      <c r="C5347" s="9">
        <f>IFERROR(__xludf.DUMMYFUNCTION("""COMPUTED_VALUE"""),45088.441427824)</f>
        <v>45088.44143</v>
      </c>
      <c r="D5347" s="15">
        <f>IFERROR(__xludf.DUMMYFUNCTION("""COMPUTED_VALUE"""),1.004)</f>
        <v>1.004</v>
      </c>
      <c r="E5347" s="16">
        <f>IFERROR(__xludf.DUMMYFUNCTION("""COMPUTED_VALUE"""),67.0)</f>
        <v>67</v>
      </c>
      <c r="F5347" s="19" t="str">
        <f>IFERROR(__xludf.DUMMYFUNCTION("""COMPUTED_VALUE"""),"BLUE")</f>
        <v>BLUE</v>
      </c>
      <c r="G5347" s="20" t="str">
        <f>IFERROR(__xludf.DUMMYFUNCTION("""COMPUTED_VALUE"""),"Uncle Sams Cider (04/04/2023)")</f>
        <v>Uncle Sams Cider (04/04/2023)</v>
      </c>
      <c r="H5347" s="19"/>
    </row>
    <row r="5348">
      <c r="A5348" s="9"/>
      <c r="B5348" s="15"/>
      <c r="C5348" s="9">
        <f>IFERROR(__xludf.DUMMYFUNCTION("""COMPUTED_VALUE"""),45088.4310064467)</f>
        <v>45088.43101</v>
      </c>
      <c r="D5348" s="15">
        <f>IFERROR(__xludf.DUMMYFUNCTION("""COMPUTED_VALUE"""),1.004)</f>
        <v>1.004</v>
      </c>
      <c r="E5348" s="16">
        <f>IFERROR(__xludf.DUMMYFUNCTION("""COMPUTED_VALUE"""),67.0)</f>
        <v>67</v>
      </c>
      <c r="F5348" s="19" t="str">
        <f>IFERROR(__xludf.DUMMYFUNCTION("""COMPUTED_VALUE"""),"BLUE")</f>
        <v>BLUE</v>
      </c>
      <c r="G5348" s="20" t="str">
        <f>IFERROR(__xludf.DUMMYFUNCTION("""COMPUTED_VALUE"""),"Uncle Sams Cider (04/04/2023)")</f>
        <v>Uncle Sams Cider (04/04/2023)</v>
      </c>
      <c r="H5348" s="19"/>
    </row>
    <row r="5349">
      <c r="A5349" s="9"/>
      <c r="B5349" s="15"/>
      <c r="C5349" s="9">
        <f>IFERROR(__xludf.DUMMYFUNCTION("""COMPUTED_VALUE"""),45088.420585625)</f>
        <v>45088.42059</v>
      </c>
      <c r="D5349" s="15">
        <f>IFERROR(__xludf.DUMMYFUNCTION("""COMPUTED_VALUE"""),1.004)</f>
        <v>1.004</v>
      </c>
      <c r="E5349" s="16">
        <f>IFERROR(__xludf.DUMMYFUNCTION("""COMPUTED_VALUE"""),67.0)</f>
        <v>67</v>
      </c>
      <c r="F5349" s="19" t="str">
        <f>IFERROR(__xludf.DUMMYFUNCTION("""COMPUTED_VALUE"""),"BLUE")</f>
        <v>BLUE</v>
      </c>
      <c r="G5349" s="20" t="str">
        <f>IFERROR(__xludf.DUMMYFUNCTION("""COMPUTED_VALUE"""),"Uncle Sams Cider (04/04/2023)")</f>
        <v>Uncle Sams Cider (04/04/2023)</v>
      </c>
      <c r="H5349" s="19"/>
    </row>
    <row r="5350">
      <c r="A5350" s="9"/>
      <c r="B5350" s="15"/>
      <c r="C5350" s="9">
        <f>IFERROR(__xludf.DUMMYFUNCTION("""COMPUTED_VALUE"""),45088.4101659375)</f>
        <v>45088.41017</v>
      </c>
      <c r="D5350" s="15">
        <f>IFERROR(__xludf.DUMMYFUNCTION("""COMPUTED_VALUE"""),1.004)</f>
        <v>1.004</v>
      </c>
      <c r="E5350" s="16">
        <f>IFERROR(__xludf.DUMMYFUNCTION("""COMPUTED_VALUE"""),67.0)</f>
        <v>67</v>
      </c>
      <c r="F5350" s="19" t="str">
        <f>IFERROR(__xludf.DUMMYFUNCTION("""COMPUTED_VALUE"""),"BLUE")</f>
        <v>BLUE</v>
      </c>
      <c r="G5350" s="20" t="str">
        <f>IFERROR(__xludf.DUMMYFUNCTION("""COMPUTED_VALUE"""),"Uncle Sams Cider (04/04/2023)")</f>
        <v>Uncle Sams Cider (04/04/2023)</v>
      </c>
      <c r="H5350" s="19"/>
    </row>
    <row r="5351">
      <c r="A5351" s="9"/>
      <c r="B5351" s="15"/>
      <c r="C5351" s="9">
        <f>IFERROR(__xludf.DUMMYFUNCTION("""COMPUTED_VALUE"""),45088.3997452893)</f>
        <v>45088.39975</v>
      </c>
      <c r="D5351" s="15">
        <f>IFERROR(__xludf.DUMMYFUNCTION("""COMPUTED_VALUE"""),1.004)</f>
        <v>1.004</v>
      </c>
      <c r="E5351" s="16">
        <f>IFERROR(__xludf.DUMMYFUNCTION("""COMPUTED_VALUE"""),67.0)</f>
        <v>67</v>
      </c>
      <c r="F5351" s="19" t="str">
        <f>IFERROR(__xludf.DUMMYFUNCTION("""COMPUTED_VALUE"""),"BLUE")</f>
        <v>BLUE</v>
      </c>
      <c r="G5351" s="20" t="str">
        <f>IFERROR(__xludf.DUMMYFUNCTION("""COMPUTED_VALUE"""),"Uncle Sams Cider (04/04/2023)")</f>
        <v>Uncle Sams Cider (04/04/2023)</v>
      </c>
      <c r="H5351" s="19"/>
    </row>
    <row r="5352">
      <c r="A5352" s="9"/>
      <c r="B5352" s="15"/>
      <c r="C5352" s="9">
        <f>IFERROR(__xludf.DUMMYFUNCTION("""COMPUTED_VALUE"""),45088.3893245717)</f>
        <v>45088.38932</v>
      </c>
      <c r="D5352" s="15">
        <f>IFERROR(__xludf.DUMMYFUNCTION("""COMPUTED_VALUE"""),1.004)</f>
        <v>1.004</v>
      </c>
      <c r="E5352" s="16">
        <f>IFERROR(__xludf.DUMMYFUNCTION("""COMPUTED_VALUE"""),67.0)</f>
        <v>67</v>
      </c>
      <c r="F5352" s="19" t="str">
        <f>IFERROR(__xludf.DUMMYFUNCTION("""COMPUTED_VALUE"""),"BLUE")</f>
        <v>BLUE</v>
      </c>
      <c r="G5352" s="20" t="str">
        <f>IFERROR(__xludf.DUMMYFUNCTION("""COMPUTED_VALUE"""),"Uncle Sams Cider (04/04/2023)")</f>
        <v>Uncle Sams Cider (04/04/2023)</v>
      </c>
      <c r="H5352" s="19"/>
    </row>
    <row r="5353">
      <c r="A5353" s="9"/>
      <c r="B5353" s="15"/>
      <c r="C5353" s="9">
        <f>IFERROR(__xludf.DUMMYFUNCTION("""COMPUTED_VALUE"""),45088.3789044328)</f>
        <v>45088.3789</v>
      </c>
      <c r="D5353" s="15">
        <f>IFERROR(__xludf.DUMMYFUNCTION("""COMPUTED_VALUE"""),1.004)</f>
        <v>1.004</v>
      </c>
      <c r="E5353" s="16">
        <f>IFERROR(__xludf.DUMMYFUNCTION("""COMPUTED_VALUE"""),67.0)</f>
        <v>67</v>
      </c>
      <c r="F5353" s="19" t="str">
        <f>IFERROR(__xludf.DUMMYFUNCTION("""COMPUTED_VALUE"""),"BLUE")</f>
        <v>BLUE</v>
      </c>
      <c r="G5353" s="20" t="str">
        <f>IFERROR(__xludf.DUMMYFUNCTION("""COMPUTED_VALUE"""),"Uncle Sams Cider (04/04/2023)")</f>
        <v>Uncle Sams Cider (04/04/2023)</v>
      </c>
      <c r="H5353" s="19"/>
    </row>
    <row r="5354">
      <c r="A5354" s="9"/>
      <c r="B5354" s="15"/>
      <c r="C5354" s="9">
        <f>IFERROR(__xludf.DUMMYFUNCTION("""COMPUTED_VALUE"""),45088.3684818402)</f>
        <v>45088.36848</v>
      </c>
      <c r="D5354" s="15">
        <f>IFERROR(__xludf.DUMMYFUNCTION("""COMPUTED_VALUE"""),1.004)</f>
        <v>1.004</v>
      </c>
      <c r="E5354" s="16">
        <f>IFERROR(__xludf.DUMMYFUNCTION("""COMPUTED_VALUE"""),67.0)</f>
        <v>67</v>
      </c>
      <c r="F5354" s="19" t="str">
        <f>IFERROR(__xludf.DUMMYFUNCTION("""COMPUTED_VALUE"""),"BLUE")</f>
        <v>BLUE</v>
      </c>
      <c r="G5354" s="20" t="str">
        <f>IFERROR(__xludf.DUMMYFUNCTION("""COMPUTED_VALUE"""),"Uncle Sams Cider (04/04/2023)")</f>
        <v>Uncle Sams Cider (04/04/2023)</v>
      </c>
      <c r="H5354" s="19"/>
    </row>
    <row r="5355">
      <c r="A5355" s="9"/>
      <c r="B5355" s="15"/>
      <c r="C5355" s="9">
        <f>IFERROR(__xludf.DUMMYFUNCTION("""COMPUTED_VALUE"""),45088.3580582638)</f>
        <v>45088.35806</v>
      </c>
      <c r="D5355" s="15">
        <f>IFERROR(__xludf.DUMMYFUNCTION("""COMPUTED_VALUE"""),1.004)</f>
        <v>1.004</v>
      </c>
      <c r="E5355" s="16">
        <f>IFERROR(__xludf.DUMMYFUNCTION("""COMPUTED_VALUE"""),67.0)</f>
        <v>67</v>
      </c>
      <c r="F5355" s="19" t="str">
        <f>IFERROR(__xludf.DUMMYFUNCTION("""COMPUTED_VALUE"""),"BLUE")</f>
        <v>BLUE</v>
      </c>
      <c r="G5355" s="20" t="str">
        <f>IFERROR(__xludf.DUMMYFUNCTION("""COMPUTED_VALUE"""),"Uncle Sams Cider (04/04/2023)")</f>
        <v>Uncle Sams Cider (04/04/2023)</v>
      </c>
      <c r="H5355" s="19"/>
    </row>
    <row r="5356">
      <c r="A5356" s="9"/>
      <c r="B5356" s="15"/>
      <c r="C5356" s="9">
        <f>IFERROR(__xludf.DUMMYFUNCTION("""COMPUTED_VALUE"""),45088.3476381597)</f>
        <v>45088.34764</v>
      </c>
      <c r="D5356" s="15">
        <f>IFERROR(__xludf.DUMMYFUNCTION("""COMPUTED_VALUE"""),1.004)</f>
        <v>1.004</v>
      </c>
      <c r="E5356" s="16">
        <f>IFERROR(__xludf.DUMMYFUNCTION("""COMPUTED_VALUE"""),67.0)</f>
        <v>67</v>
      </c>
      <c r="F5356" s="19" t="str">
        <f>IFERROR(__xludf.DUMMYFUNCTION("""COMPUTED_VALUE"""),"BLUE")</f>
        <v>BLUE</v>
      </c>
      <c r="G5356" s="20" t="str">
        <f>IFERROR(__xludf.DUMMYFUNCTION("""COMPUTED_VALUE"""),"Uncle Sams Cider (04/04/2023)")</f>
        <v>Uncle Sams Cider (04/04/2023)</v>
      </c>
      <c r="H5356" s="19"/>
    </row>
    <row r="5357">
      <c r="A5357" s="9"/>
      <c r="B5357" s="15"/>
      <c r="C5357" s="9">
        <f>IFERROR(__xludf.DUMMYFUNCTION("""COMPUTED_VALUE"""),45088.3371597569)</f>
        <v>45088.33716</v>
      </c>
      <c r="D5357" s="15">
        <f>IFERROR(__xludf.DUMMYFUNCTION("""COMPUTED_VALUE"""),1.004)</f>
        <v>1.004</v>
      </c>
      <c r="E5357" s="16">
        <f>IFERROR(__xludf.DUMMYFUNCTION("""COMPUTED_VALUE"""),67.0)</f>
        <v>67</v>
      </c>
      <c r="F5357" s="19" t="str">
        <f>IFERROR(__xludf.DUMMYFUNCTION("""COMPUTED_VALUE"""),"BLUE")</f>
        <v>BLUE</v>
      </c>
      <c r="G5357" s="20" t="str">
        <f>IFERROR(__xludf.DUMMYFUNCTION("""COMPUTED_VALUE"""),"Uncle Sams Cider (04/04/2023)")</f>
        <v>Uncle Sams Cider (04/04/2023)</v>
      </c>
      <c r="H5357" s="19"/>
    </row>
    <row r="5358">
      <c r="A5358" s="9"/>
      <c r="B5358" s="15"/>
      <c r="C5358" s="9">
        <f>IFERROR(__xludf.DUMMYFUNCTION("""COMPUTED_VALUE"""),45088.3267396759)</f>
        <v>45088.32674</v>
      </c>
      <c r="D5358" s="15">
        <f>IFERROR(__xludf.DUMMYFUNCTION("""COMPUTED_VALUE"""),1.004)</f>
        <v>1.004</v>
      </c>
      <c r="E5358" s="16">
        <f>IFERROR(__xludf.DUMMYFUNCTION("""COMPUTED_VALUE"""),67.0)</f>
        <v>67</v>
      </c>
      <c r="F5358" s="19" t="str">
        <f>IFERROR(__xludf.DUMMYFUNCTION("""COMPUTED_VALUE"""),"BLUE")</f>
        <v>BLUE</v>
      </c>
      <c r="G5358" s="20" t="str">
        <f>IFERROR(__xludf.DUMMYFUNCTION("""COMPUTED_VALUE"""),"Uncle Sams Cider (04/04/2023)")</f>
        <v>Uncle Sams Cider (04/04/2023)</v>
      </c>
      <c r="H5358" s="19"/>
    </row>
    <row r="5359">
      <c r="A5359" s="9"/>
      <c r="B5359" s="15"/>
      <c r="C5359" s="9">
        <f>IFERROR(__xludf.DUMMYFUNCTION("""COMPUTED_VALUE"""),45088.3162952546)</f>
        <v>45088.3163</v>
      </c>
      <c r="D5359" s="15">
        <f>IFERROR(__xludf.DUMMYFUNCTION("""COMPUTED_VALUE"""),1.004)</f>
        <v>1.004</v>
      </c>
      <c r="E5359" s="16">
        <f>IFERROR(__xludf.DUMMYFUNCTION("""COMPUTED_VALUE"""),67.0)</f>
        <v>67</v>
      </c>
      <c r="F5359" s="19" t="str">
        <f>IFERROR(__xludf.DUMMYFUNCTION("""COMPUTED_VALUE"""),"BLUE")</f>
        <v>BLUE</v>
      </c>
      <c r="G5359" s="20" t="str">
        <f>IFERROR(__xludf.DUMMYFUNCTION("""COMPUTED_VALUE"""),"Uncle Sams Cider (04/04/2023)")</f>
        <v>Uncle Sams Cider (04/04/2023)</v>
      </c>
      <c r="H5359" s="19"/>
    </row>
    <row r="5360">
      <c r="A5360" s="9"/>
      <c r="B5360" s="15"/>
      <c r="C5360" s="9">
        <f>IFERROR(__xludf.DUMMYFUNCTION("""COMPUTED_VALUE"""),45088.3058624074)</f>
        <v>45088.30586</v>
      </c>
      <c r="D5360" s="15">
        <f>IFERROR(__xludf.DUMMYFUNCTION("""COMPUTED_VALUE"""),1.004)</f>
        <v>1.004</v>
      </c>
      <c r="E5360" s="16">
        <f>IFERROR(__xludf.DUMMYFUNCTION("""COMPUTED_VALUE"""),67.0)</f>
        <v>67</v>
      </c>
      <c r="F5360" s="19" t="str">
        <f>IFERROR(__xludf.DUMMYFUNCTION("""COMPUTED_VALUE"""),"BLUE")</f>
        <v>BLUE</v>
      </c>
      <c r="G5360" s="20" t="str">
        <f>IFERROR(__xludf.DUMMYFUNCTION("""COMPUTED_VALUE"""),"Uncle Sams Cider (04/04/2023)")</f>
        <v>Uncle Sams Cider (04/04/2023)</v>
      </c>
      <c r="H5360" s="19"/>
    </row>
    <row r="5361">
      <c r="A5361" s="9"/>
      <c r="B5361" s="15"/>
      <c r="C5361" s="9">
        <f>IFERROR(__xludf.DUMMYFUNCTION("""COMPUTED_VALUE"""),45088.2954419907)</f>
        <v>45088.29544</v>
      </c>
      <c r="D5361" s="15">
        <f>IFERROR(__xludf.DUMMYFUNCTION("""COMPUTED_VALUE"""),1.004)</f>
        <v>1.004</v>
      </c>
      <c r="E5361" s="16">
        <f>IFERROR(__xludf.DUMMYFUNCTION("""COMPUTED_VALUE"""),67.0)</f>
        <v>67</v>
      </c>
      <c r="F5361" s="19" t="str">
        <f>IFERROR(__xludf.DUMMYFUNCTION("""COMPUTED_VALUE"""),"BLUE")</f>
        <v>BLUE</v>
      </c>
      <c r="G5361" s="20" t="str">
        <f>IFERROR(__xludf.DUMMYFUNCTION("""COMPUTED_VALUE"""),"Uncle Sams Cider (04/04/2023)")</f>
        <v>Uncle Sams Cider (04/04/2023)</v>
      </c>
      <c r="H5361" s="19"/>
    </row>
    <row r="5362">
      <c r="A5362" s="9"/>
      <c r="B5362" s="15"/>
      <c r="C5362" s="9">
        <f>IFERROR(__xludf.DUMMYFUNCTION("""COMPUTED_VALUE"""),45088.2850198958)</f>
        <v>45088.28502</v>
      </c>
      <c r="D5362" s="15">
        <f>IFERROR(__xludf.DUMMYFUNCTION("""COMPUTED_VALUE"""),1.004)</f>
        <v>1.004</v>
      </c>
      <c r="E5362" s="16">
        <f>IFERROR(__xludf.DUMMYFUNCTION("""COMPUTED_VALUE"""),67.0)</f>
        <v>67</v>
      </c>
      <c r="F5362" s="19" t="str">
        <f>IFERROR(__xludf.DUMMYFUNCTION("""COMPUTED_VALUE"""),"BLUE")</f>
        <v>BLUE</v>
      </c>
      <c r="G5362" s="20" t="str">
        <f>IFERROR(__xludf.DUMMYFUNCTION("""COMPUTED_VALUE"""),"Uncle Sams Cider (04/04/2023)")</f>
        <v>Uncle Sams Cider (04/04/2023)</v>
      </c>
      <c r="H5362" s="19"/>
    </row>
    <row r="5363">
      <c r="A5363" s="9"/>
      <c r="B5363" s="15"/>
      <c r="C5363" s="9">
        <f>IFERROR(__xludf.DUMMYFUNCTION("""COMPUTED_VALUE"""),45088.2745629051)</f>
        <v>45088.27456</v>
      </c>
      <c r="D5363" s="15">
        <f>IFERROR(__xludf.DUMMYFUNCTION("""COMPUTED_VALUE"""),1.004)</f>
        <v>1.004</v>
      </c>
      <c r="E5363" s="16">
        <f>IFERROR(__xludf.DUMMYFUNCTION("""COMPUTED_VALUE"""),67.0)</f>
        <v>67</v>
      </c>
      <c r="F5363" s="19" t="str">
        <f>IFERROR(__xludf.DUMMYFUNCTION("""COMPUTED_VALUE"""),"BLUE")</f>
        <v>BLUE</v>
      </c>
      <c r="G5363" s="20" t="str">
        <f>IFERROR(__xludf.DUMMYFUNCTION("""COMPUTED_VALUE"""),"Uncle Sams Cider (04/04/2023)")</f>
        <v>Uncle Sams Cider (04/04/2023)</v>
      </c>
      <c r="H5363" s="19"/>
    </row>
    <row r="5364">
      <c r="A5364" s="9"/>
      <c r="B5364" s="15"/>
      <c r="C5364" s="9">
        <f>IFERROR(__xludf.DUMMYFUNCTION("""COMPUTED_VALUE"""),45088.264140243)</f>
        <v>45088.26414</v>
      </c>
      <c r="D5364" s="15">
        <f>IFERROR(__xludf.DUMMYFUNCTION("""COMPUTED_VALUE"""),1.004)</f>
        <v>1.004</v>
      </c>
      <c r="E5364" s="16">
        <f>IFERROR(__xludf.DUMMYFUNCTION("""COMPUTED_VALUE"""),67.0)</f>
        <v>67</v>
      </c>
      <c r="F5364" s="19" t="str">
        <f>IFERROR(__xludf.DUMMYFUNCTION("""COMPUTED_VALUE"""),"BLUE")</f>
        <v>BLUE</v>
      </c>
      <c r="G5364" s="20" t="str">
        <f>IFERROR(__xludf.DUMMYFUNCTION("""COMPUTED_VALUE"""),"Uncle Sams Cider (04/04/2023)")</f>
        <v>Uncle Sams Cider (04/04/2023)</v>
      </c>
      <c r="H5364" s="19"/>
    </row>
    <row r="5365">
      <c r="A5365" s="9"/>
      <c r="B5365" s="15"/>
      <c r="C5365" s="9">
        <f>IFERROR(__xludf.DUMMYFUNCTION("""COMPUTED_VALUE"""),45088.2537080208)</f>
        <v>45088.25371</v>
      </c>
      <c r="D5365" s="15">
        <f>IFERROR(__xludf.DUMMYFUNCTION("""COMPUTED_VALUE"""),1.004)</f>
        <v>1.004</v>
      </c>
      <c r="E5365" s="16">
        <f>IFERROR(__xludf.DUMMYFUNCTION("""COMPUTED_VALUE"""),67.0)</f>
        <v>67</v>
      </c>
      <c r="F5365" s="19" t="str">
        <f>IFERROR(__xludf.DUMMYFUNCTION("""COMPUTED_VALUE"""),"BLUE")</f>
        <v>BLUE</v>
      </c>
      <c r="G5365" s="20" t="str">
        <f>IFERROR(__xludf.DUMMYFUNCTION("""COMPUTED_VALUE"""),"Uncle Sams Cider (04/04/2023)")</f>
        <v>Uncle Sams Cider (04/04/2023)</v>
      </c>
      <c r="H5365" s="19"/>
    </row>
    <row r="5366">
      <c r="A5366" s="9"/>
      <c r="B5366" s="15"/>
      <c r="C5366" s="9">
        <f>IFERROR(__xludf.DUMMYFUNCTION("""COMPUTED_VALUE"""),45088.2432893287)</f>
        <v>45088.24329</v>
      </c>
      <c r="D5366" s="15">
        <f>IFERROR(__xludf.DUMMYFUNCTION("""COMPUTED_VALUE"""),1.004)</f>
        <v>1.004</v>
      </c>
      <c r="E5366" s="16">
        <f>IFERROR(__xludf.DUMMYFUNCTION("""COMPUTED_VALUE"""),67.0)</f>
        <v>67</v>
      </c>
      <c r="F5366" s="19" t="str">
        <f>IFERROR(__xludf.DUMMYFUNCTION("""COMPUTED_VALUE"""),"BLUE")</f>
        <v>BLUE</v>
      </c>
      <c r="G5366" s="20" t="str">
        <f>IFERROR(__xludf.DUMMYFUNCTION("""COMPUTED_VALUE"""),"Uncle Sams Cider (04/04/2023)")</f>
        <v>Uncle Sams Cider (04/04/2023)</v>
      </c>
      <c r="H5366" s="19"/>
    </row>
    <row r="5367">
      <c r="A5367" s="9"/>
      <c r="B5367" s="15"/>
      <c r="C5367" s="9">
        <f>IFERROR(__xludf.DUMMYFUNCTION("""COMPUTED_VALUE"""),45088.2328682523)</f>
        <v>45088.23287</v>
      </c>
      <c r="D5367" s="15">
        <f>IFERROR(__xludf.DUMMYFUNCTION("""COMPUTED_VALUE"""),1.004)</f>
        <v>1.004</v>
      </c>
      <c r="E5367" s="16">
        <f>IFERROR(__xludf.DUMMYFUNCTION("""COMPUTED_VALUE"""),67.0)</f>
        <v>67</v>
      </c>
      <c r="F5367" s="19" t="str">
        <f>IFERROR(__xludf.DUMMYFUNCTION("""COMPUTED_VALUE"""),"BLUE")</f>
        <v>BLUE</v>
      </c>
      <c r="G5367" s="20" t="str">
        <f>IFERROR(__xludf.DUMMYFUNCTION("""COMPUTED_VALUE"""),"Uncle Sams Cider (04/04/2023)")</f>
        <v>Uncle Sams Cider (04/04/2023)</v>
      </c>
      <c r="H5367" s="19"/>
    </row>
    <row r="5368">
      <c r="A5368" s="9"/>
      <c r="B5368" s="15"/>
      <c r="C5368" s="9">
        <f>IFERROR(__xludf.DUMMYFUNCTION("""COMPUTED_VALUE"""),45088.222435243)</f>
        <v>45088.22244</v>
      </c>
      <c r="D5368" s="15">
        <f>IFERROR(__xludf.DUMMYFUNCTION("""COMPUTED_VALUE"""),1.004)</f>
        <v>1.004</v>
      </c>
      <c r="E5368" s="16">
        <f>IFERROR(__xludf.DUMMYFUNCTION("""COMPUTED_VALUE"""),67.0)</f>
        <v>67</v>
      </c>
      <c r="F5368" s="19" t="str">
        <f>IFERROR(__xludf.DUMMYFUNCTION("""COMPUTED_VALUE"""),"BLUE")</f>
        <v>BLUE</v>
      </c>
      <c r="G5368" s="20" t="str">
        <f>IFERROR(__xludf.DUMMYFUNCTION("""COMPUTED_VALUE"""),"Uncle Sams Cider (04/04/2023)")</f>
        <v>Uncle Sams Cider (04/04/2023)</v>
      </c>
      <c r="H5368" s="19"/>
    </row>
    <row r="5369">
      <c r="A5369" s="9"/>
      <c r="B5369" s="15"/>
      <c r="C5369" s="9">
        <f>IFERROR(__xludf.DUMMYFUNCTION("""COMPUTED_VALUE"""),45088.212013206)</f>
        <v>45088.21201</v>
      </c>
      <c r="D5369" s="15">
        <f>IFERROR(__xludf.DUMMYFUNCTION("""COMPUTED_VALUE"""),1.004)</f>
        <v>1.004</v>
      </c>
      <c r="E5369" s="16">
        <f>IFERROR(__xludf.DUMMYFUNCTION("""COMPUTED_VALUE"""),67.0)</f>
        <v>67</v>
      </c>
      <c r="F5369" s="19" t="str">
        <f>IFERROR(__xludf.DUMMYFUNCTION("""COMPUTED_VALUE"""),"BLUE")</f>
        <v>BLUE</v>
      </c>
      <c r="G5369" s="20" t="str">
        <f>IFERROR(__xludf.DUMMYFUNCTION("""COMPUTED_VALUE"""),"Uncle Sams Cider (04/04/2023)")</f>
        <v>Uncle Sams Cider (04/04/2023)</v>
      </c>
      <c r="H5369" s="19"/>
    </row>
    <row r="5370">
      <c r="A5370" s="9"/>
      <c r="B5370" s="15"/>
      <c r="C5370" s="9">
        <f>IFERROR(__xludf.DUMMYFUNCTION("""COMPUTED_VALUE"""),45088.2015916666)</f>
        <v>45088.20159</v>
      </c>
      <c r="D5370" s="15">
        <f>IFERROR(__xludf.DUMMYFUNCTION("""COMPUTED_VALUE"""),1.004)</f>
        <v>1.004</v>
      </c>
      <c r="E5370" s="16">
        <f>IFERROR(__xludf.DUMMYFUNCTION("""COMPUTED_VALUE"""),67.0)</f>
        <v>67</v>
      </c>
      <c r="F5370" s="19" t="str">
        <f>IFERROR(__xludf.DUMMYFUNCTION("""COMPUTED_VALUE"""),"BLUE")</f>
        <v>BLUE</v>
      </c>
      <c r="G5370" s="20" t="str">
        <f>IFERROR(__xludf.DUMMYFUNCTION("""COMPUTED_VALUE"""),"Uncle Sams Cider (04/04/2023)")</f>
        <v>Uncle Sams Cider (04/04/2023)</v>
      </c>
      <c r="H5370" s="19"/>
    </row>
    <row r="5371">
      <c r="A5371" s="9"/>
      <c r="B5371" s="15"/>
      <c r="C5371" s="9">
        <f>IFERROR(__xludf.DUMMYFUNCTION("""COMPUTED_VALUE"""),45088.1911699074)</f>
        <v>45088.19117</v>
      </c>
      <c r="D5371" s="15">
        <f>IFERROR(__xludf.DUMMYFUNCTION("""COMPUTED_VALUE"""),1.004)</f>
        <v>1.004</v>
      </c>
      <c r="E5371" s="16">
        <f>IFERROR(__xludf.DUMMYFUNCTION("""COMPUTED_VALUE"""),67.0)</f>
        <v>67</v>
      </c>
      <c r="F5371" s="19" t="str">
        <f>IFERROR(__xludf.DUMMYFUNCTION("""COMPUTED_VALUE"""),"BLUE")</f>
        <v>BLUE</v>
      </c>
      <c r="G5371" s="20" t="str">
        <f>IFERROR(__xludf.DUMMYFUNCTION("""COMPUTED_VALUE"""),"Uncle Sams Cider (04/04/2023)")</f>
        <v>Uncle Sams Cider (04/04/2023)</v>
      </c>
      <c r="H5371" s="19"/>
    </row>
    <row r="5372">
      <c r="A5372" s="9"/>
      <c r="B5372" s="15"/>
      <c r="C5372" s="9">
        <f>IFERROR(__xludf.DUMMYFUNCTION("""COMPUTED_VALUE"""),45088.1807479513)</f>
        <v>45088.18075</v>
      </c>
      <c r="D5372" s="15">
        <f>IFERROR(__xludf.DUMMYFUNCTION("""COMPUTED_VALUE"""),1.004)</f>
        <v>1.004</v>
      </c>
      <c r="E5372" s="16">
        <f>IFERROR(__xludf.DUMMYFUNCTION("""COMPUTED_VALUE"""),67.0)</f>
        <v>67</v>
      </c>
      <c r="F5372" s="19" t="str">
        <f>IFERROR(__xludf.DUMMYFUNCTION("""COMPUTED_VALUE"""),"BLUE")</f>
        <v>BLUE</v>
      </c>
      <c r="G5372" s="20" t="str">
        <f>IFERROR(__xludf.DUMMYFUNCTION("""COMPUTED_VALUE"""),"Uncle Sams Cider (04/04/2023)")</f>
        <v>Uncle Sams Cider (04/04/2023)</v>
      </c>
      <c r="H5372" s="19"/>
    </row>
    <row r="5373">
      <c r="A5373" s="9"/>
      <c r="B5373" s="15"/>
      <c r="C5373" s="9">
        <f>IFERROR(__xludf.DUMMYFUNCTION("""COMPUTED_VALUE"""),45088.1703260995)</f>
        <v>45088.17033</v>
      </c>
      <c r="D5373" s="15">
        <f>IFERROR(__xludf.DUMMYFUNCTION("""COMPUTED_VALUE"""),1.004)</f>
        <v>1.004</v>
      </c>
      <c r="E5373" s="16">
        <f>IFERROR(__xludf.DUMMYFUNCTION("""COMPUTED_VALUE"""),67.0)</f>
        <v>67</v>
      </c>
      <c r="F5373" s="19" t="str">
        <f>IFERROR(__xludf.DUMMYFUNCTION("""COMPUTED_VALUE"""),"BLUE")</f>
        <v>BLUE</v>
      </c>
      <c r="G5373" s="20" t="str">
        <f>IFERROR(__xludf.DUMMYFUNCTION("""COMPUTED_VALUE"""),"Uncle Sams Cider (04/04/2023)")</f>
        <v>Uncle Sams Cider (04/04/2023)</v>
      </c>
      <c r="H5373" s="19"/>
    </row>
    <row r="5374">
      <c r="A5374" s="9"/>
      <c r="B5374" s="15"/>
      <c r="C5374" s="9">
        <f>IFERROR(__xludf.DUMMYFUNCTION("""COMPUTED_VALUE"""),45088.1599052662)</f>
        <v>45088.15991</v>
      </c>
      <c r="D5374" s="15">
        <f>IFERROR(__xludf.DUMMYFUNCTION("""COMPUTED_VALUE"""),1.004)</f>
        <v>1.004</v>
      </c>
      <c r="E5374" s="16">
        <f>IFERROR(__xludf.DUMMYFUNCTION("""COMPUTED_VALUE"""),67.0)</f>
        <v>67</v>
      </c>
      <c r="F5374" s="19" t="str">
        <f>IFERROR(__xludf.DUMMYFUNCTION("""COMPUTED_VALUE"""),"BLUE")</f>
        <v>BLUE</v>
      </c>
      <c r="G5374" s="20" t="str">
        <f>IFERROR(__xludf.DUMMYFUNCTION("""COMPUTED_VALUE"""),"Uncle Sams Cider (04/04/2023)")</f>
        <v>Uncle Sams Cider (04/04/2023)</v>
      </c>
      <c r="H5374" s="19"/>
    </row>
    <row r="5375">
      <c r="A5375" s="9"/>
      <c r="B5375" s="15"/>
      <c r="C5375" s="9">
        <f>IFERROR(__xludf.DUMMYFUNCTION("""COMPUTED_VALUE"""),45088.1494837268)</f>
        <v>45088.14948</v>
      </c>
      <c r="D5375" s="15">
        <f>IFERROR(__xludf.DUMMYFUNCTION("""COMPUTED_VALUE"""),1.004)</f>
        <v>1.004</v>
      </c>
      <c r="E5375" s="16">
        <f>IFERROR(__xludf.DUMMYFUNCTION("""COMPUTED_VALUE"""),67.0)</f>
        <v>67</v>
      </c>
      <c r="F5375" s="19" t="str">
        <f>IFERROR(__xludf.DUMMYFUNCTION("""COMPUTED_VALUE"""),"BLUE")</f>
        <v>BLUE</v>
      </c>
      <c r="G5375" s="20" t="str">
        <f>IFERROR(__xludf.DUMMYFUNCTION("""COMPUTED_VALUE"""),"Uncle Sams Cider (04/04/2023)")</f>
        <v>Uncle Sams Cider (04/04/2023)</v>
      </c>
      <c r="H5375" s="19"/>
    </row>
    <row r="5376">
      <c r="A5376" s="9"/>
      <c r="B5376" s="15"/>
      <c r="C5376" s="9">
        <f>IFERROR(__xludf.DUMMYFUNCTION("""COMPUTED_VALUE"""),45088.1390641666)</f>
        <v>45088.13906</v>
      </c>
      <c r="D5376" s="15">
        <f>IFERROR(__xludf.DUMMYFUNCTION("""COMPUTED_VALUE"""),1.004)</f>
        <v>1.004</v>
      </c>
      <c r="E5376" s="16">
        <f>IFERROR(__xludf.DUMMYFUNCTION("""COMPUTED_VALUE"""),67.0)</f>
        <v>67</v>
      </c>
      <c r="F5376" s="19" t="str">
        <f>IFERROR(__xludf.DUMMYFUNCTION("""COMPUTED_VALUE"""),"BLUE")</f>
        <v>BLUE</v>
      </c>
      <c r="G5376" s="20" t="str">
        <f>IFERROR(__xludf.DUMMYFUNCTION("""COMPUTED_VALUE"""),"Uncle Sams Cider (04/04/2023)")</f>
        <v>Uncle Sams Cider (04/04/2023)</v>
      </c>
      <c r="H5376" s="19"/>
    </row>
    <row r="5377">
      <c r="A5377" s="9"/>
      <c r="B5377" s="15"/>
      <c r="C5377" s="9">
        <f>IFERROR(__xludf.DUMMYFUNCTION("""COMPUTED_VALUE"""),45088.1286427314)</f>
        <v>45088.12864</v>
      </c>
      <c r="D5377" s="15">
        <f>IFERROR(__xludf.DUMMYFUNCTION("""COMPUTED_VALUE"""),1.004)</f>
        <v>1.004</v>
      </c>
      <c r="E5377" s="16">
        <f>IFERROR(__xludf.DUMMYFUNCTION("""COMPUTED_VALUE"""),67.0)</f>
        <v>67</v>
      </c>
      <c r="F5377" s="19" t="str">
        <f>IFERROR(__xludf.DUMMYFUNCTION("""COMPUTED_VALUE"""),"BLUE")</f>
        <v>BLUE</v>
      </c>
      <c r="G5377" s="20" t="str">
        <f>IFERROR(__xludf.DUMMYFUNCTION("""COMPUTED_VALUE"""),"Uncle Sams Cider (04/04/2023)")</f>
        <v>Uncle Sams Cider (04/04/2023)</v>
      </c>
      <c r="H5377" s="19"/>
    </row>
    <row r="5378">
      <c r="A5378" s="9"/>
      <c r="B5378" s="15"/>
      <c r="C5378" s="9">
        <f>IFERROR(__xludf.DUMMYFUNCTION("""COMPUTED_VALUE"""),45088.1181980671)</f>
        <v>45088.1182</v>
      </c>
      <c r="D5378" s="15">
        <f>IFERROR(__xludf.DUMMYFUNCTION("""COMPUTED_VALUE"""),1.004)</f>
        <v>1.004</v>
      </c>
      <c r="E5378" s="16">
        <f>IFERROR(__xludf.DUMMYFUNCTION("""COMPUTED_VALUE"""),67.0)</f>
        <v>67</v>
      </c>
      <c r="F5378" s="19" t="str">
        <f>IFERROR(__xludf.DUMMYFUNCTION("""COMPUTED_VALUE"""),"BLUE")</f>
        <v>BLUE</v>
      </c>
      <c r="G5378" s="20" t="str">
        <f>IFERROR(__xludf.DUMMYFUNCTION("""COMPUTED_VALUE"""),"Uncle Sams Cider (04/04/2023)")</f>
        <v>Uncle Sams Cider (04/04/2023)</v>
      </c>
      <c r="H5378" s="19"/>
    </row>
    <row r="5379">
      <c r="A5379" s="9"/>
      <c r="B5379" s="15"/>
      <c r="C5379" s="9">
        <f>IFERROR(__xludf.DUMMYFUNCTION("""COMPUTED_VALUE"""),45088.1077657754)</f>
        <v>45088.10777</v>
      </c>
      <c r="D5379" s="15">
        <f>IFERROR(__xludf.DUMMYFUNCTION("""COMPUTED_VALUE"""),1.004)</f>
        <v>1.004</v>
      </c>
      <c r="E5379" s="16">
        <f>IFERROR(__xludf.DUMMYFUNCTION("""COMPUTED_VALUE"""),67.0)</f>
        <v>67</v>
      </c>
      <c r="F5379" s="19" t="str">
        <f>IFERROR(__xludf.DUMMYFUNCTION("""COMPUTED_VALUE"""),"BLUE")</f>
        <v>BLUE</v>
      </c>
      <c r="G5379" s="20" t="str">
        <f>IFERROR(__xludf.DUMMYFUNCTION("""COMPUTED_VALUE"""),"Uncle Sams Cider (04/04/2023)")</f>
        <v>Uncle Sams Cider (04/04/2023)</v>
      </c>
      <c r="H5379" s="19"/>
    </row>
    <row r="5380">
      <c r="A5380" s="9"/>
      <c r="B5380" s="15"/>
      <c r="C5380" s="9">
        <f>IFERROR(__xludf.DUMMYFUNCTION("""COMPUTED_VALUE"""),45088.0973432523)</f>
        <v>45088.09734</v>
      </c>
      <c r="D5380" s="15">
        <f>IFERROR(__xludf.DUMMYFUNCTION("""COMPUTED_VALUE"""),1.004)</f>
        <v>1.004</v>
      </c>
      <c r="E5380" s="16">
        <f>IFERROR(__xludf.DUMMYFUNCTION("""COMPUTED_VALUE"""),67.0)</f>
        <v>67</v>
      </c>
      <c r="F5380" s="19" t="str">
        <f>IFERROR(__xludf.DUMMYFUNCTION("""COMPUTED_VALUE"""),"BLUE")</f>
        <v>BLUE</v>
      </c>
      <c r="G5380" s="20" t="str">
        <f>IFERROR(__xludf.DUMMYFUNCTION("""COMPUTED_VALUE"""),"Uncle Sams Cider (04/04/2023)")</f>
        <v>Uncle Sams Cider (04/04/2023)</v>
      </c>
      <c r="H5380" s="19"/>
    </row>
    <row r="5381">
      <c r="A5381" s="9"/>
      <c r="B5381" s="15"/>
      <c r="C5381" s="9">
        <f>IFERROR(__xludf.DUMMYFUNCTION("""COMPUTED_VALUE"""),45088.0869232754)</f>
        <v>45088.08692</v>
      </c>
      <c r="D5381" s="15">
        <f>IFERROR(__xludf.DUMMYFUNCTION("""COMPUTED_VALUE"""),1.004)</f>
        <v>1.004</v>
      </c>
      <c r="E5381" s="16">
        <f>IFERROR(__xludf.DUMMYFUNCTION("""COMPUTED_VALUE"""),67.0)</f>
        <v>67</v>
      </c>
      <c r="F5381" s="19" t="str">
        <f>IFERROR(__xludf.DUMMYFUNCTION("""COMPUTED_VALUE"""),"BLUE")</f>
        <v>BLUE</v>
      </c>
      <c r="G5381" s="20" t="str">
        <f>IFERROR(__xludf.DUMMYFUNCTION("""COMPUTED_VALUE"""),"Uncle Sams Cider (04/04/2023)")</f>
        <v>Uncle Sams Cider (04/04/2023)</v>
      </c>
      <c r="H5381" s="19"/>
    </row>
    <row r="5382">
      <c r="A5382" s="9"/>
      <c r="B5382" s="15"/>
      <c r="C5382" s="9">
        <f>IFERROR(__xludf.DUMMYFUNCTION("""COMPUTED_VALUE"""),45088.0765026157)</f>
        <v>45088.0765</v>
      </c>
      <c r="D5382" s="15">
        <f>IFERROR(__xludf.DUMMYFUNCTION("""COMPUTED_VALUE"""),1.004)</f>
        <v>1.004</v>
      </c>
      <c r="E5382" s="16">
        <f>IFERROR(__xludf.DUMMYFUNCTION("""COMPUTED_VALUE"""),67.0)</f>
        <v>67</v>
      </c>
      <c r="F5382" s="19" t="str">
        <f>IFERROR(__xludf.DUMMYFUNCTION("""COMPUTED_VALUE"""),"BLUE")</f>
        <v>BLUE</v>
      </c>
      <c r="G5382" s="20" t="str">
        <f>IFERROR(__xludf.DUMMYFUNCTION("""COMPUTED_VALUE"""),"Uncle Sams Cider (04/04/2023)")</f>
        <v>Uncle Sams Cider (04/04/2023)</v>
      </c>
      <c r="H5382" s="19"/>
    </row>
    <row r="5383">
      <c r="A5383" s="9"/>
      <c r="B5383" s="15"/>
      <c r="C5383" s="9">
        <f>IFERROR(__xludf.DUMMYFUNCTION("""COMPUTED_VALUE"""),45088.0660802546)</f>
        <v>45088.06608</v>
      </c>
      <c r="D5383" s="15">
        <f>IFERROR(__xludf.DUMMYFUNCTION("""COMPUTED_VALUE"""),1.004)</f>
        <v>1.004</v>
      </c>
      <c r="E5383" s="16">
        <f>IFERROR(__xludf.DUMMYFUNCTION("""COMPUTED_VALUE"""),67.0)</f>
        <v>67</v>
      </c>
      <c r="F5383" s="19" t="str">
        <f>IFERROR(__xludf.DUMMYFUNCTION("""COMPUTED_VALUE"""),"BLUE")</f>
        <v>BLUE</v>
      </c>
      <c r="G5383" s="20" t="str">
        <f>IFERROR(__xludf.DUMMYFUNCTION("""COMPUTED_VALUE"""),"Uncle Sams Cider (04/04/2023)")</f>
        <v>Uncle Sams Cider (04/04/2023)</v>
      </c>
      <c r="H5383" s="19"/>
    </row>
    <row r="5384">
      <c r="A5384" s="9"/>
      <c r="B5384" s="15"/>
      <c r="C5384" s="9">
        <f>IFERROR(__xludf.DUMMYFUNCTION("""COMPUTED_VALUE"""),45088.0556481828)</f>
        <v>45088.05565</v>
      </c>
      <c r="D5384" s="15">
        <f>IFERROR(__xludf.DUMMYFUNCTION("""COMPUTED_VALUE"""),1.004)</f>
        <v>1.004</v>
      </c>
      <c r="E5384" s="16">
        <f>IFERROR(__xludf.DUMMYFUNCTION("""COMPUTED_VALUE"""),67.0)</f>
        <v>67</v>
      </c>
      <c r="F5384" s="19" t="str">
        <f>IFERROR(__xludf.DUMMYFUNCTION("""COMPUTED_VALUE"""),"BLUE")</f>
        <v>BLUE</v>
      </c>
      <c r="G5384" s="20" t="str">
        <f>IFERROR(__xludf.DUMMYFUNCTION("""COMPUTED_VALUE"""),"Uncle Sams Cider (04/04/2023)")</f>
        <v>Uncle Sams Cider (04/04/2023)</v>
      </c>
      <c r="H5384" s="19"/>
    </row>
    <row r="5385">
      <c r="A5385" s="9"/>
      <c r="B5385" s="15"/>
      <c r="C5385" s="9">
        <f>IFERROR(__xludf.DUMMYFUNCTION("""COMPUTED_VALUE"""),45088.0452275694)</f>
        <v>45088.04523</v>
      </c>
      <c r="D5385" s="15">
        <f>IFERROR(__xludf.DUMMYFUNCTION("""COMPUTED_VALUE"""),1.004)</f>
        <v>1.004</v>
      </c>
      <c r="E5385" s="16">
        <f>IFERROR(__xludf.DUMMYFUNCTION("""COMPUTED_VALUE"""),67.0)</f>
        <v>67</v>
      </c>
      <c r="F5385" s="19" t="str">
        <f>IFERROR(__xludf.DUMMYFUNCTION("""COMPUTED_VALUE"""),"BLUE")</f>
        <v>BLUE</v>
      </c>
      <c r="G5385" s="20" t="str">
        <f>IFERROR(__xludf.DUMMYFUNCTION("""COMPUTED_VALUE"""),"Uncle Sams Cider (04/04/2023)")</f>
        <v>Uncle Sams Cider (04/04/2023)</v>
      </c>
      <c r="H5385" s="19"/>
    </row>
    <row r="5386">
      <c r="A5386" s="9"/>
      <c r="B5386" s="15"/>
      <c r="C5386" s="9">
        <f>IFERROR(__xludf.DUMMYFUNCTION("""COMPUTED_VALUE"""),45088.0348081134)</f>
        <v>45088.03481</v>
      </c>
      <c r="D5386" s="15">
        <f>IFERROR(__xludf.DUMMYFUNCTION("""COMPUTED_VALUE"""),1.004)</f>
        <v>1.004</v>
      </c>
      <c r="E5386" s="16">
        <f>IFERROR(__xludf.DUMMYFUNCTION("""COMPUTED_VALUE"""),67.0)</f>
        <v>67</v>
      </c>
      <c r="F5386" s="19" t="str">
        <f>IFERROR(__xludf.DUMMYFUNCTION("""COMPUTED_VALUE"""),"BLUE")</f>
        <v>BLUE</v>
      </c>
      <c r="G5386" s="20" t="str">
        <f>IFERROR(__xludf.DUMMYFUNCTION("""COMPUTED_VALUE"""),"Uncle Sams Cider (04/04/2023)")</f>
        <v>Uncle Sams Cider (04/04/2023)</v>
      </c>
      <c r="H5386" s="19"/>
    </row>
    <row r="5387">
      <c r="A5387" s="9"/>
      <c r="B5387" s="15"/>
      <c r="C5387" s="9">
        <f>IFERROR(__xludf.DUMMYFUNCTION("""COMPUTED_VALUE"""),45088.0243844791)</f>
        <v>45088.02438</v>
      </c>
      <c r="D5387" s="15">
        <f>IFERROR(__xludf.DUMMYFUNCTION("""COMPUTED_VALUE"""),1.004)</f>
        <v>1.004</v>
      </c>
      <c r="E5387" s="16">
        <f>IFERROR(__xludf.DUMMYFUNCTION("""COMPUTED_VALUE"""),67.0)</f>
        <v>67</v>
      </c>
      <c r="F5387" s="19" t="str">
        <f>IFERROR(__xludf.DUMMYFUNCTION("""COMPUTED_VALUE"""),"BLUE")</f>
        <v>BLUE</v>
      </c>
      <c r="G5387" s="20" t="str">
        <f>IFERROR(__xludf.DUMMYFUNCTION("""COMPUTED_VALUE"""),"Uncle Sams Cider (04/04/2023)")</f>
        <v>Uncle Sams Cider (04/04/2023)</v>
      </c>
      <c r="H5387" s="19"/>
    </row>
    <row r="5388">
      <c r="A5388" s="9"/>
      <c r="B5388" s="15"/>
      <c r="C5388" s="9">
        <f>IFERROR(__xludf.DUMMYFUNCTION("""COMPUTED_VALUE"""),45088.0139526041)</f>
        <v>45088.01395</v>
      </c>
      <c r="D5388" s="15">
        <f>IFERROR(__xludf.DUMMYFUNCTION("""COMPUTED_VALUE"""),1.004)</f>
        <v>1.004</v>
      </c>
      <c r="E5388" s="16">
        <f>IFERROR(__xludf.DUMMYFUNCTION("""COMPUTED_VALUE"""),67.0)</f>
        <v>67</v>
      </c>
      <c r="F5388" s="19" t="str">
        <f>IFERROR(__xludf.DUMMYFUNCTION("""COMPUTED_VALUE"""),"BLUE")</f>
        <v>BLUE</v>
      </c>
      <c r="G5388" s="20" t="str">
        <f>IFERROR(__xludf.DUMMYFUNCTION("""COMPUTED_VALUE"""),"Uncle Sams Cider (04/04/2023)")</f>
        <v>Uncle Sams Cider (04/04/2023)</v>
      </c>
      <c r="H5388" s="19"/>
    </row>
    <row r="5389">
      <c r="A5389" s="9"/>
      <c r="B5389" s="15"/>
      <c r="C5389" s="9">
        <f>IFERROR(__xludf.DUMMYFUNCTION("""COMPUTED_VALUE"""),45088.0035309722)</f>
        <v>45088.00353</v>
      </c>
      <c r="D5389" s="15">
        <f>IFERROR(__xludf.DUMMYFUNCTION("""COMPUTED_VALUE"""),1.004)</f>
        <v>1.004</v>
      </c>
      <c r="E5389" s="16">
        <f>IFERROR(__xludf.DUMMYFUNCTION("""COMPUTED_VALUE"""),67.0)</f>
        <v>67</v>
      </c>
      <c r="F5389" s="19" t="str">
        <f>IFERROR(__xludf.DUMMYFUNCTION("""COMPUTED_VALUE"""),"BLUE")</f>
        <v>BLUE</v>
      </c>
      <c r="G5389" s="20" t="str">
        <f>IFERROR(__xludf.DUMMYFUNCTION("""COMPUTED_VALUE"""),"Uncle Sams Cider (04/04/2023)")</f>
        <v>Uncle Sams Cider (04/04/2023)</v>
      </c>
      <c r="H5389" s="19"/>
    </row>
    <row r="5390">
      <c r="A5390" s="9"/>
      <c r="B5390" s="15"/>
      <c r="C5390" s="9">
        <f>IFERROR(__xludf.DUMMYFUNCTION("""COMPUTED_VALUE"""),45087.9931102314)</f>
        <v>45087.99311</v>
      </c>
      <c r="D5390" s="15">
        <f>IFERROR(__xludf.DUMMYFUNCTION("""COMPUTED_VALUE"""),1.004)</f>
        <v>1.004</v>
      </c>
      <c r="E5390" s="16">
        <f>IFERROR(__xludf.DUMMYFUNCTION("""COMPUTED_VALUE"""),67.0)</f>
        <v>67</v>
      </c>
      <c r="F5390" s="19" t="str">
        <f>IFERROR(__xludf.DUMMYFUNCTION("""COMPUTED_VALUE"""),"BLUE")</f>
        <v>BLUE</v>
      </c>
      <c r="G5390" s="20" t="str">
        <f>IFERROR(__xludf.DUMMYFUNCTION("""COMPUTED_VALUE"""),"Uncle Sams Cider (04/04/2023)")</f>
        <v>Uncle Sams Cider (04/04/2023)</v>
      </c>
      <c r="H5390" s="19"/>
    </row>
    <row r="5391">
      <c r="A5391" s="9"/>
      <c r="B5391" s="15"/>
      <c r="C5391" s="9">
        <f>IFERROR(__xludf.DUMMYFUNCTION("""COMPUTED_VALUE"""),45087.9826897338)</f>
        <v>45087.98269</v>
      </c>
      <c r="D5391" s="15">
        <f>IFERROR(__xludf.DUMMYFUNCTION("""COMPUTED_VALUE"""),1.004)</f>
        <v>1.004</v>
      </c>
      <c r="E5391" s="16">
        <f>IFERROR(__xludf.DUMMYFUNCTION("""COMPUTED_VALUE"""),67.0)</f>
        <v>67</v>
      </c>
      <c r="F5391" s="19" t="str">
        <f>IFERROR(__xludf.DUMMYFUNCTION("""COMPUTED_VALUE"""),"BLUE")</f>
        <v>BLUE</v>
      </c>
      <c r="G5391" s="20" t="str">
        <f>IFERROR(__xludf.DUMMYFUNCTION("""COMPUTED_VALUE"""),"Uncle Sams Cider (04/04/2023)")</f>
        <v>Uncle Sams Cider (04/04/2023)</v>
      </c>
      <c r="H5391" s="19"/>
    </row>
    <row r="5392">
      <c r="A5392" s="9"/>
      <c r="B5392" s="15"/>
      <c r="C5392" s="9">
        <f>IFERROR(__xludf.DUMMYFUNCTION("""COMPUTED_VALUE"""),45087.972269537)</f>
        <v>45087.97227</v>
      </c>
      <c r="D5392" s="15">
        <f>IFERROR(__xludf.DUMMYFUNCTION("""COMPUTED_VALUE"""),1.004)</f>
        <v>1.004</v>
      </c>
      <c r="E5392" s="16">
        <f>IFERROR(__xludf.DUMMYFUNCTION("""COMPUTED_VALUE"""),67.0)</f>
        <v>67</v>
      </c>
      <c r="F5392" s="19" t="str">
        <f>IFERROR(__xludf.DUMMYFUNCTION("""COMPUTED_VALUE"""),"BLUE")</f>
        <v>BLUE</v>
      </c>
      <c r="G5392" s="20" t="str">
        <f>IFERROR(__xludf.DUMMYFUNCTION("""COMPUTED_VALUE"""),"Uncle Sams Cider (04/04/2023)")</f>
        <v>Uncle Sams Cider (04/04/2023)</v>
      </c>
      <c r="H5392" s="19"/>
    </row>
    <row r="5393">
      <c r="A5393" s="9"/>
      <c r="B5393" s="15"/>
      <c r="C5393" s="9">
        <f>IFERROR(__xludf.DUMMYFUNCTION("""COMPUTED_VALUE"""),45087.9618488426)</f>
        <v>45087.96185</v>
      </c>
      <c r="D5393" s="15">
        <f>IFERROR(__xludf.DUMMYFUNCTION("""COMPUTED_VALUE"""),1.004)</f>
        <v>1.004</v>
      </c>
      <c r="E5393" s="16">
        <f>IFERROR(__xludf.DUMMYFUNCTION("""COMPUTED_VALUE"""),67.0)</f>
        <v>67</v>
      </c>
      <c r="F5393" s="19" t="str">
        <f>IFERROR(__xludf.DUMMYFUNCTION("""COMPUTED_VALUE"""),"BLUE")</f>
        <v>BLUE</v>
      </c>
      <c r="G5393" s="20" t="str">
        <f>IFERROR(__xludf.DUMMYFUNCTION("""COMPUTED_VALUE"""),"Uncle Sams Cider (04/04/2023)")</f>
        <v>Uncle Sams Cider (04/04/2023)</v>
      </c>
      <c r="H5393" s="19"/>
    </row>
    <row r="5394">
      <c r="A5394" s="9"/>
      <c r="B5394" s="15"/>
      <c r="C5394" s="9">
        <f>IFERROR(__xludf.DUMMYFUNCTION("""COMPUTED_VALUE"""),45087.9514263194)</f>
        <v>45087.95143</v>
      </c>
      <c r="D5394" s="15">
        <f>IFERROR(__xludf.DUMMYFUNCTION("""COMPUTED_VALUE"""),1.004)</f>
        <v>1.004</v>
      </c>
      <c r="E5394" s="16">
        <f>IFERROR(__xludf.DUMMYFUNCTION("""COMPUTED_VALUE"""),67.0)</f>
        <v>67</v>
      </c>
      <c r="F5394" s="19" t="str">
        <f>IFERROR(__xludf.DUMMYFUNCTION("""COMPUTED_VALUE"""),"BLUE")</f>
        <v>BLUE</v>
      </c>
      <c r="G5394" s="20" t="str">
        <f>IFERROR(__xludf.DUMMYFUNCTION("""COMPUTED_VALUE"""),"Uncle Sams Cider (04/04/2023)")</f>
        <v>Uncle Sams Cider (04/04/2023)</v>
      </c>
      <c r="H5394" s="19"/>
    </row>
    <row r="5395">
      <c r="A5395" s="9"/>
      <c r="B5395" s="15"/>
      <c r="C5395" s="9">
        <f>IFERROR(__xludf.DUMMYFUNCTION("""COMPUTED_VALUE"""),45087.9410052662)</f>
        <v>45087.94101</v>
      </c>
      <c r="D5395" s="15">
        <f>IFERROR(__xludf.DUMMYFUNCTION("""COMPUTED_VALUE"""),1.004)</f>
        <v>1.004</v>
      </c>
      <c r="E5395" s="16">
        <f>IFERROR(__xludf.DUMMYFUNCTION("""COMPUTED_VALUE"""),67.0)</f>
        <v>67</v>
      </c>
      <c r="F5395" s="19" t="str">
        <f>IFERROR(__xludf.DUMMYFUNCTION("""COMPUTED_VALUE"""),"BLUE")</f>
        <v>BLUE</v>
      </c>
      <c r="G5395" s="20" t="str">
        <f>IFERROR(__xludf.DUMMYFUNCTION("""COMPUTED_VALUE"""),"Uncle Sams Cider (04/04/2023)")</f>
        <v>Uncle Sams Cider (04/04/2023)</v>
      </c>
      <c r="H5395" s="19"/>
    </row>
    <row r="5396">
      <c r="A5396" s="9"/>
      <c r="B5396" s="15"/>
      <c r="C5396" s="9">
        <f>IFERROR(__xludf.DUMMYFUNCTION("""COMPUTED_VALUE"""),45087.930585949)</f>
        <v>45087.93059</v>
      </c>
      <c r="D5396" s="15">
        <f>IFERROR(__xludf.DUMMYFUNCTION("""COMPUTED_VALUE"""),1.004)</f>
        <v>1.004</v>
      </c>
      <c r="E5396" s="16">
        <f>IFERROR(__xludf.DUMMYFUNCTION("""COMPUTED_VALUE"""),67.0)</f>
        <v>67</v>
      </c>
      <c r="F5396" s="19" t="str">
        <f>IFERROR(__xludf.DUMMYFUNCTION("""COMPUTED_VALUE"""),"BLUE")</f>
        <v>BLUE</v>
      </c>
      <c r="G5396" s="20" t="str">
        <f>IFERROR(__xludf.DUMMYFUNCTION("""COMPUTED_VALUE"""),"Uncle Sams Cider (04/04/2023)")</f>
        <v>Uncle Sams Cider (04/04/2023)</v>
      </c>
      <c r="H5396" s="19"/>
    </row>
    <row r="5397">
      <c r="A5397" s="9"/>
      <c r="B5397" s="15"/>
      <c r="C5397" s="9">
        <f>IFERROR(__xludf.DUMMYFUNCTION("""COMPUTED_VALUE"""),45087.920140787)</f>
        <v>45087.92014</v>
      </c>
      <c r="D5397" s="15">
        <f>IFERROR(__xludf.DUMMYFUNCTION("""COMPUTED_VALUE"""),1.004)</f>
        <v>1.004</v>
      </c>
      <c r="E5397" s="16">
        <f>IFERROR(__xludf.DUMMYFUNCTION("""COMPUTED_VALUE"""),67.0)</f>
        <v>67</v>
      </c>
      <c r="F5397" s="19" t="str">
        <f>IFERROR(__xludf.DUMMYFUNCTION("""COMPUTED_VALUE"""),"BLUE")</f>
        <v>BLUE</v>
      </c>
      <c r="G5397" s="20" t="str">
        <f>IFERROR(__xludf.DUMMYFUNCTION("""COMPUTED_VALUE"""),"Uncle Sams Cider (04/04/2023)")</f>
        <v>Uncle Sams Cider (04/04/2023)</v>
      </c>
      <c r="H5397" s="19"/>
    </row>
    <row r="5398">
      <c r="A5398" s="9"/>
      <c r="B5398" s="15"/>
      <c r="C5398" s="9">
        <f>IFERROR(__xludf.DUMMYFUNCTION("""COMPUTED_VALUE"""),45087.909695243)</f>
        <v>45087.9097</v>
      </c>
      <c r="D5398" s="15">
        <f>IFERROR(__xludf.DUMMYFUNCTION("""COMPUTED_VALUE"""),1.004)</f>
        <v>1.004</v>
      </c>
      <c r="E5398" s="16">
        <f>IFERROR(__xludf.DUMMYFUNCTION("""COMPUTED_VALUE"""),67.0)</f>
        <v>67</v>
      </c>
      <c r="F5398" s="19" t="str">
        <f>IFERROR(__xludf.DUMMYFUNCTION("""COMPUTED_VALUE"""),"BLUE")</f>
        <v>BLUE</v>
      </c>
      <c r="G5398" s="20" t="str">
        <f>IFERROR(__xludf.DUMMYFUNCTION("""COMPUTED_VALUE"""),"Uncle Sams Cider (04/04/2023)")</f>
        <v>Uncle Sams Cider (04/04/2023)</v>
      </c>
      <c r="H5398" s="19"/>
    </row>
    <row r="5399">
      <c r="A5399" s="9"/>
      <c r="B5399" s="15"/>
      <c r="C5399" s="9">
        <f>IFERROR(__xludf.DUMMYFUNCTION("""COMPUTED_VALUE"""),45087.8992733564)</f>
        <v>45087.89927</v>
      </c>
      <c r="D5399" s="15">
        <f>IFERROR(__xludf.DUMMYFUNCTION("""COMPUTED_VALUE"""),1.004)</f>
        <v>1.004</v>
      </c>
      <c r="E5399" s="16">
        <f>IFERROR(__xludf.DUMMYFUNCTION("""COMPUTED_VALUE"""),67.0)</f>
        <v>67</v>
      </c>
      <c r="F5399" s="19" t="str">
        <f>IFERROR(__xludf.DUMMYFUNCTION("""COMPUTED_VALUE"""),"BLUE")</f>
        <v>BLUE</v>
      </c>
      <c r="G5399" s="20" t="str">
        <f>IFERROR(__xludf.DUMMYFUNCTION("""COMPUTED_VALUE"""),"Uncle Sams Cider (04/04/2023)")</f>
        <v>Uncle Sams Cider (04/04/2023)</v>
      </c>
      <c r="H5399" s="19"/>
    </row>
    <row r="5400">
      <c r="A5400" s="9"/>
      <c r="B5400" s="15"/>
      <c r="C5400" s="9">
        <f>IFERROR(__xludf.DUMMYFUNCTION("""COMPUTED_VALUE"""),45087.8888514583)</f>
        <v>45087.88885</v>
      </c>
      <c r="D5400" s="15">
        <f>IFERROR(__xludf.DUMMYFUNCTION("""COMPUTED_VALUE"""),1.004)</f>
        <v>1.004</v>
      </c>
      <c r="E5400" s="16">
        <f>IFERROR(__xludf.DUMMYFUNCTION("""COMPUTED_VALUE"""),67.0)</f>
        <v>67</v>
      </c>
      <c r="F5400" s="19" t="str">
        <f>IFERROR(__xludf.DUMMYFUNCTION("""COMPUTED_VALUE"""),"BLUE")</f>
        <v>BLUE</v>
      </c>
      <c r="G5400" s="20" t="str">
        <f>IFERROR(__xludf.DUMMYFUNCTION("""COMPUTED_VALUE"""),"Uncle Sams Cider (04/04/2023)")</f>
        <v>Uncle Sams Cider (04/04/2023)</v>
      </c>
      <c r="H5400" s="19"/>
    </row>
    <row r="5401">
      <c r="A5401" s="9"/>
      <c r="B5401" s="15"/>
      <c r="C5401" s="9">
        <f>IFERROR(__xludf.DUMMYFUNCTION("""COMPUTED_VALUE"""),45087.878430706)</f>
        <v>45087.87843</v>
      </c>
      <c r="D5401" s="15">
        <f>IFERROR(__xludf.DUMMYFUNCTION("""COMPUTED_VALUE"""),1.004)</f>
        <v>1.004</v>
      </c>
      <c r="E5401" s="16">
        <f>IFERROR(__xludf.DUMMYFUNCTION("""COMPUTED_VALUE"""),67.0)</f>
        <v>67</v>
      </c>
      <c r="F5401" s="19" t="str">
        <f>IFERROR(__xludf.DUMMYFUNCTION("""COMPUTED_VALUE"""),"BLUE")</f>
        <v>BLUE</v>
      </c>
      <c r="G5401" s="20" t="str">
        <f>IFERROR(__xludf.DUMMYFUNCTION("""COMPUTED_VALUE"""),"Uncle Sams Cider (04/04/2023)")</f>
        <v>Uncle Sams Cider (04/04/2023)</v>
      </c>
      <c r="H5401" s="19"/>
    </row>
    <row r="5402">
      <c r="A5402" s="9"/>
      <c r="B5402" s="15"/>
      <c r="C5402" s="9">
        <f>IFERROR(__xludf.DUMMYFUNCTION("""COMPUTED_VALUE"""),45087.8680087962)</f>
        <v>45087.86801</v>
      </c>
      <c r="D5402" s="15">
        <f>IFERROR(__xludf.DUMMYFUNCTION("""COMPUTED_VALUE"""),1.004)</f>
        <v>1.004</v>
      </c>
      <c r="E5402" s="16">
        <f>IFERROR(__xludf.DUMMYFUNCTION("""COMPUTED_VALUE"""),67.0)</f>
        <v>67</v>
      </c>
      <c r="F5402" s="19" t="str">
        <f>IFERROR(__xludf.DUMMYFUNCTION("""COMPUTED_VALUE"""),"BLUE")</f>
        <v>BLUE</v>
      </c>
      <c r="G5402" s="20" t="str">
        <f>IFERROR(__xludf.DUMMYFUNCTION("""COMPUTED_VALUE"""),"Uncle Sams Cider (04/04/2023)")</f>
        <v>Uncle Sams Cider (04/04/2023)</v>
      </c>
      <c r="H5402" s="19"/>
    </row>
    <row r="5403">
      <c r="A5403" s="9"/>
      <c r="B5403" s="15"/>
      <c r="C5403" s="9">
        <f>IFERROR(__xludf.DUMMYFUNCTION("""COMPUTED_VALUE"""),45087.857587824)</f>
        <v>45087.85759</v>
      </c>
      <c r="D5403" s="15">
        <f>IFERROR(__xludf.DUMMYFUNCTION("""COMPUTED_VALUE"""),1.004)</f>
        <v>1.004</v>
      </c>
      <c r="E5403" s="16">
        <f>IFERROR(__xludf.DUMMYFUNCTION("""COMPUTED_VALUE"""),67.0)</f>
        <v>67</v>
      </c>
      <c r="F5403" s="19" t="str">
        <f>IFERROR(__xludf.DUMMYFUNCTION("""COMPUTED_VALUE"""),"BLUE")</f>
        <v>BLUE</v>
      </c>
      <c r="G5403" s="20" t="str">
        <f>IFERROR(__xludf.DUMMYFUNCTION("""COMPUTED_VALUE"""),"Uncle Sams Cider (04/04/2023)")</f>
        <v>Uncle Sams Cider (04/04/2023)</v>
      </c>
      <c r="H5403" s="19"/>
    </row>
    <row r="5404">
      <c r="A5404" s="9"/>
      <c r="B5404" s="15"/>
      <c r="C5404" s="9">
        <f>IFERROR(__xludf.DUMMYFUNCTION("""COMPUTED_VALUE"""),45087.8471669676)</f>
        <v>45087.84717</v>
      </c>
      <c r="D5404" s="15">
        <f>IFERROR(__xludf.DUMMYFUNCTION("""COMPUTED_VALUE"""),1.004)</f>
        <v>1.004</v>
      </c>
      <c r="E5404" s="16">
        <f>IFERROR(__xludf.DUMMYFUNCTION("""COMPUTED_VALUE"""),67.0)</f>
        <v>67</v>
      </c>
      <c r="F5404" s="19" t="str">
        <f>IFERROR(__xludf.DUMMYFUNCTION("""COMPUTED_VALUE"""),"BLUE")</f>
        <v>BLUE</v>
      </c>
      <c r="G5404" s="20" t="str">
        <f>IFERROR(__xludf.DUMMYFUNCTION("""COMPUTED_VALUE"""),"Uncle Sams Cider (04/04/2023)")</f>
        <v>Uncle Sams Cider (04/04/2023)</v>
      </c>
      <c r="H5404" s="19"/>
    </row>
    <row r="5405">
      <c r="A5405" s="9"/>
      <c r="B5405" s="15"/>
      <c r="C5405" s="9">
        <f>IFERROR(__xludf.DUMMYFUNCTION("""COMPUTED_VALUE"""),45087.8367447106)</f>
        <v>45087.83674</v>
      </c>
      <c r="D5405" s="15">
        <f>IFERROR(__xludf.DUMMYFUNCTION("""COMPUTED_VALUE"""),1.004)</f>
        <v>1.004</v>
      </c>
      <c r="E5405" s="16">
        <f>IFERROR(__xludf.DUMMYFUNCTION("""COMPUTED_VALUE"""),67.0)</f>
        <v>67</v>
      </c>
      <c r="F5405" s="19" t="str">
        <f>IFERROR(__xludf.DUMMYFUNCTION("""COMPUTED_VALUE"""),"BLUE")</f>
        <v>BLUE</v>
      </c>
      <c r="G5405" s="20" t="str">
        <f>IFERROR(__xludf.DUMMYFUNCTION("""COMPUTED_VALUE"""),"Uncle Sams Cider (04/04/2023)")</f>
        <v>Uncle Sams Cider (04/04/2023)</v>
      </c>
      <c r="H5405" s="19"/>
    </row>
    <row r="5406">
      <c r="A5406" s="9"/>
      <c r="B5406" s="15"/>
      <c r="C5406" s="9">
        <f>IFERROR(__xludf.DUMMYFUNCTION("""COMPUTED_VALUE"""),45087.8263235185)</f>
        <v>45087.82632</v>
      </c>
      <c r="D5406" s="15">
        <f>IFERROR(__xludf.DUMMYFUNCTION("""COMPUTED_VALUE"""),1.004)</f>
        <v>1.004</v>
      </c>
      <c r="E5406" s="16">
        <f>IFERROR(__xludf.DUMMYFUNCTION("""COMPUTED_VALUE"""),66.0)</f>
        <v>66</v>
      </c>
      <c r="F5406" s="19" t="str">
        <f>IFERROR(__xludf.DUMMYFUNCTION("""COMPUTED_VALUE"""),"BLUE")</f>
        <v>BLUE</v>
      </c>
      <c r="G5406" s="20" t="str">
        <f>IFERROR(__xludf.DUMMYFUNCTION("""COMPUTED_VALUE"""),"Uncle Sams Cider (04/04/2023)")</f>
        <v>Uncle Sams Cider (04/04/2023)</v>
      </c>
      <c r="H5406" s="19"/>
    </row>
    <row r="5407">
      <c r="A5407" s="9"/>
      <c r="B5407" s="15"/>
      <c r="C5407" s="9">
        <f>IFERROR(__xludf.DUMMYFUNCTION("""COMPUTED_VALUE"""),45087.8158906481)</f>
        <v>45087.81589</v>
      </c>
      <c r="D5407" s="15">
        <f>IFERROR(__xludf.DUMMYFUNCTION("""COMPUTED_VALUE"""),1.004)</f>
        <v>1.004</v>
      </c>
      <c r="E5407" s="16">
        <f>IFERROR(__xludf.DUMMYFUNCTION("""COMPUTED_VALUE"""),67.0)</f>
        <v>67</v>
      </c>
      <c r="F5407" s="19" t="str">
        <f>IFERROR(__xludf.DUMMYFUNCTION("""COMPUTED_VALUE"""),"BLUE")</f>
        <v>BLUE</v>
      </c>
      <c r="G5407" s="20" t="str">
        <f>IFERROR(__xludf.DUMMYFUNCTION("""COMPUTED_VALUE"""),"Uncle Sams Cider (04/04/2023)")</f>
        <v>Uncle Sams Cider (04/04/2023)</v>
      </c>
      <c r="H5407" s="19"/>
    </row>
    <row r="5408">
      <c r="A5408" s="9"/>
      <c r="B5408" s="15"/>
      <c r="C5408" s="9">
        <f>IFERROR(__xludf.DUMMYFUNCTION("""COMPUTED_VALUE"""),45087.8065517476)</f>
        <v>45087.80655</v>
      </c>
      <c r="D5408" s="15">
        <f>IFERROR(__xludf.DUMMYFUNCTION("""COMPUTED_VALUE"""),1.004)</f>
        <v>1.004</v>
      </c>
      <c r="E5408" s="16">
        <f>IFERROR(__xludf.DUMMYFUNCTION("""COMPUTED_VALUE"""),67.0)</f>
        <v>67</v>
      </c>
      <c r="F5408" s="19" t="str">
        <f>IFERROR(__xludf.DUMMYFUNCTION("""COMPUTED_VALUE"""),"BLUE")</f>
        <v>BLUE</v>
      </c>
      <c r="G5408" s="20" t="str">
        <f>IFERROR(__xludf.DUMMYFUNCTION("""COMPUTED_VALUE"""),"Uncle Sams Cider (04/04/2023)")</f>
        <v>Uncle Sams Cider (04/04/2023)</v>
      </c>
      <c r="H5408" s="19"/>
    </row>
    <row r="5409">
      <c r="A5409" s="9"/>
      <c r="B5409" s="15"/>
      <c r="C5409" s="9">
        <f>IFERROR(__xludf.DUMMYFUNCTION("""COMPUTED_VALUE"""),45087.7961314004)</f>
        <v>45087.79613</v>
      </c>
      <c r="D5409" s="15">
        <f>IFERROR(__xludf.DUMMYFUNCTION("""COMPUTED_VALUE"""),1.004)</f>
        <v>1.004</v>
      </c>
      <c r="E5409" s="16">
        <f>IFERROR(__xludf.DUMMYFUNCTION("""COMPUTED_VALUE"""),66.0)</f>
        <v>66</v>
      </c>
      <c r="F5409" s="19" t="str">
        <f>IFERROR(__xludf.DUMMYFUNCTION("""COMPUTED_VALUE"""),"BLUE")</f>
        <v>BLUE</v>
      </c>
      <c r="G5409" s="20" t="str">
        <f>IFERROR(__xludf.DUMMYFUNCTION("""COMPUTED_VALUE"""),"Uncle Sams Cider (04/04/2023)")</f>
        <v>Uncle Sams Cider (04/04/2023)</v>
      </c>
      <c r="H5409" s="19"/>
    </row>
    <row r="5410">
      <c r="A5410" s="9"/>
      <c r="B5410" s="15"/>
      <c r="C5410" s="9">
        <f>IFERROR(__xludf.DUMMYFUNCTION("""COMPUTED_VALUE"""),45087.7857086689)</f>
        <v>45087.78571</v>
      </c>
      <c r="D5410" s="15">
        <f>IFERROR(__xludf.DUMMYFUNCTION("""COMPUTED_VALUE"""),1.004)</f>
        <v>1.004</v>
      </c>
      <c r="E5410" s="16">
        <f>IFERROR(__xludf.DUMMYFUNCTION("""COMPUTED_VALUE"""),67.0)</f>
        <v>67</v>
      </c>
      <c r="F5410" s="19" t="str">
        <f>IFERROR(__xludf.DUMMYFUNCTION("""COMPUTED_VALUE"""),"BLUE")</f>
        <v>BLUE</v>
      </c>
      <c r="G5410" s="20" t="str">
        <f>IFERROR(__xludf.DUMMYFUNCTION("""COMPUTED_VALUE"""),"Uncle Sams Cider (04/04/2023)")</f>
        <v>Uncle Sams Cider (04/04/2023)</v>
      </c>
      <c r="H5410" s="19"/>
    </row>
    <row r="5411">
      <c r="A5411" s="9"/>
      <c r="B5411" s="15"/>
      <c r="C5411" s="9">
        <f>IFERROR(__xludf.DUMMYFUNCTION("""COMPUTED_VALUE"""),45087.7752853125)</f>
        <v>45087.77529</v>
      </c>
      <c r="D5411" s="15">
        <f>IFERROR(__xludf.DUMMYFUNCTION("""COMPUTED_VALUE"""),1.004)</f>
        <v>1.004</v>
      </c>
      <c r="E5411" s="16">
        <f>IFERROR(__xludf.DUMMYFUNCTION("""COMPUTED_VALUE"""),66.0)</f>
        <v>66</v>
      </c>
      <c r="F5411" s="19" t="str">
        <f>IFERROR(__xludf.DUMMYFUNCTION("""COMPUTED_VALUE"""),"BLUE")</f>
        <v>BLUE</v>
      </c>
      <c r="G5411" s="20" t="str">
        <f>IFERROR(__xludf.DUMMYFUNCTION("""COMPUTED_VALUE"""),"Uncle Sams Cider (04/04/2023)")</f>
        <v>Uncle Sams Cider (04/04/2023)</v>
      </c>
      <c r="H5411" s="19"/>
    </row>
    <row r="5412">
      <c r="A5412" s="9"/>
      <c r="B5412" s="15"/>
      <c r="C5412" s="9">
        <f>IFERROR(__xludf.DUMMYFUNCTION("""COMPUTED_VALUE"""),45087.7648425115)</f>
        <v>45087.76484</v>
      </c>
      <c r="D5412" s="15">
        <f>IFERROR(__xludf.DUMMYFUNCTION("""COMPUTED_VALUE"""),1.004)</f>
        <v>1.004</v>
      </c>
      <c r="E5412" s="16">
        <f>IFERROR(__xludf.DUMMYFUNCTION("""COMPUTED_VALUE"""),66.0)</f>
        <v>66</v>
      </c>
      <c r="F5412" s="19" t="str">
        <f>IFERROR(__xludf.DUMMYFUNCTION("""COMPUTED_VALUE"""),"BLUE")</f>
        <v>BLUE</v>
      </c>
      <c r="G5412" s="20" t="str">
        <f>IFERROR(__xludf.DUMMYFUNCTION("""COMPUTED_VALUE"""),"Uncle Sams Cider (04/04/2023)")</f>
        <v>Uncle Sams Cider (04/04/2023)</v>
      </c>
      <c r="H5412" s="19"/>
    </row>
    <row r="5413">
      <c r="A5413" s="9"/>
      <c r="B5413" s="15"/>
      <c r="C5413" s="9">
        <f>IFERROR(__xludf.DUMMYFUNCTION("""COMPUTED_VALUE"""),45087.7544098842)</f>
        <v>45087.75441</v>
      </c>
      <c r="D5413" s="15">
        <f>IFERROR(__xludf.DUMMYFUNCTION("""COMPUTED_VALUE"""),1.004)</f>
        <v>1.004</v>
      </c>
      <c r="E5413" s="16">
        <f>IFERROR(__xludf.DUMMYFUNCTION("""COMPUTED_VALUE"""),67.0)</f>
        <v>67</v>
      </c>
      <c r="F5413" s="19" t="str">
        <f>IFERROR(__xludf.DUMMYFUNCTION("""COMPUTED_VALUE"""),"BLUE")</f>
        <v>BLUE</v>
      </c>
      <c r="G5413" s="20" t="str">
        <f>IFERROR(__xludf.DUMMYFUNCTION("""COMPUTED_VALUE"""),"Uncle Sams Cider (04/04/2023)")</f>
        <v>Uncle Sams Cider (04/04/2023)</v>
      </c>
      <c r="H5413" s="19"/>
    </row>
    <row r="5414">
      <c r="A5414" s="9"/>
      <c r="B5414" s="15"/>
      <c r="C5414" s="9">
        <f>IFERROR(__xludf.DUMMYFUNCTION("""COMPUTED_VALUE"""),45087.7439889814)</f>
        <v>45087.74399</v>
      </c>
      <c r="D5414" s="15">
        <f>IFERROR(__xludf.DUMMYFUNCTION("""COMPUTED_VALUE"""),1.004)</f>
        <v>1.004</v>
      </c>
      <c r="E5414" s="16">
        <f>IFERROR(__xludf.DUMMYFUNCTION("""COMPUTED_VALUE"""),66.0)</f>
        <v>66</v>
      </c>
      <c r="F5414" s="19" t="str">
        <f>IFERROR(__xludf.DUMMYFUNCTION("""COMPUTED_VALUE"""),"BLUE")</f>
        <v>BLUE</v>
      </c>
      <c r="G5414" s="20" t="str">
        <f>IFERROR(__xludf.DUMMYFUNCTION("""COMPUTED_VALUE"""),"Uncle Sams Cider (04/04/2023)")</f>
        <v>Uncle Sams Cider (04/04/2023)</v>
      </c>
      <c r="H5414" s="19"/>
    </row>
    <row r="5415">
      <c r="A5415" s="9"/>
      <c r="B5415" s="15"/>
      <c r="C5415" s="9">
        <f>IFERROR(__xludf.DUMMYFUNCTION("""COMPUTED_VALUE"""),45087.7335691203)</f>
        <v>45087.73357</v>
      </c>
      <c r="D5415" s="15">
        <f>IFERROR(__xludf.DUMMYFUNCTION("""COMPUTED_VALUE"""),1.004)</f>
        <v>1.004</v>
      </c>
      <c r="E5415" s="16">
        <f>IFERROR(__xludf.DUMMYFUNCTION("""COMPUTED_VALUE"""),66.0)</f>
        <v>66</v>
      </c>
      <c r="F5415" s="19" t="str">
        <f>IFERROR(__xludf.DUMMYFUNCTION("""COMPUTED_VALUE"""),"BLUE")</f>
        <v>BLUE</v>
      </c>
      <c r="G5415" s="20" t="str">
        <f>IFERROR(__xludf.DUMMYFUNCTION("""COMPUTED_VALUE"""),"Uncle Sams Cider (04/04/2023)")</f>
        <v>Uncle Sams Cider (04/04/2023)</v>
      </c>
      <c r="H5415" s="19"/>
    </row>
    <row r="5416">
      <c r="A5416" s="9"/>
      <c r="B5416" s="15"/>
      <c r="C5416" s="9">
        <f>IFERROR(__xludf.DUMMYFUNCTION("""COMPUTED_VALUE"""),45087.7231479629)</f>
        <v>45087.72315</v>
      </c>
      <c r="D5416" s="15">
        <f>IFERROR(__xludf.DUMMYFUNCTION("""COMPUTED_VALUE"""),1.004)</f>
        <v>1.004</v>
      </c>
      <c r="E5416" s="16">
        <f>IFERROR(__xludf.DUMMYFUNCTION("""COMPUTED_VALUE"""),66.0)</f>
        <v>66</v>
      </c>
      <c r="F5416" s="19" t="str">
        <f>IFERROR(__xludf.DUMMYFUNCTION("""COMPUTED_VALUE"""),"BLUE")</f>
        <v>BLUE</v>
      </c>
      <c r="G5416" s="20" t="str">
        <f>IFERROR(__xludf.DUMMYFUNCTION("""COMPUTED_VALUE"""),"Uncle Sams Cider (04/04/2023)")</f>
        <v>Uncle Sams Cider (04/04/2023)</v>
      </c>
      <c r="H5416" s="19"/>
    </row>
    <row r="5417">
      <c r="A5417" s="9"/>
      <c r="B5417" s="15"/>
      <c r="C5417" s="9">
        <f>IFERROR(__xludf.DUMMYFUNCTION("""COMPUTED_VALUE"""),45087.7127285879)</f>
        <v>45087.71273</v>
      </c>
      <c r="D5417" s="15">
        <f>IFERROR(__xludf.DUMMYFUNCTION("""COMPUTED_VALUE"""),1.004)</f>
        <v>1.004</v>
      </c>
      <c r="E5417" s="16">
        <f>IFERROR(__xludf.DUMMYFUNCTION("""COMPUTED_VALUE"""),66.0)</f>
        <v>66</v>
      </c>
      <c r="F5417" s="19" t="str">
        <f>IFERROR(__xludf.DUMMYFUNCTION("""COMPUTED_VALUE"""),"BLUE")</f>
        <v>BLUE</v>
      </c>
      <c r="G5417" s="20" t="str">
        <f>IFERROR(__xludf.DUMMYFUNCTION("""COMPUTED_VALUE"""),"Uncle Sams Cider (04/04/2023)")</f>
        <v>Uncle Sams Cider (04/04/2023)</v>
      </c>
      <c r="H5417" s="19"/>
    </row>
    <row r="5418">
      <c r="A5418" s="9"/>
      <c r="B5418" s="15"/>
      <c r="C5418" s="9">
        <f>IFERROR(__xludf.DUMMYFUNCTION("""COMPUTED_VALUE"""),45087.7022957754)</f>
        <v>45087.7023</v>
      </c>
      <c r="D5418" s="15">
        <f>IFERROR(__xludf.DUMMYFUNCTION("""COMPUTED_VALUE"""),1.004)</f>
        <v>1.004</v>
      </c>
      <c r="E5418" s="16">
        <f>IFERROR(__xludf.DUMMYFUNCTION("""COMPUTED_VALUE"""),66.0)</f>
        <v>66</v>
      </c>
      <c r="F5418" s="19" t="str">
        <f>IFERROR(__xludf.DUMMYFUNCTION("""COMPUTED_VALUE"""),"BLUE")</f>
        <v>BLUE</v>
      </c>
      <c r="G5418" s="20" t="str">
        <f>IFERROR(__xludf.DUMMYFUNCTION("""COMPUTED_VALUE"""),"Uncle Sams Cider (04/04/2023)")</f>
        <v>Uncle Sams Cider (04/04/2023)</v>
      </c>
      <c r="H5418" s="19"/>
    </row>
    <row r="5419">
      <c r="A5419" s="9"/>
      <c r="B5419" s="15"/>
      <c r="C5419" s="9">
        <f>IFERROR(__xludf.DUMMYFUNCTION("""COMPUTED_VALUE"""),45087.6918737384)</f>
        <v>45087.69187</v>
      </c>
      <c r="D5419" s="15">
        <f>IFERROR(__xludf.DUMMYFUNCTION("""COMPUTED_VALUE"""),1.004)</f>
        <v>1.004</v>
      </c>
      <c r="E5419" s="16">
        <f>IFERROR(__xludf.DUMMYFUNCTION("""COMPUTED_VALUE"""),66.0)</f>
        <v>66</v>
      </c>
      <c r="F5419" s="19" t="str">
        <f>IFERROR(__xludf.DUMMYFUNCTION("""COMPUTED_VALUE"""),"BLUE")</f>
        <v>BLUE</v>
      </c>
      <c r="G5419" s="20" t="str">
        <f>IFERROR(__xludf.DUMMYFUNCTION("""COMPUTED_VALUE"""),"Uncle Sams Cider (04/04/2023)")</f>
        <v>Uncle Sams Cider (04/04/2023)</v>
      </c>
      <c r="H5419" s="19"/>
    </row>
    <row r="5420">
      <c r="A5420" s="9"/>
      <c r="B5420" s="15"/>
      <c r="C5420" s="9">
        <f>IFERROR(__xludf.DUMMYFUNCTION("""COMPUTED_VALUE"""),45087.6814533912)</f>
        <v>45087.68145</v>
      </c>
      <c r="D5420" s="15">
        <f>IFERROR(__xludf.DUMMYFUNCTION("""COMPUTED_VALUE"""),1.004)</f>
        <v>1.004</v>
      </c>
      <c r="E5420" s="16">
        <f>IFERROR(__xludf.DUMMYFUNCTION("""COMPUTED_VALUE"""),66.0)</f>
        <v>66</v>
      </c>
      <c r="F5420" s="19" t="str">
        <f>IFERROR(__xludf.DUMMYFUNCTION("""COMPUTED_VALUE"""),"BLUE")</f>
        <v>BLUE</v>
      </c>
      <c r="G5420" s="20" t="str">
        <f>IFERROR(__xludf.DUMMYFUNCTION("""COMPUTED_VALUE"""),"Uncle Sams Cider (04/04/2023)")</f>
        <v>Uncle Sams Cider (04/04/2023)</v>
      </c>
      <c r="H5420" s="19"/>
    </row>
    <row r="5421">
      <c r="A5421" s="9"/>
      <c r="B5421" s="15"/>
      <c r="C5421" s="9">
        <f>IFERROR(__xludf.DUMMYFUNCTION("""COMPUTED_VALUE"""),45087.6709966666)</f>
        <v>45087.671</v>
      </c>
      <c r="D5421" s="15">
        <f>IFERROR(__xludf.DUMMYFUNCTION("""COMPUTED_VALUE"""),1.004)</f>
        <v>1.004</v>
      </c>
      <c r="E5421" s="16">
        <f>IFERROR(__xludf.DUMMYFUNCTION("""COMPUTED_VALUE"""),66.0)</f>
        <v>66</v>
      </c>
      <c r="F5421" s="19" t="str">
        <f>IFERROR(__xludf.DUMMYFUNCTION("""COMPUTED_VALUE"""),"BLUE")</f>
        <v>BLUE</v>
      </c>
      <c r="G5421" s="20" t="str">
        <f>IFERROR(__xludf.DUMMYFUNCTION("""COMPUTED_VALUE"""),"Uncle Sams Cider (04/04/2023)")</f>
        <v>Uncle Sams Cider (04/04/2023)</v>
      </c>
      <c r="H5421" s="19"/>
    </row>
    <row r="5422">
      <c r="A5422" s="9"/>
      <c r="B5422" s="15"/>
      <c r="C5422" s="9">
        <f>IFERROR(__xludf.DUMMYFUNCTION("""COMPUTED_VALUE"""),45087.6605742245)</f>
        <v>45087.66057</v>
      </c>
      <c r="D5422" s="15">
        <f>IFERROR(__xludf.DUMMYFUNCTION("""COMPUTED_VALUE"""),1.004)</f>
        <v>1.004</v>
      </c>
      <c r="E5422" s="16">
        <f>IFERROR(__xludf.DUMMYFUNCTION("""COMPUTED_VALUE"""),66.0)</f>
        <v>66</v>
      </c>
      <c r="F5422" s="19" t="str">
        <f>IFERROR(__xludf.DUMMYFUNCTION("""COMPUTED_VALUE"""),"BLUE")</f>
        <v>BLUE</v>
      </c>
      <c r="G5422" s="20" t="str">
        <f>IFERROR(__xludf.DUMMYFUNCTION("""COMPUTED_VALUE"""),"Uncle Sams Cider (04/04/2023)")</f>
        <v>Uncle Sams Cider (04/04/2023)</v>
      </c>
      <c r="H5422" s="19"/>
    </row>
    <row r="5423">
      <c r="A5423" s="9"/>
      <c r="B5423" s="15"/>
      <c r="C5423" s="9">
        <f>IFERROR(__xludf.DUMMYFUNCTION("""COMPUTED_VALUE"""),45087.6501528356)</f>
        <v>45087.65015</v>
      </c>
      <c r="D5423" s="15">
        <f>IFERROR(__xludf.DUMMYFUNCTION("""COMPUTED_VALUE"""),1.004)</f>
        <v>1.004</v>
      </c>
      <c r="E5423" s="16">
        <f>IFERROR(__xludf.DUMMYFUNCTION("""COMPUTED_VALUE"""),66.0)</f>
        <v>66</v>
      </c>
      <c r="F5423" s="19" t="str">
        <f>IFERROR(__xludf.DUMMYFUNCTION("""COMPUTED_VALUE"""),"BLUE")</f>
        <v>BLUE</v>
      </c>
      <c r="G5423" s="20" t="str">
        <f>IFERROR(__xludf.DUMMYFUNCTION("""COMPUTED_VALUE"""),"Uncle Sams Cider (04/04/2023)")</f>
        <v>Uncle Sams Cider (04/04/2023)</v>
      </c>
      <c r="H5423" s="19"/>
    </row>
    <row r="5424">
      <c r="A5424" s="9"/>
      <c r="B5424" s="15"/>
      <c r="C5424" s="9">
        <f>IFERROR(__xludf.DUMMYFUNCTION("""COMPUTED_VALUE"""),45087.639732118)</f>
        <v>45087.63973</v>
      </c>
      <c r="D5424" s="15">
        <f>IFERROR(__xludf.DUMMYFUNCTION("""COMPUTED_VALUE"""),1.004)</f>
        <v>1.004</v>
      </c>
      <c r="E5424" s="16">
        <f>IFERROR(__xludf.DUMMYFUNCTION("""COMPUTED_VALUE"""),66.0)</f>
        <v>66</v>
      </c>
      <c r="F5424" s="19" t="str">
        <f>IFERROR(__xludf.DUMMYFUNCTION("""COMPUTED_VALUE"""),"BLUE")</f>
        <v>BLUE</v>
      </c>
      <c r="G5424" s="20" t="str">
        <f>IFERROR(__xludf.DUMMYFUNCTION("""COMPUTED_VALUE"""),"Uncle Sams Cider (04/04/2023)")</f>
        <v>Uncle Sams Cider (04/04/2023)</v>
      </c>
      <c r="H5424" s="19"/>
    </row>
    <row r="5425">
      <c r="A5425" s="9"/>
      <c r="B5425" s="15"/>
      <c r="C5425" s="9">
        <f>IFERROR(__xludf.DUMMYFUNCTION("""COMPUTED_VALUE"""),45087.629312118)</f>
        <v>45087.62931</v>
      </c>
      <c r="D5425" s="15">
        <f>IFERROR(__xludf.DUMMYFUNCTION("""COMPUTED_VALUE"""),1.004)</f>
        <v>1.004</v>
      </c>
      <c r="E5425" s="16">
        <f>IFERROR(__xludf.DUMMYFUNCTION("""COMPUTED_VALUE"""),66.0)</f>
        <v>66</v>
      </c>
      <c r="F5425" s="19" t="str">
        <f>IFERROR(__xludf.DUMMYFUNCTION("""COMPUTED_VALUE"""),"BLUE")</f>
        <v>BLUE</v>
      </c>
      <c r="G5425" s="20" t="str">
        <f>IFERROR(__xludf.DUMMYFUNCTION("""COMPUTED_VALUE"""),"Uncle Sams Cider (04/04/2023)")</f>
        <v>Uncle Sams Cider (04/04/2023)</v>
      </c>
      <c r="H5425" s="19"/>
    </row>
    <row r="5426">
      <c r="A5426" s="9"/>
      <c r="B5426" s="15"/>
      <c r="C5426" s="9">
        <f>IFERROR(__xludf.DUMMYFUNCTION("""COMPUTED_VALUE"""),45087.6188919097)</f>
        <v>45087.61889</v>
      </c>
      <c r="D5426" s="15">
        <f>IFERROR(__xludf.DUMMYFUNCTION("""COMPUTED_VALUE"""),1.004)</f>
        <v>1.004</v>
      </c>
      <c r="E5426" s="16">
        <f>IFERROR(__xludf.DUMMYFUNCTION("""COMPUTED_VALUE"""),66.0)</f>
        <v>66</v>
      </c>
      <c r="F5426" s="19" t="str">
        <f>IFERROR(__xludf.DUMMYFUNCTION("""COMPUTED_VALUE"""),"BLUE")</f>
        <v>BLUE</v>
      </c>
      <c r="G5426" s="20" t="str">
        <f>IFERROR(__xludf.DUMMYFUNCTION("""COMPUTED_VALUE"""),"Uncle Sams Cider (04/04/2023)")</f>
        <v>Uncle Sams Cider (04/04/2023)</v>
      </c>
      <c r="H5426" s="19"/>
    </row>
    <row r="5427">
      <c r="A5427" s="9"/>
      <c r="B5427" s="15"/>
      <c r="C5427" s="9">
        <f>IFERROR(__xludf.DUMMYFUNCTION("""COMPUTED_VALUE"""),45087.6084683449)</f>
        <v>45087.60847</v>
      </c>
      <c r="D5427" s="15">
        <f>IFERROR(__xludf.DUMMYFUNCTION("""COMPUTED_VALUE"""),1.004)</f>
        <v>1.004</v>
      </c>
      <c r="E5427" s="16">
        <f>IFERROR(__xludf.DUMMYFUNCTION("""COMPUTED_VALUE"""),66.0)</f>
        <v>66</v>
      </c>
      <c r="F5427" s="19" t="str">
        <f>IFERROR(__xludf.DUMMYFUNCTION("""COMPUTED_VALUE"""),"BLUE")</f>
        <v>BLUE</v>
      </c>
      <c r="G5427" s="20" t="str">
        <f>IFERROR(__xludf.DUMMYFUNCTION("""COMPUTED_VALUE"""),"Uncle Sams Cider (04/04/2023)")</f>
        <v>Uncle Sams Cider (04/04/2023)</v>
      </c>
      <c r="H5427" s="19"/>
    </row>
    <row r="5428">
      <c r="A5428" s="9"/>
      <c r="B5428" s="15"/>
      <c r="C5428" s="9">
        <f>IFERROR(__xludf.DUMMYFUNCTION("""COMPUTED_VALUE"""),45087.5980483449)</f>
        <v>45087.59805</v>
      </c>
      <c r="D5428" s="15">
        <f>IFERROR(__xludf.DUMMYFUNCTION("""COMPUTED_VALUE"""),1.004)</f>
        <v>1.004</v>
      </c>
      <c r="E5428" s="16">
        <f>IFERROR(__xludf.DUMMYFUNCTION("""COMPUTED_VALUE"""),66.0)</f>
        <v>66</v>
      </c>
      <c r="F5428" s="19" t="str">
        <f>IFERROR(__xludf.DUMMYFUNCTION("""COMPUTED_VALUE"""),"BLUE")</f>
        <v>BLUE</v>
      </c>
      <c r="G5428" s="20" t="str">
        <f>IFERROR(__xludf.DUMMYFUNCTION("""COMPUTED_VALUE"""),"Uncle Sams Cider (04/04/2023)")</f>
        <v>Uncle Sams Cider (04/04/2023)</v>
      </c>
      <c r="H5428" s="19"/>
    </row>
    <row r="5429">
      <c r="A5429" s="9"/>
      <c r="B5429" s="15"/>
      <c r="C5429" s="9">
        <f>IFERROR(__xludf.DUMMYFUNCTION("""COMPUTED_VALUE"""),45087.5876151273)</f>
        <v>45087.58762</v>
      </c>
      <c r="D5429" s="15">
        <f>IFERROR(__xludf.DUMMYFUNCTION("""COMPUTED_VALUE"""),1.004)</f>
        <v>1.004</v>
      </c>
      <c r="E5429" s="16">
        <f>IFERROR(__xludf.DUMMYFUNCTION("""COMPUTED_VALUE"""),66.0)</f>
        <v>66</v>
      </c>
      <c r="F5429" s="19" t="str">
        <f>IFERROR(__xludf.DUMMYFUNCTION("""COMPUTED_VALUE"""),"BLUE")</f>
        <v>BLUE</v>
      </c>
      <c r="G5429" s="20" t="str">
        <f>IFERROR(__xludf.DUMMYFUNCTION("""COMPUTED_VALUE"""),"Uncle Sams Cider (04/04/2023)")</f>
        <v>Uncle Sams Cider (04/04/2023)</v>
      </c>
      <c r="H5429" s="19"/>
    </row>
    <row r="5430">
      <c r="A5430" s="9"/>
      <c r="B5430" s="15"/>
      <c r="C5430" s="9">
        <f>IFERROR(__xludf.DUMMYFUNCTION("""COMPUTED_VALUE"""),45087.5771942361)</f>
        <v>45087.57719</v>
      </c>
      <c r="D5430" s="15">
        <f>IFERROR(__xludf.DUMMYFUNCTION("""COMPUTED_VALUE"""),1.004)</f>
        <v>1.004</v>
      </c>
      <c r="E5430" s="16">
        <f>IFERROR(__xludf.DUMMYFUNCTION("""COMPUTED_VALUE"""),66.0)</f>
        <v>66</v>
      </c>
      <c r="F5430" s="19" t="str">
        <f>IFERROR(__xludf.DUMMYFUNCTION("""COMPUTED_VALUE"""),"BLUE")</f>
        <v>BLUE</v>
      </c>
      <c r="G5430" s="20" t="str">
        <f>IFERROR(__xludf.DUMMYFUNCTION("""COMPUTED_VALUE"""),"Uncle Sams Cider (04/04/2023)")</f>
        <v>Uncle Sams Cider (04/04/2023)</v>
      </c>
      <c r="H5430" s="19"/>
    </row>
    <row r="5431">
      <c r="A5431" s="9"/>
      <c r="B5431" s="15"/>
      <c r="C5431" s="9">
        <f>IFERROR(__xludf.DUMMYFUNCTION("""COMPUTED_VALUE"""),45087.5667722453)</f>
        <v>45087.56677</v>
      </c>
      <c r="D5431" s="15">
        <f>IFERROR(__xludf.DUMMYFUNCTION("""COMPUTED_VALUE"""),1.004)</f>
        <v>1.004</v>
      </c>
      <c r="E5431" s="16">
        <f>IFERROR(__xludf.DUMMYFUNCTION("""COMPUTED_VALUE"""),66.0)</f>
        <v>66</v>
      </c>
      <c r="F5431" s="19" t="str">
        <f>IFERROR(__xludf.DUMMYFUNCTION("""COMPUTED_VALUE"""),"BLUE")</f>
        <v>BLUE</v>
      </c>
      <c r="G5431" s="20" t="str">
        <f>IFERROR(__xludf.DUMMYFUNCTION("""COMPUTED_VALUE"""),"Uncle Sams Cider (04/04/2023)")</f>
        <v>Uncle Sams Cider (04/04/2023)</v>
      </c>
      <c r="H5431" s="19"/>
    </row>
    <row r="5432">
      <c r="A5432" s="9"/>
      <c r="B5432" s="15"/>
      <c r="C5432" s="9">
        <f>IFERROR(__xludf.DUMMYFUNCTION("""COMPUTED_VALUE"""),45087.5563395138)</f>
        <v>45087.55634</v>
      </c>
      <c r="D5432" s="15">
        <f>IFERROR(__xludf.DUMMYFUNCTION("""COMPUTED_VALUE"""),1.004)</f>
        <v>1.004</v>
      </c>
      <c r="E5432" s="16">
        <f>IFERROR(__xludf.DUMMYFUNCTION("""COMPUTED_VALUE"""),66.0)</f>
        <v>66</v>
      </c>
      <c r="F5432" s="19" t="str">
        <f>IFERROR(__xludf.DUMMYFUNCTION("""COMPUTED_VALUE"""),"BLUE")</f>
        <v>BLUE</v>
      </c>
      <c r="G5432" s="20" t="str">
        <f>IFERROR(__xludf.DUMMYFUNCTION("""COMPUTED_VALUE"""),"Uncle Sams Cider (04/04/2023)")</f>
        <v>Uncle Sams Cider (04/04/2023)</v>
      </c>
      <c r="H5432" s="19"/>
    </row>
    <row r="5433">
      <c r="A5433" s="9"/>
      <c r="B5433" s="15"/>
      <c r="C5433" s="9">
        <f>IFERROR(__xludf.DUMMYFUNCTION("""COMPUTED_VALUE"""),45087.5459195138)</f>
        <v>45087.54592</v>
      </c>
      <c r="D5433" s="15">
        <f>IFERROR(__xludf.DUMMYFUNCTION("""COMPUTED_VALUE"""),1.004)</f>
        <v>1.004</v>
      </c>
      <c r="E5433" s="16">
        <f>IFERROR(__xludf.DUMMYFUNCTION("""COMPUTED_VALUE"""),66.0)</f>
        <v>66</v>
      </c>
      <c r="F5433" s="19" t="str">
        <f>IFERROR(__xludf.DUMMYFUNCTION("""COMPUTED_VALUE"""),"BLUE")</f>
        <v>BLUE</v>
      </c>
      <c r="G5433" s="20" t="str">
        <f>IFERROR(__xludf.DUMMYFUNCTION("""COMPUTED_VALUE"""),"Uncle Sams Cider (04/04/2023)")</f>
        <v>Uncle Sams Cider (04/04/2023)</v>
      </c>
      <c r="H5433" s="19"/>
    </row>
    <row r="5434">
      <c r="A5434" s="9"/>
      <c r="B5434" s="15"/>
      <c r="C5434" s="9">
        <f>IFERROR(__xludf.DUMMYFUNCTION("""COMPUTED_VALUE"""),45087.5354995833)</f>
        <v>45087.5355</v>
      </c>
      <c r="D5434" s="15">
        <f>IFERROR(__xludf.DUMMYFUNCTION("""COMPUTED_VALUE"""),1.004)</f>
        <v>1.004</v>
      </c>
      <c r="E5434" s="16">
        <f>IFERROR(__xludf.DUMMYFUNCTION("""COMPUTED_VALUE"""),66.0)</f>
        <v>66</v>
      </c>
      <c r="F5434" s="19" t="str">
        <f>IFERROR(__xludf.DUMMYFUNCTION("""COMPUTED_VALUE"""),"BLUE")</f>
        <v>BLUE</v>
      </c>
      <c r="G5434" s="20" t="str">
        <f>IFERROR(__xludf.DUMMYFUNCTION("""COMPUTED_VALUE"""),"Uncle Sams Cider (04/04/2023)")</f>
        <v>Uncle Sams Cider (04/04/2023)</v>
      </c>
      <c r="H5434" s="19"/>
    </row>
    <row r="5435">
      <c r="A5435" s="9"/>
      <c r="B5435" s="15"/>
      <c r="C5435" s="9">
        <f>IFERROR(__xludf.DUMMYFUNCTION("""COMPUTED_VALUE"""),45087.5250688888)</f>
        <v>45087.52507</v>
      </c>
      <c r="D5435" s="15">
        <f>IFERROR(__xludf.DUMMYFUNCTION("""COMPUTED_VALUE"""),1.004)</f>
        <v>1.004</v>
      </c>
      <c r="E5435" s="16">
        <f>IFERROR(__xludf.DUMMYFUNCTION("""COMPUTED_VALUE"""),66.0)</f>
        <v>66</v>
      </c>
      <c r="F5435" s="19" t="str">
        <f>IFERROR(__xludf.DUMMYFUNCTION("""COMPUTED_VALUE"""),"BLUE")</f>
        <v>BLUE</v>
      </c>
      <c r="G5435" s="20" t="str">
        <f>IFERROR(__xludf.DUMMYFUNCTION("""COMPUTED_VALUE"""),"Uncle Sams Cider (04/04/2023)")</f>
        <v>Uncle Sams Cider (04/04/2023)</v>
      </c>
      <c r="H5435" s="19"/>
    </row>
    <row r="5436">
      <c r="A5436" s="9"/>
      <c r="B5436" s="15"/>
      <c r="C5436" s="9">
        <f>IFERROR(__xludf.DUMMYFUNCTION("""COMPUTED_VALUE"""),45087.5146492708)</f>
        <v>45087.51465</v>
      </c>
      <c r="D5436" s="15">
        <f>IFERROR(__xludf.DUMMYFUNCTION("""COMPUTED_VALUE"""),1.004)</f>
        <v>1.004</v>
      </c>
      <c r="E5436" s="16">
        <f>IFERROR(__xludf.DUMMYFUNCTION("""COMPUTED_VALUE"""),66.0)</f>
        <v>66</v>
      </c>
      <c r="F5436" s="19" t="str">
        <f>IFERROR(__xludf.DUMMYFUNCTION("""COMPUTED_VALUE"""),"BLUE")</f>
        <v>BLUE</v>
      </c>
      <c r="G5436" s="20" t="str">
        <f>IFERROR(__xludf.DUMMYFUNCTION("""COMPUTED_VALUE"""),"Uncle Sams Cider (04/04/2023)")</f>
        <v>Uncle Sams Cider (04/04/2023)</v>
      </c>
      <c r="H5436" s="19"/>
    </row>
    <row r="5437">
      <c r="A5437" s="9"/>
      <c r="B5437" s="15"/>
      <c r="C5437" s="9">
        <f>IFERROR(__xludf.DUMMYFUNCTION("""COMPUTED_VALUE"""),45087.5042286574)</f>
        <v>45087.50423</v>
      </c>
      <c r="D5437" s="15">
        <f>IFERROR(__xludf.DUMMYFUNCTION("""COMPUTED_VALUE"""),1.004)</f>
        <v>1.004</v>
      </c>
      <c r="E5437" s="16">
        <f>IFERROR(__xludf.DUMMYFUNCTION("""COMPUTED_VALUE"""),66.0)</f>
        <v>66</v>
      </c>
      <c r="F5437" s="19" t="str">
        <f>IFERROR(__xludf.DUMMYFUNCTION("""COMPUTED_VALUE"""),"BLUE")</f>
        <v>BLUE</v>
      </c>
      <c r="G5437" s="20" t="str">
        <f>IFERROR(__xludf.DUMMYFUNCTION("""COMPUTED_VALUE"""),"Uncle Sams Cider (04/04/2023)")</f>
        <v>Uncle Sams Cider (04/04/2023)</v>
      </c>
      <c r="H5437" s="19"/>
    </row>
    <row r="5438">
      <c r="A5438" s="9"/>
      <c r="B5438" s="15"/>
      <c r="C5438" s="9">
        <f>IFERROR(__xludf.DUMMYFUNCTION("""COMPUTED_VALUE"""),45087.4938077893)</f>
        <v>45087.49381</v>
      </c>
      <c r="D5438" s="15">
        <f>IFERROR(__xludf.DUMMYFUNCTION("""COMPUTED_VALUE"""),1.004)</f>
        <v>1.004</v>
      </c>
      <c r="E5438" s="16">
        <f>IFERROR(__xludf.DUMMYFUNCTION("""COMPUTED_VALUE"""),66.0)</f>
        <v>66</v>
      </c>
      <c r="F5438" s="19" t="str">
        <f>IFERROR(__xludf.DUMMYFUNCTION("""COMPUTED_VALUE"""),"BLUE")</f>
        <v>BLUE</v>
      </c>
      <c r="G5438" s="20" t="str">
        <f>IFERROR(__xludf.DUMMYFUNCTION("""COMPUTED_VALUE"""),"Uncle Sams Cider (04/04/2023)")</f>
        <v>Uncle Sams Cider (04/04/2023)</v>
      </c>
      <c r="H5438" s="19"/>
    </row>
    <row r="5439">
      <c r="A5439" s="9"/>
      <c r="B5439" s="15"/>
      <c r="C5439" s="9">
        <f>IFERROR(__xludf.DUMMYFUNCTION("""COMPUTED_VALUE"""),45087.4833862152)</f>
        <v>45087.48339</v>
      </c>
      <c r="D5439" s="15">
        <f>IFERROR(__xludf.DUMMYFUNCTION("""COMPUTED_VALUE"""),1.004)</f>
        <v>1.004</v>
      </c>
      <c r="E5439" s="16">
        <f>IFERROR(__xludf.DUMMYFUNCTION("""COMPUTED_VALUE"""),66.0)</f>
        <v>66</v>
      </c>
      <c r="F5439" s="19" t="str">
        <f>IFERROR(__xludf.DUMMYFUNCTION("""COMPUTED_VALUE"""),"BLUE")</f>
        <v>BLUE</v>
      </c>
      <c r="G5439" s="20" t="str">
        <f>IFERROR(__xludf.DUMMYFUNCTION("""COMPUTED_VALUE"""),"Uncle Sams Cider (04/04/2023)")</f>
        <v>Uncle Sams Cider (04/04/2023)</v>
      </c>
      <c r="H5439" s="19"/>
    </row>
    <row r="5440">
      <c r="A5440" s="9"/>
      <c r="B5440" s="15"/>
      <c r="C5440" s="9">
        <f>IFERROR(__xludf.DUMMYFUNCTION("""COMPUTED_VALUE"""),45087.4729638541)</f>
        <v>45087.47296</v>
      </c>
      <c r="D5440" s="15">
        <f>IFERROR(__xludf.DUMMYFUNCTION("""COMPUTED_VALUE"""),1.004)</f>
        <v>1.004</v>
      </c>
      <c r="E5440" s="16">
        <f>IFERROR(__xludf.DUMMYFUNCTION("""COMPUTED_VALUE"""),66.0)</f>
        <v>66</v>
      </c>
      <c r="F5440" s="19" t="str">
        <f>IFERROR(__xludf.DUMMYFUNCTION("""COMPUTED_VALUE"""),"BLUE")</f>
        <v>BLUE</v>
      </c>
      <c r="G5440" s="20" t="str">
        <f>IFERROR(__xludf.DUMMYFUNCTION("""COMPUTED_VALUE"""),"Uncle Sams Cider (04/04/2023)")</f>
        <v>Uncle Sams Cider (04/04/2023)</v>
      </c>
      <c r="H5440" s="19"/>
    </row>
    <row r="5441">
      <c r="A5441" s="9"/>
      <c r="B5441" s="15"/>
      <c r="C5441" s="9">
        <f>IFERROR(__xludf.DUMMYFUNCTION("""COMPUTED_VALUE"""),45087.4625440972)</f>
        <v>45087.46254</v>
      </c>
      <c r="D5441" s="15">
        <f>IFERROR(__xludf.DUMMYFUNCTION("""COMPUTED_VALUE"""),1.004)</f>
        <v>1.004</v>
      </c>
      <c r="E5441" s="16">
        <f>IFERROR(__xludf.DUMMYFUNCTION("""COMPUTED_VALUE"""),66.0)</f>
        <v>66</v>
      </c>
      <c r="F5441" s="19" t="str">
        <f>IFERROR(__xludf.DUMMYFUNCTION("""COMPUTED_VALUE"""),"BLUE")</f>
        <v>BLUE</v>
      </c>
      <c r="G5441" s="20" t="str">
        <f>IFERROR(__xludf.DUMMYFUNCTION("""COMPUTED_VALUE"""),"Uncle Sams Cider (04/04/2023)")</f>
        <v>Uncle Sams Cider (04/04/2023)</v>
      </c>
      <c r="H5441" s="19"/>
    </row>
    <row r="5442">
      <c r="A5442" s="9"/>
      <c r="B5442" s="15"/>
      <c r="C5442" s="9">
        <f>IFERROR(__xludf.DUMMYFUNCTION("""COMPUTED_VALUE"""),45087.4521233912)</f>
        <v>45087.45212</v>
      </c>
      <c r="D5442" s="15">
        <f>IFERROR(__xludf.DUMMYFUNCTION("""COMPUTED_VALUE"""),1.004)</f>
        <v>1.004</v>
      </c>
      <c r="E5442" s="16">
        <f>IFERROR(__xludf.DUMMYFUNCTION("""COMPUTED_VALUE"""),66.0)</f>
        <v>66</v>
      </c>
      <c r="F5442" s="19" t="str">
        <f>IFERROR(__xludf.DUMMYFUNCTION("""COMPUTED_VALUE"""),"BLUE")</f>
        <v>BLUE</v>
      </c>
      <c r="G5442" s="20" t="str">
        <f>IFERROR(__xludf.DUMMYFUNCTION("""COMPUTED_VALUE"""),"Uncle Sams Cider (04/04/2023)")</f>
        <v>Uncle Sams Cider (04/04/2023)</v>
      </c>
      <c r="H5442" s="19"/>
    </row>
    <row r="5443">
      <c r="A5443" s="9"/>
      <c r="B5443" s="15"/>
      <c r="C5443" s="9">
        <f>IFERROR(__xludf.DUMMYFUNCTION("""COMPUTED_VALUE"""),45087.4417017939)</f>
        <v>45087.4417</v>
      </c>
      <c r="D5443" s="15">
        <f>IFERROR(__xludf.DUMMYFUNCTION("""COMPUTED_VALUE"""),1.004)</f>
        <v>1.004</v>
      </c>
      <c r="E5443" s="16">
        <f>IFERROR(__xludf.DUMMYFUNCTION("""COMPUTED_VALUE"""),66.0)</f>
        <v>66</v>
      </c>
      <c r="F5443" s="19" t="str">
        <f>IFERROR(__xludf.DUMMYFUNCTION("""COMPUTED_VALUE"""),"BLUE")</f>
        <v>BLUE</v>
      </c>
      <c r="G5443" s="20" t="str">
        <f>IFERROR(__xludf.DUMMYFUNCTION("""COMPUTED_VALUE"""),"Uncle Sams Cider (04/04/2023)")</f>
        <v>Uncle Sams Cider (04/04/2023)</v>
      </c>
      <c r="H5443" s="19"/>
    </row>
    <row r="5444">
      <c r="A5444" s="9"/>
      <c r="B5444" s="15"/>
      <c r="C5444" s="9">
        <f>IFERROR(__xludf.DUMMYFUNCTION("""COMPUTED_VALUE"""),45087.43127)</f>
        <v>45087.43127</v>
      </c>
      <c r="D5444" s="15">
        <f>IFERROR(__xludf.DUMMYFUNCTION("""COMPUTED_VALUE"""),1.004)</f>
        <v>1.004</v>
      </c>
      <c r="E5444" s="16">
        <f>IFERROR(__xludf.DUMMYFUNCTION("""COMPUTED_VALUE"""),66.0)</f>
        <v>66</v>
      </c>
      <c r="F5444" s="19" t="str">
        <f>IFERROR(__xludf.DUMMYFUNCTION("""COMPUTED_VALUE"""),"BLUE")</f>
        <v>BLUE</v>
      </c>
      <c r="G5444" s="20" t="str">
        <f>IFERROR(__xludf.DUMMYFUNCTION("""COMPUTED_VALUE"""),"Uncle Sams Cider (04/04/2023)")</f>
        <v>Uncle Sams Cider (04/04/2023)</v>
      </c>
      <c r="H5444" s="19"/>
    </row>
    <row r="5445">
      <c r="A5445" s="9"/>
      <c r="B5445" s="15"/>
      <c r="C5445" s="9">
        <f>IFERROR(__xludf.DUMMYFUNCTION("""COMPUTED_VALUE"""),45087.4208482291)</f>
        <v>45087.42085</v>
      </c>
      <c r="D5445" s="15">
        <f>IFERROR(__xludf.DUMMYFUNCTION("""COMPUTED_VALUE"""),1.004)</f>
        <v>1.004</v>
      </c>
      <c r="E5445" s="16">
        <f>IFERROR(__xludf.DUMMYFUNCTION("""COMPUTED_VALUE"""),66.0)</f>
        <v>66</v>
      </c>
      <c r="F5445" s="19" t="str">
        <f>IFERROR(__xludf.DUMMYFUNCTION("""COMPUTED_VALUE"""),"BLUE")</f>
        <v>BLUE</v>
      </c>
      <c r="G5445" s="20" t="str">
        <f>IFERROR(__xludf.DUMMYFUNCTION("""COMPUTED_VALUE"""),"Uncle Sams Cider (04/04/2023)")</f>
        <v>Uncle Sams Cider (04/04/2023)</v>
      </c>
      <c r="H5445" s="19"/>
    </row>
    <row r="5446">
      <c r="A5446" s="9"/>
      <c r="B5446" s="15"/>
      <c r="C5446" s="9">
        <f>IFERROR(__xludf.DUMMYFUNCTION("""COMPUTED_VALUE"""),45087.410428368)</f>
        <v>45087.41043</v>
      </c>
      <c r="D5446" s="15">
        <f>IFERROR(__xludf.DUMMYFUNCTION("""COMPUTED_VALUE"""),1.004)</f>
        <v>1.004</v>
      </c>
      <c r="E5446" s="16">
        <f>IFERROR(__xludf.DUMMYFUNCTION("""COMPUTED_VALUE"""),66.0)</f>
        <v>66</v>
      </c>
      <c r="F5446" s="19" t="str">
        <f>IFERROR(__xludf.DUMMYFUNCTION("""COMPUTED_VALUE"""),"BLUE")</f>
        <v>BLUE</v>
      </c>
      <c r="G5446" s="20" t="str">
        <f>IFERROR(__xludf.DUMMYFUNCTION("""COMPUTED_VALUE"""),"Uncle Sams Cider (04/04/2023)")</f>
        <v>Uncle Sams Cider (04/04/2023)</v>
      </c>
      <c r="H5446" s="19"/>
    </row>
    <row r="5447">
      <c r="A5447" s="9"/>
      <c r="B5447" s="15"/>
      <c r="C5447" s="9">
        <f>IFERROR(__xludf.DUMMYFUNCTION("""COMPUTED_VALUE"""),45087.4000081712)</f>
        <v>45087.40001</v>
      </c>
      <c r="D5447" s="15">
        <f>IFERROR(__xludf.DUMMYFUNCTION("""COMPUTED_VALUE"""),1.004)</f>
        <v>1.004</v>
      </c>
      <c r="E5447" s="16">
        <f>IFERROR(__xludf.DUMMYFUNCTION("""COMPUTED_VALUE"""),66.0)</f>
        <v>66</v>
      </c>
      <c r="F5447" s="19" t="str">
        <f>IFERROR(__xludf.DUMMYFUNCTION("""COMPUTED_VALUE"""),"BLUE")</f>
        <v>BLUE</v>
      </c>
      <c r="G5447" s="20" t="str">
        <f>IFERROR(__xludf.DUMMYFUNCTION("""COMPUTED_VALUE"""),"Uncle Sams Cider (04/04/2023)")</f>
        <v>Uncle Sams Cider (04/04/2023)</v>
      </c>
      <c r="H5447" s="19"/>
    </row>
    <row r="5448">
      <c r="A5448" s="9"/>
      <c r="B5448" s="15"/>
      <c r="C5448" s="9">
        <f>IFERROR(__xludf.DUMMYFUNCTION("""COMPUTED_VALUE"""),45087.3895872106)</f>
        <v>45087.38959</v>
      </c>
      <c r="D5448" s="15">
        <f>IFERROR(__xludf.DUMMYFUNCTION("""COMPUTED_VALUE"""),1.004)</f>
        <v>1.004</v>
      </c>
      <c r="E5448" s="16">
        <f>IFERROR(__xludf.DUMMYFUNCTION("""COMPUTED_VALUE"""),66.0)</f>
        <v>66</v>
      </c>
      <c r="F5448" s="19" t="str">
        <f>IFERROR(__xludf.DUMMYFUNCTION("""COMPUTED_VALUE"""),"BLUE")</f>
        <v>BLUE</v>
      </c>
      <c r="G5448" s="20" t="str">
        <f>IFERROR(__xludf.DUMMYFUNCTION("""COMPUTED_VALUE"""),"Uncle Sams Cider (04/04/2023)")</f>
        <v>Uncle Sams Cider (04/04/2023)</v>
      </c>
      <c r="H5448" s="19"/>
    </row>
    <row r="5449">
      <c r="A5449" s="9"/>
      <c r="B5449" s="15"/>
      <c r="C5449" s="9">
        <f>IFERROR(__xludf.DUMMYFUNCTION("""COMPUTED_VALUE"""),45087.3791552314)</f>
        <v>45087.37916</v>
      </c>
      <c r="D5449" s="15">
        <f>IFERROR(__xludf.DUMMYFUNCTION("""COMPUTED_VALUE"""),1.004)</f>
        <v>1.004</v>
      </c>
      <c r="E5449" s="16">
        <f>IFERROR(__xludf.DUMMYFUNCTION("""COMPUTED_VALUE"""),66.0)</f>
        <v>66</v>
      </c>
      <c r="F5449" s="19" t="str">
        <f>IFERROR(__xludf.DUMMYFUNCTION("""COMPUTED_VALUE"""),"BLUE")</f>
        <v>BLUE</v>
      </c>
      <c r="G5449" s="20" t="str">
        <f>IFERROR(__xludf.DUMMYFUNCTION("""COMPUTED_VALUE"""),"Uncle Sams Cider (04/04/2023)")</f>
        <v>Uncle Sams Cider (04/04/2023)</v>
      </c>
      <c r="H5449" s="19"/>
    </row>
    <row r="5450">
      <c r="A5450" s="9"/>
      <c r="B5450" s="15"/>
      <c r="C5450" s="9">
        <f>IFERROR(__xludf.DUMMYFUNCTION("""COMPUTED_VALUE"""),45087.368732662)</f>
        <v>45087.36873</v>
      </c>
      <c r="D5450" s="15">
        <f>IFERROR(__xludf.DUMMYFUNCTION("""COMPUTED_VALUE"""),1.004)</f>
        <v>1.004</v>
      </c>
      <c r="E5450" s="16">
        <f>IFERROR(__xludf.DUMMYFUNCTION("""COMPUTED_VALUE"""),66.0)</f>
        <v>66</v>
      </c>
      <c r="F5450" s="19" t="str">
        <f>IFERROR(__xludf.DUMMYFUNCTION("""COMPUTED_VALUE"""),"BLUE")</f>
        <v>BLUE</v>
      </c>
      <c r="G5450" s="20" t="str">
        <f>IFERROR(__xludf.DUMMYFUNCTION("""COMPUTED_VALUE"""),"Uncle Sams Cider (04/04/2023)")</f>
        <v>Uncle Sams Cider (04/04/2023)</v>
      </c>
      <c r="H5450" s="19"/>
    </row>
    <row r="5451">
      <c r="A5451" s="9"/>
      <c r="B5451" s="15"/>
      <c r="C5451" s="9">
        <f>IFERROR(__xludf.DUMMYFUNCTION("""COMPUTED_VALUE"""),45087.3583114814)</f>
        <v>45087.35831</v>
      </c>
      <c r="D5451" s="15">
        <f>IFERROR(__xludf.DUMMYFUNCTION("""COMPUTED_VALUE"""),1.004)</f>
        <v>1.004</v>
      </c>
      <c r="E5451" s="16">
        <f>IFERROR(__xludf.DUMMYFUNCTION("""COMPUTED_VALUE"""),66.0)</f>
        <v>66</v>
      </c>
      <c r="F5451" s="19" t="str">
        <f>IFERROR(__xludf.DUMMYFUNCTION("""COMPUTED_VALUE"""),"BLUE")</f>
        <v>BLUE</v>
      </c>
      <c r="G5451" s="20" t="str">
        <f>IFERROR(__xludf.DUMMYFUNCTION("""COMPUTED_VALUE"""),"Uncle Sams Cider (04/04/2023)")</f>
        <v>Uncle Sams Cider (04/04/2023)</v>
      </c>
      <c r="H5451" s="19"/>
    </row>
    <row r="5452">
      <c r="A5452" s="9"/>
      <c r="B5452" s="15"/>
      <c r="C5452" s="9">
        <f>IFERROR(__xludf.DUMMYFUNCTION("""COMPUTED_VALUE"""),45087.3478914583)</f>
        <v>45087.34789</v>
      </c>
      <c r="D5452" s="15">
        <f>IFERROR(__xludf.DUMMYFUNCTION("""COMPUTED_VALUE"""),1.004)</f>
        <v>1.004</v>
      </c>
      <c r="E5452" s="16">
        <f>IFERROR(__xludf.DUMMYFUNCTION("""COMPUTED_VALUE"""),66.0)</f>
        <v>66</v>
      </c>
      <c r="F5452" s="19" t="str">
        <f>IFERROR(__xludf.DUMMYFUNCTION("""COMPUTED_VALUE"""),"BLUE")</f>
        <v>BLUE</v>
      </c>
      <c r="G5452" s="20" t="str">
        <f>IFERROR(__xludf.DUMMYFUNCTION("""COMPUTED_VALUE"""),"Uncle Sams Cider (04/04/2023)")</f>
        <v>Uncle Sams Cider (04/04/2023)</v>
      </c>
      <c r="H5452" s="19"/>
    </row>
    <row r="5453">
      <c r="A5453" s="9"/>
      <c r="B5453" s="15"/>
      <c r="C5453" s="9">
        <f>IFERROR(__xludf.DUMMYFUNCTION("""COMPUTED_VALUE"""),45087.3374696296)</f>
        <v>45087.33747</v>
      </c>
      <c r="D5453" s="15">
        <f>IFERROR(__xludf.DUMMYFUNCTION("""COMPUTED_VALUE"""),1.004)</f>
        <v>1.004</v>
      </c>
      <c r="E5453" s="16">
        <f>IFERROR(__xludf.DUMMYFUNCTION("""COMPUTED_VALUE"""),66.0)</f>
        <v>66</v>
      </c>
      <c r="F5453" s="19" t="str">
        <f>IFERROR(__xludf.DUMMYFUNCTION("""COMPUTED_VALUE"""),"BLUE")</f>
        <v>BLUE</v>
      </c>
      <c r="G5453" s="20" t="str">
        <f>IFERROR(__xludf.DUMMYFUNCTION("""COMPUTED_VALUE"""),"Uncle Sams Cider (04/04/2023)")</f>
        <v>Uncle Sams Cider (04/04/2023)</v>
      </c>
      <c r="H5453" s="19"/>
    </row>
    <row r="5454">
      <c r="A5454" s="9"/>
      <c r="B5454" s="15"/>
      <c r="C5454" s="9">
        <f>IFERROR(__xludf.DUMMYFUNCTION("""COMPUTED_VALUE"""),45087.3270478125)</f>
        <v>45087.32705</v>
      </c>
      <c r="D5454" s="15">
        <f>IFERROR(__xludf.DUMMYFUNCTION("""COMPUTED_VALUE"""),1.004)</f>
        <v>1.004</v>
      </c>
      <c r="E5454" s="16">
        <f>IFERROR(__xludf.DUMMYFUNCTION("""COMPUTED_VALUE"""),66.0)</f>
        <v>66</v>
      </c>
      <c r="F5454" s="19" t="str">
        <f>IFERROR(__xludf.DUMMYFUNCTION("""COMPUTED_VALUE"""),"BLUE")</f>
        <v>BLUE</v>
      </c>
      <c r="G5454" s="20" t="str">
        <f>IFERROR(__xludf.DUMMYFUNCTION("""COMPUTED_VALUE"""),"Uncle Sams Cider (04/04/2023)")</f>
        <v>Uncle Sams Cider (04/04/2023)</v>
      </c>
      <c r="H5454" s="19"/>
    </row>
    <row r="5455">
      <c r="A5455" s="9"/>
      <c r="B5455" s="15"/>
      <c r="C5455" s="9">
        <f>IFERROR(__xludf.DUMMYFUNCTION("""COMPUTED_VALUE"""),45087.3166253935)</f>
        <v>45087.31663</v>
      </c>
      <c r="D5455" s="15">
        <f>IFERROR(__xludf.DUMMYFUNCTION("""COMPUTED_VALUE"""),1.004)</f>
        <v>1.004</v>
      </c>
      <c r="E5455" s="16">
        <f>IFERROR(__xludf.DUMMYFUNCTION("""COMPUTED_VALUE"""),66.0)</f>
        <v>66</v>
      </c>
      <c r="F5455" s="19" t="str">
        <f>IFERROR(__xludf.DUMMYFUNCTION("""COMPUTED_VALUE"""),"BLUE")</f>
        <v>BLUE</v>
      </c>
      <c r="G5455" s="20" t="str">
        <f>IFERROR(__xludf.DUMMYFUNCTION("""COMPUTED_VALUE"""),"Uncle Sams Cider (04/04/2023)")</f>
        <v>Uncle Sams Cider (04/04/2023)</v>
      </c>
      <c r="H5455" s="19"/>
    </row>
    <row r="5456">
      <c r="A5456" s="9"/>
      <c r="B5456" s="15"/>
      <c r="C5456" s="9">
        <f>IFERROR(__xludf.DUMMYFUNCTION("""COMPUTED_VALUE"""),45087.3062040856)</f>
        <v>45087.3062</v>
      </c>
      <c r="D5456" s="15">
        <f>IFERROR(__xludf.DUMMYFUNCTION("""COMPUTED_VALUE"""),1.004)</f>
        <v>1.004</v>
      </c>
      <c r="E5456" s="16">
        <f>IFERROR(__xludf.DUMMYFUNCTION("""COMPUTED_VALUE"""),66.0)</f>
        <v>66</v>
      </c>
      <c r="F5456" s="19" t="str">
        <f>IFERROR(__xludf.DUMMYFUNCTION("""COMPUTED_VALUE"""),"BLUE")</f>
        <v>BLUE</v>
      </c>
      <c r="G5456" s="20" t="str">
        <f>IFERROR(__xludf.DUMMYFUNCTION("""COMPUTED_VALUE"""),"Uncle Sams Cider (04/04/2023)")</f>
        <v>Uncle Sams Cider (04/04/2023)</v>
      </c>
      <c r="H5456" s="19"/>
    </row>
    <row r="5457">
      <c r="A5457" s="9"/>
      <c r="B5457" s="15"/>
      <c r="C5457" s="9">
        <f>IFERROR(__xludf.DUMMYFUNCTION("""COMPUTED_VALUE"""),45087.2957820949)</f>
        <v>45087.29578</v>
      </c>
      <c r="D5457" s="15">
        <f>IFERROR(__xludf.DUMMYFUNCTION("""COMPUTED_VALUE"""),1.004)</f>
        <v>1.004</v>
      </c>
      <c r="E5457" s="16">
        <f>IFERROR(__xludf.DUMMYFUNCTION("""COMPUTED_VALUE"""),66.0)</f>
        <v>66</v>
      </c>
      <c r="F5457" s="19" t="str">
        <f>IFERROR(__xludf.DUMMYFUNCTION("""COMPUTED_VALUE"""),"BLUE")</f>
        <v>BLUE</v>
      </c>
      <c r="G5457" s="20" t="str">
        <f>IFERROR(__xludf.DUMMYFUNCTION("""COMPUTED_VALUE"""),"Uncle Sams Cider (04/04/2023)")</f>
        <v>Uncle Sams Cider (04/04/2023)</v>
      </c>
      <c r="H5457" s="19"/>
    </row>
    <row r="5458">
      <c r="A5458" s="9"/>
      <c r="B5458" s="15"/>
      <c r="C5458" s="9">
        <f>IFERROR(__xludf.DUMMYFUNCTION("""COMPUTED_VALUE"""),45087.2853604398)</f>
        <v>45087.28536</v>
      </c>
      <c r="D5458" s="15">
        <f>IFERROR(__xludf.DUMMYFUNCTION("""COMPUTED_VALUE"""),1.004)</f>
        <v>1.004</v>
      </c>
      <c r="E5458" s="16">
        <f>IFERROR(__xludf.DUMMYFUNCTION("""COMPUTED_VALUE"""),66.0)</f>
        <v>66</v>
      </c>
      <c r="F5458" s="19" t="str">
        <f>IFERROR(__xludf.DUMMYFUNCTION("""COMPUTED_VALUE"""),"BLUE")</f>
        <v>BLUE</v>
      </c>
      <c r="G5458" s="20" t="str">
        <f>IFERROR(__xludf.DUMMYFUNCTION("""COMPUTED_VALUE"""),"Uncle Sams Cider (04/04/2023)")</f>
        <v>Uncle Sams Cider (04/04/2023)</v>
      </c>
      <c r="H5458" s="19"/>
    </row>
    <row r="5459">
      <c r="A5459" s="9"/>
      <c r="B5459" s="15"/>
      <c r="C5459" s="9">
        <f>IFERROR(__xludf.DUMMYFUNCTION("""COMPUTED_VALUE"""),45087.2749401504)</f>
        <v>45087.27494</v>
      </c>
      <c r="D5459" s="15">
        <f>IFERROR(__xludf.DUMMYFUNCTION("""COMPUTED_VALUE"""),1.004)</f>
        <v>1.004</v>
      </c>
      <c r="E5459" s="16">
        <f>IFERROR(__xludf.DUMMYFUNCTION("""COMPUTED_VALUE"""),66.0)</f>
        <v>66</v>
      </c>
      <c r="F5459" s="19" t="str">
        <f>IFERROR(__xludf.DUMMYFUNCTION("""COMPUTED_VALUE"""),"BLUE")</f>
        <v>BLUE</v>
      </c>
      <c r="G5459" s="20" t="str">
        <f>IFERROR(__xludf.DUMMYFUNCTION("""COMPUTED_VALUE"""),"Uncle Sams Cider (04/04/2023)")</f>
        <v>Uncle Sams Cider (04/04/2023)</v>
      </c>
      <c r="H5459" s="19"/>
    </row>
    <row r="5460">
      <c r="A5460" s="9"/>
      <c r="B5460" s="15"/>
      <c r="C5460" s="9">
        <f>IFERROR(__xludf.DUMMYFUNCTION("""COMPUTED_VALUE"""),45087.26452)</f>
        <v>45087.26452</v>
      </c>
      <c r="D5460" s="15">
        <f>IFERROR(__xludf.DUMMYFUNCTION("""COMPUTED_VALUE"""),1.004)</f>
        <v>1.004</v>
      </c>
      <c r="E5460" s="16">
        <f>IFERROR(__xludf.DUMMYFUNCTION("""COMPUTED_VALUE"""),66.0)</f>
        <v>66</v>
      </c>
      <c r="F5460" s="19" t="str">
        <f>IFERROR(__xludf.DUMMYFUNCTION("""COMPUTED_VALUE"""),"BLUE")</f>
        <v>BLUE</v>
      </c>
      <c r="G5460" s="20" t="str">
        <f>IFERROR(__xludf.DUMMYFUNCTION("""COMPUTED_VALUE"""),"Uncle Sams Cider (04/04/2023)")</f>
        <v>Uncle Sams Cider (04/04/2023)</v>
      </c>
      <c r="H5460" s="19"/>
    </row>
    <row r="5461">
      <c r="A5461" s="9"/>
      <c r="B5461" s="15"/>
      <c r="C5461" s="9">
        <f>IFERROR(__xludf.DUMMYFUNCTION("""COMPUTED_VALUE"""),45087.2540984722)</f>
        <v>45087.2541</v>
      </c>
      <c r="D5461" s="15">
        <f>IFERROR(__xludf.DUMMYFUNCTION("""COMPUTED_VALUE"""),1.004)</f>
        <v>1.004</v>
      </c>
      <c r="E5461" s="16">
        <f>IFERROR(__xludf.DUMMYFUNCTION("""COMPUTED_VALUE"""),66.0)</f>
        <v>66</v>
      </c>
      <c r="F5461" s="19" t="str">
        <f>IFERROR(__xludf.DUMMYFUNCTION("""COMPUTED_VALUE"""),"BLUE")</f>
        <v>BLUE</v>
      </c>
      <c r="G5461" s="20" t="str">
        <f>IFERROR(__xludf.DUMMYFUNCTION("""COMPUTED_VALUE"""),"Uncle Sams Cider (04/04/2023)")</f>
        <v>Uncle Sams Cider (04/04/2023)</v>
      </c>
      <c r="H5461" s="19"/>
    </row>
    <row r="5462">
      <c r="A5462" s="9"/>
      <c r="B5462" s="15"/>
      <c r="C5462" s="9">
        <f>IFERROR(__xludf.DUMMYFUNCTION("""COMPUTED_VALUE"""),45087.2436771412)</f>
        <v>45087.24368</v>
      </c>
      <c r="D5462" s="15">
        <f>IFERROR(__xludf.DUMMYFUNCTION("""COMPUTED_VALUE"""),1.004)</f>
        <v>1.004</v>
      </c>
      <c r="E5462" s="16">
        <f>IFERROR(__xludf.DUMMYFUNCTION("""COMPUTED_VALUE"""),67.0)</f>
        <v>67</v>
      </c>
      <c r="F5462" s="19" t="str">
        <f>IFERROR(__xludf.DUMMYFUNCTION("""COMPUTED_VALUE"""),"BLUE")</f>
        <v>BLUE</v>
      </c>
      <c r="G5462" s="20" t="str">
        <f>IFERROR(__xludf.DUMMYFUNCTION("""COMPUTED_VALUE"""),"Uncle Sams Cider (04/04/2023)")</f>
        <v>Uncle Sams Cider (04/04/2023)</v>
      </c>
      <c r="H5462" s="19"/>
    </row>
    <row r="5463">
      <c r="A5463" s="9"/>
      <c r="B5463" s="15"/>
      <c r="C5463" s="9">
        <f>IFERROR(__xludf.DUMMYFUNCTION("""COMPUTED_VALUE"""),45087.2332578009)</f>
        <v>45087.23326</v>
      </c>
      <c r="D5463" s="15">
        <f>IFERROR(__xludf.DUMMYFUNCTION("""COMPUTED_VALUE"""),1.004)</f>
        <v>1.004</v>
      </c>
      <c r="E5463" s="16">
        <f>IFERROR(__xludf.DUMMYFUNCTION("""COMPUTED_VALUE"""),66.0)</f>
        <v>66</v>
      </c>
      <c r="F5463" s="19" t="str">
        <f>IFERROR(__xludf.DUMMYFUNCTION("""COMPUTED_VALUE"""),"BLUE")</f>
        <v>BLUE</v>
      </c>
      <c r="G5463" s="20" t="str">
        <f>IFERROR(__xludf.DUMMYFUNCTION("""COMPUTED_VALUE"""),"Uncle Sams Cider (04/04/2023)")</f>
        <v>Uncle Sams Cider (04/04/2023)</v>
      </c>
      <c r="H5463" s="19"/>
    </row>
    <row r="5464">
      <c r="A5464" s="9"/>
      <c r="B5464" s="15"/>
      <c r="C5464" s="9">
        <f>IFERROR(__xludf.DUMMYFUNCTION("""COMPUTED_VALUE"""),45087.2228364004)</f>
        <v>45087.22284</v>
      </c>
      <c r="D5464" s="15">
        <f>IFERROR(__xludf.DUMMYFUNCTION("""COMPUTED_VALUE"""),1.004)</f>
        <v>1.004</v>
      </c>
      <c r="E5464" s="16">
        <f>IFERROR(__xludf.DUMMYFUNCTION("""COMPUTED_VALUE"""),66.0)</f>
        <v>66</v>
      </c>
      <c r="F5464" s="19" t="str">
        <f>IFERROR(__xludf.DUMMYFUNCTION("""COMPUTED_VALUE"""),"BLUE")</f>
        <v>BLUE</v>
      </c>
      <c r="G5464" s="20" t="str">
        <f>IFERROR(__xludf.DUMMYFUNCTION("""COMPUTED_VALUE"""),"Uncle Sams Cider (04/04/2023)")</f>
        <v>Uncle Sams Cider (04/04/2023)</v>
      </c>
      <c r="H5464" s="19"/>
    </row>
    <row r="5465">
      <c r="A5465" s="9"/>
      <c r="B5465" s="15"/>
      <c r="C5465" s="9">
        <f>IFERROR(__xludf.DUMMYFUNCTION("""COMPUTED_VALUE"""),45087.2124144097)</f>
        <v>45087.21241</v>
      </c>
      <c r="D5465" s="15">
        <f>IFERROR(__xludf.DUMMYFUNCTION("""COMPUTED_VALUE"""),1.004)</f>
        <v>1.004</v>
      </c>
      <c r="E5465" s="16">
        <f>IFERROR(__xludf.DUMMYFUNCTION("""COMPUTED_VALUE"""),66.0)</f>
        <v>66</v>
      </c>
      <c r="F5465" s="19" t="str">
        <f>IFERROR(__xludf.DUMMYFUNCTION("""COMPUTED_VALUE"""),"BLUE")</f>
        <v>BLUE</v>
      </c>
      <c r="G5465" s="20" t="str">
        <f>IFERROR(__xludf.DUMMYFUNCTION("""COMPUTED_VALUE"""),"Uncle Sams Cider (04/04/2023)")</f>
        <v>Uncle Sams Cider (04/04/2023)</v>
      </c>
      <c r="H5465" s="19"/>
    </row>
    <row r="5466">
      <c r="A5466" s="9"/>
      <c r="B5466" s="15"/>
      <c r="C5466" s="9">
        <f>IFERROR(__xludf.DUMMYFUNCTION("""COMPUTED_VALUE"""),45087.201994074)</f>
        <v>45087.20199</v>
      </c>
      <c r="D5466" s="15">
        <f>IFERROR(__xludf.DUMMYFUNCTION("""COMPUTED_VALUE"""),1.004)</f>
        <v>1.004</v>
      </c>
      <c r="E5466" s="16">
        <f>IFERROR(__xludf.DUMMYFUNCTION("""COMPUTED_VALUE"""),66.0)</f>
        <v>66</v>
      </c>
      <c r="F5466" s="19" t="str">
        <f>IFERROR(__xludf.DUMMYFUNCTION("""COMPUTED_VALUE"""),"BLUE")</f>
        <v>BLUE</v>
      </c>
      <c r="G5466" s="20" t="str">
        <f>IFERROR(__xludf.DUMMYFUNCTION("""COMPUTED_VALUE"""),"Uncle Sams Cider (04/04/2023)")</f>
        <v>Uncle Sams Cider (04/04/2023)</v>
      </c>
      <c r="H5466" s="19"/>
    </row>
    <row r="5467">
      <c r="A5467" s="9"/>
      <c r="B5467" s="15"/>
      <c r="C5467" s="9">
        <f>IFERROR(__xludf.DUMMYFUNCTION("""COMPUTED_VALUE"""),45087.1915732291)</f>
        <v>45087.19157</v>
      </c>
      <c r="D5467" s="15">
        <f>IFERROR(__xludf.DUMMYFUNCTION("""COMPUTED_VALUE"""),1.004)</f>
        <v>1.004</v>
      </c>
      <c r="E5467" s="16">
        <f>IFERROR(__xludf.DUMMYFUNCTION("""COMPUTED_VALUE"""),66.0)</f>
        <v>66</v>
      </c>
      <c r="F5467" s="19" t="str">
        <f>IFERROR(__xludf.DUMMYFUNCTION("""COMPUTED_VALUE"""),"BLUE")</f>
        <v>BLUE</v>
      </c>
      <c r="G5467" s="20" t="str">
        <f>IFERROR(__xludf.DUMMYFUNCTION("""COMPUTED_VALUE"""),"Uncle Sams Cider (04/04/2023)")</f>
        <v>Uncle Sams Cider (04/04/2023)</v>
      </c>
      <c r="H5467" s="19"/>
    </row>
    <row r="5468">
      <c r="A5468" s="9"/>
      <c r="B5468" s="15"/>
      <c r="C5468" s="9">
        <f>IFERROR(__xludf.DUMMYFUNCTION("""COMPUTED_VALUE"""),45087.1811514004)</f>
        <v>45087.18115</v>
      </c>
      <c r="D5468" s="15">
        <f>IFERROR(__xludf.DUMMYFUNCTION("""COMPUTED_VALUE"""),1.004)</f>
        <v>1.004</v>
      </c>
      <c r="E5468" s="16">
        <f>IFERROR(__xludf.DUMMYFUNCTION("""COMPUTED_VALUE"""),66.0)</f>
        <v>66</v>
      </c>
      <c r="F5468" s="19" t="str">
        <f>IFERROR(__xludf.DUMMYFUNCTION("""COMPUTED_VALUE"""),"BLUE")</f>
        <v>BLUE</v>
      </c>
      <c r="G5468" s="20" t="str">
        <f>IFERROR(__xludf.DUMMYFUNCTION("""COMPUTED_VALUE"""),"Uncle Sams Cider (04/04/2023)")</f>
        <v>Uncle Sams Cider (04/04/2023)</v>
      </c>
      <c r="H5468" s="19"/>
    </row>
    <row r="5469">
      <c r="A5469" s="9"/>
      <c r="B5469" s="15"/>
      <c r="C5469" s="9">
        <f>IFERROR(__xludf.DUMMYFUNCTION("""COMPUTED_VALUE"""),45087.170730324)</f>
        <v>45087.17073</v>
      </c>
      <c r="D5469" s="15">
        <f>IFERROR(__xludf.DUMMYFUNCTION("""COMPUTED_VALUE"""),1.004)</f>
        <v>1.004</v>
      </c>
      <c r="E5469" s="16">
        <f>IFERROR(__xludf.DUMMYFUNCTION("""COMPUTED_VALUE"""),66.0)</f>
        <v>66</v>
      </c>
      <c r="F5469" s="19" t="str">
        <f>IFERROR(__xludf.DUMMYFUNCTION("""COMPUTED_VALUE"""),"BLUE")</f>
        <v>BLUE</v>
      </c>
      <c r="G5469" s="20" t="str">
        <f>IFERROR(__xludf.DUMMYFUNCTION("""COMPUTED_VALUE"""),"Uncle Sams Cider (04/04/2023)")</f>
        <v>Uncle Sams Cider (04/04/2023)</v>
      </c>
      <c r="H5469" s="19"/>
    </row>
    <row r="5470">
      <c r="A5470" s="9"/>
      <c r="B5470" s="15"/>
      <c r="C5470" s="9">
        <f>IFERROR(__xludf.DUMMYFUNCTION("""COMPUTED_VALUE"""),45087.160307824)</f>
        <v>45087.16031</v>
      </c>
      <c r="D5470" s="15">
        <f>IFERROR(__xludf.DUMMYFUNCTION("""COMPUTED_VALUE"""),1.004)</f>
        <v>1.004</v>
      </c>
      <c r="E5470" s="16">
        <f>IFERROR(__xludf.DUMMYFUNCTION("""COMPUTED_VALUE"""),66.0)</f>
        <v>66</v>
      </c>
      <c r="F5470" s="19" t="str">
        <f>IFERROR(__xludf.DUMMYFUNCTION("""COMPUTED_VALUE"""),"BLUE")</f>
        <v>BLUE</v>
      </c>
      <c r="G5470" s="20" t="str">
        <f>IFERROR(__xludf.DUMMYFUNCTION("""COMPUTED_VALUE"""),"Uncle Sams Cider (04/04/2023)")</f>
        <v>Uncle Sams Cider (04/04/2023)</v>
      </c>
      <c r="H5470" s="19"/>
    </row>
    <row r="5471">
      <c r="A5471" s="9"/>
      <c r="B5471" s="15"/>
      <c r="C5471" s="9">
        <f>IFERROR(__xludf.DUMMYFUNCTION("""COMPUTED_VALUE"""),45087.1498866088)</f>
        <v>45087.14989</v>
      </c>
      <c r="D5471" s="15">
        <f>IFERROR(__xludf.DUMMYFUNCTION("""COMPUTED_VALUE"""),1.004)</f>
        <v>1.004</v>
      </c>
      <c r="E5471" s="16">
        <f>IFERROR(__xludf.DUMMYFUNCTION("""COMPUTED_VALUE"""),66.0)</f>
        <v>66</v>
      </c>
      <c r="F5471" s="19" t="str">
        <f>IFERROR(__xludf.DUMMYFUNCTION("""COMPUTED_VALUE"""),"BLUE")</f>
        <v>BLUE</v>
      </c>
      <c r="G5471" s="20" t="str">
        <f>IFERROR(__xludf.DUMMYFUNCTION("""COMPUTED_VALUE"""),"Uncle Sams Cider (04/04/2023)")</f>
        <v>Uncle Sams Cider (04/04/2023)</v>
      </c>
      <c r="H5471" s="19"/>
    </row>
    <row r="5472">
      <c r="A5472" s="9"/>
      <c r="B5472" s="15"/>
      <c r="C5472" s="9">
        <f>IFERROR(__xludf.DUMMYFUNCTION("""COMPUTED_VALUE"""),45087.1394649074)</f>
        <v>45087.13946</v>
      </c>
      <c r="D5472" s="15">
        <f>IFERROR(__xludf.DUMMYFUNCTION("""COMPUTED_VALUE"""),1.004)</f>
        <v>1.004</v>
      </c>
      <c r="E5472" s="16">
        <f>IFERROR(__xludf.DUMMYFUNCTION("""COMPUTED_VALUE"""),66.0)</f>
        <v>66</v>
      </c>
      <c r="F5472" s="19" t="str">
        <f>IFERROR(__xludf.DUMMYFUNCTION("""COMPUTED_VALUE"""),"BLUE")</f>
        <v>BLUE</v>
      </c>
      <c r="G5472" s="20" t="str">
        <f>IFERROR(__xludf.DUMMYFUNCTION("""COMPUTED_VALUE"""),"Uncle Sams Cider (04/04/2023)")</f>
        <v>Uncle Sams Cider (04/04/2023)</v>
      </c>
      <c r="H5472" s="19"/>
    </row>
    <row r="5473">
      <c r="A5473" s="9"/>
      <c r="B5473" s="15"/>
      <c r="C5473" s="9">
        <f>IFERROR(__xludf.DUMMYFUNCTION("""COMPUTED_VALUE"""),45087.1290338078)</f>
        <v>45087.12903</v>
      </c>
      <c r="D5473" s="15">
        <f>IFERROR(__xludf.DUMMYFUNCTION("""COMPUTED_VALUE"""),1.004)</f>
        <v>1.004</v>
      </c>
      <c r="E5473" s="16">
        <f>IFERROR(__xludf.DUMMYFUNCTION("""COMPUTED_VALUE"""),66.0)</f>
        <v>66</v>
      </c>
      <c r="F5473" s="19" t="str">
        <f>IFERROR(__xludf.DUMMYFUNCTION("""COMPUTED_VALUE"""),"BLUE")</f>
        <v>BLUE</v>
      </c>
      <c r="G5473" s="20" t="str">
        <f>IFERROR(__xludf.DUMMYFUNCTION("""COMPUTED_VALUE"""),"Uncle Sams Cider (04/04/2023)")</f>
        <v>Uncle Sams Cider (04/04/2023)</v>
      </c>
      <c r="H5473" s="19"/>
    </row>
    <row r="5474">
      <c r="A5474" s="9"/>
      <c r="B5474" s="15"/>
      <c r="C5474" s="9">
        <f>IFERROR(__xludf.DUMMYFUNCTION("""COMPUTED_VALUE"""),45087.1186128009)</f>
        <v>45087.11861</v>
      </c>
      <c r="D5474" s="15">
        <f>IFERROR(__xludf.DUMMYFUNCTION("""COMPUTED_VALUE"""),1.004)</f>
        <v>1.004</v>
      </c>
      <c r="E5474" s="16">
        <f>IFERROR(__xludf.DUMMYFUNCTION("""COMPUTED_VALUE"""),67.0)</f>
        <v>67</v>
      </c>
      <c r="F5474" s="19" t="str">
        <f>IFERROR(__xludf.DUMMYFUNCTION("""COMPUTED_VALUE"""),"BLUE")</f>
        <v>BLUE</v>
      </c>
      <c r="G5474" s="20" t="str">
        <f>IFERROR(__xludf.DUMMYFUNCTION("""COMPUTED_VALUE"""),"Uncle Sams Cider (04/04/2023)")</f>
        <v>Uncle Sams Cider (04/04/2023)</v>
      </c>
      <c r="H5474" s="19"/>
    </row>
    <row r="5475">
      <c r="A5475" s="9"/>
      <c r="B5475" s="15"/>
      <c r="C5475" s="9">
        <f>IFERROR(__xludf.DUMMYFUNCTION("""COMPUTED_VALUE"""),45087.1081808333)</f>
        <v>45087.10818</v>
      </c>
      <c r="D5475" s="15">
        <f>IFERROR(__xludf.DUMMYFUNCTION("""COMPUTED_VALUE"""),1.004)</f>
        <v>1.004</v>
      </c>
      <c r="E5475" s="16">
        <f>IFERROR(__xludf.DUMMYFUNCTION("""COMPUTED_VALUE"""),66.0)</f>
        <v>66</v>
      </c>
      <c r="F5475" s="19" t="str">
        <f>IFERROR(__xludf.DUMMYFUNCTION("""COMPUTED_VALUE"""),"BLUE")</f>
        <v>BLUE</v>
      </c>
      <c r="G5475" s="20" t="str">
        <f>IFERROR(__xludf.DUMMYFUNCTION("""COMPUTED_VALUE"""),"Uncle Sams Cider (04/04/2023)")</f>
        <v>Uncle Sams Cider (04/04/2023)</v>
      </c>
      <c r="H5475" s="19"/>
    </row>
    <row r="5476">
      <c r="A5476" s="9"/>
      <c r="B5476" s="15"/>
      <c r="C5476" s="9">
        <f>IFERROR(__xludf.DUMMYFUNCTION("""COMPUTED_VALUE"""),45087.0977595138)</f>
        <v>45087.09776</v>
      </c>
      <c r="D5476" s="15">
        <f>IFERROR(__xludf.DUMMYFUNCTION("""COMPUTED_VALUE"""),1.004)</f>
        <v>1.004</v>
      </c>
      <c r="E5476" s="16">
        <f>IFERROR(__xludf.DUMMYFUNCTION("""COMPUTED_VALUE"""),66.0)</f>
        <v>66</v>
      </c>
      <c r="F5476" s="19" t="str">
        <f>IFERROR(__xludf.DUMMYFUNCTION("""COMPUTED_VALUE"""),"BLUE")</f>
        <v>BLUE</v>
      </c>
      <c r="G5476" s="20" t="str">
        <f>IFERROR(__xludf.DUMMYFUNCTION("""COMPUTED_VALUE"""),"Uncle Sams Cider (04/04/2023)")</f>
        <v>Uncle Sams Cider (04/04/2023)</v>
      </c>
      <c r="H5476" s="19"/>
    </row>
    <row r="5477">
      <c r="A5477" s="9"/>
      <c r="B5477" s="15"/>
      <c r="C5477" s="9">
        <f>IFERROR(__xludf.DUMMYFUNCTION("""COMPUTED_VALUE"""),45087.0873397338)</f>
        <v>45087.08734</v>
      </c>
      <c r="D5477" s="15">
        <f>IFERROR(__xludf.DUMMYFUNCTION("""COMPUTED_VALUE"""),1.004)</f>
        <v>1.004</v>
      </c>
      <c r="E5477" s="16">
        <f>IFERROR(__xludf.DUMMYFUNCTION("""COMPUTED_VALUE"""),66.0)</f>
        <v>66</v>
      </c>
      <c r="F5477" s="19" t="str">
        <f>IFERROR(__xludf.DUMMYFUNCTION("""COMPUTED_VALUE"""),"BLUE")</f>
        <v>BLUE</v>
      </c>
      <c r="G5477" s="20" t="str">
        <f>IFERROR(__xludf.DUMMYFUNCTION("""COMPUTED_VALUE"""),"Uncle Sams Cider (04/04/2023)")</f>
        <v>Uncle Sams Cider (04/04/2023)</v>
      </c>
      <c r="H5477" s="19"/>
    </row>
    <row r="5478">
      <c r="A5478" s="9"/>
      <c r="B5478" s="15"/>
      <c r="C5478" s="9">
        <f>IFERROR(__xludf.DUMMYFUNCTION("""COMPUTED_VALUE"""),45087.076905625)</f>
        <v>45087.07691</v>
      </c>
      <c r="D5478" s="15">
        <f>IFERROR(__xludf.DUMMYFUNCTION("""COMPUTED_VALUE"""),1.004)</f>
        <v>1.004</v>
      </c>
      <c r="E5478" s="16">
        <f>IFERROR(__xludf.DUMMYFUNCTION("""COMPUTED_VALUE"""),66.0)</f>
        <v>66</v>
      </c>
      <c r="F5478" s="19" t="str">
        <f>IFERROR(__xludf.DUMMYFUNCTION("""COMPUTED_VALUE"""),"BLUE")</f>
        <v>BLUE</v>
      </c>
      <c r="G5478" s="20" t="str">
        <f>IFERROR(__xludf.DUMMYFUNCTION("""COMPUTED_VALUE"""),"Uncle Sams Cider (04/04/2023)")</f>
        <v>Uncle Sams Cider (04/04/2023)</v>
      </c>
      <c r="H5478" s="19"/>
    </row>
    <row r="5479">
      <c r="A5479" s="9"/>
      <c r="B5479" s="15"/>
      <c r="C5479" s="9">
        <f>IFERROR(__xludf.DUMMYFUNCTION("""COMPUTED_VALUE"""),45087.0664830555)</f>
        <v>45087.06648</v>
      </c>
      <c r="D5479" s="15">
        <f>IFERROR(__xludf.DUMMYFUNCTION("""COMPUTED_VALUE"""),1.004)</f>
        <v>1.004</v>
      </c>
      <c r="E5479" s="16">
        <f>IFERROR(__xludf.DUMMYFUNCTION("""COMPUTED_VALUE"""),66.0)</f>
        <v>66</v>
      </c>
      <c r="F5479" s="19" t="str">
        <f>IFERROR(__xludf.DUMMYFUNCTION("""COMPUTED_VALUE"""),"BLUE")</f>
        <v>BLUE</v>
      </c>
      <c r="G5479" s="20" t="str">
        <f>IFERROR(__xludf.DUMMYFUNCTION("""COMPUTED_VALUE"""),"Uncle Sams Cider (04/04/2023)")</f>
        <v>Uncle Sams Cider (04/04/2023)</v>
      </c>
      <c r="H5479" s="19"/>
    </row>
    <row r="5480">
      <c r="A5480" s="9"/>
      <c r="B5480" s="15"/>
      <c r="C5480" s="9">
        <f>IFERROR(__xludf.DUMMYFUNCTION("""COMPUTED_VALUE"""),45087.0560502314)</f>
        <v>45087.05605</v>
      </c>
      <c r="D5480" s="15">
        <f>IFERROR(__xludf.DUMMYFUNCTION("""COMPUTED_VALUE"""),1.004)</f>
        <v>1.004</v>
      </c>
      <c r="E5480" s="16">
        <f>IFERROR(__xludf.DUMMYFUNCTION("""COMPUTED_VALUE"""),66.0)</f>
        <v>66</v>
      </c>
      <c r="F5480" s="19" t="str">
        <f>IFERROR(__xludf.DUMMYFUNCTION("""COMPUTED_VALUE"""),"BLUE")</f>
        <v>BLUE</v>
      </c>
      <c r="G5480" s="20" t="str">
        <f>IFERROR(__xludf.DUMMYFUNCTION("""COMPUTED_VALUE"""),"Uncle Sams Cider (04/04/2023)")</f>
        <v>Uncle Sams Cider (04/04/2023)</v>
      </c>
      <c r="H5480" s="19"/>
    </row>
    <row r="5481">
      <c r="A5481" s="9"/>
      <c r="B5481" s="15"/>
      <c r="C5481" s="9">
        <f>IFERROR(__xludf.DUMMYFUNCTION("""COMPUTED_VALUE"""),45087.0456276504)</f>
        <v>45087.04563</v>
      </c>
      <c r="D5481" s="15">
        <f>IFERROR(__xludf.DUMMYFUNCTION("""COMPUTED_VALUE"""),1.004)</f>
        <v>1.004</v>
      </c>
      <c r="E5481" s="16">
        <f>IFERROR(__xludf.DUMMYFUNCTION("""COMPUTED_VALUE"""),66.0)</f>
        <v>66</v>
      </c>
      <c r="F5481" s="19" t="str">
        <f>IFERROR(__xludf.DUMMYFUNCTION("""COMPUTED_VALUE"""),"BLUE")</f>
        <v>BLUE</v>
      </c>
      <c r="G5481" s="20" t="str">
        <f>IFERROR(__xludf.DUMMYFUNCTION("""COMPUTED_VALUE"""),"Uncle Sams Cider (04/04/2023)")</f>
        <v>Uncle Sams Cider (04/04/2023)</v>
      </c>
      <c r="H5481" s="19"/>
    </row>
    <row r="5482">
      <c r="A5482" s="9"/>
      <c r="B5482" s="15"/>
      <c r="C5482" s="9">
        <f>IFERROR(__xludf.DUMMYFUNCTION("""COMPUTED_VALUE"""),45087.0352063657)</f>
        <v>45087.03521</v>
      </c>
      <c r="D5482" s="15">
        <f>IFERROR(__xludf.DUMMYFUNCTION("""COMPUTED_VALUE"""),1.004)</f>
        <v>1.004</v>
      </c>
      <c r="E5482" s="16">
        <f>IFERROR(__xludf.DUMMYFUNCTION("""COMPUTED_VALUE"""),66.0)</f>
        <v>66</v>
      </c>
      <c r="F5482" s="19" t="str">
        <f>IFERROR(__xludf.DUMMYFUNCTION("""COMPUTED_VALUE"""),"BLUE")</f>
        <v>BLUE</v>
      </c>
      <c r="G5482" s="20" t="str">
        <f>IFERROR(__xludf.DUMMYFUNCTION("""COMPUTED_VALUE"""),"Uncle Sams Cider (04/04/2023)")</f>
        <v>Uncle Sams Cider (04/04/2023)</v>
      </c>
      <c r="H5482" s="19"/>
    </row>
    <row r="5483">
      <c r="A5483" s="9"/>
      <c r="B5483" s="15"/>
      <c r="C5483" s="9">
        <f>IFERROR(__xludf.DUMMYFUNCTION("""COMPUTED_VALUE"""),45087.0247844328)</f>
        <v>45087.02478</v>
      </c>
      <c r="D5483" s="15">
        <f>IFERROR(__xludf.DUMMYFUNCTION("""COMPUTED_VALUE"""),1.004)</f>
        <v>1.004</v>
      </c>
      <c r="E5483" s="16">
        <f>IFERROR(__xludf.DUMMYFUNCTION("""COMPUTED_VALUE"""),67.0)</f>
        <v>67</v>
      </c>
      <c r="F5483" s="19" t="str">
        <f>IFERROR(__xludf.DUMMYFUNCTION("""COMPUTED_VALUE"""),"BLUE")</f>
        <v>BLUE</v>
      </c>
      <c r="G5483" s="20" t="str">
        <f>IFERROR(__xludf.DUMMYFUNCTION("""COMPUTED_VALUE"""),"Uncle Sams Cider (04/04/2023)")</f>
        <v>Uncle Sams Cider (04/04/2023)</v>
      </c>
      <c r="H5483" s="19"/>
    </row>
    <row r="5484">
      <c r="A5484" s="9"/>
      <c r="B5484" s="15"/>
      <c r="C5484" s="9">
        <f>IFERROR(__xludf.DUMMYFUNCTION("""COMPUTED_VALUE"""),45087.0143645254)</f>
        <v>45087.01436</v>
      </c>
      <c r="D5484" s="15">
        <f>IFERROR(__xludf.DUMMYFUNCTION("""COMPUTED_VALUE"""),1.004)</f>
        <v>1.004</v>
      </c>
      <c r="E5484" s="16">
        <f>IFERROR(__xludf.DUMMYFUNCTION("""COMPUTED_VALUE"""),67.0)</f>
        <v>67</v>
      </c>
      <c r="F5484" s="19" t="str">
        <f>IFERROR(__xludf.DUMMYFUNCTION("""COMPUTED_VALUE"""),"BLUE")</f>
        <v>BLUE</v>
      </c>
      <c r="G5484" s="20" t="str">
        <f>IFERROR(__xludf.DUMMYFUNCTION("""COMPUTED_VALUE"""),"Uncle Sams Cider (04/04/2023)")</f>
        <v>Uncle Sams Cider (04/04/2023)</v>
      </c>
      <c r="H5484" s="19"/>
    </row>
    <row r="5485">
      <c r="A5485" s="9"/>
      <c r="B5485" s="15"/>
      <c r="C5485" s="9">
        <f>IFERROR(__xludf.DUMMYFUNCTION("""COMPUTED_VALUE"""),45087.0039454976)</f>
        <v>45087.00395</v>
      </c>
      <c r="D5485" s="15">
        <f>IFERROR(__xludf.DUMMYFUNCTION("""COMPUTED_VALUE"""),1.004)</f>
        <v>1.004</v>
      </c>
      <c r="E5485" s="16">
        <f>IFERROR(__xludf.DUMMYFUNCTION("""COMPUTED_VALUE"""),66.0)</f>
        <v>66</v>
      </c>
      <c r="F5485" s="19" t="str">
        <f>IFERROR(__xludf.DUMMYFUNCTION("""COMPUTED_VALUE"""),"BLUE")</f>
        <v>BLUE</v>
      </c>
      <c r="G5485" s="20" t="str">
        <f>IFERROR(__xludf.DUMMYFUNCTION("""COMPUTED_VALUE"""),"Uncle Sams Cider (04/04/2023)")</f>
        <v>Uncle Sams Cider (04/04/2023)</v>
      </c>
      <c r="H5485" s="19"/>
    </row>
    <row r="5486">
      <c r="A5486" s="9"/>
      <c r="B5486" s="15"/>
      <c r="C5486" s="9">
        <f>IFERROR(__xludf.DUMMYFUNCTION("""COMPUTED_VALUE"""),45086.9934985532)</f>
        <v>45086.9935</v>
      </c>
      <c r="D5486" s="15">
        <f>IFERROR(__xludf.DUMMYFUNCTION("""COMPUTED_VALUE"""),1.004)</f>
        <v>1.004</v>
      </c>
      <c r="E5486" s="16">
        <f>IFERROR(__xludf.DUMMYFUNCTION("""COMPUTED_VALUE"""),66.0)</f>
        <v>66</v>
      </c>
      <c r="F5486" s="19" t="str">
        <f>IFERROR(__xludf.DUMMYFUNCTION("""COMPUTED_VALUE"""),"BLUE")</f>
        <v>BLUE</v>
      </c>
      <c r="G5486" s="20" t="str">
        <f>IFERROR(__xludf.DUMMYFUNCTION("""COMPUTED_VALUE"""),"Uncle Sams Cider (04/04/2023)")</f>
        <v>Uncle Sams Cider (04/04/2023)</v>
      </c>
      <c r="H5486" s="19"/>
    </row>
    <row r="5487">
      <c r="A5487" s="9"/>
      <c r="B5487" s="15"/>
      <c r="C5487" s="9">
        <f>IFERROR(__xludf.DUMMYFUNCTION("""COMPUTED_VALUE"""),45086.9830792824)</f>
        <v>45086.98308</v>
      </c>
      <c r="D5487" s="15">
        <f>IFERROR(__xludf.DUMMYFUNCTION("""COMPUTED_VALUE"""),1.004)</f>
        <v>1.004</v>
      </c>
      <c r="E5487" s="16">
        <f>IFERROR(__xludf.DUMMYFUNCTION("""COMPUTED_VALUE"""),66.0)</f>
        <v>66</v>
      </c>
      <c r="F5487" s="19" t="str">
        <f>IFERROR(__xludf.DUMMYFUNCTION("""COMPUTED_VALUE"""),"BLUE")</f>
        <v>BLUE</v>
      </c>
      <c r="G5487" s="20" t="str">
        <f>IFERROR(__xludf.DUMMYFUNCTION("""COMPUTED_VALUE"""),"Uncle Sams Cider (04/04/2023)")</f>
        <v>Uncle Sams Cider (04/04/2023)</v>
      </c>
      <c r="H5487" s="19"/>
    </row>
    <row r="5488">
      <c r="A5488" s="9"/>
      <c r="B5488" s="15"/>
      <c r="C5488" s="9">
        <f>IFERROR(__xludf.DUMMYFUNCTION("""COMPUTED_VALUE"""),45086.9726590277)</f>
        <v>45086.97266</v>
      </c>
      <c r="D5488" s="15">
        <f>IFERROR(__xludf.DUMMYFUNCTION("""COMPUTED_VALUE"""),1.004)</f>
        <v>1.004</v>
      </c>
      <c r="E5488" s="16">
        <f>IFERROR(__xludf.DUMMYFUNCTION("""COMPUTED_VALUE"""),66.0)</f>
        <v>66</v>
      </c>
      <c r="F5488" s="19" t="str">
        <f>IFERROR(__xludf.DUMMYFUNCTION("""COMPUTED_VALUE"""),"BLUE")</f>
        <v>BLUE</v>
      </c>
      <c r="G5488" s="20" t="str">
        <f>IFERROR(__xludf.DUMMYFUNCTION("""COMPUTED_VALUE"""),"Uncle Sams Cider (04/04/2023)")</f>
        <v>Uncle Sams Cider (04/04/2023)</v>
      </c>
      <c r="H5488" s="19"/>
    </row>
    <row r="5489">
      <c r="A5489" s="9"/>
      <c r="B5489" s="15"/>
      <c r="C5489" s="9">
        <f>IFERROR(__xludf.DUMMYFUNCTION("""COMPUTED_VALUE"""),45086.9622387268)</f>
        <v>45086.96224</v>
      </c>
      <c r="D5489" s="15">
        <f>IFERROR(__xludf.DUMMYFUNCTION("""COMPUTED_VALUE"""),1.004)</f>
        <v>1.004</v>
      </c>
      <c r="E5489" s="16">
        <f>IFERROR(__xludf.DUMMYFUNCTION("""COMPUTED_VALUE"""),66.0)</f>
        <v>66</v>
      </c>
      <c r="F5489" s="19" t="str">
        <f>IFERROR(__xludf.DUMMYFUNCTION("""COMPUTED_VALUE"""),"BLUE")</f>
        <v>BLUE</v>
      </c>
      <c r="G5489" s="20" t="str">
        <f>IFERROR(__xludf.DUMMYFUNCTION("""COMPUTED_VALUE"""),"Uncle Sams Cider (04/04/2023)")</f>
        <v>Uncle Sams Cider (04/04/2023)</v>
      </c>
      <c r="H5489" s="19"/>
    </row>
    <row r="5490">
      <c r="A5490" s="9"/>
      <c r="B5490" s="15"/>
      <c r="C5490" s="9">
        <f>IFERROR(__xludf.DUMMYFUNCTION("""COMPUTED_VALUE"""),45086.9518052662)</f>
        <v>45086.95181</v>
      </c>
      <c r="D5490" s="15">
        <f>IFERROR(__xludf.DUMMYFUNCTION("""COMPUTED_VALUE"""),1.004)</f>
        <v>1.004</v>
      </c>
      <c r="E5490" s="16">
        <f>IFERROR(__xludf.DUMMYFUNCTION("""COMPUTED_VALUE"""),66.0)</f>
        <v>66</v>
      </c>
      <c r="F5490" s="19" t="str">
        <f>IFERROR(__xludf.DUMMYFUNCTION("""COMPUTED_VALUE"""),"BLUE")</f>
        <v>BLUE</v>
      </c>
      <c r="G5490" s="20" t="str">
        <f>IFERROR(__xludf.DUMMYFUNCTION("""COMPUTED_VALUE"""),"Uncle Sams Cider (04/04/2023)")</f>
        <v>Uncle Sams Cider (04/04/2023)</v>
      </c>
      <c r="H5490" s="19"/>
    </row>
    <row r="5491">
      <c r="A5491" s="9"/>
      <c r="B5491" s="15"/>
      <c r="C5491" s="9">
        <f>IFERROR(__xludf.DUMMYFUNCTION("""COMPUTED_VALUE"""),45086.9413846643)</f>
        <v>45086.94138</v>
      </c>
      <c r="D5491" s="15">
        <f>IFERROR(__xludf.DUMMYFUNCTION("""COMPUTED_VALUE"""),1.004)</f>
        <v>1.004</v>
      </c>
      <c r="E5491" s="16">
        <f>IFERROR(__xludf.DUMMYFUNCTION("""COMPUTED_VALUE"""),66.0)</f>
        <v>66</v>
      </c>
      <c r="F5491" s="19" t="str">
        <f>IFERROR(__xludf.DUMMYFUNCTION("""COMPUTED_VALUE"""),"BLUE")</f>
        <v>BLUE</v>
      </c>
      <c r="G5491" s="20" t="str">
        <f>IFERROR(__xludf.DUMMYFUNCTION("""COMPUTED_VALUE"""),"Uncle Sams Cider (04/04/2023)")</f>
        <v>Uncle Sams Cider (04/04/2023)</v>
      </c>
      <c r="H5491" s="19"/>
    </row>
    <row r="5492">
      <c r="A5492" s="9"/>
      <c r="B5492" s="15"/>
      <c r="C5492" s="9">
        <f>IFERROR(__xludf.DUMMYFUNCTION("""COMPUTED_VALUE"""),45086.930952662)</f>
        <v>45086.93095</v>
      </c>
      <c r="D5492" s="15">
        <f>IFERROR(__xludf.DUMMYFUNCTION("""COMPUTED_VALUE"""),1.004)</f>
        <v>1.004</v>
      </c>
      <c r="E5492" s="16">
        <f>IFERROR(__xludf.DUMMYFUNCTION("""COMPUTED_VALUE"""),67.0)</f>
        <v>67</v>
      </c>
      <c r="F5492" s="19" t="str">
        <f>IFERROR(__xludf.DUMMYFUNCTION("""COMPUTED_VALUE"""),"BLUE")</f>
        <v>BLUE</v>
      </c>
      <c r="G5492" s="20" t="str">
        <f>IFERROR(__xludf.DUMMYFUNCTION("""COMPUTED_VALUE"""),"Uncle Sams Cider (04/04/2023)")</f>
        <v>Uncle Sams Cider (04/04/2023)</v>
      </c>
      <c r="H5492" s="19"/>
    </row>
    <row r="5493">
      <c r="A5493" s="9"/>
      <c r="B5493" s="15"/>
      <c r="C5493" s="9">
        <f>IFERROR(__xludf.DUMMYFUNCTION("""COMPUTED_VALUE"""),45086.9205308449)</f>
        <v>45086.92053</v>
      </c>
      <c r="D5493" s="15">
        <f>IFERROR(__xludf.DUMMYFUNCTION("""COMPUTED_VALUE"""),1.004)</f>
        <v>1.004</v>
      </c>
      <c r="E5493" s="16">
        <f>IFERROR(__xludf.DUMMYFUNCTION("""COMPUTED_VALUE"""),66.0)</f>
        <v>66</v>
      </c>
      <c r="F5493" s="19" t="str">
        <f>IFERROR(__xludf.DUMMYFUNCTION("""COMPUTED_VALUE"""),"BLUE")</f>
        <v>BLUE</v>
      </c>
      <c r="G5493" s="20" t="str">
        <f>IFERROR(__xludf.DUMMYFUNCTION("""COMPUTED_VALUE"""),"Uncle Sams Cider (04/04/2023)")</f>
        <v>Uncle Sams Cider (04/04/2023)</v>
      </c>
      <c r="H5493" s="19"/>
    </row>
    <row r="5494">
      <c r="A5494" s="9"/>
      <c r="B5494" s="15"/>
      <c r="C5494" s="9">
        <f>IFERROR(__xludf.DUMMYFUNCTION("""COMPUTED_VALUE"""),45086.9101100347)</f>
        <v>45086.91011</v>
      </c>
      <c r="D5494" s="15">
        <f>IFERROR(__xludf.DUMMYFUNCTION("""COMPUTED_VALUE"""),1.004)</f>
        <v>1.004</v>
      </c>
      <c r="E5494" s="16">
        <f>IFERROR(__xludf.DUMMYFUNCTION("""COMPUTED_VALUE"""),67.0)</f>
        <v>67</v>
      </c>
      <c r="F5494" s="19" t="str">
        <f>IFERROR(__xludf.DUMMYFUNCTION("""COMPUTED_VALUE"""),"BLUE")</f>
        <v>BLUE</v>
      </c>
      <c r="G5494" s="20" t="str">
        <f>IFERROR(__xludf.DUMMYFUNCTION("""COMPUTED_VALUE"""),"Uncle Sams Cider (04/04/2023)")</f>
        <v>Uncle Sams Cider (04/04/2023)</v>
      </c>
      <c r="H5494" s="19"/>
    </row>
    <row r="5495">
      <c r="A5495" s="9"/>
      <c r="B5495" s="15"/>
      <c r="C5495" s="9">
        <f>IFERROR(__xludf.DUMMYFUNCTION("""COMPUTED_VALUE"""),45086.8996779166)</f>
        <v>45086.89968</v>
      </c>
      <c r="D5495" s="15">
        <f>IFERROR(__xludf.DUMMYFUNCTION("""COMPUTED_VALUE"""),1.004)</f>
        <v>1.004</v>
      </c>
      <c r="E5495" s="16">
        <f>IFERROR(__xludf.DUMMYFUNCTION("""COMPUTED_VALUE"""),66.0)</f>
        <v>66</v>
      </c>
      <c r="F5495" s="19" t="str">
        <f>IFERROR(__xludf.DUMMYFUNCTION("""COMPUTED_VALUE"""),"BLUE")</f>
        <v>BLUE</v>
      </c>
      <c r="G5495" s="20" t="str">
        <f>IFERROR(__xludf.DUMMYFUNCTION("""COMPUTED_VALUE"""),"Uncle Sams Cider (04/04/2023)")</f>
        <v>Uncle Sams Cider (04/04/2023)</v>
      </c>
      <c r="H5495" s="19"/>
    </row>
    <row r="5496">
      <c r="A5496" s="9"/>
      <c r="B5496" s="15"/>
      <c r="C5496" s="9">
        <f>IFERROR(__xludf.DUMMYFUNCTION("""COMPUTED_VALUE"""),45086.8892565856)</f>
        <v>45086.88926</v>
      </c>
      <c r="D5496" s="15">
        <f>IFERROR(__xludf.DUMMYFUNCTION("""COMPUTED_VALUE"""),1.004)</f>
        <v>1.004</v>
      </c>
      <c r="E5496" s="16">
        <f>IFERROR(__xludf.DUMMYFUNCTION("""COMPUTED_VALUE"""),66.0)</f>
        <v>66</v>
      </c>
      <c r="F5496" s="19" t="str">
        <f>IFERROR(__xludf.DUMMYFUNCTION("""COMPUTED_VALUE"""),"BLUE")</f>
        <v>BLUE</v>
      </c>
      <c r="G5496" s="20" t="str">
        <f>IFERROR(__xludf.DUMMYFUNCTION("""COMPUTED_VALUE"""),"Uncle Sams Cider (04/04/2023)")</f>
        <v>Uncle Sams Cider (04/04/2023)</v>
      </c>
      <c r="H5496" s="19"/>
    </row>
    <row r="5497">
      <c r="A5497" s="9"/>
      <c r="B5497" s="15"/>
      <c r="C5497" s="9">
        <f>IFERROR(__xludf.DUMMYFUNCTION("""COMPUTED_VALUE"""),45086.8788231018)</f>
        <v>45086.87882</v>
      </c>
      <c r="D5497" s="15">
        <f>IFERROR(__xludf.DUMMYFUNCTION("""COMPUTED_VALUE"""),1.004)</f>
        <v>1.004</v>
      </c>
      <c r="E5497" s="16">
        <f>IFERROR(__xludf.DUMMYFUNCTION("""COMPUTED_VALUE"""),66.0)</f>
        <v>66</v>
      </c>
      <c r="F5497" s="19" t="str">
        <f>IFERROR(__xludf.DUMMYFUNCTION("""COMPUTED_VALUE"""),"BLUE")</f>
        <v>BLUE</v>
      </c>
      <c r="G5497" s="20" t="str">
        <f>IFERROR(__xludf.DUMMYFUNCTION("""COMPUTED_VALUE"""),"Uncle Sams Cider (04/04/2023)")</f>
        <v>Uncle Sams Cider (04/04/2023)</v>
      </c>
      <c r="H5497" s="19"/>
    </row>
    <row r="5498">
      <c r="A5498" s="9"/>
      <c r="B5498" s="15"/>
      <c r="C5498" s="9">
        <f>IFERROR(__xludf.DUMMYFUNCTION("""COMPUTED_VALUE"""),45086.8683908101)</f>
        <v>45086.86839</v>
      </c>
      <c r="D5498" s="15">
        <f>IFERROR(__xludf.DUMMYFUNCTION("""COMPUTED_VALUE"""),1.004)</f>
        <v>1.004</v>
      </c>
      <c r="E5498" s="16">
        <f>IFERROR(__xludf.DUMMYFUNCTION("""COMPUTED_VALUE"""),66.0)</f>
        <v>66</v>
      </c>
      <c r="F5498" s="19" t="str">
        <f>IFERROR(__xludf.DUMMYFUNCTION("""COMPUTED_VALUE"""),"BLUE")</f>
        <v>BLUE</v>
      </c>
      <c r="G5498" s="20" t="str">
        <f>IFERROR(__xludf.DUMMYFUNCTION("""COMPUTED_VALUE"""),"Uncle Sams Cider (04/04/2023)")</f>
        <v>Uncle Sams Cider (04/04/2023)</v>
      </c>
      <c r="H5498" s="19"/>
    </row>
    <row r="5499">
      <c r="A5499" s="9"/>
      <c r="B5499" s="15"/>
      <c r="C5499" s="9">
        <f>IFERROR(__xludf.DUMMYFUNCTION("""COMPUTED_VALUE"""),45086.8579583912)</f>
        <v>45086.85796</v>
      </c>
      <c r="D5499" s="15">
        <f>IFERROR(__xludf.DUMMYFUNCTION("""COMPUTED_VALUE"""),1.004)</f>
        <v>1.004</v>
      </c>
      <c r="E5499" s="16">
        <f>IFERROR(__xludf.DUMMYFUNCTION("""COMPUTED_VALUE"""),66.0)</f>
        <v>66</v>
      </c>
      <c r="F5499" s="19" t="str">
        <f>IFERROR(__xludf.DUMMYFUNCTION("""COMPUTED_VALUE"""),"BLUE")</f>
        <v>BLUE</v>
      </c>
      <c r="G5499" s="20" t="str">
        <f>IFERROR(__xludf.DUMMYFUNCTION("""COMPUTED_VALUE"""),"Uncle Sams Cider (04/04/2023)")</f>
        <v>Uncle Sams Cider (04/04/2023)</v>
      </c>
      <c r="H5499" s="19"/>
    </row>
    <row r="5500">
      <c r="A5500" s="9"/>
      <c r="B5500" s="15"/>
      <c r="C5500" s="9">
        <f>IFERROR(__xludf.DUMMYFUNCTION("""COMPUTED_VALUE"""),45086.8475363773)</f>
        <v>45086.84754</v>
      </c>
      <c r="D5500" s="15">
        <f>IFERROR(__xludf.DUMMYFUNCTION("""COMPUTED_VALUE"""),1.004)</f>
        <v>1.004</v>
      </c>
      <c r="E5500" s="16">
        <f>IFERROR(__xludf.DUMMYFUNCTION("""COMPUTED_VALUE"""),66.0)</f>
        <v>66</v>
      </c>
      <c r="F5500" s="19" t="str">
        <f>IFERROR(__xludf.DUMMYFUNCTION("""COMPUTED_VALUE"""),"BLUE")</f>
        <v>BLUE</v>
      </c>
      <c r="G5500" s="20" t="str">
        <f>IFERROR(__xludf.DUMMYFUNCTION("""COMPUTED_VALUE"""),"Uncle Sams Cider (04/04/2023)")</f>
        <v>Uncle Sams Cider (04/04/2023)</v>
      </c>
      <c r="H5500" s="19"/>
    </row>
    <row r="5501">
      <c r="A5501" s="9"/>
      <c r="B5501" s="15"/>
      <c r="C5501" s="9">
        <f>IFERROR(__xludf.DUMMYFUNCTION("""COMPUTED_VALUE"""),45086.8371129398)</f>
        <v>45086.83711</v>
      </c>
      <c r="D5501" s="15">
        <f>IFERROR(__xludf.DUMMYFUNCTION("""COMPUTED_VALUE"""),1.004)</f>
        <v>1.004</v>
      </c>
      <c r="E5501" s="16">
        <f>IFERROR(__xludf.DUMMYFUNCTION("""COMPUTED_VALUE"""),66.0)</f>
        <v>66</v>
      </c>
      <c r="F5501" s="19" t="str">
        <f>IFERROR(__xludf.DUMMYFUNCTION("""COMPUTED_VALUE"""),"BLUE")</f>
        <v>BLUE</v>
      </c>
      <c r="G5501" s="20" t="str">
        <f>IFERROR(__xludf.DUMMYFUNCTION("""COMPUTED_VALUE"""),"Uncle Sams Cider (04/04/2023)")</f>
        <v>Uncle Sams Cider (04/04/2023)</v>
      </c>
      <c r="H5501" s="19"/>
    </row>
    <row r="5502">
      <c r="A5502" s="9"/>
      <c r="B5502" s="15"/>
      <c r="C5502" s="9">
        <f>IFERROR(__xludf.DUMMYFUNCTION("""COMPUTED_VALUE"""),45086.8266936689)</f>
        <v>45086.82669</v>
      </c>
      <c r="D5502" s="15">
        <f>IFERROR(__xludf.DUMMYFUNCTION("""COMPUTED_VALUE"""),1.004)</f>
        <v>1.004</v>
      </c>
      <c r="E5502" s="16">
        <f>IFERROR(__xludf.DUMMYFUNCTION("""COMPUTED_VALUE"""),66.0)</f>
        <v>66</v>
      </c>
      <c r="F5502" s="19" t="str">
        <f>IFERROR(__xludf.DUMMYFUNCTION("""COMPUTED_VALUE"""),"BLUE")</f>
        <v>BLUE</v>
      </c>
      <c r="G5502" s="20" t="str">
        <f>IFERROR(__xludf.DUMMYFUNCTION("""COMPUTED_VALUE"""),"Uncle Sams Cider (04/04/2023)")</f>
        <v>Uncle Sams Cider (04/04/2023)</v>
      </c>
      <c r="H5502" s="19"/>
    </row>
    <row r="5503">
      <c r="A5503" s="9"/>
      <c r="B5503" s="15"/>
      <c r="C5503" s="9">
        <f>IFERROR(__xludf.DUMMYFUNCTION("""COMPUTED_VALUE"""),45086.8162721875)</f>
        <v>45086.81627</v>
      </c>
      <c r="D5503" s="15">
        <f>IFERROR(__xludf.DUMMYFUNCTION("""COMPUTED_VALUE"""),1.004)</f>
        <v>1.004</v>
      </c>
      <c r="E5503" s="16">
        <f>IFERROR(__xludf.DUMMYFUNCTION("""COMPUTED_VALUE"""),66.0)</f>
        <v>66</v>
      </c>
      <c r="F5503" s="19" t="str">
        <f>IFERROR(__xludf.DUMMYFUNCTION("""COMPUTED_VALUE"""),"BLUE")</f>
        <v>BLUE</v>
      </c>
      <c r="G5503" s="20" t="str">
        <f>IFERROR(__xludf.DUMMYFUNCTION("""COMPUTED_VALUE"""),"Uncle Sams Cider (04/04/2023)")</f>
        <v>Uncle Sams Cider (04/04/2023)</v>
      </c>
      <c r="H5503" s="19"/>
    </row>
    <row r="5504">
      <c r="A5504" s="9"/>
      <c r="B5504" s="15"/>
      <c r="C5504" s="9">
        <f>IFERROR(__xludf.DUMMYFUNCTION("""COMPUTED_VALUE"""),45086.8058267592)</f>
        <v>45086.80583</v>
      </c>
      <c r="D5504" s="15">
        <f>IFERROR(__xludf.DUMMYFUNCTION("""COMPUTED_VALUE"""),1.004)</f>
        <v>1.004</v>
      </c>
      <c r="E5504" s="16">
        <f>IFERROR(__xludf.DUMMYFUNCTION("""COMPUTED_VALUE"""),66.0)</f>
        <v>66</v>
      </c>
      <c r="F5504" s="19" t="str">
        <f>IFERROR(__xludf.DUMMYFUNCTION("""COMPUTED_VALUE"""),"BLUE")</f>
        <v>BLUE</v>
      </c>
      <c r="G5504" s="20" t="str">
        <f>IFERROR(__xludf.DUMMYFUNCTION("""COMPUTED_VALUE"""),"Uncle Sams Cider (04/04/2023)")</f>
        <v>Uncle Sams Cider (04/04/2023)</v>
      </c>
      <c r="H5504" s="19"/>
    </row>
    <row r="5505">
      <c r="A5505" s="9"/>
      <c r="B5505" s="15"/>
      <c r="C5505" s="9">
        <f>IFERROR(__xludf.DUMMYFUNCTION("""COMPUTED_VALUE"""),45086.7953924074)</f>
        <v>45086.79539</v>
      </c>
      <c r="D5505" s="15">
        <f>IFERROR(__xludf.DUMMYFUNCTION("""COMPUTED_VALUE"""),1.004)</f>
        <v>1.004</v>
      </c>
      <c r="E5505" s="16">
        <f>IFERROR(__xludf.DUMMYFUNCTION("""COMPUTED_VALUE"""),66.0)</f>
        <v>66</v>
      </c>
      <c r="F5505" s="19" t="str">
        <f>IFERROR(__xludf.DUMMYFUNCTION("""COMPUTED_VALUE"""),"BLUE")</f>
        <v>BLUE</v>
      </c>
      <c r="G5505" s="20" t="str">
        <f>IFERROR(__xludf.DUMMYFUNCTION("""COMPUTED_VALUE"""),"Uncle Sams Cider (04/04/2023)")</f>
        <v>Uncle Sams Cider (04/04/2023)</v>
      </c>
      <c r="H5505" s="19"/>
    </row>
    <row r="5506">
      <c r="A5506" s="9"/>
      <c r="B5506" s="15"/>
      <c r="C5506" s="9">
        <f>IFERROR(__xludf.DUMMYFUNCTION("""COMPUTED_VALUE"""),45086.7849711805)</f>
        <v>45086.78497</v>
      </c>
      <c r="D5506" s="15">
        <f>IFERROR(__xludf.DUMMYFUNCTION("""COMPUTED_VALUE"""),1.004)</f>
        <v>1.004</v>
      </c>
      <c r="E5506" s="16">
        <f>IFERROR(__xludf.DUMMYFUNCTION("""COMPUTED_VALUE"""),67.0)</f>
        <v>67</v>
      </c>
      <c r="F5506" s="19" t="str">
        <f>IFERROR(__xludf.DUMMYFUNCTION("""COMPUTED_VALUE"""),"BLUE")</f>
        <v>BLUE</v>
      </c>
      <c r="G5506" s="20" t="str">
        <f>IFERROR(__xludf.DUMMYFUNCTION("""COMPUTED_VALUE"""),"Uncle Sams Cider (04/04/2023)")</f>
        <v>Uncle Sams Cider (04/04/2023)</v>
      </c>
      <c r="H5506" s="19"/>
    </row>
    <row r="5507">
      <c r="A5507" s="9"/>
      <c r="B5507" s="15"/>
      <c r="C5507" s="9">
        <f>IFERROR(__xludf.DUMMYFUNCTION("""COMPUTED_VALUE"""),45086.7745287384)</f>
        <v>45086.77453</v>
      </c>
      <c r="D5507" s="15">
        <f>IFERROR(__xludf.DUMMYFUNCTION("""COMPUTED_VALUE"""),1.005)</f>
        <v>1.005</v>
      </c>
      <c r="E5507" s="16">
        <f>IFERROR(__xludf.DUMMYFUNCTION("""COMPUTED_VALUE"""),66.0)</f>
        <v>66</v>
      </c>
      <c r="F5507" s="19" t="str">
        <f>IFERROR(__xludf.DUMMYFUNCTION("""COMPUTED_VALUE"""),"BLUE")</f>
        <v>BLUE</v>
      </c>
      <c r="G5507" s="20" t="str">
        <f>IFERROR(__xludf.DUMMYFUNCTION("""COMPUTED_VALUE"""),"Uncle Sams Cider (04/04/2023)")</f>
        <v>Uncle Sams Cider (04/04/2023)</v>
      </c>
      <c r="H5507" s="19"/>
    </row>
    <row r="5508">
      <c r="A5508" s="9"/>
      <c r="B5508" s="15"/>
      <c r="C5508" s="9">
        <f>IFERROR(__xludf.DUMMYFUNCTION("""COMPUTED_VALUE"""),45086.7640726736)</f>
        <v>45086.76407</v>
      </c>
      <c r="D5508" s="15">
        <f>IFERROR(__xludf.DUMMYFUNCTION("""COMPUTED_VALUE"""),1.004)</f>
        <v>1.004</v>
      </c>
      <c r="E5508" s="16">
        <f>IFERROR(__xludf.DUMMYFUNCTION("""COMPUTED_VALUE"""),66.0)</f>
        <v>66</v>
      </c>
      <c r="F5508" s="19" t="str">
        <f>IFERROR(__xludf.DUMMYFUNCTION("""COMPUTED_VALUE"""),"BLUE")</f>
        <v>BLUE</v>
      </c>
      <c r="G5508" s="20" t="str">
        <f>IFERROR(__xludf.DUMMYFUNCTION("""COMPUTED_VALUE"""),"Uncle Sams Cider (04/04/2023)")</f>
        <v>Uncle Sams Cider (04/04/2023)</v>
      </c>
      <c r="H5508" s="19"/>
    </row>
    <row r="5509">
      <c r="A5509" s="9"/>
      <c r="B5509" s="15"/>
      <c r="C5509" s="9">
        <f>IFERROR(__xludf.DUMMYFUNCTION("""COMPUTED_VALUE"""),45086.7536498148)</f>
        <v>45086.75365</v>
      </c>
      <c r="D5509" s="15">
        <f>IFERROR(__xludf.DUMMYFUNCTION("""COMPUTED_VALUE"""),1.004)</f>
        <v>1.004</v>
      </c>
      <c r="E5509" s="16">
        <f>IFERROR(__xludf.DUMMYFUNCTION("""COMPUTED_VALUE"""),66.0)</f>
        <v>66</v>
      </c>
      <c r="F5509" s="19" t="str">
        <f>IFERROR(__xludf.DUMMYFUNCTION("""COMPUTED_VALUE"""),"BLUE")</f>
        <v>BLUE</v>
      </c>
      <c r="G5509" s="20" t="str">
        <f>IFERROR(__xludf.DUMMYFUNCTION("""COMPUTED_VALUE"""),"Uncle Sams Cider (04/04/2023)")</f>
        <v>Uncle Sams Cider (04/04/2023)</v>
      </c>
      <c r="H5509" s="19"/>
    </row>
    <row r="5510">
      <c r="A5510" s="9"/>
      <c r="B5510" s="15"/>
      <c r="C5510" s="9">
        <f>IFERROR(__xludf.DUMMYFUNCTION("""COMPUTED_VALUE"""),45086.743215949)</f>
        <v>45086.74322</v>
      </c>
      <c r="D5510" s="15">
        <f>IFERROR(__xludf.DUMMYFUNCTION("""COMPUTED_VALUE"""),1.004)</f>
        <v>1.004</v>
      </c>
      <c r="E5510" s="16">
        <f>IFERROR(__xludf.DUMMYFUNCTION("""COMPUTED_VALUE"""),66.0)</f>
        <v>66</v>
      </c>
      <c r="F5510" s="19" t="str">
        <f>IFERROR(__xludf.DUMMYFUNCTION("""COMPUTED_VALUE"""),"BLUE")</f>
        <v>BLUE</v>
      </c>
      <c r="G5510" s="20" t="str">
        <f>IFERROR(__xludf.DUMMYFUNCTION("""COMPUTED_VALUE"""),"Uncle Sams Cider (04/04/2023)")</f>
        <v>Uncle Sams Cider (04/04/2023)</v>
      </c>
      <c r="H5510" s="19"/>
    </row>
    <row r="5511">
      <c r="A5511" s="9"/>
      <c r="B5511" s="15"/>
      <c r="C5511" s="9">
        <f>IFERROR(__xludf.DUMMYFUNCTION("""COMPUTED_VALUE"""),45086.7327964236)</f>
        <v>45086.7328</v>
      </c>
      <c r="D5511" s="15">
        <f>IFERROR(__xludf.DUMMYFUNCTION("""COMPUTED_VALUE"""),1.004)</f>
        <v>1.004</v>
      </c>
      <c r="E5511" s="16">
        <f>IFERROR(__xludf.DUMMYFUNCTION("""COMPUTED_VALUE"""),66.0)</f>
        <v>66</v>
      </c>
      <c r="F5511" s="19" t="str">
        <f>IFERROR(__xludf.DUMMYFUNCTION("""COMPUTED_VALUE"""),"BLUE")</f>
        <v>BLUE</v>
      </c>
      <c r="G5511" s="20" t="str">
        <f>IFERROR(__xludf.DUMMYFUNCTION("""COMPUTED_VALUE"""),"Uncle Sams Cider (04/04/2023)")</f>
        <v>Uncle Sams Cider (04/04/2023)</v>
      </c>
      <c r="H5511" s="19"/>
    </row>
    <row r="5512">
      <c r="A5512" s="9"/>
      <c r="B5512" s="15"/>
      <c r="C5512" s="9">
        <f>IFERROR(__xludf.DUMMYFUNCTION("""COMPUTED_VALUE"""),45086.7223740046)</f>
        <v>45086.72237</v>
      </c>
      <c r="D5512" s="15">
        <f>IFERROR(__xludf.DUMMYFUNCTION("""COMPUTED_VALUE"""),1.004)</f>
        <v>1.004</v>
      </c>
      <c r="E5512" s="16">
        <f>IFERROR(__xludf.DUMMYFUNCTION("""COMPUTED_VALUE"""),66.0)</f>
        <v>66</v>
      </c>
      <c r="F5512" s="19" t="str">
        <f>IFERROR(__xludf.DUMMYFUNCTION("""COMPUTED_VALUE"""),"BLUE")</f>
        <v>BLUE</v>
      </c>
      <c r="G5512" s="20" t="str">
        <f>IFERROR(__xludf.DUMMYFUNCTION("""COMPUTED_VALUE"""),"Uncle Sams Cider (04/04/2023)")</f>
        <v>Uncle Sams Cider (04/04/2023)</v>
      </c>
      <c r="H5512" s="19"/>
    </row>
    <row r="5513">
      <c r="A5513" s="9"/>
      <c r="B5513" s="15"/>
      <c r="C5513" s="9">
        <f>IFERROR(__xludf.DUMMYFUNCTION("""COMPUTED_VALUE"""),45086.7119405324)</f>
        <v>45086.71194</v>
      </c>
      <c r="D5513" s="15">
        <f>IFERROR(__xludf.DUMMYFUNCTION("""COMPUTED_VALUE"""),1.004)</f>
        <v>1.004</v>
      </c>
      <c r="E5513" s="16">
        <f>IFERROR(__xludf.DUMMYFUNCTION("""COMPUTED_VALUE"""),66.0)</f>
        <v>66</v>
      </c>
      <c r="F5513" s="19" t="str">
        <f>IFERROR(__xludf.DUMMYFUNCTION("""COMPUTED_VALUE"""),"BLUE")</f>
        <v>BLUE</v>
      </c>
      <c r="G5513" s="20" t="str">
        <f>IFERROR(__xludf.DUMMYFUNCTION("""COMPUTED_VALUE"""),"Uncle Sams Cider (04/04/2023)")</f>
        <v>Uncle Sams Cider (04/04/2023)</v>
      </c>
      <c r="H5513" s="19"/>
    </row>
    <row r="5514">
      <c r="A5514" s="9"/>
      <c r="B5514" s="15"/>
      <c r="C5514" s="9">
        <f>IFERROR(__xludf.DUMMYFUNCTION("""COMPUTED_VALUE"""),45086.7014972338)</f>
        <v>45086.7015</v>
      </c>
      <c r="D5514" s="15">
        <f>IFERROR(__xludf.DUMMYFUNCTION("""COMPUTED_VALUE"""),1.004)</f>
        <v>1.004</v>
      </c>
      <c r="E5514" s="16">
        <f>IFERROR(__xludf.DUMMYFUNCTION("""COMPUTED_VALUE"""),66.0)</f>
        <v>66</v>
      </c>
      <c r="F5514" s="19" t="str">
        <f>IFERROR(__xludf.DUMMYFUNCTION("""COMPUTED_VALUE"""),"BLUE")</f>
        <v>BLUE</v>
      </c>
      <c r="G5514" s="20" t="str">
        <f>IFERROR(__xludf.DUMMYFUNCTION("""COMPUTED_VALUE"""),"Uncle Sams Cider (04/04/2023)")</f>
        <v>Uncle Sams Cider (04/04/2023)</v>
      </c>
      <c r="H5514" s="19"/>
    </row>
    <row r="5515">
      <c r="A5515" s="9"/>
      <c r="B5515" s="15"/>
      <c r="C5515" s="9">
        <f>IFERROR(__xludf.DUMMYFUNCTION("""COMPUTED_VALUE"""),45086.6910773842)</f>
        <v>45086.69108</v>
      </c>
      <c r="D5515" s="15">
        <f>IFERROR(__xludf.DUMMYFUNCTION("""COMPUTED_VALUE"""),1.004)</f>
        <v>1.004</v>
      </c>
      <c r="E5515" s="16">
        <f>IFERROR(__xludf.DUMMYFUNCTION("""COMPUTED_VALUE"""),66.0)</f>
        <v>66</v>
      </c>
      <c r="F5515" s="19" t="str">
        <f>IFERROR(__xludf.DUMMYFUNCTION("""COMPUTED_VALUE"""),"BLUE")</f>
        <v>BLUE</v>
      </c>
      <c r="G5515" s="20" t="str">
        <f>IFERROR(__xludf.DUMMYFUNCTION("""COMPUTED_VALUE"""),"Uncle Sams Cider (04/04/2023)")</f>
        <v>Uncle Sams Cider (04/04/2023)</v>
      </c>
      <c r="H5515" s="19"/>
    </row>
    <row r="5516">
      <c r="A5516" s="9"/>
      <c r="B5516" s="15"/>
      <c r="C5516" s="9">
        <f>IFERROR(__xludf.DUMMYFUNCTION("""COMPUTED_VALUE"""),45086.6806443634)</f>
        <v>45086.68064</v>
      </c>
      <c r="D5516" s="15">
        <f>IFERROR(__xludf.DUMMYFUNCTION("""COMPUTED_VALUE"""),1.004)</f>
        <v>1.004</v>
      </c>
      <c r="E5516" s="16">
        <f>IFERROR(__xludf.DUMMYFUNCTION("""COMPUTED_VALUE"""),66.0)</f>
        <v>66</v>
      </c>
      <c r="F5516" s="19" t="str">
        <f>IFERROR(__xludf.DUMMYFUNCTION("""COMPUTED_VALUE"""),"BLUE")</f>
        <v>BLUE</v>
      </c>
      <c r="G5516" s="20" t="str">
        <f>IFERROR(__xludf.DUMMYFUNCTION("""COMPUTED_VALUE"""),"Uncle Sams Cider (04/04/2023)")</f>
        <v>Uncle Sams Cider (04/04/2023)</v>
      </c>
      <c r="H5516" s="19"/>
    </row>
    <row r="5517">
      <c r="A5517" s="9"/>
      <c r="B5517" s="15"/>
      <c r="C5517" s="9">
        <f>IFERROR(__xludf.DUMMYFUNCTION("""COMPUTED_VALUE"""),45086.6702233796)</f>
        <v>45086.67022</v>
      </c>
      <c r="D5517" s="15">
        <f>IFERROR(__xludf.DUMMYFUNCTION("""COMPUTED_VALUE"""),1.004)</f>
        <v>1.004</v>
      </c>
      <c r="E5517" s="16">
        <f>IFERROR(__xludf.DUMMYFUNCTION("""COMPUTED_VALUE"""),66.0)</f>
        <v>66</v>
      </c>
      <c r="F5517" s="19" t="str">
        <f>IFERROR(__xludf.DUMMYFUNCTION("""COMPUTED_VALUE"""),"BLUE")</f>
        <v>BLUE</v>
      </c>
      <c r="G5517" s="20" t="str">
        <f>IFERROR(__xludf.DUMMYFUNCTION("""COMPUTED_VALUE"""),"Uncle Sams Cider (04/04/2023)")</f>
        <v>Uncle Sams Cider (04/04/2023)</v>
      </c>
      <c r="H5517" s="19"/>
    </row>
    <row r="5518">
      <c r="A5518" s="9"/>
      <c r="B5518" s="15"/>
      <c r="C5518" s="9">
        <f>IFERROR(__xludf.DUMMYFUNCTION("""COMPUTED_VALUE"""),45086.6598040162)</f>
        <v>45086.6598</v>
      </c>
      <c r="D5518" s="15">
        <f>IFERROR(__xludf.DUMMYFUNCTION("""COMPUTED_VALUE"""),1.004)</f>
        <v>1.004</v>
      </c>
      <c r="E5518" s="16">
        <f>IFERROR(__xludf.DUMMYFUNCTION("""COMPUTED_VALUE"""),66.0)</f>
        <v>66</v>
      </c>
      <c r="F5518" s="19" t="str">
        <f>IFERROR(__xludf.DUMMYFUNCTION("""COMPUTED_VALUE"""),"BLUE")</f>
        <v>BLUE</v>
      </c>
      <c r="G5518" s="20" t="str">
        <f>IFERROR(__xludf.DUMMYFUNCTION("""COMPUTED_VALUE"""),"Uncle Sams Cider (04/04/2023)")</f>
        <v>Uncle Sams Cider (04/04/2023)</v>
      </c>
      <c r="H5518" s="19"/>
    </row>
    <row r="5519">
      <c r="A5519" s="9"/>
      <c r="B5519" s="15"/>
      <c r="C5519" s="9">
        <f>IFERROR(__xludf.DUMMYFUNCTION("""COMPUTED_VALUE"""),45086.6493812615)</f>
        <v>45086.64938</v>
      </c>
      <c r="D5519" s="15">
        <f>IFERROR(__xludf.DUMMYFUNCTION("""COMPUTED_VALUE"""),1.004)</f>
        <v>1.004</v>
      </c>
      <c r="E5519" s="16">
        <f>IFERROR(__xludf.DUMMYFUNCTION("""COMPUTED_VALUE"""),66.0)</f>
        <v>66</v>
      </c>
      <c r="F5519" s="19" t="str">
        <f>IFERROR(__xludf.DUMMYFUNCTION("""COMPUTED_VALUE"""),"BLUE")</f>
        <v>BLUE</v>
      </c>
      <c r="G5519" s="20" t="str">
        <f>IFERROR(__xludf.DUMMYFUNCTION("""COMPUTED_VALUE"""),"Uncle Sams Cider (04/04/2023)")</f>
        <v>Uncle Sams Cider (04/04/2023)</v>
      </c>
      <c r="H5519" s="19"/>
    </row>
    <row r="5520">
      <c r="A5520" s="9"/>
      <c r="B5520" s="15"/>
      <c r="C5520" s="9">
        <f>IFERROR(__xludf.DUMMYFUNCTION("""COMPUTED_VALUE"""),45086.6389609606)</f>
        <v>45086.63896</v>
      </c>
      <c r="D5520" s="15">
        <f>IFERROR(__xludf.DUMMYFUNCTION("""COMPUTED_VALUE"""),1.004)</f>
        <v>1.004</v>
      </c>
      <c r="E5520" s="16">
        <f>IFERROR(__xludf.DUMMYFUNCTION("""COMPUTED_VALUE"""),66.0)</f>
        <v>66</v>
      </c>
      <c r="F5520" s="19" t="str">
        <f>IFERROR(__xludf.DUMMYFUNCTION("""COMPUTED_VALUE"""),"BLUE")</f>
        <v>BLUE</v>
      </c>
      <c r="G5520" s="20" t="str">
        <f>IFERROR(__xludf.DUMMYFUNCTION("""COMPUTED_VALUE"""),"Uncle Sams Cider (04/04/2023)")</f>
        <v>Uncle Sams Cider (04/04/2023)</v>
      </c>
      <c r="H5520" s="19"/>
    </row>
    <row r="5521">
      <c r="A5521" s="9"/>
      <c r="B5521" s="15"/>
      <c r="C5521" s="9">
        <f>IFERROR(__xludf.DUMMYFUNCTION("""COMPUTED_VALUE"""),45086.6285381713)</f>
        <v>45086.62854</v>
      </c>
      <c r="D5521" s="15">
        <f>IFERROR(__xludf.DUMMYFUNCTION("""COMPUTED_VALUE"""),1.004)</f>
        <v>1.004</v>
      </c>
      <c r="E5521" s="16">
        <f>IFERROR(__xludf.DUMMYFUNCTION("""COMPUTED_VALUE"""),66.0)</f>
        <v>66</v>
      </c>
      <c r="F5521" s="19" t="str">
        <f>IFERROR(__xludf.DUMMYFUNCTION("""COMPUTED_VALUE"""),"BLUE")</f>
        <v>BLUE</v>
      </c>
      <c r="G5521" s="20" t="str">
        <f>IFERROR(__xludf.DUMMYFUNCTION("""COMPUTED_VALUE"""),"Uncle Sams Cider (04/04/2023)")</f>
        <v>Uncle Sams Cider (04/04/2023)</v>
      </c>
      <c r="H5521" s="19"/>
    </row>
    <row r="5522">
      <c r="A5522" s="9"/>
      <c r="B5522" s="15"/>
      <c r="C5522" s="9">
        <f>IFERROR(__xludf.DUMMYFUNCTION("""COMPUTED_VALUE"""),45086.618117824)</f>
        <v>45086.61812</v>
      </c>
      <c r="D5522" s="15">
        <f>IFERROR(__xludf.DUMMYFUNCTION("""COMPUTED_VALUE"""),1.004)</f>
        <v>1.004</v>
      </c>
      <c r="E5522" s="16">
        <f>IFERROR(__xludf.DUMMYFUNCTION("""COMPUTED_VALUE"""),66.0)</f>
        <v>66</v>
      </c>
      <c r="F5522" s="19" t="str">
        <f>IFERROR(__xludf.DUMMYFUNCTION("""COMPUTED_VALUE"""),"BLUE")</f>
        <v>BLUE</v>
      </c>
      <c r="G5522" s="20" t="str">
        <f>IFERROR(__xludf.DUMMYFUNCTION("""COMPUTED_VALUE"""),"Uncle Sams Cider (04/04/2023)")</f>
        <v>Uncle Sams Cider (04/04/2023)</v>
      </c>
      <c r="H5522" s="19"/>
    </row>
    <row r="5523">
      <c r="A5523" s="9"/>
      <c r="B5523" s="15"/>
      <c r="C5523" s="9">
        <f>IFERROR(__xludf.DUMMYFUNCTION("""COMPUTED_VALUE"""),45086.607695868)</f>
        <v>45086.6077</v>
      </c>
      <c r="D5523" s="15">
        <f>IFERROR(__xludf.DUMMYFUNCTION("""COMPUTED_VALUE"""),1.005)</f>
        <v>1.005</v>
      </c>
      <c r="E5523" s="16">
        <f>IFERROR(__xludf.DUMMYFUNCTION("""COMPUTED_VALUE"""),66.0)</f>
        <v>66</v>
      </c>
      <c r="F5523" s="19" t="str">
        <f>IFERROR(__xludf.DUMMYFUNCTION("""COMPUTED_VALUE"""),"BLUE")</f>
        <v>BLUE</v>
      </c>
      <c r="G5523" s="20" t="str">
        <f>IFERROR(__xludf.DUMMYFUNCTION("""COMPUTED_VALUE"""),"Uncle Sams Cider (04/04/2023)")</f>
        <v>Uncle Sams Cider (04/04/2023)</v>
      </c>
      <c r="H5523" s="19"/>
    </row>
    <row r="5524">
      <c r="A5524" s="9"/>
      <c r="B5524" s="15"/>
      <c r="C5524" s="9">
        <f>IFERROR(__xludf.DUMMYFUNCTION("""COMPUTED_VALUE"""),45086.5972749305)</f>
        <v>45086.59727</v>
      </c>
      <c r="D5524" s="15">
        <f>IFERROR(__xludf.DUMMYFUNCTION("""COMPUTED_VALUE"""),1.004)</f>
        <v>1.004</v>
      </c>
      <c r="E5524" s="16">
        <f>IFERROR(__xludf.DUMMYFUNCTION("""COMPUTED_VALUE"""),66.0)</f>
        <v>66</v>
      </c>
      <c r="F5524" s="19" t="str">
        <f>IFERROR(__xludf.DUMMYFUNCTION("""COMPUTED_VALUE"""),"BLUE")</f>
        <v>BLUE</v>
      </c>
      <c r="G5524" s="20" t="str">
        <f>IFERROR(__xludf.DUMMYFUNCTION("""COMPUTED_VALUE"""),"Uncle Sams Cider (04/04/2023)")</f>
        <v>Uncle Sams Cider (04/04/2023)</v>
      </c>
      <c r="H5524" s="19"/>
    </row>
    <row r="5525">
      <c r="A5525" s="9"/>
      <c r="B5525" s="15"/>
      <c r="C5525" s="9">
        <f>IFERROR(__xludf.DUMMYFUNCTION("""COMPUTED_VALUE"""),45086.5868526157)</f>
        <v>45086.58685</v>
      </c>
      <c r="D5525" s="15">
        <f>IFERROR(__xludf.DUMMYFUNCTION("""COMPUTED_VALUE"""),1.004)</f>
        <v>1.004</v>
      </c>
      <c r="E5525" s="16">
        <f>IFERROR(__xludf.DUMMYFUNCTION("""COMPUTED_VALUE"""),66.0)</f>
        <v>66</v>
      </c>
      <c r="F5525" s="19" t="str">
        <f>IFERROR(__xludf.DUMMYFUNCTION("""COMPUTED_VALUE"""),"BLUE")</f>
        <v>BLUE</v>
      </c>
      <c r="G5525" s="20" t="str">
        <f>IFERROR(__xludf.DUMMYFUNCTION("""COMPUTED_VALUE"""),"Uncle Sams Cider (04/04/2023)")</f>
        <v>Uncle Sams Cider (04/04/2023)</v>
      </c>
      <c r="H5525" s="19"/>
    </row>
    <row r="5526">
      <c r="A5526" s="9"/>
      <c r="B5526" s="15"/>
      <c r="C5526" s="9">
        <f>IFERROR(__xludf.DUMMYFUNCTION("""COMPUTED_VALUE"""),45086.5764199305)</f>
        <v>45086.57642</v>
      </c>
      <c r="D5526" s="15">
        <f>IFERROR(__xludf.DUMMYFUNCTION("""COMPUTED_VALUE"""),1.005)</f>
        <v>1.005</v>
      </c>
      <c r="E5526" s="16">
        <f>IFERROR(__xludf.DUMMYFUNCTION("""COMPUTED_VALUE"""),66.0)</f>
        <v>66</v>
      </c>
      <c r="F5526" s="19" t="str">
        <f>IFERROR(__xludf.DUMMYFUNCTION("""COMPUTED_VALUE"""),"BLUE")</f>
        <v>BLUE</v>
      </c>
      <c r="G5526" s="20" t="str">
        <f>IFERROR(__xludf.DUMMYFUNCTION("""COMPUTED_VALUE"""),"Uncle Sams Cider (04/04/2023)")</f>
        <v>Uncle Sams Cider (04/04/2023)</v>
      </c>
      <c r="H5526" s="19"/>
    </row>
    <row r="5527">
      <c r="A5527" s="9"/>
      <c r="B5527" s="15"/>
      <c r="C5527" s="9">
        <f>IFERROR(__xludf.DUMMYFUNCTION("""COMPUTED_VALUE"""),45086.5659955902)</f>
        <v>45086.566</v>
      </c>
      <c r="D5527" s="15">
        <f>IFERROR(__xludf.DUMMYFUNCTION("""COMPUTED_VALUE"""),1.004)</f>
        <v>1.004</v>
      </c>
      <c r="E5527" s="16">
        <f>IFERROR(__xludf.DUMMYFUNCTION("""COMPUTED_VALUE"""),66.0)</f>
        <v>66</v>
      </c>
      <c r="F5527" s="19" t="str">
        <f>IFERROR(__xludf.DUMMYFUNCTION("""COMPUTED_VALUE"""),"BLUE")</f>
        <v>BLUE</v>
      </c>
      <c r="G5527" s="20" t="str">
        <f>IFERROR(__xludf.DUMMYFUNCTION("""COMPUTED_VALUE"""),"Uncle Sams Cider (04/04/2023)")</f>
        <v>Uncle Sams Cider (04/04/2023)</v>
      </c>
      <c r="H5527" s="19"/>
    </row>
    <row r="5528">
      <c r="A5528" s="9"/>
      <c r="B5528" s="15"/>
      <c r="C5528" s="9">
        <f>IFERROR(__xludf.DUMMYFUNCTION("""COMPUTED_VALUE"""),45086.5555735532)</f>
        <v>45086.55557</v>
      </c>
      <c r="D5528" s="15">
        <f>IFERROR(__xludf.DUMMYFUNCTION("""COMPUTED_VALUE"""),1.004)</f>
        <v>1.004</v>
      </c>
      <c r="E5528" s="16">
        <f>IFERROR(__xludf.DUMMYFUNCTION("""COMPUTED_VALUE"""),66.0)</f>
        <v>66</v>
      </c>
      <c r="F5528" s="19" t="str">
        <f>IFERROR(__xludf.DUMMYFUNCTION("""COMPUTED_VALUE"""),"BLUE")</f>
        <v>BLUE</v>
      </c>
      <c r="G5528" s="20" t="str">
        <f>IFERROR(__xludf.DUMMYFUNCTION("""COMPUTED_VALUE"""),"Uncle Sams Cider (04/04/2023)")</f>
        <v>Uncle Sams Cider (04/04/2023)</v>
      </c>
      <c r="H5528" s="19"/>
    </row>
    <row r="5529">
      <c r="A5529" s="9"/>
      <c r="B5529" s="15"/>
      <c r="C5529" s="9">
        <f>IFERROR(__xludf.DUMMYFUNCTION("""COMPUTED_VALUE"""),45086.5451523495)</f>
        <v>45086.54515</v>
      </c>
      <c r="D5529" s="15">
        <f>IFERROR(__xludf.DUMMYFUNCTION("""COMPUTED_VALUE"""),1.004)</f>
        <v>1.004</v>
      </c>
      <c r="E5529" s="16">
        <f>IFERROR(__xludf.DUMMYFUNCTION("""COMPUTED_VALUE"""),66.0)</f>
        <v>66</v>
      </c>
      <c r="F5529" s="19" t="str">
        <f>IFERROR(__xludf.DUMMYFUNCTION("""COMPUTED_VALUE"""),"BLUE")</f>
        <v>BLUE</v>
      </c>
      <c r="G5529" s="20" t="str">
        <f>IFERROR(__xludf.DUMMYFUNCTION("""COMPUTED_VALUE"""),"Uncle Sams Cider (04/04/2023)")</f>
        <v>Uncle Sams Cider (04/04/2023)</v>
      </c>
      <c r="H5529" s="19"/>
    </row>
    <row r="5530">
      <c r="A5530" s="9"/>
      <c r="B5530" s="15"/>
      <c r="C5530" s="9">
        <f>IFERROR(__xludf.DUMMYFUNCTION("""COMPUTED_VALUE"""),45086.5347312384)</f>
        <v>45086.53473</v>
      </c>
      <c r="D5530" s="15">
        <f>IFERROR(__xludf.DUMMYFUNCTION("""COMPUTED_VALUE"""),1.004)</f>
        <v>1.004</v>
      </c>
      <c r="E5530" s="16">
        <f>IFERROR(__xludf.DUMMYFUNCTION("""COMPUTED_VALUE"""),66.0)</f>
        <v>66</v>
      </c>
      <c r="F5530" s="19" t="str">
        <f>IFERROR(__xludf.DUMMYFUNCTION("""COMPUTED_VALUE"""),"BLUE")</f>
        <v>BLUE</v>
      </c>
      <c r="G5530" s="20" t="str">
        <f>IFERROR(__xludf.DUMMYFUNCTION("""COMPUTED_VALUE"""),"Uncle Sams Cider (04/04/2023)")</f>
        <v>Uncle Sams Cider (04/04/2023)</v>
      </c>
      <c r="H5530" s="19"/>
    </row>
    <row r="5531">
      <c r="A5531" s="9"/>
      <c r="B5531" s="15"/>
      <c r="C5531" s="9">
        <f>IFERROR(__xludf.DUMMYFUNCTION("""COMPUTED_VALUE"""),45086.5243094907)</f>
        <v>45086.52431</v>
      </c>
      <c r="D5531" s="15">
        <f>IFERROR(__xludf.DUMMYFUNCTION("""COMPUTED_VALUE"""),1.005)</f>
        <v>1.005</v>
      </c>
      <c r="E5531" s="16">
        <f>IFERROR(__xludf.DUMMYFUNCTION("""COMPUTED_VALUE"""),66.0)</f>
        <v>66</v>
      </c>
      <c r="F5531" s="19" t="str">
        <f>IFERROR(__xludf.DUMMYFUNCTION("""COMPUTED_VALUE"""),"BLUE")</f>
        <v>BLUE</v>
      </c>
      <c r="G5531" s="20" t="str">
        <f>IFERROR(__xludf.DUMMYFUNCTION("""COMPUTED_VALUE"""),"Uncle Sams Cider (04/04/2023)")</f>
        <v>Uncle Sams Cider (04/04/2023)</v>
      </c>
      <c r="H5531" s="19"/>
    </row>
    <row r="5532">
      <c r="A5532" s="9"/>
      <c r="B5532" s="15"/>
      <c r="C5532" s="9">
        <f>IFERROR(__xludf.DUMMYFUNCTION("""COMPUTED_VALUE"""),45086.5138877777)</f>
        <v>45086.51389</v>
      </c>
      <c r="D5532" s="15">
        <f>IFERROR(__xludf.DUMMYFUNCTION("""COMPUTED_VALUE"""),1.004)</f>
        <v>1.004</v>
      </c>
      <c r="E5532" s="16">
        <f>IFERROR(__xludf.DUMMYFUNCTION("""COMPUTED_VALUE"""),66.0)</f>
        <v>66</v>
      </c>
      <c r="F5532" s="19" t="str">
        <f>IFERROR(__xludf.DUMMYFUNCTION("""COMPUTED_VALUE"""),"BLUE")</f>
        <v>BLUE</v>
      </c>
      <c r="G5532" s="20" t="str">
        <f>IFERROR(__xludf.DUMMYFUNCTION("""COMPUTED_VALUE"""),"Uncle Sams Cider (04/04/2023)")</f>
        <v>Uncle Sams Cider (04/04/2023)</v>
      </c>
      <c r="H5532" s="19"/>
    </row>
    <row r="5533">
      <c r="A5533" s="9"/>
      <c r="B5533" s="15"/>
      <c r="C5533" s="9">
        <f>IFERROR(__xludf.DUMMYFUNCTION("""COMPUTED_VALUE"""),45086.5034672453)</f>
        <v>45086.50347</v>
      </c>
      <c r="D5533" s="15">
        <f>IFERROR(__xludf.DUMMYFUNCTION("""COMPUTED_VALUE"""),1.005)</f>
        <v>1.005</v>
      </c>
      <c r="E5533" s="16">
        <f>IFERROR(__xludf.DUMMYFUNCTION("""COMPUTED_VALUE"""),66.0)</f>
        <v>66</v>
      </c>
      <c r="F5533" s="19" t="str">
        <f>IFERROR(__xludf.DUMMYFUNCTION("""COMPUTED_VALUE"""),"BLUE")</f>
        <v>BLUE</v>
      </c>
      <c r="G5533" s="20" t="str">
        <f>IFERROR(__xludf.DUMMYFUNCTION("""COMPUTED_VALUE"""),"Uncle Sams Cider (04/04/2023)")</f>
        <v>Uncle Sams Cider (04/04/2023)</v>
      </c>
      <c r="H5533" s="19"/>
    </row>
    <row r="5534">
      <c r="A5534" s="9"/>
      <c r="B5534" s="15"/>
      <c r="C5534" s="9">
        <f>IFERROR(__xludf.DUMMYFUNCTION("""COMPUTED_VALUE"""),45086.4930467129)</f>
        <v>45086.49305</v>
      </c>
      <c r="D5534" s="15">
        <f>IFERROR(__xludf.DUMMYFUNCTION("""COMPUTED_VALUE"""),1.004)</f>
        <v>1.004</v>
      </c>
      <c r="E5534" s="16">
        <f>IFERROR(__xludf.DUMMYFUNCTION("""COMPUTED_VALUE"""),66.0)</f>
        <v>66</v>
      </c>
      <c r="F5534" s="19" t="str">
        <f>IFERROR(__xludf.DUMMYFUNCTION("""COMPUTED_VALUE"""),"BLUE")</f>
        <v>BLUE</v>
      </c>
      <c r="G5534" s="20" t="str">
        <f>IFERROR(__xludf.DUMMYFUNCTION("""COMPUTED_VALUE"""),"Uncle Sams Cider (04/04/2023)")</f>
        <v>Uncle Sams Cider (04/04/2023)</v>
      </c>
      <c r="H5534" s="19"/>
    </row>
    <row r="5535">
      <c r="A5535" s="9"/>
      <c r="B5535" s="15"/>
      <c r="C5535" s="9">
        <f>IFERROR(__xludf.DUMMYFUNCTION("""COMPUTED_VALUE"""),45086.4826253009)</f>
        <v>45086.48263</v>
      </c>
      <c r="D5535" s="15">
        <f>IFERROR(__xludf.DUMMYFUNCTION("""COMPUTED_VALUE"""),1.004)</f>
        <v>1.004</v>
      </c>
      <c r="E5535" s="16">
        <f>IFERROR(__xludf.DUMMYFUNCTION("""COMPUTED_VALUE"""),66.0)</f>
        <v>66</v>
      </c>
      <c r="F5535" s="19" t="str">
        <f>IFERROR(__xludf.DUMMYFUNCTION("""COMPUTED_VALUE"""),"BLUE")</f>
        <v>BLUE</v>
      </c>
      <c r="G5535" s="20" t="str">
        <f>IFERROR(__xludf.DUMMYFUNCTION("""COMPUTED_VALUE"""),"Uncle Sams Cider (04/04/2023)")</f>
        <v>Uncle Sams Cider (04/04/2023)</v>
      </c>
      <c r="H5535" s="19"/>
    </row>
    <row r="5536">
      <c r="A5536" s="9"/>
      <c r="B5536" s="15"/>
      <c r="C5536" s="9">
        <f>IFERROR(__xludf.DUMMYFUNCTION("""COMPUTED_VALUE"""),45086.4722033333)</f>
        <v>45086.4722</v>
      </c>
      <c r="D5536" s="15">
        <f>IFERROR(__xludf.DUMMYFUNCTION("""COMPUTED_VALUE"""),1.005)</f>
        <v>1.005</v>
      </c>
      <c r="E5536" s="16">
        <f>IFERROR(__xludf.DUMMYFUNCTION("""COMPUTED_VALUE"""),66.0)</f>
        <v>66</v>
      </c>
      <c r="F5536" s="19" t="str">
        <f>IFERROR(__xludf.DUMMYFUNCTION("""COMPUTED_VALUE"""),"BLUE")</f>
        <v>BLUE</v>
      </c>
      <c r="G5536" s="20" t="str">
        <f>IFERROR(__xludf.DUMMYFUNCTION("""COMPUTED_VALUE"""),"Uncle Sams Cider (04/04/2023)")</f>
        <v>Uncle Sams Cider (04/04/2023)</v>
      </c>
      <c r="H5536" s="19"/>
    </row>
    <row r="5537">
      <c r="A5537" s="9"/>
      <c r="B5537" s="15"/>
      <c r="C5537" s="9">
        <f>IFERROR(__xludf.DUMMYFUNCTION("""COMPUTED_VALUE"""),45086.4617819676)</f>
        <v>45086.46178</v>
      </c>
      <c r="D5537" s="15">
        <f>IFERROR(__xludf.DUMMYFUNCTION("""COMPUTED_VALUE"""),1.004)</f>
        <v>1.004</v>
      </c>
      <c r="E5537" s="16">
        <f>IFERROR(__xludf.DUMMYFUNCTION("""COMPUTED_VALUE"""),66.0)</f>
        <v>66</v>
      </c>
      <c r="F5537" s="19" t="str">
        <f>IFERROR(__xludf.DUMMYFUNCTION("""COMPUTED_VALUE"""),"BLUE")</f>
        <v>BLUE</v>
      </c>
      <c r="G5537" s="20" t="str">
        <f>IFERROR(__xludf.DUMMYFUNCTION("""COMPUTED_VALUE"""),"Uncle Sams Cider (04/04/2023)")</f>
        <v>Uncle Sams Cider (04/04/2023)</v>
      </c>
      <c r="H5537" s="19"/>
    </row>
    <row r="5538">
      <c r="A5538" s="9"/>
      <c r="B5538" s="15"/>
      <c r="C5538" s="9">
        <f>IFERROR(__xludf.DUMMYFUNCTION("""COMPUTED_VALUE"""),45086.4513587615)</f>
        <v>45086.45136</v>
      </c>
      <c r="D5538" s="15">
        <f>IFERROR(__xludf.DUMMYFUNCTION("""COMPUTED_VALUE"""),1.004)</f>
        <v>1.004</v>
      </c>
      <c r="E5538" s="16">
        <f>IFERROR(__xludf.DUMMYFUNCTION("""COMPUTED_VALUE"""),66.0)</f>
        <v>66</v>
      </c>
      <c r="F5538" s="19" t="str">
        <f>IFERROR(__xludf.DUMMYFUNCTION("""COMPUTED_VALUE"""),"BLUE")</f>
        <v>BLUE</v>
      </c>
      <c r="G5538" s="20" t="str">
        <f>IFERROR(__xludf.DUMMYFUNCTION("""COMPUTED_VALUE"""),"Uncle Sams Cider (04/04/2023)")</f>
        <v>Uncle Sams Cider (04/04/2023)</v>
      </c>
      <c r="H5538" s="19"/>
    </row>
    <row r="5539">
      <c r="A5539" s="9"/>
      <c r="B5539" s="15"/>
      <c r="C5539" s="9">
        <f>IFERROR(__xludf.DUMMYFUNCTION("""COMPUTED_VALUE"""),45086.4409376388)</f>
        <v>45086.44094</v>
      </c>
      <c r="D5539" s="15">
        <f>IFERROR(__xludf.DUMMYFUNCTION("""COMPUTED_VALUE"""),1.004)</f>
        <v>1.004</v>
      </c>
      <c r="E5539" s="16">
        <f>IFERROR(__xludf.DUMMYFUNCTION("""COMPUTED_VALUE"""),66.0)</f>
        <v>66</v>
      </c>
      <c r="F5539" s="19" t="str">
        <f>IFERROR(__xludf.DUMMYFUNCTION("""COMPUTED_VALUE"""),"BLUE")</f>
        <v>BLUE</v>
      </c>
      <c r="G5539" s="20" t="str">
        <f>IFERROR(__xludf.DUMMYFUNCTION("""COMPUTED_VALUE"""),"Uncle Sams Cider (04/04/2023)")</f>
        <v>Uncle Sams Cider (04/04/2023)</v>
      </c>
      <c r="H5539" s="19"/>
    </row>
    <row r="5540">
      <c r="A5540" s="9"/>
      <c r="B5540" s="15"/>
      <c r="C5540" s="9">
        <f>IFERROR(__xludf.DUMMYFUNCTION("""COMPUTED_VALUE"""),45086.4305166782)</f>
        <v>45086.43052</v>
      </c>
      <c r="D5540" s="15">
        <f>IFERROR(__xludf.DUMMYFUNCTION("""COMPUTED_VALUE"""),1.004)</f>
        <v>1.004</v>
      </c>
      <c r="E5540" s="16">
        <f>IFERROR(__xludf.DUMMYFUNCTION("""COMPUTED_VALUE"""),66.0)</f>
        <v>66</v>
      </c>
      <c r="F5540" s="19" t="str">
        <f>IFERROR(__xludf.DUMMYFUNCTION("""COMPUTED_VALUE"""),"BLUE")</f>
        <v>BLUE</v>
      </c>
      <c r="G5540" s="20" t="str">
        <f>IFERROR(__xludf.DUMMYFUNCTION("""COMPUTED_VALUE"""),"Uncle Sams Cider (04/04/2023)")</f>
        <v>Uncle Sams Cider (04/04/2023)</v>
      </c>
      <c r="H5540" s="19"/>
    </row>
    <row r="5541">
      <c r="A5541" s="9"/>
      <c r="B5541" s="15"/>
      <c r="C5541" s="9">
        <f>IFERROR(__xludf.DUMMYFUNCTION("""COMPUTED_VALUE"""),45086.4200935301)</f>
        <v>45086.42009</v>
      </c>
      <c r="D5541" s="15">
        <f>IFERROR(__xludf.DUMMYFUNCTION("""COMPUTED_VALUE"""),1.004)</f>
        <v>1.004</v>
      </c>
      <c r="E5541" s="16">
        <f>IFERROR(__xludf.DUMMYFUNCTION("""COMPUTED_VALUE"""),66.0)</f>
        <v>66</v>
      </c>
      <c r="F5541" s="19" t="str">
        <f>IFERROR(__xludf.DUMMYFUNCTION("""COMPUTED_VALUE"""),"BLUE")</f>
        <v>BLUE</v>
      </c>
      <c r="G5541" s="20" t="str">
        <f>IFERROR(__xludf.DUMMYFUNCTION("""COMPUTED_VALUE"""),"Uncle Sams Cider (04/04/2023)")</f>
        <v>Uncle Sams Cider (04/04/2023)</v>
      </c>
      <c r="H5541" s="19"/>
    </row>
    <row r="5542">
      <c r="A5542" s="9"/>
      <c r="B5542" s="15"/>
      <c r="C5542" s="9">
        <f>IFERROR(__xludf.DUMMYFUNCTION("""COMPUTED_VALUE"""),45086.4096603935)</f>
        <v>45086.40966</v>
      </c>
      <c r="D5542" s="15">
        <f>IFERROR(__xludf.DUMMYFUNCTION("""COMPUTED_VALUE"""),1.005)</f>
        <v>1.005</v>
      </c>
      <c r="E5542" s="16">
        <f>IFERROR(__xludf.DUMMYFUNCTION("""COMPUTED_VALUE"""),66.0)</f>
        <v>66</v>
      </c>
      <c r="F5542" s="19" t="str">
        <f>IFERROR(__xludf.DUMMYFUNCTION("""COMPUTED_VALUE"""),"BLUE")</f>
        <v>BLUE</v>
      </c>
      <c r="G5542" s="20" t="str">
        <f>IFERROR(__xludf.DUMMYFUNCTION("""COMPUTED_VALUE"""),"Uncle Sams Cider (04/04/2023)")</f>
        <v>Uncle Sams Cider (04/04/2023)</v>
      </c>
      <c r="H5542" s="19"/>
    </row>
    <row r="5543">
      <c r="A5543" s="9"/>
      <c r="B5543" s="15"/>
      <c r="C5543" s="9">
        <f>IFERROR(__xludf.DUMMYFUNCTION("""COMPUTED_VALUE"""),45086.3992270486)</f>
        <v>45086.39923</v>
      </c>
      <c r="D5543" s="15">
        <f>IFERROR(__xludf.DUMMYFUNCTION("""COMPUTED_VALUE"""),1.005)</f>
        <v>1.005</v>
      </c>
      <c r="E5543" s="16">
        <f>IFERROR(__xludf.DUMMYFUNCTION("""COMPUTED_VALUE"""),66.0)</f>
        <v>66</v>
      </c>
      <c r="F5543" s="19" t="str">
        <f>IFERROR(__xludf.DUMMYFUNCTION("""COMPUTED_VALUE"""),"BLUE")</f>
        <v>BLUE</v>
      </c>
      <c r="G5543" s="20" t="str">
        <f>IFERROR(__xludf.DUMMYFUNCTION("""COMPUTED_VALUE"""),"Uncle Sams Cider (04/04/2023)")</f>
        <v>Uncle Sams Cider (04/04/2023)</v>
      </c>
      <c r="H5543" s="19"/>
    </row>
    <row r="5544">
      <c r="A5544" s="9"/>
      <c r="B5544" s="15"/>
      <c r="C5544" s="9">
        <f>IFERROR(__xludf.DUMMYFUNCTION("""COMPUTED_VALUE"""),45086.3888059027)</f>
        <v>45086.38881</v>
      </c>
      <c r="D5544" s="15">
        <f>IFERROR(__xludf.DUMMYFUNCTION("""COMPUTED_VALUE"""),1.004)</f>
        <v>1.004</v>
      </c>
      <c r="E5544" s="16">
        <f>IFERROR(__xludf.DUMMYFUNCTION("""COMPUTED_VALUE"""),66.0)</f>
        <v>66</v>
      </c>
      <c r="F5544" s="19" t="str">
        <f>IFERROR(__xludf.DUMMYFUNCTION("""COMPUTED_VALUE"""),"BLUE")</f>
        <v>BLUE</v>
      </c>
      <c r="G5544" s="20" t="str">
        <f>IFERROR(__xludf.DUMMYFUNCTION("""COMPUTED_VALUE"""),"Uncle Sams Cider (04/04/2023)")</f>
        <v>Uncle Sams Cider (04/04/2023)</v>
      </c>
      <c r="H5544" s="19"/>
    </row>
    <row r="5545">
      <c r="A5545" s="9"/>
      <c r="B5545" s="15"/>
      <c r="C5545" s="9">
        <f>IFERROR(__xludf.DUMMYFUNCTION("""COMPUTED_VALUE"""),45086.3783852662)</f>
        <v>45086.37839</v>
      </c>
      <c r="D5545" s="15">
        <f>IFERROR(__xludf.DUMMYFUNCTION("""COMPUTED_VALUE"""),1.004)</f>
        <v>1.004</v>
      </c>
      <c r="E5545" s="16">
        <f>IFERROR(__xludf.DUMMYFUNCTION("""COMPUTED_VALUE"""),66.0)</f>
        <v>66</v>
      </c>
      <c r="F5545" s="19" t="str">
        <f>IFERROR(__xludf.DUMMYFUNCTION("""COMPUTED_VALUE"""),"BLUE")</f>
        <v>BLUE</v>
      </c>
      <c r="G5545" s="20" t="str">
        <f>IFERROR(__xludf.DUMMYFUNCTION("""COMPUTED_VALUE"""),"Uncle Sams Cider (04/04/2023)")</f>
        <v>Uncle Sams Cider (04/04/2023)</v>
      </c>
      <c r="H5545" s="19"/>
    </row>
    <row r="5546">
      <c r="A5546" s="9"/>
      <c r="B5546" s="15"/>
      <c r="C5546" s="9">
        <f>IFERROR(__xludf.DUMMYFUNCTION("""COMPUTED_VALUE"""),45086.3679506134)</f>
        <v>45086.36795</v>
      </c>
      <c r="D5546" s="15">
        <f>IFERROR(__xludf.DUMMYFUNCTION("""COMPUTED_VALUE"""),1.004)</f>
        <v>1.004</v>
      </c>
      <c r="E5546" s="16">
        <f>IFERROR(__xludf.DUMMYFUNCTION("""COMPUTED_VALUE"""),66.0)</f>
        <v>66</v>
      </c>
      <c r="F5546" s="19" t="str">
        <f>IFERROR(__xludf.DUMMYFUNCTION("""COMPUTED_VALUE"""),"BLUE")</f>
        <v>BLUE</v>
      </c>
      <c r="G5546" s="20" t="str">
        <f>IFERROR(__xludf.DUMMYFUNCTION("""COMPUTED_VALUE"""),"Uncle Sams Cider (04/04/2023)")</f>
        <v>Uncle Sams Cider (04/04/2023)</v>
      </c>
      <c r="H5546" s="19"/>
    </row>
    <row r="5547">
      <c r="A5547" s="9"/>
      <c r="B5547" s="15"/>
      <c r="C5547" s="9">
        <f>IFERROR(__xludf.DUMMYFUNCTION("""COMPUTED_VALUE"""),45086.357530162)</f>
        <v>45086.35753</v>
      </c>
      <c r="D5547" s="15">
        <f>IFERROR(__xludf.DUMMYFUNCTION("""COMPUTED_VALUE"""),1.005)</f>
        <v>1.005</v>
      </c>
      <c r="E5547" s="16">
        <f>IFERROR(__xludf.DUMMYFUNCTION("""COMPUTED_VALUE"""),66.0)</f>
        <v>66</v>
      </c>
      <c r="F5547" s="19" t="str">
        <f>IFERROR(__xludf.DUMMYFUNCTION("""COMPUTED_VALUE"""),"BLUE")</f>
        <v>BLUE</v>
      </c>
      <c r="G5547" s="20" t="str">
        <f>IFERROR(__xludf.DUMMYFUNCTION("""COMPUTED_VALUE"""),"Uncle Sams Cider (04/04/2023)")</f>
        <v>Uncle Sams Cider (04/04/2023)</v>
      </c>
      <c r="H5547" s="19"/>
    </row>
    <row r="5548">
      <c r="A5548" s="9"/>
      <c r="B5548" s="15"/>
      <c r="C5548" s="9">
        <f>IFERROR(__xludf.DUMMYFUNCTION("""COMPUTED_VALUE"""),45086.3470740972)</f>
        <v>45086.34707</v>
      </c>
      <c r="D5548" s="15">
        <f>IFERROR(__xludf.DUMMYFUNCTION("""COMPUTED_VALUE"""),1.004)</f>
        <v>1.004</v>
      </c>
      <c r="E5548" s="16">
        <f>IFERROR(__xludf.DUMMYFUNCTION("""COMPUTED_VALUE"""),66.0)</f>
        <v>66</v>
      </c>
      <c r="F5548" s="19" t="str">
        <f>IFERROR(__xludf.DUMMYFUNCTION("""COMPUTED_VALUE"""),"BLUE")</f>
        <v>BLUE</v>
      </c>
      <c r="G5548" s="20" t="str">
        <f>IFERROR(__xludf.DUMMYFUNCTION("""COMPUTED_VALUE"""),"Uncle Sams Cider (04/04/2023)")</f>
        <v>Uncle Sams Cider (04/04/2023)</v>
      </c>
      <c r="H5548" s="19"/>
    </row>
    <row r="5549">
      <c r="A5549" s="9"/>
      <c r="B5549" s="15"/>
      <c r="C5549" s="9">
        <f>IFERROR(__xludf.DUMMYFUNCTION("""COMPUTED_VALUE"""),45086.3366539351)</f>
        <v>45086.33665</v>
      </c>
      <c r="D5549" s="15">
        <f>IFERROR(__xludf.DUMMYFUNCTION("""COMPUTED_VALUE"""),1.004)</f>
        <v>1.004</v>
      </c>
      <c r="E5549" s="16">
        <f>IFERROR(__xludf.DUMMYFUNCTION("""COMPUTED_VALUE"""),66.0)</f>
        <v>66</v>
      </c>
      <c r="F5549" s="19" t="str">
        <f>IFERROR(__xludf.DUMMYFUNCTION("""COMPUTED_VALUE"""),"BLUE")</f>
        <v>BLUE</v>
      </c>
      <c r="G5549" s="20" t="str">
        <f>IFERROR(__xludf.DUMMYFUNCTION("""COMPUTED_VALUE"""),"Uncle Sams Cider (04/04/2023)")</f>
        <v>Uncle Sams Cider (04/04/2023)</v>
      </c>
      <c r="H5549" s="19"/>
    </row>
    <row r="5550">
      <c r="A5550" s="9"/>
      <c r="B5550" s="15"/>
      <c r="C5550" s="9">
        <f>IFERROR(__xludf.DUMMYFUNCTION("""COMPUTED_VALUE"""),45086.3262318981)</f>
        <v>45086.32623</v>
      </c>
      <c r="D5550" s="15">
        <f>IFERROR(__xludf.DUMMYFUNCTION("""COMPUTED_VALUE"""),1.004)</f>
        <v>1.004</v>
      </c>
      <c r="E5550" s="16">
        <f>IFERROR(__xludf.DUMMYFUNCTION("""COMPUTED_VALUE"""),66.0)</f>
        <v>66</v>
      </c>
      <c r="F5550" s="19" t="str">
        <f>IFERROR(__xludf.DUMMYFUNCTION("""COMPUTED_VALUE"""),"BLUE")</f>
        <v>BLUE</v>
      </c>
      <c r="G5550" s="20" t="str">
        <f>IFERROR(__xludf.DUMMYFUNCTION("""COMPUTED_VALUE"""),"Uncle Sams Cider (04/04/2023)")</f>
        <v>Uncle Sams Cider (04/04/2023)</v>
      </c>
      <c r="H5550" s="19"/>
    </row>
    <row r="5551">
      <c r="A5551" s="9"/>
      <c r="B5551" s="15"/>
      <c r="C5551" s="9">
        <f>IFERROR(__xludf.DUMMYFUNCTION("""COMPUTED_VALUE"""),45086.3158104629)</f>
        <v>45086.31581</v>
      </c>
      <c r="D5551" s="15">
        <f>IFERROR(__xludf.DUMMYFUNCTION("""COMPUTED_VALUE"""),1.004)</f>
        <v>1.004</v>
      </c>
      <c r="E5551" s="16">
        <f>IFERROR(__xludf.DUMMYFUNCTION("""COMPUTED_VALUE"""),66.0)</f>
        <v>66</v>
      </c>
      <c r="F5551" s="19" t="str">
        <f>IFERROR(__xludf.DUMMYFUNCTION("""COMPUTED_VALUE"""),"BLUE")</f>
        <v>BLUE</v>
      </c>
      <c r="G5551" s="20" t="str">
        <f>IFERROR(__xludf.DUMMYFUNCTION("""COMPUTED_VALUE"""),"Uncle Sams Cider (04/04/2023)")</f>
        <v>Uncle Sams Cider (04/04/2023)</v>
      </c>
      <c r="H5551" s="19"/>
    </row>
    <row r="5552">
      <c r="A5552" s="9"/>
      <c r="B5552" s="15"/>
      <c r="C5552" s="9">
        <f>IFERROR(__xludf.DUMMYFUNCTION("""COMPUTED_VALUE"""),45086.3053894675)</f>
        <v>45086.30539</v>
      </c>
      <c r="D5552" s="15">
        <f>IFERROR(__xludf.DUMMYFUNCTION("""COMPUTED_VALUE"""),1.004)</f>
        <v>1.004</v>
      </c>
      <c r="E5552" s="16">
        <f>IFERROR(__xludf.DUMMYFUNCTION("""COMPUTED_VALUE"""),66.0)</f>
        <v>66</v>
      </c>
      <c r="F5552" s="19" t="str">
        <f>IFERROR(__xludf.DUMMYFUNCTION("""COMPUTED_VALUE"""),"BLUE")</f>
        <v>BLUE</v>
      </c>
      <c r="G5552" s="20" t="str">
        <f>IFERROR(__xludf.DUMMYFUNCTION("""COMPUTED_VALUE"""),"Uncle Sams Cider (04/04/2023)")</f>
        <v>Uncle Sams Cider (04/04/2023)</v>
      </c>
      <c r="H5552" s="19"/>
    </row>
    <row r="5553">
      <c r="A5553" s="9"/>
      <c r="B5553" s="15"/>
      <c r="C5553" s="9">
        <f>IFERROR(__xludf.DUMMYFUNCTION("""COMPUTED_VALUE"""),45086.2949693865)</f>
        <v>45086.29497</v>
      </c>
      <c r="D5553" s="15">
        <f>IFERROR(__xludf.DUMMYFUNCTION("""COMPUTED_VALUE"""),1.004)</f>
        <v>1.004</v>
      </c>
      <c r="E5553" s="16">
        <f>IFERROR(__xludf.DUMMYFUNCTION("""COMPUTED_VALUE"""),66.0)</f>
        <v>66</v>
      </c>
      <c r="F5553" s="19" t="str">
        <f>IFERROR(__xludf.DUMMYFUNCTION("""COMPUTED_VALUE"""),"BLUE")</f>
        <v>BLUE</v>
      </c>
      <c r="G5553" s="20" t="str">
        <f>IFERROR(__xludf.DUMMYFUNCTION("""COMPUTED_VALUE"""),"Uncle Sams Cider (04/04/2023)")</f>
        <v>Uncle Sams Cider (04/04/2023)</v>
      </c>
      <c r="H5553" s="19"/>
    </row>
    <row r="5554">
      <c r="A5554" s="9"/>
      <c r="B5554" s="15"/>
      <c r="C5554" s="9">
        <f>IFERROR(__xludf.DUMMYFUNCTION("""COMPUTED_VALUE"""),45086.2845356365)</f>
        <v>45086.28454</v>
      </c>
      <c r="D5554" s="15">
        <f>IFERROR(__xludf.DUMMYFUNCTION("""COMPUTED_VALUE"""),1.005)</f>
        <v>1.005</v>
      </c>
      <c r="E5554" s="16">
        <f>IFERROR(__xludf.DUMMYFUNCTION("""COMPUTED_VALUE"""),66.0)</f>
        <v>66</v>
      </c>
      <c r="F5554" s="19" t="str">
        <f>IFERROR(__xludf.DUMMYFUNCTION("""COMPUTED_VALUE"""),"BLUE")</f>
        <v>BLUE</v>
      </c>
      <c r="G5554" s="20" t="str">
        <f>IFERROR(__xludf.DUMMYFUNCTION("""COMPUTED_VALUE"""),"Uncle Sams Cider (04/04/2023)")</f>
        <v>Uncle Sams Cider (04/04/2023)</v>
      </c>
      <c r="H5554" s="19"/>
    </row>
    <row r="5555">
      <c r="A5555" s="9"/>
      <c r="B5555" s="15"/>
      <c r="C5555" s="9">
        <f>IFERROR(__xludf.DUMMYFUNCTION("""COMPUTED_VALUE"""),45086.2741144907)</f>
        <v>45086.27411</v>
      </c>
      <c r="D5555" s="15">
        <f>IFERROR(__xludf.DUMMYFUNCTION("""COMPUTED_VALUE"""),1.005)</f>
        <v>1.005</v>
      </c>
      <c r="E5555" s="16">
        <f>IFERROR(__xludf.DUMMYFUNCTION("""COMPUTED_VALUE"""),66.0)</f>
        <v>66</v>
      </c>
      <c r="F5555" s="19" t="str">
        <f>IFERROR(__xludf.DUMMYFUNCTION("""COMPUTED_VALUE"""),"BLUE")</f>
        <v>BLUE</v>
      </c>
      <c r="G5555" s="20" t="str">
        <f>IFERROR(__xludf.DUMMYFUNCTION("""COMPUTED_VALUE"""),"Uncle Sams Cider (04/04/2023)")</f>
        <v>Uncle Sams Cider (04/04/2023)</v>
      </c>
      <c r="H5555" s="19"/>
    </row>
    <row r="5556">
      <c r="A5556" s="9"/>
      <c r="B5556" s="15"/>
      <c r="C5556" s="9">
        <f>IFERROR(__xludf.DUMMYFUNCTION("""COMPUTED_VALUE"""),45086.2636950925)</f>
        <v>45086.2637</v>
      </c>
      <c r="D5556" s="15">
        <f>IFERROR(__xludf.DUMMYFUNCTION("""COMPUTED_VALUE"""),1.004)</f>
        <v>1.004</v>
      </c>
      <c r="E5556" s="16">
        <f>IFERROR(__xludf.DUMMYFUNCTION("""COMPUTED_VALUE"""),66.0)</f>
        <v>66</v>
      </c>
      <c r="F5556" s="19" t="str">
        <f>IFERROR(__xludf.DUMMYFUNCTION("""COMPUTED_VALUE"""),"BLUE")</f>
        <v>BLUE</v>
      </c>
      <c r="G5556" s="20" t="str">
        <f>IFERROR(__xludf.DUMMYFUNCTION("""COMPUTED_VALUE"""),"Uncle Sams Cider (04/04/2023)")</f>
        <v>Uncle Sams Cider (04/04/2023)</v>
      </c>
      <c r="H5556" s="19"/>
    </row>
    <row r="5557">
      <c r="A5557" s="9"/>
      <c r="B5557" s="15"/>
      <c r="C5557" s="9">
        <f>IFERROR(__xludf.DUMMYFUNCTION("""COMPUTED_VALUE"""),45086.2532734837)</f>
        <v>45086.25327</v>
      </c>
      <c r="D5557" s="15">
        <f>IFERROR(__xludf.DUMMYFUNCTION("""COMPUTED_VALUE"""),1.005)</f>
        <v>1.005</v>
      </c>
      <c r="E5557" s="16">
        <f>IFERROR(__xludf.DUMMYFUNCTION("""COMPUTED_VALUE"""),66.0)</f>
        <v>66</v>
      </c>
      <c r="F5557" s="19" t="str">
        <f>IFERROR(__xludf.DUMMYFUNCTION("""COMPUTED_VALUE"""),"BLUE")</f>
        <v>BLUE</v>
      </c>
      <c r="G5557" s="20" t="str">
        <f>IFERROR(__xludf.DUMMYFUNCTION("""COMPUTED_VALUE"""),"Uncle Sams Cider (04/04/2023)")</f>
        <v>Uncle Sams Cider (04/04/2023)</v>
      </c>
      <c r="H5557" s="19"/>
    </row>
    <row r="5558">
      <c r="A5558" s="9"/>
      <c r="B5558" s="15"/>
      <c r="C5558" s="9">
        <f>IFERROR(__xludf.DUMMYFUNCTION("""COMPUTED_VALUE"""),45086.2428523495)</f>
        <v>45086.24285</v>
      </c>
      <c r="D5558" s="15">
        <f>IFERROR(__xludf.DUMMYFUNCTION("""COMPUTED_VALUE"""),1.005)</f>
        <v>1.005</v>
      </c>
      <c r="E5558" s="16">
        <f>IFERROR(__xludf.DUMMYFUNCTION("""COMPUTED_VALUE"""),66.0)</f>
        <v>66</v>
      </c>
      <c r="F5558" s="19" t="str">
        <f>IFERROR(__xludf.DUMMYFUNCTION("""COMPUTED_VALUE"""),"BLUE")</f>
        <v>BLUE</v>
      </c>
      <c r="G5558" s="20" t="str">
        <f>IFERROR(__xludf.DUMMYFUNCTION("""COMPUTED_VALUE"""),"Uncle Sams Cider (04/04/2023)")</f>
        <v>Uncle Sams Cider (04/04/2023)</v>
      </c>
      <c r="H5558" s="19"/>
    </row>
    <row r="5559">
      <c r="A5559" s="9"/>
      <c r="B5559" s="15"/>
      <c r="C5559" s="9">
        <f>IFERROR(__xludf.DUMMYFUNCTION("""COMPUTED_VALUE"""),45086.2324306944)</f>
        <v>45086.23243</v>
      </c>
      <c r="D5559" s="15">
        <f>IFERROR(__xludf.DUMMYFUNCTION("""COMPUTED_VALUE"""),1.004)</f>
        <v>1.004</v>
      </c>
      <c r="E5559" s="16">
        <f>IFERROR(__xludf.DUMMYFUNCTION("""COMPUTED_VALUE"""),67.0)</f>
        <v>67</v>
      </c>
      <c r="F5559" s="19" t="str">
        <f>IFERROR(__xludf.DUMMYFUNCTION("""COMPUTED_VALUE"""),"BLUE")</f>
        <v>BLUE</v>
      </c>
      <c r="G5559" s="20" t="str">
        <f>IFERROR(__xludf.DUMMYFUNCTION("""COMPUTED_VALUE"""),"Uncle Sams Cider (04/04/2023)")</f>
        <v>Uncle Sams Cider (04/04/2023)</v>
      </c>
      <c r="H5559" s="19"/>
    </row>
    <row r="5560">
      <c r="A5560" s="9"/>
      <c r="B5560" s="15"/>
      <c r="C5560" s="9">
        <f>IFERROR(__xludf.DUMMYFUNCTION("""COMPUTED_VALUE"""),45086.2219971643)</f>
        <v>45086.222</v>
      </c>
      <c r="D5560" s="15">
        <f>IFERROR(__xludf.DUMMYFUNCTION("""COMPUTED_VALUE"""),1.004)</f>
        <v>1.004</v>
      </c>
      <c r="E5560" s="16">
        <f>IFERROR(__xludf.DUMMYFUNCTION("""COMPUTED_VALUE"""),67.0)</f>
        <v>67</v>
      </c>
      <c r="F5560" s="19" t="str">
        <f>IFERROR(__xludf.DUMMYFUNCTION("""COMPUTED_VALUE"""),"BLUE")</f>
        <v>BLUE</v>
      </c>
      <c r="G5560" s="20" t="str">
        <f>IFERROR(__xludf.DUMMYFUNCTION("""COMPUTED_VALUE"""),"Uncle Sams Cider (04/04/2023)")</f>
        <v>Uncle Sams Cider (04/04/2023)</v>
      </c>
      <c r="H5560" s="19"/>
    </row>
    <row r="5561">
      <c r="A5561" s="9"/>
      <c r="B5561" s="15"/>
      <c r="C5561" s="9">
        <f>IFERROR(__xludf.DUMMYFUNCTION("""COMPUTED_VALUE"""),45086.2115748958)</f>
        <v>45086.21157</v>
      </c>
      <c r="D5561" s="15">
        <f>IFERROR(__xludf.DUMMYFUNCTION("""COMPUTED_VALUE"""),1.005)</f>
        <v>1.005</v>
      </c>
      <c r="E5561" s="16">
        <f>IFERROR(__xludf.DUMMYFUNCTION("""COMPUTED_VALUE"""),67.0)</f>
        <v>67</v>
      </c>
      <c r="F5561" s="19" t="str">
        <f>IFERROR(__xludf.DUMMYFUNCTION("""COMPUTED_VALUE"""),"BLUE")</f>
        <v>BLUE</v>
      </c>
      <c r="G5561" s="20" t="str">
        <f>IFERROR(__xludf.DUMMYFUNCTION("""COMPUTED_VALUE"""),"Uncle Sams Cider (04/04/2023)")</f>
        <v>Uncle Sams Cider (04/04/2023)</v>
      </c>
      <c r="H5561" s="19"/>
    </row>
    <row r="5562">
      <c r="A5562" s="9"/>
      <c r="B5562" s="15"/>
      <c r="C5562" s="9">
        <f>IFERROR(__xludf.DUMMYFUNCTION("""COMPUTED_VALUE"""),45086.2011518402)</f>
        <v>45086.20115</v>
      </c>
      <c r="D5562" s="15">
        <f>IFERROR(__xludf.DUMMYFUNCTION("""COMPUTED_VALUE"""),1.005)</f>
        <v>1.005</v>
      </c>
      <c r="E5562" s="16">
        <f>IFERROR(__xludf.DUMMYFUNCTION("""COMPUTED_VALUE"""),67.0)</f>
        <v>67</v>
      </c>
      <c r="F5562" s="19" t="str">
        <f>IFERROR(__xludf.DUMMYFUNCTION("""COMPUTED_VALUE"""),"BLUE")</f>
        <v>BLUE</v>
      </c>
      <c r="G5562" s="20" t="str">
        <f>IFERROR(__xludf.DUMMYFUNCTION("""COMPUTED_VALUE"""),"Uncle Sams Cider (04/04/2023)")</f>
        <v>Uncle Sams Cider (04/04/2023)</v>
      </c>
      <c r="H5562" s="19"/>
    </row>
    <row r="5563">
      <c r="A5563" s="9"/>
      <c r="B5563" s="15"/>
      <c r="C5563" s="9">
        <f>IFERROR(__xludf.DUMMYFUNCTION("""COMPUTED_VALUE"""),45086.1907318402)</f>
        <v>45086.19073</v>
      </c>
      <c r="D5563" s="15">
        <f>IFERROR(__xludf.DUMMYFUNCTION("""COMPUTED_VALUE"""),1.005)</f>
        <v>1.005</v>
      </c>
      <c r="E5563" s="16">
        <f>IFERROR(__xludf.DUMMYFUNCTION("""COMPUTED_VALUE"""),67.0)</f>
        <v>67</v>
      </c>
      <c r="F5563" s="19" t="str">
        <f>IFERROR(__xludf.DUMMYFUNCTION("""COMPUTED_VALUE"""),"BLUE")</f>
        <v>BLUE</v>
      </c>
      <c r="G5563" s="20" t="str">
        <f>IFERROR(__xludf.DUMMYFUNCTION("""COMPUTED_VALUE"""),"Uncle Sams Cider (04/04/2023)")</f>
        <v>Uncle Sams Cider (04/04/2023)</v>
      </c>
      <c r="H5563" s="19"/>
    </row>
    <row r="5564">
      <c r="A5564" s="9"/>
      <c r="B5564" s="15"/>
      <c r="C5564" s="9">
        <f>IFERROR(__xludf.DUMMYFUNCTION("""COMPUTED_VALUE"""),45086.180312199)</f>
        <v>45086.18031</v>
      </c>
      <c r="D5564" s="15">
        <f>IFERROR(__xludf.DUMMYFUNCTION("""COMPUTED_VALUE"""),1.004)</f>
        <v>1.004</v>
      </c>
      <c r="E5564" s="16">
        <f>IFERROR(__xludf.DUMMYFUNCTION("""COMPUTED_VALUE"""),66.0)</f>
        <v>66</v>
      </c>
      <c r="F5564" s="19" t="str">
        <f>IFERROR(__xludf.DUMMYFUNCTION("""COMPUTED_VALUE"""),"BLUE")</f>
        <v>BLUE</v>
      </c>
      <c r="G5564" s="20" t="str">
        <f>IFERROR(__xludf.DUMMYFUNCTION("""COMPUTED_VALUE"""),"Uncle Sams Cider (04/04/2023)")</f>
        <v>Uncle Sams Cider (04/04/2023)</v>
      </c>
      <c r="H5564" s="19"/>
    </row>
    <row r="5565">
      <c r="A5565" s="9"/>
      <c r="B5565" s="15"/>
      <c r="C5565" s="9">
        <f>IFERROR(__xludf.DUMMYFUNCTION("""COMPUTED_VALUE"""),45086.1698922338)</f>
        <v>45086.16989</v>
      </c>
      <c r="D5565" s="15">
        <f>IFERROR(__xludf.DUMMYFUNCTION("""COMPUTED_VALUE"""),1.005)</f>
        <v>1.005</v>
      </c>
      <c r="E5565" s="16">
        <f>IFERROR(__xludf.DUMMYFUNCTION("""COMPUTED_VALUE"""),67.0)</f>
        <v>67</v>
      </c>
      <c r="F5565" s="19" t="str">
        <f>IFERROR(__xludf.DUMMYFUNCTION("""COMPUTED_VALUE"""),"BLUE")</f>
        <v>BLUE</v>
      </c>
      <c r="G5565" s="20" t="str">
        <f>IFERROR(__xludf.DUMMYFUNCTION("""COMPUTED_VALUE"""),"Uncle Sams Cider (04/04/2023)")</f>
        <v>Uncle Sams Cider (04/04/2023)</v>
      </c>
      <c r="H5565" s="19"/>
    </row>
    <row r="5566">
      <c r="A5566" s="9"/>
      <c r="B5566" s="15"/>
      <c r="C5566" s="9">
        <f>IFERROR(__xludf.DUMMYFUNCTION("""COMPUTED_VALUE"""),45086.1594725)</f>
        <v>45086.15947</v>
      </c>
      <c r="D5566" s="15">
        <f>IFERROR(__xludf.DUMMYFUNCTION("""COMPUTED_VALUE"""),1.005)</f>
        <v>1.005</v>
      </c>
      <c r="E5566" s="16">
        <f>IFERROR(__xludf.DUMMYFUNCTION("""COMPUTED_VALUE"""),67.0)</f>
        <v>67</v>
      </c>
      <c r="F5566" s="19" t="str">
        <f>IFERROR(__xludf.DUMMYFUNCTION("""COMPUTED_VALUE"""),"BLUE")</f>
        <v>BLUE</v>
      </c>
      <c r="G5566" s="20" t="str">
        <f>IFERROR(__xludf.DUMMYFUNCTION("""COMPUTED_VALUE"""),"Uncle Sams Cider (04/04/2023)")</f>
        <v>Uncle Sams Cider (04/04/2023)</v>
      </c>
      <c r="H5566" s="19"/>
    </row>
    <row r="5567">
      <c r="A5567" s="9"/>
      <c r="B5567" s="15"/>
      <c r="C5567" s="9">
        <f>IFERROR(__xludf.DUMMYFUNCTION("""COMPUTED_VALUE"""),45086.1490509722)</f>
        <v>45086.14905</v>
      </c>
      <c r="D5567" s="15">
        <f>IFERROR(__xludf.DUMMYFUNCTION("""COMPUTED_VALUE"""),1.004)</f>
        <v>1.004</v>
      </c>
      <c r="E5567" s="16">
        <f>IFERROR(__xludf.DUMMYFUNCTION("""COMPUTED_VALUE"""),67.0)</f>
        <v>67</v>
      </c>
      <c r="F5567" s="19" t="str">
        <f>IFERROR(__xludf.DUMMYFUNCTION("""COMPUTED_VALUE"""),"BLUE")</f>
        <v>BLUE</v>
      </c>
      <c r="G5567" s="20" t="str">
        <f>IFERROR(__xludf.DUMMYFUNCTION("""COMPUTED_VALUE"""),"Uncle Sams Cider (04/04/2023)")</f>
        <v>Uncle Sams Cider (04/04/2023)</v>
      </c>
      <c r="H5567" s="19"/>
    </row>
    <row r="5568">
      <c r="A5568" s="9"/>
      <c r="B5568" s="15"/>
      <c r="C5568" s="9">
        <f>IFERROR(__xludf.DUMMYFUNCTION("""COMPUTED_VALUE"""),45086.1386176736)</f>
        <v>45086.13862</v>
      </c>
      <c r="D5568" s="15">
        <f>IFERROR(__xludf.DUMMYFUNCTION("""COMPUTED_VALUE"""),1.004)</f>
        <v>1.004</v>
      </c>
      <c r="E5568" s="16">
        <f>IFERROR(__xludf.DUMMYFUNCTION("""COMPUTED_VALUE"""),67.0)</f>
        <v>67</v>
      </c>
      <c r="F5568" s="19" t="str">
        <f>IFERROR(__xludf.DUMMYFUNCTION("""COMPUTED_VALUE"""),"BLUE")</f>
        <v>BLUE</v>
      </c>
      <c r="G5568" s="20" t="str">
        <f>IFERROR(__xludf.DUMMYFUNCTION("""COMPUTED_VALUE"""),"Uncle Sams Cider (04/04/2023)")</f>
        <v>Uncle Sams Cider (04/04/2023)</v>
      </c>
      <c r="H5568" s="19"/>
    </row>
    <row r="5569">
      <c r="A5569" s="9"/>
      <c r="B5569" s="15"/>
      <c r="C5569" s="9">
        <f>IFERROR(__xludf.DUMMYFUNCTION("""COMPUTED_VALUE"""),45086.1281957407)</f>
        <v>45086.1282</v>
      </c>
      <c r="D5569" s="15">
        <f>IFERROR(__xludf.DUMMYFUNCTION("""COMPUTED_VALUE"""),1.005)</f>
        <v>1.005</v>
      </c>
      <c r="E5569" s="16">
        <f>IFERROR(__xludf.DUMMYFUNCTION("""COMPUTED_VALUE"""),67.0)</f>
        <v>67</v>
      </c>
      <c r="F5569" s="19" t="str">
        <f>IFERROR(__xludf.DUMMYFUNCTION("""COMPUTED_VALUE"""),"BLUE")</f>
        <v>BLUE</v>
      </c>
      <c r="G5569" s="20" t="str">
        <f>IFERROR(__xludf.DUMMYFUNCTION("""COMPUTED_VALUE"""),"Uncle Sams Cider (04/04/2023)")</f>
        <v>Uncle Sams Cider (04/04/2023)</v>
      </c>
      <c r="H5569" s="19"/>
    </row>
    <row r="5570">
      <c r="A5570" s="9"/>
      <c r="B5570" s="15"/>
      <c r="C5570" s="9">
        <f>IFERROR(__xludf.DUMMYFUNCTION("""COMPUTED_VALUE"""),45086.1177629282)</f>
        <v>45086.11776</v>
      </c>
      <c r="D5570" s="15">
        <f>IFERROR(__xludf.DUMMYFUNCTION("""COMPUTED_VALUE"""),1.005)</f>
        <v>1.005</v>
      </c>
      <c r="E5570" s="16">
        <f>IFERROR(__xludf.DUMMYFUNCTION("""COMPUTED_VALUE"""),67.0)</f>
        <v>67</v>
      </c>
      <c r="F5570" s="19" t="str">
        <f>IFERROR(__xludf.DUMMYFUNCTION("""COMPUTED_VALUE"""),"BLUE")</f>
        <v>BLUE</v>
      </c>
      <c r="G5570" s="20" t="str">
        <f>IFERROR(__xludf.DUMMYFUNCTION("""COMPUTED_VALUE"""),"Uncle Sams Cider (04/04/2023)")</f>
        <v>Uncle Sams Cider (04/04/2023)</v>
      </c>
      <c r="H5570" s="19"/>
    </row>
    <row r="5571">
      <c r="A5571" s="9"/>
      <c r="B5571" s="15"/>
      <c r="C5571" s="9">
        <f>IFERROR(__xludf.DUMMYFUNCTION("""COMPUTED_VALUE"""),45086.1073405439)</f>
        <v>45086.10734</v>
      </c>
      <c r="D5571" s="15">
        <f>IFERROR(__xludf.DUMMYFUNCTION("""COMPUTED_VALUE"""),1.005)</f>
        <v>1.005</v>
      </c>
      <c r="E5571" s="16">
        <f>IFERROR(__xludf.DUMMYFUNCTION("""COMPUTED_VALUE"""),67.0)</f>
        <v>67</v>
      </c>
      <c r="F5571" s="19" t="str">
        <f>IFERROR(__xludf.DUMMYFUNCTION("""COMPUTED_VALUE"""),"BLUE")</f>
        <v>BLUE</v>
      </c>
      <c r="G5571" s="20" t="str">
        <f>IFERROR(__xludf.DUMMYFUNCTION("""COMPUTED_VALUE"""),"Uncle Sams Cider (04/04/2023)")</f>
        <v>Uncle Sams Cider (04/04/2023)</v>
      </c>
      <c r="H5571" s="19"/>
    </row>
    <row r="5572">
      <c r="A5572" s="9"/>
      <c r="B5572" s="15"/>
      <c r="C5572" s="9">
        <f>IFERROR(__xludf.DUMMYFUNCTION("""COMPUTED_VALUE"""),45086.096919155)</f>
        <v>45086.09692</v>
      </c>
      <c r="D5572" s="15">
        <f>IFERROR(__xludf.DUMMYFUNCTION("""COMPUTED_VALUE"""),1.005)</f>
        <v>1.005</v>
      </c>
      <c r="E5572" s="16">
        <f>IFERROR(__xludf.DUMMYFUNCTION("""COMPUTED_VALUE"""),67.0)</f>
        <v>67</v>
      </c>
      <c r="F5572" s="19" t="str">
        <f>IFERROR(__xludf.DUMMYFUNCTION("""COMPUTED_VALUE"""),"BLUE")</f>
        <v>BLUE</v>
      </c>
      <c r="G5572" s="20" t="str">
        <f>IFERROR(__xludf.DUMMYFUNCTION("""COMPUTED_VALUE"""),"Uncle Sams Cider (04/04/2023)")</f>
        <v>Uncle Sams Cider (04/04/2023)</v>
      </c>
      <c r="H5572" s="19"/>
    </row>
    <row r="5573">
      <c r="A5573" s="9"/>
      <c r="B5573" s="15"/>
      <c r="C5573" s="9">
        <f>IFERROR(__xludf.DUMMYFUNCTION("""COMPUTED_VALUE"""),45086.0864967013)</f>
        <v>45086.0865</v>
      </c>
      <c r="D5573" s="15">
        <f>IFERROR(__xludf.DUMMYFUNCTION("""COMPUTED_VALUE"""),1.004)</f>
        <v>1.004</v>
      </c>
      <c r="E5573" s="16">
        <f>IFERROR(__xludf.DUMMYFUNCTION("""COMPUTED_VALUE"""),67.0)</f>
        <v>67</v>
      </c>
      <c r="F5573" s="19" t="str">
        <f>IFERROR(__xludf.DUMMYFUNCTION("""COMPUTED_VALUE"""),"BLUE")</f>
        <v>BLUE</v>
      </c>
      <c r="G5573" s="20" t="str">
        <f>IFERROR(__xludf.DUMMYFUNCTION("""COMPUTED_VALUE"""),"Uncle Sams Cider (04/04/2023)")</f>
        <v>Uncle Sams Cider (04/04/2023)</v>
      </c>
      <c r="H5573" s="19"/>
    </row>
    <row r="5574">
      <c r="A5574" s="9"/>
      <c r="B5574" s="15"/>
      <c r="C5574" s="9">
        <f>IFERROR(__xludf.DUMMYFUNCTION("""COMPUTED_VALUE"""),45086.0760762037)</f>
        <v>45086.07608</v>
      </c>
      <c r="D5574" s="15">
        <f>IFERROR(__xludf.DUMMYFUNCTION("""COMPUTED_VALUE"""),1.004)</f>
        <v>1.004</v>
      </c>
      <c r="E5574" s="16">
        <f>IFERROR(__xludf.DUMMYFUNCTION("""COMPUTED_VALUE"""),67.0)</f>
        <v>67</v>
      </c>
      <c r="F5574" s="19" t="str">
        <f>IFERROR(__xludf.DUMMYFUNCTION("""COMPUTED_VALUE"""),"BLUE")</f>
        <v>BLUE</v>
      </c>
      <c r="G5574" s="20" t="str">
        <f>IFERROR(__xludf.DUMMYFUNCTION("""COMPUTED_VALUE"""),"Uncle Sams Cider (04/04/2023)")</f>
        <v>Uncle Sams Cider (04/04/2023)</v>
      </c>
      <c r="H5574" s="19"/>
    </row>
    <row r="5575">
      <c r="A5575" s="9"/>
      <c r="B5575" s="15"/>
      <c r="C5575" s="9">
        <f>IFERROR(__xludf.DUMMYFUNCTION("""COMPUTED_VALUE"""),45086.0656560532)</f>
        <v>45086.06566</v>
      </c>
      <c r="D5575" s="15">
        <f>IFERROR(__xludf.DUMMYFUNCTION("""COMPUTED_VALUE"""),1.005)</f>
        <v>1.005</v>
      </c>
      <c r="E5575" s="16">
        <f>IFERROR(__xludf.DUMMYFUNCTION("""COMPUTED_VALUE"""),67.0)</f>
        <v>67</v>
      </c>
      <c r="F5575" s="19" t="str">
        <f>IFERROR(__xludf.DUMMYFUNCTION("""COMPUTED_VALUE"""),"BLUE")</f>
        <v>BLUE</v>
      </c>
      <c r="G5575" s="20" t="str">
        <f>IFERROR(__xludf.DUMMYFUNCTION("""COMPUTED_VALUE"""),"Uncle Sams Cider (04/04/2023)")</f>
        <v>Uncle Sams Cider (04/04/2023)</v>
      </c>
      <c r="H5575" s="19"/>
    </row>
    <row r="5576">
      <c r="A5576" s="9"/>
      <c r="B5576" s="15"/>
      <c r="C5576" s="9">
        <f>IFERROR(__xludf.DUMMYFUNCTION("""COMPUTED_VALUE"""),45086.055234375)</f>
        <v>45086.05523</v>
      </c>
      <c r="D5576" s="15">
        <f>IFERROR(__xludf.DUMMYFUNCTION("""COMPUTED_VALUE"""),1.005)</f>
        <v>1.005</v>
      </c>
      <c r="E5576" s="16">
        <f>IFERROR(__xludf.DUMMYFUNCTION("""COMPUTED_VALUE"""),67.0)</f>
        <v>67</v>
      </c>
      <c r="F5576" s="19" t="str">
        <f>IFERROR(__xludf.DUMMYFUNCTION("""COMPUTED_VALUE"""),"BLUE")</f>
        <v>BLUE</v>
      </c>
      <c r="G5576" s="20" t="str">
        <f>IFERROR(__xludf.DUMMYFUNCTION("""COMPUTED_VALUE"""),"Uncle Sams Cider (04/04/2023)")</f>
        <v>Uncle Sams Cider (04/04/2023)</v>
      </c>
      <c r="H5576" s="19"/>
    </row>
    <row r="5577">
      <c r="A5577" s="9"/>
      <c r="B5577" s="15"/>
      <c r="C5577" s="9">
        <f>IFERROR(__xludf.DUMMYFUNCTION("""COMPUTED_VALUE"""),45086.0448138541)</f>
        <v>45086.04481</v>
      </c>
      <c r="D5577" s="15">
        <f>IFERROR(__xludf.DUMMYFUNCTION("""COMPUTED_VALUE"""),1.005)</f>
        <v>1.005</v>
      </c>
      <c r="E5577" s="16">
        <f>IFERROR(__xludf.DUMMYFUNCTION("""COMPUTED_VALUE"""),67.0)</f>
        <v>67</v>
      </c>
      <c r="F5577" s="19" t="str">
        <f>IFERROR(__xludf.DUMMYFUNCTION("""COMPUTED_VALUE"""),"BLUE")</f>
        <v>BLUE</v>
      </c>
      <c r="G5577" s="20" t="str">
        <f>IFERROR(__xludf.DUMMYFUNCTION("""COMPUTED_VALUE"""),"Uncle Sams Cider (04/04/2023)")</f>
        <v>Uncle Sams Cider (04/04/2023)</v>
      </c>
      <c r="H5577" s="19"/>
    </row>
    <row r="5578">
      <c r="A5578" s="9"/>
      <c r="B5578" s="15"/>
      <c r="C5578" s="9">
        <f>IFERROR(__xludf.DUMMYFUNCTION("""COMPUTED_VALUE"""),45086.0343837731)</f>
        <v>45086.03438</v>
      </c>
      <c r="D5578" s="15">
        <f>IFERROR(__xludf.DUMMYFUNCTION("""COMPUTED_VALUE"""),1.004)</f>
        <v>1.004</v>
      </c>
      <c r="E5578" s="16">
        <f>IFERROR(__xludf.DUMMYFUNCTION("""COMPUTED_VALUE"""),67.0)</f>
        <v>67</v>
      </c>
      <c r="F5578" s="19" t="str">
        <f>IFERROR(__xludf.DUMMYFUNCTION("""COMPUTED_VALUE"""),"BLUE")</f>
        <v>BLUE</v>
      </c>
      <c r="G5578" s="20" t="str">
        <f>IFERROR(__xludf.DUMMYFUNCTION("""COMPUTED_VALUE"""),"Uncle Sams Cider (04/04/2023)")</f>
        <v>Uncle Sams Cider (04/04/2023)</v>
      </c>
      <c r="H5578" s="19"/>
    </row>
    <row r="5579">
      <c r="A5579" s="9"/>
      <c r="B5579" s="15"/>
      <c r="C5579" s="9">
        <f>IFERROR(__xludf.DUMMYFUNCTION("""COMPUTED_VALUE"""),45086.023950949)</f>
        <v>45086.02395</v>
      </c>
      <c r="D5579" s="15">
        <f>IFERROR(__xludf.DUMMYFUNCTION("""COMPUTED_VALUE"""),1.005)</f>
        <v>1.005</v>
      </c>
      <c r="E5579" s="16">
        <f>IFERROR(__xludf.DUMMYFUNCTION("""COMPUTED_VALUE"""),67.0)</f>
        <v>67</v>
      </c>
      <c r="F5579" s="19" t="str">
        <f>IFERROR(__xludf.DUMMYFUNCTION("""COMPUTED_VALUE"""),"BLUE")</f>
        <v>BLUE</v>
      </c>
      <c r="G5579" s="20" t="str">
        <f>IFERROR(__xludf.DUMMYFUNCTION("""COMPUTED_VALUE"""),"Uncle Sams Cider (04/04/2023)")</f>
        <v>Uncle Sams Cider (04/04/2023)</v>
      </c>
      <c r="H5579" s="19"/>
    </row>
    <row r="5580">
      <c r="A5580" s="9"/>
      <c r="B5580" s="15"/>
      <c r="C5580" s="9">
        <f>IFERROR(__xludf.DUMMYFUNCTION("""COMPUTED_VALUE"""),45086.0135182523)</f>
        <v>45086.01352</v>
      </c>
      <c r="D5580" s="15">
        <f>IFERROR(__xludf.DUMMYFUNCTION("""COMPUTED_VALUE"""),1.005)</f>
        <v>1.005</v>
      </c>
      <c r="E5580" s="16">
        <f>IFERROR(__xludf.DUMMYFUNCTION("""COMPUTED_VALUE"""),67.0)</f>
        <v>67</v>
      </c>
      <c r="F5580" s="19" t="str">
        <f>IFERROR(__xludf.DUMMYFUNCTION("""COMPUTED_VALUE"""),"BLUE")</f>
        <v>BLUE</v>
      </c>
      <c r="G5580" s="20" t="str">
        <f>IFERROR(__xludf.DUMMYFUNCTION("""COMPUTED_VALUE"""),"Uncle Sams Cider (04/04/2023)")</f>
        <v>Uncle Sams Cider (04/04/2023)</v>
      </c>
      <c r="H5580" s="19"/>
    </row>
    <row r="5581">
      <c r="A5581" s="9"/>
      <c r="B5581" s="15"/>
      <c r="C5581" s="9">
        <f>IFERROR(__xludf.DUMMYFUNCTION("""COMPUTED_VALUE"""),45086.0030964236)</f>
        <v>45086.0031</v>
      </c>
      <c r="D5581" s="15">
        <f>IFERROR(__xludf.DUMMYFUNCTION("""COMPUTED_VALUE"""),1.005)</f>
        <v>1.005</v>
      </c>
      <c r="E5581" s="16">
        <f>IFERROR(__xludf.DUMMYFUNCTION("""COMPUTED_VALUE"""),67.0)</f>
        <v>67</v>
      </c>
      <c r="F5581" s="19" t="str">
        <f>IFERROR(__xludf.DUMMYFUNCTION("""COMPUTED_VALUE"""),"BLUE")</f>
        <v>BLUE</v>
      </c>
      <c r="G5581" s="20" t="str">
        <f>IFERROR(__xludf.DUMMYFUNCTION("""COMPUTED_VALUE"""),"Uncle Sams Cider (04/04/2023)")</f>
        <v>Uncle Sams Cider (04/04/2023)</v>
      </c>
      <c r="H5581" s="19"/>
    </row>
    <row r="5582">
      <c r="A5582" s="9"/>
      <c r="B5582" s="15"/>
      <c r="C5582" s="9">
        <f>IFERROR(__xludf.DUMMYFUNCTION("""COMPUTED_VALUE"""),45085.9926752314)</f>
        <v>45085.99268</v>
      </c>
      <c r="D5582" s="15">
        <f>IFERROR(__xludf.DUMMYFUNCTION("""COMPUTED_VALUE"""),1.005)</f>
        <v>1.005</v>
      </c>
      <c r="E5582" s="16">
        <f>IFERROR(__xludf.DUMMYFUNCTION("""COMPUTED_VALUE"""),67.0)</f>
        <v>67</v>
      </c>
      <c r="F5582" s="19" t="str">
        <f>IFERROR(__xludf.DUMMYFUNCTION("""COMPUTED_VALUE"""),"BLUE")</f>
        <v>BLUE</v>
      </c>
      <c r="G5582" s="20" t="str">
        <f>IFERROR(__xludf.DUMMYFUNCTION("""COMPUTED_VALUE"""),"Uncle Sams Cider (04/04/2023)")</f>
        <v>Uncle Sams Cider (04/04/2023)</v>
      </c>
      <c r="H5582" s="19"/>
    </row>
    <row r="5583">
      <c r="A5583" s="9"/>
      <c r="B5583" s="15"/>
      <c r="C5583" s="9">
        <f>IFERROR(__xludf.DUMMYFUNCTION("""COMPUTED_VALUE"""),45085.9822536226)</f>
        <v>45085.98225</v>
      </c>
      <c r="D5583" s="15">
        <f>IFERROR(__xludf.DUMMYFUNCTION("""COMPUTED_VALUE"""),1.004)</f>
        <v>1.004</v>
      </c>
      <c r="E5583" s="16">
        <f>IFERROR(__xludf.DUMMYFUNCTION("""COMPUTED_VALUE"""),67.0)</f>
        <v>67</v>
      </c>
      <c r="F5583" s="19" t="str">
        <f>IFERROR(__xludf.DUMMYFUNCTION("""COMPUTED_VALUE"""),"BLUE")</f>
        <v>BLUE</v>
      </c>
      <c r="G5583" s="20" t="str">
        <f>IFERROR(__xludf.DUMMYFUNCTION("""COMPUTED_VALUE"""),"Uncle Sams Cider (04/04/2023)")</f>
        <v>Uncle Sams Cider (04/04/2023)</v>
      </c>
      <c r="H5583" s="19"/>
    </row>
    <row r="5584">
      <c r="A5584" s="9"/>
      <c r="B5584" s="15"/>
      <c r="C5584" s="9">
        <f>IFERROR(__xludf.DUMMYFUNCTION("""COMPUTED_VALUE"""),45085.9718323148)</f>
        <v>45085.97183</v>
      </c>
      <c r="D5584" s="15">
        <f>IFERROR(__xludf.DUMMYFUNCTION("""COMPUTED_VALUE"""),1.005)</f>
        <v>1.005</v>
      </c>
      <c r="E5584" s="16">
        <f>IFERROR(__xludf.DUMMYFUNCTION("""COMPUTED_VALUE"""),67.0)</f>
        <v>67</v>
      </c>
      <c r="F5584" s="19" t="str">
        <f>IFERROR(__xludf.DUMMYFUNCTION("""COMPUTED_VALUE"""),"BLUE")</f>
        <v>BLUE</v>
      </c>
      <c r="G5584" s="20" t="str">
        <f>IFERROR(__xludf.DUMMYFUNCTION("""COMPUTED_VALUE"""),"Uncle Sams Cider (04/04/2023)")</f>
        <v>Uncle Sams Cider (04/04/2023)</v>
      </c>
      <c r="H5584" s="19"/>
    </row>
    <row r="5585">
      <c r="A5585" s="9"/>
      <c r="B5585" s="15"/>
      <c r="C5585" s="9">
        <f>IFERROR(__xludf.DUMMYFUNCTION("""COMPUTED_VALUE"""),45085.9614116088)</f>
        <v>45085.96141</v>
      </c>
      <c r="D5585" s="15">
        <f>IFERROR(__xludf.DUMMYFUNCTION("""COMPUTED_VALUE"""),1.005)</f>
        <v>1.005</v>
      </c>
      <c r="E5585" s="16">
        <f>IFERROR(__xludf.DUMMYFUNCTION("""COMPUTED_VALUE"""),67.0)</f>
        <v>67</v>
      </c>
      <c r="F5585" s="19" t="str">
        <f>IFERROR(__xludf.DUMMYFUNCTION("""COMPUTED_VALUE"""),"BLUE")</f>
        <v>BLUE</v>
      </c>
      <c r="G5585" s="20" t="str">
        <f>IFERROR(__xludf.DUMMYFUNCTION("""COMPUTED_VALUE"""),"Uncle Sams Cider (04/04/2023)")</f>
        <v>Uncle Sams Cider (04/04/2023)</v>
      </c>
      <c r="H5585" s="19"/>
    </row>
    <row r="5586">
      <c r="A5586" s="9"/>
      <c r="B5586" s="15"/>
      <c r="C5586" s="9">
        <f>IFERROR(__xludf.DUMMYFUNCTION("""COMPUTED_VALUE"""),45085.9509921064)</f>
        <v>45085.95099</v>
      </c>
      <c r="D5586" s="15">
        <f>IFERROR(__xludf.DUMMYFUNCTION("""COMPUTED_VALUE"""),1.005)</f>
        <v>1.005</v>
      </c>
      <c r="E5586" s="16">
        <f>IFERROR(__xludf.DUMMYFUNCTION("""COMPUTED_VALUE"""),67.0)</f>
        <v>67</v>
      </c>
      <c r="F5586" s="19" t="str">
        <f>IFERROR(__xludf.DUMMYFUNCTION("""COMPUTED_VALUE"""),"BLUE")</f>
        <v>BLUE</v>
      </c>
      <c r="G5586" s="20" t="str">
        <f>IFERROR(__xludf.DUMMYFUNCTION("""COMPUTED_VALUE"""),"Uncle Sams Cider (04/04/2023)")</f>
        <v>Uncle Sams Cider (04/04/2023)</v>
      </c>
      <c r="H5586" s="19"/>
    </row>
    <row r="5587">
      <c r="A5587" s="9"/>
      <c r="B5587" s="15"/>
      <c r="C5587" s="9">
        <f>IFERROR(__xludf.DUMMYFUNCTION("""COMPUTED_VALUE"""),45085.9405597685)</f>
        <v>45085.94056</v>
      </c>
      <c r="D5587" s="15">
        <f>IFERROR(__xludf.DUMMYFUNCTION("""COMPUTED_VALUE"""),1.005)</f>
        <v>1.005</v>
      </c>
      <c r="E5587" s="16">
        <f>IFERROR(__xludf.DUMMYFUNCTION("""COMPUTED_VALUE"""),67.0)</f>
        <v>67</v>
      </c>
      <c r="F5587" s="19" t="str">
        <f>IFERROR(__xludf.DUMMYFUNCTION("""COMPUTED_VALUE"""),"BLUE")</f>
        <v>BLUE</v>
      </c>
      <c r="G5587" s="20" t="str">
        <f>IFERROR(__xludf.DUMMYFUNCTION("""COMPUTED_VALUE"""),"Uncle Sams Cider (04/04/2023)")</f>
        <v>Uncle Sams Cider (04/04/2023)</v>
      </c>
      <c r="H5587" s="19"/>
    </row>
    <row r="5588">
      <c r="A5588" s="9"/>
      <c r="B5588" s="15"/>
      <c r="C5588" s="9">
        <f>IFERROR(__xludf.DUMMYFUNCTION("""COMPUTED_VALUE"""),45085.9301154513)</f>
        <v>45085.93012</v>
      </c>
      <c r="D5588" s="15">
        <f>IFERROR(__xludf.DUMMYFUNCTION("""COMPUTED_VALUE"""),1.005)</f>
        <v>1.005</v>
      </c>
      <c r="E5588" s="16">
        <f>IFERROR(__xludf.DUMMYFUNCTION("""COMPUTED_VALUE"""),67.0)</f>
        <v>67</v>
      </c>
      <c r="F5588" s="19" t="str">
        <f>IFERROR(__xludf.DUMMYFUNCTION("""COMPUTED_VALUE"""),"BLUE")</f>
        <v>BLUE</v>
      </c>
      <c r="G5588" s="20" t="str">
        <f>IFERROR(__xludf.DUMMYFUNCTION("""COMPUTED_VALUE"""),"Uncle Sams Cider (04/04/2023)")</f>
        <v>Uncle Sams Cider (04/04/2023)</v>
      </c>
      <c r="H5588" s="19"/>
    </row>
    <row r="5589">
      <c r="A5589" s="9"/>
      <c r="B5589" s="15"/>
      <c r="C5589" s="9">
        <f>IFERROR(__xludf.DUMMYFUNCTION("""COMPUTED_VALUE"""),45085.9196956481)</f>
        <v>45085.9197</v>
      </c>
      <c r="D5589" s="15">
        <f>IFERROR(__xludf.DUMMYFUNCTION("""COMPUTED_VALUE"""),1.004)</f>
        <v>1.004</v>
      </c>
      <c r="E5589" s="16">
        <f>IFERROR(__xludf.DUMMYFUNCTION("""COMPUTED_VALUE"""),67.0)</f>
        <v>67</v>
      </c>
      <c r="F5589" s="19" t="str">
        <f>IFERROR(__xludf.DUMMYFUNCTION("""COMPUTED_VALUE"""),"BLUE")</f>
        <v>BLUE</v>
      </c>
      <c r="G5589" s="20" t="str">
        <f>IFERROR(__xludf.DUMMYFUNCTION("""COMPUTED_VALUE"""),"Uncle Sams Cider (04/04/2023)")</f>
        <v>Uncle Sams Cider (04/04/2023)</v>
      </c>
      <c r="H5589" s="19"/>
    </row>
    <row r="5590">
      <c r="A5590" s="9"/>
      <c r="B5590" s="15"/>
      <c r="C5590" s="9">
        <f>IFERROR(__xludf.DUMMYFUNCTION("""COMPUTED_VALUE"""),45085.9092640972)</f>
        <v>45085.90926</v>
      </c>
      <c r="D5590" s="15">
        <f>IFERROR(__xludf.DUMMYFUNCTION("""COMPUTED_VALUE"""),1.005)</f>
        <v>1.005</v>
      </c>
      <c r="E5590" s="16">
        <f>IFERROR(__xludf.DUMMYFUNCTION("""COMPUTED_VALUE"""),67.0)</f>
        <v>67</v>
      </c>
      <c r="F5590" s="19" t="str">
        <f>IFERROR(__xludf.DUMMYFUNCTION("""COMPUTED_VALUE"""),"BLUE")</f>
        <v>BLUE</v>
      </c>
      <c r="G5590" s="20" t="str">
        <f>IFERROR(__xludf.DUMMYFUNCTION("""COMPUTED_VALUE"""),"Uncle Sams Cider (04/04/2023)")</f>
        <v>Uncle Sams Cider (04/04/2023)</v>
      </c>
      <c r="H5590" s="19"/>
    </row>
    <row r="5591">
      <c r="A5591" s="9"/>
      <c r="B5591" s="15"/>
      <c r="C5591" s="9">
        <f>IFERROR(__xludf.DUMMYFUNCTION("""COMPUTED_VALUE"""),45085.8988315509)</f>
        <v>45085.89883</v>
      </c>
      <c r="D5591" s="15">
        <f>IFERROR(__xludf.DUMMYFUNCTION("""COMPUTED_VALUE"""),1.005)</f>
        <v>1.005</v>
      </c>
      <c r="E5591" s="16">
        <f>IFERROR(__xludf.DUMMYFUNCTION("""COMPUTED_VALUE"""),67.0)</f>
        <v>67</v>
      </c>
      <c r="F5591" s="19" t="str">
        <f>IFERROR(__xludf.DUMMYFUNCTION("""COMPUTED_VALUE"""),"BLUE")</f>
        <v>BLUE</v>
      </c>
      <c r="G5591" s="20" t="str">
        <f>IFERROR(__xludf.DUMMYFUNCTION("""COMPUTED_VALUE"""),"Uncle Sams Cider (04/04/2023)")</f>
        <v>Uncle Sams Cider (04/04/2023)</v>
      </c>
      <c r="H5591" s="19"/>
    </row>
    <row r="5592">
      <c r="A5592" s="9"/>
      <c r="B5592" s="15"/>
      <c r="C5592" s="9">
        <f>IFERROR(__xludf.DUMMYFUNCTION("""COMPUTED_VALUE"""),45085.8884105787)</f>
        <v>45085.88841</v>
      </c>
      <c r="D5592" s="15">
        <f>IFERROR(__xludf.DUMMYFUNCTION("""COMPUTED_VALUE"""),1.004)</f>
        <v>1.004</v>
      </c>
      <c r="E5592" s="16">
        <f>IFERROR(__xludf.DUMMYFUNCTION("""COMPUTED_VALUE"""),67.0)</f>
        <v>67</v>
      </c>
      <c r="F5592" s="19" t="str">
        <f>IFERROR(__xludf.DUMMYFUNCTION("""COMPUTED_VALUE"""),"BLUE")</f>
        <v>BLUE</v>
      </c>
      <c r="G5592" s="20" t="str">
        <f>IFERROR(__xludf.DUMMYFUNCTION("""COMPUTED_VALUE"""),"Uncle Sams Cider (04/04/2023)")</f>
        <v>Uncle Sams Cider (04/04/2023)</v>
      </c>
      <c r="H5592" s="19"/>
    </row>
    <row r="5593">
      <c r="A5593" s="9"/>
      <c r="B5593" s="15"/>
      <c r="C5593" s="9">
        <f>IFERROR(__xludf.DUMMYFUNCTION("""COMPUTED_VALUE"""),45085.8779905324)</f>
        <v>45085.87799</v>
      </c>
      <c r="D5593" s="15">
        <f>IFERROR(__xludf.DUMMYFUNCTION("""COMPUTED_VALUE"""),1.005)</f>
        <v>1.005</v>
      </c>
      <c r="E5593" s="16">
        <f>IFERROR(__xludf.DUMMYFUNCTION("""COMPUTED_VALUE"""),67.0)</f>
        <v>67</v>
      </c>
      <c r="F5593" s="19" t="str">
        <f>IFERROR(__xludf.DUMMYFUNCTION("""COMPUTED_VALUE"""),"BLUE")</f>
        <v>BLUE</v>
      </c>
      <c r="G5593" s="20" t="str">
        <f>IFERROR(__xludf.DUMMYFUNCTION("""COMPUTED_VALUE"""),"Uncle Sams Cider (04/04/2023)")</f>
        <v>Uncle Sams Cider (04/04/2023)</v>
      </c>
      <c r="H5593" s="19"/>
    </row>
    <row r="5594">
      <c r="A5594" s="9"/>
      <c r="B5594" s="15"/>
      <c r="C5594" s="9">
        <f>IFERROR(__xludf.DUMMYFUNCTION("""COMPUTED_VALUE"""),45085.8675681018)</f>
        <v>45085.86757</v>
      </c>
      <c r="D5594" s="15">
        <f>IFERROR(__xludf.DUMMYFUNCTION("""COMPUTED_VALUE"""),1.005)</f>
        <v>1.005</v>
      </c>
      <c r="E5594" s="16">
        <f>IFERROR(__xludf.DUMMYFUNCTION("""COMPUTED_VALUE"""),67.0)</f>
        <v>67</v>
      </c>
      <c r="F5594" s="19" t="str">
        <f>IFERROR(__xludf.DUMMYFUNCTION("""COMPUTED_VALUE"""),"BLUE")</f>
        <v>BLUE</v>
      </c>
      <c r="G5594" s="20" t="str">
        <f>IFERROR(__xludf.DUMMYFUNCTION("""COMPUTED_VALUE"""),"Uncle Sams Cider (04/04/2023)")</f>
        <v>Uncle Sams Cider (04/04/2023)</v>
      </c>
      <c r="H5594" s="19"/>
    </row>
    <row r="5595">
      <c r="A5595" s="9"/>
      <c r="B5595" s="15"/>
      <c r="C5595" s="9">
        <f>IFERROR(__xludf.DUMMYFUNCTION("""COMPUTED_VALUE"""),45085.8571464814)</f>
        <v>45085.85715</v>
      </c>
      <c r="D5595" s="15">
        <f>IFERROR(__xludf.DUMMYFUNCTION("""COMPUTED_VALUE"""),1.004)</f>
        <v>1.004</v>
      </c>
      <c r="E5595" s="16">
        <f>IFERROR(__xludf.DUMMYFUNCTION("""COMPUTED_VALUE"""),67.0)</f>
        <v>67</v>
      </c>
      <c r="F5595" s="19" t="str">
        <f>IFERROR(__xludf.DUMMYFUNCTION("""COMPUTED_VALUE"""),"BLUE")</f>
        <v>BLUE</v>
      </c>
      <c r="G5595" s="20" t="str">
        <f>IFERROR(__xludf.DUMMYFUNCTION("""COMPUTED_VALUE"""),"Uncle Sams Cider (04/04/2023)")</f>
        <v>Uncle Sams Cider (04/04/2023)</v>
      </c>
      <c r="H5595" s="19"/>
    </row>
    <row r="5596">
      <c r="A5596" s="9"/>
      <c r="B5596" s="15"/>
      <c r="C5596" s="9">
        <f>IFERROR(__xludf.DUMMYFUNCTION("""COMPUTED_VALUE"""),45085.8467265046)</f>
        <v>45085.84673</v>
      </c>
      <c r="D5596" s="15">
        <f>IFERROR(__xludf.DUMMYFUNCTION("""COMPUTED_VALUE"""),1.005)</f>
        <v>1.005</v>
      </c>
      <c r="E5596" s="16">
        <f>IFERROR(__xludf.DUMMYFUNCTION("""COMPUTED_VALUE"""),67.0)</f>
        <v>67</v>
      </c>
      <c r="F5596" s="19" t="str">
        <f>IFERROR(__xludf.DUMMYFUNCTION("""COMPUTED_VALUE"""),"BLUE")</f>
        <v>BLUE</v>
      </c>
      <c r="G5596" s="20" t="str">
        <f>IFERROR(__xludf.DUMMYFUNCTION("""COMPUTED_VALUE"""),"Uncle Sams Cider (04/04/2023)")</f>
        <v>Uncle Sams Cider (04/04/2023)</v>
      </c>
      <c r="H5596" s="19"/>
    </row>
    <row r="5597">
      <c r="A5597" s="9"/>
      <c r="B5597" s="15"/>
      <c r="C5597" s="9">
        <f>IFERROR(__xludf.DUMMYFUNCTION("""COMPUTED_VALUE"""),45085.8362956134)</f>
        <v>45085.8363</v>
      </c>
      <c r="D5597" s="15">
        <f>IFERROR(__xludf.DUMMYFUNCTION("""COMPUTED_VALUE"""),1.005)</f>
        <v>1.005</v>
      </c>
      <c r="E5597" s="16">
        <f>IFERROR(__xludf.DUMMYFUNCTION("""COMPUTED_VALUE"""),67.0)</f>
        <v>67</v>
      </c>
      <c r="F5597" s="19" t="str">
        <f>IFERROR(__xludf.DUMMYFUNCTION("""COMPUTED_VALUE"""),"BLUE")</f>
        <v>BLUE</v>
      </c>
      <c r="G5597" s="20" t="str">
        <f>IFERROR(__xludf.DUMMYFUNCTION("""COMPUTED_VALUE"""),"Uncle Sams Cider (04/04/2023)")</f>
        <v>Uncle Sams Cider (04/04/2023)</v>
      </c>
      <c r="H5597" s="19"/>
    </row>
    <row r="5598">
      <c r="A5598" s="9"/>
      <c r="B5598" s="15"/>
      <c r="C5598" s="9">
        <f>IFERROR(__xludf.DUMMYFUNCTION("""COMPUTED_VALUE"""),45085.8258629398)</f>
        <v>45085.82586</v>
      </c>
      <c r="D5598" s="15">
        <f>IFERROR(__xludf.DUMMYFUNCTION("""COMPUTED_VALUE"""),1.005)</f>
        <v>1.005</v>
      </c>
      <c r="E5598" s="16">
        <f>IFERROR(__xludf.DUMMYFUNCTION("""COMPUTED_VALUE"""),67.0)</f>
        <v>67</v>
      </c>
      <c r="F5598" s="19" t="str">
        <f>IFERROR(__xludf.DUMMYFUNCTION("""COMPUTED_VALUE"""),"BLUE")</f>
        <v>BLUE</v>
      </c>
      <c r="G5598" s="20" t="str">
        <f>IFERROR(__xludf.DUMMYFUNCTION("""COMPUTED_VALUE"""),"Uncle Sams Cider (04/04/2023)")</f>
        <v>Uncle Sams Cider (04/04/2023)</v>
      </c>
      <c r="H5598" s="19"/>
    </row>
    <row r="5599">
      <c r="A5599" s="9"/>
      <c r="B5599" s="15"/>
      <c r="C5599" s="9">
        <f>IFERROR(__xludf.DUMMYFUNCTION("""COMPUTED_VALUE"""),45085.815441331)</f>
        <v>45085.81544</v>
      </c>
      <c r="D5599" s="15">
        <f>IFERROR(__xludf.DUMMYFUNCTION("""COMPUTED_VALUE"""),1.005)</f>
        <v>1.005</v>
      </c>
      <c r="E5599" s="16">
        <f>IFERROR(__xludf.DUMMYFUNCTION("""COMPUTED_VALUE"""),67.0)</f>
        <v>67</v>
      </c>
      <c r="F5599" s="19" t="str">
        <f>IFERROR(__xludf.DUMMYFUNCTION("""COMPUTED_VALUE"""),"BLUE")</f>
        <v>BLUE</v>
      </c>
      <c r="G5599" s="20" t="str">
        <f>IFERROR(__xludf.DUMMYFUNCTION("""COMPUTED_VALUE"""),"Uncle Sams Cider (04/04/2023)")</f>
        <v>Uncle Sams Cider (04/04/2023)</v>
      </c>
      <c r="H5599" s="19"/>
    </row>
    <row r="5600">
      <c r="A5600" s="9"/>
      <c r="B5600" s="15"/>
      <c r="C5600" s="9">
        <f>IFERROR(__xludf.DUMMYFUNCTION("""COMPUTED_VALUE"""),45085.8050086689)</f>
        <v>45085.80501</v>
      </c>
      <c r="D5600" s="15">
        <f>IFERROR(__xludf.DUMMYFUNCTION("""COMPUTED_VALUE"""),1.005)</f>
        <v>1.005</v>
      </c>
      <c r="E5600" s="16">
        <f>IFERROR(__xludf.DUMMYFUNCTION("""COMPUTED_VALUE"""),67.0)</f>
        <v>67</v>
      </c>
      <c r="F5600" s="19" t="str">
        <f>IFERROR(__xludf.DUMMYFUNCTION("""COMPUTED_VALUE"""),"BLUE")</f>
        <v>BLUE</v>
      </c>
      <c r="G5600" s="20" t="str">
        <f>IFERROR(__xludf.DUMMYFUNCTION("""COMPUTED_VALUE"""),"Uncle Sams Cider (04/04/2023)")</f>
        <v>Uncle Sams Cider (04/04/2023)</v>
      </c>
      <c r="H5600" s="19"/>
    </row>
    <row r="5601">
      <c r="A5601" s="9"/>
      <c r="B5601" s="15"/>
      <c r="C5601" s="9">
        <f>IFERROR(__xludf.DUMMYFUNCTION("""COMPUTED_VALUE"""),45085.7945870254)</f>
        <v>45085.79459</v>
      </c>
      <c r="D5601" s="15">
        <f>IFERROR(__xludf.DUMMYFUNCTION("""COMPUTED_VALUE"""),1.005)</f>
        <v>1.005</v>
      </c>
      <c r="E5601" s="16">
        <f>IFERROR(__xludf.DUMMYFUNCTION("""COMPUTED_VALUE"""),67.0)</f>
        <v>67</v>
      </c>
      <c r="F5601" s="19" t="str">
        <f>IFERROR(__xludf.DUMMYFUNCTION("""COMPUTED_VALUE"""),"BLUE")</f>
        <v>BLUE</v>
      </c>
      <c r="G5601" s="20" t="str">
        <f>IFERROR(__xludf.DUMMYFUNCTION("""COMPUTED_VALUE"""),"Uncle Sams Cider (04/04/2023)")</f>
        <v>Uncle Sams Cider (04/04/2023)</v>
      </c>
      <c r="H5601" s="19"/>
    </row>
    <row r="5602">
      <c r="A5602" s="9"/>
      <c r="B5602" s="15"/>
      <c r="C5602" s="9">
        <f>IFERROR(__xludf.DUMMYFUNCTION("""COMPUTED_VALUE"""),45085.7841651388)</f>
        <v>45085.78417</v>
      </c>
      <c r="D5602" s="15">
        <f>IFERROR(__xludf.DUMMYFUNCTION("""COMPUTED_VALUE"""),1.005)</f>
        <v>1.005</v>
      </c>
      <c r="E5602" s="16">
        <f>IFERROR(__xludf.DUMMYFUNCTION("""COMPUTED_VALUE"""),67.0)</f>
        <v>67</v>
      </c>
      <c r="F5602" s="19" t="str">
        <f>IFERROR(__xludf.DUMMYFUNCTION("""COMPUTED_VALUE"""),"BLUE")</f>
        <v>BLUE</v>
      </c>
      <c r="G5602" s="20" t="str">
        <f>IFERROR(__xludf.DUMMYFUNCTION("""COMPUTED_VALUE"""),"Uncle Sams Cider (04/04/2023)")</f>
        <v>Uncle Sams Cider (04/04/2023)</v>
      </c>
      <c r="H5602" s="19"/>
    </row>
    <row r="5603">
      <c r="A5603" s="9"/>
      <c r="B5603" s="15"/>
      <c r="C5603" s="9">
        <f>IFERROR(__xludf.DUMMYFUNCTION("""COMPUTED_VALUE"""),45085.7737449421)</f>
        <v>45085.77374</v>
      </c>
      <c r="D5603" s="15">
        <f>IFERROR(__xludf.DUMMYFUNCTION("""COMPUTED_VALUE"""),1.005)</f>
        <v>1.005</v>
      </c>
      <c r="E5603" s="16">
        <f>IFERROR(__xludf.DUMMYFUNCTION("""COMPUTED_VALUE"""),67.0)</f>
        <v>67</v>
      </c>
      <c r="F5603" s="19" t="str">
        <f>IFERROR(__xludf.DUMMYFUNCTION("""COMPUTED_VALUE"""),"BLUE")</f>
        <v>BLUE</v>
      </c>
      <c r="G5603" s="20" t="str">
        <f>IFERROR(__xludf.DUMMYFUNCTION("""COMPUTED_VALUE"""),"Uncle Sams Cider (04/04/2023)")</f>
        <v>Uncle Sams Cider (04/04/2023)</v>
      </c>
      <c r="H5603" s="19"/>
    </row>
    <row r="5604">
      <c r="A5604" s="9"/>
      <c r="B5604" s="15"/>
      <c r="C5604" s="9">
        <f>IFERROR(__xludf.DUMMYFUNCTION("""COMPUTED_VALUE"""),45085.7633247685)</f>
        <v>45085.76332</v>
      </c>
      <c r="D5604" s="15">
        <f>IFERROR(__xludf.DUMMYFUNCTION("""COMPUTED_VALUE"""),1.005)</f>
        <v>1.005</v>
      </c>
      <c r="E5604" s="16">
        <f>IFERROR(__xludf.DUMMYFUNCTION("""COMPUTED_VALUE"""),67.0)</f>
        <v>67</v>
      </c>
      <c r="F5604" s="19" t="str">
        <f>IFERROR(__xludf.DUMMYFUNCTION("""COMPUTED_VALUE"""),"BLUE")</f>
        <v>BLUE</v>
      </c>
      <c r="G5604" s="20" t="str">
        <f>IFERROR(__xludf.DUMMYFUNCTION("""COMPUTED_VALUE"""),"Uncle Sams Cider (04/04/2023)")</f>
        <v>Uncle Sams Cider (04/04/2023)</v>
      </c>
      <c r="H5604" s="19"/>
    </row>
    <row r="5605">
      <c r="A5605" s="9"/>
      <c r="B5605" s="15"/>
      <c r="C5605" s="9">
        <f>IFERROR(__xludf.DUMMYFUNCTION("""COMPUTED_VALUE"""),45085.7529043865)</f>
        <v>45085.7529</v>
      </c>
      <c r="D5605" s="15">
        <f>IFERROR(__xludf.DUMMYFUNCTION("""COMPUTED_VALUE"""),1.005)</f>
        <v>1.005</v>
      </c>
      <c r="E5605" s="16">
        <f>IFERROR(__xludf.DUMMYFUNCTION("""COMPUTED_VALUE"""),67.0)</f>
        <v>67</v>
      </c>
      <c r="F5605" s="19" t="str">
        <f>IFERROR(__xludf.DUMMYFUNCTION("""COMPUTED_VALUE"""),"BLUE")</f>
        <v>BLUE</v>
      </c>
      <c r="G5605" s="20" t="str">
        <f>IFERROR(__xludf.DUMMYFUNCTION("""COMPUTED_VALUE"""),"Uncle Sams Cider (04/04/2023)")</f>
        <v>Uncle Sams Cider (04/04/2023)</v>
      </c>
      <c r="H5605" s="19"/>
    </row>
    <row r="5606">
      <c r="A5606" s="9"/>
      <c r="B5606" s="15"/>
      <c r="C5606" s="9">
        <f>IFERROR(__xludf.DUMMYFUNCTION("""COMPUTED_VALUE"""),45085.7424837037)</f>
        <v>45085.74248</v>
      </c>
      <c r="D5606" s="15">
        <f>IFERROR(__xludf.DUMMYFUNCTION("""COMPUTED_VALUE"""),1.005)</f>
        <v>1.005</v>
      </c>
      <c r="E5606" s="16">
        <f>IFERROR(__xludf.DUMMYFUNCTION("""COMPUTED_VALUE"""),67.0)</f>
        <v>67</v>
      </c>
      <c r="F5606" s="19" t="str">
        <f>IFERROR(__xludf.DUMMYFUNCTION("""COMPUTED_VALUE"""),"BLUE")</f>
        <v>BLUE</v>
      </c>
      <c r="G5606" s="20" t="str">
        <f>IFERROR(__xludf.DUMMYFUNCTION("""COMPUTED_VALUE"""),"Uncle Sams Cider (04/04/2023)")</f>
        <v>Uncle Sams Cider (04/04/2023)</v>
      </c>
      <c r="H5606" s="19"/>
    </row>
    <row r="5607">
      <c r="A5607" s="9"/>
      <c r="B5607" s="15"/>
      <c r="C5607" s="9">
        <f>IFERROR(__xludf.DUMMYFUNCTION("""COMPUTED_VALUE"""),45085.7320628935)</f>
        <v>45085.73206</v>
      </c>
      <c r="D5607" s="15">
        <f>IFERROR(__xludf.DUMMYFUNCTION("""COMPUTED_VALUE"""),1.005)</f>
        <v>1.005</v>
      </c>
      <c r="E5607" s="16">
        <f>IFERROR(__xludf.DUMMYFUNCTION("""COMPUTED_VALUE"""),67.0)</f>
        <v>67</v>
      </c>
      <c r="F5607" s="19" t="str">
        <f>IFERROR(__xludf.DUMMYFUNCTION("""COMPUTED_VALUE"""),"BLUE")</f>
        <v>BLUE</v>
      </c>
      <c r="G5607" s="20" t="str">
        <f>IFERROR(__xludf.DUMMYFUNCTION("""COMPUTED_VALUE"""),"Uncle Sams Cider (04/04/2023)")</f>
        <v>Uncle Sams Cider (04/04/2023)</v>
      </c>
      <c r="H5607" s="19"/>
    </row>
    <row r="5608">
      <c r="A5608" s="9"/>
      <c r="B5608" s="15"/>
      <c r="C5608" s="9">
        <f>IFERROR(__xludf.DUMMYFUNCTION("""COMPUTED_VALUE"""),45085.7216407523)</f>
        <v>45085.72164</v>
      </c>
      <c r="D5608" s="15">
        <f>IFERROR(__xludf.DUMMYFUNCTION("""COMPUTED_VALUE"""),1.005)</f>
        <v>1.005</v>
      </c>
      <c r="E5608" s="16">
        <f>IFERROR(__xludf.DUMMYFUNCTION("""COMPUTED_VALUE"""),67.0)</f>
        <v>67</v>
      </c>
      <c r="F5608" s="19" t="str">
        <f>IFERROR(__xludf.DUMMYFUNCTION("""COMPUTED_VALUE"""),"BLUE")</f>
        <v>BLUE</v>
      </c>
      <c r="G5608" s="20" t="str">
        <f>IFERROR(__xludf.DUMMYFUNCTION("""COMPUTED_VALUE"""),"Uncle Sams Cider (04/04/2023)")</f>
        <v>Uncle Sams Cider (04/04/2023)</v>
      </c>
      <c r="H5608" s="19"/>
    </row>
    <row r="5609">
      <c r="A5609" s="9"/>
      <c r="B5609" s="15"/>
      <c r="C5609" s="9">
        <f>IFERROR(__xludf.DUMMYFUNCTION("""COMPUTED_VALUE"""),45085.7112180902)</f>
        <v>45085.71122</v>
      </c>
      <c r="D5609" s="15">
        <f>IFERROR(__xludf.DUMMYFUNCTION("""COMPUTED_VALUE"""),1.005)</f>
        <v>1.005</v>
      </c>
      <c r="E5609" s="16">
        <f>IFERROR(__xludf.DUMMYFUNCTION("""COMPUTED_VALUE"""),67.0)</f>
        <v>67</v>
      </c>
      <c r="F5609" s="19" t="str">
        <f>IFERROR(__xludf.DUMMYFUNCTION("""COMPUTED_VALUE"""),"BLUE")</f>
        <v>BLUE</v>
      </c>
      <c r="G5609" s="20" t="str">
        <f>IFERROR(__xludf.DUMMYFUNCTION("""COMPUTED_VALUE"""),"Uncle Sams Cider (04/04/2023)")</f>
        <v>Uncle Sams Cider (04/04/2023)</v>
      </c>
      <c r="H5609" s="19"/>
    </row>
    <row r="5610">
      <c r="A5610" s="9"/>
      <c r="B5610" s="15"/>
      <c r="C5610" s="9">
        <f>IFERROR(__xludf.DUMMYFUNCTION("""COMPUTED_VALUE"""),45085.7007852083)</f>
        <v>45085.70079</v>
      </c>
      <c r="D5610" s="15">
        <f>IFERROR(__xludf.DUMMYFUNCTION("""COMPUTED_VALUE"""),1.005)</f>
        <v>1.005</v>
      </c>
      <c r="E5610" s="16">
        <f>IFERROR(__xludf.DUMMYFUNCTION("""COMPUTED_VALUE"""),67.0)</f>
        <v>67</v>
      </c>
      <c r="F5610" s="19" t="str">
        <f>IFERROR(__xludf.DUMMYFUNCTION("""COMPUTED_VALUE"""),"BLUE")</f>
        <v>BLUE</v>
      </c>
      <c r="G5610" s="20" t="str">
        <f>IFERROR(__xludf.DUMMYFUNCTION("""COMPUTED_VALUE"""),"Uncle Sams Cider (04/04/2023)")</f>
        <v>Uncle Sams Cider (04/04/2023)</v>
      </c>
      <c r="H5610" s="19"/>
    </row>
    <row r="5611">
      <c r="A5611" s="9"/>
      <c r="B5611" s="15"/>
      <c r="C5611" s="9">
        <f>IFERROR(__xludf.DUMMYFUNCTION("""COMPUTED_VALUE"""),45085.6903508217)</f>
        <v>45085.69035</v>
      </c>
      <c r="D5611" s="15">
        <f>IFERROR(__xludf.DUMMYFUNCTION("""COMPUTED_VALUE"""),1.005)</f>
        <v>1.005</v>
      </c>
      <c r="E5611" s="16">
        <f>IFERROR(__xludf.DUMMYFUNCTION("""COMPUTED_VALUE"""),67.0)</f>
        <v>67</v>
      </c>
      <c r="F5611" s="19" t="str">
        <f>IFERROR(__xludf.DUMMYFUNCTION("""COMPUTED_VALUE"""),"BLUE")</f>
        <v>BLUE</v>
      </c>
      <c r="G5611" s="20" t="str">
        <f>IFERROR(__xludf.DUMMYFUNCTION("""COMPUTED_VALUE"""),"Uncle Sams Cider (04/04/2023)")</f>
        <v>Uncle Sams Cider (04/04/2023)</v>
      </c>
      <c r="H5611" s="19"/>
    </row>
    <row r="5612">
      <c r="A5612" s="9"/>
      <c r="B5612" s="15"/>
      <c r="C5612" s="9">
        <f>IFERROR(__xludf.DUMMYFUNCTION("""COMPUTED_VALUE"""),45085.679931493)</f>
        <v>45085.67993</v>
      </c>
      <c r="D5612" s="15">
        <f>IFERROR(__xludf.DUMMYFUNCTION("""COMPUTED_VALUE"""),1.005)</f>
        <v>1.005</v>
      </c>
      <c r="E5612" s="16">
        <f>IFERROR(__xludf.DUMMYFUNCTION("""COMPUTED_VALUE"""),67.0)</f>
        <v>67</v>
      </c>
      <c r="F5612" s="19" t="str">
        <f>IFERROR(__xludf.DUMMYFUNCTION("""COMPUTED_VALUE"""),"BLUE")</f>
        <v>BLUE</v>
      </c>
      <c r="G5612" s="20" t="str">
        <f>IFERROR(__xludf.DUMMYFUNCTION("""COMPUTED_VALUE"""),"Uncle Sams Cider (04/04/2023)")</f>
        <v>Uncle Sams Cider (04/04/2023)</v>
      </c>
      <c r="H5612" s="19"/>
    </row>
    <row r="5613">
      <c r="A5613" s="9"/>
      <c r="B5613" s="15"/>
      <c r="C5613" s="9">
        <f>IFERROR(__xludf.DUMMYFUNCTION("""COMPUTED_VALUE"""),45085.6695112037)</f>
        <v>45085.66951</v>
      </c>
      <c r="D5613" s="15">
        <f>IFERROR(__xludf.DUMMYFUNCTION("""COMPUTED_VALUE"""),1.005)</f>
        <v>1.005</v>
      </c>
      <c r="E5613" s="16">
        <f>IFERROR(__xludf.DUMMYFUNCTION("""COMPUTED_VALUE"""),67.0)</f>
        <v>67</v>
      </c>
      <c r="F5613" s="19" t="str">
        <f>IFERROR(__xludf.DUMMYFUNCTION("""COMPUTED_VALUE"""),"BLUE")</f>
        <v>BLUE</v>
      </c>
      <c r="G5613" s="20" t="str">
        <f>IFERROR(__xludf.DUMMYFUNCTION("""COMPUTED_VALUE"""),"Uncle Sams Cider (04/04/2023)")</f>
        <v>Uncle Sams Cider (04/04/2023)</v>
      </c>
      <c r="H5613" s="19"/>
    </row>
    <row r="5614">
      <c r="A5614" s="9"/>
      <c r="B5614" s="15"/>
      <c r="C5614" s="9">
        <f>IFERROR(__xludf.DUMMYFUNCTION("""COMPUTED_VALUE"""),45085.6590776851)</f>
        <v>45085.65908</v>
      </c>
      <c r="D5614" s="15">
        <f>IFERROR(__xludf.DUMMYFUNCTION("""COMPUTED_VALUE"""),1.005)</f>
        <v>1.005</v>
      </c>
      <c r="E5614" s="16">
        <f>IFERROR(__xludf.DUMMYFUNCTION("""COMPUTED_VALUE"""),67.0)</f>
        <v>67</v>
      </c>
      <c r="F5614" s="19" t="str">
        <f>IFERROR(__xludf.DUMMYFUNCTION("""COMPUTED_VALUE"""),"BLUE")</f>
        <v>BLUE</v>
      </c>
      <c r="G5614" s="20" t="str">
        <f>IFERROR(__xludf.DUMMYFUNCTION("""COMPUTED_VALUE"""),"Uncle Sams Cider (04/04/2023)")</f>
        <v>Uncle Sams Cider (04/04/2023)</v>
      </c>
      <c r="H5614" s="19"/>
    </row>
    <row r="5615">
      <c r="A5615" s="9"/>
      <c r="B5615" s="15"/>
      <c r="C5615" s="9">
        <f>IFERROR(__xludf.DUMMYFUNCTION("""COMPUTED_VALUE"""),45085.6486439236)</f>
        <v>45085.64864</v>
      </c>
      <c r="D5615" s="15">
        <f>IFERROR(__xludf.DUMMYFUNCTION("""COMPUTED_VALUE"""),1.005)</f>
        <v>1.005</v>
      </c>
      <c r="E5615" s="16">
        <f>IFERROR(__xludf.DUMMYFUNCTION("""COMPUTED_VALUE"""),67.0)</f>
        <v>67</v>
      </c>
      <c r="F5615" s="19" t="str">
        <f>IFERROR(__xludf.DUMMYFUNCTION("""COMPUTED_VALUE"""),"BLUE")</f>
        <v>BLUE</v>
      </c>
      <c r="G5615" s="20" t="str">
        <f>IFERROR(__xludf.DUMMYFUNCTION("""COMPUTED_VALUE"""),"Uncle Sams Cider (04/04/2023)")</f>
        <v>Uncle Sams Cider (04/04/2023)</v>
      </c>
      <c r="H5615" s="19"/>
    </row>
    <row r="5616">
      <c r="A5616" s="9"/>
      <c r="B5616" s="15"/>
      <c r="C5616" s="9">
        <f>IFERROR(__xludf.DUMMYFUNCTION("""COMPUTED_VALUE"""),45085.6382210763)</f>
        <v>45085.63822</v>
      </c>
      <c r="D5616" s="15">
        <f>IFERROR(__xludf.DUMMYFUNCTION("""COMPUTED_VALUE"""),1.005)</f>
        <v>1.005</v>
      </c>
      <c r="E5616" s="16">
        <f>IFERROR(__xludf.DUMMYFUNCTION("""COMPUTED_VALUE"""),67.0)</f>
        <v>67</v>
      </c>
      <c r="F5616" s="19" t="str">
        <f>IFERROR(__xludf.DUMMYFUNCTION("""COMPUTED_VALUE"""),"BLUE")</f>
        <v>BLUE</v>
      </c>
      <c r="G5616" s="20" t="str">
        <f>IFERROR(__xludf.DUMMYFUNCTION("""COMPUTED_VALUE"""),"Uncle Sams Cider (04/04/2023)")</f>
        <v>Uncle Sams Cider (04/04/2023)</v>
      </c>
      <c r="H5616" s="19"/>
    </row>
    <row r="5617">
      <c r="A5617" s="9"/>
      <c r="B5617" s="15"/>
      <c r="C5617" s="9">
        <f>IFERROR(__xludf.DUMMYFUNCTION("""COMPUTED_VALUE"""),45085.6277880208)</f>
        <v>45085.62779</v>
      </c>
      <c r="D5617" s="15">
        <f>IFERROR(__xludf.DUMMYFUNCTION("""COMPUTED_VALUE"""),1.005)</f>
        <v>1.005</v>
      </c>
      <c r="E5617" s="16">
        <f>IFERROR(__xludf.DUMMYFUNCTION("""COMPUTED_VALUE"""),67.0)</f>
        <v>67</v>
      </c>
      <c r="F5617" s="19" t="str">
        <f>IFERROR(__xludf.DUMMYFUNCTION("""COMPUTED_VALUE"""),"BLUE")</f>
        <v>BLUE</v>
      </c>
      <c r="G5617" s="20" t="str">
        <f>IFERROR(__xludf.DUMMYFUNCTION("""COMPUTED_VALUE"""),"Uncle Sams Cider (04/04/2023)")</f>
        <v>Uncle Sams Cider (04/04/2023)</v>
      </c>
      <c r="H5617" s="19"/>
    </row>
    <row r="5618">
      <c r="A5618" s="9"/>
      <c r="B5618" s="15"/>
      <c r="C5618" s="9">
        <f>IFERROR(__xludf.DUMMYFUNCTION("""COMPUTED_VALUE"""),45085.6173549305)</f>
        <v>45085.61735</v>
      </c>
      <c r="D5618" s="15">
        <f>IFERROR(__xludf.DUMMYFUNCTION("""COMPUTED_VALUE"""),1.005)</f>
        <v>1.005</v>
      </c>
      <c r="E5618" s="16">
        <f>IFERROR(__xludf.DUMMYFUNCTION("""COMPUTED_VALUE"""),67.0)</f>
        <v>67</v>
      </c>
      <c r="F5618" s="19" t="str">
        <f>IFERROR(__xludf.DUMMYFUNCTION("""COMPUTED_VALUE"""),"BLUE")</f>
        <v>BLUE</v>
      </c>
      <c r="G5618" s="20" t="str">
        <f>IFERROR(__xludf.DUMMYFUNCTION("""COMPUTED_VALUE"""),"Uncle Sams Cider (04/04/2023)")</f>
        <v>Uncle Sams Cider (04/04/2023)</v>
      </c>
      <c r="H5618" s="19"/>
    </row>
    <row r="5619">
      <c r="A5619" s="9"/>
      <c r="B5619" s="15"/>
      <c r="C5619" s="9">
        <f>IFERROR(__xludf.DUMMYFUNCTION("""COMPUTED_VALUE"""),45085.606921412)</f>
        <v>45085.60692</v>
      </c>
      <c r="D5619" s="15">
        <f>IFERROR(__xludf.DUMMYFUNCTION("""COMPUTED_VALUE"""),1.005)</f>
        <v>1.005</v>
      </c>
      <c r="E5619" s="16">
        <f>IFERROR(__xludf.DUMMYFUNCTION("""COMPUTED_VALUE"""),67.0)</f>
        <v>67</v>
      </c>
      <c r="F5619" s="19" t="str">
        <f>IFERROR(__xludf.DUMMYFUNCTION("""COMPUTED_VALUE"""),"BLUE")</f>
        <v>BLUE</v>
      </c>
      <c r="G5619" s="20" t="str">
        <f>IFERROR(__xludf.DUMMYFUNCTION("""COMPUTED_VALUE"""),"Uncle Sams Cider (04/04/2023)")</f>
        <v>Uncle Sams Cider (04/04/2023)</v>
      </c>
      <c r="H5619" s="19"/>
    </row>
    <row r="5620">
      <c r="A5620" s="9"/>
      <c r="B5620" s="15"/>
      <c r="C5620" s="9">
        <f>IFERROR(__xludf.DUMMYFUNCTION("""COMPUTED_VALUE"""),45085.5964768287)</f>
        <v>45085.59648</v>
      </c>
      <c r="D5620" s="15">
        <f>IFERROR(__xludf.DUMMYFUNCTION("""COMPUTED_VALUE"""),1.005)</f>
        <v>1.005</v>
      </c>
      <c r="E5620" s="16">
        <f>IFERROR(__xludf.DUMMYFUNCTION("""COMPUTED_VALUE"""),66.0)</f>
        <v>66</v>
      </c>
      <c r="F5620" s="19" t="str">
        <f>IFERROR(__xludf.DUMMYFUNCTION("""COMPUTED_VALUE"""),"BLUE")</f>
        <v>BLUE</v>
      </c>
      <c r="G5620" s="20" t="str">
        <f>IFERROR(__xludf.DUMMYFUNCTION("""COMPUTED_VALUE"""),"Uncle Sams Cider (04/04/2023)")</f>
        <v>Uncle Sams Cider (04/04/2023)</v>
      </c>
      <c r="H5620" s="19"/>
    </row>
    <row r="5621">
      <c r="A5621" s="9"/>
      <c r="B5621" s="15"/>
      <c r="C5621" s="9">
        <f>IFERROR(__xludf.DUMMYFUNCTION("""COMPUTED_VALUE"""),45085.5860439583)</f>
        <v>45085.58604</v>
      </c>
      <c r="D5621" s="15">
        <f>IFERROR(__xludf.DUMMYFUNCTION("""COMPUTED_VALUE"""),1.005)</f>
        <v>1.005</v>
      </c>
      <c r="E5621" s="16">
        <f>IFERROR(__xludf.DUMMYFUNCTION("""COMPUTED_VALUE"""),67.0)</f>
        <v>67</v>
      </c>
      <c r="F5621" s="19" t="str">
        <f>IFERROR(__xludf.DUMMYFUNCTION("""COMPUTED_VALUE"""),"BLUE")</f>
        <v>BLUE</v>
      </c>
      <c r="G5621" s="20" t="str">
        <f>IFERROR(__xludf.DUMMYFUNCTION("""COMPUTED_VALUE"""),"Uncle Sams Cider (04/04/2023)")</f>
        <v>Uncle Sams Cider (04/04/2023)</v>
      </c>
      <c r="H5621" s="19"/>
    </row>
    <row r="5622">
      <c r="A5622" s="9"/>
      <c r="B5622" s="15"/>
      <c r="C5622" s="9">
        <f>IFERROR(__xludf.DUMMYFUNCTION("""COMPUTED_VALUE"""),45085.5756227777)</f>
        <v>45085.57562</v>
      </c>
      <c r="D5622" s="15">
        <f>IFERROR(__xludf.DUMMYFUNCTION("""COMPUTED_VALUE"""),1.005)</f>
        <v>1.005</v>
      </c>
      <c r="E5622" s="16">
        <f>IFERROR(__xludf.DUMMYFUNCTION("""COMPUTED_VALUE"""),67.0)</f>
        <v>67</v>
      </c>
      <c r="F5622" s="19" t="str">
        <f>IFERROR(__xludf.DUMMYFUNCTION("""COMPUTED_VALUE"""),"BLUE")</f>
        <v>BLUE</v>
      </c>
      <c r="G5622" s="20" t="str">
        <f>IFERROR(__xludf.DUMMYFUNCTION("""COMPUTED_VALUE"""),"Uncle Sams Cider (04/04/2023)")</f>
        <v>Uncle Sams Cider (04/04/2023)</v>
      </c>
      <c r="H5622" s="19"/>
    </row>
    <row r="5623">
      <c r="A5623" s="9"/>
      <c r="B5623" s="15"/>
      <c r="C5623" s="9">
        <f>IFERROR(__xludf.DUMMYFUNCTION("""COMPUTED_VALUE"""),45085.565201331)</f>
        <v>45085.5652</v>
      </c>
      <c r="D5623" s="15">
        <f>IFERROR(__xludf.DUMMYFUNCTION("""COMPUTED_VALUE"""),1.004)</f>
        <v>1.004</v>
      </c>
      <c r="E5623" s="16">
        <f>IFERROR(__xludf.DUMMYFUNCTION("""COMPUTED_VALUE"""),67.0)</f>
        <v>67</v>
      </c>
      <c r="F5623" s="19" t="str">
        <f>IFERROR(__xludf.DUMMYFUNCTION("""COMPUTED_VALUE"""),"BLUE")</f>
        <v>BLUE</v>
      </c>
      <c r="G5623" s="20" t="str">
        <f>IFERROR(__xludf.DUMMYFUNCTION("""COMPUTED_VALUE"""),"Uncle Sams Cider (04/04/2023)")</f>
        <v>Uncle Sams Cider (04/04/2023)</v>
      </c>
      <c r="H5623" s="19"/>
    </row>
    <row r="5624">
      <c r="A5624" s="9"/>
      <c r="B5624" s="15"/>
      <c r="C5624" s="9">
        <f>IFERROR(__xludf.DUMMYFUNCTION("""COMPUTED_VALUE"""),45085.5547661574)</f>
        <v>45085.55477</v>
      </c>
      <c r="D5624" s="15">
        <f>IFERROR(__xludf.DUMMYFUNCTION("""COMPUTED_VALUE"""),1.005)</f>
        <v>1.005</v>
      </c>
      <c r="E5624" s="16">
        <f>IFERROR(__xludf.DUMMYFUNCTION("""COMPUTED_VALUE"""),67.0)</f>
        <v>67</v>
      </c>
      <c r="F5624" s="19" t="str">
        <f>IFERROR(__xludf.DUMMYFUNCTION("""COMPUTED_VALUE"""),"BLUE")</f>
        <v>BLUE</v>
      </c>
      <c r="G5624" s="20" t="str">
        <f>IFERROR(__xludf.DUMMYFUNCTION("""COMPUTED_VALUE"""),"Uncle Sams Cider (04/04/2023)")</f>
        <v>Uncle Sams Cider (04/04/2023)</v>
      </c>
      <c r="H5624" s="19"/>
    </row>
    <row r="5625">
      <c r="A5625" s="9"/>
      <c r="B5625" s="15"/>
      <c r="C5625" s="9">
        <f>IFERROR(__xludf.DUMMYFUNCTION("""COMPUTED_VALUE"""),45085.5443467592)</f>
        <v>45085.54435</v>
      </c>
      <c r="D5625" s="15">
        <f>IFERROR(__xludf.DUMMYFUNCTION("""COMPUTED_VALUE"""),1.005)</f>
        <v>1.005</v>
      </c>
      <c r="E5625" s="16">
        <f>IFERROR(__xludf.DUMMYFUNCTION("""COMPUTED_VALUE"""),67.0)</f>
        <v>67</v>
      </c>
      <c r="F5625" s="19" t="str">
        <f>IFERROR(__xludf.DUMMYFUNCTION("""COMPUTED_VALUE"""),"BLUE")</f>
        <v>BLUE</v>
      </c>
      <c r="G5625" s="20" t="str">
        <f>IFERROR(__xludf.DUMMYFUNCTION("""COMPUTED_VALUE"""),"Uncle Sams Cider (04/04/2023)")</f>
        <v>Uncle Sams Cider (04/04/2023)</v>
      </c>
      <c r="H5625" s="19"/>
    </row>
    <row r="5626">
      <c r="A5626" s="9"/>
      <c r="B5626" s="15"/>
      <c r="C5626" s="9">
        <f>IFERROR(__xludf.DUMMYFUNCTION("""COMPUTED_VALUE"""),45085.5339265625)</f>
        <v>45085.53393</v>
      </c>
      <c r="D5626" s="15">
        <f>IFERROR(__xludf.DUMMYFUNCTION("""COMPUTED_VALUE"""),1.004)</f>
        <v>1.004</v>
      </c>
      <c r="E5626" s="16">
        <f>IFERROR(__xludf.DUMMYFUNCTION("""COMPUTED_VALUE"""),67.0)</f>
        <v>67</v>
      </c>
      <c r="F5626" s="19" t="str">
        <f>IFERROR(__xludf.DUMMYFUNCTION("""COMPUTED_VALUE"""),"BLUE")</f>
        <v>BLUE</v>
      </c>
      <c r="G5626" s="20" t="str">
        <f>IFERROR(__xludf.DUMMYFUNCTION("""COMPUTED_VALUE"""),"Uncle Sams Cider (04/04/2023)")</f>
        <v>Uncle Sams Cider (04/04/2023)</v>
      </c>
      <c r="H5626" s="19"/>
    </row>
    <row r="5627">
      <c r="A5627" s="9"/>
      <c r="B5627" s="15"/>
      <c r="C5627" s="9">
        <f>IFERROR(__xludf.DUMMYFUNCTION("""COMPUTED_VALUE"""),45085.5235042476)</f>
        <v>45085.5235</v>
      </c>
      <c r="D5627" s="15">
        <f>IFERROR(__xludf.DUMMYFUNCTION("""COMPUTED_VALUE"""),1.005)</f>
        <v>1.005</v>
      </c>
      <c r="E5627" s="16">
        <f>IFERROR(__xludf.DUMMYFUNCTION("""COMPUTED_VALUE"""),67.0)</f>
        <v>67</v>
      </c>
      <c r="F5627" s="19" t="str">
        <f>IFERROR(__xludf.DUMMYFUNCTION("""COMPUTED_VALUE"""),"BLUE")</f>
        <v>BLUE</v>
      </c>
      <c r="G5627" s="20" t="str">
        <f>IFERROR(__xludf.DUMMYFUNCTION("""COMPUTED_VALUE"""),"Uncle Sams Cider (04/04/2023)")</f>
        <v>Uncle Sams Cider (04/04/2023)</v>
      </c>
      <c r="H5627" s="19"/>
    </row>
    <row r="5628">
      <c r="A5628" s="9"/>
      <c r="B5628" s="15"/>
      <c r="C5628" s="9">
        <f>IFERROR(__xludf.DUMMYFUNCTION("""COMPUTED_VALUE"""),45085.513048912)</f>
        <v>45085.51305</v>
      </c>
      <c r="D5628" s="15">
        <f>IFERROR(__xludf.DUMMYFUNCTION("""COMPUTED_VALUE"""),1.005)</f>
        <v>1.005</v>
      </c>
      <c r="E5628" s="16">
        <f>IFERROR(__xludf.DUMMYFUNCTION("""COMPUTED_VALUE"""),67.0)</f>
        <v>67</v>
      </c>
      <c r="F5628" s="19" t="str">
        <f>IFERROR(__xludf.DUMMYFUNCTION("""COMPUTED_VALUE"""),"BLUE")</f>
        <v>BLUE</v>
      </c>
      <c r="G5628" s="20" t="str">
        <f>IFERROR(__xludf.DUMMYFUNCTION("""COMPUTED_VALUE"""),"Uncle Sams Cider (04/04/2023)")</f>
        <v>Uncle Sams Cider (04/04/2023)</v>
      </c>
      <c r="H5628" s="19"/>
    </row>
    <row r="5629">
      <c r="A5629" s="9"/>
      <c r="B5629" s="15"/>
      <c r="C5629" s="9">
        <f>IFERROR(__xludf.DUMMYFUNCTION("""COMPUTED_VALUE"""),45085.5026054976)</f>
        <v>45085.50261</v>
      </c>
      <c r="D5629" s="15">
        <f>IFERROR(__xludf.DUMMYFUNCTION("""COMPUTED_VALUE"""),1.005)</f>
        <v>1.005</v>
      </c>
      <c r="E5629" s="16">
        <f>IFERROR(__xludf.DUMMYFUNCTION("""COMPUTED_VALUE"""),67.0)</f>
        <v>67</v>
      </c>
      <c r="F5629" s="19" t="str">
        <f>IFERROR(__xludf.DUMMYFUNCTION("""COMPUTED_VALUE"""),"BLUE")</f>
        <v>BLUE</v>
      </c>
      <c r="G5629" s="20" t="str">
        <f>IFERROR(__xludf.DUMMYFUNCTION("""COMPUTED_VALUE"""),"Uncle Sams Cider (04/04/2023)")</f>
        <v>Uncle Sams Cider (04/04/2023)</v>
      </c>
      <c r="H5629" s="19"/>
    </row>
    <row r="5630">
      <c r="A5630" s="9"/>
      <c r="B5630" s="15"/>
      <c r="C5630" s="9">
        <f>IFERROR(__xludf.DUMMYFUNCTION("""COMPUTED_VALUE"""),45085.4921618634)</f>
        <v>45085.49216</v>
      </c>
      <c r="D5630" s="15">
        <f>IFERROR(__xludf.DUMMYFUNCTION("""COMPUTED_VALUE"""),1.005)</f>
        <v>1.005</v>
      </c>
      <c r="E5630" s="16">
        <f>IFERROR(__xludf.DUMMYFUNCTION("""COMPUTED_VALUE"""),67.0)</f>
        <v>67</v>
      </c>
      <c r="F5630" s="19" t="str">
        <f>IFERROR(__xludf.DUMMYFUNCTION("""COMPUTED_VALUE"""),"BLUE")</f>
        <v>BLUE</v>
      </c>
      <c r="G5630" s="20" t="str">
        <f>IFERROR(__xludf.DUMMYFUNCTION("""COMPUTED_VALUE"""),"Uncle Sams Cider (04/04/2023)")</f>
        <v>Uncle Sams Cider (04/04/2023)</v>
      </c>
      <c r="H5630" s="19"/>
    </row>
    <row r="5631">
      <c r="A5631" s="9"/>
      <c r="B5631" s="15"/>
      <c r="C5631" s="9">
        <f>IFERROR(__xludf.DUMMYFUNCTION("""COMPUTED_VALUE"""),45085.4817417129)</f>
        <v>45085.48174</v>
      </c>
      <c r="D5631" s="15">
        <f>IFERROR(__xludf.DUMMYFUNCTION("""COMPUTED_VALUE"""),1.004)</f>
        <v>1.004</v>
      </c>
      <c r="E5631" s="16">
        <f>IFERROR(__xludf.DUMMYFUNCTION("""COMPUTED_VALUE"""),67.0)</f>
        <v>67</v>
      </c>
      <c r="F5631" s="19" t="str">
        <f>IFERROR(__xludf.DUMMYFUNCTION("""COMPUTED_VALUE"""),"BLUE")</f>
        <v>BLUE</v>
      </c>
      <c r="G5631" s="20" t="str">
        <f>IFERROR(__xludf.DUMMYFUNCTION("""COMPUTED_VALUE"""),"Uncle Sams Cider (04/04/2023)")</f>
        <v>Uncle Sams Cider (04/04/2023)</v>
      </c>
      <c r="H5631" s="19"/>
    </row>
    <row r="5632">
      <c r="A5632" s="9"/>
      <c r="B5632" s="15"/>
      <c r="C5632" s="9">
        <f>IFERROR(__xludf.DUMMYFUNCTION("""COMPUTED_VALUE"""),45085.4713199305)</f>
        <v>45085.47132</v>
      </c>
      <c r="D5632" s="15">
        <f>IFERROR(__xludf.DUMMYFUNCTION("""COMPUTED_VALUE"""),1.005)</f>
        <v>1.005</v>
      </c>
      <c r="E5632" s="16">
        <f>IFERROR(__xludf.DUMMYFUNCTION("""COMPUTED_VALUE"""),67.0)</f>
        <v>67</v>
      </c>
      <c r="F5632" s="19" t="str">
        <f>IFERROR(__xludf.DUMMYFUNCTION("""COMPUTED_VALUE"""),"BLUE")</f>
        <v>BLUE</v>
      </c>
      <c r="G5632" s="20" t="str">
        <f>IFERROR(__xludf.DUMMYFUNCTION("""COMPUTED_VALUE"""),"Uncle Sams Cider (04/04/2023)")</f>
        <v>Uncle Sams Cider (04/04/2023)</v>
      </c>
      <c r="H5632" s="19"/>
    </row>
    <row r="5633">
      <c r="A5633" s="9"/>
      <c r="B5633" s="15"/>
      <c r="C5633" s="9">
        <f>IFERROR(__xludf.DUMMYFUNCTION("""COMPUTED_VALUE"""),45085.4608748379)</f>
        <v>45085.46087</v>
      </c>
      <c r="D5633" s="15">
        <f>IFERROR(__xludf.DUMMYFUNCTION("""COMPUTED_VALUE"""),1.005)</f>
        <v>1.005</v>
      </c>
      <c r="E5633" s="16">
        <f>IFERROR(__xludf.DUMMYFUNCTION("""COMPUTED_VALUE"""),67.0)</f>
        <v>67</v>
      </c>
      <c r="F5633" s="19" t="str">
        <f>IFERROR(__xludf.DUMMYFUNCTION("""COMPUTED_VALUE"""),"BLUE")</f>
        <v>BLUE</v>
      </c>
      <c r="G5633" s="20" t="str">
        <f>IFERROR(__xludf.DUMMYFUNCTION("""COMPUTED_VALUE"""),"Uncle Sams Cider (04/04/2023)")</f>
        <v>Uncle Sams Cider (04/04/2023)</v>
      </c>
      <c r="H5633" s="19"/>
    </row>
    <row r="5634">
      <c r="A5634" s="9"/>
      <c r="B5634" s="15"/>
      <c r="C5634" s="9">
        <f>IFERROR(__xludf.DUMMYFUNCTION("""COMPUTED_VALUE"""),45085.4504332291)</f>
        <v>45085.45043</v>
      </c>
      <c r="D5634" s="15">
        <f>IFERROR(__xludf.DUMMYFUNCTION("""COMPUTED_VALUE"""),1.005)</f>
        <v>1.005</v>
      </c>
      <c r="E5634" s="16">
        <f>IFERROR(__xludf.DUMMYFUNCTION("""COMPUTED_VALUE"""),66.0)</f>
        <v>66</v>
      </c>
      <c r="F5634" s="19" t="str">
        <f>IFERROR(__xludf.DUMMYFUNCTION("""COMPUTED_VALUE"""),"BLUE")</f>
        <v>BLUE</v>
      </c>
      <c r="G5634" s="20" t="str">
        <f>IFERROR(__xludf.DUMMYFUNCTION("""COMPUTED_VALUE"""),"Uncle Sams Cider (04/04/2023)")</f>
        <v>Uncle Sams Cider (04/04/2023)</v>
      </c>
      <c r="H5634" s="19"/>
    </row>
    <row r="5635">
      <c r="A5635" s="9"/>
      <c r="B5635" s="15"/>
      <c r="C5635" s="9">
        <f>IFERROR(__xludf.DUMMYFUNCTION("""COMPUTED_VALUE"""),45085.4400131018)</f>
        <v>45085.44001</v>
      </c>
      <c r="D5635" s="15">
        <f>IFERROR(__xludf.DUMMYFUNCTION("""COMPUTED_VALUE"""),1.005)</f>
        <v>1.005</v>
      </c>
      <c r="E5635" s="16">
        <f>IFERROR(__xludf.DUMMYFUNCTION("""COMPUTED_VALUE"""),67.0)</f>
        <v>67</v>
      </c>
      <c r="F5635" s="19" t="str">
        <f>IFERROR(__xludf.DUMMYFUNCTION("""COMPUTED_VALUE"""),"BLUE")</f>
        <v>BLUE</v>
      </c>
      <c r="G5635" s="20" t="str">
        <f>IFERROR(__xludf.DUMMYFUNCTION("""COMPUTED_VALUE"""),"Uncle Sams Cider (04/04/2023)")</f>
        <v>Uncle Sams Cider (04/04/2023)</v>
      </c>
      <c r="H5635" s="19"/>
    </row>
    <row r="5636">
      <c r="A5636" s="9"/>
      <c r="B5636" s="15"/>
      <c r="C5636" s="9">
        <f>IFERROR(__xludf.DUMMYFUNCTION("""COMPUTED_VALUE"""),45085.4295923726)</f>
        <v>45085.42959</v>
      </c>
      <c r="D5636" s="15">
        <f>IFERROR(__xludf.DUMMYFUNCTION("""COMPUTED_VALUE"""),1.005)</f>
        <v>1.005</v>
      </c>
      <c r="E5636" s="16">
        <f>IFERROR(__xludf.DUMMYFUNCTION("""COMPUTED_VALUE"""),67.0)</f>
        <v>67</v>
      </c>
      <c r="F5636" s="19" t="str">
        <f>IFERROR(__xludf.DUMMYFUNCTION("""COMPUTED_VALUE"""),"BLUE")</f>
        <v>BLUE</v>
      </c>
      <c r="G5636" s="20" t="str">
        <f>IFERROR(__xludf.DUMMYFUNCTION("""COMPUTED_VALUE"""),"Uncle Sams Cider (04/04/2023)")</f>
        <v>Uncle Sams Cider (04/04/2023)</v>
      </c>
      <c r="H5636" s="19"/>
    </row>
    <row r="5637">
      <c r="A5637" s="9"/>
      <c r="B5637" s="15"/>
      <c r="C5637" s="9">
        <f>IFERROR(__xludf.DUMMYFUNCTION("""COMPUTED_VALUE"""),45085.4191720601)</f>
        <v>45085.41917</v>
      </c>
      <c r="D5637" s="15">
        <f>IFERROR(__xludf.DUMMYFUNCTION("""COMPUTED_VALUE"""),1.005)</f>
        <v>1.005</v>
      </c>
      <c r="E5637" s="16">
        <f>IFERROR(__xludf.DUMMYFUNCTION("""COMPUTED_VALUE"""),67.0)</f>
        <v>67</v>
      </c>
      <c r="F5637" s="19" t="str">
        <f>IFERROR(__xludf.DUMMYFUNCTION("""COMPUTED_VALUE"""),"BLUE")</f>
        <v>BLUE</v>
      </c>
      <c r="G5637" s="20" t="str">
        <f>IFERROR(__xludf.DUMMYFUNCTION("""COMPUTED_VALUE"""),"Uncle Sams Cider (04/04/2023)")</f>
        <v>Uncle Sams Cider (04/04/2023)</v>
      </c>
      <c r="H5637" s="19"/>
    </row>
    <row r="5638">
      <c r="A5638" s="9"/>
      <c r="B5638" s="15"/>
      <c r="C5638" s="9">
        <f>IFERROR(__xludf.DUMMYFUNCTION("""COMPUTED_VALUE"""),45085.408739155)</f>
        <v>45085.40874</v>
      </c>
      <c r="D5638" s="15">
        <f>IFERROR(__xludf.DUMMYFUNCTION("""COMPUTED_VALUE"""),1.005)</f>
        <v>1.005</v>
      </c>
      <c r="E5638" s="16">
        <f>IFERROR(__xludf.DUMMYFUNCTION("""COMPUTED_VALUE"""),67.0)</f>
        <v>67</v>
      </c>
      <c r="F5638" s="19" t="str">
        <f>IFERROR(__xludf.DUMMYFUNCTION("""COMPUTED_VALUE"""),"BLUE")</f>
        <v>BLUE</v>
      </c>
      <c r="G5638" s="20" t="str">
        <f>IFERROR(__xludf.DUMMYFUNCTION("""COMPUTED_VALUE"""),"Uncle Sams Cider (04/04/2023)")</f>
        <v>Uncle Sams Cider (04/04/2023)</v>
      </c>
      <c r="H5638" s="19"/>
    </row>
    <row r="5639">
      <c r="A5639" s="9"/>
      <c r="B5639" s="15"/>
      <c r="C5639" s="9">
        <f>IFERROR(__xludf.DUMMYFUNCTION("""COMPUTED_VALUE"""),45085.3983194097)</f>
        <v>45085.39832</v>
      </c>
      <c r="D5639" s="15">
        <f>IFERROR(__xludf.DUMMYFUNCTION("""COMPUTED_VALUE"""),1.004)</f>
        <v>1.004</v>
      </c>
      <c r="E5639" s="16">
        <f>IFERROR(__xludf.DUMMYFUNCTION("""COMPUTED_VALUE"""),67.0)</f>
        <v>67</v>
      </c>
      <c r="F5639" s="19" t="str">
        <f>IFERROR(__xludf.DUMMYFUNCTION("""COMPUTED_VALUE"""),"BLUE")</f>
        <v>BLUE</v>
      </c>
      <c r="G5639" s="20" t="str">
        <f>IFERROR(__xludf.DUMMYFUNCTION("""COMPUTED_VALUE"""),"Uncle Sams Cider (04/04/2023)")</f>
        <v>Uncle Sams Cider (04/04/2023)</v>
      </c>
      <c r="H5639" s="19"/>
    </row>
    <row r="5640">
      <c r="A5640" s="9"/>
      <c r="B5640" s="15"/>
      <c r="C5640" s="9">
        <f>IFERROR(__xludf.DUMMYFUNCTION("""COMPUTED_VALUE"""),45085.3878868634)</f>
        <v>45085.38789</v>
      </c>
      <c r="D5640" s="15">
        <f>IFERROR(__xludf.DUMMYFUNCTION("""COMPUTED_VALUE"""),1.005)</f>
        <v>1.005</v>
      </c>
      <c r="E5640" s="16">
        <f>IFERROR(__xludf.DUMMYFUNCTION("""COMPUTED_VALUE"""),67.0)</f>
        <v>67</v>
      </c>
      <c r="F5640" s="19" t="str">
        <f>IFERROR(__xludf.DUMMYFUNCTION("""COMPUTED_VALUE"""),"BLUE")</f>
        <v>BLUE</v>
      </c>
      <c r="G5640" s="20" t="str">
        <f>IFERROR(__xludf.DUMMYFUNCTION("""COMPUTED_VALUE"""),"Uncle Sams Cider (04/04/2023)")</f>
        <v>Uncle Sams Cider (04/04/2023)</v>
      </c>
      <c r="H5640" s="19"/>
    </row>
    <row r="5641">
      <c r="A5641" s="9"/>
      <c r="B5641" s="15"/>
      <c r="C5641" s="9">
        <f>IFERROR(__xludf.DUMMYFUNCTION("""COMPUTED_VALUE"""),45085.3774541435)</f>
        <v>45085.37745</v>
      </c>
      <c r="D5641" s="15">
        <f>IFERROR(__xludf.DUMMYFUNCTION("""COMPUTED_VALUE"""),1.005)</f>
        <v>1.005</v>
      </c>
      <c r="E5641" s="16">
        <f>IFERROR(__xludf.DUMMYFUNCTION("""COMPUTED_VALUE"""),67.0)</f>
        <v>67</v>
      </c>
      <c r="F5641" s="19" t="str">
        <f>IFERROR(__xludf.DUMMYFUNCTION("""COMPUTED_VALUE"""),"BLUE")</f>
        <v>BLUE</v>
      </c>
      <c r="G5641" s="20" t="str">
        <f>IFERROR(__xludf.DUMMYFUNCTION("""COMPUTED_VALUE"""),"Uncle Sams Cider (04/04/2023)")</f>
        <v>Uncle Sams Cider (04/04/2023)</v>
      </c>
      <c r="H5641" s="19"/>
    </row>
    <row r="5642">
      <c r="A5642" s="9"/>
      <c r="B5642" s="15"/>
      <c r="C5642" s="9">
        <f>IFERROR(__xludf.DUMMYFUNCTION("""COMPUTED_VALUE"""),45085.3670209375)</f>
        <v>45085.36702</v>
      </c>
      <c r="D5642" s="15">
        <f>IFERROR(__xludf.DUMMYFUNCTION("""COMPUTED_VALUE"""),1.005)</f>
        <v>1.005</v>
      </c>
      <c r="E5642" s="16">
        <f>IFERROR(__xludf.DUMMYFUNCTION("""COMPUTED_VALUE"""),67.0)</f>
        <v>67</v>
      </c>
      <c r="F5642" s="19" t="str">
        <f>IFERROR(__xludf.DUMMYFUNCTION("""COMPUTED_VALUE"""),"BLUE")</f>
        <v>BLUE</v>
      </c>
      <c r="G5642" s="20" t="str">
        <f>IFERROR(__xludf.DUMMYFUNCTION("""COMPUTED_VALUE"""),"Uncle Sams Cider (04/04/2023)")</f>
        <v>Uncle Sams Cider (04/04/2023)</v>
      </c>
      <c r="H5642" s="19"/>
    </row>
    <row r="5643">
      <c r="A5643" s="9"/>
      <c r="B5643" s="15"/>
      <c r="C5643" s="9">
        <f>IFERROR(__xludf.DUMMYFUNCTION("""COMPUTED_VALUE"""),45085.3565863078)</f>
        <v>45085.35659</v>
      </c>
      <c r="D5643" s="15">
        <f>IFERROR(__xludf.DUMMYFUNCTION("""COMPUTED_VALUE"""),1.005)</f>
        <v>1.005</v>
      </c>
      <c r="E5643" s="16">
        <f>IFERROR(__xludf.DUMMYFUNCTION("""COMPUTED_VALUE"""),67.0)</f>
        <v>67</v>
      </c>
      <c r="F5643" s="19" t="str">
        <f>IFERROR(__xludf.DUMMYFUNCTION("""COMPUTED_VALUE"""),"BLUE")</f>
        <v>BLUE</v>
      </c>
      <c r="G5643" s="20" t="str">
        <f>IFERROR(__xludf.DUMMYFUNCTION("""COMPUTED_VALUE"""),"Uncle Sams Cider (04/04/2023)")</f>
        <v>Uncle Sams Cider (04/04/2023)</v>
      </c>
      <c r="H5643" s="19"/>
    </row>
    <row r="5644">
      <c r="A5644" s="9"/>
      <c r="B5644" s="15"/>
      <c r="C5644" s="9">
        <f>IFERROR(__xludf.DUMMYFUNCTION("""COMPUTED_VALUE"""),45085.3461680324)</f>
        <v>45085.34617</v>
      </c>
      <c r="D5644" s="15">
        <f>IFERROR(__xludf.DUMMYFUNCTION("""COMPUTED_VALUE"""),1.005)</f>
        <v>1.005</v>
      </c>
      <c r="E5644" s="16">
        <f>IFERROR(__xludf.DUMMYFUNCTION("""COMPUTED_VALUE"""),67.0)</f>
        <v>67</v>
      </c>
      <c r="F5644" s="19" t="str">
        <f>IFERROR(__xludf.DUMMYFUNCTION("""COMPUTED_VALUE"""),"BLUE")</f>
        <v>BLUE</v>
      </c>
      <c r="G5644" s="20" t="str">
        <f>IFERROR(__xludf.DUMMYFUNCTION("""COMPUTED_VALUE"""),"Uncle Sams Cider (04/04/2023)")</f>
        <v>Uncle Sams Cider (04/04/2023)</v>
      </c>
      <c r="H5644" s="19"/>
    </row>
    <row r="5645">
      <c r="A5645" s="9"/>
      <c r="B5645" s="15"/>
      <c r="C5645" s="9">
        <f>IFERROR(__xludf.DUMMYFUNCTION("""COMPUTED_VALUE"""),45085.3357340509)</f>
        <v>45085.33573</v>
      </c>
      <c r="D5645" s="15">
        <f>IFERROR(__xludf.DUMMYFUNCTION("""COMPUTED_VALUE"""),1.005)</f>
        <v>1.005</v>
      </c>
      <c r="E5645" s="16">
        <f>IFERROR(__xludf.DUMMYFUNCTION("""COMPUTED_VALUE"""),67.0)</f>
        <v>67</v>
      </c>
      <c r="F5645" s="19" t="str">
        <f>IFERROR(__xludf.DUMMYFUNCTION("""COMPUTED_VALUE"""),"BLUE")</f>
        <v>BLUE</v>
      </c>
      <c r="G5645" s="20" t="str">
        <f>IFERROR(__xludf.DUMMYFUNCTION("""COMPUTED_VALUE"""),"Uncle Sams Cider (04/04/2023)")</f>
        <v>Uncle Sams Cider (04/04/2023)</v>
      </c>
      <c r="H5645" s="19"/>
    </row>
    <row r="5646">
      <c r="A5646" s="9"/>
      <c r="B5646" s="15"/>
      <c r="C5646" s="9">
        <f>IFERROR(__xludf.DUMMYFUNCTION("""COMPUTED_VALUE"""),45085.3253111458)</f>
        <v>45085.32531</v>
      </c>
      <c r="D5646" s="15">
        <f>IFERROR(__xludf.DUMMYFUNCTION("""COMPUTED_VALUE"""),1.005)</f>
        <v>1.005</v>
      </c>
      <c r="E5646" s="16">
        <f>IFERROR(__xludf.DUMMYFUNCTION("""COMPUTED_VALUE"""),67.0)</f>
        <v>67</v>
      </c>
      <c r="F5646" s="19" t="str">
        <f>IFERROR(__xludf.DUMMYFUNCTION("""COMPUTED_VALUE"""),"BLUE")</f>
        <v>BLUE</v>
      </c>
      <c r="G5646" s="20" t="str">
        <f>IFERROR(__xludf.DUMMYFUNCTION("""COMPUTED_VALUE"""),"Uncle Sams Cider (04/04/2023)")</f>
        <v>Uncle Sams Cider (04/04/2023)</v>
      </c>
      <c r="H5646" s="19"/>
    </row>
    <row r="5647">
      <c r="A5647" s="9"/>
      <c r="B5647" s="15"/>
      <c r="C5647" s="9">
        <f>IFERROR(__xludf.DUMMYFUNCTION("""COMPUTED_VALUE"""),45085.3148785763)</f>
        <v>45085.31488</v>
      </c>
      <c r="D5647" s="15">
        <f>IFERROR(__xludf.DUMMYFUNCTION("""COMPUTED_VALUE"""),1.005)</f>
        <v>1.005</v>
      </c>
      <c r="E5647" s="16">
        <f>IFERROR(__xludf.DUMMYFUNCTION("""COMPUTED_VALUE"""),67.0)</f>
        <v>67</v>
      </c>
      <c r="F5647" s="19" t="str">
        <f>IFERROR(__xludf.DUMMYFUNCTION("""COMPUTED_VALUE"""),"BLUE")</f>
        <v>BLUE</v>
      </c>
      <c r="G5647" s="20" t="str">
        <f>IFERROR(__xludf.DUMMYFUNCTION("""COMPUTED_VALUE"""),"Uncle Sams Cider (04/04/2023)")</f>
        <v>Uncle Sams Cider (04/04/2023)</v>
      </c>
      <c r="H5647" s="19"/>
    </row>
    <row r="5648">
      <c r="A5648" s="9"/>
      <c r="B5648" s="15"/>
      <c r="C5648" s="9">
        <f>IFERROR(__xludf.DUMMYFUNCTION("""COMPUTED_VALUE"""),45085.304457199)</f>
        <v>45085.30446</v>
      </c>
      <c r="D5648" s="15">
        <f>IFERROR(__xludf.DUMMYFUNCTION("""COMPUTED_VALUE"""),1.005)</f>
        <v>1.005</v>
      </c>
      <c r="E5648" s="16">
        <f>IFERROR(__xludf.DUMMYFUNCTION("""COMPUTED_VALUE"""),67.0)</f>
        <v>67</v>
      </c>
      <c r="F5648" s="19" t="str">
        <f>IFERROR(__xludf.DUMMYFUNCTION("""COMPUTED_VALUE"""),"BLUE")</f>
        <v>BLUE</v>
      </c>
      <c r="G5648" s="20" t="str">
        <f>IFERROR(__xludf.DUMMYFUNCTION("""COMPUTED_VALUE"""),"Uncle Sams Cider (04/04/2023)")</f>
        <v>Uncle Sams Cider (04/04/2023)</v>
      </c>
      <c r="H5648" s="19"/>
    </row>
    <row r="5649">
      <c r="A5649" s="9"/>
      <c r="B5649" s="15"/>
      <c r="C5649" s="9">
        <f>IFERROR(__xludf.DUMMYFUNCTION("""COMPUTED_VALUE"""),45085.294012037)</f>
        <v>45085.29401</v>
      </c>
      <c r="D5649" s="15">
        <f>IFERROR(__xludf.DUMMYFUNCTION("""COMPUTED_VALUE"""),1.005)</f>
        <v>1.005</v>
      </c>
      <c r="E5649" s="16">
        <f>IFERROR(__xludf.DUMMYFUNCTION("""COMPUTED_VALUE"""),67.0)</f>
        <v>67</v>
      </c>
      <c r="F5649" s="19" t="str">
        <f>IFERROR(__xludf.DUMMYFUNCTION("""COMPUTED_VALUE"""),"BLUE")</f>
        <v>BLUE</v>
      </c>
      <c r="G5649" s="20" t="str">
        <f>IFERROR(__xludf.DUMMYFUNCTION("""COMPUTED_VALUE"""),"Uncle Sams Cider (04/04/2023)")</f>
        <v>Uncle Sams Cider (04/04/2023)</v>
      </c>
      <c r="H5649" s="19"/>
    </row>
    <row r="5650">
      <c r="A5650" s="9"/>
      <c r="B5650" s="15"/>
      <c r="C5650" s="9">
        <f>IFERROR(__xludf.DUMMYFUNCTION("""COMPUTED_VALUE"""),45085.2835911805)</f>
        <v>45085.28359</v>
      </c>
      <c r="D5650" s="15">
        <f>IFERROR(__xludf.DUMMYFUNCTION("""COMPUTED_VALUE"""),1.005)</f>
        <v>1.005</v>
      </c>
      <c r="E5650" s="16">
        <f>IFERROR(__xludf.DUMMYFUNCTION("""COMPUTED_VALUE"""),67.0)</f>
        <v>67</v>
      </c>
      <c r="F5650" s="19" t="str">
        <f>IFERROR(__xludf.DUMMYFUNCTION("""COMPUTED_VALUE"""),"BLUE")</f>
        <v>BLUE</v>
      </c>
      <c r="G5650" s="20" t="str">
        <f>IFERROR(__xludf.DUMMYFUNCTION("""COMPUTED_VALUE"""),"Uncle Sams Cider (04/04/2023)")</f>
        <v>Uncle Sams Cider (04/04/2023)</v>
      </c>
      <c r="H5650" s="19"/>
    </row>
    <row r="5651">
      <c r="A5651" s="9"/>
      <c r="B5651" s="15"/>
      <c r="C5651" s="9">
        <f>IFERROR(__xludf.DUMMYFUNCTION("""COMPUTED_VALUE"""),45085.2731707175)</f>
        <v>45085.27317</v>
      </c>
      <c r="D5651" s="15">
        <f>IFERROR(__xludf.DUMMYFUNCTION("""COMPUTED_VALUE"""),1.005)</f>
        <v>1.005</v>
      </c>
      <c r="E5651" s="16">
        <f>IFERROR(__xludf.DUMMYFUNCTION("""COMPUTED_VALUE"""),67.0)</f>
        <v>67</v>
      </c>
      <c r="F5651" s="19" t="str">
        <f>IFERROR(__xludf.DUMMYFUNCTION("""COMPUTED_VALUE"""),"BLUE")</f>
        <v>BLUE</v>
      </c>
      <c r="G5651" s="20" t="str">
        <f>IFERROR(__xludf.DUMMYFUNCTION("""COMPUTED_VALUE"""),"Uncle Sams Cider (04/04/2023)")</f>
        <v>Uncle Sams Cider (04/04/2023)</v>
      </c>
      <c r="H5651" s="19"/>
    </row>
    <row r="5652">
      <c r="A5652" s="9"/>
      <c r="B5652" s="15"/>
      <c r="C5652" s="9">
        <f>IFERROR(__xludf.DUMMYFUNCTION("""COMPUTED_VALUE"""),45085.262750081)</f>
        <v>45085.26275</v>
      </c>
      <c r="D5652" s="15">
        <f>IFERROR(__xludf.DUMMYFUNCTION("""COMPUTED_VALUE"""),1.005)</f>
        <v>1.005</v>
      </c>
      <c r="E5652" s="16">
        <f>IFERROR(__xludf.DUMMYFUNCTION("""COMPUTED_VALUE"""),67.0)</f>
        <v>67</v>
      </c>
      <c r="F5652" s="19" t="str">
        <f>IFERROR(__xludf.DUMMYFUNCTION("""COMPUTED_VALUE"""),"BLUE")</f>
        <v>BLUE</v>
      </c>
      <c r="G5652" s="20" t="str">
        <f>IFERROR(__xludf.DUMMYFUNCTION("""COMPUTED_VALUE"""),"Uncle Sams Cider (04/04/2023)")</f>
        <v>Uncle Sams Cider (04/04/2023)</v>
      </c>
      <c r="H5652" s="19"/>
    </row>
    <row r="5653">
      <c r="A5653" s="9"/>
      <c r="B5653" s="15"/>
      <c r="C5653" s="9">
        <f>IFERROR(__xludf.DUMMYFUNCTION("""COMPUTED_VALUE"""),45085.2523302314)</f>
        <v>45085.25233</v>
      </c>
      <c r="D5653" s="15">
        <f>IFERROR(__xludf.DUMMYFUNCTION("""COMPUTED_VALUE"""),1.005)</f>
        <v>1.005</v>
      </c>
      <c r="E5653" s="16">
        <f>IFERROR(__xludf.DUMMYFUNCTION("""COMPUTED_VALUE"""),67.0)</f>
        <v>67</v>
      </c>
      <c r="F5653" s="19" t="str">
        <f>IFERROR(__xludf.DUMMYFUNCTION("""COMPUTED_VALUE"""),"BLUE")</f>
        <v>BLUE</v>
      </c>
      <c r="G5653" s="20" t="str">
        <f>IFERROR(__xludf.DUMMYFUNCTION("""COMPUTED_VALUE"""),"Uncle Sams Cider (04/04/2023)")</f>
        <v>Uncle Sams Cider (04/04/2023)</v>
      </c>
      <c r="H5653" s="19"/>
    </row>
    <row r="5654">
      <c r="A5654" s="9"/>
      <c r="B5654" s="15"/>
      <c r="C5654" s="9">
        <f>IFERROR(__xludf.DUMMYFUNCTION("""COMPUTED_VALUE"""),45085.2418865162)</f>
        <v>45085.24189</v>
      </c>
      <c r="D5654" s="15">
        <f>IFERROR(__xludf.DUMMYFUNCTION("""COMPUTED_VALUE"""),1.005)</f>
        <v>1.005</v>
      </c>
      <c r="E5654" s="16">
        <f>IFERROR(__xludf.DUMMYFUNCTION("""COMPUTED_VALUE"""),67.0)</f>
        <v>67</v>
      </c>
      <c r="F5654" s="19" t="str">
        <f>IFERROR(__xludf.DUMMYFUNCTION("""COMPUTED_VALUE"""),"BLUE")</f>
        <v>BLUE</v>
      </c>
      <c r="G5654" s="20" t="str">
        <f>IFERROR(__xludf.DUMMYFUNCTION("""COMPUTED_VALUE"""),"Uncle Sams Cider (04/04/2023)")</f>
        <v>Uncle Sams Cider (04/04/2023)</v>
      </c>
      <c r="H5654" s="19"/>
    </row>
    <row r="5655">
      <c r="A5655" s="9"/>
      <c r="B5655" s="15"/>
      <c r="C5655" s="9">
        <f>IFERROR(__xludf.DUMMYFUNCTION("""COMPUTED_VALUE"""),45085.2314654166)</f>
        <v>45085.23147</v>
      </c>
      <c r="D5655" s="15">
        <f>IFERROR(__xludf.DUMMYFUNCTION("""COMPUTED_VALUE"""),1.005)</f>
        <v>1.005</v>
      </c>
      <c r="E5655" s="16">
        <f>IFERROR(__xludf.DUMMYFUNCTION("""COMPUTED_VALUE"""),67.0)</f>
        <v>67</v>
      </c>
      <c r="F5655" s="19" t="str">
        <f>IFERROR(__xludf.DUMMYFUNCTION("""COMPUTED_VALUE"""),"BLUE")</f>
        <v>BLUE</v>
      </c>
      <c r="G5655" s="20" t="str">
        <f>IFERROR(__xludf.DUMMYFUNCTION("""COMPUTED_VALUE"""),"Uncle Sams Cider (04/04/2023)")</f>
        <v>Uncle Sams Cider (04/04/2023)</v>
      </c>
      <c r="H5655" s="19"/>
    </row>
    <row r="5656">
      <c r="A5656" s="9"/>
      <c r="B5656" s="15"/>
      <c r="C5656" s="9">
        <f>IFERROR(__xludf.DUMMYFUNCTION("""COMPUTED_VALUE"""),45085.2210326967)</f>
        <v>45085.22103</v>
      </c>
      <c r="D5656" s="15">
        <f>IFERROR(__xludf.DUMMYFUNCTION("""COMPUTED_VALUE"""),1.005)</f>
        <v>1.005</v>
      </c>
      <c r="E5656" s="16">
        <f>IFERROR(__xludf.DUMMYFUNCTION("""COMPUTED_VALUE"""),67.0)</f>
        <v>67</v>
      </c>
      <c r="F5656" s="19" t="str">
        <f>IFERROR(__xludf.DUMMYFUNCTION("""COMPUTED_VALUE"""),"BLUE")</f>
        <v>BLUE</v>
      </c>
      <c r="G5656" s="20" t="str">
        <f>IFERROR(__xludf.DUMMYFUNCTION("""COMPUTED_VALUE"""),"Uncle Sams Cider (04/04/2023)")</f>
        <v>Uncle Sams Cider (04/04/2023)</v>
      </c>
      <c r="H5656" s="19"/>
    </row>
    <row r="5657">
      <c r="A5657" s="9"/>
      <c r="B5657" s="15"/>
      <c r="C5657" s="9">
        <f>IFERROR(__xludf.DUMMYFUNCTION("""COMPUTED_VALUE"""),45085.2105988888)</f>
        <v>45085.2106</v>
      </c>
      <c r="D5657" s="15">
        <f>IFERROR(__xludf.DUMMYFUNCTION("""COMPUTED_VALUE"""),1.005)</f>
        <v>1.005</v>
      </c>
      <c r="E5657" s="16">
        <f>IFERROR(__xludf.DUMMYFUNCTION("""COMPUTED_VALUE"""),67.0)</f>
        <v>67</v>
      </c>
      <c r="F5657" s="19" t="str">
        <f>IFERROR(__xludf.DUMMYFUNCTION("""COMPUTED_VALUE"""),"BLUE")</f>
        <v>BLUE</v>
      </c>
      <c r="G5657" s="20" t="str">
        <f>IFERROR(__xludf.DUMMYFUNCTION("""COMPUTED_VALUE"""),"Uncle Sams Cider (04/04/2023)")</f>
        <v>Uncle Sams Cider (04/04/2023)</v>
      </c>
      <c r="H5657" s="19"/>
    </row>
    <row r="5658">
      <c r="A5658" s="9"/>
      <c r="B5658" s="15"/>
      <c r="C5658" s="9">
        <f>IFERROR(__xludf.DUMMYFUNCTION("""COMPUTED_VALUE"""),45085.200177824)</f>
        <v>45085.20018</v>
      </c>
      <c r="D5658" s="15">
        <f>IFERROR(__xludf.DUMMYFUNCTION("""COMPUTED_VALUE"""),1.004)</f>
        <v>1.004</v>
      </c>
      <c r="E5658" s="16">
        <f>IFERROR(__xludf.DUMMYFUNCTION("""COMPUTED_VALUE"""),67.0)</f>
        <v>67</v>
      </c>
      <c r="F5658" s="19" t="str">
        <f>IFERROR(__xludf.DUMMYFUNCTION("""COMPUTED_VALUE"""),"BLUE")</f>
        <v>BLUE</v>
      </c>
      <c r="G5658" s="20" t="str">
        <f>IFERROR(__xludf.DUMMYFUNCTION("""COMPUTED_VALUE"""),"Uncle Sams Cider (04/04/2023)")</f>
        <v>Uncle Sams Cider (04/04/2023)</v>
      </c>
      <c r="H5658" s="19"/>
    </row>
    <row r="5659">
      <c r="A5659" s="9"/>
      <c r="B5659" s="15"/>
      <c r="C5659" s="9">
        <f>IFERROR(__xludf.DUMMYFUNCTION("""COMPUTED_VALUE"""),45085.1897432523)</f>
        <v>45085.18974</v>
      </c>
      <c r="D5659" s="15">
        <f>IFERROR(__xludf.DUMMYFUNCTION("""COMPUTED_VALUE"""),1.005)</f>
        <v>1.005</v>
      </c>
      <c r="E5659" s="16">
        <f>IFERROR(__xludf.DUMMYFUNCTION("""COMPUTED_VALUE"""),67.0)</f>
        <v>67</v>
      </c>
      <c r="F5659" s="19" t="str">
        <f>IFERROR(__xludf.DUMMYFUNCTION("""COMPUTED_VALUE"""),"BLUE")</f>
        <v>BLUE</v>
      </c>
      <c r="G5659" s="20" t="str">
        <f>IFERROR(__xludf.DUMMYFUNCTION("""COMPUTED_VALUE"""),"Uncle Sams Cider (04/04/2023)")</f>
        <v>Uncle Sams Cider (04/04/2023)</v>
      </c>
      <c r="H5659" s="19"/>
    </row>
    <row r="5660">
      <c r="A5660" s="9"/>
      <c r="B5660" s="15"/>
      <c r="C5660" s="9">
        <f>IFERROR(__xludf.DUMMYFUNCTION("""COMPUTED_VALUE"""),45085.1793204745)</f>
        <v>45085.17932</v>
      </c>
      <c r="D5660" s="15">
        <f>IFERROR(__xludf.DUMMYFUNCTION("""COMPUTED_VALUE"""),1.005)</f>
        <v>1.005</v>
      </c>
      <c r="E5660" s="16">
        <f>IFERROR(__xludf.DUMMYFUNCTION("""COMPUTED_VALUE"""),67.0)</f>
        <v>67</v>
      </c>
      <c r="F5660" s="19" t="str">
        <f>IFERROR(__xludf.DUMMYFUNCTION("""COMPUTED_VALUE"""),"BLUE")</f>
        <v>BLUE</v>
      </c>
      <c r="G5660" s="20" t="str">
        <f>IFERROR(__xludf.DUMMYFUNCTION("""COMPUTED_VALUE"""),"Uncle Sams Cider (04/04/2023)")</f>
        <v>Uncle Sams Cider (04/04/2023)</v>
      </c>
      <c r="H5660" s="19"/>
    </row>
    <row r="5661">
      <c r="A5661" s="9"/>
      <c r="B5661" s="15"/>
      <c r="C5661" s="9">
        <f>IFERROR(__xludf.DUMMYFUNCTION("""COMPUTED_VALUE"""),45085.1688886574)</f>
        <v>45085.16889</v>
      </c>
      <c r="D5661" s="15">
        <f>IFERROR(__xludf.DUMMYFUNCTION("""COMPUTED_VALUE"""),1.005)</f>
        <v>1.005</v>
      </c>
      <c r="E5661" s="16">
        <f>IFERROR(__xludf.DUMMYFUNCTION("""COMPUTED_VALUE"""),67.0)</f>
        <v>67</v>
      </c>
      <c r="F5661" s="19" t="str">
        <f>IFERROR(__xludf.DUMMYFUNCTION("""COMPUTED_VALUE"""),"BLUE")</f>
        <v>BLUE</v>
      </c>
      <c r="G5661" s="20" t="str">
        <f>IFERROR(__xludf.DUMMYFUNCTION("""COMPUTED_VALUE"""),"Uncle Sams Cider (04/04/2023)")</f>
        <v>Uncle Sams Cider (04/04/2023)</v>
      </c>
      <c r="H5661" s="19"/>
    </row>
    <row r="5662">
      <c r="A5662" s="9"/>
      <c r="B5662" s="15"/>
      <c r="C5662" s="9">
        <f>IFERROR(__xludf.DUMMYFUNCTION("""COMPUTED_VALUE"""),45085.1584673379)</f>
        <v>45085.15847</v>
      </c>
      <c r="D5662" s="15">
        <f>IFERROR(__xludf.DUMMYFUNCTION("""COMPUTED_VALUE"""),1.005)</f>
        <v>1.005</v>
      </c>
      <c r="E5662" s="16">
        <f>IFERROR(__xludf.DUMMYFUNCTION("""COMPUTED_VALUE"""),67.0)</f>
        <v>67</v>
      </c>
      <c r="F5662" s="19" t="str">
        <f>IFERROR(__xludf.DUMMYFUNCTION("""COMPUTED_VALUE"""),"BLUE")</f>
        <v>BLUE</v>
      </c>
      <c r="G5662" s="20" t="str">
        <f>IFERROR(__xludf.DUMMYFUNCTION("""COMPUTED_VALUE"""),"Uncle Sams Cider (04/04/2023)")</f>
        <v>Uncle Sams Cider (04/04/2023)</v>
      </c>
      <c r="H5662" s="19"/>
    </row>
    <row r="5663">
      <c r="A5663" s="9"/>
      <c r="B5663" s="15"/>
      <c r="C5663" s="9">
        <f>IFERROR(__xludf.DUMMYFUNCTION("""COMPUTED_VALUE"""),45085.1480331828)</f>
        <v>45085.14803</v>
      </c>
      <c r="D5663" s="15">
        <f>IFERROR(__xludf.DUMMYFUNCTION("""COMPUTED_VALUE"""),1.005)</f>
        <v>1.005</v>
      </c>
      <c r="E5663" s="16">
        <f>IFERROR(__xludf.DUMMYFUNCTION("""COMPUTED_VALUE"""),67.0)</f>
        <v>67</v>
      </c>
      <c r="F5663" s="19" t="str">
        <f>IFERROR(__xludf.DUMMYFUNCTION("""COMPUTED_VALUE"""),"BLUE")</f>
        <v>BLUE</v>
      </c>
      <c r="G5663" s="20" t="str">
        <f>IFERROR(__xludf.DUMMYFUNCTION("""COMPUTED_VALUE"""),"Uncle Sams Cider (04/04/2023)")</f>
        <v>Uncle Sams Cider (04/04/2023)</v>
      </c>
      <c r="H5663" s="19"/>
    </row>
    <row r="5664">
      <c r="A5664" s="9"/>
      <c r="B5664" s="15"/>
      <c r="C5664" s="9">
        <f>IFERROR(__xludf.DUMMYFUNCTION("""COMPUTED_VALUE"""),45085.1375994907)</f>
        <v>45085.1376</v>
      </c>
      <c r="D5664" s="15">
        <f>IFERROR(__xludf.DUMMYFUNCTION("""COMPUTED_VALUE"""),1.005)</f>
        <v>1.005</v>
      </c>
      <c r="E5664" s="16">
        <f>IFERROR(__xludf.DUMMYFUNCTION("""COMPUTED_VALUE"""),67.0)</f>
        <v>67</v>
      </c>
      <c r="F5664" s="19" t="str">
        <f>IFERROR(__xludf.DUMMYFUNCTION("""COMPUTED_VALUE"""),"BLUE")</f>
        <v>BLUE</v>
      </c>
      <c r="G5664" s="20" t="str">
        <f>IFERROR(__xludf.DUMMYFUNCTION("""COMPUTED_VALUE"""),"Uncle Sams Cider (04/04/2023)")</f>
        <v>Uncle Sams Cider (04/04/2023)</v>
      </c>
      <c r="H5664" s="19"/>
    </row>
    <row r="5665">
      <c r="A5665" s="9"/>
      <c r="B5665" s="15"/>
      <c r="C5665" s="9">
        <f>IFERROR(__xludf.DUMMYFUNCTION("""COMPUTED_VALUE"""),45085.1271662384)</f>
        <v>45085.12717</v>
      </c>
      <c r="D5665" s="15">
        <f>IFERROR(__xludf.DUMMYFUNCTION("""COMPUTED_VALUE"""),1.005)</f>
        <v>1.005</v>
      </c>
      <c r="E5665" s="16">
        <f>IFERROR(__xludf.DUMMYFUNCTION("""COMPUTED_VALUE"""),67.0)</f>
        <v>67</v>
      </c>
      <c r="F5665" s="19" t="str">
        <f>IFERROR(__xludf.DUMMYFUNCTION("""COMPUTED_VALUE"""),"BLUE")</f>
        <v>BLUE</v>
      </c>
      <c r="G5665" s="20" t="str">
        <f>IFERROR(__xludf.DUMMYFUNCTION("""COMPUTED_VALUE"""),"Uncle Sams Cider (04/04/2023)")</f>
        <v>Uncle Sams Cider (04/04/2023)</v>
      </c>
      <c r="H5665" s="19"/>
    </row>
    <row r="5666">
      <c r="A5666" s="9"/>
      <c r="B5666" s="15"/>
      <c r="C5666" s="9">
        <f>IFERROR(__xludf.DUMMYFUNCTION("""COMPUTED_VALUE"""),45085.1167449884)</f>
        <v>45085.11674</v>
      </c>
      <c r="D5666" s="15">
        <f>IFERROR(__xludf.DUMMYFUNCTION("""COMPUTED_VALUE"""),1.005)</f>
        <v>1.005</v>
      </c>
      <c r="E5666" s="16">
        <f>IFERROR(__xludf.DUMMYFUNCTION("""COMPUTED_VALUE"""),67.0)</f>
        <v>67</v>
      </c>
      <c r="F5666" s="19" t="str">
        <f>IFERROR(__xludf.DUMMYFUNCTION("""COMPUTED_VALUE"""),"BLUE")</f>
        <v>BLUE</v>
      </c>
      <c r="G5666" s="20" t="str">
        <f>IFERROR(__xludf.DUMMYFUNCTION("""COMPUTED_VALUE"""),"Uncle Sams Cider (04/04/2023)")</f>
        <v>Uncle Sams Cider (04/04/2023)</v>
      </c>
      <c r="H5666" s="19"/>
    </row>
    <row r="5667">
      <c r="A5667" s="9"/>
      <c r="B5667" s="15"/>
      <c r="C5667" s="9">
        <f>IFERROR(__xludf.DUMMYFUNCTION("""COMPUTED_VALUE"""),45085.106324375)</f>
        <v>45085.10632</v>
      </c>
      <c r="D5667" s="15">
        <f>IFERROR(__xludf.DUMMYFUNCTION("""COMPUTED_VALUE"""),1.005)</f>
        <v>1.005</v>
      </c>
      <c r="E5667" s="16">
        <f>IFERROR(__xludf.DUMMYFUNCTION("""COMPUTED_VALUE"""),67.0)</f>
        <v>67</v>
      </c>
      <c r="F5667" s="19" t="str">
        <f>IFERROR(__xludf.DUMMYFUNCTION("""COMPUTED_VALUE"""),"BLUE")</f>
        <v>BLUE</v>
      </c>
      <c r="G5667" s="20" t="str">
        <f>IFERROR(__xludf.DUMMYFUNCTION("""COMPUTED_VALUE"""),"Uncle Sams Cider (04/04/2023)")</f>
        <v>Uncle Sams Cider (04/04/2023)</v>
      </c>
      <c r="H5667" s="19"/>
    </row>
    <row r="5668">
      <c r="A5668" s="9"/>
      <c r="B5668" s="15"/>
      <c r="C5668" s="9">
        <f>IFERROR(__xludf.DUMMYFUNCTION("""COMPUTED_VALUE"""),45085.0959027662)</f>
        <v>45085.0959</v>
      </c>
      <c r="D5668" s="15">
        <f>IFERROR(__xludf.DUMMYFUNCTION("""COMPUTED_VALUE"""),1.005)</f>
        <v>1.005</v>
      </c>
      <c r="E5668" s="16">
        <f>IFERROR(__xludf.DUMMYFUNCTION("""COMPUTED_VALUE"""),67.0)</f>
        <v>67</v>
      </c>
      <c r="F5668" s="19" t="str">
        <f>IFERROR(__xludf.DUMMYFUNCTION("""COMPUTED_VALUE"""),"BLUE")</f>
        <v>BLUE</v>
      </c>
      <c r="G5668" s="20" t="str">
        <f>IFERROR(__xludf.DUMMYFUNCTION("""COMPUTED_VALUE"""),"Uncle Sams Cider (04/04/2023)")</f>
        <v>Uncle Sams Cider (04/04/2023)</v>
      </c>
      <c r="H5668" s="19"/>
    </row>
    <row r="5669">
      <c r="A5669" s="9"/>
      <c r="B5669" s="15"/>
      <c r="C5669" s="9">
        <f>IFERROR(__xludf.DUMMYFUNCTION("""COMPUTED_VALUE"""),45085.0854815625)</f>
        <v>45085.08548</v>
      </c>
      <c r="D5669" s="15">
        <f>IFERROR(__xludf.DUMMYFUNCTION("""COMPUTED_VALUE"""),1.005)</f>
        <v>1.005</v>
      </c>
      <c r="E5669" s="16">
        <f>IFERROR(__xludf.DUMMYFUNCTION("""COMPUTED_VALUE"""),67.0)</f>
        <v>67</v>
      </c>
      <c r="F5669" s="19" t="str">
        <f>IFERROR(__xludf.DUMMYFUNCTION("""COMPUTED_VALUE"""),"BLUE")</f>
        <v>BLUE</v>
      </c>
      <c r="G5669" s="20" t="str">
        <f>IFERROR(__xludf.DUMMYFUNCTION("""COMPUTED_VALUE"""),"Uncle Sams Cider (04/04/2023)")</f>
        <v>Uncle Sams Cider (04/04/2023)</v>
      </c>
      <c r="H5669" s="19"/>
    </row>
    <row r="5670">
      <c r="A5670" s="9"/>
      <c r="B5670" s="15"/>
      <c r="C5670" s="9">
        <f>IFERROR(__xludf.DUMMYFUNCTION("""COMPUTED_VALUE"""),45085.0750603819)</f>
        <v>45085.07506</v>
      </c>
      <c r="D5670" s="15">
        <f>IFERROR(__xludf.DUMMYFUNCTION("""COMPUTED_VALUE"""),1.005)</f>
        <v>1.005</v>
      </c>
      <c r="E5670" s="16">
        <f>IFERROR(__xludf.DUMMYFUNCTION("""COMPUTED_VALUE"""),67.0)</f>
        <v>67</v>
      </c>
      <c r="F5670" s="19" t="str">
        <f>IFERROR(__xludf.DUMMYFUNCTION("""COMPUTED_VALUE"""),"BLUE")</f>
        <v>BLUE</v>
      </c>
      <c r="G5670" s="20" t="str">
        <f>IFERROR(__xludf.DUMMYFUNCTION("""COMPUTED_VALUE"""),"Uncle Sams Cider (04/04/2023)")</f>
        <v>Uncle Sams Cider (04/04/2023)</v>
      </c>
      <c r="H5670" s="19"/>
    </row>
    <row r="5671">
      <c r="A5671" s="9"/>
      <c r="B5671" s="15"/>
      <c r="C5671" s="9">
        <f>IFERROR(__xludf.DUMMYFUNCTION("""COMPUTED_VALUE"""),45085.0646395486)</f>
        <v>45085.06464</v>
      </c>
      <c r="D5671" s="15">
        <f>IFERROR(__xludf.DUMMYFUNCTION("""COMPUTED_VALUE"""),1.005)</f>
        <v>1.005</v>
      </c>
      <c r="E5671" s="16">
        <f>IFERROR(__xludf.DUMMYFUNCTION("""COMPUTED_VALUE"""),67.0)</f>
        <v>67</v>
      </c>
      <c r="F5671" s="19" t="str">
        <f>IFERROR(__xludf.DUMMYFUNCTION("""COMPUTED_VALUE"""),"BLUE")</f>
        <v>BLUE</v>
      </c>
      <c r="G5671" s="20" t="str">
        <f>IFERROR(__xludf.DUMMYFUNCTION("""COMPUTED_VALUE"""),"Uncle Sams Cider (04/04/2023)")</f>
        <v>Uncle Sams Cider (04/04/2023)</v>
      </c>
      <c r="H5671" s="19"/>
    </row>
    <row r="5672">
      <c r="A5672" s="9"/>
      <c r="B5672" s="15"/>
      <c r="C5672" s="9">
        <f>IFERROR(__xludf.DUMMYFUNCTION("""COMPUTED_VALUE"""),45085.054207199)</f>
        <v>45085.05421</v>
      </c>
      <c r="D5672" s="15">
        <f>IFERROR(__xludf.DUMMYFUNCTION("""COMPUTED_VALUE"""),1.005)</f>
        <v>1.005</v>
      </c>
      <c r="E5672" s="16">
        <f>IFERROR(__xludf.DUMMYFUNCTION("""COMPUTED_VALUE"""),67.0)</f>
        <v>67</v>
      </c>
      <c r="F5672" s="19" t="str">
        <f>IFERROR(__xludf.DUMMYFUNCTION("""COMPUTED_VALUE"""),"BLUE")</f>
        <v>BLUE</v>
      </c>
      <c r="G5672" s="20" t="str">
        <f>IFERROR(__xludf.DUMMYFUNCTION("""COMPUTED_VALUE"""),"Uncle Sams Cider (04/04/2023)")</f>
        <v>Uncle Sams Cider (04/04/2023)</v>
      </c>
      <c r="H5672" s="19"/>
    </row>
    <row r="5673">
      <c r="A5673" s="9"/>
      <c r="B5673" s="15"/>
      <c r="C5673" s="9">
        <f>IFERROR(__xludf.DUMMYFUNCTION("""COMPUTED_VALUE"""),45085.0437860069)</f>
        <v>45085.04379</v>
      </c>
      <c r="D5673" s="15">
        <f>IFERROR(__xludf.DUMMYFUNCTION("""COMPUTED_VALUE"""),1.005)</f>
        <v>1.005</v>
      </c>
      <c r="E5673" s="16">
        <f>IFERROR(__xludf.DUMMYFUNCTION("""COMPUTED_VALUE"""),67.0)</f>
        <v>67</v>
      </c>
      <c r="F5673" s="19" t="str">
        <f>IFERROR(__xludf.DUMMYFUNCTION("""COMPUTED_VALUE"""),"BLUE")</f>
        <v>BLUE</v>
      </c>
      <c r="G5673" s="20" t="str">
        <f>IFERROR(__xludf.DUMMYFUNCTION("""COMPUTED_VALUE"""),"Uncle Sams Cider (04/04/2023)")</f>
        <v>Uncle Sams Cider (04/04/2023)</v>
      </c>
      <c r="H5673" s="19"/>
    </row>
    <row r="5674">
      <c r="A5674" s="9"/>
      <c r="B5674" s="15"/>
      <c r="C5674" s="9">
        <f>IFERROR(__xludf.DUMMYFUNCTION("""COMPUTED_VALUE"""),45085.033353206)</f>
        <v>45085.03335</v>
      </c>
      <c r="D5674" s="15">
        <f>IFERROR(__xludf.DUMMYFUNCTION("""COMPUTED_VALUE"""),1.005)</f>
        <v>1.005</v>
      </c>
      <c r="E5674" s="16">
        <f>IFERROR(__xludf.DUMMYFUNCTION("""COMPUTED_VALUE"""),67.0)</f>
        <v>67</v>
      </c>
      <c r="F5674" s="19" t="str">
        <f>IFERROR(__xludf.DUMMYFUNCTION("""COMPUTED_VALUE"""),"BLUE")</f>
        <v>BLUE</v>
      </c>
      <c r="G5674" s="20" t="str">
        <f>IFERROR(__xludf.DUMMYFUNCTION("""COMPUTED_VALUE"""),"Uncle Sams Cider (04/04/2023)")</f>
        <v>Uncle Sams Cider (04/04/2023)</v>
      </c>
      <c r="H5674" s="19"/>
    </row>
    <row r="5675">
      <c r="A5675" s="9"/>
      <c r="B5675" s="15"/>
      <c r="C5675" s="9">
        <f>IFERROR(__xludf.DUMMYFUNCTION("""COMPUTED_VALUE"""),45085.0229335185)</f>
        <v>45085.02293</v>
      </c>
      <c r="D5675" s="15">
        <f>IFERROR(__xludf.DUMMYFUNCTION("""COMPUTED_VALUE"""),1.005)</f>
        <v>1.005</v>
      </c>
      <c r="E5675" s="16">
        <f>IFERROR(__xludf.DUMMYFUNCTION("""COMPUTED_VALUE"""),67.0)</f>
        <v>67</v>
      </c>
      <c r="F5675" s="19" t="str">
        <f>IFERROR(__xludf.DUMMYFUNCTION("""COMPUTED_VALUE"""),"BLUE")</f>
        <v>BLUE</v>
      </c>
      <c r="G5675" s="20" t="str">
        <f>IFERROR(__xludf.DUMMYFUNCTION("""COMPUTED_VALUE"""),"Uncle Sams Cider (04/04/2023)")</f>
        <v>Uncle Sams Cider (04/04/2023)</v>
      </c>
      <c r="H5675" s="19"/>
    </row>
    <row r="5676">
      <c r="A5676" s="9"/>
      <c r="B5676" s="15"/>
      <c r="C5676" s="9">
        <f>IFERROR(__xludf.DUMMYFUNCTION("""COMPUTED_VALUE"""),45085.0125141898)</f>
        <v>45085.01251</v>
      </c>
      <c r="D5676" s="15">
        <f>IFERROR(__xludf.DUMMYFUNCTION("""COMPUTED_VALUE"""),1.005)</f>
        <v>1.005</v>
      </c>
      <c r="E5676" s="16">
        <f>IFERROR(__xludf.DUMMYFUNCTION("""COMPUTED_VALUE"""),67.0)</f>
        <v>67</v>
      </c>
      <c r="F5676" s="19" t="str">
        <f>IFERROR(__xludf.DUMMYFUNCTION("""COMPUTED_VALUE"""),"BLUE")</f>
        <v>BLUE</v>
      </c>
      <c r="G5676" s="20" t="str">
        <f>IFERROR(__xludf.DUMMYFUNCTION("""COMPUTED_VALUE"""),"Uncle Sams Cider (04/04/2023)")</f>
        <v>Uncle Sams Cider (04/04/2023)</v>
      </c>
      <c r="H5676" s="19"/>
    </row>
    <row r="5677">
      <c r="A5677" s="9"/>
      <c r="B5677" s="15"/>
      <c r="C5677" s="9">
        <f>IFERROR(__xludf.DUMMYFUNCTION("""COMPUTED_VALUE"""),45085.0020811921)</f>
        <v>45085.00208</v>
      </c>
      <c r="D5677" s="15">
        <f>IFERROR(__xludf.DUMMYFUNCTION("""COMPUTED_VALUE"""),1.005)</f>
        <v>1.005</v>
      </c>
      <c r="E5677" s="16">
        <f>IFERROR(__xludf.DUMMYFUNCTION("""COMPUTED_VALUE"""),67.0)</f>
        <v>67</v>
      </c>
      <c r="F5677" s="19" t="str">
        <f>IFERROR(__xludf.DUMMYFUNCTION("""COMPUTED_VALUE"""),"BLUE")</f>
        <v>BLUE</v>
      </c>
      <c r="G5677" s="20" t="str">
        <f>IFERROR(__xludf.DUMMYFUNCTION("""COMPUTED_VALUE"""),"Uncle Sams Cider (04/04/2023)")</f>
        <v>Uncle Sams Cider (04/04/2023)</v>
      </c>
      <c r="H5677" s="19"/>
    </row>
    <row r="5678">
      <c r="A5678" s="9"/>
      <c r="B5678" s="15"/>
      <c r="C5678" s="9">
        <f>IFERROR(__xludf.DUMMYFUNCTION("""COMPUTED_VALUE"""),45084.9916601273)</f>
        <v>45084.99166</v>
      </c>
      <c r="D5678" s="15">
        <f>IFERROR(__xludf.DUMMYFUNCTION("""COMPUTED_VALUE"""),1.005)</f>
        <v>1.005</v>
      </c>
      <c r="E5678" s="16">
        <f>IFERROR(__xludf.DUMMYFUNCTION("""COMPUTED_VALUE"""),67.0)</f>
        <v>67</v>
      </c>
      <c r="F5678" s="19" t="str">
        <f>IFERROR(__xludf.DUMMYFUNCTION("""COMPUTED_VALUE"""),"BLUE")</f>
        <v>BLUE</v>
      </c>
      <c r="G5678" s="20" t="str">
        <f>IFERROR(__xludf.DUMMYFUNCTION("""COMPUTED_VALUE"""),"Uncle Sams Cider (04/04/2023)")</f>
        <v>Uncle Sams Cider (04/04/2023)</v>
      </c>
      <c r="H5678" s="19"/>
    </row>
    <row r="5679">
      <c r="A5679" s="9"/>
      <c r="B5679" s="15"/>
      <c r="C5679" s="9">
        <f>IFERROR(__xludf.DUMMYFUNCTION("""COMPUTED_VALUE"""),45084.9812393865)</f>
        <v>45084.98124</v>
      </c>
      <c r="D5679" s="15">
        <f>IFERROR(__xludf.DUMMYFUNCTION("""COMPUTED_VALUE"""),1.005)</f>
        <v>1.005</v>
      </c>
      <c r="E5679" s="16">
        <f>IFERROR(__xludf.DUMMYFUNCTION("""COMPUTED_VALUE"""),67.0)</f>
        <v>67</v>
      </c>
      <c r="F5679" s="19" t="str">
        <f>IFERROR(__xludf.DUMMYFUNCTION("""COMPUTED_VALUE"""),"BLUE")</f>
        <v>BLUE</v>
      </c>
      <c r="G5679" s="20" t="str">
        <f>IFERROR(__xludf.DUMMYFUNCTION("""COMPUTED_VALUE"""),"Uncle Sams Cider (04/04/2023)")</f>
        <v>Uncle Sams Cider (04/04/2023)</v>
      </c>
      <c r="H5679" s="19"/>
    </row>
    <row r="5680">
      <c r="A5680" s="9"/>
      <c r="B5680" s="15"/>
      <c r="C5680" s="9">
        <f>IFERROR(__xludf.DUMMYFUNCTION("""COMPUTED_VALUE"""),45084.9708185532)</f>
        <v>45084.97082</v>
      </c>
      <c r="D5680" s="15">
        <f>IFERROR(__xludf.DUMMYFUNCTION("""COMPUTED_VALUE"""),1.005)</f>
        <v>1.005</v>
      </c>
      <c r="E5680" s="16">
        <f>IFERROR(__xludf.DUMMYFUNCTION("""COMPUTED_VALUE"""),67.0)</f>
        <v>67</v>
      </c>
      <c r="F5680" s="19" t="str">
        <f>IFERROR(__xludf.DUMMYFUNCTION("""COMPUTED_VALUE"""),"BLUE")</f>
        <v>BLUE</v>
      </c>
      <c r="G5680" s="20" t="str">
        <f>IFERROR(__xludf.DUMMYFUNCTION("""COMPUTED_VALUE"""),"Uncle Sams Cider (04/04/2023)")</f>
        <v>Uncle Sams Cider (04/04/2023)</v>
      </c>
      <c r="H5680" s="19"/>
    </row>
    <row r="5681">
      <c r="A5681" s="9"/>
      <c r="B5681" s="15"/>
      <c r="C5681" s="9">
        <f>IFERROR(__xludf.DUMMYFUNCTION("""COMPUTED_VALUE"""),45084.9603977314)</f>
        <v>45084.9604</v>
      </c>
      <c r="D5681" s="15">
        <f>IFERROR(__xludf.DUMMYFUNCTION("""COMPUTED_VALUE"""),1.005)</f>
        <v>1.005</v>
      </c>
      <c r="E5681" s="16">
        <f>IFERROR(__xludf.DUMMYFUNCTION("""COMPUTED_VALUE"""),67.0)</f>
        <v>67</v>
      </c>
      <c r="F5681" s="19" t="str">
        <f>IFERROR(__xludf.DUMMYFUNCTION("""COMPUTED_VALUE"""),"BLUE")</f>
        <v>BLUE</v>
      </c>
      <c r="G5681" s="20" t="str">
        <f>IFERROR(__xludf.DUMMYFUNCTION("""COMPUTED_VALUE"""),"Uncle Sams Cider (04/04/2023)")</f>
        <v>Uncle Sams Cider (04/04/2023)</v>
      </c>
      <c r="H5681" s="19"/>
    </row>
    <row r="5682">
      <c r="A5682" s="9"/>
      <c r="B5682" s="15"/>
      <c r="C5682" s="9">
        <f>IFERROR(__xludf.DUMMYFUNCTION("""COMPUTED_VALUE"""),45084.9499748495)</f>
        <v>45084.94997</v>
      </c>
      <c r="D5682" s="15">
        <f>IFERROR(__xludf.DUMMYFUNCTION("""COMPUTED_VALUE"""),1.005)</f>
        <v>1.005</v>
      </c>
      <c r="E5682" s="16">
        <f>IFERROR(__xludf.DUMMYFUNCTION("""COMPUTED_VALUE"""),67.0)</f>
        <v>67</v>
      </c>
      <c r="F5682" s="19" t="str">
        <f>IFERROR(__xludf.DUMMYFUNCTION("""COMPUTED_VALUE"""),"BLUE")</f>
        <v>BLUE</v>
      </c>
      <c r="G5682" s="20" t="str">
        <f>IFERROR(__xludf.DUMMYFUNCTION("""COMPUTED_VALUE"""),"Uncle Sams Cider (04/04/2023)")</f>
        <v>Uncle Sams Cider (04/04/2023)</v>
      </c>
      <c r="H5682" s="19"/>
    </row>
    <row r="5683">
      <c r="A5683" s="9"/>
      <c r="B5683" s="15"/>
      <c r="C5683" s="9">
        <f>IFERROR(__xludf.DUMMYFUNCTION("""COMPUTED_VALUE"""),45084.9395546759)</f>
        <v>45084.93955</v>
      </c>
      <c r="D5683" s="15">
        <f>IFERROR(__xludf.DUMMYFUNCTION("""COMPUTED_VALUE"""),1.005)</f>
        <v>1.005</v>
      </c>
      <c r="E5683" s="16">
        <f>IFERROR(__xludf.DUMMYFUNCTION("""COMPUTED_VALUE"""),67.0)</f>
        <v>67</v>
      </c>
      <c r="F5683" s="19" t="str">
        <f>IFERROR(__xludf.DUMMYFUNCTION("""COMPUTED_VALUE"""),"BLUE")</f>
        <v>BLUE</v>
      </c>
      <c r="G5683" s="20" t="str">
        <f>IFERROR(__xludf.DUMMYFUNCTION("""COMPUTED_VALUE"""),"Uncle Sams Cider (04/04/2023)")</f>
        <v>Uncle Sams Cider (04/04/2023)</v>
      </c>
      <c r="H5683" s="19"/>
    </row>
    <row r="5684">
      <c r="A5684" s="9"/>
      <c r="B5684" s="15"/>
      <c r="C5684" s="9">
        <f>IFERROR(__xludf.DUMMYFUNCTION("""COMPUTED_VALUE"""),45084.9290881018)</f>
        <v>45084.92909</v>
      </c>
      <c r="D5684" s="15">
        <f>IFERROR(__xludf.DUMMYFUNCTION("""COMPUTED_VALUE"""),1.005)</f>
        <v>1.005</v>
      </c>
      <c r="E5684" s="16">
        <f>IFERROR(__xludf.DUMMYFUNCTION("""COMPUTED_VALUE"""),67.0)</f>
        <v>67</v>
      </c>
      <c r="F5684" s="19" t="str">
        <f>IFERROR(__xludf.DUMMYFUNCTION("""COMPUTED_VALUE"""),"BLUE")</f>
        <v>BLUE</v>
      </c>
      <c r="G5684" s="20" t="str">
        <f>IFERROR(__xludf.DUMMYFUNCTION("""COMPUTED_VALUE"""),"Uncle Sams Cider (04/04/2023)")</f>
        <v>Uncle Sams Cider (04/04/2023)</v>
      </c>
      <c r="H5684" s="19"/>
    </row>
    <row r="5685">
      <c r="A5685" s="9"/>
      <c r="B5685" s="15"/>
      <c r="C5685" s="9">
        <f>IFERROR(__xludf.DUMMYFUNCTION("""COMPUTED_VALUE"""),45084.9186560879)</f>
        <v>45084.91866</v>
      </c>
      <c r="D5685" s="15">
        <f>IFERROR(__xludf.DUMMYFUNCTION("""COMPUTED_VALUE"""),1.005)</f>
        <v>1.005</v>
      </c>
      <c r="E5685" s="16">
        <f>IFERROR(__xludf.DUMMYFUNCTION("""COMPUTED_VALUE"""),67.0)</f>
        <v>67</v>
      </c>
      <c r="F5685" s="19" t="str">
        <f>IFERROR(__xludf.DUMMYFUNCTION("""COMPUTED_VALUE"""),"BLUE")</f>
        <v>BLUE</v>
      </c>
      <c r="G5685" s="20" t="str">
        <f>IFERROR(__xludf.DUMMYFUNCTION("""COMPUTED_VALUE"""),"Uncle Sams Cider (04/04/2023)")</f>
        <v>Uncle Sams Cider (04/04/2023)</v>
      </c>
      <c r="H5685" s="19"/>
    </row>
    <row r="5686">
      <c r="A5686" s="9"/>
      <c r="B5686" s="15"/>
      <c r="C5686" s="9">
        <f>IFERROR(__xludf.DUMMYFUNCTION("""COMPUTED_VALUE"""),45084.9082350231)</f>
        <v>45084.90824</v>
      </c>
      <c r="D5686" s="15">
        <f>IFERROR(__xludf.DUMMYFUNCTION("""COMPUTED_VALUE"""),1.005)</f>
        <v>1.005</v>
      </c>
      <c r="E5686" s="16">
        <f>IFERROR(__xludf.DUMMYFUNCTION("""COMPUTED_VALUE"""),67.0)</f>
        <v>67</v>
      </c>
      <c r="F5686" s="19" t="str">
        <f>IFERROR(__xludf.DUMMYFUNCTION("""COMPUTED_VALUE"""),"BLUE")</f>
        <v>BLUE</v>
      </c>
      <c r="G5686" s="20" t="str">
        <f>IFERROR(__xludf.DUMMYFUNCTION("""COMPUTED_VALUE"""),"Uncle Sams Cider (04/04/2023)")</f>
        <v>Uncle Sams Cider (04/04/2023)</v>
      </c>
      <c r="H5686" s="19"/>
    </row>
    <row r="5687">
      <c r="A5687" s="9"/>
      <c r="B5687" s="15"/>
      <c r="C5687" s="9">
        <f>IFERROR(__xludf.DUMMYFUNCTION("""COMPUTED_VALUE"""),45084.897815868)</f>
        <v>45084.89782</v>
      </c>
      <c r="D5687" s="15">
        <f>IFERROR(__xludf.DUMMYFUNCTION("""COMPUTED_VALUE"""),1.005)</f>
        <v>1.005</v>
      </c>
      <c r="E5687" s="16">
        <f>IFERROR(__xludf.DUMMYFUNCTION("""COMPUTED_VALUE"""),67.0)</f>
        <v>67</v>
      </c>
      <c r="F5687" s="19" t="str">
        <f>IFERROR(__xludf.DUMMYFUNCTION("""COMPUTED_VALUE"""),"BLUE")</f>
        <v>BLUE</v>
      </c>
      <c r="G5687" s="20" t="str">
        <f>IFERROR(__xludf.DUMMYFUNCTION("""COMPUTED_VALUE"""),"Uncle Sams Cider (04/04/2023)")</f>
        <v>Uncle Sams Cider (04/04/2023)</v>
      </c>
      <c r="H5687" s="19"/>
    </row>
    <row r="5688">
      <c r="A5688" s="9"/>
      <c r="B5688" s="15"/>
      <c r="C5688" s="9">
        <f>IFERROR(__xludf.DUMMYFUNCTION("""COMPUTED_VALUE"""),45084.8873925347)</f>
        <v>45084.88739</v>
      </c>
      <c r="D5688" s="15">
        <f>IFERROR(__xludf.DUMMYFUNCTION("""COMPUTED_VALUE"""),1.005)</f>
        <v>1.005</v>
      </c>
      <c r="E5688" s="16">
        <f>IFERROR(__xludf.DUMMYFUNCTION("""COMPUTED_VALUE"""),67.0)</f>
        <v>67</v>
      </c>
      <c r="F5688" s="19" t="str">
        <f>IFERROR(__xludf.DUMMYFUNCTION("""COMPUTED_VALUE"""),"BLUE")</f>
        <v>BLUE</v>
      </c>
      <c r="G5688" s="20" t="str">
        <f>IFERROR(__xludf.DUMMYFUNCTION("""COMPUTED_VALUE"""),"Uncle Sams Cider (04/04/2023)")</f>
        <v>Uncle Sams Cider (04/04/2023)</v>
      </c>
      <c r="H5688" s="19"/>
    </row>
    <row r="5689">
      <c r="A5689" s="9"/>
      <c r="B5689" s="15"/>
      <c r="C5689" s="9">
        <f>IFERROR(__xludf.DUMMYFUNCTION("""COMPUTED_VALUE"""),45084.8769697685)</f>
        <v>45084.87697</v>
      </c>
      <c r="D5689" s="15">
        <f>IFERROR(__xludf.DUMMYFUNCTION("""COMPUTED_VALUE"""),1.005)</f>
        <v>1.005</v>
      </c>
      <c r="E5689" s="16">
        <f>IFERROR(__xludf.DUMMYFUNCTION("""COMPUTED_VALUE"""),67.0)</f>
        <v>67</v>
      </c>
      <c r="F5689" s="19" t="str">
        <f>IFERROR(__xludf.DUMMYFUNCTION("""COMPUTED_VALUE"""),"BLUE")</f>
        <v>BLUE</v>
      </c>
      <c r="G5689" s="20" t="str">
        <f>IFERROR(__xludf.DUMMYFUNCTION("""COMPUTED_VALUE"""),"Uncle Sams Cider (04/04/2023)")</f>
        <v>Uncle Sams Cider (04/04/2023)</v>
      </c>
      <c r="H5689" s="19"/>
    </row>
    <row r="5690">
      <c r="A5690" s="9"/>
      <c r="B5690" s="15"/>
      <c r="C5690" s="9">
        <f>IFERROR(__xludf.DUMMYFUNCTION("""COMPUTED_VALUE"""),45084.8665489814)</f>
        <v>45084.86655</v>
      </c>
      <c r="D5690" s="15">
        <f>IFERROR(__xludf.DUMMYFUNCTION("""COMPUTED_VALUE"""),1.005)</f>
        <v>1.005</v>
      </c>
      <c r="E5690" s="16">
        <f>IFERROR(__xludf.DUMMYFUNCTION("""COMPUTED_VALUE"""),67.0)</f>
        <v>67</v>
      </c>
      <c r="F5690" s="19" t="str">
        <f>IFERROR(__xludf.DUMMYFUNCTION("""COMPUTED_VALUE"""),"BLUE")</f>
        <v>BLUE</v>
      </c>
      <c r="G5690" s="20" t="str">
        <f>IFERROR(__xludf.DUMMYFUNCTION("""COMPUTED_VALUE"""),"Uncle Sams Cider (04/04/2023)")</f>
        <v>Uncle Sams Cider (04/04/2023)</v>
      </c>
      <c r="H5690" s="19"/>
    </row>
    <row r="5691">
      <c r="A5691" s="9"/>
      <c r="B5691" s="15"/>
      <c r="C5691" s="9">
        <f>IFERROR(__xludf.DUMMYFUNCTION("""COMPUTED_VALUE"""),45084.8561293518)</f>
        <v>45084.85613</v>
      </c>
      <c r="D5691" s="15">
        <f>IFERROR(__xludf.DUMMYFUNCTION("""COMPUTED_VALUE"""),1.005)</f>
        <v>1.005</v>
      </c>
      <c r="E5691" s="16">
        <f>IFERROR(__xludf.DUMMYFUNCTION("""COMPUTED_VALUE"""),67.0)</f>
        <v>67</v>
      </c>
      <c r="F5691" s="19" t="str">
        <f>IFERROR(__xludf.DUMMYFUNCTION("""COMPUTED_VALUE"""),"BLUE")</f>
        <v>BLUE</v>
      </c>
      <c r="G5691" s="20" t="str">
        <f>IFERROR(__xludf.DUMMYFUNCTION("""COMPUTED_VALUE"""),"Uncle Sams Cider (04/04/2023)")</f>
        <v>Uncle Sams Cider (04/04/2023)</v>
      </c>
      <c r="H5691" s="19"/>
    </row>
    <row r="5692">
      <c r="A5692" s="9"/>
      <c r="B5692" s="15"/>
      <c r="C5692" s="9">
        <f>IFERROR(__xludf.DUMMYFUNCTION("""COMPUTED_VALUE"""),45084.845708993)</f>
        <v>45084.84571</v>
      </c>
      <c r="D5692" s="15">
        <f>IFERROR(__xludf.DUMMYFUNCTION("""COMPUTED_VALUE"""),1.005)</f>
        <v>1.005</v>
      </c>
      <c r="E5692" s="16">
        <f>IFERROR(__xludf.DUMMYFUNCTION("""COMPUTED_VALUE"""),67.0)</f>
        <v>67</v>
      </c>
      <c r="F5692" s="19" t="str">
        <f>IFERROR(__xludf.DUMMYFUNCTION("""COMPUTED_VALUE"""),"BLUE")</f>
        <v>BLUE</v>
      </c>
      <c r="G5692" s="20" t="str">
        <f>IFERROR(__xludf.DUMMYFUNCTION("""COMPUTED_VALUE"""),"Uncle Sams Cider (04/04/2023)")</f>
        <v>Uncle Sams Cider (04/04/2023)</v>
      </c>
      <c r="H5692" s="19"/>
    </row>
    <row r="5693">
      <c r="A5693" s="9"/>
      <c r="B5693" s="15"/>
      <c r="C5693" s="9">
        <f>IFERROR(__xludf.DUMMYFUNCTION("""COMPUTED_VALUE"""),45084.83528853)</f>
        <v>45084.83529</v>
      </c>
      <c r="D5693" s="15">
        <f>IFERROR(__xludf.DUMMYFUNCTION("""COMPUTED_VALUE"""),1.005)</f>
        <v>1.005</v>
      </c>
      <c r="E5693" s="16">
        <f>IFERROR(__xludf.DUMMYFUNCTION("""COMPUTED_VALUE"""),67.0)</f>
        <v>67</v>
      </c>
      <c r="F5693" s="19" t="str">
        <f>IFERROR(__xludf.DUMMYFUNCTION("""COMPUTED_VALUE"""),"BLUE")</f>
        <v>BLUE</v>
      </c>
      <c r="G5693" s="20" t="str">
        <f>IFERROR(__xludf.DUMMYFUNCTION("""COMPUTED_VALUE"""),"Uncle Sams Cider (04/04/2023)")</f>
        <v>Uncle Sams Cider (04/04/2023)</v>
      </c>
      <c r="H5693" s="19"/>
    </row>
    <row r="5694">
      <c r="A5694" s="9"/>
      <c r="B5694" s="15"/>
      <c r="C5694" s="9">
        <f>IFERROR(__xludf.DUMMYFUNCTION("""COMPUTED_VALUE"""),45084.8248540393)</f>
        <v>45084.82485</v>
      </c>
      <c r="D5694" s="15">
        <f>IFERROR(__xludf.DUMMYFUNCTION("""COMPUTED_VALUE"""),1.005)</f>
        <v>1.005</v>
      </c>
      <c r="E5694" s="16">
        <f>IFERROR(__xludf.DUMMYFUNCTION("""COMPUTED_VALUE"""),67.0)</f>
        <v>67</v>
      </c>
      <c r="F5694" s="19" t="str">
        <f>IFERROR(__xludf.DUMMYFUNCTION("""COMPUTED_VALUE"""),"BLUE")</f>
        <v>BLUE</v>
      </c>
      <c r="G5694" s="20" t="str">
        <f>IFERROR(__xludf.DUMMYFUNCTION("""COMPUTED_VALUE"""),"Uncle Sams Cider (04/04/2023)")</f>
        <v>Uncle Sams Cider (04/04/2023)</v>
      </c>
      <c r="H5694" s="19"/>
    </row>
    <row r="5695">
      <c r="A5695" s="9"/>
      <c r="B5695" s="15"/>
      <c r="C5695" s="9">
        <f>IFERROR(__xludf.DUMMYFUNCTION("""COMPUTED_VALUE"""),45084.8144319097)</f>
        <v>45084.81443</v>
      </c>
      <c r="D5695" s="15">
        <f>IFERROR(__xludf.DUMMYFUNCTION("""COMPUTED_VALUE"""),1.005)</f>
        <v>1.005</v>
      </c>
      <c r="E5695" s="16">
        <f>IFERROR(__xludf.DUMMYFUNCTION("""COMPUTED_VALUE"""),67.0)</f>
        <v>67</v>
      </c>
      <c r="F5695" s="19" t="str">
        <f>IFERROR(__xludf.DUMMYFUNCTION("""COMPUTED_VALUE"""),"BLUE")</f>
        <v>BLUE</v>
      </c>
      <c r="G5695" s="20" t="str">
        <f>IFERROR(__xludf.DUMMYFUNCTION("""COMPUTED_VALUE"""),"Uncle Sams Cider (04/04/2023)")</f>
        <v>Uncle Sams Cider (04/04/2023)</v>
      </c>
      <c r="H5695" s="19"/>
    </row>
    <row r="5696">
      <c r="A5696" s="9"/>
      <c r="B5696" s="15"/>
      <c r="C5696" s="9">
        <f>IFERROR(__xludf.DUMMYFUNCTION("""COMPUTED_VALUE"""),45084.803999375)</f>
        <v>45084.804</v>
      </c>
      <c r="D5696" s="15">
        <f>IFERROR(__xludf.DUMMYFUNCTION("""COMPUTED_VALUE"""),1.005)</f>
        <v>1.005</v>
      </c>
      <c r="E5696" s="16">
        <f>IFERROR(__xludf.DUMMYFUNCTION("""COMPUTED_VALUE"""),67.0)</f>
        <v>67</v>
      </c>
      <c r="F5696" s="19" t="str">
        <f>IFERROR(__xludf.DUMMYFUNCTION("""COMPUTED_VALUE"""),"BLUE")</f>
        <v>BLUE</v>
      </c>
      <c r="G5696" s="20" t="str">
        <f>IFERROR(__xludf.DUMMYFUNCTION("""COMPUTED_VALUE"""),"Uncle Sams Cider (04/04/2023)")</f>
        <v>Uncle Sams Cider (04/04/2023)</v>
      </c>
      <c r="H5696" s="19"/>
    </row>
    <row r="5697">
      <c r="A5697" s="9"/>
      <c r="B5697" s="15"/>
      <c r="C5697" s="9">
        <f>IFERROR(__xludf.DUMMYFUNCTION("""COMPUTED_VALUE"""),45084.7935570023)</f>
        <v>45084.79356</v>
      </c>
      <c r="D5697" s="15">
        <f>IFERROR(__xludf.DUMMYFUNCTION("""COMPUTED_VALUE"""),1.005)</f>
        <v>1.005</v>
      </c>
      <c r="E5697" s="16">
        <f>IFERROR(__xludf.DUMMYFUNCTION("""COMPUTED_VALUE"""),67.0)</f>
        <v>67</v>
      </c>
      <c r="F5697" s="19" t="str">
        <f>IFERROR(__xludf.DUMMYFUNCTION("""COMPUTED_VALUE"""),"BLUE")</f>
        <v>BLUE</v>
      </c>
      <c r="G5697" s="20" t="str">
        <f>IFERROR(__xludf.DUMMYFUNCTION("""COMPUTED_VALUE"""),"Uncle Sams Cider (04/04/2023)")</f>
        <v>Uncle Sams Cider (04/04/2023)</v>
      </c>
      <c r="H5697" s="19"/>
    </row>
    <row r="5698">
      <c r="A5698" s="9"/>
      <c r="B5698" s="15"/>
      <c r="C5698" s="9">
        <f>IFERROR(__xludf.DUMMYFUNCTION("""COMPUTED_VALUE"""),45084.7831367708)</f>
        <v>45084.78314</v>
      </c>
      <c r="D5698" s="15">
        <f>IFERROR(__xludf.DUMMYFUNCTION("""COMPUTED_VALUE"""),1.005)</f>
        <v>1.005</v>
      </c>
      <c r="E5698" s="16">
        <f>IFERROR(__xludf.DUMMYFUNCTION("""COMPUTED_VALUE"""),67.0)</f>
        <v>67</v>
      </c>
      <c r="F5698" s="19" t="str">
        <f>IFERROR(__xludf.DUMMYFUNCTION("""COMPUTED_VALUE"""),"BLUE")</f>
        <v>BLUE</v>
      </c>
      <c r="G5698" s="20" t="str">
        <f>IFERROR(__xludf.DUMMYFUNCTION("""COMPUTED_VALUE"""),"Uncle Sams Cider (04/04/2023)")</f>
        <v>Uncle Sams Cider (04/04/2023)</v>
      </c>
      <c r="H5698" s="19"/>
    </row>
    <row r="5699">
      <c r="A5699" s="9"/>
      <c r="B5699" s="15"/>
      <c r="C5699" s="9">
        <f>IFERROR(__xludf.DUMMYFUNCTION("""COMPUTED_VALUE"""),45084.7727146527)</f>
        <v>45084.77271</v>
      </c>
      <c r="D5699" s="15">
        <f>IFERROR(__xludf.DUMMYFUNCTION("""COMPUTED_VALUE"""),1.005)</f>
        <v>1.005</v>
      </c>
      <c r="E5699" s="16">
        <f>IFERROR(__xludf.DUMMYFUNCTION("""COMPUTED_VALUE"""),67.0)</f>
        <v>67</v>
      </c>
      <c r="F5699" s="19" t="str">
        <f>IFERROR(__xludf.DUMMYFUNCTION("""COMPUTED_VALUE"""),"BLUE")</f>
        <v>BLUE</v>
      </c>
      <c r="G5699" s="20" t="str">
        <f>IFERROR(__xludf.DUMMYFUNCTION("""COMPUTED_VALUE"""),"Uncle Sams Cider (04/04/2023)")</f>
        <v>Uncle Sams Cider (04/04/2023)</v>
      </c>
      <c r="H5699" s="19"/>
    </row>
    <row r="5700">
      <c r="A5700" s="9"/>
      <c r="B5700" s="15"/>
      <c r="C5700" s="9">
        <f>IFERROR(__xludf.DUMMYFUNCTION("""COMPUTED_VALUE"""),45084.7622807986)</f>
        <v>45084.76228</v>
      </c>
      <c r="D5700" s="15">
        <f>IFERROR(__xludf.DUMMYFUNCTION("""COMPUTED_VALUE"""),1.005)</f>
        <v>1.005</v>
      </c>
      <c r="E5700" s="16">
        <f>IFERROR(__xludf.DUMMYFUNCTION("""COMPUTED_VALUE"""),67.0)</f>
        <v>67</v>
      </c>
      <c r="F5700" s="19" t="str">
        <f>IFERROR(__xludf.DUMMYFUNCTION("""COMPUTED_VALUE"""),"BLUE")</f>
        <v>BLUE</v>
      </c>
      <c r="G5700" s="20" t="str">
        <f>IFERROR(__xludf.DUMMYFUNCTION("""COMPUTED_VALUE"""),"Uncle Sams Cider (04/04/2023)")</f>
        <v>Uncle Sams Cider (04/04/2023)</v>
      </c>
      <c r="H5700" s="19"/>
    </row>
    <row r="5701">
      <c r="A5701" s="9"/>
      <c r="B5701" s="15"/>
      <c r="C5701" s="9">
        <f>IFERROR(__xludf.DUMMYFUNCTION("""COMPUTED_VALUE"""),45084.7518465856)</f>
        <v>45084.75185</v>
      </c>
      <c r="D5701" s="15">
        <f>IFERROR(__xludf.DUMMYFUNCTION("""COMPUTED_VALUE"""),1.005)</f>
        <v>1.005</v>
      </c>
      <c r="E5701" s="16">
        <f>IFERROR(__xludf.DUMMYFUNCTION("""COMPUTED_VALUE"""),67.0)</f>
        <v>67</v>
      </c>
      <c r="F5701" s="19" t="str">
        <f>IFERROR(__xludf.DUMMYFUNCTION("""COMPUTED_VALUE"""),"BLUE")</f>
        <v>BLUE</v>
      </c>
      <c r="G5701" s="20" t="str">
        <f>IFERROR(__xludf.DUMMYFUNCTION("""COMPUTED_VALUE"""),"Uncle Sams Cider (04/04/2023)")</f>
        <v>Uncle Sams Cider (04/04/2023)</v>
      </c>
      <c r="H5701" s="19"/>
    </row>
    <row r="5702">
      <c r="A5702" s="9"/>
      <c r="B5702" s="15"/>
      <c r="C5702" s="9">
        <f>IFERROR(__xludf.DUMMYFUNCTION("""COMPUTED_VALUE"""),45084.7414268402)</f>
        <v>45084.74143</v>
      </c>
      <c r="D5702" s="15">
        <f>IFERROR(__xludf.DUMMYFUNCTION("""COMPUTED_VALUE"""),1.005)</f>
        <v>1.005</v>
      </c>
      <c r="E5702" s="16">
        <f>IFERROR(__xludf.DUMMYFUNCTION("""COMPUTED_VALUE"""),67.0)</f>
        <v>67</v>
      </c>
      <c r="F5702" s="19" t="str">
        <f>IFERROR(__xludf.DUMMYFUNCTION("""COMPUTED_VALUE"""),"BLUE")</f>
        <v>BLUE</v>
      </c>
      <c r="G5702" s="20" t="str">
        <f>IFERROR(__xludf.DUMMYFUNCTION("""COMPUTED_VALUE"""),"Uncle Sams Cider (04/04/2023)")</f>
        <v>Uncle Sams Cider (04/04/2023)</v>
      </c>
      <c r="H5702" s="19"/>
    </row>
    <row r="5703">
      <c r="A5703" s="9"/>
      <c r="B5703" s="15"/>
      <c r="C5703" s="9">
        <f>IFERROR(__xludf.DUMMYFUNCTION("""COMPUTED_VALUE"""),45084.731006574)</f>
        <v>45084.73101</v>
      </c>
      <c r="D5703" s="15">
        <f>IFERROR(__xludf.DUMMYFUNCTION("""COMPUTED_VALUE"""),1.005)</f>
        <v>1.005</v>
      </c>
      <c r="E5703" s="16">
        <f>IFERROR(__xludf.DUMMYFUNCTION("""COMPUTED_VALUE"""),67.0)</f>
        <v>67</v>
      </c>
      <c r="F5703" s="19" t="str">
        <f>IFERROR(__xludf.DUMMYFUNCTION("""COMPUTED_VALUE"""),"BLUE")</f>
        <v>BLUE</v>
      </c>
      <c r="G5703" s="20" t="str">
        <f>IFERROR(__xludf.DUMMYFUNCTION("""COMPUTED_VALUE"""),"Uncle Sams Cider (04/04/2023)")</f>
        <v>Uncle Sams Cider (04/04/2023)</v>
      </c>
      <c r="H5703" s="19"/>
    </row>
    <row r="5704">
      <c r="A5704" s="9"/>
      <c r="B5704" s="15"/>
      <c r="C5704" s="9">
        <f>IFERROR(__xludf.DUMMYFUNCTION("""COMPUTED_VALUE"""),45084.7205854398)</f>
        <v>45084.72059</v>
      </c>
      <c r="D5704" s="15">
        <f>IFERROR(__xludf.DUMMYFUNCTION("""COMPUTED_VALUE"""),1.005)</f>
        <v>1.005</v>
      </c>
      <c r="E5704" s="16">
        <f>IFERROR(__xludf.DUMMYFUNCTION("""COMPUTED_VALUE"""),67.0)</f>
        <v>67</v>
      </c>
      <c r="F5704" s="19" t="str">
        <f>IFERROR(__xludf.DUMMYFUNCTION("""COMPUTED_VALUE"""),"BLUE")</f>
        <v>BLUE</v>
      </c>
      <c r="G5704" s="20" t="str">
        <f>IFERROR(__xludf.DUMMYFUNCTION("""COMPUTED_VALUE"""),"Uncle Sams Cider (04/04/2023)")</f>
        <v>Uncle Sams Cider (04/04/2023)</v>
      </c>
      <c r="H5704" s="19"/>
    </row>
    <row r="5705">
      <c r="A5705" s="9"/>
      <c r="B5705" s="15"/>
      <c r="C5705" s="9">
        <f>IFERROR(__xludf.DUMMYFUNCTION("""COMPUTED_VALUE"""),45084.7101526041)</f>
        <v>45084.71015</v>
      </c>
      <c r="D5705" s="15">
        <f>IFERROR(__xludf.DUMMYFUNCTION("""COMPUTED_VALUE"""),1.005)</f>
        <v>1.005</v>
      </c>
      <c r="E5705" s="16">
        <f>IFERROR(__xludf.DUMMYFUNCTION("""COMPUTED_VALUE"""),67.0)</f>
        <v>67</v>
      </c>
      <c r="F5705" s="19" t="str">
        <f>IFERROR(__xludf.DUMMYFUNCTION("""COMPUTED_VALUE"""),"BLUE")</f>
        <v>BLUE</v>
      </c>
      <c r="G5705" s="20" t="str">
        <f>IFERROR(__xludf.DUMMYFUNCTION("""COMPUTED_VALUE"""),"Uncle Sams Cider (04/04/2023)")</f>
        <v>Uncle Sams Cider (04/04/2023)</v>
      </c>
      <c r="H5705" s="19"/>
    </row>
    <row r="5706">
      <c r="A5706" s="9"/>
      <c r="B5706" s="15"/>
      <c r="C5706" s="9">
        <f>IFERROR(__xludf.DUMMYFUNCTION("""COMPUTED_VALUE"""),45084.6997310763)</f>
        <v>45084.69973</v>
      </c>
      <c r="D5706" s="15">
        <f>IFERROR(__xludf.DUMMYFUNCTION("""COMPUTED_VALUE"""),1.005)</f>
        <v>1.005</v>
      </c>
      <c r="E5706" s="16">
        <f>IFERROR(__xludf.DUMMYFUNCTION("""COMPUTED_VALUE"""),67.0)</f>
        <v>67</v>
      </c>
      <c r="F5706" s="19" t="str">
        <f>IFERROR(__xludf.DUMMYFUNCTION("""COMPUTED_VALUE"""),"BLUE")</f>
        <v>BLUE</v>
      </c>
      <c r="G5706" s="20" t="str">
        <f>IFERROR(__xludf.DUMMYFUNCTION("""COMPUTED_VALUE"""),"Uncle Sams Cider (04/04/2023)")</f>
        <v>Uncle Sams Cider (04/04/2023)</v>
      </c>
      <c r="H5706" s="19"/>
    </row>
    <row r="5707">
      <c r="A5707" s="9"/>
      <c r="B5707" s="15"/>
      <c r="C5707" s="9">
        <f>IFERROR(__xludf.DUMMYFUNCTION("""COMPUTED_VALUE"""),45084.6893103703)</f>
        <v>45084.68931</v>
      </c>
      <c r="D5707" s="15">
        <f>IFERROR(__xludf.DUMMYFUNCTION("""COMPUTED_VALUE"""),1.005)</f>
        <v>1.005</v>
      </c>
      <c r="E5707" s="16">
        <f>IFERROR(__xludf.DUMMYFUNCTION("""COMPUTED_VALUE"""),67.0)</f>
        <v>67</v>
      </c>
      <c r="F5707" s="19" t="str">
        <f>IFERROR(__xludf.DUMMYFUNCTION("""COMPUTED_VALUE"""),"BLUE")</f>
        <v>BLUE</v>
      </c>
      <c r="G5707" s="20" t="str">
        <f>IFERROR(__xludf.DUMMYFUNCTION("""COMPUTED_VALUE"""),"Uncle Sams Cider (04/04/2023)")</f>
        <v>Uncle Sams Cider (04/04/2023)</v>
      </c>
      <c r="H5707" s="19"/>
    </row>
    <row r="5708">
      <c r="A5708" s="9"/>
      <c r="B5708" s="15"/>
      <c r="C5708" s="9">
        <f>IFERROR(__xludf.DUMMYFUNCTION("""COMPUTED_VALUE"""),45084.6788894675)</f>
        <v>45084.67889</v>
      </c>
      <c r="D5708" s="15">
        <f>IFERROR(__xludf.DUMMYFUNCTION("""COMPUTED_VALUE"""),1.005)</f>
        <v>1.005</v>
      </c>
      <c r="E5708" s="16">
        <f>IFERROR(__xludf.DUMMYFUNCTION("""COMPUTED_VALUE"""),67.0)</f>
        <v>67</v>
      </c>
      <c r="F5708" s="19" t="str">
        <f>IFERROR(__xludf.DUMMYFUNCTION("""COMPUTED_VALUE"""),"BLUE")</f>
        <v>BLUE</v>
      </c>
      <c r="G5708" s="20" t="str">
        <f>IFERROR(__xludf.DUMMYFUNCTION("""COMPUTED_VALUE"""),"Uncle Sams Cider (04/04/2023)")</f>
        <v>Uncle Sams Cider (04/04/2023)</v>
      </c>
      <c r="H5708" s="19"/>
    </row>
    <row r="5709">
      <c r="A5709" s="9"/>
      <c r="B5709" s="15"/>
      <c r="C5709" s="9">
        <f>IFERROR(__xludf.DUMMYFUNCTION("""COMPUTED_VALUE"""),45084.6684208912)</f>
        <v>45084.66842</v>
      </c>
      <c r="D5709" s="15">
        <f>IFERROR(__xludf.DUMMYFUNCTION("""COMPUTED_VALUE"""),1.005)</f>
        <v>1.005</v>
      </c>
      <c r="E5709" s="16">
        <f>IFERROR(__xludf.DUMMYFUNCTION("""COMPUTED_VALUE"""),67.0)</f>
        <v>67</v>
      </c>
      <c r="F5709" s="19" t="str">
        <f>IFERROR(__xludf.DUMMYFUNCTION("""COMPUTED_VALUE"""),"BLUE")</f>
        <v>BLUE</v>
      </c>
      <c r="G5709" s="20" t="str">
        <f>IFERROR(__xludf.DUMMYFUNCTION("""COMPUTED_VALUE"""),"Uncle Sams Cider (04/04/2023)")</f>
        <v>Uncle Sams Cider (04/04/2023)</v>
      </c>
      <c r="H5709" s="19"/>
    </row>
    <row r="5710">
      <c r="A5710" s="9"/>
      <c r="B5710" s="15"/>
      <c r="C5710" s="9">
        <f>IFERROR(__xludf.DUMMYFUNCTION("""COMPUTED_VALUE"""),45084.6579991551)</f>
        <v>45084.658</v>
      </c>
      <c r="D5710" s="15">
        <f>IFERROR(__xludf.DUMMYFUNCTION("""COMPUTED_VALUE"""),1.005)</f>
        <v>1.005</v>
      </c>
      <c r="E5710" s="16">
        <f>IFERROR(__xludf.DUMMYFUNCTION("""COMPUTED_VALUE"""),67.0)</f>
        <v>67</v>
      </c>
      <c r="F5710" s="19" t="str">
        <f>IFERROR(__xludf.DUMMYFUNCTION("""COMPUTED_VALUE"""),"BLUE")</f>
        <v>BLUE</v>
      </c>
      <c r="G5710" s="20" t="str">
        <f>IFERROR(__xludf.DUMMYFUNCTION("""COMPUTED_VALUE"""),"Uncle Sams Cider (04/04/2023)")</f>
        <v>Uncle Sams Cider (04/04/2023)</v>
      </c>
      <c r="H5710" s="19"/>
    </row>
    <row r="5711">
      <c r="A5711" s="9"/>
      <c r="B5711" s="15"/>
      <c r="C5711" s="9">
        <f>IFERROR(__xludf.DUMMYFUNCTION("""COMPUTED_VALUE"""),45084.6475783912)</f>
        <v>45084.64758</v>
      </c>
      <c r="D5711" s="15">
        <f>IFERROR(__xludf.DUMMYFUNCTION("""COMPUTED_VALUE"""),1.005)</f>
        <v>1.005</v>
      </c>
      <c r="E5711" s="16">
        <f>IFERROR(__xludf.DUMMYFUNCTION("""COMPUTED_VALUE"""),67.0)</f>
        <v>67</v>
      </c>
      <c r="F5711" s="19" t="str">
        <f>IFERROR(__xludf.DUMMYFUNCTION("""COMPUTED_VALUE"""),"BLUE")</f>
        <v>BLUE</v>
      </c>
      <c r="G5711" s="20" t="str">
        <f>IFERROR(__xludf.DUMMYFUNCTION("""COMPUTED_VALUE"""),"Uncle Sams Cider (04/04/2023)")</f>
        <v>Uncle Sams Cider (04/04/2023)</v>
      </c>
      <c r="H5711" s="19"/>
    </row>
    <row r="5712">
      <c r="A5712" s="9"/>
      <c r="B5712" s="15"/>
      <c r="C5712" s="9">
        <f>IFERROR(__xludf.DUMMYFUNCTION("""COMPUTED_VALUE"""),45084.6371558796)</f>
        <v>45084.63716</v>
      </c>
      <c r="D5712" s="15">
        <f>IFERROR(__xludf.DUMMYFUNCTION("""COMPUTED_VALUE"""),1.005)</f>
        <v>1.005</v>
      </c>
      <c r="E5712" s="16">
        <f>IFERROR(__xludf.DUMMYFUNCTION("""COMPUTED_VALUE"""),67.0)</f>
        <v>67</v>
      </c>
      <c r="F5712" s="19" t="str">
        <f>IFERROR(__xludf.DUMMYFUNCTION("""COMPUTED_VALUE"""),"BLUE")</f>
        <v>BLUE</v>
      </c>
      <c r="G5712" s="20" t="str">
        <f>IFERROR(__xludf.DUMMYFUNCTION("""COMPUTED_VALUE"""),"Uncle Sams Cider (04/04/2023)")</f>
        <v>Uncle Sams Cider (04/04/2023)</v>
      </c>
      <c r="H5712" s="19"/>
    </row>
    <row r="5713">
      <c r="A5713" s="9"/>
      <c r="B5713" s="15"/>
      <c r="C5713" s="9">
        <f>IFERROR(__xludf.DUMMYFUNCTION("""COMPUTED_VALUE"""),45084.6267218287)</f>
        <v>45084.62672</v>
      </c>
      <c r="D5713" s="15">
        <f>IFERROR(__xludf.DUMMYFUNCTION("""COMPUTED_VALUE"""),1.005)</f>
        <v>1.005</v>
      </c>
      <c r="E5713" s="16">
        <f>IFERROR(__xludf.DUMMYFUNCTION("""COMPUTED_VALUE"""),67.0)</f>
        <v>67</v>
      </c>
      <c r="F5713" s="19" t="str">
        <f>IFERROR(__xludf.DUMMYFUNCTION("""COMPUTED_VALUE"""),"BLUE")</f>
        <v>BLUE</v>
      </c>
      <c r="G5713" s="20" t="str">
        <f>IFERROR(__xludf.DUMMYFUNCTION("""COMPUTED_VALUE"""),"Uncle Sams Cider (04/04/2023)")</f>
        <v>Uncle Sams Cider (04/04/2023)</v>
      </c>
      <c r="H5713" s="19"/>
    </row>
    <row r="5714">
      <c r="A5714" s="9"/>
      <c r="B5714" s="15"/>
      <c r="C5714" s="9">
        <f>IFERROR(__xludf.DUMMYFUNCTION("""COMPUTED_VALUE"""),45084.6163002662)</f>
        <v>45084.6163</v>
      </c>
      <c r="D5714" s="15">
        <f>IFERROR(__xludf.DUMMYFUNCTION("""COMPUTED_VALUE"""),1.005)</f>
        <v>1.005</v>
      </c>
      <c r="E5714" s="16">
        <f>IFERROR(__xludf.DUMMYFUNCTION("""COMPUTED_VALUE"""),67.0)</f>
        <v>67</v>
      </c>
      <c r="F5714" s="19" t="str">
        <f>IFERROR(__xludf.DUMMYFUNCTION("""COMPUTED_VALUE"""),"BLUE")</f>
        <v>BLUE</v>
      </c>
      <c r="G5714" s="20" t="str">
        <f>IFERROR(__xludf.DUMMYFUNCTION("""COMPUTED_VALUE"""),"Uncle Sams Cider (04/04/2023)")</f>
        <v>Uncle Sams Cider (04/04/2023)</v>
      </c>
      <c r="H5714" s="19"/>
    </row>
    <row r="5715">
      <c r="A5715" s="9"/>
      <c r="B5715" s="15"/>
      <c r="C5715" s="9">
        <f>IFERROR(__xludf.DUMMYFUNCTION("""COMPUTED_VALUE"""),45084.6058326388)</f>
        <v>45084.60583</v>
      </c>
      <c r="D5715" s="15">
        <f>IFERROR(__xludf.DUMMYFUNCTION("""COMPUTED_VALUE"""),1.005)</f>
        <v>1.005</v>
      </c>
      <c r="E5715" s="16">
        <f>IFERROR(__xludf.DUMMYFUNCTION("""COMPUTED_VALUE"""),67.0)</f>
        <v>67</v>
      </c>
      <c r="F5715" s="19" t="str">
        <f>IFERROR(__xludf.DUMMYFUNCTION("""COMPUTED_VALUE"""),"BLUE")</f>
        <v>BLUE</v>
      </c>
      <c r="G5715" s="20" t="str">
        <f>IFERROR(__xludf.DUMMYFUNCTION("""COMPUTED_VALUE"""),"Uncle Sams Cider (04/04/2023)")</f>
        <v>Uncle Sams Cider (04/04/2023)</v>
      </c>
      <c r="H5715" s="19"/>
    </row>
    <row r="5716">
      <c r="A5716" s="9"/>
      <c r="B5716" s="15"/>
      <c r="C5716" s="9">
        <f>IFERROR(__xludf.DUMMYFUNCTION("""COMPUTED_VALUE"""),45084.5954121412)</f>
        <v>45084.59541</v>
      </c>
      <c r="D5716" s="15">
        <f>IFERROR(__xludf.DUMMYFUNCTION("""COMPUTED_VALUE"""),1.005)</f>
        <v>1.005</v>
      </c>
      <c r="E5716" s="16">
        <f>IFERROR(__xludf.DUMMYFUNCTION("""COMPUTED_VALUE"""),67.0)</f>
        <v>67</v>
      </c>
      <c r="F5716" s="19" t="str">
        <f>IFERROR(__xludf.DUMMYFUNCTION("""COMPUTED_VALUE"""),"BLUE")</f>
        <v>BLUE</v>
      </c>
      <c r="G5716" s="20" t="str">
        <f>IFERROR(__xludf.DUMMYFUNCTION("""COMPUTED_VALUE"""),"Uncle Sams Cider (04/04/2023)")</f>
        <v>Uncle Sams Cider (04/04/2023)</v>
      </c>
      <c r="H5716" s="19"/>
    </row>
    <row r="5717">
      <c r="A5717" s="9"/>
      <c r="B5717" s="15"/>
      <c r="C5717" s="9">
        <f>IFERROR(__xludf.DUMMYFUNCTION("""COMPUTED_VALUE"""),45084.5849921527)</f>
        <v>45084.58499</v>
      </c>
      <c r="D5717" s="15">
        <f>IFERROR(__xludf.DUMMYFUNCTION("""COMPUTED_VALUE"""),1.005)</f>
        <v>1.005</v>
      </c>
      <c r="E5717" s="16">
        <f>IFERROR(__xludf.DUMMYFUNCTION("""COMPUTED_VALUE"""),67.0)</f>
        <v>67</v>
      </c>
      <c r="F5717" s="19" t="str">
        <f>IFERROR(__xludf.DUMMYFUNCTION("""COMPUTED_VALUE"""),"BLUE")</f>
        <v>BLUE</v>
      </c>
      <c r="G5717" s="20" t="str">
        <f>IFERROR(__xludf.DUMMYFUNCTION("""COMPUTED_VALUE"""),"Uncle Sams Cider (04/04/2023)")</f>
        <v>Uncle Sams Cider (04/04/2023)</v>
      </c>
      <c r="H5717" s="19"/>
    </row>
    <row r="5718">
      <c r="A5718" s="9"/>
      <c r="B5718" s="15"/>
      <c r="C5718" s="9">
        <f>IFERROR(__xludf.DUMMYFUNCTION("""COMPUTED_VALUE"""),45084.5745699768)</f>
        <v>45084.57457</v>
      </c>
      <c r="D5718" s="15">
        <f>IFERROR(__xludf.DUMMYFUNCTION("""COMPUTED_VALUE"""),1.005)</f>
        <v>1.005</v>
      </c>
      <c r="E5718" s="16">
        <f>IFERROR(__xludf.DUMMYFUNCTION("""COMPUTED_VALUE"""),67.0)</f>
        <v>67</v>
      </c>
      <c r="F5718" s="19" t="str">
        <f>IFERROR(__xludf.DUMMYFUNCTION("""COMPUTED_VALUE"""),"BLUE")</f>
        <v>BLUE</v>
      </c>
      <c r="G5718" s="20" t="str">
        <f>IFERROR(__xludf.DUMMYFUNCTION("""COMPUTED_VALUE"""),"Uncle Sams Cider (04/04/2023)")</f>
        <v>Uncle Sams Cider (04/04/2023)</v>
      </c>
      <c r="H5718" s="19"/>
    </row>
    <row r="5719">
      <c r="A5719" s="9"/>
      <c r="B5719" s="15"/>
      <c r="C5719" s="9">
        <f>IFERROR(__xludf.DUMMYFUNCTION("""COMPUTED_VALUE"""),45084.564149699)</f>
        <v>45084.56415</v>
      </c>
      <c r="D5719" s="15">
        <f>IFERROR(__xludf.DUMMYFUNCTION("""COMPUTED_VALUE"""),1.005)</f>
        <v>1.005</v>
      </c>
      <c r="E5719" s="16">
        <f>IFERROR(__xludf.DUMMYFUNCTION("""COMPUTED_VALUE"""),67.0)</f>
        <v>67</v>
      </c>
      <c r="F5719" s="19" t="str">
        <f>IFERROR(__xludf.DUMMYFUNCTION("""COMPUTED_VALUE"""),"BLUE")</f>
        <v>BLUE</v>
      </c>
      <c r="G5719" s="20" t="str">
        <f>IFERROR(__xludf.DUMMYFUNCTION("""COMPUTED_VALUE"""),"Uncle Sams Cider (04/04/2023)")</f>
        <v>Uncle Sams Cider (04/04/2023)</v>
      </c>
      <c r="H5719" s="19"/>
    </row>
    <row r="5720">
      <c r="A5720" s="9"/>
      <c r="B5720" s="15"/>
      <c r="C5720" s="9">
        <f>IFERROR(__xludf.DUMMYFUNCTION("""COMPUTED_VALUE"""),45084.5537290277)</f>
        <v>45084.55373</v>
      </c>
      <c r="D5720" s="15">
        <f>IFERROR(__xludf.DUMMYFUNCTION("""COMPUTED_VALUE"""),1.005)</f>
        <v>1.005</v>
      </c>
      <c r="E5720" s="16">
        <f>IFERROR(__xludf.DUMMYFUNCTION("""COMPUTED_VALUE"""),67.0)</f>
        <v>67</v>
      </c>
      <c r="F5720" s="19" t="str">
        <f>IFERROR(__xludf.DUMMYFUNCTION("""COMPUTED_VALUE"""),"BLUE")</f>
        <v>BLUE</v>
      </c>
      <c r="G5720" s="20" t="str">
        <f>IFERROR(__xludf.DUMMYFUNCTION("""COMPUTED_VALUE"""),"Uncle Sams Cider (04/04/2023)")</f>
        <v>Uncle Sams Cider (04/04/2023)</v>
      </c>
      <c r="H5720" s="19"/>
    </row>
    <row r="5721">
      <c r="A5721" s="9"/>
      <c r="B5721" s="15"/>
      <c r="C5721" s="9">
        <f>IFERROR(__xludf.DUMMYFUNCTION("""COMPUTED_VALUE"""),45084.5433079513)</f>
        <v>45084.54331</v>
      </c>
      <c r="D5721" s="15">
        <f>IFERROR(__xludf.DUMMYFUNCTION("""COMPUTED_VALUE"""),1.005)</f>
        <v>1.005</v>
      </c>
      <c r="E5721" s="16">
        <f>IFERROR(__xludf.DUMMYFUNCTION("""COMPUTED_VALUE"""),67.0)</f>
        <v>67</v>
      </c>
      <c r="F5721" s="19" t="str">
        <f>IFERROR(__xludf.DUMMYFUNCTION("""COMPUTED_VALUE"""),"BLUE")</f>
        <v>BLUE</v>
      </c>
      <c r="G5721" s="20" t="str">
        <f>IFERROR(__xludf.DUMMYFUNCTION("""COMPUTED_VALUE"""),"Uncle Sams Cider (04/04/2023)")</f>
        <v>Uncle Sams Cider (04/04/2023)</v>
      </c>
      <c r="H5721" s="19"/>
    </row>
    <row r="5722">
      <c r="A5722" s="9"/>
      <c r="B5722" s="15"/>
      <c r="C5722" s="9">
        <f>IFERROR(__xludf.DUMMYFUNCTION("""COMPUTED_VALUE"""),45084.5328872222)</f>
        <v>45084.53289</v>
      </c>
      <c r="D5722" s="15">
        <f>IFERROR(__xludf.DUMMYFUNCTION("""COMPUTED_VALUE"""),1.005)</f>
        <v>1.005</v>
      </c>
      <c r="E5722" s="16">
        <f>IFERROR(__xludf.DUMMYFUNCTION("""COMPUTED_VALUE"""),67.0)</f>
        <v>67</v>
      </c>
      <c r="F5722" s="19" t="str">
        <f>IFERROR(__xludf.DUMMYFUNCTION("""COMPUTED_VALUE"""),"BLUE")</f>
        <v>BLUE</v>
      </c>
      <c r="G5722" s="20" t="str">
        <f>IFERROR(__xludf.DUMMYFUNCTION("""COMPUTED_VALUE"""),"Uncle Sams Cider (04/04/2023)")</f>
        <v>Uncle Sams Cider (04/04/2023)</v>
      </c>
      <c r="H5722" s="19"/>
    </row>
    <row r="5723">
      <c r="A5723" s="9"/>
      <c r="B5723" s="15"/>
      <c r="C5723" s="9">
        <f>IFERROR(__xludf.DUMMYFUNCTION("""COMPUTED_VALUE"""),45084.522465706)</f>
        <v>45084.52247</v>
      </c>
      <c r="D5723" s="15">
        <f>IFERROR(__xludf.DUMMYFUNCTION("""COMPUTED_VALUE"""),1.005)</f>
        <v>1.005</v>
      </c>
      <c r="E5723" s="16">
        <f>IFERROR(__xludf.DUMMYFUNCTION("""COMPUTED_VALUE"""),67.0)</f>
        <v>67</v>
      </c>
      <c r="F5723" s="19" t="str">
        <f>IFERROR(__xludf.DUMMYFUNCTION("""COMPUTED_VALUE"""),"BLUE")</f>
        <v>BLUE</v>
      </c>
      <c r="G5723" s="20" t="str">
        <f>IFERROR(__xludf.DUMMYFUNCTION("""COMPUTED_VALUE"""),"Uncle Sams Cider (04/04/2023)")</f>
        <v>Uncle Sams Cider (04/04/2023)</v>
      </c>
      <c r="H5723" s="19"/>
    </row>
    <row r="5724">
      <c r="A5724" s="9"/>
      <c r="B5724" s="15"/>
      <c r="C5724" s="9">
        <f>IFERROR(__xludf.DUMMYFUNCTION("""COMPUTED_VALUE"""),45084.512043912)</f>
        <v>45084.51204</v>
      </c>
      <c r="D5724" s="15">
        <f>IFERROR(__xludf.DUMMYFUNCTION("""COMPUTED_VALUE"""),1.005)</f>
        <v>1.005</v>
      </c>
      <c r="E5724" s="16">
        <f>IFERROR(__xludf.DUMMYFUNCTION("""COMPUTED_VALUE"""),67.0)</f>
        <v>67</v>
      </c>
      <c r="F5724" s="19" t="str">
        <f>IFERROR(__xludf.DUMMYFUNCTION("""COMPUTED_VALUE"""),"BLUE")</f>
        <v>BLUE</v>
      </c>
      <c r="G5724" s="20" t="str">
        <f>IFERROR(__xludf.DUMMYFUNCTION("""COMPUTED_VALUE"""),"Uncle Sams Cider (04/04/2023)")</f>
        <v>Uncle Sams Cider (04/04/2023)</v>
      </c>
      <c r="H5724" s="19"/>
    </row>
    <row r="5725">
      <c r="A5725" s="9"/>
      <c r="B5725" s="15"/>
      <c r="C5725" s="9">
        <f>IFERROR(__xludf.DUMMYFUNCTION("""COMPUTED_VALUE"""),45084.5015768287)</f>
        <v>45084.50158</v>
      </c>
      <c r="D5725" s="15">
        <f>IFERROR(__xludf.DUMMYFUNCTION("""COMPUTED_VALUE"""),1.005)</f>
        <v>1.005</v>
      </c>
      <c r="E5725" s="16">
        <f>IFERROR(__xludf.DUMMYFUNCTION("""COMPUTED_VALUE"""),67.0)</f>
        <v>67</v>
      </c>
      <c r="F5725" s="19" t="str">
        <f>IFERROR(__xludf.DUMMYFUNCTION("""COMPUTED_VALUE"""),"BLUE")</f>
        <v>BLUE</v>
      </c>
      <c r="G5725" s="20" t="str">
        <f>IFERROR(__xludf.DUMMYFUNCTION("""COMPUTED_VALUE"""),"Uncle Sams Cider (04/04/2023)")</f>
        <v>Uncle Sams Cider (04/04/2023)</v>
      </c>
      <c r="H5725" s="19"/>
    </row>
    <row r="5726">
      <c r="A5726" s="9"/>
      <c r="B5726" s="15"/>
      <c r="C5726" s="9">
        <f>IFERROR(__xludf.DUMMYFUNCTION("""COMPUTED_VALUE"""),45084.491154074)</f>
        <v>45084.49115</v>
      </c>
      <c r="D5726" s="15">
        <f>IFERROR(__xludf.DUMMYFUNCTION("""COMPUTED_VALUE"""),1.005)</f>
        <v>1.005</v>
      </c>
      <c r="E5726" s="16">
        <f>IFERROR(__xludf.DUMMYFUNCTION("""COMPUTED_VALUE"""),67.0)</f>
        <v>67</v>
      </c>
      <c r="F5726" s="19" t="str">
        <f>IFERROR(__xludf.DUMMYFUNCTION("""COMPUTED_VALUE"""),"BLUE")</f>
        <v>BLUE</v>
      </c>
      <c r="G5726" s="20" t="str">
        <f>IFERROR(__xludf.DUMMYFUNCTION("""COMPUTED_VALUE"""),"Uncle Sams Cider (04/04/2023)")</f>
        <v>Uncle Sams Cider (04/04/2023)</v>
      </c>
      <c r="H5726" s="19"/>
    </row>
    <row r="5727">
      <c r="A5727" s="9"/>
      <c r="B5727" s="15"/>
      <c r="C5727" s="9">
        <f>IFERROR(__xludf.DUMMYFUNCTION("""COMPUTED_VALUE"""),45084.4807344675)</f>
        <v>45084.48073</v>
      </c>
      <c r="D5727" s="15">
        <f>IFERROR(__xludf.DUMMYFUNCTION("""COMPUTED_VALUE"""),1.005)</f>
        <v>1.005</v>
      </c>
      <c r="E5727" s="16">
        <f>IFERROR(__xludf.DUMMYFUNCTION("""COMPUTED_VALUE"""),67.0)</f>
        <v>67</v>
      </c>
      <c r="F5727" s="19" t="str">
        <f>IFERROR(__xludf.DUMMYFUNCTION("""COMPUTED_VALUE"""),"BLUE")</f>
        <v>BLUE</v>
      </c>
      <c r="G5727" s="20" t="str">
        <f>IFERROR(__xludf.DUMMYFUNCTION("""COMPUTED_VALUE"""),"Uncle Sams Cider (04/04/2023)")</f>
        <v>Uncle Sams Cider (04/04/2023)</v>
      </c>
      <c r="H5727" s="19"/>
    </row>
    <row r="5728">
      <c r="A5728" s="9"/>
      <c r="B5728" s="15"/>
      <c r="C5728" s="9">
        <f>IFERROR(__xludf.DUMMYFUNCTION("""COMPUTED_VALUE"""),45084.4703126041)</f>
        <v>45084.47031</v>
      </c>
      <c r="D5728" s="15">
        <f>IFERROR(__xludf.DUMMYFUNCTION("""COMPUTED_VALUE"""),1.005)</f>
        <v>1.005</v>
      </c>
      <c r="E5728" s="16">
        <f>IFERROR(__xludf.DUMMYFUNCTION("""COMPUTED_VALUE"""),67.0)</f>
        <v>67</v>
      </c>
      <c r="F5728" s="19" t="str">
        <f>IFERROR(__xludf.DUMMYFUNCTION("""COMPUTED_VALUE"""),"BLUE")</f>
        <v>BLUE</v>
      </c>
      <c r="G5728" s="20" t="str">
        <f>IFERROR(__xludf.DUMMYFUNCTION("""COMPUTED_VALUE"""),"Uncle Sams Cider (04/04/2023)")</f>
        <v>Uncle Sams Cider (04/04/2023)</v>
      </c>
      <c r="H5728" s="19"/>
    </row>
    <row r="5729">
      <c r="A5729" s="9"/>
      <c r="B5729" s="15"/>
      <c r="C5729" s="9">
        <f>IFERROR(__xludf.DUMMYFUNCTION("""COMPUTED_VALUE"""),45084.4598807523)</f>
        <v>45084.45988</v>
      </c>
      <c r="D5729" s="15">
        <f>IFERROR(__xludf.DUMMYFUNCTION("""COMPUTED_VALUE"""),1.005)</f>
        <v>1.005</v>
      </c>
      <c r="E5729" s="16">
        <f>IFERROR(__xludf.DUMMYFUNCTION("""COMPUTED_VALUE"""),67.0)</f>
        <v>67</v>
      </c>
      <c r="F5729" s="19" t="str">
        <f>IFERROR(__xludf.DUMMYFUNCTION("""COMPUTED_VALUE"""),"BLUE")</f>
        <v>BLUE</v>
      </c>
      <c r="G5729" s="20" t="str">
        <f>IFERROR(__xludf.DUMMYFUNCTION("""COMPUTED_VALUE"""),"Uncle Sams Cider (04/04/2023)")</f>
        <v>Uncle Sams Cider (04/04/2023)</v>
      </c>
      <c r="H5729" s="19"/>
    </row>
    <row r="5730">
      <c r="A5730" s="9"/>
      <c r="B5730" s="15"/>
      <c r="C5730" s="9">
        <f>IFERROR(__xludf.DUMMYFUNCTION("""COMPUTED_VALUE"""),45084.4494479976)</f>
        <v>45084.44945</v>
      </c>
      <c r="D5730" s="15">
        <f>IFERROR(__xludf.DUMMYFUNCTION("""COMPUTED_VALUE"""),1.005)</f>
        <v>1.005</v>
      </c>
      <c r="E5730" s="16">
        <f>IFERROR(__xludf.DUMMYFUNCTION("""COMPUTED_VALUE"""),67.0)</f>
        <v>67</v>
      </c>
      <c r="F5730" s="19" t="str">
        <f>IFERROR(__xludf.DUMMYFUNCTION("""COMPUTED_VALUE"""),"BLUE")</f>
        <v>BLUE</v>
      </c>
      <c r="G5730" s="20" t="str">
        <f>IFERROR(__xludf.DUMMYFUNCTION("""COMPUTED_VALUE"""),"Uncle Sams Cider (04/04/2023)")</f>
        <v>Uncle Sams Cider (04/04/2023)</v>
      </c>
      <c r="H5730" s="19"/>
    </row>
    <row r="5731">
      <c r="A5731" s="9"/>
      <c r="B5731" s="15"/>
      <c r="C5731" s="9">
        <f>IFERROR(__xludf.DUMMYFUNCTION("""COMPUTED_VALUE"""),45084.4390260069)</f>
        <v>45084.43903</v>
      </c>
      <c r="D5731" s="15">
        <f>IFERROR(__xludf.DUMMYFUNCTION("""COMPUTED_VALUE"""),1.005)</f>
        <v>1.005</v>
      </c>
      <c r="E5731" s="16">
        <f>IFERROR(__xludf.DUMMYFUNCTION("""COMPUTED_VALUE"""),67.0)</f>
        <v>67</v>
      </c>
      <c r="F5731" s="19" t="str">
        <f>IFERROR(__xludf.DUMMYFUNCTION("""COMPUTED_VALUE"""),"BLUE")</f>
        <v>BLUE</v>
      </c>
      <c r="G5731" s="20" t="str">
        <f>IFERROR(__xludf.DUMMYFUNCTION("""COMPUTED_VALUE"""),"Uncle Sams Cider (04/04/2023)")</f>
        <v>Uncle Sams Cider (04/04/2023)</v>
      </c>
      <c r="H5731" s="19"/>
    </row>
    <row r="5732">
      <c r="A5732" s="9"/>
      <c r="B5732" s="15"/>
      <c r="C5732" s="9">
        <f>IFERROR(__xludf.DUMMYFUNCTION("""COMPUTED_VALUE"""),45084.4285937268)</f>
        <v>45084.42859</v>
      </c>
      <c r="D5732" s="15">
        <f>IFERROR(__xludf.DUMMYFUNCTION("""COMPUTED_VALUE"""),1.005)</f>
        <v>1.005</v>
      </c>
      <c r="E5732" s="16">
        <f>IFERROR(__xludf.DUMMYFUNCTION("""COMPUTED_VALUE"""),67.0)</f>
        <v>67</v>
      </c>
      <c r="F5732" s="19" t="str">
        <f>IFERROR(__xludf.DUMMYFUNCTION("""COMPUTED_VALUE"""),"BLUE")</f>
        <v>BLUE</v>
      </c>
      <c r="G5732" s="20" t="str">
        <f>IFERROR(__xludf.DUMMYFUNCTION("""COMPUTED_VALUE"""),"Uncle Sams Cider (04/04/2023)")</f>
        <v>Uncle Sams Cider (04/04/2023)</v>
      </c>
      <c r="H5732" s="19"/>
    </row>
    <row r="5733">
      <c r="A5733" s="9"/>
      <c r="B5733" s="15"/>
      <c r="C5733" s="9">
        <f>IFERROR(__xludf.DUMMYFUNCTION("""COMPUTED_VALUE"""),45084.4181616666)</f>
        <v>45084.41816</v>
      </c>
      <c r="D5733" s="15">
        <f>IFERROR(__xludf.DUMMYFUNCTION("""COMPUTED_VALUE"""),1.005)</f>
        <v>1.005</v>
      </c>
      <c r="E5733" s="16">
        <f>IFERROR(__xludf.DUMMYFUNCTION("""COMPUTED_VALUE"""),67.0)</f>
        <v>67</v>
      </c>
      <c r="F5733" s="19" t="str">
        <f>IFERROR(__xludf.DUMMYFUNCTION("""COMPUTED_VALUE"""),"BLUE")</f>
        <v>BLUE</v>
      </c>
      <c r="G5733" s="20" t="str">
        <f>IFERROR(__xludf.DUMMYFUNCTION("""COMPUTED_VALUE"""),"Uncle Sams Cider (04/04/2023)")</f>
        <v>Uncle Sams Cider (04/04/2023)</v>
      </c>
      <c r="H5733" s="19"/>
    </row>
    <row r="5734">
      <c r="A5734" s="9"/>
      <c r="B5734" s="15"/>
      <c r="C5734" s="9">
        <f>IFERROR(__xludf.DUMMYFUNCTION("""COMPUTED_VALUE"""),45084.4077296875)</f>
        <v>45084.40773</v>
      </c>
      <c r="D5734" s="15">
        <f>IFERROR(__xludf.DUMMYFUNCTION("""COMPUTED_VALUE"""),1.005)</f>
        <v>1.005</v>
      </c>
      <c r="E5734" s="16">
        <f>IFERROR(__xludf.DUMMYFUNCTION("""COMPUTED_VALUE"""),67.0)</f>
        <v>67</v>
      </c>
      <c r="F5734" s="19" t="str">
        <f>IFERROR(__xludf.DUMMYFUNCTION("""COMPUTED_VALUE"""),"BLUE")</f>
        <v>BLUE</v>
      </c>
      <c r="G5734" s="20" t="str">
        <f>IFERROR(__xludf.DUMMYFUNCTION("""COMPUTED_VALUE"""),"Uncle Sams Cider (04/04/2023)")</f>
        <v>Uncle Sams Cider (04/04/2023)</v>
      </c>
      <c r="H5734" s="19"/>
    </row>
    <row r="5735">
      <c r="A5735" s="9"/>
      <c r="B5735" s="15"/>
      <c r="C5735" s="9">
        <f>IFERROR(__xludf.DUMMYFUNCTION("""COMPUTED_VALUE"""),45084.3972975463)</f>
        <v>45084.3973</v>
      </c>
      <c r="D5735" s="15">
        <f>IFERROR(__xludf.DUMMYFUNCTION("""COMPUTED_VALUE"""),1.005)</f>
        <v>1.005</v>
      </c>
      <c r="E5735" s="16">
        <f>IFERROR(__xludf.DUMMYFUNCTION("""COMPUTED_VALUE"""),67.0)</f>
        <v>67</v>
      </c>
      <c r="F5735" s="19" t="str">
        <f>IFERROR(__xludf.DUMMYFUNCTION("""COMPUTED_VALUE"""),"BLUE")</f>
        <v>BLUE</v>
      </c>
      <c r="G5735" s="20" t="str">
        <f>IFERROR(__xludf.DUMMYFUNCTION("""COMPUTED_VALUE"""),"Uncle Sams Cider (04/04/2023)")</f>
        <v>Uncle Sams Cider (04/04/2023)</v>
      </c>
      <c r="H5735" s="19"/>
    </row>
    <row r="5736">
      <c r="A5736" s="9"/>
      <c r="B5736" s="15"/>
      <c r="C5736" s="9">
        <f>IFERROR(__xludf.DUMMYFUNCTION("""COMPUTED_VALUE"""),45084.3868769328)</f>
        <v>45084.38688</v>
      </c>
      <c r="D5736" s="15">
        <f>IFERROR(__xludf.DUMMYFUNCTION("""COMPUTED_VALUE"""),1.005)</f>
        <v>1.005</v>
      </c>
      <c r="E5736" s="16">
        <f>IFERROR(__xludf.DUMMYFUNCTION("""COMPUTED_VALUE"""),67.0)</f>
        <v>67</v>
      </c>
      <c r="F5736" s="19" t="str">
        <f>IFERROR(__xludf.DUMMYFUNCTION("""COMPUTED_VALUE"""),"BLUE")</f>
        <v>BLUE</v>
      </c>
      <c r="G5736" s="20" t="str">
        <f>IFERROR(__xludf.DUMMYFUNCTION("""COMPUTED_VALUE"""),"Uncle Sams Cider (04/04/2023)")</f>
        <v>Uncle Sams Cider (04/04/2023)</v>
      </c>
      <c r="H5736" s="19"/>
    </row>
    <row r="5737">
      <c r="A5737" s="9"/>
      <c r="B5737" s="15"/>
      <c r="C5737" s="9">
        <f>IFERROR(__xludf.DUMMYFUNCTION("""COMPUTED_VALUE"""),45084.37644353)</f>
        <v>45084.37644</v>
      </c>
      <c r="D5737" s="15">
        <f>IFERROR(__xludf.DUMMYFUNCTION("""COMPUTED_VALUE"""),1.005)</f>
        <v>1.005</v>
      </c>
      <c r="E5737" s="16">
        <f>IFERROR(__xludf.DUMMYFUNCTION("""COMPUTED_VALUE"""),67.0)</f>
        <v>67</v>
      </c>
      <c r="F5737" s="19" t="str">
        <f>IFERROR(__xludf.DUMMYFUNCTION("""COMPUTED_VALUE"""),"BLUE")</f>
        <v>BLUE</v>
      </c>
      <c r="G5737" s="20" t="str">
        <f>IFERROR(__xludf.DUMMYFUNCTION("""COMPUTED_VALUE"""),"Uncle Sams Cider (04/04/2023)")</f>
        <v>Uncle Sams Cider (04/04/2023)</v>
      </c>
      <c r="H5737" s="19"/>
    </row>
    <row r="5738">
      <c r="A5738" s="9"/>
      <c r="B5738" s="15"/>
      <c r="C5738" s="9">
        <f>IFERROR(__xludf.DUMMYFUNCTION("""COMPUTED_VALUE"""),45084.3660208564)</f>
        <v>45084.36602</v>
      </c>
      <c r="D5738" s="15">
        <f>IFERROR(__xludf.DUMMYFUNCTION("""COMPUTED_VALUE"""),1.005)</f>
        <v>1.005</v>
      </c>
      <c r="E5738" s="16">
        <f>IFERROR(__xludf.DUMMYFUNCTION("""COMPUTED_VALUE"""),67.0)</f>
        <v>67</v>
      </c>
      <c r="F5738" s="19" t="str">
        <f>IFERROR(__xludf.DUMMYFUNCTION("""COMPUTED_VALUE"""),"BLUE")</f>
        <v>BLUE</v>
      </c>
      <c r="G5738" s="20" t="str">
        <f>IFERROR(__xludf.DUMMYFUNCTION("""COMPUTED_VALUE"""),"Uncle Sams Cider (04/04/2023)")</f>
        <v>Uncle Sams Cider (04/04/2023)</v>
      </c>
      <c r="H5738" s="19"/>
    </row>
    <row r="5739">
      <c r="A5739" s="9"/>
      <c r="B5739" s="15"/>
      <c r="C5739" s="9">
        <f>IFERROR(__xludf.DUMMYFUNCTION("""COMPUTED_VALUE"""),45084.3556006944)</f>
        <v>45084.3556</v>
      </c>
      <c r="D5739" s="15">
        <f>IFERROR(__xludf.DUMMYFUNCTION("""COMPUTED_VALUE"""),1.005)</f>
        <v>1.005</v>
      </c>
      <c r="E5739" s="16">
        <f>IFERROR(__xludf.DUMMYFUNCTION("""COMPUTED_VALUE"""),67.0)</f>
        <v>67</v>
      </c>
      <c r="F5739" s="19" t="str">
        <f>IFERROR(__xludf.DUMMYFUNCTION("""COMPUTED_VALUE"""),"BLUE")</f>
        <v>BLUE</v>
      </c>
      <c r="G5739" s="20" t="str">
        <f>IFERROR(__xludf.DUMMYFUNCTION("""COMPUTED_VALUE"""),"Uncle Sams Cider (04/04/2023)")</f>
        <v>Uncle Sams Cider (04/04/2023)</v>
      </c>
      <c r="H5739" s="19"/>
    </row>
    <row r="5740">
      <c r="A5740" s="9"/>
      <c r="B5740" s="15"/>
      <c r="C5740" s="9">
        <f>IFERROR(__xludf.DUMMYFUNCTION("""COMPUTED_VALUE"""),45084.3451800115)</f>
        <v>45084.34518</v>
      </c>
      <c r="D5740" s="15">
        <f>IFERROR(__xludf.DUMMYFUNCTION("""COMPUTED_VALUE"""),1.005)</f>
        <v>1.005</v>
      </c>
      <c r="E5740" s="16">
        <f>IFERROR(__xludf.DUMMYFUNCTION("""COMPUTED_VALUE"""),67.0)</f>
        <v>67</v>
      </c>
      <c r="F5740" s="19" t="str">
        <f>IFERROR(__xludf.DUMMYFUNCTION("""COMPUTED_VALUE"""),"BLUE")</f>
        <v>BLUE</v>
      </c>
      <c r="G5740" s="20" t="str">
        <f>IFERROR(__xludf.DUMMYFUNCTION("""COMPUTED_VALUE"""),"Uncle Sams Cider (04/04/2023)")</f>
        <v>Uncle Sams Cider (04/04/2023)</v>
      </c>
      <c r="H5740" s="19"/>
    </row>
    <row r="5741">
      <c r="A5741" s="9"/>
      <c r="B5741" s="15"/>
      <c r="C5741" s="9">
        <f>IFERROR(__xludf.DUMMYFUNCTION("""COMPUTED_VALUE"""),45084.3347473726)</f>
        <v>45084.33475</v>
      </c>
      <c r="D5741" s="15">
        <f>IFERROR(__xludf.DUMMYFUNCTION("""COMPUTED_VALUE"""),1.005)</f>
        <v>1.005</v>
      </c>
      <c r="E5741" s="16">
        <f>IFERROR(__xludf.DUMMYFUNCTION("""COMPUTED_VALUE"""),67.0)</f>
        <v>67</v>
      </c>
      <c r="F5741" s="19" t="str">
        <f>IFERROR(__xludf.DUMMYFUNCTION("""COMPUTED_VALUE"""),"BLUE")</f>
        <v>BLUE</v>
      </c>
      <c r="G5741" s="20" t="str">
        <f>IFERROR(__xludf.DUMMYFUNCTION("""COMPUTED_VALUE"""),"Uncle Sams Cider (04/04/2023)")</f>
        <v>Uncle Sams Cider (04/04/2023)</v>
      </c>
      <c r="H5741" s="19"/>
    </row>
    <row r="5742">
      <c r="A5742" s="9"/>
      <c r="B5742" s="15"/>
      <c r="C5742" s="9">
        <f>IFERROR(__xludf.DUMMYFUNCTION("""COMPUTED_VALUE"""),45084.3243243171)</f>
        <v>45084.32432</v>
      </c>
      <c r="D5742" s="15">
        <f>IFERROR(__xludf.DUMMYFUNCTION("""COMPUTED_VALUE"""),1.005)</f>
        <v>1.005</v>
      </c>
      <c r="E5742" s="16">
        <f>IFERROR(__xludf.DUMMYFUNCTION("""COMPUTED_VALUE"""),67.0)</f>
        <v>67</v>
      </c>
      <c r="F5742" s="19" t="str">
        <f>IFERROR(__xludf.DUMMYFUNCTION("""COMPUTED_VALUE"""),"BLUE")</f>
        <v>BLUE</v>
      </c>
      <c r="G5742" s="20" t="str">
        <f>IFERROR(__xludf.DUMMYFUNCTION("""COMPUTED_VALUE"""),"Uncle Sams Cider (04/04/2023)")</f>
        <v>Uncle Sams Cider (04/04/2023)</v>
      </c>
      <c r="H5742" s="19"/>
    </row>
    <row r="5743">
      <c r="A5743" s="9"/>
      <c r="B5743" s="15"/>
      <c r="C5743" s="9">
        <f>IFERROR(__xludf.DUMMYFUNCTION("""COMPUTED_VALUE"""),45084.3138898379)</f>
        <v>45084.31389</v>
      </c>
      <c r="D5743" s="15">
        <f>IFERROR(__xludf.DUMMYFUNCTION("""COMPUTED_VALUE"""),1.005)</f>
        <v>1.005</v>
      </c>
      <c r="E5743" s="16">
        <f>IFERROR(__xludf.DUMMYFUNCTION("""COMPUTED_VALUE"""),67.0)</f>
        <v>67</v>
      </c>
      <c r="F5743" s="19" t="str">
        <f>IFERROR(__xludf.DUMMYFUNCTION("""COMPUTED_VALUE"""),"BLUE")</f>
        <v>BLUE</v>
      </c>
      <c r="G5743" s="20" t="str">
        <f>IFERROR(__xludf.DUMMYFUNCTION("""COMPUTED_VALUE"""),"Uncle Sams Cider (04/04/2023)")</f>
        <v>Uncle Sams Cider (04/04/2023)</v>
      </c>
      <c r="H5743" s="19"/>
    </row>
    <row r="5744">
      <c r="A5744" s="9"/>
      <c r="B5744" s="15"/>
      <c r="C5744" s="9">
        <f>IFERROR(__xludf.DUMMYFUNCTION("""COMPUTED_VALUE"""),45084.3034551967)</f>
        <v>45084.30346</v>
      </c>
      <c r="D5744" s="15">
        <f>IFERROR(__xludf.DUMMYFUNCTION("""COMPUTED_VALUE"""),1.005)</f>
        <v>1.005</v>
      </c>
      <c r="E5744" s="16">
        <f>IFERROR(__xludf.DUMMYFUNCTION("""COMPUTED_VALUE"""),67.0)</f>
        <v>67</v>
      </c>
      <c r="F5744" s="19" t="str">
        <f>IFERROR(__xludf.DUMMYFUNCTION("""COMPUTED_VALUE"""),"BLUE")</f>
        <v>BLUE</v>
      </c>
      <c r="G5744" s="20" t="str">
        <f>IFERROR(__xludf.DUMMYFUNCTION("""COMPUTED_VALUE"""),"Uncle Sams Cider (04/04/2023)")</f>
        <v>Uncle Sams Cider (04/04/2023)</v>
      </c>
      <c r="H5744" s="19"/>
    </row>
    <row r="5745">
      <c r="A5745" s="9"/>
      <c r="B5745" s="15"/>
      <c r="C5745" s="9">
        <f>IFERROR(__xludf.DUMMYFUNCTION("""COMPUTED_VALUE"""),45084.2930356481)</f>
        <v>45084.29304</v>
      </c>
      <c r="D5745" s="15">
        <f>IFERROR(__xludf.DUMMYFUNCTION("""COMPUTED_VALUE"""),1.005)</f>
        <v>1.005</v>
      </c>
      <c r="E5745" s="16">
        <f>IFERROR(__xludf.DUMMYFUNCTION("""COMPUTED_VALUE"""),67.0)</f>
        <v>67</v>
      </c>
      <c r="F5745" s="19" t="str">
        <f>IFERROR(__xludf.DUMMYFUNCTION("""COMPUTED_VALUE"""),"BLUE")</f>
        <v>BLUE</v>
      </c>
      <c r="G5745" s="20" t="str">
        <f>IFERROR(__xludf.DUMMYFUNCTION("""COMPUTED_VALUE"""),"Uncle Sams Cider (04/04/2023)")</f>
        <v>Uncle Sams Cider (04/04/2023)</v>
      </c>
      <c r="H5745" s="19"/>
    </row>
    <row r="5746">
      <c r="A5746" s="9"/>
      <c r="B5746" s="15"/>
      <c r="C5746" s="9">
        <f>IFERROR(__xludf.DUMMYFUNCTION("""COMPUTED_VALUE"""),45084.2826106944)</f>
        <v>45084.28261</v>
      </c>
      <c r="D5746" s="15">
        <f>IFERROR(__xludf.DUMMYFUNCTION("""COMPUTED_VALUE"""),1.005)</f>
        <v>1.005</v>
      </c>
      <c r="E5746" s="16">
        <f>IFERROR(__xludf.DUMMYFUNCTION("""COMPUTED_VALUE"""),67.0)</f>
        <v>67</v>
      </c>
      <c r="F5746" s="19" t="str">
        <f>IFERROR(__xludf.DUMMYFUNCTION("""COMPUTED_VALUE"""),"BLUE")</f>
        <v>BLUE</v>
      </c>
      <c r="G5746" s="20" t="str">
        <f>IFERROR(__xludf.DUMMYFUNCTION("""COMPUTED_VALUE"""),"Uncle Sams Cider (04/04/2023)")</f>
        <v>Uncle Sams Cider (04/04/2023)</v>
      </c>
      <c r="H5746" s="19"/>
    </row>
    <row r="5747">
      <c r="A5747" s="9"/>
      <c r="B5747" s="15"/>
      <c r="C5747" s="9">
        <f>IFERROR(__xludf.DUMMYFUNCTION("""COMPUTED_VALUE"""),45084.2721901851)</f>
        <v>45084.27219</v>
      </c>
      <c r="D5747" s="15">
        <f>IFERROR(__xludf.DUMMYFUNCTION("""COMPUTED_VALUE"""),1.005)</f>
        <v>1.005</v>
      </c>
      <c r="E5747" s="16">
        <f>IFERROR(__xludf.DUMMYFUNCTION("""COMPUTED_VALUE"""),67.0)</f>
        <v>67</v>
      </c>
      <c r="F5747" s="19" t="str">
        <f>IFERROR(__xludf.DUMMYFUNCTION("""COMPUTED_VALUE"""),"BLUE")</f>
        <v>BLUE</v>
      </c>
      <c r="G5747" s="20" t="str">
        <f>IFERROR(__xludf.DUMMYFUNCTION("""COMPUTED_VALUE"""),"Uncle Sams Cider (04/04/2023)")</f>
        <v>Uncle Sams Cider (04/04/2023)</v>
      </c>
      <c r="H5747" s="19"/>
    </row>
    <row r="5748">
      <c r="A5748" s="9"/>
      <c r="B5748" s="15"/>
      <c r="C5748" s="9">
        <f>IFERROR(__xludf.DUMMYFUNCTION("""COMPUTED_VALUE"""),45084.2617701967)</f>
        <v>45084.26177</v>
      </c>
      <c r="D5748" s="15">
        <f>IFERROR(__xludf.DUMMYFUNCTION("""COMPUTED_VALUE"""),1.005)</f>
        <v>1.005</v>
      </c>
      <c r="E5748" s="16">
        <f>IFERROR(__xludf.DUMMYFUNCTION("""COMPUTED_VALUE"""),67.0)</f>
        <v>67</v>
      </c>
      <c r="F5748" s="19" t="str">
        <f>IFERROR(__xludf.DUMMYFUNCTION("""COMPUTED_VALUE"""),"BLUE")</f>
        <v>BLUE</v>
      </c>
      <c r="G5748" s="20" t="str">
        <f>IFERROR(__xludf.DUMMYFUNCTION("""COMPUTED_VALUE"""),"Uncle Sams Cider (04/04/2023)")</f>
        <v>Uncle Sams Cider (04/04/2023)</v>
      </c>
      <c r="H5748" s="19"/>
    </row>
    <row r="5749">
      <c r="A5749" s="9"/>
      <c r="B5749" s="15"/>
      <c r="C5749" s="9">
        <f>IFERROR(__xludf.DUMMYFUNCTION("""COMPUTED_VALUE"""),45084.2513389236)</f>
        <v>45084.25134</v>
      </c>
      <c r="D5749" s="15">
        <f>IFERROR(__xludf.DUMMYFUNCTION("""COMPUTED_VALUE"""),1.005)</f>
        <v>1.005</v>
      </c>
      <c r="E5749" s="16">
        <f>IFERROR(__xludf.DUMMYFUNCTION("""COMPUTED_VALUE"""),67.0)</f>
        <v>67</v>
      </c>
      <c r="F5749" s="19" t="str">
        <f>IFERROR(__xludf.DUMMYFUNCTION("""COMPUTED_VALUE"""),"BLUE")</f>
        <v>BLUE</v>
      </c>
      <c r="G5749" s="20" t="str">
        <f>IFERROR(__xludf.DUMMYFUNCTION("""COMPUTED_VALUE"""),"Uncle Sams Cider (04/04/2023)")</f>
        <v>Uncle Sams Cider (04/04/2023)</v>
      </c>
      <c r="H5749" s="19"/>
    </row>
    <row r="5750">
      <c r="A5750" s="9"/>
      <c r="B5750" s="15"/>
      <c r="C5750" s="9">
        <f>IFERROR(__xludf.DUMMYFUNCTION("""COMPUTED_VALUE"""),45084.2409055555)</f>
        <v>45084.24091</v>
      </c>
      <c r="D5750" s="15">
        <f>IFERROR(__xludf.DUMMYFUNCTION("""COMPUTED_VALUE"""),1.005)</f>
        <v>1.005</v>
      </c>
      <c r="E5750" s="16">
        <f>IFERROR(__xludf.DUMMYFUNCTION("""COMPUTED_VALUE"""),67.0)</f>
        <v>67</v>
      </c>
      <c r="F5750" s="19" t="str">
        <f>IFERROR(__xludf.DUMMYFUNCTION("""COMPUTED_VALUE"""),"BLUE")</f>
        <v>BLUE</v>
      </c>
      <c r="G5750" s="20" t="str">
        <f>IFERROR(__xludf.DUMMYFUNCTION("""COMPUTED_VALUE"""),"Uncle Sams Cider (04/04/2023)")</f>
        <v>Uncle Sams Cider (04/04/2023)</v>
      </c>
      <c r="H5750" s="19"/>
    </row>
    <row r="5751">
      <c r="A5751" s="9"/>
      <c r="B5751" s="15"/>
      <c r="C5751" s="9">
        <f>IFERROR(__xludf.DUMMYFUNCTION("""COMPUTED_VALUE"""),45084.2304730324)</f>
        <v>45084.23047</v>
      </c>
      <c r="D5751" s="15">
        <f>IFERROR(__xludf.DUMMYFUNCTION("""COMPUTED_VALUE"""),1.005)</f>
        <v>1.005</v>
      </c>
      <c r="E5751" s="16">
        <f>IFERROR(__xludf.DUMMYFUNCTION("""COMPUTED_VALUE"""),67.0)</f>
        <v>67</v>
      </c>
      <c r="F5751" s="19" t="str">
        <f>IFERROR(__xludf.DUMMYFUNCTION("""COMPUTED_VALUE"""),"BLUE")</f>
        <v>BLUE</v>
      </c>
      <c r="G5751" s="20" t="str">
        <f>IFERROR(__xludf.DUMMYFUNCTION("""COMPUTED_VALUE"""),"Uncle Sams Cider (04/04/2023)")</f>
        <v>Uncle Sams Cider (04/04/2023)</v>
      </c>
      <c r="H5751" s="19"/>
    </row>
    <row r="5752">
      <c r="A5752" s="9"/>
      <c r="B5752" s="15"/>
      <c r="C5752" s="9">
        <f>IFERROR(__xludf.DUMMYFUNCTION("""COMPUTED_VALUE"""),45084.22002875)</f>
        <v>45084.22003</v>
      </c>
      <c r="D5752" s="15">
        <f>IFERROR(__xludf.DUMMYFUNCTION("""COMPUTED_VALUE"""),1.005)</f>
        <v>1.005</v>
      </c>
      <c r="E5752" s="16">
        <f>IFERROR(__xludf.DUMMYFUNCTION("""COMPUTED_VALUE"""),67.0)</f>
        <v>67</v>
      </c>
      <c r="F5752" s="19" t="str">
        <f>IFERROR(__xludf.DUMMYFUNCTION("""COMPUTED_VALUE"""),"BLUE")</f>
        <v>BLUE</v>
      </c>
      <c r="G5752" s="20" t="str">
        <f>IFERROR(__xludf.DUMMYFUNCTION("""COMPUTED_VALUE"""),"Uncle Sams Cider (04/04/2023)")</f>
        <v>Uncle Sams Cider (04/04/2023)</v>
      </c>
      <c r="H5752" s="19"/>
    </row>
    <row r="5753">
      <c r="A5753" s="9"/>
      <c r="B5753" s="15"/>
      <c r="C5753" s="9">
        <f>IFERROR(__xludf.DUMMYFUNCTION("""COMPUTED_VALUE"""),45084.2096074652)</f>
        <v>45084.20961</v>
      </c>
      <c r="D5753" s="15">
        <f>IFERROR(__xludf.DUMMYFUNCTION("""COMPUTED_VALUE"""),1.005)</f>
        <v>1.005</v>
      </c>
      <c r="E5753" s="16">
        <f>IFERROR(__xludf.DUMMYFUNCTION("""COMPUTED_VALUE"""),67.0)</f>
        <v>67</v>
      </c>
      <c r="F5753" s="19" t="str">
        <f>IFERROR(__xludf.DUMMYFUNCTION("""COMPUTED_VALUE"""),"BLUE")</f>
        <v>BLUE</v>
      </c>
      <c r="G5753" s="20" t="str">
        <f>IFERROR(__xludf.DUMMYFUNCTION("""COMPUTED_VALUE"""),"Uncle Sams Cider (04/04/2023)")</f>
        <v>Uncle Sams Cider (04/04/2023)</v>
      </c>
      <c r="H5753" s="19"/>
    </row>
    <row r="5754">
      <c r="A5754" s="9"/>
      <c r="B5754" s="15"/>
      <c r="C5754" s="9">
        <f>IFERROR(__xludf.DUMMYFUNCTION("""COMPUTED_VALUE"""),45084.1991744097)</f>
        <v>45084.19917</v>
      </c>
      <c r="D5754" s="15">
        <f>IFERROR(__xludf.DUMMYFUNCTION("""COMPUTED_VALUE"""),1.005)</f>
        <v>1.005</v>
      </c>
      <c r="E5754" s="16">
        <f>IFERROR(__xludf.DUMMYFUNCTION("""COMPUTED_VALUE"""),67.0)</f>
        <v>67</v>
      </c>
      <c r="F5754" s="19" t="str">
        <f>IFERROR(__xludf.DUMMYFUNCTION("""COMPUTED_VALUE"""),"BLUE")</f>
        <v>BLUE</v>
      </c>
      <c r="G5754" s="20" t="str">
        <f>IFERROR(__xludf.DUMMYFUNCTION("""COMPUTED_VALUE"""),"Uncle Sams Cider (04/04/2023)")</f>
        <v>Uncle Sams Cider (04/04/2023)</v>
      </c>
      <c r="H5754" s="19"/>
    </row>
    <row r="5755">
      <c r="A5755" s="9"/>
      <c r="B5755" s="15"/>
      <c r="C5755" s="9">
        <f>IFERROR(__xludf.DUMMYFUNCTION("""COMPUTED_VALUE"""),45084.1887525115)</f>
        <v>45084.18875</v>
      </c>
      <c r="D5755" s="15">
        <f>IFERROR(__xludf.DUMMYFUNCTION("""COMPUTED_VALUE"""),1.005)</f>
        <v>1.005</v>
      </c>
      <c r="E5755" s="16">
        <f>IFERROR(__xludf.DUMMYFUNCTION("""COMPUTED_VALUE"""),67.0)</f>
        <v>67</v>
      </c>
      <c r="F5755" s="19" t="str">
        <f>IFERROR(__xludf.DUMMYFUNCTION("""COMPUTED_VALUE"""),"BLUE")</f>
        <v>BLUE</v>
      </c>
      <c r="G5755" s="20" t="str">
        <f>IFERROR(__xludf.DUMMYFUNCTION("""COMPUTED_VALUE"""),"Uncle Sams Cider (04/04/2023)")</f>
        <v>Uncle Sams Cider (04/04/2023)</v>
      </c>
      <c r="H5755" s="19"/>
    </row>
    <row r="5756">
      <c r="A5756" s="9"/>
      <c r="B5756" s="15"/>
      <c r="C5756" s="9">
        <f>IFERROR(__xludf.DUMMYFUNCTION("""COMPUTED_VALUE"""),45084.1783074768)</f>
        <v>45084.17831</v>
      </c>
      <c r="D5756" s="15">
        <f>IFERROR(__xludf.DUMMYFUNCTION("""COMPUTED_VALUE"""),1.005)</f>
        <v>1.005</v>
      </c>
      <c r="E5756" s="16">
        <f>IFERROR(__xludf.DUMMYFUNCTION("""COMPUTED_VALUE"""),67.0)</f>
        <v>67</v>
      </c>
      <c r="F5756" s="19" t="str">
        <f>IFERROR(__xludf.DUMMYFUNCTION("""COMPUTED_VALUE"""),"BLUE")</f>
        <v>BLUE</v>
      </c>
      <c r="G5756" s="20" t="str">
        <f>IFERROR(__xludf.DUMMYFUNCTION("""COMPUTED_VALUE"""),"Uncle Sams Cider (04/04/2023)")</f>
        <v>Uncle Sams Cider (04/04/2023)</v>
      </c>
      <c r="H5756" s="19"/>
    </row>
    <row r="5757">
      <c r="A5757" s="9"/>
      <c r="B5757" s="15"/>
      <c r="C5757" s="9">
        <f>IFERROR(__xludf.DUMMYFUNCTION("""COMPUTED_VALUE"""),45084.1678762847)</f>
        <v>45084.16788</v>
      </c>
      <c r="D5757" s="15">
        <f>IFERROR(__xludf.DUMMYFUNCTION("""COMPUTED_VALUE"""),1.005)</f>
        <v>1.005</v>
      </c>
      <c r="E5757" s="16">
        <f>IFERROR(__xludf.DUMMYFUNCTION("""COMPUTED_VALUE"""),67.0)</f>
        <v>67</v>
      </c>
      <c r="F5757" s="19" t="str">
        <f>IFERROR(__xludf.DUMMYFUNCTION("""COMPUTED_VALUE"""),"BLUE")</f>
        <v>BLUE</v>
      </c>
      <c r="G5757" s="20" t="str">
        <f>IFERROR(__xludf.DUMMYFUNCTION("""COMPUTED_VALUE"""),"Uncle Sams Cider (04/04/2023)")</f>
        <v>Uncle Sams Cider (04/04/2023)</v>
      </c>
      <c r="H5757" s="19"/>
    </row>
    <row r="5758">
      <c r="A5758" s="9"/>
      <c r="B5758" s="15"/>
      <c r="C5758" s="9">
        <f>IFERROR(__xludf.DUMMYFUNCTION("""COMPUTED_VALUE"""),45084.1574559953)</f>
        <v>45084.15746</v>
      </c>
      <c r="D5758" s="15">
        <f>IFERROR(__xludf.DUMMYFUNCTION("""COMPUTED_VALUE"""),1.005)</f>
        <v>1.005</v>
      </c>
      <c r="E5758" s="16">
        <f>IFERROR(__xludf.DUMMYFUNCTION("""COMPUTED_VALUE"""),67.0)</f>
        <v>67</v>
      </c>
      <c r="F5758" s="19" t="str">
        <f>IFERROR(__xludf.DUMMYFUNCTION("""COMPUTED_VALUE"""),"BLUE")</f>
        <v>BLUE</v>
      </c>
      <c r="G5758" s="20" t="str">
        <f>IFERROR(__xludf.DUMMYFUNCTION("""COMPUTED_VALUE"""),"Uncle Sams Cider (04/04/2023)")</f>
        <v>Uncle Sams Cider (04/04/2023)</v>
      </c>
      <c r="H5758" s="19"/>
    </row>
    <row r="5759">
      <c r="A5759" s="9"/>
      <c r="B5759" s="15"/>
      <c r="C5759" s="9">
        <f>IFERROR(__xludf.DUMMYFUNCTION("""COMPUTED_VALUE"""),45084.1470355902)</f>
        <v>45084.14704</v>
      </c>
      <c r="D5759" s="15">
        <f>IFERROR(__xludf.DUMMYFUNCTION("""COMPUTED_VALUE"""),1.005)</f>
        <v>1.005</v>
      </c>
      <c r="E5759" s="16">
        <f>IFERROR(__xludf.DUMMYFUNCTION("""COMPUTED_VALUE"""),67.0)</f>
        <v>67</v>
      </c>
      <c r="F5759" s="19" t="str">
        <f>IFERROR(__xludf.DUMMYFUNCTION("""COMPUTED_VALUE"""),"BLUE")</f>
        <v>BLUE</v>
      </c>
      <c r="G5759" s="20" t="str">
        <f>IFERROR(__xludf.DUMMYFUNCTION("""COMPUTED_VALUE"""),"Uncle Sams Cider (04/04/2023)")</f>
        <v>Uncle Sams Cider (04/04/2023)</v>
      </c>
      <c r="H5759" s="19"/>
    </row>
    <row r="5760">
      <c r="A5760" s="9"/>
      <c r="B5760" s="15"/>
      <c r="C5760" s="9">
        <f>IFERROR(__xludf.DUMMYFUNCTION("""COMPUTED_VALUE"""),45084.1366134143)</f>
        <v>45084.13661</v>
      </c>
      <c r="D5760" s="15">
        <f>IFERROR(__xludf.DUMMYFUNCTION("""COMPUTED_VALUE"""),1.005)</f>
        <v>1.005</v>
      </c>
      <c r="E5760" s="16">
        <f>IFERROR(__xludf.DUMMYFUNCTION("""COMPUTED_VALUE"""),67.0)</f>
        <v>67</v>
      </c>
      <c r="F5760" s="19" t="str">
        <f>IFERROR(__xludf.DUMMYFUNCTION("""COMPUTED_VALUE"""),"BLUE")</f>
        <v>BLUE</v>
      </c>
      <c r="G5760" s="20" t="str">
        <f>IFERROR(__xludf.DUMMYFUNCTION("""COMPUTED_VALUE"""),"Uncle Sams Cider (04/04/2023)")</f>
        <v>Uncle Sams Cider (04/04/2023)</v>
      </c>
      <c r="H5760" s="19"/>
    </row>
    <row r="5761">
      <c r="A5761" s="9"/>
      <c r="B5761" s="15"/>
      <c r="C5761" s="9">
        <f>IFERROR(__xludf.DUMMYFUNCTION("""COMPUTED_VALUE"""),45084.1261910763)</f>
        <v>45084.12619</v>
      </c>
      <c r="D5761" s="15">
        <f>IFERROR(__xludf.DUMMYFUNCTION("""COMPUTED_VALUE"""),1.005)</f>
        <v>1.005</v>
      </c>
      <c r="E5761" s="16">
        <f>IFERROR(__xludf.DUMMYFUNCTION("""COMPUTED_VALUE"""),67.0)</f>
        <v>67</v>
      </c>
      <c r="F5761" s="19" t="str">
        <f>IFERROR(__xludf.DUMMYFUNCTION("""COMPUTED_VALUE"""),"BLUE")</f>
        <v>BLUE</v>
      </c>
      <c r="G5761" s="20" t="str">
        <f>IFERROR(__xludf.DUMMYFUNCTION("""COMPUTED_VALUE"""),"Uncle Sams Cider (04/04/2023)")</f>
        <v>Uncle Sams Cider (04/04/2023)</v>
      </c>
      <c r="H5761" s="19"/>
    </row>
    <row r="5762">
      <c r="A5762" s="9"/>
      <c r="B5762" s="15"/>
      <c r="C5762" s="9">
        <f>IFERROR(__xludf.DUMMYFUNCTION("""COMPUTED_VALUE"""),45084.1157704629)</f>
        <v>45084.11577</v>
      </c>
      <c r="D5762" s="15">
        <f>IFERROR(__xludf.DUMMYFUNCTION("""COMPUTED_VALUE"""),1.005)</f>
        <v>1.005</v>
      </c>
      <c r="E5762" s="16">
        <f>IFERROR(__xludf.DUMMYFUNCTION("""COMPUTED_VALUE"""),67.0)</f>
        <v>67</v>
      </c>
      <c r="F5762" s="19" t="str">
        <f>IFERROR(__xludf.DUMMYFUNCTION("""COMPUTED_VALUE"""),"BLUE")</f>
        <v>BLUE</v>
      </c>
      <c r="G5762" s="20" t="str">
        <f>IFERROR(__xludf.DUMMYFUNCTION("""COMPUTED_VALUE"""),"Uncle Sams Cider (04/04/2023)")</f>
        <v>Uncle Sams Cider (04/04/2023)</v>
      </c>
      <c r="H5762" s="19"/>
    </row>
    <row r="5763">
      <c r="A5763" s="9"/>
      <c r="B5763" s="15"/>
      <c r="C5763" s="9">
        <f>IFERROR(__xludf.DUMMYFUNCTION("""COMPUTED_VALUE"""),45084.1053505324)</f>
        <v>45084.10535</v>
      </c>
      <c r="D5763" s="15">
        <f>IFERROR(__xludf.DUMMYFUNCTION("""COMPUTED_VALUE"""),1.005)</f>
        <v>1.005</v>
      </c>
      <c r="E5763" s="16">
        <f>IFERROR(__xludf.DUMMYFUNCTION("""COMPUTED_VALUE"""),67.0)</f>
        <v>67</v>
      </c>
      <c r="F5763" s="19" t="str">
        <f>IFERROR(__xludf.DUMMYFUNCTION("""COMPUTED_VALUE"""),"BLUE")</f>
        <v>BLUE</v>
      </c>
      <c r="G5763" s="20" t="str">
        <f>IFERROR(__xludf.DUMMYFUNCTION("""COMPUTED_VALUE"""),"Uncle Sams Cider (04/04/2023)")</f>
        <v>Uncle Sams Cider (04/04/2023)</v>
      </c>
      <c r="H5763" s="19"/>
    </row>
    <row r="5764">
      <c r="A5764" s="9"/>
      <c r="B5764" s="15"/>
      <c r="C5764" s="9">
        <f>IFERROR(__xludf.DUMMYFUNCTION("""COMPUTED_VALUE"""),45084.0949173379)</f>
        <v>45084.09492</v>
      </c>
      <c r="D5764" s="15">
        <f>IFERROR(__xludf.DUMMYFUNCTION("""COMPUTED_VALUE"""),1.005)</f>
        <v>1.005</v>
      </c>
      <c r="E5764" s="16">
        <f>IFERROR(__xludf.DUMMYFUNCTION("""COMPUTED_VALUE"""),67.0)</f>
        <v>67</v>
      </c>
      <c r="F5764" s="19" t="str">
        <f>IFERROR(__xludf.DUMMYFUNCTION("""COMPUTED_VALUE"""),"BLUE")</f>
        <v>BLUE</v>
      </c>
      <c r="G5764" s="20" t="str">
        <f>IFERROR(__xludf.DUMMYFUNCTION("""COMPUTED_VALUE"""),"Uncle Sams Cider (04/04/2023)")</f>
        <v>Uncle Sams Cider (04/04/2023)</v>
      </c>
      <c r="H5764" s="19"/>
    </row>
    <row r="5765">
      <c r="A5765" s="9"/>
      <c r="B5765" s="15"/>
      <c r="C5765" s="9">
        <f>IFERROR(__xludf.DUMMYFUNCTION("""COMPUTED_VALUE"""),45084.0844948842)</f>
        <v>45084.08449</v>
      </c>
      <c r="D5765" s="15">
        <f>IFERROR(__xludf.DUMMYFUNCTION("""COMPUTED_VALUE"""),1.005)</f>
        <v>1.005</v>
      </c>
      <c r="E5765" s="16">
        <f>IFERROR(__xludf.DUMMYFUNCTION("""COMPUTED_VALUE"""),67.0)</f>
        <v>67</v>
      </c>
      <c r="F5765" s="19" t="str">
        <f>IFERROR(__xludf.DUMMYFUNCTION("""COMPUTED_VALUE"""),"BLUE")</f>
        <v>BLUE</v>
      </c>
      <c r="G5765" s="20" t="str">
        <f>IFERROR(__xludf.DUMMYFUNCTION("""COMPUTED_VALUE"""),"Uncle Sams Cider (04/04/2023)")</f>
        <v>Uncle Sams Cider (04/04/2023)</v>
      </c>
      <c r="H5765" s="19"/>
    </row>
    <row r="5766">
      <c r="A5766" s="9"/>
      <c r="B5766" s="15"/>
      <c r="C5766" s="9">
        <f>IFERROR(__xludf.DUMMYFUNCTION("""COMPUTED_VALUE"""),45084.0740613773)</f>
        <v>45084.07406</v>
      </c>
      <c r="D5766" s="15">
        <f>IFERROR(__xludf.DUMMYFUNCTION("""COMPUTED_VALUE"""),1.005)</f>
        <v>1.005</v>
      </c>
      <c r="E5766" s="16">
        <f>IFERROR(__xludf.DUMMYFUNCTION("""COMPUTED_VALUE"""),67.0)</f>
        <v>67</v>
      </c>
      <c r="F5766" s="19" t="str">
        <f>IFERROR(__xludf.DUMMYFUNCTION("""COMPUTED_VALUE"""),"BLUE")</f>
        <v>BLUE</v>
      </c>
      <c r="G5766" s="20" t="str">
        <f>IFERROR(__xludf.DUMMYFUNCTION("""COMPUTED_VALUE"""),"Uncle Sams Cider (04/04/2023)")</f>
        <v>Uncle Sams Cider (04/04/2023)</v>
      </c>
      <c r="H5766" s="19"/>
    </row>
    <row r="5767">
      <c r="A5767" s="9"/>
      <c r="B5767" s="15"/>
      <c r="C5767" s="9">
        <f>IFERROR(__xludf.DUMMYFUNCTION("""COMPUTED_VALUE"""),45084.0636413194)</f>
        <v>45084.06364</v>
      </c>
      <c r="D5767" s="15">
        <f>IFERROR(__xludf.DUMMYFUNCTION("""COMPUTED_VALUE"""),1.005)</f>
        <v>1.005</v>
      </c>
      <c r="E5767" s="16">
        <f>IFERROR(__xludf.DUMMYFUNCTION("""COMPUTED_VALUE"""),67.0)</f>
        <v>67</v>
      </c>
      <c r="F5767" s="19" t="str">
        <f>IFERROR(__xludf.DUMMYFUNCTION("""COMPUTED_VALUE"""),"BLUE")</f>
        <v>BLUE</v>
      </c>
      <c r="G5767" s="20" t="str">
        <f>IFERROR(__xludf.DUMMYFUNCTION("""COMPUTED_VALUE"""),"Uncle Sams Cider (04/04/2023)")</f>
        <v>Uncle Sams Cider (04/04/2023)</v>
      </c>
      <c r="H5767" s="19"/>
    </row>
    <row r="5768">
      <c r="A5768" s="9"/>
      <c r="B5768" s="15"/>
      <c r="C5768" s="9">
        <f>IFERROR(__xludf.DUMMYFUNCTION("""COMPUTED_VALUE"""),45084.0532199305)</f>
        <v>45084.05322</v>
      </c>
      <c r="D5768" s="15">
        <f>IFERROR(__xludf.DUMMYFUNCTION("""COMPUTED_VALUE"""),1.005)</f>
        <v>1.005</v>
      </c>
      <c r="E5768" s="16">
        <f>IFERROR(__xludf.DUMMYFUNCTION("""COMPUTED_VALUE"""),67.0)</f>
        <v>67</v>
      </c>
      <c r="F5768" s="19" t="str">
        <f>IFERROR(__xludf.DUMMYFUNCTION("""COMPUTED_VALUE"""),"BLUE")</f>
        <v>BLUE</v>
      </c>
      <c r="G5768" s="20" t="str">
        <f>IFERROR(__xludf.DUMMYFUNCTION("""COMPUTED_VALUE"""),"Uncle Sams Cider (04/04/2023)")</f>
        <v>Uncle Sams Cider (04/04/2023)</v>
      </c>
      <c r="H5768" s="19"/>
    </row>
    <row r="5769">
      <c r="A5769" s="9"/>
      <c r="B5769" s="15"/>
      <c r="C5769" s="9">
        <f>IFERROR(__xludf.DUMMYFUNCTION("""COMPUTED_VALUE"""),45084.0427974537)</f>
        <v>45084.0428</v>
      </c>
      <c r="D5769" s="15">
        <f>IFERROR(__xludf.DUMMYFUNCTION("""COMPUTED_VALUE"""),1.005)</f>
        <v>1.005</v>
      </c>
      <c r="E5769" s="16">
        <f>IFERROR(__xludf.DUMMYFUNCTION("""COMPUTED_VALUE"""),67.0)</f>
        <v>67</v>
      </c>
      <c r="F5769" s="19" t="str">
        <f>IFERROR(__xludf.DUMMYFUNCTION("""COMPUTED_VALUE"""),"BLUE")</f>
        <v>BLUE</v>
      </c>
      <c r="G5769" s="20" t="str">
        <f>IFERROR(__xludf.DUMMYFUNCTION("""COMPUTED_VALUE"""),"Uncle Sams Cider (04/04/2023)")</f>
        <v>Uncle Sams Cider (04/04/2023)</v>
      </c>
      <c r="H5769" s="19"/>
    </row>
    <row r="5770">
      <c r="A5770" s="9"/>
      <c r="B5770" s="15"/>
      <c r="C5770" s="9">
        <f>IFERROR(__xludf.DUMMYFUNCTION("""COMPUTED_VALUE"""),45084.0323752199)</f>
        <v>45084.03238</v>
      </c>
      <c r="D5770" s="15">
        <f>IFERROR(__xludf.DUMMYFUNCTION("""COMPUTED_VALUE"""),1.005)</f>
        <v>1.005</v>
      </c>
      <c r="E5770" s="16">
        <f>IFERROR(__xludf.DUMMYFUNCTION("""COMPUTED_VALUE"""),67.0)</f>
        <v>67</v>
      </c>
      <c r="F5770" s="19" t="str">
        <f>IFERROR(__xludf.DUMMYFUNCTION("""COMPUTED_VALUE"""),"BLUE")</f>
        <v>BLUE</v>
      </c>
      <c r="G5770" s="20" t="str">
        <f>IFERROR(__xludf.DUMMYFUNCTION("""COMPUTED_VALUE"""),"Uncle Sams Cider (04/04/2023)")</f>
        <v>Uncle Sams Cider (04/04/2023)</v>
      </c>
      <c r="H5770" s="19"/>
    </row>
    <row r="5771">
      <c r="A5771" s="9"/>
      <c r="B5771" s="15"/>
      <c r="C5771" s="9">
        <f>IFERROR(__xludf.DUMMYFUNCTION("""COMPUTED_VALUE"""),45084.021953206)</f>
        <v>45084.02195</v>
      </c>
      <c r="D5771" s="15">
        <f>IFERROR(__xludf.DUMMYFUNCTION("""COMPUTED_VALUE"""),1.005)</f>
        <v>1.005</v>
      </c>
      <c r="E5771" s="16">
        <f>IFERROR(__xludf.DUMMYFUNCTION("""COMPUTED_VALUE"""),67.0)</f>
        <v>67</v>
      </c>
      <c r="F5771" s="19" t="str">
        <f>IFERROR(__xludf.DUMMYFUNCTION("""COMPUTED_VALUE"""),"BLUE")</f>
        <v>BLUE</v>
      </c>
      <c r="G5771" s="20" t="str">
        <f>IFERROR(__xludf.DUMMYFUNCTION("""COMPUTED_VALUE"""),"Uncle Sams Cider (04/04/2023)")</f>
        <v>Uncle Sams Cider (04/04/2023)</v>
      </c>
      <c r="H5771" s="19"/>
    </row>
    <row r="5772">
      <c r="A5772" s="9"/>
      <c r="B5772" s="15"/>
      <c r="C5772" s="9">
        <f>IFERROR(__xludf.DUMMYFUNCTION("""COMPUTED_VALUE"""),45084.0115337152)</f>
        <v>45084.01153</v>
      </c>
      <c r="D5772" s="15">
        <f>IFERROR(__xludf.DUMMYFUNCTION("""COMPUTED_VALUE"""),1.005)</f>
        <v>1.005</v>
      </c>
      <c r="E5772" s="16">
        <f>IFERROR(__xludf.DUMMYFUNCTION("""COMPUTED_VALUE"""),67.0)</f>
        <v>67</v>
      </c>
      <c r="F5772" s="19" t="str">
        <f>IFERROR(__xludf.DUMMYFUNCTION("""COMPUTED_VALUE"""),"BLUE")</f>
        <v>BLUE</v>
      </c>
      <c r="G5772" s="20" t="str">
        <f>IFERROR(__xludf.DUMMYFUNCTION("""COMPUTED_VALUE"""),"Uncle Sams Cider (04/04/2023)")</f>
        <v>Uncle Sams Cider (04/04/2023)</v>
      </c>
      <c r="H5772" s="19"/>
    </row>
    <row r="5773">
      <c r="A5773" s="9"/>
      <c r="B5773" s="15"/>
      <c r="C5773" s="9">
        <f>IFERROR(__xludf.DUMMYFUNCTION("""COMPUTED_VALUE"""),45084.0011129861)</f>
        <v>45084.00111</v>
      </c>
      <c r="D5773" s="15">
        <f>IFERROR(__xludf.DUMMYFUNCTION("""COMPUTED_VALUE"""),1.005)</f>
        <v>1.005</v>
      </c>
      <c r="E5773" s="16">
        <f>IFERROR(__xludf.DUMMYFUNCTION("""COMPUTED_VALUE"""),67.0)</f>
        <v>67</v>
      </c>
      <c r="F5773" s="19" t="str">
        <f>IFERROR(__xludf.DUMMYFUNCTION("""COMPUTED_VALUE"""),"BLUE")</f>
        <v>BLUE</v>
      </c>
      <c r="G5773" s="20" t="str">
        <f>IFERROR(__xludf.DUMMYFUNCTION("""COMPUTED_VALUE"""),"Uncle Sams Cider (04/04/2023)")</f>
        <v>Uncle Sams Cider (04/04/2023)</v>
      </c>
      <c r="H5773" s="19"/>
    </row>
    <row r="5774">
      <c r="A5774" s="9"/>
      <c r="B5774" s="15"/>
      <c r="C5774" s="9">
        <f>IFERROR(__xludf.DUMMYFUNCTION("""COMPUTED_VALUE"""),45083.9906920254)</f>
        <v>45083.99069</v>
      </c>
      <c r="D5774" s="15">
        <f>IFERROR(__xludf.DUMMYFUNCTION("""COMPUTED_VALUE"""),1.005)</f>
        <v>1.005</v>
      </c>
      <c r="E5774" s="16">
        <f>IFERROR(__xludf.DUMMYFUNCTION("""COMPUTED_VALUE"""),67.0)</f>
        <v>67</v>
      </c>
      <c r="F5774" s="19" t="str">
        <f>IFERROR(__xludf.DUMMYFUNCTION("""COMPUTED_VALUE"""),"BLUE")</f>
        <v>BLUE</v>
      </c>
      <c r="G5774" s="20" t="str">
        <f>IFERROR(__xludf.DUMMYFUNCTION("""COMPUTED_VALUE"""),"Uncle Sams Cider (04/04/2023)")</f>
        <v>Uncle Sams Cider (04/04/2023)</v>
      </c>
      <c r="H5774" s="19"/>
    </row>
    <row r="5775">
      <c r="A5775" s="9"/>
      <c r="B5775" s="15"/>
      <c r="C5775" s="9">
        <f>IFERROR(__xludf.DUMMYFUNCTION("""COMPUTED_VALUE"""),45083.9802708912)</f>
        <v>45083.98027</v>
      </c>
      <c r="D5775" s="15">
        <f>IFERROR(__xludf.DUMMYFUNCTION("""COMPUTED_VALUE"""),1.005)</f>
        <v>1.005</v>
      </c>
      <c r="E5775" s="16">
        <f>IFERROR(__xludf.DUMMYFUNCTION("""COMPUTED_VALUE"""),67.0)</f>
        <v>67</v>
      </c>
      <c r="F5775" s="19" t="str">
        <f>IFERROR(__xludf.DUMMYFUNCTION("""COMPUTED_VALUE"""),"BLUE")</f>
        <v>BLUE</v>
      </c>
      <c r="G5775" s="20" t="str">
        <f>IFERROR(__xludf.DUMMYFUNCTION("""COMPUTED_VALUE"""),"Uncle Sams Cider (04/04/2023)")</f>
        <v>Uncle Sams Cider (04/04/2023)</v>
      </c>
      <c r="H5775" s="19"/>
    </row>
    <row r="5776">
      <c r="A5776" s="9"/>
      <c r="B5776" s="15"/>
      <c r="C5776" s="9">
        <f>IFERROR(__xludf.DUMMYFUNCTION("""COMPUTED_VALUE"""),45083.969802662)</f>
        <v>45083.9698</v>
      </c>
      <c r="D5776" s="15">
        <f>IFERROR(__xludf.DUMMYFUNCTION("""COMPUTED_VALUE"""),1.005)</f>
        <v>1.005</v>
      </c>
      <c r="E5776" s="16">
        <f>IFERROR(__xludf.DUMMYFUNCTION("""COMPUTED_VALUE"""),67.0)</f>
        <v>67</v>
      </c>
      <c r="F5776" s="19" t="str">
        <f>IFERROR(__xludf.DUMMYFUNCTION("""COMPUTED_VALUE"""),"BLUE")</f>
        <v>BLUE</v>
      </c>
      <c r="G5776" s="20" t="str">
        <f>IFERROR(__xludf.DUMMYFUNCTION("""COMPUTED_VALUE"""),"Uncle Sams Cider (04/04/2023)")</f>
        <v>Uncle Sams Cider (04/04/2023)</v>
      </c>
      <c r="H5776" s="19"/>
    </row>
    <row r="5777">
      <c r="A5777" s="9"/>
      <c r="B5777" s="15"/>
      <c r="C5777" s="9">
        <f>IFERROR(__xludf.DUMMYFUNCTION("""COMPUTED_VALUE"""),45083.9593822569)</f>
        <v>45083.95938</v>
      </c>
      <c r="D5777" s="15">
        <f>IFERROR(__xludf.DUMMYFUNCTION("""COMPUTED_VALUE"""),1.005)</f>
        <v>1.005</v>
      </c>
      <c r="E5777" s="16">
        <f>IFERROR(__xludf.DUMMYFUNCTION("""COMPUTED_VALUE"""),67.0)</f>
        <v>67</v>
      </c>
      <c r="F5777" s="19" t="str">
        <f>IFERROR(__xludf.DUMMYFUNCTION("""COMPUTED_VALUE"""),"BLUE")</f>
        <v>BLUE</v>
      </c>
      <c r="G5777" s="20" t="str">
        <f>IFERROR(__xludf.DUMMYFUNCTION("""COMPUTED_VALUE"""),"Uncle Sams Cider (04/04/2023)")</f>
        <v>Uncle Sams Cider (04/04/2023)</v>
      </c>
      <c r="H5777" s="19"/>
    </row>
    <row r="5778">
      <c r="A5778" s="9"/>
      <c r="B5778" s="15"/>
      <c r="C5778" s="9">
        <f>IFERROR(__xludf.DUMMYFUNCTION("""COMPUTED_VALUE"""),45083.948962581)</f>
        <v>45083.94896</v>
      </c>
      <c r="D5778" s="15">
        <f>IFERROR(__xludf.DUMMYFUNCTION("""COMPUTED_VALUE"""),1.005)</f>
        <v>1.005</v>
      </c>
      <c r="E5778" s="16">
        <f>IFERROR(__xludf.DUMMYFUNCTION("""COMPUTED_VALUE"""),67.0)</f>
        <v>67</v>
      </c>
      <c r="F5778" s="19" t="str">
        <f>IFERROR(__xludf.DUMMYFUNCTION("""COMPUTED_VALUE"""),"BLUE")</f>
        <v>BLUE</v>
      </c>
      <c r="G5778" s="20" t="str">
        <f>IFERROR(__xludf.DUMMYFUNCTION("""COMPUTED_VALUE"""),"Uncle Sams Cider (04/04/2023)")</f>
        <v>Uncle Sams Cider (04/04/2023)</v>
      </c>
      <c r="H5778" s="19"/>
    </row>
    <row r="5779">
      <c r="A5779" s="9"/>
      <c r="B5779" s="15"/>
      <c r="C5779" s="9">
        <f>IFERROR(__xludf.DUMMYFUNCTION("""COMPUTED_VALUE"""),45083.93854125)</f>
        <v>45083.93854</v>
      </c>
      <c r="D5779" s="15">
        <f>IFERROR(__xludf.DUMMYFUNCTION("""COMPUTED_VALUE"""),1.005)</f>
        <v>1.005</v>
      </c>
      <c r="E5779" s="16">
        <f>IFERROR(__xludf.DUMMYFUNCTION("""COMPUTED_VALUE"""),67.0)</f>
        <v>67</v>
      </c>
      <c r="F5779" s="19" t="str">
        <f>IFERROR(__xludf.DUMMYFUNCTION("""COMPUTED_VALUE"""),"BLUE")</f>
        <v>BLUE</v>
      </c>
      <c r="G5779" s="20" t="str">
        <f>IFERROR(__xludf.DUMMYFUNCTION("""COMPUTED_VALUE"""),"Uncle Sams Cider (04/04/2023)")</f>
        <v>Uncle Sams Cider (04/04/2023)</v>
      </c>
      <c r="H5779" s="19"/>
    </row>
    <row r="5780">
      <c r="A5780" s="9"/>
      <c r="B5780" s="15"/>
      <c r="C5780" s="9">
        <f>IFERROR(__xludf.DUMMYFUNCTION("""COMPUTED_VALUE"""),45083.92811978)</f>
        <v>45083.92812</v>
      </c>
      <c r="D5780" s="15">
        <f>IFERROR(__xludf.DUMMYFUNCTION("""COMPUTED_VALUE"""),1.005)</f>
        <v>1.005</v>
      </c>
      <c r="E5780" s="16">
        <f>IFERROR(__xludf.DUMMYFUNCTION("""COMPUTED_VALUE"""),67.0)</f>
        <v>67</v>
      </c>
      <c r="F5780" s="19" t="str">
        <f>IFERROR(__xludf.DUMMYFUNCTION("""COMPUTED_VALUE"""),"BLUE")</f>
        <v>BLUE</v>
      </c>
      <c r="G5780" s="20" t="str">
        <f>IFERROR(__xludf.DUMMYFUNCTION("""COMPUTED_VALUE"""),"Uncle Sams Cider (04/04/2023)")</f>
        <v>Uncle Sams Cider (04/04/2023)</v>
      </c>
      <c r="H5780" s="19"/>
    </row>
    <row r="5781">
      <c r="A5781" s="9"/>
      <c r="B5781" s="15"/>
      <c r="C5781" s="9">
        <f>IFERROR(__xludf.DUMMYFUNCTION("""COMPUTED_VALUE"""),45083.9176990046)</f>
        <v>45083.9177</v>
      </c>
      <c r="D5781" s="15">
        <f>IFERROR(__xludf.DUMMYFUNCTION("""COMPUTED_VALUE"""),1.005)</f>
        <v>1.005</v>
      </c>
      <c r="E5781" s="16">
        <f>IFERROR(__xludf.DUMMYFUNCTION("""COMPUTED_VALUE"""),67.0)</f>
        <v>67</v>
      </c>
      <c r="F5781" s="19" t="str">
        <f>IFERROR(__xludf.DUMMYFUNCTION("""COMPUTED_VALUE"""),"BLUE")</f>
        <v>BLUE</v>
      </c>
      <c r="G5781" s="20" t="str">
        <f>IFERROR(__xludf.DUMMYFUNCTION("""COMPUTED_VALUE"""),"Uncle Sams Cider (04/04/2023)")</f>
        <v>Uncle Sams Cider (04/04/2023)</v>
      </c>
      <c r="H5781" s="19"/>
    </row>
    <row r="5782">
      <c r="A5782" s="9"/>
      <c r="B5782" s="15"/>
      <c r="C5782" s="9">
        <f>IFERROR(__xludf.DUMMYFUNCTION("""COMPUTED_VALUE"""),45083.90727875)</f>
        <v>45083.90728</v>
      </c>
      <c r="D5782" s="15">
        <f>IFERROR(__xludf.DUMMYFUNCTION("""COMPUTED_VALUE"""),1.005)</f>
        <v>1.005</v>
      </c>
      <c r="E5782" s="16">
        <f>IFERROR(__xludf.DUMMYFUNCTION("""COMPUTED_VALUE"""),67.0)</f>
        <v>67</v>
      </c>
      <c r="F5782" s="19" t="str">
        <f>IFERROR(__xludf.DUMMYFUNCTION("""COMPUTED_VALUE"""),"BLUE")</f>
        <v>BLUE</v>
      </c>
      <c r="G5782" s="20" t="str">
        <f>IFERROR(__xludf.DUMMYFUNCTION("""COMPUTED_VALUE"""),"Uncle Sams Cider (04/04/2023)")</f>
        <v>Uncle Sams Cider (04/04/2023)</v>
      </c>
      <c r="H5782" s="19"/>
    </row>
    <row r="5783">
      <c r="A5783" s="9"/>
      <c r="B5783" s="15"/>
      <c r="C5783" s="9">
        <f>IFERROR(__xludf.DUMMYFUNCTION("""COMPUTED_VALUE"""),45083.8968584722)</f>
        <v>45083.89686</v>
      </c>
      <c r="D5783" s="15">
        <f>IFERROR(__xludf.DUMMYFUNCTION("""COMPUTED_VALUE"""),1.005)</f>
        <v>1.005</v>
      </c>
      <c r="E5783" s="16">
        <f>IFERROR(__xludf.DUMMYFUNCTION("""COMPUTED_VALUE"""),67.0)</f>
        <v>67</v>
      </c>
      <c r="F5783" s="19" t="str">
        <f>IFERROR(__xludf.DUMMYFUNCTION("""COMPUTED_VALUE"""),"BLUE")</f>
        <v>BLUE</v>
      </c>
      <c r="G5783" s="20" t="str">
        <f>IFERROR(__xludf.DUMMYFUNCTION("""COMPUTED_VALUE"""),"Uncle Sams Cider (04/04/2023)")</f>
        <v>Uncle Sams Cider (04/04/2023)</v>
      </c>
      <c r="H5783" s="19"/>
    </row>
    <row r="5784">
      <c r="A5784" s="9"/>
      <c r="B5784" s="15"/>
      <c r="C5784" s="9">
        <f>IFERROR(__xludf.DUMMYFUNCTION("""COMPUTED_VALUE"""),45083.8864144791)</f>
        <v>45083.88641</v>
      </c>
      <c r="D5784" s="15">
        <f>IFERROR(__xludf.DUMMYFUNCTION("""COMPUTED_VALUE"""),1.005)</f>
        <v>1.005</v>
      </c>
      <c r="E5784" s="16">
        <f>IFERROR(__xludf.DUMMYFUNCTION("""COMPUTED_VALUE"""),67.0)</f>
        <v>67</v>
      </c>
      <c r="F5784" s="19" t="str">
        <f>IFERROR(__xludf.DUMMYFUNCTION("""COMPUTED_VALUE"""),"BLUE")</f>
        <v>BLUE</v>
      </c>
      <c r="G5784" s="20" t="str">
        <f>IFERROR(__xludf.DUMMYFUNCTION("""COMPUTED_VALUE"""),"Uncle Sams Cider (04/04/2023)")</f>
        <v>Uncle Sams Cider (04/04/2023)</v>
      </c>
      <c r="H5784" s="19"/>
    </row>
    <row r="5785">
      <c r="A5785" s="9"/>
      <c r="B5785" s="15"/>
      <c r="C5785" s="9">
        <f>IFERROR(__xludf.DUMMYFUNCTION("""COMPUTED_VALUE"""),45083.875993125)</f>
        <v>45083.87599</v>
      </c>
      <c r="D5785" s="15">
        <f>IFERROR(__xludf.DUMMYFUNCTION("""COMPUTED_VALUE"""),1.005)</f>
        <v>1.005</v>
      </c>
      <c r="E5785" s="16">
        <f>IFERROR(__xludf.DUMMYFUNCTION("""COMPUTED_VALUE"""),67.0)</f>
        <v>67</v>
      </c>
      <c r="F5785" s="19" t="str">
        <f>IFERROR(__xludf.DUMMYFUNCTION("""COMPUTED_VALUE"""),"BLUE")</f>
        <v>BLUE</v>
      </c>
      <c r="G5785" s="20" t="str">
        <f>IFERROR(__xludf.DUMMYFUNCTION("""COMPUTED_VALUE"""),"Uncle Sams Cider (04/04/2023)")</f>
        <v>Uncle Sams Cider (04/04/2023)</v>
      </c>
      <c r="H5785" s="19"/>
    </row>
    <row r="5786">
      <c r="A5786" s="9"/>
      <c r="B5786" s="15"/>
      <c r="C5786" s="9">
        <f>IFERROR(__xludf.DUMMYFUNCTION("""COMPUTED_VALUE"""),45083.8655722222)</f>
        <v>45083.86557</v>
      </c>
      <c r="D5786" s="15">
        <f>IFERROR(__xludf.DUMMYFUNCTION("""COMPUTED_VALUE"""),1.005)</f>
        <v>1.005</v>
      </c>
      <c r="E5786" s="16">
        <f>IFERROR(__xludf.DUMMYFUNCTION("""COMPUTED_VALUE"""),67.0)</f>
        <v>67</v>
      </c>
      <c r="F5786" s="19" t="str">
        <f>IFERROR(__xludf.DUMMYFUNCTION("""COMPUTED_VALUE"""),"BLUE")</f>
        <v>BLUE</v>
      </c>
      <c r="G5786" s="20" t="str">
        <f>IFERROR(__xludf.DUMMYFUNCTION("""COMPUTED_VALUE"""),"Uncle Sams Cider (04/04/2023)")</f>
        <v>Uncle Sams Cider (04/04/2023)</v>
      </c>
      <c r="H5786" s="19"/>
    </row>
    <row r="5787">
      <c r="A5787" s="9"/>
      <c r="B5787" s="15"/>
      <c r="C5787" s="9">
        <f>IFERROR(__xludf.DUMMYFUNCTION("""COMPUTED_VALUE"""),45083.8551491319)</f>
        <v>45083.85515</v>
      </c>
      <c r="D5787" s="15">
        <f>IFERROR(__xludf.DUMMYFUNCTION("""COMPUTED_VALUE"""),1.005)</f>
        <v>1.005</v>
      </c>
      <c r="E5787" s="16">
        <f>IFERROR(__xludf.DUMMYFUNCTION("""COMPUTED_VALUE"""),67.0)</f>
        <v>67</v>
      </c>
      <c r="F5787" s="19" t="str">
        <f>IFERROR(__xludf.DUMMYFUNCTION("""COMPUTED_VALUE"""),"BLUE")</f>
        <v>BLUE</v>
      </c>
      <c r="G5787" s="20" t="str">
        <f>IFERROR(__xludf.DUMMYFUNCTION("""COMPUTED_VALUE"""),"Uncle Sams Cider (04/04/2023)")</f>
        <v>Uncle Sams Cider (04/04/2023)</v>
      </c>
      <c r="H5787" s="19"/>
    </row>
    <row r="5788">
      <c r="A5788" s="9"/>
      <c r="B5788" s="15"/>
      <c r="C5788" s="9">
        <f>IFERROR(__xludf.DUMMYFUNCTION("""COMPUTED_VALUE"""),45083.8446942824)</f>
        <v>45083.84469</v>
      </c>
      <c r="D5788" s="15">
        <f>IFERROR(__xludf.DUMMYFUNCTION("""COMPUTED_VALUE"""),1.005)</f>
        <v>1.005</v>
      </c>
      <c r="E5788" s="16">
        <f>IFERROR(__xludf.DUMMYFUNCTION("""COMPUTED_VALUE"""),67.0)</f>
        <v>67</v>
      </c>
      <c r="F5788" s="19" t="str">
        <f>IFERROR(__xludf.DUMMYFUNCTION("""COMPUTED_VALUE"""),"BLUE")</f>
        <v>BLUE</v>
      </c>
      <c r="G5788" s="20" t="str">
        <f>IFERROR(__xludf.DUMMYFUNCTION("""COMPUTED_VALUE"""),"Uncle Sams Cider (04/04/2023)")</f>
        <v>Uncle Sams Cider (04/04/2023)</v>
      </c>
      <c r="H5788" s="19"/>
    </row>
    <row r="5789">
      <c r="A5789" s="9"/>
      <c r="B5789" s="15"/>
      <c r="C5789" s="9">
        <f>IFERROR(__xludf.DUMMYFUNCTION("""COMPUTED_VALUE"""),45083.8342726273)</f>
        <v>45083.83427</v>
      </c>
      <c r="D5789" s="15">
        <f>IFERROR(__xludf.DUMMYFUNCTION("""COMPUTED_VALUE"""),1.005)</f>
        <v>1.005</v>
      </c>
      <c r="E5789" s="16">
        <f>IFERROR(__xludf.DUMMYFUNCTION("""COMPUTED_VALUE"""),67.0)</f>
        <v>67</v>
      </c>
      <c r="F5789" s="19" t="str">
        <f>IFERROR(__xludf.DUMMYFUNCTION("""COMPUTED_VALUE"""),"BLUE")</f>
        <v>BLUE</v>
      </c>
      <c r="G5789" s="20" t="str">
        <f>IFERROR(__xludf.DUMMYFUNCTION("""COMPUTED_VALUE"""),"Uncle Sams Cider (04/04/2023)")</f>
        <v>Uncle Sams Cider (04/04/2023)</v>
      </c>
      <c r="H5789" s="19"/>
    </row>
    <row r="5790">
      <c r="A5790" s="9"/>
      <c r="B5790" s="15"/>
      <c r="C5790" s="9">
        <f>IFERROR(__xludf.DUMMYFUNCTION("""COMPUTED_VALUE"""),45083.8238523842)</f>
        <v>45083.82385</v>
      </c>
      <c r="D5790" s="15">
        <f>IFERROR(__xludf.DUMMYFUNCTION("""COMPUTED_VALUE"""),1.005)</f>
        <v>1.005</v>
      </c>
      <c r="E5790" s="16">
        <f>IFERROR(__xludf.DUMMYFUNCTION("""COMPUTED_VALUE"""),67.0)</f>
        <v>67</v>
      </c>
      <c r="F5790" s="19" t="str">
        <f>IFERROR(__xludf.DUMMYFUNCTION("""COMPUTED_VALUE"""),"BLUE")</f>
        <v>BLUE</v>
      </c>
      <c r="G5790" s="20" t="str">
        <f>IFERROR(__xludf.DUMMYFUNCTION("""COMPUTED_VALUE"""),"Uncle Sams Cider (04/04/2023)")</f>
        <v>Uncle Sams Cider (04/04/2023)</v>
      </c>
      <c r="H5790" s="19"/>
    </row>
    <row r="5791">
      <c r="A5791" s="9"/>
      <c r="B5791" s="15"/>
      <c r="C5791" s="9">
        <f>IFERROR(__xludf.DUMMYFUNCTION("""COMPUTED_VALUE"""),45083.8134311458)</f>
        <v>45083.81343</v>
      </c>
      <c r="D5791" s="15">
        <f>IFERROR(__xludf.DUMMYFUNCTION("""COMPUTED_VALUE"""),1.005)</f>
        <v>1.005</v>
      </c>
      <c r="E5791" s="16">
        <f>IFERROR(__xludf.DUMMYFUNCTION("""COMPUTED_VALUE"""),67.0)</f>
        <v>67</v>
      </c>
      <c r="F5791" s="19" t="str">
        <f>IFERROR(__xludf.DUMMYFUNCTION("""COMPUTED_VALUE"""),"BLUE")</f>
        <v>BLUE</v>
      </c>
      <c r="G5791" s="20" t="str">
        <f>IFERROR(__xludf.DUMMYFUNCTION("""COMPUTED_VALUE"""),"Uncle Sams Cider (04/04/2023)")</f>
        <v>Uncle Sams Cider (04/04/2023)</v>
      </c>
      <c r="H5791" s="19"/>
    </row>
    <row r="5792">
      <c r="A5792" s="9"/>
      <c r="B5792" s="15"/>
      <c r="C5792" s="9">
        <f>IFERROR(__xludf.DUMMYFUNCTION("""COMPUTED_VALUE"""),45083.8030094328)</f>
        <v>45083.80301</v>
      </c>
      <c r="D5792" s="15">
        <f>IFERROR(__xludf.DUMMYFUNCTION("""COMPUTED_VALUE"""),1.005)</f>
        <v>1.005</v>
      </c>
      <c r="E5792" s="16">
        <f>IFERROR(__xludf.DUMMYFUNCTION("""COMPUTED_VALUE"""),67.0)</f>
        <v>67</v>
      </c>
      <c r="F5792" s="19" t="str">
        <f>IFERROR(__xludf.DUMMYFUNCTION("""COMPUTED_VALUE"""),"BLUE")</f>
        <v>BLUE</v>
      </c>
      <c r="G5792" s="20" t="str">
        <f>IFERROR(__xludf.DUMMYFUNCTION("""COMPUTED_VALUE"""),"Uncle Sams Cider (04/04/2023)")</f>
        <v>Uncle Sams Cider (04/04/2023)</v>
      </c>
      <c r="H5792" s="19"/>
    </row>
    <row r="5793">
      <c r="A5793" s="9"/>
      <c r="B5793" s="15"/>
      <c r="C5793" s="9">
        <f>IFERROR(__xludf.DUMMYFUNCTION("""COMPUTED_VALUE"""),45083.7925884027)</f>
        <v>45083.79259</v>
      </c>
      <c r="D5793" s="15">
        <f>IFERROR(__xludf.DUMMYFUNCTION("""COMPUTED_VALUE"""),1.005)</f>
        <v>1.005</v>
      </c>
      <c r="E5793" s="16">
        <f>IFERROR(__xludf.DUMMYFUNCTION("""COMPUTED_VALUE"""),67.0)</f>
        <v>67</v>
      </c>
      <c r="F5793" s="19" t="str">
        <f>IFERROR(__xludf.DUMMYFUNCTION("""COMPUTED_VALUE"""),"BLUE")</f>
        <v>BLUE</v>
      </c>
      <c r="G5793" s="20" t="str">
        <f>IFERROR(__xludf.DUMMYFUNCTION("""COMPUTED_VALUE"""),"Uncle Sams Cider (04/04/2023)")</f>
        <v>Uncle Sams Cider (04/04/2023)</v>
      </c>
      <c r="H5793" s="19"/>
    </row>
    <row r="5794">
      <c r="A5794" s="9"/>
      <c r="B5794" s="15"/>
      <c r="C5794" s="9">
        <f>IFERROR(__xludf.DUMMYFUNCTION("""COMPUTED_VALUE"""),45083.782167118)</f>
        <v>45083.78217</v>
      </c>
      <c r="D5794" s="15">
        <f>IFERROR(__xludf.DUMMYFUNCTION("""COMPUTED_VALUE"""),1.005)</f>
        <v>1.005</v>
      </c>
      <c r="E5794" s="16">
        <f>IFERROR(__xludf.DUMMYFUNCTION("""COMPUTED_VALUE"""),67.0)</f>
        <v>67</v>
      </c>
      <c r="F5794" s="19" t="str">
        <f>IFERROR(__xludf.DUMMYFUNCTION("""COMPUTED_VALUE"""),"BLUE")</f>
        <v>BLUE</v>
      </c>
      <c r="G5794" s="20" t="str">
        <f>IFERROR(__xludf.DUMMYFUNCTION("""COMPUTED_VALUE"""),"Uncle Sams Cider (04/04/2023)")</f>
        <v>Uncle Sams Cider (04/04/2023)</v>
      </c>
      <c r="H5794" s="19"/>
    </row>
    <row r="5795">
      <c r="A5795" s="9"/>
      <c r="B5795" s="15"/>
      <c r="C5795" s="9">
        <f>IFERROR(__xludf.DUMMYFUNCTION("""COMPUTED_VALUE"""),45083.7717438888)</f>
        <v>45083.77174</v>
      </c>
      <c r="D5795" s="15">
        <f>IFERROR(__xludf.DUMMYFUNCTION("""COMPUTED_VALUE"""),1.005)</f>
        <v>1.005</v>
      </c>
      <c r="E5795" s="16">
        <f>IFERROR(__xludf.DUMMYFUNCTION("""COMPUTED_VALUE"""),67.0)</f>
        <v>67</v>
      </c>
      <c r="F5795" s="19" t="str">
        <f>IFERROR(__xludf.DUMMYFUNCTION("""COMPUTED_VALUE"""),"BLUE")</f>
        <v>BLUE</v>
      </c>
      <c r="G5795" s="20" t="str">
        <f>IFERROR(__xludf.DUMMYFUNCTION("""COMPUTED_VALUE"""),"Uncle Sams Cider (04/04/2023)")</f>
        <v>Uncle Sams Cider (04/04/2023)</v>
      </c>
      <c r="H5795" s="19"/>
    </row>
    <row r="5796">
      <c r="A5796" s="9"/>
      <c r="B5796" s="15"/>
      <c r="C5796" s="9">
        <f>IFERROR(__xludf.DUMMYFUNCTION("""COMPUTED_VALUE"""),45083.761323125)</f>
        <v>45083.76132</v>
      </c>
      <c r="D5796" s="15">
        <f>IFERROR(__xludf.DUMMYFUNCTION("""COMPUTED_VALUE"""),1.005)</f>
        <v>1.005</v>
      </c>
      <c r="E5796" s="16">
        <f>IFERROR(__xludf.DUMMYFUNCTION("""COMPUTED_VALUE"""),67.0)</f>
        <v>67</v>
      </c>
      <c r="F5796" s="19" t="str">
        <f>IFERROR(__xludf.DUMMYFUNCTION("""COMPUTED_VALUE"""),"BLUE")</f>
        <v>BLUE</v>
      </c>
      <c r="G5796" s="20" t="str">
        <f>IFERROR(__xludf.DUMMYFUNCTION("""COMPUTED_VALUE"""),"Uncle Sams Cider (04/04/2023)")</f>
        <v>Uncle Sams Cider (04/04/2023)</v>
      </c>
      <c r="H5796" s="19"/>
    </row>
    <row r="5797">
      <c r="A5797" s="9"/>
      <c r="B5797" s="15"/>
      <c r="C5797" s="9">
        <f>IFERROR(__xludf.DUMMYFUNCTION("""COMPUTED_VALUE"""),45083.750901412)</f>
        <v>45083.7509</v>
      </c>
      <c r="D5797" s="15">
        <f>IFERROR(__xludf.DUMMYFUNCTION("""COMPUTED_VALUE"""),1.005)</f>
        <v>1.005</v>
      </c>
      <c r="E5797" s="16">
        <f>IFERROR(__xludf.DUMMYFUNCTION("""COMPUTED_VALUE"""),67.0)</f>
        <v>67</v>
      </c>
      <c r="F5797" s="19" t="str">
        <f>IFERROR(__xludf.DUMMYFUNCTION("""COMPUTED_VALUE"""),"BLUE")</f>
        <v>BLUE</v>
      </c>
      <c r="G5797" s="20" t="str">
        <f>IFERROR(__xludf.DUMMYFUNCTION("""COMPUTED_VALUE"""),"Uncle Sams Cider (04/04/2023)")</f>
        <v>Uncle Sams Cider (04/04/2023)</v>
      </c>
      <c r="H5797" s="19"/>
    </row>
    <row r="5798">
      <c r="A5798" s="9"/>
      <c r="B5798" s="15"/>
      <c r="C5798" s="9">
        <f>IFERROR(__xludf.DUMMYFUNCTION("""COMPUTED_VALUE"""),45083.7404807176)</f>
        <v>45083.74048</v>
      </c>
      <c r="D5798" s="15">
        <f>IFERROR(__xludf.DUMMYFUNCTION("""COMPUTED_VALUE"""),1.005)</f>
        <v>1.005</v>
      </c>
      <c r="E5798" s="16">
        <f>IFERROR(__xludf.DUMMYFUNCTION("""COMPUTED_VALUE"""),67.0)</f>
        <v>67</v>
      </c>
      <c r="F5798" s="19" t="str">
        <f>IFERROR(__xludf.DUMMYFUNCTION("""COMPUTED_VALUE"""),"BLUE")</f>
        <v>BLUE</v>
      </c>
      <c r="G5798" s="20" t="str">
        <f>IFERROR(__xludf.DUMMYFUNCTION("""COMPUTED_VALUE"""),"Uncle Sams Cider (04/04/2023)")</f>
        <v>Uncle Sams Cider (04/04/2023)</v>
      </c>
      <c r="H5798" s="19"/>
    </row>
    <row r="5799">
      <c r="A5799" s="9"/>
      <c r="B5799" s="15"/>
      <c r="C5799" s="9">
        <f>IFERROR(__xludf.DUMMYFUNCTION("""COMPUTED_VALUE"""),45083.7300355324)</f>
        <v>45083.73004</v>
      </c>
      <c r="D5799" s="15">
        <f>IFERROR(__xludf.DUMMYFUNCTION("""COMPUTED_VALUE"""),1.005)</f>
        <v>1.005</v>
      </c>
      <c r="E5799" s="16">
        <f>IFERROR(__xludf.DUMMYFUNCTION("""COMPUTED_VALUE"""),67.0)</f>
        <v>67</v>
      </c>
      <c r="F5799" s="19" t="str">
        <f>IFERROR(__xludf.DUMMYFUNCTION("""COMPUTED_VALUE"""),"BLUE")</f>
        <v>BLUE</v>
      </c>
      <c r="G5799" s="20" t="str">
        <f>IFERROR(__xludf.DUMMYFUNCTION("""COMPUTED_VALUE"""),"Uncle Sams Cider (04/04/2023)")</f>
        <v>Uncle Sams Cider (04/04/2023)</v>
      </c>
      <c r="H5799" s="19"/>
    </row>
    <row r="5800">
      <c r="A5800" s="9"/>
      <c r="B5800" s="15"/>
      <c r="C5800" s="9">
        <f>IFERROR(__xludf.DUMMYFUNCTION("""COMPUTED_VALUE"""),45083.7196143055)</f>
        <v>45083.71961</v>
      </c>
      <c r="D5800" s="15">
        <f>IFERROR(__xludf.DUMMYFUNCTION("""COMPUTED_VALUE"""),1.005)</f>
        <v>1.005</v>
      </c>
      <c r="E5800" s="16">
        <f>IFERROR(__xludf.DUMMYFUNCTION("""COMPUTED_VALUE"""),67.0)</f>
        <v>67</v>
      </c>
      <c r="F5800" s="19" t="str">
        <f>IFERROR(__xludf.DUMMYFUNCTION("""COMPUTED_VALUE"""),"BLUE")</f>
        <v>BLUE</v>
      </c>
      <c r="G5800" s="20" t="str">
        <f>IFERROR(__xludf.DUMMYFUNCTION("""COMPUTED_VALUE"""),"Uncle Sams Cider (04/04/2023)")</f>
        <v>Uncle Sams Cider (04/04/2023)</v>
      </c>
      <c r="H5800" s="19"/>
    </row>
    <row r="5801">
      <c r="A5801" s="9"/>
      <c r="B5801" s="15"/>
      <c r="C5801" s="9">
        <f>IFERROR(__xludf.DUMMYFUNCTION("""COMPUTED_VALUE"""),45083.7091944097)</f>
        <v>45083.70919</v>
      </c>
      <c r="D5801" s="15">
        <f>IFERROR(__xludf.DUMMYFUNCTION("""COMPUTED_VALUE"""),1.005)</f>
        <v>1.005</v>
      </c>
      <c r="E5801" s="16">
        <f>IFERROR(__xludf.DUMMYFUNCTION("""COMPUTED_VALUE"""),67.0)</f>
        <v>67</v>
      </c>
      <c r="F5801" s="19" t="str">
        <f>IFERROR(__xludf.DUMMYFUNCTION("""COMPUTED_VALUE"""),"BLUE")</f>
        <v>BLUE</v>
      </c>
      <c r="G5801" s="20" t="str">
        <f>IFERROR(__xludf.DUMMYFUNCTION("""COMPUTED_VALUE"""),"Uncle Sams Cider (04/04/2023)")</f>
        <v>Uncle Sams Cider (04/04/2023)</v>
      </c>
      <c r="H5801" s="19"/>
    </row>
    <row r="5802">
      <c r="A5802" s="9"/>
      <c r="B5802" s="15"/>
      <c r="C5802" s="9">
        <f>IFERROR(__xludf.DUMMYFUNCTION("""COMPUTED_VALUE"""),45083.6987730902)</f>
        <v>45083.69877</v>
      </c>
      <c r="D5802" s="15">
        <f>IFERROR(__xludf.DUMMYFUNCTION("""COMPUTED_VALUE"""),1.005)</f>
        <v>1.005</v>
      </c>
      <c r="E5802" s="16">
        <f>IFERROR(__xludf.DUMMYFUNCTION("""COMPUTED_VALUE"""),67.0)</f>
        <v>67</v>
      </c>
      <c r="F5802" s="19" t="str">
        <f>IFERROR(__xludf.DUMMYFUNCTION("""COMPUTED_VALUE"""),"BLUE")</f>
        <v>BLUE</v>
      </c>
      <c r="G5802" s="20" t="str">
        <f>IFERROR(__xludf.DUMMYFUNCTION("""COMPUTED_VALUE"""),"Uncle Sams Cider (04/04/2023)")</f>
        <v>Uncle Sams Cider (04/04/2023)</v>
      </c>
      <c r="H5802" s="19"/>
    </row>
    <row r="5803">
      <c r="A5803" s="9"/>
      <c r="B5803" s="15"/>
      <c r="C5803" s="9">
        <f>IFERROR(__xludf.DUMMYFUNCTION("""COMPUTED_VALUE"""),45083.6883386458)</f>
        <v>45083.68834</v>
      </c>
      <c r="D5803" s="15">
        <f>IFERROR(__xludf.DUMMYFUNCTION("""COMPUTED_VALUE"""),1.005)</f>
        <v>1.005</v>
      </c>
      <c r="E5803" s="16">
        <f>IFERROR(__xludf.DUMMYFUNCTION("""COMPUTED_VALUE"""),67.0)</f>
        <v>67</v>
      </c>
      <c r="F5803" s="19" t="str">
        <f>IFERROR(__xludf.DUMMYFUNCTION("""COMPUTED_VALUE"""),"BLUE")</f>
        <v>BLUE</v>
      </c>
      <c r="G5803" s="20" t="str">
        <f>IFERROR(__xludf.DUMMYFUNCTION("""COMPUTED_VALUE"""),"Uncle Sams Cider (04/04/2023)")</f>
        <v>Uncle Sams Cider (04/04/2023)</v>
      </c>
      <c r="H5803" s="19"/>
    </row>
    <row r="5804">
      <c r="A5804" s="9"/>
      <c r="B5804" s="15"/>
      <c r="C5804" s="9">
        <f>IFERROR(__xludf.DUMMYFUNCTION("""COMPUTED_VALUE"""),45083.6779166782)</f>
        <v>45083.67792</v>
      </c>
      <c r="D5804" s="15">
        <f>IFERROR(__xludf.DUMMYFUNCTION("""COMPUTED_VALUE"""),1.005)</f>
        <v>1.005</v>
      </c>
      <c r="E5804" s="16">
        <f>IFERROR(__xludf.DUMMYFUNCTION("""COMPUTED_VALUE"""),67.0)</f>
        <v>67</v>
      </c>
      <c r="F5804" s="19" t="str">
        <f>IFERROR(__xludf.DUMMYFUNCTION("""COMPUTED_VALUE"""),"BLUE")</f>
        <v>BLUE</v>
      </c>
      <c r="G5804" s="20" t="str">
        <f>IFERROR(__xludf.DUMMYFUNCTION("""COMPUTED_VALUE"""),"Uncle Sams Cider (04/04/2023)")</f>
        <v>Uncle Sams Cider (04/04/2023)</v>
      </c>
      <c r="H5804" s="19"/>
    </row>
    <row r="5805">
      <c r="A5805" s="9"/>
      <c r="B5805" s="15"/>
      <c r="C5805" s="9">
        <f>IFERROR(__xludf.DUMMYFUNCTION("""COMPUTED_VALUE"""),45083.6674952546)</f>
        <v>45083.6675</v>
      </c>
      <c r="D5805" s="15">
        <f>IFERROR(__xludf.DUMMYFUNCTION("""COMPUTED_VALUE"""),1.005)</f>
        <v>1.005</v>
      </c>
      <c r="E5805" s="16">
        <f>IFERROR(__xludf.DUMMYFUNCTION("""COMPUTED_VALUE"""),67.0)</f>
        <v>67</v>
      </c>
      <c r="F5805" s="19" t="str">
        <f>IFERROR(__xludf.DUMMYFUNCTION("""COMPUTED_VALUE"""),"BLUE")</f>
        <v>BLUE</v>
      </c>
      <c r="G5805" s="20" t="str">
        <f>IFERROR(__xludf.DUMMYFUNCTION("""COMPUTED_VALUE"""),"Uncle Sams Cider (04/04/2023)")</f>
        <v>Uncle Sams Cider (04/04/2023)</v>
      </c>
      <c r="H5805" s="19"/>
    </row>
    <row r="5806">
      <c r="A5806" s="9"/>
      <c r="B5806" s="15"/>
      <c r="C5806" s="9">
        <f>IFERROR(__xludf.DUMMYFUNCTION("""COMPUTED_VALUE"""),45083.6570762384)</f>
        <v>45083.65708</v>
      </c>
      <c r="D5806" s="15">
        <f>IFERROR(__xludf.DUMMYFUNCTION("""COMPUTED_VALUE"""),1.005)</f>
        <v>1.005</v>
      </c>
      <c r="E5806" s="16">
        <f>IFERROR(__xludf.DUMMYFUNCTION("""COMPUTED_VALUE"""),67.0)</f>
        <v>67</v>
      </c>
      <c r="F5806" s="19" t="str">
        <f>IFERROR(__xludf.DUMMYFUNCTION("""COMPUTED_VALUE"""),"BLUE")</f>
        <v>BLUE</v>
      </c>
      <c r="G5806" s="20" t="str">
        <f>IFERROR(__xludf.DUMMYFUNCTION("""COMPUTED_VALUE"""),"Uncle Sams Cider (04/04/2023)")</f>
        <v>Uncle Sams Cider (04/04/2023)</v>
      </c>
      <c r="H5806" s="19"/>
    </row>
    <row r="5807">
      <c r="A5807" s="9"/>
      <c r="B5807" s="15"/>
      <c r="C5807" s="9">
        <f>IFERROR(__xludf.DUMMYFUNCTION("""COMPUTED_VALUE"""),45083.6466564351)</f>
        <v>45083.64666</v>
      </c>
      <c r="D5807" s="15">
        <f>IFERROR(__xludf.DUMMYFUNCTION("""COMPUTED_VALUE"""),1.005)</f>
        <v>1.005</v>
      </c>
      <c r="E5807" s="16">
        <f>IFERROR(__xludf.DUMMYFUNCTION("""COMPUTED_VALUE"""),67.0)</f>
        <v>67</v>
      </c>
      <c r="F5807" s="19" t="str">
        <f>IFERROR(__xludf.DUMMYFUNCTION("""COMPUTED_VALUE"""),"BLUE")</f>
        <v>BLUE</v>
      </c>
      <c r="G5807" s="20" t="str">
        <f>IFERROR(__xludf.DUMMYFUNCTION("""COMPUTED_VALUE"""),"Uncle Sams Cider (04/04/2023)")</f>
        <v>Uncle Sams Cider (04/04/2023)</v>
      </c>
      <c r="H5807" s="19"/>
    </row>
    <row r="5808">
      <c r="A5808" s="9"/>
      <c r="B5808" s="15"/>
      <c r="C5808" s="9">
        <f>IFERROR(__xludf.DUMMYFUNCTION("""COMPUTED_VALUE"""),45083.6362348495)</f>
        <v>45083.63623</v>
      </c>
      <c r="D5808" s="15">
        <f>IFERROR(__xludf.DUMMYFUNCTION("""COMPUTED_VALUE"""),1.005)</f>
        <v>1.005</v>
      </c>
      <c r="E5808" s="16">
        <f>IFERROR(__xludf.DUMMYFUNCTION("""COMPUTED_VALUE"""),67.0)</f>
        <v>67</v>
      </c>
      <c r="F5808" s="19" t="str">
        <f>IFERROR(__xludf.DUMMYFUNCTION("""COMPUTED_VALUE"""),"BLUE")</f>
        <v>BLUE</v>
      </c>
      <c r="G5808" s="20" t="str">
        <f>IFERROR(__xludf.DUMMYFUNCTION("""COMPUTED_VALUE"""),"Uncle Sams Cider (04/04/2023)")</f>
        <v>Uncle Sams Cider (04/04/2023)</v>
      </c>
      <c r="H5808" s="19"/>
    </row>
    <row r="5809">
      <c r="A5809" s="9"/>
      <c r="B5809" s="15"/>
      <c r="C5809" s="9">
        <f>IFERROR(__xludf.DUMMYFUNCTION("""COMPUTED_VALUE"""),45083.6258149768)</f>
        <v>45083.62581</v>
      </c>
      <c r="D5809" s="15">
        <f>IFERROR(__xludf.DUMMYFUNCTION("""COMPUTED_VALUE"""),1.005)</f>
        <v>1.005</v>
      </c>
      <c r="E5809" s="16">
        <f>IFERROR(__xludf.DUMMYFUNCTION("""COMPUTED_VALUE"""),67.0)</f>
        <v>67</v>
      </c>
      <c r="F5809" s="19" t="str">
        <f>IFERROR(__xludf.DUMMYFUNCTION("""COMPUTED_VALUE"""),"BLUE")</f>
        <v>BLUE</v>
      </c>
      <c r="G5809" s="20" t="str">
        <f>IFERROR(__xludf.DUMMYFUNCTION("""COMPUTED_VALUE"""),"Uncle Sams Cider (04/04/2023)")</f>
        <v>Uncle Sams Cider (04/04/2023)</v>
      </c>
      <c r="H5809" s="19"/>
    </row>
    <row r="5810">
      <c r="A5810" s="9"/>
      <c r="B5810" s="15"/>
      <c r="C5810" s="9">
        <f>IFERROR(__xludf.DUMMYFUNCTION("""COMPUTED_VALUE"""),45083.6153940277)</f>
        <v>45083.61539</v>
      </c>
      <c r="D5810" s="15">
        <f>IFERROR(__xludf.DUMMYFUNCTION("""COMPUTED_VALUE"""),1.005)</f>
        <v>1.005</v>
      </c>
      <c r="E5810" s="16">
        <f>IFERROR(__xludf.DUMMYFUNCTION("""COMPUTED_VALUE"""),67.0)</f>
        <v>67</v>
      </c>
      <c r="F5810" s="19" t="str">
        <f>IFERROR(__xludf.DUMMYFUNCTION("""COMPUTED_VALUE"""),"BLUE")</f>
        <v>BLUE</v>
      </c>
      <c r="G5810" s="20" t="str">
        <f>IFERROR(__xludf.DUMMYFUNCTION("""COMPUTED_VALUE"""),"Uncle Sams Cider (04/04/2023)")</f>
        <v>Uncle Sams Cider (04/04/2023)</v>
      </c>
      <c r="H5810" s="19"/>
    </row>
    <row r="5811">
      <c r="A5811" s="9"/>
      <c r="B5811" s="15"/>
      <c r="C5811" s="9">
        <f>IFERROR(__xludf.DUMMYFUNCTION("""COMPUTED_VALUE"""),45083.6049608796)</f>
        <v>45083.60496</v>
      </c>
      <c r="D5811" s="15">
        <f>IFERROR(__xludf.DUMMYFUNCTION("""COMPUTED_VALUE"""),1.005)</f>
        <v>1.005</v>
      </c>
      <c r="E5811" s="16">
        <f>IFERROR(__xludf.DUMMYFUNCTION("""COMPUTED_VALUE"""),67.0)</f>
        <v>67</v>
      </c>
      <c r="F5811" s="19" t="str">
        <f>IFERROR(__xludf.DUMMYFUNCTION("""COMPUTED_VALUE"""),"BLUE")</f>
        <v>BLUE</v>
      </c>
      <c r="G5811" s="20" t="str">
        <f>IFERROR(__xludf.DUMMYFUNCTION("""COMPUTED_VALUE"""),"Uncle Sams Cider (04/04/2023)")</f>
        <v>Uncle Sams Cider (04/04/2023)</v>
      </c>
      <c r="H5811" s="19"/>
    </row>
    <row r="5812">
      <c r="A5812" s="9"/>
      <c r="B5812" s="15"/>
      <c r="C5812" s="9">
        <f>IFERROR(__xludf.DUMMYFUNCTION("""COMPUTED_VALUE"""),45083.5945409143)</f>
        <v>45083.59454</v>
      </c>
      <c r="D5812" s="15">
        <f>IFERROR(__xludf.DUMMYFUNCTION("""COMPUTED_VALUE"""),1.005)</f>
        <v>1.005</v>
      </c>
      <c r="E5812" s="16">
        <f>IFERROR(__xludf.DUMMYFUNCTION("""COMPUTED_VALUE"""),67.0)</f>
        <v>67</v>
      </c>
      <c r="F5812" s="19" t="str">
        <f>IFERROR(__xludf.DUMMYFUNCTION("""COMPUTED_VALUE"""),"BLUE")</f>
        <v>BLUE</v>
      </c>
      <c r="G5812" s="20" t="str">
        <f>IFERROR(__xludf.DUMMYFUNCTION("""COMPUTED_VALUE"""),"Uncle Sams Cider (04/04/2023)")</f>
        <v>Uncle Sams Cider (04/04/2023)</v>
      </c>
      <c r="H5812" s="19"/>
    </row>
    <row r="5813">
      <c r="A5813" s="9"/>
      <c r="B5813" s="15"/>
      <c r="C5813" s="9">
        <f>IFERROR(__xludf.DUMMYFUNCTION("""COMPUTED_VALUE"""),45083.5841207638)</f>
        <v>45083.58412</v>
      </c>
      <c r="D5813" s="15">
        <f>IFERROR(__xludf.DUMMYFUNCTION("""COMPUTED_VALUE"""),1.005)</f>
        <v>1.005</v>
      </c>
      <c r="E5813" s="16">
        <f>IFERROR(__xludf.DUMMYFUNCTION("""COMPUTED_VALUE"""),67.0)</f>
        <v>67</v>
      </c>
      <c r="F5813" s="19" t="str">
        <f>IFERROR(__xludf.DUMMYFUNCTION("""COMPUTED_VALUE"""),"BLUE")</f>
        <v>BLUE</v>
      </c>
      <c r="G5813" s="20" t="str">
        <f>IFERROR(__xludf.DUMMYFUNCTION("""COMPUTED_VALUE"""),"Uncle Sams Cider (04/04/2023)")</f>
        <v>Uncle Sams Cider (04/04/2023)</v>
      </c>
      <c r="H5813" s="19"/>
    </row>
    <row r="5814">
      <c r="A5814" s="9"/>
      <c r="B5814" s="15"/>
      <c r="C5814" s="9">
        <f>IFERROR(__xludf.DUMMYFUNCTION("""COMPUTED_VALUE"""),45083.5737004051)</f>
        <v>45083.5737</v>
      </c>
      <c r="D5814" s="15">
        <f>IFERROR(__xludf.DUMMYFUNCTION("""COMPUTED_VALUE"""),1.005)</f>
        <v>1.005</v>
      </c>
      <c r="E5814" s="16">
        <f>IFERROR(__xludf.DUMMYFUNCTION("""COMPUTED_VALUE"""),67.0)</f>
        <v>67</v>
      </c>
      <c r="F5814" s="19" t="str">
        <f>IFERROR(__xludf.DUMMYFUNCTION("""COMPUTED_VALUE"""),"BLUE")</f>
        <v>BLUE</v>
      </c>
      <c r="G5814" s="20" t="str">
        <f>IFERROR(__xludf.DUMMYFUNCTION("""COMPUTED_VALUE"""),"Uncle Sams Cider (04/04/2023)")</f>
        <v>Uncle Sams Cider (04/04/2023)</v>
      </c>
      <c r="H5814" s="19"/>
    </row>
    <row r="5815">
      <c r="A5815" s="9"/>
      <c r="B5815" s="15"/>
      <c r="C5815" s="9">
        <f>IFERROR(__xludf.DUMMYFUNCTION("""COMPUTED_VALUE"""),45083.5632799074)</f>
        <v>45083.56328</v>
      </c>
      <c r="D5815" s="15">
        <f>IFERROR(__xludf.DUMMYFUNCTION("""COMPUTED_VALUE"""),1.005)</f>
        <v>1.005</v>
      </c>
      <c r="E5815" s="16">
        <f>IFERROR(__xludf.DUMMYFUNCTION("""COMPUTED_VALUE"""),67.0)</f>
        <v>67</v>
      </c>
      <c r="F5815" s="19" t="str">
        <f>IFERROR(__xludf.DUMMYFUNCTION("""COMPUTED_VALUE"""),"BLUE")</f>
        <v>BLUE</v>
      </c>
      <c r="G5815" s="20" t="str">
        <f>IFERROR(__xludf.DUMMYFUNCTION("""COMPUTED_VALUE"""),"Uncle Sams Cider (04/04/2023)")</f>
        <v>Uncle Sams Cider (04/04/2023)</v>
      </c>
      <c r="H5815" s="19"/>
    </row>
    <row r="5816">
      <c r="A5816" s="9"/>
      <c r="B5816" s="15"/>
      <c r="C5816" s="9">
        <f>IFERROR(__xludf.DUMMYFUNCTION("""COMPUTED_VALUE"""),45083.5528587847)</f>
        <v>45083.55286</v>
      </c>
      <c r="D5816" s="15">
        <f>IFERROR(__xludf.DUMMYFUNCTION("""COMPUTED_VALUE"""),1.005)</f>
        <v>1.005</v>
      </c>
      <c r="E5816" s="16">
        <f>IFERROR(__xludf.DUMMYFUNCTION("""COMPUTED_VALUE"""),67.0)</f>
        <v>67</v>
      </c>
      <c r="F5816" s="19" t="str">
        <f>IFERROR(__xludf.DUMMYFUNCTION("""COMPUTED_VALUE"""),"BLUE")</f>
        <v>BLUE</v>
      </c>
      <c r="G5816" s="20" t="str">
        <f>IFERROR(__xludf.DUMMYFUNCTION("""COMPUTED_VALUE"""),"Uncle Sams Cider (04/04/2023)")</f>
        <v>Uncle Sams Cider (04/04/2023)</v>
      </c>
      <c r="H5816" s="19"/>
    </row>
    <row r="5817">
      <c r="A5817" s="9"/>
      <c r="B5817" s="15"/>
      <c r="C5817" s="9">
        <f>IFERROR(__xludf.DUMMYFUNCTION("""COMPUTED_VALUE"""),45083.5424362037)</f>
        <v>45083.54244</v>
      </c>
      <c r="D5817" s="15">
        <f>IFERROR(__xludf.DUMMYFUNCTION("""COMPUTED_VALUE"""),1.005)</f>
        <v>1.005</v>
      </c>
      <c r="E5817" s="16">
        <f>IFERROR(__xludf.DUMMYFUNCTION("""COMPUTED_VALUE"""),67.0)</f>
        <v>67</v>
      </c>
      <c r="F5817" s="19" t="str">
        <f>IFERROR(__xludf.DUMMYFUNCTION("""COMPUTED_VALUE"""),"BLUE")</f>
        <v>BLUE</v>
      </c>
      <c r="G5817" s="20" t="str">
        <f>IFERROR(__xludf.DUMMYFUNCTION("""COMPUTED_VALUE"""),"Uncle Sams Cider (04/04/2023)")</f>
        <v>Uncle Sams Cider (04/04/2023)</v>
      </c>
      <c r="H5817" s="19"/>
    </row>
    <row r="5818">
      <c r="A5818" s="9"/>
      <c r="B5818" s="15"/>
      <c r="C5818" s="9">
        <f>IFERROR(__xludf.DUMMYFUNCTION("""COMPUTED_VALUE"""),45083.5320145486)</f>
        <v>45083.53201</v>
      </c>
      <c r="D5818" s="15">
        <f>IFERROR(__xludf.DUMMYFUNCTION("""COMPUTED_VALUE"""),1.005)</f>
        <v>1.005</v>
      </c>
      <c r="E5818" s="16">
        <f>IFERROR(__xludf.DUMMYFUNCTION("""COMPUTED_VALUE"""),67.0)</f>
        <v>67</v>
      </c>
      <c r="F5818" s="19" t="str">
        <f>IFERROR(__xludf.DUMMYFUNCTION("""COMPUTED_VALUE"""),"BLUE")</f>
        <v>BLUE</v>
      </c>
      <c r="G5818" s="20" t="str">
        <f>IFERROR(__xludf.DUMMYFUNCTION("""COMPUTED_VALUE"""),"Uncle Sams Cider (04/04/2023)")</f>
        <v>Uncle Sams Cider (04/04/2023)</v>
      </c>
      <c r="H5818" s="19"/>
    </row>
    <row r="5819">
      <c r="A5819" s="9"/>
      <c r="B5819" s="15"/>
      <c r="C5819" s="9">
        <f>IFERROR(__xludf.DUMMYFUNCTION("""COMPUTED_VALUE"""),45083.521592743)</f>
        <v>45083.52159</v>
      </c>
      <c r="D5819" s="15">
        <f>IFERROR(__xludf.DUMMYFUNCTION("""COMPUTED_VALUE"""),1.005)</f>
        <v>1.005</v>
      </c>
      <c r="E5819" s="16">
        <f>IFERROR(__xludf.DUMMYFUNCTION("""COMPUTED_VALUE"""),67.0)</f>
        <v>67</v>
      </c>
      <c r="F5819" s="19" t="str">
        <f>IFERROR(__xludf.DUMMYFUNCTION("""COMPUTED_VALUE"""),"BLUE")</f>
        <v>BLUE</v>
      </c>
      <c r="G5819" s="20" t="str">
        <f>IFERROR(__xludf.DUMMYFUNCTION("""COMPUTED_VALUE"""),"Uncle Sams Cider (04/04/2023)")</f>
        <v>Uncle Sams Cider (04/04/2023)</v>
      </c>
      <c r="H5819" s="19"/>
    </row>
    <row r="5820">
      <c r="A5820" s="9"/>
      <c r="B5820" s="15"/>
      <c r="C5820" s="9">
        <f>IFERROR(__xludf.DUMMYFUNCTION("""COMPUTED_VALUE"""),45083.5111498032)</f>
        <v>45083.51115</v>
      </c>
      <c r="D5820" s="15">
        <f>IFERROR(__xludf.DUMMYFUNCTION("""COMPUTED_VALUE"""),1.005)</f>
        <v>1.005</v>
      </c>
      <c r="E5820" s="16">
        <f>IFERROR(__xludf.DUMMYFUNCTION("""COMPUTED_VALUE"""),67.0)</f>
        <v>67</v>
      </c>
      <c r="F5820" s="19" t="str">
        <f>IFERROR(__xludf.DUMMYFUNCTION("""COMPUTED_VALUE"""),"BLUE")</f>
        <v>BLUE</v>
      </c>
      <c r="G5820" s="20" t="str">
        <f>IFERROR(__xludf.DUMMYFUNCTION("""COMPUTED_VALUE"""),"Uncle Sams Cider (04/04/2023)")</f>
        <v>Uncle Sams Cider (04/04/2023)</v>
      </c>
      <c r="H5820" s="19"/>
    </row>
    <row r="5821">
      <c r="A5821" s="9"/>
      <c r="B5821" s="15"/>
      <c r="C5821" s="9">
        <f>IFERROR(__xludf.DUMMYFUNCTION("""COMPUTED_VALUE"""),45083.5007282175)</f>
        <v>45083.50073</v>
      </c>
      <c r="D5821" s="15">
        <f>IFERROR(__xludf.DUMMYFUNCTION("""COMPUTED_VALUE"""),1.005)</f>
        <v>1.005</v>
      </c>
      <c r="E5821" s="16">
        <f>IFERROR(__xludf.DUMMYFUNCTION("""COMPUTED_VALUE"""),67.0)</f>
        <v>67</v>
      </c>
      <c r="F5821" s="19" t="str">
        <f>IFERROR(__xludf.DUMMYFUNCTION("""COMPUTED_VALUE"""),"BLUE")</f>
        <v>BLUE</v>
      </c>
      <c r="G5821" s="20" t="str">
        <f>IFERROR(__xludf.DUMMYFUNCTION("""COMPUTED_VALUE"""),"Uncle Sams Cider (04/04/2023)")</f>
        <v>Uncle Sams Cider (04/04/2023)</v>
      </c>
      <c r="H5821" s="19"/>
    </row>
    <row r="5822">
      <c r="A5822" s="9"/>
      <c r="B5822" s="15"/>
      <c r="C5822" s="9">
        <f>IFERROR(__xludf.DUMMYFUNCTION("""COMPUTED_VALUE"""),45083.4903084953)</f>
        <v>45083.49031</v>
      </c>
      <c r="D5822" s="15">
        <f>IFERROR(__xludf.DUMMYFUNCTION("""COMPUTED_VALUE"""),1.005)</f>
        <v>1.005</v>
      </c>
      <c r="E5822" s="16">
        <f>IFERROR(__xludf.DUMMYFUNCTION("""COMPUTED_VALUE"""),67.0)</f>
        <v>67</v>
      </c>
      <c r="F5822" s="19" t="str">
        <f>IFERROR(__xludf.DUMMYFUNCTION("""COMPUTED_VALUE"""),"BLUE")</f>
        <v>BLUE</v>
      </c>
      <c r="G5822" s="20" t="str">
        <f>IFERROR(__xludf.DUMMYFUNCTION("""COMPUTED_VALUE"""),"Uncle Sams Cider (04/04/2023)")</f>
        <v>Uncle Sams Cider (04/04/2023)</v>
      </c>
      <c r="H5822" s="19"/>
    </row>
    <row r="5823">
      <c r="A5823" s="9"/>
      <c r="B5823" s="15"/>
      <c r="C5823" s="9">
        <f>IFERROR(__xludf.DUMMYFUNCTION("""COMPUTED_VALUE"""),45083.479888125)</f>
        <v>45083.47989</v>
      </c>
      <c r="D5823" s="15">
        <f>IFERROR(__xludf.DUMMYFUNCTION("""COMPUTED_VALUE"""),1.005)</f>
        <v>1.005</v>
      </c>
      <c r="E5823" s="16">
        <f>IFERROR(__xludf.DUMMYFUNCTION("""COMPUTED_VALUE"""),67.0)</f>
        <v>67</v>
      </c>
      <c r="F5823" s="19" t="str">
        <f>IFERROR(__xludf.DUMMYFUNCTION("""COMPUTED_VALUE"""),"BLUE")</f>
        <v>BLUE</v>
      </c>
      <c r="G5823" s="20" t="str">
        <f>IFERROR(__xludf.DUMMYFUNCTION("""COMPUTED_VALUE"""),"Uncle Sams Cider (04/04/2023)")</f>
        <v>Uncle Sams Cider (04/04/2023)</v>
      </c>
      <c r="H5823" s="19"/>
    </row>
    <row r="5824">
      <c r="A5824" s="9"/>
      <c r="B5824" s="15"/>
      <c r="C5824" s="9">
        <f>IFERROR(__xludf.DUMMYFUNCTION("""COMPUTED_VALUE"""),45083.4694545601)</f>
        <v>45083.46945</v>
      </c>
      <c r="D5824" s="15">
        <f>IFERROR(__xludf.DUMMYFUNCTION("""COMPUTED_VALUE"""),1.005)</f>
        <v>1.005</v>
      </c>
      <c r="E5824" s="16">
        <f>IFERROR(__xludf.DUMMYFUNCTION("""COMPUTED_VALUE"""),67.0)</f>
        <v>67</v>
      </c>
      <c r="F5824" s="19" t="str">
        <f>IFERROR(__xludf.DUMMYFUNCTION("""COMPUTED_VALUE"""),"BLUE")</f>
        <v>BLUE</v>
      </c>
      <c r="G5824" s="20" t="str">
        <f>IFERROR(__xludf.DUMMYFUNCTION("""COMPUTED_VALUE"""),"Uncle Sams Cider (04/04/2023)")</f>
        <v>Uncle Sams Cider (04/04/2023)</v>
      </c>
      <c r="H5824" s="19"/>
    </row>
    <row r="5825">
      <c r="A5825" s="9"/>
      <c r="B5825" s="15"/>
      <c r="C5825" s="9">
        <f>IFERROR(__xludf.DUMMYFUNCTION("""COMPUTED_VALUE"""),45083.4590212963)</f>
        <v>45083.45902</v>
      </c>
      <c r="D5825" s="15">
        <f>IFERROR(__xludf.DUMMYFUNCTION("""COMPUTED_VALUE"""),1.005)</f>
        <v>1.005</v>
      </c>
      <c r="E5825" s="16">
        <f>IFERROR(__xludf.DUMMYFUNCTION("""COMPUTED_VALUE"""),67.0)</f>
        <v>67</v>
      </c>
      <c r="F5825" s="19" t="str">
        <f>IFERROR(__xludf.DUMMYFUNCTION("""COMPUTED_VALUE"""),"BLUE")</f>
        <v>BLUE</v>
      </c>
      <c r="G5825" s="20" t="str">
        <f>IFERROR(__xludf.DUMMYFUNCTION("""COMPUTED_VALUE"""),"Uncle Sams Cider (04/04/2023)")</f>
        <v>Uncle Sams Cider (04/04/2023)</v>
      </c>
      <c r="H5825" s="19"/>
    </row>
    <row r="5826">
      <c r="A5826" s="9"/>
      <c r="B5826" s="15"/>
      <c r="C5826" s="9">
        <f>IFERROR(__xludf.DUMMYFUNCTION("""COMPUTED_VALUE"""),45083.4486003703)</f>
        <v>45083.4486</v>
      </c>
      <c r="D5826" s="15">
        <f>IFERROR(__xludf.DUMMYFUNCTION("""COMPUTED_VALUE"""),1.005)</f>
        <v>1.005</v>
      </c>
      <c r="E5826" s="16">
        <f>IFERROR(__xludf.DUMMYFUNCTION("""COMPUTED_VALUE"""),67.0)</f>
        <v>67</v>
      </c>
      <c r="F5826" s="19" t="str">
        <f>IFERROR(__xludf.DUMMYFUNCTION("""COMPUTED_VALUE"""),"BLUE")</f>
        <v>BLUE</v>
      </c>
      <c r="G5826" s="20" t="str">
        <f>IFERROR(__xludf.DUMMYFUNCTION("""COMPUTED_VALUE"""),"Uncle Sams Cider (04/04/2023)")</f>
        <v>Uncle Sams Cider (04/04/2023)</v>
      </c>
      <c r="H5826" s="19"/>
    </row>
    <row r="5827">
      <c r="A5827" s="9"/>
      <c r="B5827" s="15"/>
      <c r="C5827" s="9">
        <f>IFERROR(__xludf.DUMMYFUNCTION("""COMPUTED_VALUE"""),45083.4381780555)</f>
        <v>45083.43818</v>
      </c>
      <c r="D5827" s="15">
        <f>IFERROR(__xludf.DUMMYFUNCTION("""COMPUTED_VALUE"""),1.005)</f>
        <v>1.005</v>
      </c>
      <c r="E5827" s="16">
        <f>IFERROR(__xludf.DUMMYFUNCTION("""COMPUTED_VALUE"""),67.0)</f>
        <v>67</v>
      </c>
      <c r="F5827" s="19" t="str">
        <f>IFERROR(__xludf.DUMMYFUNCTION("""COMPUTED_VALUE"""),"BLUE")</f>
        <v>BLUE</v>
      </c>
      <c r="G5827" s="20" t="str">
        <f>IFERROR(__xludf.DUMMYFUNCTION("""COMPUTED_VALUE"""),"Uncle Sams Cider (04/04/2023)")</f>
        <v>Uncle Sams Cider (04/04/2023)</v>
      </c>
      <c r="H5827" s="19"/>
    </row>
    <row r="5828">
      <c r="A5828" s="9"/>
      <c r="B5828" s="15"/>
      <c r="C5828" s="9">
        <f>IFERROR(__xludf.DUMMYFUNCTION("""COMPUTED_VALUE"""),45083.427757743)</f>
        <v>45083.42776</v>
      </c>
      <c r="D5828" s="15">
        <f>IFERROR(__xludf.DUMMYFUNCTION("""COMPUTED_VALUE"""),1.005)</f>
        <v>1.005</v>
      </c>
      <c r="E5828" s="16">
        <f>IFERROR(__xludf.DUMMYFUNCTION("""COMPUTED_VALUE"""),67.0)</f>
        <v>67</v>
      </c>
      <c r="F5828" s="19" t="str">
        <f>IFERROR(__xludf.DUMMYFUNCTION("""COMPUTED_VALUE"""),"BLUE")</f>
        <v>BLUE</v>
      </c>
      <c r="G5828" s="20" t="str">
        <f>IFERROR(__xludf.DUMMYFUNCTION("""COMPUTED_VALUE"""),"Uncle Sams Cider (04/04/2023)")</f>
        <v>Uncle Sams Cider (04/04/2023)</v>
      </c>
      <c r="H5828" s="19"/>
    </row>
    <row r="5829">
      <c r="A5829" s="9"/>
      <c r="B5829" s="15"/>
      <c r="C5829" s="9">
        <f>IFERROR(__xludf.DUMMYFUNCTION("""COMPUTED_VALUE"""),45083.4173139004)</f>
        <v>45083.41731</v>
      </c>
      <c r="D5829" s="15">
        <f>IFERROR(__xludf.DUMMYFUNCTION("""COMPUTED_VALUE"""),1.005)</f>
        <v>1.005</v>
      </c>
      <c r="E5829" s="16">
        <f>IFERROR(__xludf.DUMMYFUNCTION("""COMPUTED_VALUE"""),67.0)</f>
        <v>67</v>
      </c>
      <c r="F5829" s="19" t="str">
        <f>IFERROR(__xludf.DUMMYFUNCTION("""COMPUTED_VALUE"""),"BLUE")</f>
        <v>BLUE</v>
      </c>
      <c r="G5829" s="20" t="str">
        <f>IFERROR(__xludf.DUMMYFUNCTION("""COMPUTED_VALUE"""),"Uncle Sams Cider (04/04/2023)")</f>
        <v>Uncle Sams Cider (04/04/2023)</v>
      </c>
      <c r="H5829" s="19"/>
    </row>
    <row r="5830">
      <c r="A5830" s="9"/>
      <c r="B5830" s="15"/>
      <c r="C5830" s="9">
        <f>IFERROR(__xludf.DUMMYFUNCTION("""COMPUTED_VALUE"""),45083.4068803703)</f>
        <v>45083.40688</v>
      </c>
      <c r="D5830" s="15">
        <f>IFERROR(__xludf.DUMMYFUNCTION("""COMPUTED_VALUE"""),1.005)</f>
        <v>1.005</v>
      </c>
      <c r="E5830" s="16">
        <f>IFERROR(__xludf.DUMMYFUNCTION("""COMPUTED_VALUE"""),67.0)</f>
        <v>67</v>
      </c>
      <c r="F5830" s="19" t="str">
        <f>IFERROR(__xludf.DUMMYFUNCTION("""COMPUTED_VALUE"""),"BLUE")</f>
        <v>BLUE</v>
      </c>
      <c r="G5830" s="20" t="str">
        <f>IFERROR(__xludf.DUMMYFUNCTION("""COMPUTED_VALUE"""),"Uncle Sams Cider (04/04/2023)")</f>
        <v>Uncle Sams Cider (04/04/2023)</v>
      </c>
      <c r="H5830" s="19"/>
    </row>
    <row r="5831">
      <c r="A5831" s="9"/>
      <c r="B5831" s="15"/>
      <c r="C5831" s="9">
        <f>IFERROR(__xludf.DUMMYFUNCTION("""COMPUTED_VALUE"""),45083.3964595717)</f>
        <v>45083.39646</v>
      </c>
      <c r="D5831" s="15">
        <f>IFERROR(__xludf.DUMMYFUNCTION("""COMPUTED_VALUE"""),1.005)</f>
        <v>1.005</v>
      </c>
      <c r="E5831" s="16">
        <f>IFERROR(__xludf.DUMMYFUNCTION("""COMPUTED_VALUE"""),67.0)</f>
        <v>67</v>
      </c>
      <c r="F5831" s="19" t="str">
        <f>IFERROR(__xludf.DUMMYFUNCTION("""COMPUTED_VALUE"""),"BLUE")</f>
        <v>BLUE</v>
      </c>
      <c r="G5831" s="20" t="str">
        <f>IFERROR(__xludf.DUMMYFUNCTION("""COMPUTED_VALUE"""),"Uncle Sams Cider (04/04/2023)")</f>
        <v>Uncle Sams Cider (04/04/2023)</v>
      </c>
      <c r="H5831" s="19"/>
    </row>
    <row r="5832">
      <c r="A5832" s="9"/>
      <c r="B5832" s="15"/>
      <c r="C5832" s="9">
        <f>IFERROR(__xludf.DUMMYFUNCTION("""COMPUTED_VALUE"""),45083.3860390046)</f>
        <v>45083.38604</v>
      </c>
      <c r="D5832" s="15">
        <f>IFERROR(__xludf.DUMMYFUNCTION("""COMPUTED_VALUE"""),1.005)</f>
        <v>1.005</v>
      </c>
      <c r="E5832" s="16">
        <f>IFERROR(__xludf.DUMMYFUNCTION("""COMPUTED_VALUE"""),67.0)</f>
        <v>67</v>
      </c>
      <c r="F5832" s="19" t="str">
        <f>IFERROR(__xludf.DUMMYFUNCTION("""COMPUTED_VALUE"""),"BLUE")</f>
        <v>BLUE</v>
      </c>
      <c r="G5832" s="20" t="str">
        <f>IFERROR(__xludf.DUMMYFUNCTION("""COMPUTED_VALUE"""),"Uncle Sams Cider (04/04/2023)")</f>
        <v>Uncle Sams Cider (04/04/2023)</v>
      </c>
      <c r="H5832" s="19"/>
    </row>
    <row r="5833">
      <c r="A5833" s="9"/>
      <c r="B5833" s="15"/>
      <c r="C5833" s="9">
        <f>IFERROR(__xludf.DUMMYFUNCTION("""COMPUTED_VALUE"""),45083.3756171875)</f>
        <v>45083.37562</v>
      </c>
      <c r="D5833" s="15">
        <f>IFERROR(__xludf.DUMMYFUNCTION("""COMPUTED_VALUE"""),1.005)</f>
        <v>1.005</v>
      </c>
      <c r="E5833" s="16">
        <f>IFERROR(__xludf.DUMMYFUNCTION("""COMPUTED_VALUE"""),67.0)</f>
        <v>67</v>
      </c>
      <c r="F5833" s="19" t="str">
        <f>IFERROR(__xludf.DUMMYFUNCTION("""COMPUTED_VALUE"""),"BLUE")</f>
        <v>BLUE</v>
      </c>
      <c r="G5833" s="20" t="str">
        <f>IFERROR(__xludf.DUMMYFUNCTION("""COMPUTED_VALUE"""),"Uncle Sams Cider (04/04/2023)")</f>
        <v>Uncle Sams Cider (04/04/2023)</v>
      </c>
      <c r="H5833" s="19"/>
    </row>
    <row r="5834">
      <c r="A5834" s="9"/>
      <c r="B5834" s="15"/>
      <c r="C5834" s="9">
        <f>IFERROR(__xludf.DUMMYFUNCTION("""COMPUTED_VALUE"""),45083.3651738194)</f>
        <v>45083.36517</v>
      </c>
      <c r="D5834" s="15">
        <f>IFERROR(__xludf.DUMMYFUNCTION("""COMPUTED_VALUE"""),1.005)</f>
        <v>1.005</v>
      </c>
      <c r="E5834" s="16">
        <f>IFERROR(__xludf.DUMMYFUNCTION("""COMPUTED_VALUE"""),67.0)</f>
        <v>67</v>
      </c>
      <c r="F5834" s="19" t="str">
        <f>IFERROR(__xludf.DUMMYFUNCTION("""COMPUTED_VALUE"""),"BLUE")</f>
        <v>BLUE</v>
      </c>
      <c r="G5834" s="20" t="str">
        <f>IFERROR(__xludf.DUMMYFUNCTION("""COMPUTED_VALUE"""),"Uncle Sams Cider (04/04/2023)")</f>
        <v>Uncle Sams Cider (04/04/2023)</v>
      </c>
      <c r="H5834" s="19"/>
    </row>
    <row r="5835">
      <c r="A5835" s="9"/>
      <c r="B5835" s="15"/>
      <c r="C5835" s="9">
        <f>IFERROR(__xludf.DUMMYFUNCTION("""COMPUTED_VALUE"""),45083.3547545949)</f>
        <v>45083.35475</v>
      </c>
      <c r="D5835" s="15">
        <f>IFERROR(__xludf.DUMMYFUNCTION("""COMPUTED_VALUE"""),1.005)</f>
        <v>1.005</v>
      </c>
      <c r="E5835" s="16">
        <f>IFERROR(__xludf.DUMMYFUNCTION("""COMPUTED_VALUE"""),67.0)</f>
        <v>67</v>
      </c>
      <c r="F5835" s="19" t="str">
        <f>IFERROR(__xludf.DUMMYFUNCTION("""COMPUTED_VALUE"""),"BLUE")</f>
        <v>BLUE</v>
      </c>
      <c r="G5835" s="20" t="str">
        <f>IFERROR(__xludf.DUMMYFUNCTION("""COMPUTED_VALUE"""),"Uncle Sams Cider (04/04/2023)")</f>
        <v>Uncle Sams Cider (04/04/2023)</v>
      </c>
      <c r="H5835" s="19"/>
    </row>
    <row r="5836">
      <c r="A5836" s="9"/>
      <c r="B5836" s="15"/>
      <c r="C5836" s="9">
        <f>IFERROR(__xludf.DUMMYFUNCTION("""COMPUTED_VALUE"""),45083.3443325578)</f>
        <v>45083.34433</v>
      </c>
      <c r="D5836" s="15">
        <f>IFERROR(__xludf.DUMMYFUNCTION("""COMPUTED_VALUE"""),1.005)</f>
        <v>1.005</v>
      </c>
      <c r="E5836" s="16">
        <f>IFERROR(__xludf.DUMMYFUNCTION("""COMPUTED_VALUE"""),67.0)</f>
        <v>67</v>
      </c>
      <c r="F5836" s="19" t="str">
        <f>IFERROR(__xludf.DUMMYFUNCTION("""COMPUTED_VALUE"""),"BLUE")</f>
        <v>BLUE</v>
      </c>
      <c r="G5836" s="20" t="str">
        <f>IFERROR(__xludf.DUMMYFUNCTION("""COMPUTED_VALUE"""),"Uncle Sams Cider (04/04/2023)")</f>
        <v>Uncle Sams Cider (04/04/2023)</v>
      </c>
      <c r="H5836" s="19"/>
    </row>
    <row r="5837">
      <c r="A5837" s="9"/>
      <c r="B5837" s="15"/>
      <c r="C5837" s="9">
        <f>IFERROR(__xludf.DUMMYFUNCTION("""COMPUTED_VALUE"""),45083.3339119791)</f>
        <v>45083.33391</v>
      </c>
      <c r="D5837" s="15">
        <f>IFERROR(__xludf.DUMMYFUNCTION("""COMPUTED_VALUE"""),1.005)</f>
        <v>1.005</v>
      </c>
      <c r="E5837" s="16">
        <f>IFERROR(__xludf.DUMMYFUNCTION("""COMPUTED_VALUE"""),67.0)</f>
        <v>67</v>
      </c>
      <c r="F5837" s="19" t="str">
        <f>IFERROR(__xludf.DUMMYFUNCTION("""COMPUTED_VALUE"""),"BLUE")</f>
        <v>BLUE</v>
      </c>
      <c r="G5837" s="20" t="str">
        <f>IFERROR(__xludf.DUMMYFUNCTION("""COMPUTED_VALUE"""),"Uncle Sams Cider (04/04/2023)")</f>
        <v>Uncle Sams Cider (04/04/2023)</v>
      </c>
      <c r="H5837" s="19"/>
    </row>
    <row r="5838">
      <c r="A5838" s="9"/>
      <c r="B5838" s="15"/>
      <c r="C5838" s="9">
        <f>IFERROR(__xludf.DUMMYFUNCTION("""COMPUTED_VALUE"""),45083.3234791898)</f>
        <v>45083.32348</v>
      </c>
      <c r="D5838" s="15">
        <f>IFERROR(__xludf.DUMMYFUNCTION("""COMPUTED_VALUE"""),1.005)</f>
        <v>1.005</v>
      </c>
      <c r="E5838" s="16">
        <f>IFERROR(__xludf.DUMMYFUNCTION("""COMPUTED_VALUE"""),67.0)</f>
        <v>67</v>
      </c>
      <c r="F5838" s="19" t="str">
        <f>IFERROR(__xludf.DUMMYFUNCTION("""COMPUTED_VALUE"""),"BLUE")</f>
        <v>BLUE</v>
      </c>
      <c r="G5838" s="20" t="str">
        <f>IFERROR(__xludf.DUMMYFUNCTION("""COMPUTED_VALUE"""),"Uncle Sams Cider (04/04/2023)")</f>
        <v>Uncle Sams Cider (04/04/2023)</v>
      </c>
      <c r="H5838" s="19"/>
    </row>
    <row r="5839">
      <c r="A5839" s="9"/>
      <c r="B5839" s="15"/>
      <c r="C5839" s="9">
        <f>IFERROR(__xludf.DUMMYFUNCTION("""COMPUTED_VALUE"""),45083.3130583101)</f>
        <v>45083.31306</v>
      </c>
      <c r="D5839" s="15">
        <f>IFERROR(__xludf.DUMMYFUNCTION("""COMPUTED_VALUE"""),1.005)</f>
        <v>1.005</v>
      </c>
      <c r="E5839" s="16">
        <f>IFERROR(__xludf.DUMMYFUNCTION("""COMPUTED_VALUE"""),67.0)</f>
        <v>67</v>
      </c>
      <c r="F5839" s="19" t="str">
        <f>IFERROR(__xludf.DUMMYFUNCTION("""COMPUTED_VALUE"""),"BLUE")</f>
        <v>BLUE</v>
      </c>
      <c r="G5839" s="20" t="str">
        <f>IFERROR(__xludf.DUMMYFUNCTION("""COMPUTED_VALUE"""),"Uncle Sams Cider (04/04/2023)")</f>
        <v>Uncle Sams Cider (04/04/2023)</v>
      </c>
      <c r="H5839" s="19"/>
    </row>
    <row r="5840">
      <c r="A5840" s="9"/>
      <c r="B5840" s="15"/>
      <c r="C5840" s="9">
        <f>IFERROR(__xludf.DUMMYFUNCTION("""COMPUTED_VALUE"""),45083.302625787)</f>
        <v>45083.30263</v>
      </c>
      <c r="D5840" s="15">
        <f>IFERROR(__xludf.DUMMYFUNCTION("""COMPUTED_VALUE"""),1.005)</f>
        <v>1.005</v>
      </c>
      <c r="E5840" s="16">
        <f>IFERROR(__xludf.DUMMYFUNCTION("""COMPUTED_VALUE"""),67.0)</f>
        <v>67</v>
      </c>
      <c r="F5840" s="19" t="str">
        <f>IFERROR(__xludf.DUMMYFUNCTION("""COMPUTED_VALUE"""),"BLUE")</f>
        <v>BLUE</v>
      </c>
      <c r="G5840" s="20" t="str">
        <f>IFERROR(__xludf.DUMMYFUNCTION("""COMPUTED_VALUE"""),"Uncle Sams Cider (04/04/2023)")</f>
        <v>Uncle Sams Cider (04/04/2023)</v>
      </c>
      <c r="H5840" s="19"/>
    </row>
    <row r="5841">
      <c r="A5841" s="9"/>
      <c r="B5841" s="15"/>
      <c r="C5841" s="9">
        <f>IFERROR(__xludf.DUMMYFUNCTION("""COMPUTED_VALUE"""),45083.2922036226)</f>
        <v>45083.2922</v>
      </c>
      <c r="D5841" s="15">
        <f>IFERROR(__xludf.DUMMYFUNCTION("""COMPUTED_VALUE"""),1.005)</f>
        <v>1.005</v>
      </c>
      <c r="E5841" s="16">
        <f>IFERROR(__xludf.DUMMYFUNCTION("""COMPUTED_VALUE"""),67.0)</f>
        <v>67</v>
      </c>
      <c r="F5841" s="19" t="str">
        <f>IFERROR(__xludf.DUMMYFUNCTION("""COMPUTED_VALUE"""),"BLUE")</f>
        <v>BLUE</v>
      </c>
      <c r="G5841" s="20" t="str">
        <f>IFERROR(__xludf.DUMMYFUNCTION("""COMPUTED_VALUE"""),"Uncle Sams Cider (04/04/2023)")</f>
        <v>Uncle Sams Cider (04/04/2023)</v>
      </c>
      <c r="H5841" s="19"/>
    </row>
    <row r="5842">
      <c r="A5842" s="9"/>
      <c r="B5842" s="15"/>
      <c r="C5842" s="9">
        <f>IFERROR(__xludf.DUMMYFUNCTION("""COMPUTED_VALUE"""),45083.2817831828)</f>
        <v>45083.28178</v>
      </c>
      <c r="D5842" s="15">
        <f>IFERROR(__xludf.DUMMYFUNCTION("""COMPUTED_VALUE"""),1.005)</f>
        <v>1.005</v>
      </c>
      <c r="E5842" s="16">
        <f>IFERROR(__xludf.DUMMYFUNCTION("""COMPUTED_VALUE"""),67.0)</f>
        <v>67</v>
      </c>
      <c r="F5842" s="19" t="str">
        <f>IFERROR(__xludf.DUMMYFUNCTION("""COMPUTED_VALUE"""),"BLUE")</f>
        <v>BLUE</v>
      </c>
      <c r="G5842" s="20" t="str">
        <f>IFERROR(__xludf.DUMMYFUNCTION("""COMPUTED_VALUE"""),"Uncle Sams Cider (04/04/2023)")</f>
        <v>Uncle Sams Cider (04/04/2023)</v>
      </c>
      <c r="H5842" s="19"/>
    </row>
    <row r="5843">
      <c r="A5843" s="9"/>
      <c r="B5843" s="15"/>
      <c r="C5843" s="9">
        <f>IFERROR(__xludf.DUMMYFUNCTION("""COMPUTED_VALUE"""),45083.2713620486)</f>
        <v>45083.27136</v>
      </c>
      <c r="D5843" s="15">
        <f>IFERROR(__xludf.DUMMYFUNCTION("""COMPUTED_VALUE"""),1.005)</f>
        <v>1.005</v>
      </c>
      <c r="E5843" s="16">
        <f>IFERROR(__xludf.DUMMYFUNCTION("""COMPUTED_VALUE"""),67.0)</f>
        <v>67</v>
      </c>
      <c r="F5843" s="19" t="str">
        <f>IFERROR(__xludf.DUMMYFUNCTION("""COMPUTED_VALUE"""),"BLUE")</f>
        <v>BLUE</v>
      </c>
      <c r="G5843" s="20" t="str">
        <f>IFERROR(__xludf.DUMMYFUNCTION("""COMPUTED_VALUE"""),"Uncle Sams Cider (04/04/2023)")</f>
        <v>Uncle Sams Cider (04/04/2023)</v>
      </c>
      <c r="H5843" s="19"/>
    </row>
    <row r="5844">
      <c r="A5844" s="9"/>
      <c r="B5844" s="15"/>
      <c r="C5844" s="9">
        <f>IFERROR(__xludf.DUMMYFUNCTION("""COMPUTED_VALUE"""),45083.2609065509)</f>
        <v>45083.26091</v>
      </c>
      <c r="D5844" s="15">
        <f>IFERROR(__xludf.DUMMYFUNCTION("""COMPUTED_VALUE"""),1.005)</f>
        <v>1.005</v>
      </c>
      <c r="E5844" s="16">
        <f>IFERROR(__xludf.DUMMYFUNCTION("""COMPUTED_VALUE"""),67.0)</f>
        <v>67</v>
      </c>
      <c r="F5844" s="19" t="str">
        <f>IFERROR(__xludf.DUMMYFUNCTION("""COMPUTED_VALUE"""),"BLUE")</f>
        <v>BLUE</v>
      </c>
      <c r="G5844" s="20" t="str">
        <f>IFERROR(__xludf.DUMMYFUNCTION("""COMPUTED_VALUE"""),"Uncle Sams Cider (04/04/2023)")</f>
        <v>Uncle Sams Cider (04/04/2023)</v>
      </c>
      <c r="H5844" s="19"/>
    </row>
    <row r="5845">
      <c r="A5845" s="9"/>
      <c r="B5845" s="15"/>
      <c r="C5845" s="9">
        <f>IFERROR(__xludf.DUMMYFUNCTION("""COMPUTED_VALUE"""),45083.2504856828)</f>
        <v>45083.25049</v>
      </c>
      <c r="D5845" s="15">
        <f>IFERROR(__xludf.DUMMYFUNCTION("""COMPUTED_VALUE"""),1.005)</f>
        <v>1.005</v>
      </c>
      <c r="E5845" s="16">
        <f>IFERROR(__xludf.DUMMYFUNCTION("""COMPUTED_VALUE"""),67.0)</f>
        <v>67</v>
      </c>
      <c r="F5845" s="19" t="str">
        <f>IFERROR(__xludf.DUMMYFUNCTION("""COMPUTED_VALUE"""),"BLUE")</f>
        <v>BLUE</v>
      </c>
      <c r="G5845" s="20" t="str">
        <f>IFERROR(__xludf.DUMMYFUNCTION("""COMPUTED_VALUE"""),"Uncle Sams Cider (04/04/2023)")</f>
        <v>Uncle Sams Cider (04/04/2023)</v>
      </c>
      <c r="H5845" s="19"/>
    </row>
    <row r="5846">
      <c r="A5846" s="9"/>
      <c r="B5846" s="15"/>
      <c r="C5846" s="9">
        <f>IFERROR(__xludf.DUMMYFUNCTION("""COMPUTED_VALUE"""),45083.2400647453)</f>
        <v>45083.24006</v>
      </c>
      <c r="D5846" s="15">
        <f>IFERROR(__xludf.DUMMYFUNCTION("""COMPUTED_VALUE"""),1.005)</f>
        <v>1.005</v>
      </c>
      <c r="E5846" s="16">
        <f>IFERROR(__xludf.DUMMYFUNCTION("""COMPUTED_VALUE"""),67.0)</f>
        <v>67</v>
      </c>
      <c r="F5846" s="19" t="str">
        <f>IFERROR(__xludf.DUMMYFUNCTION("""COMPUTED_VALUE"""),"BLUE")</f>
        <v>BLUE</v>
      </c>
      <c r="G5846" s="20" t="str">
        <f>IFERROR(__xludf.DUMMYFUNCTION("""COMPUTED_VALUE"""),"Uncle Sams Cider (04/04/2023)")</f>
        <v>Uncle Sams Cider (04/04/2023)</v>
      </c>
      <c r="H5846" s="19"/>
    </row>
    <row r="5847">
      <c r="A5847" s="9"/>
      <c r="B5847" s="15"/>
      <c r="C5847" s="9">
        <f>IFERROR(__xludf.DUMMYFUNCTION("""COMPUTED_VALUE"""),45083.2296448263)</f>
        <v>45083.22964</v>
      </c>
      <c r="D5847" s="15">
        <f>IFERROR(__xludf.DUMMYFUNCTION("""COMPUTED_VALUE"""),1.005)</f>
        <v>1.005</v>
      </c>
      <c r="E5847" s="16">
        <f>IFERROR(__xludf.DUMMYFUNCTION("""COMPUTED_VALUE"""),67.0)</f>
        <v>67</v>
      </c>
      <c r="F5847" s="19" t="str">
        <f>IFERROR(__xludf.DUMMYFUNCTION("""COMPUTED_VALUE"""),"BLUE")</f>
        <v>BLUE</v>
      </c>
      <c r="G5847" s="20" t="str">
        <f>IFERROR(__xludf.DUMMYFUNCTION("""COMPUTED_VALUE"""),"Uncle Sams Cider (04/04/2023)")</f>
        <v>Uncle Sams Cider (04/04/2023)</v>
      </c>
      <c r="H5847" s="19"/>
    </row>
    <row r="5848">
      <c r="A5848" s="9"/>
      <c r="B5848" s="15"/>
      <c r="C5848" s="9">
        <f>IFERROR(__xludf.DUMMYFUNCTION("""COMPUTED_VALUE"""),45083.2192228588)</f>
        <v>45083.21922</v>
      </c>
      <c r="D5848" s="15">
        <f>IFERROR(__xludf.DUMMYFUNCTION("""COMPUTED_VALUE"""),1.005)</f>
        <v>1.005</v>
      </c>
      <c r="E5848" s="16">
        <f>IFERROR(__xludf.DUMMYFUNCTION("""COMPUTED_VALUE"""),67.0)</f>
        <v>67</v>
      </c>
      <c r="F5848" s="19" t="str">
        <f>IFERROR(__xludf.DUMMYFUNCTION("""COMPUTED_VALUE"""),"BLUE")</f>
        <v>BLUE</v>
      </c>
      <c r="G5848" s="20" t="str">
        <f>IFERROR(__xludf.DUMMYFUNCTION("""COMPUTED_VALUE"""),"Uncle Sams Cider (04/04/2023)")</f>
        <v>Uncle Sams Cider (04/04/2023)</v>
      </c>
      <c r="H5848" s="19"/>
    </row>
    <row r="5849">
      <c r="A5849" s="9"/>
      <c r="B5849" s="15"/>
      <c r="C5849" s="9">
        <f>IFERROR(__xludf.DUMMYFUNCTION("""COMPUTED_VALUE"""),45083.2088023726)</f>
        <v>45083.2088</v>
      </c>
      <c r="D5849" s="15">
        <f>IFERROR(__xludf.DUMMYFUNCTION("""COMPUTED_VALUE"""),1.005)</f>
        <v>1.005</v>
      </c>
      <c r="E5849" s="16">
        <f>IFERROR(__xludf.DUMMYFUNCTION("""COMPUTED_VALUE"""),67.0)</f>
        <v>67</v>
      </c>
      <c r="F5849" s="19" t="str">
        <f>IFERROR(__xludf.DUMMYFUNCTION("""COMPUTED_VALUE"""),"BLUE")</f>
        <v>BLUE</v>
      </c>
      <c r="G5849" s="20" t="str">
        <f>IFERROR(__xludf.DUMMYFUNCTION("""COMPUTED_VALUE"""),"Uncle Sams Cider (04/04/2023)")</f>
        <v>Uncle Sams Cider (04/04/2023)</v>
      </c>
      <c r="H5849" s="19"/>
    </row>
    <row r="5850">
      <c r="A5850" s="9"/>
      <c r="B5850" s="15"/>
      <c r="C5850" s="9">
        <f>IFERROR(__xludf.DUMMYFUNCTION("""COMPUTED_VALUE"""),45083.1983828703)</f>
        <v>45083.19838</v>
      </c>
      <c r="D5850" s="15">
        <f>IFERROR(__xludf.DUMMYFUNCTION("""COMPUTED_VALUE"""),1.005)</f>
        <v>1.005</v>
      </c>
      <c r="E5850" s="16">
        <f>IFERROR(__xludf.DUMMYFUNCTION("""COMPUTED_VALUE"""),67.0)</f>
        <v>67</v>
      </c>
      <c r="F5850" s="19" t="str">
        <f>IFERROR(__xludf.DUMMYFUNCTION("""COMPUTED_VALUE"""),"BLUE")</f>
        <v>BLUE</v>
      </c>
      <c r="G5850" s="20" t="str">
        <f>IFERROR(__xludf.DUMMYFUNCTION("""COMPUTED_VALUE"""),"Uncle Sams Cider (04/04/2023)")</f>
        <v>Uncle Sams Cider (04/04/2023)</v>
      </c>
      <c r="H5850" s="19"/>
    </row>
    <row r="5851">
      <c r="A5851" s="9"/>
      <c r="B5851" s="15"/>
      <c r="C5851" s="9">
        <f>IFERROR(__xludf.DUMMYFUNCTION("""COMPUTED_VALUE"""),45083.187963368)</f>
        <v>45083.18796</v>
      </c>
      <c r="D5851" s="15">
        <f>IFERROR(__xludf.DUMMYFUNCTION("""COMPUTED_VALUE"""),1.005)</f>
        <v>1.005</v>
      </c>
      <c r="E5851" s="16">
        <f>IFERROR(__xludf.DUMMYFUNCTION("""COMPUTED_VALUE"""),67.0)</f>
        <v>67</v>
      </c>
      <c r="F5851" s="19" t="str">
        <f>IFERROR(__xludf.DUMMYFUNCTION("""COMPUTED_VALUE"""),"BLUE")</f>
        <v>BLUE</v>
      </c>
      <c r="G5851" s="20" t="str">
        <f>IFERROR(__xludf.DUMMYFUNCTION("""COMPUTED_VALUE"""),"Uncle Sams Cider (04/04/2023)")</f>
        <v>Uncle Sams Cider (04/04/2023)</v>
      </c>
      <c r="H5851" s="19"/>
    </row>
    <row r="5852">
      <c r="A5852" s="9"/>
      <c r="B5852" s="15"/>
      <c r="C5852" s="9">
        <f>IFERROR(__xludf.DUMMYFUNCTION("""COMPUTED_VALUE"""),45083.1775414699)</f>
        <v>45083.17754</v>
      </c>
      <c r="D5852" s="15">
        <f>IFERROR(__xludf.DUMMYFUNCTION("""COMPUTED_VALUE"""),1.006)</f>
        <v>1.006</v>
      </c>
      <c r="E5852" s="16">
        <f>IFERROR(__xludf.DUMMYFUNCTION("""COMPUTED_VALUE"""),67.0)</f>
        <v>67</v>
      </c>
      <c r="F5852" s="19" t="str">
        <f>IFERROR(__xludf.DUMMYFUNCTION("""COMPUTED_VALUE"""),"BLUE")</f>
        <v>BLUE</v>
      </c>
      <c r="G5852" s="20" t="str">
        <f>IFERROR(__xludf.DUMMYFUNCTION("""COMPUTED_VALUE"""),"Uncle Sams Cider (04/04/2023)")</f>
        <v>Uncle Sams Cider (04/04/2023)</v>
      </c>
      <c r="H5852" s="19"/>
    </row>
    <row r="5853">
      <c r="A5853" s="9"/>
      <c r="B5853" s="15"/>
      <c r="C5853" s="9">
        <f>IFERROR(__xludf.DUMMYFUNCTION("""COMPUTED_VALUE"""),45083.1671207291)</f>
        <v>45083.16712</v>
      </c>
      <c r="D5853" s="15">
        <f>IFERROR(__xludf.DUMMYFUNCTION("""COMPUTED_VALUE"""),1.005)</f>
        <v>1.005</v>
      </c>
      <c r="E5853" s="16">
        <f>IFERROR(__xludf.DUMMYFUNCTION("""COMPUTED_VALUE"""),67.0)</f>
        <v>67</v>
      </c>
      <c r="F5853" s="19" t="str">
        <f>IFERROR(__xludf.DUMMYFUNCTION("""COMPUTED_VALUE"""),"BLUE")</f>
        <v>BLUE</v>
      </c>
      <c r="G5853" s="20" t="str">
        <f>IFERROR(__xludf.DUMMYFUNCTION("""COMPUTED_VALUE"""),"Uncle Sams Cider (04/04/2023)")</f>
        <v>Uncle Sams Cider (04/04/2023)</v>
      </c>
      <c r="H5853" s="19"/>
    </row>
    <row r="5854">
      <c r="A5854" s="9"/>
      <c r="B5854" s="15"/>
      <c r="C5854" s="9">
        <f>IFERROR(__xludf.DUMMYFUNCTION("""COMPUTED_VALUE"""),45083.1566990046)</f>
        <v>45083.1567</v>
      </c>
      <c r="D5854" s="15">
        <f>IFERROR(__xludf.DUMMYFUNCTION("""COMPUTED_VALUE"""),1.006)</f>
        <v>1.006</v>
      </c>
      <c r="E5854" s="16">
        <f>IFERROR(__xludf.DUMMYFUNCTION("""COMPUTED_VALUE"""),67.0)</f>
        <v>67</v>
      </c>
      <c r="F5854" s="19" t="str">
        <f>IFERROR(__xludf.DUMMYFUNCTION("""COMPUTED_VALUE"""),"BLUE")</f>
        <v>BLUE</v>
      </c>
      <c r="G5854" s="20" t="str">
        <f>IFERROR(__xludf.DUMMYFUNCTION("""COMPUTED_VALUE"""),"Uncle Sams Cider (04/04/2023)")</f>
        <v>Uncle Sams Cider (04/04/2023)</v>
      </c>
      <c r="H5854" s="19"/>
    </row>
    <row r="5855">
      <c r="A5855" s="9"/>
      <c r="B5855" s="15"/>
      <c r="C5855" s="9">
        <f>IFERROR(__xludf.DUMMYFUNCTION("""COMPUTED_VALUE"""),45083.1462552199)</f>
        <v>45083.14626</v>
      </c>
      <c r="D5855" s="15">
        <f>IFERROR(__xludf.DUMMYFUNCTION("""COMPUTED_VALUE"""),1.005)</f>
        <v>1.005</v>
      </c>
      <c r="E5855" s="16">
        <f>IFERROR(__xludf.DUMMYFUNCTION("""COMPUTED_VALUE"""),67.0)</f>
        <v>67</v>
      </c>
      <c r="F5855" s="19" t="str">
        <f>IFERROR(__xludf.DUMMYFUNCTION("""COMPUTED_VALUE"""),"BLUE")</f>
        <v>BLUE</v>
      </c>
      <c r="G5855" s="20" t="str">
        <f>IFERROR(__xludf.DUMMYFUNCTION("""COMPUTED_VALUE"""),"Uncle Sams Cider (04/04/2023)")</f>
        <v>Uncle Sams Cider (04/04/2023)</v>
      </c>
      <c r="H5855" s="19"/>
    </row>
    <row r="5856">
      <c r="A5856" s="9"/>
      <c r="B5856" s="15"/>
      <c r="C5856" s="9">
        <f>IFERROR(__xludf.DUMMYFUNCTION("""COMPUTED_VALUE"""),45083.1358348264)</f>
        <v>45083.13583</v>
      </c>
      <c r="D5856" s="15">
        <f>IFERROR(__xludf.DUMMYFUNCTION("""COMPUTED_VALUE"""),1.005)</f>
        <v>1.005</v>
      </c>
      <c r="E5856" s="16">
        <f>IFERROR(__xludf.DUMMYFUNCTION("""COMPUTED_VALUE"""),67.0)</f>
        <v>67</v>
      </c>
      <c r="F5856" s="19" t="str">
        <f>IFERROR(__xludf.DUMMYFUNCTION("""COMPUTED_VALUE"""),"BLUE")</f>
        <v>BLUE</v>
      </c>
      <c r="G5856" s="20" t="str">
        <f>IFERROR(__xludf.DUMMYFUNCTION("""COMPUTED_VALUE"""),"Uncle Sams Cider (04/04/2023)")</f>
        <v>Uncle Sams Cider (04/04/2023)</v>
      </c>
      <c r="H5856" s="19"/>
    </row>
    <row r="5857">
      <c r="A5857" s="9"/>
      <c r="B5857" s="15"/>
      <c r="C5857" s="9">
        <f>IFERROR(__xludf.DUMMYFUNCTION("""COMPUTED_VALUE"""),45083.1254028009)</f>
        <v>45083.1254</v>
      </c>
      <c r="D5857" s="15">
        <f>IFERROR(__xludf.DUMMYFUNCTION("""COMPUTED_VALUE"""),1.005)</f>
        <v>1.005</v>
      </c>
      <c r="E5857" s="16">
        <f>IFERROR(__xludf.DUMMYFUNCTION("""COMPUTED_VALUE"""),67.0)</f>
        <v>67</v>
      </c>
      <c r="F5857" s="19" t="str">
        <f>IFERROR(__xludf.DUMMYFUNCTION("""COMPUTED_VALUE"""),"BLUE")</f>
        <v>BLUE</v>
      </c>
      <c r="G5857" s="20" t="str">
        <f>IFERROR(__xludf.DUMMYFUNCTION("""COMPUTED_VALUE"""),"Uncle Sams Cider (04/04/2023)")</f>
        <v>Uncle Sams Cider (04/04/2023)</v>
      </c>
      <c r="H5857" s="19"/>
    </row>
    <row r="5858">
      <c r="A5858" s="9"/>
      <c r="B5858" s="15"/>
      <c r="C5858" s="9">
        <f>IFERROR(__xludf.DUMMYFUNCTION("""COMPUTED_VALUE"""),45083.1149823148)</f>
        <v>45083.11498</v>
      </c>
      <c r="D5858" s="15">
        <f>IFERROR(__xludf.DUMMYFUNCTION("""COMPUTED_VALUE"""),1.005)</f>
        <v>1.005</v>
      </c>
      <c r="E5858" s="16">
        <f>IFERROR(__xludf.DUMMYFUNCTION("""COMPUTED_VALUE"""),67.0)</f>
        <v>67</v>
      </c>
      <c r="F5858" s="19" t="str">
        <f>IFERROR(__xludf.DUMMYFUNCTION("""COMPUTED_VALUE"""),"BLUE")</f>
        <v>BLUE</v>
      </c>
      <c r="G5858" s="20" t="str">
        <f>IFERROR(__xludf.DUMMYFUNCTION("""COMPUTED_VALUE"""),"Uncle Sams Cider (04/04/2023)")</f>
        <v>Uncle Sams Cider (04/04/2023)</v>
      </c>
      <c r="H5858" s="19"/>
    </row>
    <row r="5859">
      <c r="A5859" s="9"/>
      <c r="B5859" s="15"/>
      <c r="C5859" s="9">
        <f>IFERROR(__xludf.DUMMYFUNCTION("""COMPUTED_VALUE"""),45083.1045597453)</f>
        <v>45083.10456</v>
      </c>
      <c r="D5859" s="15">
        <f>IFERROR(__xludf.DUMMYFUNCTION("""COMPUTED_VALUE"""),1.005)</f>
        <v>1.005</v>
      </c>
      <c r="E5859" s="16">
        <f>IFERROR(__xludf.DUMMYFUNCTION("""COMPUTED_VALUE"""),67.0)</f>
        <v>67</v>
      </c>
      <c r="F5859" s="19" t="str">
        <f>IFERROR(__xludf.DUMMYFUNCTION("""COMPUTED_VALUE"""),"BLUE")</f>
        <v>BLUE</v>
      </c>
      <c r="G5859" s="20" t="str">
        <f>IFERROR(__xludf.DUMMYFUNCTION("""COMPUTED_VALUE"""),"Uncle Sams Cider (04/04/2023)")</f>
        <v>Uncle Sams Cider (04/04/2023)</v>
      </c>
      <c r="H5859" s="19"/>
    </row>
    <row r="5860">
      <c r="A5860" s="9"/>
      <c r="B5860" s="15"/>
      <c r="C5860" s="9">
        <f>IFERROR(__xludf.DUMMYFUNCTION("""COMPUTED_VALUE"""),45083.0941387731)</f>
        <v>45083.09414</v>
      </c>
      <c r="D5860" s="15">
        <f>IFERROR(__xludf.DUMMYFUNCTION("""COMPUTED_VALUE"""),1.005)</f>
        <v>1.005</v>
      </c>
      <c r="E5860" s="16">
        <f>IFERROR(__xludf.DUMMYFUNCTION("""COMPUTED_VALUE"""),67.0)</f>
        <v>67</v>
      </c>
      <c r="F5860" s="19" t="str">
        <f>IFERROR(__xludf.DUMMYFUNCTION("""COMPUTED_VALUE"""),"BLUE")</f>
        <v>BLUE</v>
      </c>
      <c r="G5860" s="20" t="str">
        <f>IFERROR(__xludf.DUMMYFUNCTION("""COMPUTED_VALUE"""),"Uncle Sams Cider (04/04/2023)")</f>
        <v>Uncle Sams Cider (04/04/2023)</v>
      </c>
      <c r="H5860" s="19"/>
    </row>
    <row r="5861">
      <c r="A5861" s="9"/>
      <c r="B5861" s="15"/>
      <c r="C5861" s="9">
        <f>IFERROR(__xludf.DUMMYFUNCTION("""COMPUTED_VALUE"""),45083.0837057175)</f>
        <v>45083.08371</v>
      </c>
      <c r="D5861" s="15">
        <f>IFERROR(__xludf.DUMMYFUNCTION("""COMPUTED_VALUE"""),1.005)</f>
        <v>1.005</v>
      </c>
      <c r="E5861" s="16">
        <f>IFERROR(__xludf.DUMMYFUNCTION("""COMPUTED_VALUE"""),67.0)</f>
        <v>67</v>
      </c>
      <c r="F5861" s="19" t="str">
        <f>IFERROR(__xludf.DUMMYFUNCTION("""COMPUTED_VALUE"""),"BLUE")</f>
        <v>BLUE</v>
      </c>
      <c r="G5861" s="20" t="str">
        <f>IFERROR(__xludf.DUMMYFUNCTION("""COMPUTED_VALUE"""),"Uncle Sams Cider (04/04/2023)")</f>
        <v>Uncle Sams Cider (04/04/2023)</v>
      </c>
      <c r="H5861" s="19"/>
    </row>
    <row r="5862">
      <c r="A5862" s="9"/>
      <c r="B5862" s="15"/>
      <c r="C5862" s="9">
        <f>IFERROR(__xludf.DUMMYFUNCTION("""COMPUTED_VALUE"""),45083.0732833912)</f>
        <v>45083.07328</v>
      </c>
      <c r="D5862" s="15">
        <f>IFERROR(__xludf.DUMMYFUNCTION("""COMPUTED_VALUE"""),1.005)</f>
        <v>1.005</v>
      </c>
      <c r="E5862" s="16">
        <f>IFERROR(__xludf.DUMMYFUNCTION("""COMPUTED_VALUE"""),67.0)</f>
        <v>67</v>
      </c>
      <c r="F5862" s="19" t="str">
        <f>IFERROR(__xludf.DUMMYFUNCTION("""COMPUTED_VALUE"""),"BLUE")</f>
        <v>BLUE</v>
      </c>
      <c r="G5862" s="20" t="str">
        <f>IFERROR(__xludf.DUMMYFUNCTION("""COMPUTED_VALUE"""),"Uncle Sams Cider (04/04/2023)")</f>
        <v>Uncle Sams Cider (04/04/2023)</v>
      </c>
      <c r="H5862" s="19"/>
    </row>
    <row r="5863">
      <c r="A5863" s="9"/>
      <c r="B5863" s="15"/>
      <c r="C5863" s="9">
        <f>IFERROR(__xludf.DUMMYFUNCTION("""COMPUTED_VALUE"""),45083.0628632175)</f>
        <v>45083.06286</v>
      </c>
      <c r="D5863" s="15">
        <f>IFERROR(__xludf.DUMMYFUNCTION("""COMPUTED_VALUE"""),1.005)</f>
        <v>1.005</v>
      </c>
      <c r="E5863" s="16">
        <f>IFERROR(__xludf.DUMMYFUNCTION("""COMPUTED_VALUE"""),67.0)</f>
        <v>67</v>
      </c>
      <c r="F5863" s="19" t="str">
        <f>IFERROR(__xludf.DUMMYFUNCTION("""COMPUTED_VALUE"""),"BLUE")</f>
        <v>BLUE</v>
      </c>
      <c r="G5863" s="20" t="str">
        <f>IFERROR(__xludf.DUMMYFUNCTION("""COMPUTED_VALUE"""),"Uncle Sams Cider (04/04/2023)")</f>
        <v>Uncle Sams Cider (04/04/2023)</v>
      </c>
      <c r="H5863" s="19"/>
    </row>
    <row r="5864">
      <c r="A5864" s="9"/>
      <c r="B5864" s="15"/>
      <c r="C5864" s="9">
        <f>IFERROR(__xludf.DUMMYFUNCTION("""COMPUTED_VALUE"""),45083.052440949)</f>
        <v>45083.05244</v>
      </c>
      <c r="D5864" s="15">
        <f>IFERROR(__xludf.DUMMYFUNCTION("""COMPUTED_VALUE"""),1.005)</f>
        <v>1.005</v>
      </c>
      <c r="E5864" s="16">
        <f>IFERROR(__xludf.DUMMYFUNCTION("""COMPUTED_VALUE"""),67.0)</f>
        <v>67</v>
      </c>
      <c r="F5864" s="19" t="str">
        <f>IFERROR(__xludf.DUMMYFUNCTION("""COMPUTED_VALUE"""),"BLUE")</f>
        <v>BLUE</v>
      </c>
      <c r="G5864" s="20" t="str">
        <f>IFERROR(__xludf.DUMMYFUNCTION("""COMPUTED_VALUE"""),"Uncle Sams Cider (04/04/2023)")</f>
        <v>Uncle Sams Cider (04/04/2023)</v>
      </c>
      <c r="H5864" s="19"/>
    </row>
    <row r="5865">
      <c r="A5865" s="9"/>
      <c r="B5865" s="15"/>
      <c r="C5865" s="9">
        <f>IFERROR(__xludf.DUMMYFUNCTION("""COMPUTED_VALUE"""),45083.0420098495)</f>
        <v>45083.04201</v>
      </c>
      <c r="D5865" s="15">
        <f>IFERROR(__xludf.DUMMYFUNCTION("""COMPUTED_VALUE"""),1.005)</f>
        <v>1.005</v>
      </c>
      <c r="E5865" s="16">
        <f>IFERROR(__xludf.DUMMYFUNCTION("""COMPUTED_VALUE"""),67.0)</f>
        <v>67</v>
      </c>
      <c r="F5865" s="19" t="str">
        <f>IFERROR(__xludf.DUMMYFUNCTION("""COMPUTED_VALUE"""),"BLUE")</f>
        <v>BLUE</v>
      </c>
      <c r="G5865" s="20" t="str">
        <f>IFERROR(__xludf.DUMMYFUNCTION("""COMPUTED_VALUE"""),"Uncle Sams Cider (04/04/2023)")</f>
        <v>Uncle Sams Cider (04/04/2023)</v>
      </c>
      <c r="H5865" s="19"/>
    </row>
    <row r="5866">
      <c r="A5866" s="9"/>
      <c r="B5866" s="15"/>
      <c r="C5866" s="9">
        <f>IFERROR(__xludf.DUMMYFUNCTION("""COMPUTED_VALUE"""),45083.0315782754)</f>
        <v>45083.03158</v>
      </c>
      <c r="D5866" s="15">
        <f>IFERROR(__xludf.DUMMYFUNCTION("""COMPUTED_VALUE"""),1.006)</f>
        <v>1.006</v>
      </c>
      <c r="E5866" s="16">
        <f>IFERROR(__xludf.DUMMYFUNCTION("""COMPUTED_VALUE"""),67.0)</f>
        <v>67</v>
      </c>
      <c r="F5866" s="19" t="str">
        <f>IFERROR(__xludf.DUMMYFUNCTION("""COMPUTED_VALUE"""),"BLUE")</f>
        <v>BLUE</v>
      </c>
      <c r="G5866" s="20" t="str">
        <f>IFERROR(__xludf.DUMMYFUNCTION("""COMPUTED_VALUE"""),"Uncle Sams Cider (04/04/2023)")</f>
        <v>Uncle Sams Cider (04/04/2023)</v>
      </c>
      <c r="H5866" s="19"/>
    </row>
    <row r="5867">
      <c r="A5867" s="9"/>
      <c r="B5867" s="15"/>
      <c r="C5867" s="9">
        <f>IFERROR(__xludf.DUMMYFUNCTION("""COMPUTED_VALUE"""),45083.0211487152)</f>
        <v>45083.02115</v>
      </c>
      <c r="D5867" s="15">
        <f>IFERROR(__xludf.DUMMYFUNCTION("""COMPUTED_VALUE"""),1.005)</f>
        <v>1.005</v>
      </c>
      <c r="E5867" s="16">
        <f>IFERROR(__xludf.DUMMYFUNCTION("""COMPUTED_VALUE"""),67.0)</f>
        <v>67</v>
      </c>
      <c r="F5867" s="19" t="str">
        <f>IFERROR(__xludf.DUMMYFUNCTION("""COMPUTED_VALUE"""),"BLUE")</f>
        <v>BLUE</v>
      </c>
      <c r="G5867" s="20" t="str">
        <f>IFERROR(__xludf.DUMMYFUNCTION("""COMPUTED_VALUE"""),"Uncle Sams Cider (04/04/2023)")</f>
        <v>Uncle Sams Cider (04/04/2023)</v>
      </c>
      <c r="H5867" s="19"/>
    </row>
    <row r="5868">
      <c r="A5868" s="9"/>
      <c r="B5868" s="15"/>
      <c r="C5868" s="9">
        <f>IFERROR(__xludf.DUMMYFUNCTION("""COMPUTED_VALUE"""),45083.0107285763)</f>
        <v>45083.01073</v>
      </c>
      <c r="D5868" s="15">
        <f>IFERROR(__xludf.DUMMYFUNCTION("""COMPUTED_VALUE"""),1.005)</f>
        <v>1.005</v>
      </c>
      <c r="E5868" s="16">
        <f>IFERROR(__xludf.DUMMYFUNCTION("""COMPUTED_VALUE"""),67.0)</f>
        <v>67</v>
      </c>
      <c r="F5868" s="19" t="str">
        <f>IFERROR(__xludf.DUMMYFUNCTION("""COMPUTED_VALUE"""),"BLUE")</f>
        <v>BLUE</v>
      </c>
      <c r="G5868" s="20" t="str">
        <f>IFERROR(__xludf.DUMMYFUNCTION("""COMPUTED_VALUE"""),"Uncle Sams Cider (04/04/2023)")</f>
        <v>Uncle Sams Cider (04/04/2023)</v>
      </c>
      <c r="H5868" s="19"/>
    </row>
    <row r="5869">
      <c r="A5869" s="9"/>
      <c r="B5869" s="15"/>
      <c r="C5869" s="9">
        <f>IFERROR(__xludf.DUMMYFUNCTION("""COMPUTED_VALUE"""),45083.0003073032)</f>
        <v>45083.00031</v>
      </c>
      <c r="D5869" s="15">
        <f>IFERROR(__xludf.DUMMYFUNCTION("""COMPUTED_VALUE"""),1.005)</f>
        <v>1.005</v>
      </c>
      <c r="E5869" s="16">
        <f>IFERROR(__xludf.DUMMYFUNCTION("""COMPUTED_VALUE"""),67.0)</f>
        <v>67</v>
      </c>
      <c r="F5869" s="19" t="str">
        <f>IFERROR(__xludf.DUMMYFUNCTION("""COMPUTED_VALUE"""),"BLUE")</f>
        <v>BLUE</v>
      </c>
      <c r="G5869" s="20" t="str">
        <f>IFERROR(__xludf.DUMMYFUNCTION("""COMPUTED_VALUE"""),"Uncle Sams Cider (04/04/2023)")</f>
        <v>Uncle Sams Cider (04/04/2023)</v>
      </c>
      <c r="H5869" s="19"/>
    </row>
    <row r="5870">
      <c r="A5870" s="9"/>
      <c r="B5870" s="15"/>
      <c r="C5870" s="9">
        <f>IFERROR(__xludf.DUMMYFUNCTION("""COMPUTED_VALUE"""),45082.9898859375)</f>
        <v>45082.98989</v>
      </c>
      <c r="D5870" s="15">
        <f>IFERROR(__xludf.DUMMYFUNCTION("""COMPUTED_VALUE"""),1.005)</f>
        <v>1.005</v>
      </c>
      <c r="E5870" s="16">
        <f>IFERROR(__xludf.DUMMYFUNCTION("""COMPUTED_VALUE"""),67.0)</f>
        <v>67</v>
      </c>
      <c r="F5870" s="19" t="str">
        <f>IFERROR(__xludf.DUMMYFUNCTION("""COMPUTED_VALUE"""),"BLUE")</f>
        <v>BLUE</v>
      </c>
      <c r="G5870" s="20" t="str">
        <f>IFERROR(__xludf.DUMMYFUNCTION("""COMPUTED_VALUE"""),"Uncle Sams Cider (04/04/2023)")</f>
        <v>Uncle Sams Cider (04/04/2023)</v>
      </c>
      <c r="H5870" s="19"/>
    </row>
    <row r="5871">
      <c r="A5871" s="9"/>
      <c r="B5871" s="15"/>
      <c r="C5871" s="9">
        <f>IFERROR(__xludf.DUMMYFUNCTION("""COMPUTED_VALUE"""),45082.9794646412)</f>
        <v>45082.97946</v>
      </c>
      <c r="D5871" s="15">
        <f>IFERROR(__xludf.DUMMYFUNCTION("""COMPUTED_VALUE"""),1.005)</f>
        <v>1.005</v>
      </c>
      <c r="E5871" s="16">
        <f>IFERROR(__xludf.DUMMYFUNCTION("""COMPUTED_VALUE"""),67.0)</f>
        <v>67</v>
      </c>
      <c r="F5871" s="19" t="str">
        <f>IFERROR(__xludf.DUMMYFUNCTION("""COMPUTED_VALUE"""),"BLUE")</f>
        <v>BLUE</v>
      </c>
      <c r="G5871" s="20" t="str">
        <f>IFERROR(__xludf.DUMMYFUNCTION("""COMPUTED_VALUE"""),"Uncle Sams Cider (04/04/2023)")</f>
        <v>Uncle Sams Cider (04/04/2023)</v>
      </c>
      <c r="H5871" s="19"/>
    </row>
    <row r="5872">
      <c r="A5872" s="9"/>
      <c r="B5872" s="15"/>
      <c r="C5872" s="9">
        <f>IFERROR(__xludf.DUMMYFUNCTION("""COMPUTED_VALUE"""),45082.9690441551)</f>
        <v>45082.96904</v>
      </c>
      <c r="D5872" s="15">
        <f>IFERROR(__xludf.DUMMYFUNCTION("""COMPUTED_VALUE"""),1.005)</f>
        <v>1.005</v>
      </c>
      <c r="E5872" s="16">
        <f>IFERROR(__xludf.DUMMYFUNCTION("""COMPUTED_VALUE"""),67.0)</f>
        <v>67</v>
      </c>
      <c r="F5872" s="19" t="str">
        <f>IFERROR(__xludf.DUMMYFUNCTION("""COMPUTED_VALUE"""),"BLUE")</f>
        <v>BLUE</v>
      </c>
      <c r="G5872" s="20" t="str">
        <f>IFERROR(__xludf.DUMMYFUNCTION("""COMPUTED_VALUE"""),"Uncle Sams Cider (04/04/2023)")</f>
        <v>Uncle Sams Cider (04/04/2023)</v>
      </c>
      <c r="H5872" s="19"/>
    </row>
    <row r="5873">
      <c r="A5873" s="9"/>
      <c r="B5873" s="15"/>
      <c r="C5873" s="9">
        <f>IFERROR(__xludf.DUMMYFUNCTION("""COMPUTED_VALUE"""),45082.9586230555)</f>
        <v>45082.95862</v>
      </c>
      <c r="D5873" s="15">
        <f>IFERROR(__xludf.DUMMYFUNCTION("""COMPUTED_VALUE"""),1.005)</f>
        <v>1.005</v>
      </c>
      <c r="E5873" s="16">
        <f>IFERROR(__xludf.DUMMYFUNCTION("""COMPUTED_VALUE"""),67.0)</f>
        <v>67</v>
      </c>
      <c r="F5873" s="19" t="str">
        <f>IFERROR(__xludf.DUMMYFUNCTION("""COMPUTED_VALUE"""),"BLUE")</f>
        <v>BLUE</v>
      </c>
      <c r="G5873" s="20" t="str">
        <f>IFERROR(__xludf.DUMMYFUNCTION("""COMPUTED_VALUE"""),"Uncle Sams Cider (04/04/2023)")</f>
        <v>Uncle Sams Cider (04/04/2023)</v>
      </c>
      <c r="H5873" s="19"/>
    </row>
    <row r="5874">
      <c r="A5874" s="9"/>
      <c r="B5874" s="15"/>
      <c r="C5874" s="9">
        <f>IFERROR(__xludf.DUMMYFUNCTION("""COMPUTED_VALUE"""),45082.9482022222)</f>
        <v>45082.9482</v>
      </c>
      <c r="D5874" s="15">
        <f>IFERROR(__xludf.DUMMYFUNCTION("""COMPUTED_VALUE"""),1.005)</f>
        <v>1.005</v>
      </c>
      <c r="E5874" s="16">
        <f>IFERROR(__xludf.DUMMYFUNCTION("""COMPUTED_VALUE"""),67.0)</f>
        <v>67</v>
      </c>
      <c r="F5874" s="19" t="str">
        <f>IFERROR(__xludf.DUMMYFUNCTION("""COMPUTED_VALUE"""),"BLUE")</f>
        <v>BLUE</v>
      </c>
      <c r="G5874" s="20" t="str">
        <f>IFERROR(__xludf.DUMMYFUNCTION("""COMPUTED_VALUE"""),"Uncle Sams Cider (04/04/2023)")</f>
        <v>Uncle Sams Cider (04/04/2023)</v>
      </c>
      <c r="H5874" s="19"/>
    </row>
    <row r="5875">
      <c r="A5875" s="9"/>
      <c r="B5875" s="15"/>
      <c r="C5875" s="9">
        <f>IFERROR(__xludf.DUMMYFUNCTION("""COMPUTED_VALUE"""),45082.9377806481)</f>
        <v>45082.93778</v>
      </c>
      <c r="D5875" s="15">
        <f>IFERROR(__xludf.DUMMYFUNCTION("""COMPUTED_VALUE"""),1.005)</f>
        <v>1.005</v>
      </c>
      <c r="E5875" s="16">
        <f>IFERROR(__xludf.DUMMYFUNCTION("""COMPUTED_VALUE"""),67.0)</f>
        <v>67</v>
      </c>
      <c r="F5875" s="19" t="str">
        <f>IFERROR(__xludf.DUMMYFUNCTION("""COMPUTED_VALUE"""),"BLUE")</f>
        <v>BLUE</v>
      </c>
      <c r="G5875" s="20" t="str">
        <f>IFERROR(__xludf.DUMMYFUNCTION("""COMPUTED_VALUE"""),"Uncle Sams Cider (04/04/2023)")</f>
        <v>Uncle Sams Cider (04/04/2023)</v>
      </c>
      <c r="H5875" s="19"/>
    </row>
    <row r="5876">
      <c r="A5876" s="9"/>
      <c r="B5876" s="15"/>
      <c r="C5876" s="9">
        <f>IFERROR(__xludf.DUMMYFUNCTION("""COMPUTED_VALUE"""),45082.9273602199)</f>
        <v>45082.92736</v>
      </c>
      <c r="D5876" s="15">
        <f>IFERROR(__xludf.DUMMYFUNCTION("""COMPUTED_VALUE"""),1.005)</f>
        <v>1.005</v>
      </c>
      <c r="E5876" s="16">
        <f>IFERROR(__xludf.DUMMYFUNCTION("""COMPUTED_VALUE"""),67.0)</f>
        <v>67</v>
      </c>
      <c r="F5876" s="19" t="str">
        <f>IFERROR(__xludf.DUMMYFUNCTION("""COMPUTED_VALUE"""),"BLUE")</f>
        <v>BLUE</v>
      </c>
      <c r="G5876" s="20" t="str">
        <f>IFERROR(__xludf.DUMMYFUNCTION("""COMPUTED_VALUE"""),"Uncle Sams Cider (04/04/2023)")</f>
        <v>Uncle Sams Cider (04/04/2023)</v>
      </c>
      <c r="H5876" s="19"/>
    </row>
    <row r="5877">
      <c r="A5877" s="9"/>
      <c r="B5877" s="15"/>
      <c r="C5877" s="9">
        <f>IFERROR(__xludf.DUMMYFUNCTION("""COMPUTED_VALUE"""),45082.9169279513)</f>
        <v>45082.91693</v>
      </c>
      <c r="D5877" s="15">
        <f>IFERROR(__xludf.DUMMYFUNCTION("""COMPUTED_VALUE"""),1.005)</f>
        <v>1.005</v>
      </c>
      <c r="E5877" s="16">
        <f>IFERROR(__xludf.DUMMYFUNCTION("""COMPUTED_VALUE"""),67.0)</f>
        <v>67</v>
      </c>
      <c r="F5877" s="19" t="str">
        <f>IFERROR(__xludf.DUMMYFUNCTION("""COMPUTED_VALUE"""),"BLUE")</f>
        <v>BLUE</v>
      </c>
      <c r="G5877" s="20" t="str">
        <f>IFERROR(__xludf.DUMMYFUNCTION("""COMPUTED_VALUE"""),"Uncle Sams Cider (04/04/2023)")</f>
        <v>Uncle Sams Cider (04/04/2023)</v>
      </c>
      <c r="H5877" s="19"/>
    </row>
    <row r="5878">
      <c r="A5878" s="9"/>
      <c r="B5878" s="15"/>
      <c r="C5878" s="9">
        <f>IFERROR(__xludf.DUMMYFUNCTION("""COMPUTED_VALUE"""),45082.9065051851)</f>
        <v>45082.90651</v>
      </c>
      <c r="D5878" s="15">
        <f>IFERROR(__xludf.DUMMYFUNCTION("""COMPUTED_VALUE"""),1.006)</f>
        <v>1.006</v>
      </c>
      <c r="E5878" s="16">
        <f>IFERROR(__xludf.DUMMYFUNCTION("""COMPUTED_VALUE"""),67.0)</f>
        <v>67</v>
      </c>
      <c r="F5878" s="19" t="str">
        <f>IFERROR(__xludf.DUMMYFUNCTION("""COMPUTED_VALUE"""),"BLUE")</f>
        <v>BLUE</v>
      </c>
      <c r="G5878" s="20" t="str">
        <f>IFERROR(__xludf.DUMMYFUNCTION("""COMPUTED_VALUE"""),"Uncle Sams Cider (04/04/2023)")</f>
        <v>Uncle Sams Cider (04/04/2023)</v>
      </c>
      <c r="H5878" s="19"/>
    </row>
    <row r="5879">
      <c r="A5879" s="9"/>
      <c r="B5879" s="15"/>
      <c r="C5879" s="9">
        <f>IFERROR(__xludf.DUMMYFUNCTION("""COMPUTED_VALUE"""),45082.8960854166)</f>
        <v>45082.89609</v>
      </c>
      <c r="D5879" s="15">
        <f>IFERROR(__xludf.DUMMYFUNCTION("""COMPUTED_VALUE"""),1.005)</f>
        <v>1.005</v>
      </c>
      <c r="E5879" s="16">
        <f>IFERROR(__xludf.DUMMYFUNCTION("""COMPUTED_VALUE"""),67.0)</f>
        <v>67</v>
      </c>
      <c r="F5879" s="19" t="str">
        <f>IFERROR(__xludf.DUMMYFUNCTION("""COMPUTED_VALUE"""),"BLUE")</f>
        <v>BLUE</v>
      </c>
      <c r="G5879" s="20" t="str">
        <f>IFERROR(__xludf.DUMMYFUNCTION("""COMPUTED_VALUE"""),"Uncle Sams Cider (04/04/2023)")</f>
        <v>Uncle Sams Cider (04/04/2023)</v>
      </c>
      <c r="H5879" s="19"/>
    </row>
    <row r="5880">
      <c r="A5880" s="9"/>
      <c r="B5880" s="15"/>
      <c r="C5880" s="9">
        <f>IFERROR(__xludf.DUMMYFUNCTION("""COMPUTED_VALUE"""),45082.8856646412)</f>
        <v>45082.88566</v>
      </c>
      <c r="D5880" s="15">
        <f>IFERROR(__xludf.DUMMYFUNCTION("""COMPUTED_VALUE"""),1.005)</f>
        <v>1.005</v>
      </c>
      <c r="E5880" s="16">
        <f>IFERROR(__xludf.DUMMYFUNCTION("""COMPUTED_VALUE"""),67.0)</f>
        <v>67</v>
      </c>
      <c r="F5880" s="19" t="str">
        <f>IFERROR(__xludf.DUMMYFUNCTION("""COMPUTED_VALUE"""),"BLUE")</f>
        <v>BLUE</v>
      </c>
      <c r="G5880" s="20" t="str">
        <f>IFERROR(__xludf.DUMMYFUNCTION("""COMPUTED_VALUE"""),"Uncle Sams Cider (04/04/2023)")</f>
        <v>Uncle Sams Cider (04/04/2023)</v>
      </c>
      <c r="H5880" s="19"/>
    </row>
    <row r="5881">
      <c r="A5881" s="9"/>
      <c r="B5881" s="15"/>
      <c r="C5881" s="9">
        <f>IFERROR(__xludf.DUMMYFUNCTION("""COMPUTED_VALUE"""),45082.8752426851)</f>
        <v>45082.87524</v>
      </c>
      <c r="D5881" s="15">
        <f>IFERROR(__xludf.DUMMYFUNCTION("""COMPUTED_VALUE"""),1.005)</f>
        <v>1.005</v>
      </c>
      <c r="E5881" s="16">
        <f>IFERROR(__xludf.DUMMYFUNCTION("""COMPUTED_VALUE"""),67.0)</f>
        <v>67</v>
      </c>
      <c r="F5881" s="19" t="str">
        <f>IFERROR(__xludf.DUMMYFUNCTION("""COMPUTED_VALUE"""),"BLUE")</f>
        <v>BLUE</v>
      </c>
      <c r="G5881" s="20" t="str">
        <f>IFERROR(__xludf.DUMMYFUNCTION("""COMPUTED_VALUE"""),"Uncle Sams Cider (04/04/2023)")</f>
        <v>Uncle Sams Cider (04/04/2023)</v>
      </c>
      <c r="H5881" s="19"/>
    </row>
    <row r="5882">
      <c r="A5882" s="9"/>
      <c r="B5882" s="15"/>
      <c r="C5882" s="9">
        <f>IFERROR(__xludf.DUMMYFUNCTION("""COMPUTED_VALUE"""),45082.8648213657)</f>
        <v>45082.86482</v>
      </c>
      <c r="D5882" s="15">
        <f>IFERROR(__xludf.DUMMYFUNCTION("""COMPUTED_VALUE"""),1.005)</f>
        <v>1.005</v>
      </c>
      <c r="E5882" s="16">
        <f>IFERROR(__xludf.DUMMYFUNCTION("""COMPUTED_VALUE"""),67.0)</f>
        <v>67</v>
      </c>
      <c r="F5882" s="19" t="str">
        <f>IFERROR(__xludf.DUMMYFUNCTION("""COMPUTED_VALUE"""),"BLUE")</f>
        <v>BLUE</v>
      </c>
      <c r="G5882" s="20" t="str">
        <f>IFERROR(__xludf.DUMMYFUNCTION("""COMPUTED_VALUE"""),"Uncle Sams Cider (04/04/2023)")</f>
        <v>Uncle Sams Cider (04/04/2023)</v>
      </c>
      <c r="H5882" s="19"/>
    </row>
    <row r="5883">
      <c r="A5883" s="9"/>
      <c r="B5883" s="15"/>
      <c r="C5883" s="9">
        <f>IFERROR(__xludf.DUMMYFUNCTION("""COMPUTED_VALUE"""),45082.8543989583)</f>
        <v>45082.8544</v>
      </c>
      <c r="D5883" s="15">
        <f>IFERROR(__xludf.DUMMYFUNCTION("""COMPUTED_VALUE"""),1.005)</f>
        <v>1.005</v>
      </c>
      <c r="E5883" s="16">
        <f>IFERROR(__xludf.DUMMYFUNCTION("""COMPUTED_VALUE"""),67.0)</f>
        <v>67</v>
      </c>
      <c r="F5883" s="19" t="str">
        <f>IFERROR(__xludf.DUMMYFUNCTION("""COMPUTED_VALUE"""),"BLUE")</f>
        <v>BLUE</v>
      </c>
      <c r="G5883" s="20" t="str">
        <f>IFERROR(__xludf.DUMMYFUNCTION("""COMPUTED_VALUE"""),"Uncle Sams Cider (04/04/2023)")</f>
        <v>Uncle Sams Cider (04/04/2023)</v>
      </c>
      <c r="H5883" s="19"/>
    </row>
    <row r="5884">
      <c r="A5884" s="9"/>
      <c r="B5884" s="15"/>
      <c r="C5884" s="9">
        <f>IFERROR(__xludf.DUMMYFUNCTION("""COMPUTED_VALUE"""),45082.8439770601)</f>
        <v>45082.84398</v>
      </c>
      <c r="D5884" s="15">
        <f>IFERROR(__xludf.DUMMYFUNCTION("""COMPUTED_VALUE"""),1.005)</f>
        <v>1.005</v>
      </c>
      <c r="E5884" s="16">
        <f>IFERROR(__xludf.DUMMYFUNCTION("""COMPUTED_VALUE"""),67.0)</f>
        <v>67</v>
      </c>
      <c r="F5884" s="19" t="str">
        <f>IFERROR(__xludf.DUMMYFUNCTION("""COMPUTED_VALUE"""),"BLUE")</f>
        <v>BLUE</v>
      </c>
      <c r="G5884" s="20" t="str">
        <f>IFERROR(__xludf.DUMMYFUNCTION("""COMPUTED_VALUE"""),"Uncle Sams Cider (04/04/2023)")</f>
        <v>Uncle Sams Cider (04/04/2023)</v>
      </c>
      <c r="H5884" s="19"/>
    </row>
    <row r="5885">
      <c r="A5885" s="9"/>
      <c r="B5885" s="15"/>
      <c r="C5885" s="9">
        <f>IFERROR(__xludf.DUMMYFUNCTION("""COMPUTED_VALUE"""),45082.8335571643)</f>
        <v>45082.83356</v>
      </c>
      <c r="D5885" s="15">
        <f>IFERROR(__xludf.DUMMYFUNCTION("""COMPUTED_VALUE"""),1.006)</f>
        <v>1.006</v>
      </c>
      <c r="E5885" s="16">
        <f>IFERROR(__xludf.DUMMYFUNCTION("""COMPUTED_VALUE"""),67.0)</f>
        <v>67</v>
      </c>
      <c r="F5885" s="19" t="str">
        <f>IFERROR(__xludf.DUMMYFUNCTION("""COMPUTED_VALUE"""),"BLUE")</f>
        <v>BLUE</v>
      </c>
      <c r="G5885" s="20" t="str">
        <f>IFERROR(__xludf.DUMMYFUNCTION("""COMPUTED_VALUE"""),"Uncle Sams Cider (04/04/2023)")</f>
        <v>Uncle Sams Cider (04/04/2023)</v>
      </c>
      <c r="H5885" s="19"/>
    </row>
    <row r="5886">
      <c r="A5886" s="9"/>
      <c r="B5886" s="15"/>
      <c r="C5886" s="9">
        <f>IFERROR(__xludf.DUMMYFUNCTION("""COMPUTED_VALUE"""),45082.8231136805)</f>
        <v>45082.82311</v>
      </c>
      <c r="D5886" s="15">
        <f>IFERROR(__xludf.DUMMYFUNCTION("""COMPUTED_VALUE"""),1.005)</f>
        <v>1.005</v>
      </c>
      <c r="E5886" s="16">
        <f>IFERROR(__xludf.DUMMYFUNCTION("""COMPUTED_VALUE"""),67.0)</f>
        <v>67</v>
      </c>
      <c r="F5886" s="19" t="str">
        <f>IFERROR(__xludf.DUMMYFUNCTION("""COMPUTED_VALUE"""),"BLUE")</f>
        <v>BLUE</v>
      </c>
      <c r="G5886" s="20" t="str">
        <f>IFERROR(__xludf.DUMMYFUNCTION("""COMPUTED_VALUE"""),"Uncle Sams Cider (04/04/2023)")</f>
        <v>Uncle Sams Cider (04/04/2023)</v>
      </c>
      <c r="H5886" s="19"/>
    </row>
    <row r="5887">
      <c r="A5887" s="9"/>
      <c r="B5887" s="15"/>
      <c r="C5887" s="9">
        <f>IFERROR(__xludf.DUMMYFUNCTION("""COMPUTED_VALUE"""),45082.8126932291)</f>
        <v>45082.81269</v>
      </c>
      <c r="D5887" s="15">
        <f>IFERROR(__xludf.DUMMYFUNCTION("""COMPUTED_VALUE"""),1.005)</f>
        <v>1.005</v>
      </c>
      <c r="E5887" s="16">
        <f>IFERROR(__xludf.DUMMYFUNCTION("""COMPUTED_VALUE"""),67.0)</f>
        <v>67</v>
      </c>
      <c r="F5887" s="19" t="str">
        <f>IFERROR(__xludf.DUMMYFUNCTION("""COMPUTED_VALUE"""),"BLUE")</f>
        <v>BLUE</v>
      </c>
      <c r="G5887" s="20" t="str">
        <f>IFERROR(__xludf.DUMMYFUNCTION("""COMPUTED_VALUE"""),"Uncle Sams Cider (04/04/2023)")</f>
        <v>Uncle Sams Cider (04/04/2023)</v>
      </c>
      <c r="H5887" s="19"/>
    </row>
    <row r="5888">
      <c r="A5888" s="9"/>
      <c r="B5888" s="15"/>
      <c r="C5888" s="9">
        <f>IFERROR(__xludf.DUMMYFUNCTION("""COMPUTED_VALUE"""),45082.8022725231)</f>
        <v>45082.80227</v>
      </c>
      <c r="D5888" s="15">
        <f>IFERROR(__xludf.DUMMYFUNCTION("""COMPUTED_VALUE"""),1.005)</f>
        <v>1.005</v>
      </c>
      <c r="E5888" s="16">
        <f>IFERROR(__xludf.DUMMYFUNCTION("""COMPUTED_VALUE"""),67.0)</f>
        <v>67</v>
      </c>
      <c r="F5888" s="19" t="str">
        <f>IFERROR(__xludf.DUMMYFUNCTION("""COMPUTED_VALUE"""),"BLUE")</f>
        <v>BLUE</v>
      </c>
      <c r="G5888" s="20" t="str">
        <f>IFERROR(__xludf.DUMMYFUNCTION("""COMPUTED_VALUE"""),"Uncle Sams Cider (04/04/2023)")</f>
        <v>Uncle Sams Cider (04/04/2023)</v>
      </c>
      <c r="H5888" s="19"/>
    </row>
    <row r="5889">
      <c r="A5889" s="9"/>
      <c r="B5889" s="15"/>
      <c r="C5889" s="9">
        <f>IFERROR(__xludf.DUMMYFUNCTION("""COMPUTED_VALUE"""),45082.7918516435)</f>
        <v>45082.79185</v>
      </c>
      <c r="D5889" s="15">
        <f>IFERROR(__xludf.DUMMYFUNCTION("""COMPUTED_VALUE"""),1.006)</f>
        <v>1.006</v>
      </c>
      <c r="E5889" s="16">
        <f>IFERROR(__xludf.DUMMYFUNCTION("""COMPUTED_VALUE"""),67.0)</f>
        <v>67</v>
      </c>
      <c r="F5889" s="19" t="str">
        <f>IFERROR(__xludf.DUMMYFUNCTION("""COMPUTED_VALUE"""),"BLUE")</f>
        <v>BLUE</v>
      </c>
      <c r="G5889" s="20" t="str">
        <f>IFERROR(__xludf.DUMMYFUNCTION("""COMPUTED_VALUE"""),"Uncle Sams Cider (04/04/2023)")</f>
        <v>Uncle Sams Cider (04/04/2023)</v>
      </c>
      <c r="H5889" s="19"/>
    </row>
    <row r="5890">
      <c r="A5890" s="9"/>
      <c r="B5890" s="15"/>
      <c r="C5890" s="9">
        <f>IFERROR(__xludf.DUMMYFUNCTION("""COMPUTED_VALUE"""),45082.7814299305)</f>
        <v>45082.78143</v>
      </c>
      <c r="D5890" s="15">
        <f>IFERROR(__xludf.DUMMYFUNCTION("""COMPUTED_VALUE"""),1.006)</f>
        <v>1.006</v>
      </c>
      <c r="E5890" s="16">
        <f>IFERROR(__xludf.DUMMYFUNCTION("""COMPUTED_VALUE"""),67.0)</f>
        <v>67</v>
      </c>
      <c r="F5890" s="19" t="str">
        <f>IFERROR(__xludf.DUMMYFUNCTION("""COMPUTED_VALUE"""),"BLUE")</f>
        <v>BLUE</v>
      </c>
      <c r="G5890" s="20" t="str">
        <f>IFERROR(__xludf.DUMMYFUNCTION("""COMPUTED_VALUE"""),"Uncle Sams Cider (04/04/2023)")</f>
        <v>Uncle Sams Cider (04/04/2023)</v>
      </c>
      <c r="H5890" s="19"/>
    </row>
    <row r="5891">
      <c r="A5891" s="9"/>
      <c r="B5891" s="15"/>
      <c r="C5891" s="9">
        <f>IFERROR(__xludf.DUMMYFUNCTION("""COMPUTED_VALUE"""),45082.7709984953)</f>
        <v>45082.771</v>
      </c>
      <c r="D5891" s="15">
        <f>IFERROR(__xludf.DUMMYFUNCTION("""COMPUTED_VALUE"""),1.006)</f>
        <v>1.006</v>
      </c>
      <c r="E5891" s="16">
        <f>IFERROR(__xludf.DUMMYFUNCTION("""COMPUTED_VALUE"""),67.0)</f>
        <v>67</v>
      </c>
      <c r="F5891" s="19" t="str">
        <f>IFERROR(__xludf.DUMMYFUNCTION("""COMPUTED_VALUE"""),"BLUE")</f>
        <v>BLUE</v>
      </c>
      <c r="G5891" s="20" t="str">
        <f>IFERROR(__xludf.DUMMYFUNCTION("""COMPUTED_VALUE"""),"Uncle Sams Cider (04/04/2023)")</f>
        <v>Uncle Sams Cider (04/04/2023)</v>
      </c>
      <c r="H5891" s="19"/>
    </row>
    <row r="5892">
      <c r="A5892" s="9"/>
      <c r="B5892" s="15"/>
      <c r="C5892" s="9">
        <f>IFERROR(__xludf.DUMMYFUNCTION("""COMPUTED_VALUE"""),45082.7605652314)</f>
        <v>45082.76057</v>
      </c>
      <c r="D5892" s="15">
        <f>IFERROR(__xludf.DUMMYFUNCTION("""COMPUTED_VALUE"""),1.005)</f>
        <v>1.005</v>
      </c>
      <c r="E5892" s="16">
        <f>IFERROR(__xludf.DUMMYFUNCTION("""COMPUTED_VALUE"""),67.0)</f>
        <v>67</v>
      </c>
      <c r="F5892" s="19" t="str">
        <f>IFERROR(__xludf.DUMMYFUNCTION("""COMPUTED_VALUE"""),"BLUE")</f>
        <v>BLUE</v>
      </c>
      <c r="G5892" s="20" t="str">
        <f>IFERROR(__xludf.DUMMYFUNCTION("""COMPUTED_VALUE"""),"Uncle Sams Cider (04/04/2023)")</f>
        <v>Uncle Sams Cider (04/04/2023)</v>
      </c>
      <c r="H5892" s="19"/>
    </row>
    <row r="5893">
      <c r="A5893" s="9"/>
      <c r="B5893" s="15"/>
      <c r="C5893" s="9">
        <f>IFERROR(__xludf.DUMMYFUNCTION("""COMPUTED_VALUE"""),45082.7501331134)</f>
        <v>45082.75013</v>
      </c>
      <c r="D5893" s="15">
        <f>IFERROR(__xludf.DUMMYFUNCTION("""COMPUTED_VALUE"""),1.006)</f>
        <v>1.006</v>
      </c>
      <c r="E5893" s="16">
        <f>IFERROR(__xludf.DUMMYFUNCTION("""COMPUTED_VALUE"""),67.0)</f>
        <v>67</v>
      </c>
      <c r="F5893" s="19" t="str">
        <f>IFERROR(__xludf.DUMMYFUNCTION("""COMPUTED_VALUE"""),"BLUE")</f>
        <v>BLUE</v>
      </c>
      <c r="G5893" s="20" t="str">
        <f>IFERROR(__xludf.DUMMYFUNCTION("""COMPUTED_VALUE"""),"Uncle Sams Cider (04/04/2023)")</f>
        <v>Uncle Sams Cider (04/04/2023)</v>
      </c>
      <c r="H5893" s="19"/>
    </row>
    <row r="5894">
      <c r="A5894" s="9"/>
      <c r="B5894" s="15"/>
      <c r="C5894" s="9">
        <f>IFERROR(__xludf.DUMMYFUNCTION("""COMPUTED_VALUE"""),45082.7397139351)</f>
        <v>45082.73971</v>
      </c>
      <c r="D5894" s="15">
        <f>IFERROR(__xludf.DUMMYFUNCTION("""COMPUTED_VALUE"""),1.005)</f>
        <v>1.005</v>
      </c>
      <c r="E5894" s="16">
        <f>IFERROR(__xludf.DUMMYFUNCTION("""COMPUTED_VALUE"""),67.0)</f>
        <v>67</v>
      </c>
      <c r="F5894" s="19" t="str">
        <f>IFERROR(__xludf.DUMMYFUNCTION("""COMPUTED_VALUE"""),"BLUE")</f>
        <v>BLUE</v>
      </c>
      <c r="G5894" s="20" t="str">
        <f>IFERROR(__xludf.DUMMYFUNCTION("""COMPUTED_VALUE"""),"Uncle Sams Cider (04/04/2023)")</f>
        <v>Uncle Sams Cider (04/04/2023)</v>
      </c>
      <c r="H5894" s="19"/>
    </row>
    <row r="5895">
      <c r="A5895" s="9"/>
      <c r="B5895" s="15"/>
      <c r="C5895" s="9">
        <f>IFERROR(__xludf.DUMMYFUNCTION("""COMPUTED_VALUE"""),45082.7292938773)</f>
        <v>45082.72929</v>
      </c>
      <c r="D5895" s="15">
        <f>IFERROR(__xludf.DUMMYFUNCTION("""COMPUTED_VALUE"""),1.005)</f>
        <v>1.005</v>
      </c>
      <c r="E5895" s="16">
        <f>IFERROR(__xludf.DUMMYFUNCTION("""COMPUTED_VALUE"""),67.0)</f>
        <v>67</v>
      </c>
      <c r="F5895" s="19" t="str">
        <f>IFERROR(__xludf.DUMMYFUNCTION("""COMPUTED_VALUE"""),"BLUE")</f>
        <v>BLUE</v>
      </c>
      <c r="G5895" s="20" t="str">
        <f>IFERROR(__xludf.DUMMYFUNCTION("""COMPUTED_VALUE"""),"Uncle Sams Cider (04/04/2023)")</f>
        <v>Uncle Sams Cider (04/04/2023)</v>
      </c>
      <c r="H5895" s="19"/>
    </row>
    <row r="5896">
      <c r="A5896" s="9"/>
      <c r="B5896" s="15"/>
      <c r="C5896" s="9">
        <f>IFERROR(__xludf.DUMMYFUNCTION("""COMPUTED_VALUE"""),45082.7188739004)</f>
        <v>45082.71887</v>
      </c>
      <c r="D5896" s="15">
        <f>IFERROR(__xludf.DUMMYFUNCTION("""COMPUTED_VALUE"""),1.005)</f>
        <v>1.005</v>
      </c>
      <c r="E5896" s="16">
        <f>IFERROR(__xludf.DUMMYFUNCTION("""COMPUTED_VALUE"""),67.0)</f>
        <v>67</v>
      </c>
      <c r="F5896" s="19" t="str">
        <f>IFERROR(__xludf.DUMMYFUNCTION("""COMPUTED_VALUE"""),"BLUE")</f>
        <v>BLUE</v>
      </c>
      <c r="G5896" s="20" t="str">
        <f>IFERROR(__xludf.DUMMYFUNCTION("""COMPUTED_VALUE"""),"Uncle Sams Cider (04/04/2023)")</f>
        <v>Uncle Sams Cider (04/04/2023)</v>
      </c>
      <c r="H5896" s="19"/>
    </row>
    <row r="5897">
      <c r="A5897" s="9"/>
      <c r="B5897" s="15"/>
      <c r="C5897" s="9">
        <f>IFERROR(__xludf.DUMMYFUNCTION("""COMPUTED_VALUE"""),45082.708441412)</f>
        <v>45082.70844</v>
      </c>
      <c r="D5897" s="15">
        <f>IFERROR(__xludf.DUMMYFUNCTION("""COMPUTED_VALUE"""),1.005)</f>
        <v>1.005</v>
      </c>
      <c r="E5897" s="16">
        <f>IFERROR(__xludf.DUMMYFUNCTION("""COMPUTED_VALUE"""),67.0)</f>
        <v>67</v>
      </c>
      <c r="F5897" s="19" t="str">
        <f>IFERROR(__xludf.DUMMYFUNCTION("""COMPUTED_VALUE"""),"BLUE")</f>
        <v>BLUE</v>
      </c>
      <c r="G5897" s="20" t="str">
        <f>IFERROR(__xludf.DUMMYFUNCTION("""COMPUTED_VALUE"""),"Uncle Sams Cider (04/04/2023)")</f>
        <v>Uncle Sams Cider (04/04/2023)</v>
      </c>
      <c r="H5897" s="19"/>
    </row>
    <row r="5898">
      <c r="A5898" s="9"/>
      <c r="B5898" s="15"/>
      <c r="C5898" s="9">
        <f>IFERROR(__xludf.DUMMYFUNCTION("""COMPUTED_VALUE"""),45082.6980176273)</f>
        <v>45082.69802</v>
      </c>
      <c r="D5898" s="15">
        <f>IFERROR(__xludf.DUMMYFUNCTION("""COMPUTED_VALUE"""),1.005)</f>
        <v>1.005</v>
      </c>
      <c r="E5898" s="16">
        <f>IFERROR(__xludf.DUMMYFUNCTION("""COMPUTED_VALUE"""),67.0)</f>
        <v>67</v>
      </c>
      <c r="F5898" s="19" t="str">
        <f>IFERROR(__xludf.DUMMYFUNCTION("""COMPUTED_VALUE"""),"BLUE")</f>
        <v>BLUE</v>
      </c>
      <c r="G5898" s="20" t="str">
        <f>IFERROR(__xludf.DUMMYFUNCTION("""COMPUTED_VALUE"""),"Uncle Sams Cider (04/04/2023)")</f>
        <v>Uncle Sams Cider (04/04/2023)</v>
      </c>
      <c r="H5898" s="19"/>
    </row>
    <row r="5899">
      <c r="A5899" s="9"/>
      <c r="B5899" s="15"/>
      <c r="C5899" s="9">
        <f>IFERROR(__xludf.DUMMYFUNCTION("""COMPUTED_VALUE"""),45082.6875989236)</f>
        <v>45082.6876</v>
      </c>
      <c r="D5899" s="15">
        <f>IFERROR(__xludf.DUMMYFUNCTION("""COMPUTED_VALUE"""),1.006)</f>
        <v>1.006</v>
      </c>
      <c r="E5899" s="16">
        <f>IFERROR(__xludf.DUMMYFUNCTION("""COMPUTED_VALUE"""),67.0)</f>
        <v>67</v>
      </c>
      <c r="F5899" s="19" t="str">
        <f>IFERROR(__xludf.DUMMYFUNCTION("""COMPUTED_VALUE"""),"BLUE")</f>
        <v>BLUE</v>
      </c>
      <c r="G5899" s="20" t="str">
        <f>IFERROR(__xludf.DUMMYFUNCTION("""COMPUTED_VALUE"""),"Uncle Sams Cider (04/04/2023)")</f>
        <v>Uncle Sams Cider (04/04/2023)</v>
      </c>
      <c r="H5899" s="19"/>
    </row>
    <row r="5900">
      <c r="A5900" s="9"/>
      <c r="B5900" s="15"/>
      <c r="C5900" s="9">
        <f>IFERROR(__xludf.DUMMYFUNCTION("""COMPUTED_VALUE"""),45082.6771784259)</f>
        <v>45082.67718</v>
      </c>
      <c r="D5900" s="15">
        <f>IFERROR(__xludf.DUMMYFUNCTION("""COMPUTED_VALUE"""),1.005)</f>
        <v>1.005</v>
      </c>
      <c r="E5900" s="16">
        <f>IFERROR(__xludf.DUMMYFUNCTION("""COMPUTED_VALUE"""),67.0)</f>
        <v>67</v>
      </c>
      <c r="F5900" s="19" t="str">
        <f>IFERROR(__xludf.DUMMYFUNCTION("""COMPUTED_VALUE"""),"BLUE")</f>
        <v>BLUE</v>
      </c>
      <c r="G5900" s="20" t="str">
        <f>IFERROR(__xludf.DUMMYFUNCTION("""COMPUTED_VALUE"""),"Uncle Sams Cider (04/04/2023)")</f>
        <v>Uncle Sams Cider (04/04/2023)</v>
      </c>
      <c r="H5900" s="19"/>
    </row>
    <row r="5901">
      <c r="A5901" s="9"/>
      <c r="B5901" s="15"/>
      <c r="C5901" s="9">
        <f>IFERROR(__xludf.DUMMYFUNCTION("""COMPUTED_VALUE"""),45082.666758368)</f>
        <v>45082.66676</v>
      </c>
      <c r="D5901" s="15">
        <f>IFERROR(__xludf.DUMMYFUNCTION("""COMPUTED_VALUE"""),1.005)</f>
        <v>1.005</v>
      </c>
      <c r="E5901" s="16">
        <f>IFERROR(__xludf.DUMMYFUNCTION("""COMPUTED_VALUE"""),67.0)</f>
        <v>67</v>
      </c>
      <c r="F5901" s="19" t="str">
        <f>IFERROR(__xludf.DUMMYFUNCTION("""COMPUTED_VALUE"""),"BLUE")</f>
        <v>BLUE</v>
      </c>
      <c r="G5901" s="20" t="str">
        <f>IFERROR(__xludf.DUMMYFUNCTION("""COMPUTED_VALUE"""),"Uncle Sams Cider (04/04/2023)")</f>
        <v>Uncle Sams Cider (04/04/2023)</v>
      </c>
      <c r="H5901" s="19"/>
    </row>
    <row r="5902">
      <c r="A5902" s="9"/>
      <c r="B5902" s="15"/>
      <c r="C5902" s="9">
        <f>IFERROR(__xludf.DUMMYFUNCTION("""COMPUTED_VALUE"""),45082.656337118)</f>
        <v>45082.65634</v>
      </c>
      <c r="D5902" s="15">
        <f>IFERROR(__xludf.DUMMYFUNCTION("""COMPUTED_VALUE"""),1.005)</f>
        <v>1.005</v>
      </c>
      <c r="E5902" s="16">
        <f>IFERROR(__xludf.DUMMYFUNCTION("""COMPUTED_VALUE"""),67.0)</f>
        <v>67</v>
      </c>
      <c r="F5902" s="19" t="str">
        <f>IFERROR(__xludf.DUMMYFUNCTION("""COMPUTED_VALUE"""),"BLUE")</f>
        <v>BLUE</v>
      </c>
      <c r="G5902" s="20" t="str">
        <f>IFERROR(__xludf.DUMMYFUNCTION("""COMPUTED_VALUE"""),"Uncle Sams Cider (04/04/2023)")</f>
        <v>Uncle Sams Cider (04/04/2023)</v>
      </c>
      <c r="H5902" s="19"/>
    </row>
    <row r="5903">
      <c r="A5903" s="9"/>
      <c r="B5903" s="15"/>
      <c r="C5903" s="9">
        <f>IFERROR(__xludf.DUMMYFUNCTION("""COMPUTED_VALUE"""),45082.6458913657)</f>
        <v>45082.64589</v>
      </c>
      <c r="D5903" s="15">
        <f>IFERROR(__xludf.DUMMYFUNCTION("""COMPUTED_VALUE"""),1.005)</f>
        <v>1.005</v>
      </c>
      <c r="E5903" s="16">
        <f>IFERROR(__xludf.DUMMYFUNCTION("""COMPUTED_VALUE"""),67.0)</f>
        <v>67</v>
      </c>
      <c r="F5903" s="19" t="str">
        <f>IFERROR(__xludf.DUMMYFUNCTION("""COMPUTED_VALUE"""),"BLUE")</f>
        <v>BLUE</v>
      </c>
      <c r="G5903" s="20" t="str">
        <f>IFERROR(__xludf.DUMMYFUNCTION("""COMPUTED_VALUE"""),"Uncle Sams Cider (04/04/2023)")</f>
        <v>Uncle Sams Cider (04/04/2023)</v>
      </c>
      <c r="H5903" s="19"/>
    </row>
    <row r="5904">
      <c r="A5904" s="9"/>
      <c r="B5904" s="15"/>
      <c r="C5904" s="9">
        <f>IFERROR(__xludf.DUMMYFUNCTION("""COMPUTED_VALUE"""),45082.6354685879)</f>
        <v>45082.63547</v>
      </c>
      <c r="D5904" s="15">
        <f>IFERROR(__xludf.DUMMYFUNCTION("""COMPUTED_VALUE"""),1.005)</f>
        <v>1.005</v>
      </c>
      <c r="E5904" s="16">
        <f>IFERROR(__xludf.DUMMYFUNCTION("""COMPUTED_VALUE"""),67.0)</f>
        <v>67</v>
      </c>
      <c r="F5904" s="19" t="str">
        <f>IFERROR(__xludf.DUMMYFUNCTION("""COMPUTED_VALUE"""),"BLUE")</f>
        <v>BLUE</v>
      </c>
      <c r="G5904" s="20" t="str">
        <f>IFERROR(__xludf.DUMMYFUNCTION("""COMPUTED_VALUE"""),"Uncle Sams Cider (04/04/2023)")</f>
        <v>Uncle Sams Cider (04/04/2023)</v>
      </c>
      <c r="H5904" s="19"/>
    </row>
    <row r="5905">
      <c r="A5905" s="9"/>
      <c r="B5905" s="15"/>
      <c r="C5905" s="9">
        <f>IFERROR(__xludf.DUMMYFUNCTION("""COMPUTED_VALUE"""),45082.625036655)</f>
        <v>45082.62504</v>
      </c>
      <c r="D5905" s="15">
        <f>IFERROR(__xludf.DUMMYFUNCTION("""COMPUTED_VALUE"""),1.005)</f>
        <v>1.005</v>
      </c>
      <c r="E5905" s="16">
        <f>IFERROR(__xludf.DUMMYFUNCTION("""COMPUTED_VALUE"""),67.0)</f>
        <v>67</v>
      </c>
      <c r="F5905" s="19" t="str">
        <f>IFERROR(__xludf.DUMMYFUNCTION("""COMPUTED_VALUE"""),"BLUE")</f>
        <v>BLUE</v>
      </c>
      <c r="G5905" s="20" t="str">
        <f>IFERROR(__xludf.DUMMYFUNCTION("""COMPUTED_VALUE"""),"Uncle Sams Cider (04/04/2023)")</f>
        <v>Uncle Sams Cider (04/04/2023)</v>
      </c>
      <c r="H5905" s="19"/>
    </row>
    <row r="5906">
      <c r="A5906" s="9"/>
      <c r="B5906" s="15"/>
      <c r="C5906" s="9">
        <f>IFERROR(__xludf.DUMMYFUNCTION("""COMPUTED_VALUE"""),45082.6146158217)</f>
        <v>45082.61462</v>
      </c>
      <c r="D5906" s="15">
        <f>IFERROR(__xludf.DUMMYFUNCTION("""COMPUTED_VALUE"""),1.005)</f>
        <v>1.005</v>
      </c>
      <c r="E5906" s="16">
        <f>IFERROR(__xludf.DUMMYFUNCTION("""COMPUTED_VALUE"""),67.0)</f>
        <v>67</v>
      </c>
      <c r="F5906" s="19" t="str">
        <f>IFERROR(__xludf.DUMMYFUNCTION("""COMPUTED_VALUE"""),"BLUE")</f>
        <v>BLUE</v>
      </c>
      <c r="G5906" s="20" t="str">
        <f>IFERROR(__xludf.DUMMYFUNCTION("""COMPUTED_VALUE"""),"Uncle Sams Cider (04/04/2023)")</f>
        <v>Uncle Sams Cider (04/04/2023)</v>
      </c>
      <c r="H5906" s="19"/>
    </row>
    <row r="5907">
      <c r="A5907" s="9"/>
      <c r="B5907" s="15"/>
      <c r="C5907" s="9">
        <f>IFERROR(__xludf.DUMMYFUNCTION("""COMPUTED_VALUE"""),45082.6041946064)</f>
        <v>45082.60419</v>
      </c>
      <c r="D5907" s="15">
        <f>IFERROR(__xludf.DUMMYFUNCTION("""COMPUTED_VALUE"""),1.005)</f>
        <v>1.005</v>
      </c>
      <c r="E5907" s="16">
        <f>IFERROR(__xludf.DUMMYFUNCTION("""COMPUTED_VALUE"""),67.0)</f>
        <v>67</v>
      </c>
      <c r="F5907" s="19" t="str">
        <f>IFERROR(__xludf.DUMMYFUNCTION("""COMPUTED_VALUE"""),"BLUE")</f>
        <v>BLUE</v>
      </c>
      <c r="G5907" s="20" t="str">
        <f>IFERROR(__xludf.DUMMYFUNCTION("""COMPUTED_VALUE"""),"Uncle Sams Cider (04/04/2023)")</f>
        <v>Uncle Sams Cider (04/04/2023)</v>
      </c>
      <c r="H5907" s="19"/>
    </row>
    <row r="5908">
      <c r="A5908" s="9"/>
      <c r="B5908" s="15"/>
      <c r="C5908" s="9">
        <f>IFERROR(__xludf.DUMMYFUNCTION("""COMPUTED_VALUE"""),45082.593762118)</f>
        <v>45082.59376</v>
      </c>
      <c r="D5908" s="15">
        <f>IFERROR(__xludf.DUMMYFUNCTION("""COMPUTED_VALUE"""),1.006)</f>
        <v>1.006</v>
      </c>
      <c r="E5908" s="16">
        <f>IFERROR(__xludf.DUMMYFUNCTION("""COMPUTED_VALUE"""),67.0)</f>
        <v>67</v>
      </c>
      <c r="F5908" s="19" t="str">
        <f>IFERROR(__xludf.DUMMYFUNCTION("""COMPUTED_VALUE"""),"BLUE")</f>
        <v>BLUE</v>
      </c>
      <c r="G5908" s="20" t="str">
        <f>IFERROR(__xludf.DUMMYFUNCTION("""COMPUTED_VALUE"""),"Uncle Sams Cider (04/04/2023)")</f>
        <v>Uncle Sams Cider (04/04/2023)</v>
      </c>
      <c r="H5908" s="19"/>
    </row>
    <row r="5909">
      <c r="A5909" s="9"/>
      <c r="B5909" s="15"/>
      <c r="C5909" s="9">
        <f>IFERROR(__xludf.DUMMYFUNCTION("""COMPUTED_VALUE"""),45082.5833408333)</f>
        <v>45082.58334</v>
      </c>
      <c r="D5909" s="15">
        <f>IFERROR(__xludf.DUMMYFUNCTION("""COMPUTED_VALUE"""),1.005)</f>
        <v>1.005</v>
      </c>
      <c r="E5909" s="16">
        <f>IFERROR(__xludf.DUMMYFUNCTION("""COMPUTED_VALUE"""),67.0)</f>
        <v>67</v>
      </c>
      <c r="F5909" s="19" t="str">
        <f>IFERROR(__xludf.DUMMYFUNCTION("""COMPUTED_VALUE"""),"BLUE")</f>
        <v>BLUE</v>
      </c>
      <c r="G5909" s="20" t="str">
        <f>IFERROR(__xludf.DUMMYFUNCTION("""COMPUTED_VALUE"""),"Uncle Sams Cider (04/04/2023)")</f>
        <v>Uncle Sams Cider (04/04/2023)</v>
      </c>
      <c r="H5909" s="19"/>
    </row>
    <row r="5910">
      <c r="A5910" s="9"/>
      <c r="B5910" s="15"/>
      <c r="C5910" s="9">
        <f>IFERROR(__xludf.DUMMYFUNCTION("""COMPUTED_VALUE"""),45082.572918993)</f>
        <v>45082.57292</v>
      </c>
      <c r="D5910" s="15">
        <f>IFERROR(__xludf.DUMMYFUNCTION("""COMPUTED_VALUE"""),1.006)</f>
        <v>1.006</v>
      </c>
      <c r="E5910" s="16">
        <f>IFERROR(__xludf.DUMMYFUNCTION("""COMPUTED_VALUE"""),67.0)</f>
        <v>67</v>
      </c>
      <c r="F5910" s="19" t="str">
        <f>IFERROR(__xludf.DUMMYFUNCTION("""COMPUTED_VALUE"""),"BLUE")</f>
        <v>BLUE</v>
      </c>
      <c r="G5910" s="20" t="str">
        <f>IFERROR(__xludf.DUMMYFUNCTION("""COMPUTED_VALUE"""),"Uncle Sams Cider (04/04/2023)")</f>
        <v>Uncle Sams Cider (04/04/2023)</v>
      </c>
      <c r="H5910" s="19"/>
    </row>
    <row r="5911">
      <c r="A5911" s="9"/>
      <c r="B5911" s="15"/>
      <c r="C5911" s="9">
        <f>IFERROR(__xludf.DUMMYFUNCTION("""COMPUTED_VALUE"""),45082.5624771759)</f>
        <v>45082.56248</v>
      </c>
      <c r="D5911" s="15">
        <f>IFERROR(__xludf.DUMMYFUNCTION("""COMPUTED_VALUE"""),1.005)</f>
        <v>1.005</v>
      </c>
      <c r="E5911" s="16">
        <f>IFERROR(__xludf.DUMMYFUNCTION("""COMPUTED_VALUE"""),67.0)</f>
        <v>67</v>
      </c>
      <c r="F5911" s="19" t="str">
        <f>IFERROR(__xludf.DUMMYFUNCTION("""COMPUTED_VALUE"""),"BLUE")</f>
        <v>BLUE</v>
      </c>
      <c r="G5911" s="20" t="str">
        <f>IFERROR(__xludf.DUMMYFUNCTION("""COMPUTED_VALUE"""),"Uncle Sams Cider (04/04/2023)")</f>
        <v>Uncle Sams Cider (04/04/2023)</v>
      </c>
      <c r="H5911" s="19"/>
    </row>
    <row r="5912">
      <c r="A5912" s="9"/>
      <c r="B5912" s="15"/>
      <c r="C5912" s="9">
        <f>IFERROR(__xludf.DUMMYFUNCTION("""COMPUTED_VALUE"""),45082.5520459953)</f>
        <v>45082.55205</v>
      </c>
      <c r="D5912" s="15">
        <f>IFERROR(__xludf.DUMMYFUNCTION("""COMPUTED_VALUE"""),1.006)</f>
        <v>1.006</v>
      </c>
      <c r="E5912" s="16">
        <f>IFERROR(__xludf.DUMMYFUNCTION("""COMPUTED_VALUE"""),67.0)</f>
        <v>67</v>
      </c>
      <c r="F5912" s="19" t="str">
        <f>IFERROR(__xludf.DUMMYFUNCTION("""COMPUTED_VALUE"""),"BLUE")</f>
        <v>BLUE</v>
      </c>
      <c r="G5912" s="20" t="str">
        <f>IFERROR(__xludf.DUMMYFUNCTION("""COMPUTED_VALUE"""),"Uncle Sams Cider (04/04/2023)")</f>
        <v>Uncle Sams Cider (04/04/2023)</v>
      </c>
      <c r="H5912" s="19"/>
    </row>
    <row r="5913">
      <c r="A5913" s="9"/>
      <c r="B5913" s="15"/>
      <c r="C5913" s="9">
        <f>IFERROR(__xludf.DUMMYFUNCTION("""COMPUTED_VALUE"""),45082.5416243171)</f>
        <v>45082.54162</v>
      </c>
      <c r="D5913" s="15">
        <f>IFERROR(__xludf.DUMMYFUNCTION("""COMPUTED_VALUE"""),1.006)</f>
        <v>1.006</v>
      </c>
      <c r="E5913" s="16">
        <f>IFERROR(__xludf.DUMMYFUNCTION("""COMPUTED_VALUE"""),67.0)</f>
        <v>67</v>
      </c>
      <c r="F5913" s="19" t="str">
        <f>IFERROR(__xludf.DUMMYFUNCTION("""COMPUTED_VALUE"""),"BLUE")</f>
        <v>BLUE</v>
      </c>
      <c r="G5913" s="20" t="str">
        <f>IFERROR(__xludf.DUMMYFUNCTION("""COMPUTED_VALUE"""),"Uncle Sams Cider (04/04/2023)")</f>
        <v>Uncle Sams Cider (04/04/2023)</v>
      </c>
      <c r="H5913" s="19"/>
    </row>
    <row r="5914">
      <c r="A5914" s="9"/>
      <c r="B5914" s="15"/>
      <c r="C5914" s="9">
        <f>IFERROR(__xludf.DUMMYFUNCTION("""COMPUTED_VALUE"""),45082.5312029166)</f>
        <v>45082.5312</v>
      </c>
      <c r="D5914" s="15">
        <f>IFERROR(__xludf.DUMMYFUNCTION("""COMPUTED_VALUE"""),1.006)</f>
        <v>1.006</v>
      </c>
      <c r="E5914" s="16">
        <f>IFERROR(__xludf.DUMMYFUNCTION("""COMPUTED_VALUE"""),67.0)</f>
        <v>67</v>
      </c>
      <c r="F5914" s="19" t="str">
        <f>IFERROR(__xludf.DUMMYFUNCTION("""COMPUTED_VALUE"""),"BLUE")</f>
        <v>BLUE</v>
      </c>
      <c r="G5914" s="20" t="str">
        <f>IFERROR(__xludf.DUMMYFUNCTION("""COMPUTED_VALUE"""),"Uncle Sams Cider (04/04/2023)")</f>
        <v>Uncle Sams Cider (04/04/2023)</v>
      </c>
      <c r="H5914" s="19"/>
    </row>
    <row r="5915">
      <c r="A5915" s="9"/>
      <c r="B5915" s="15"/>
      <c r="C5915" s="9">
        <f>IFERROR(__xludf.DUMMYFUNCTION("""COMPUTED_VALUE"""),45082.5207704166)</f>
        <v>45082.52077</v>
      </c>
      <c r="D5915" s="15">
        <f>IFERROR(__xludf.DUMMYFUNCTION("""COMPUTED_VALUE"""),1.005)</f>
        <v>1.005</v>
      </c>
      <c r="E5915" s="16">
        <f>IFERROR(__xludf.DUMMYFUNCTION("""COMPUTED_VALUE"""),67.0)</f>
        <v>67</v>
      </c>
      <c r="F5915" s="19" t="str">
        <f>IFERROR(__xludf.DUMMYFUNCTION("""COMPUTED_VALUE"""),"BLUE")</f>
        <v>BLUE</v>
      </c>
      <c r="G5915" s="20" t="str">
        <f>IFERROR(__xludf.DUMMYFUNCTION("""COMPUTED_VALUE"""),"Uncle Sams Cider (04/04/2023)")</f>
        <v>Uncle Sams Cider (04/04/2023)</v>
      </c>
      <c r="H5915" s="19"/>
    </row>
    <row r="5916">
      <c r="A5916" s="9"/>
      <c r="B5916" s="15"/>
      <c r="C5916" s="9">
        <f>IFERROR(__xludf.DUMMYFUNCTION("""COMPUTED_VALUE"""),45082.5103491666)</f>
        <v>45082.51035</v>
      </c>
      <c r="D5916" s="15">
        <f>IFERROR(__xludf.DUMMYFUNCTION("""COMPUTED_VALUE"""),1.005)</f>
        <v>1.005</v>
      </c>
      <c r="E5916" s="16">
        <f>IFERROR(__xludf.DUMMYFUNCTION("""COMPUTED_VALUE"""),67.0)</f>
        <v>67</v>
      </c>
      <c r="F5916" s="19" t="str">
        <f>IFERROR(__xludf.DUMMYFUNCTION("""COMPUTED_VALUE"""),"BLUE")</f>
        <v>BLUE</v>
      </c>
      <c r="G5916" s="20" t="str">
        <f>IFERROR(__xludf.DUMMYFUNCTION("""COMPUTED_VALUE"""),"Uncle Sams Cider (04/04/2023)")</f>
        <v>Uncle Sams Cider (04/04/2023)</v>
      </c>
      <c r="H5916" s="19"/>
    </row>
    <row r="5917">
      <c r="A5917" s="9"/>
      <c r="B5917" s="15"/>
      <c r="C5917" s="9">
        <f>IFERROR(__xludf.DUMMYFUNCTION("""COMPUTED_VALUE"""),45082.4999275231)</f>
        <v>45082.49993</v>
      </c>
      <c r="D5917" s="15">
        <f>IFERROR(__xludf.DUMMYFUNCTION("""COMPUTED_VALUE"""),1.005)</f>
        <v>1.005</v>
      </c>
      <c r="E5917" s="16">
        <f>IFERROR(__xludf.DUMMYFUNCTION("""COMPUTED_VALUE"""),67.0)</f>
        <v>67</v>
      </c>
      <c r="F5917" s="19" t="str">
        <f>IFERROR(__xludf.DUMMYFUNCTION("""COMPUTED_VALUE"""),"BLUE")</f>
        <v>BLUE</v>
      </c>
      <c r="G5917" s="20" t="str">
        <f>IFERROR(__xludf.DUMMYFUNCTION("""COMPUTED_VALUE"""),"Uncle Sams Cider (04/04/2023)")</f>
        <v>Uncle Sams Cider (04/04/2023)</v>
      </c>
      <c r="H5917" s="19"/>
    </row>
    <row r="5918">
      <c r="A5918" s="9"/>
      <c r="B5918" s="15"/>
      <c r="C5918" s="9">
        <f>IFERROR(__xludf.DUMMYFUNCTION("""COMPUTED_VALUE"""),45082.4895068055)</f>
        <v>45082.48951</v>
      </c>
      <c r="D5918" s="15">
        <f>IFERROR(__xludf.DUMMYFUNCTION("""COMPUTED_VALUE"""),1.005)</f>
        <v>1.005</v>
      </c>
      <c r="E5918" s="16">
        <f>IFERROR(__xludf.DUMMYFUNCTION("""COMPUTED_VALUE"""),67.0)</f>
        <v>67</v>
      </c>
      <c r="F5918" s="19" t="str">
        <f>IFERROR(__xludf.DUMMYFUNCTION("""COMPUTED_VALUE"""),"BLUE")</f>
        <v>BLUE</v>
      </c>
      <c r="G5918" s="20" t="str">
        <f>IFERROR(__xludf.DUMMYFUNCTION("""COMPUTED_VALUE"""),"Uncle Sams Cider (04/04/2023)")</f>
        <v>Uncle Sams Cider (04/04/2023)</v>
      </c>
      <c r="H5918" s="19"/>
    </row>
    <row r="5919">
      <c r="A5919" s="9"/>
      <c r="B5919" s="15"/>
      <c r="C5919" s="9">
        <f>IFERROR(__xludf.DUMMYFUNCTION("""COMPUTED_VALUE"""),45082.479085324)</f>
        <v>45082.47909</v>
      </c>
      <c r="D5919" s="15">
        <f>IFERROR(__xludf.DUMMYFUNCTION("""COMPUTED_VALUE"""),1.006)</f>
        <v>1.006</v>
      </c>
      <c r="E5919" s="16">
        <f>IFERROR(__xludf.DUMMYFUNCTION("""COMPUTED_VALUE"""),67.0)</f>
        <v>67</v>
      </c>
      <c r="F5919" s="19" t="str">
        <f>IFERROR(__xludf.DUMMYFUNCTION("""COMPUTED_VALUE"""),"BLUE")</f>
        <v>BLUE</v>
      </c>
      <c r="G5919" s="20" t="str">
        <f>IFERROR(__xludf.DUMMYFUNCTION("""COMPUTED_VALUE"""),"Uncle Sams Cider (04/04/2023)")</f>
        <v>Uncle Sams Cider (04/04/2023)</v>
      </c>
      <c r="H5919" s="19"/>
    </row>
    <row r="5920">
      <c r="A5920" s="9"/>
      <c r="B5920" s="15"/>
      <c r="C5920" s="9">
        <f>IFERROR(__xludf.DUMMYFUNCTION("""COMPUTED_VALUE"""),45082.4686634143)</f>
        <v>45082.46866</v>
      </c>
      <c r="D5920" s="15">
        <f>IFERROR(__xludf.DUMMYFUNCTION("""COMPUTED_VALUE"""),1.006)</f>
        <v>1.006</v>
      </c>
      <c r="E5920" s="16">
        <f>IFERROR(__xludf.DUMMYFUNCTION("""COMPUTED_VALUE"""),67.0)</f>
        <v>67</v>
      </c>
      <c r="F5920" s="19" t="str">
        <f>IFERROR(__xludf.DUMMYFUNCTION("""COMPUTED_VALUE"""),"BLUE")</f>
        <v>BLUE</v>
      </c>
      <c r="G5920" s="20" t="str">
        <f>IFERROR(__xludf.DUMMYFUNCTION("""COMPUTED_VALUE"""),"Uncle Sams Cider (04/04/2023)")</f>
        <v>Uncle Sams Cider (04/04/2023)</v>
      </c>
      <c r="H5920" s="19"/>
    </row>
    <row r="5921">
      <c r="A5921" s="9"/>
      <c r="B5921" s="15"/>
      <c r="C5921" s="9">
        <f>IFERROR(__xludf.DUMMYFUNCTION("""COMPUTED_VALUE"""),45082.4582422685)</f>
        <v>45082.45824</v>
      </c>
      <c r="D5921" s="15">
        <f>IFERROR(__xludf.DUMMYFUNCTION("""COMPUTED_VALUE"""),1.006)</f>
        <v>1.006</v>
      </c>
      <c r="E5921" s="16">
        <f>IFERROR(__xludf.DUMMYFUNCTION("""COMPUTED_VALUE"""),67.0)</f>
        <v>67</v>
      </c>
      <c r="F5921" s="19" t="str">
        <f>IFERROR(__xludf.DUMMYFUNCTION("""COMPUTED_VALUE"""),"BLUE")</f>
        <v>BLUE</v>
      </c>
      <c r="G5921" s="20" t="str">
        <f>IFERROR(__xludf.DUMMYFUNCTION("""COMPUTED_VALUE"""),"Uncle Sams Cider (04/04/2023)")</f>
        <v>Uncle Sams Cider (04/04/2023)</v>
      </c>
      <c r="H5921" s="19"/>
    </row>
    <row r="5922">
      <c r="A5922" s="9"/>
      <c r="B5922" s="15"/>
      <c r="C5922" s="9">
        <f>IFERROR(__xludf.DUMMYFUNCTION("""COMPUTED_VALUE"""),45082.4478103819)</f>
        <v>45082.44781</v>
      </c>
      <c r="D5922" s="15">
        <f>IFERROR(__xludf.DUMMYFUNCTION("""COMPUTED_VALUE"""),1.006)</f>
        <v>1.006</v>
      </c>
      <c r="E5922" s="16">
        <f>IFERROR(__xludf.DUMMYFUNCTION("""COMPUTED_VALUE"""),67.0)</f>
        <v>67</v>
      </c>
      <c r="F5922" s="19" t="str">
        <f>IFERROR(__xludf.DUMMYFUNCTION("""COMPUTED_VALUE"""),"BLUE")</f>
        <v>BLUE</v>
      </c>
      <c r="G5922" s="20" t="str">
        <f>IFERROR(__xludf.DUMMYFUNCTION("""COMPUTED_VALUE"""),"Uncle Sams Cider (04/04/2023)")</f>
        <v>Uncle Sams Cider (04/04/2023)</v>
      </c>
      <c r="H5922" s="19"/>
    </row>
    <row r="5923">
      <c r="A5923" s="9"/>
      <c r="B5923" s="15"/>
      <c r="C5923" s="9">
        <f>IFERROR(__xludf.DUMMYFUNCTION("""COMPUTED_VALUE"""),45082.4373878935)</f>
        <v>45082.43739</v>
      </c>
      <c r="D5923" s="15">
        <f>IFERROR(__xludf.DUMMYFUNCTION("""COMPUTED_VALUE"""),1.005)</f>
        <v>1.005</v>
      </c>
      <c r="E5923" s="16">
        <f>IFERROR(__xludf.DUMMYFUNCTION("""COMPUTED_VALUE"""),67.0)</f>
        <v>67</v>
      </c>
      <c r="F5923" s="19" t="str">
        <f>IFERROR(__xludf.DUMMYFUNCTION("""COMPUTED_VALUE"""),"BLUE")</f>
        <v>BLUE</v>
      </c>
      <c r="G5923" s="20" t="str">
        <f>IFERROR(__xludf.DUMMYFUNCTION("""COMPUTED_VALUE"""),"Uncle Sams Cider (04/04/2023)")</f>
        <v>Uncle Sams Cider (04/04/2023)</v>
      </c>
      <c r="H5923" s="19"/>
    </row>
    <row r="5924">
      <c r="A5924" s="9"/>
      <c r="B5924" s="15"/>
      <c r="C5924" s="9">
        <f>IFERROR(__xludf.DUMMYFUNCTION("""COMPUTED_VALUE"""),45082.4269556134)</f>
        <v>45082.42696</v>
      </c>
      <c r="D5924" s="15">
        <f>IFERROR(__xludf.DUMMYFUNCTION("""COMPUTED_VALUE"""),1.006)</f>
        <v>1.006</v>
      </c>
      <c r="E5924" s="16">
        <f>IFERROR(__xludf.DUMMYFUNCTION("""COMPUTED_VALUE"""),67.0)</f>
        <v>67</v>
      </c>
      <c r="F5924" s="19" t="str">
        <f>IFERROR(__xludf.DUMMYFUNCTION("""COMPUTED_VALUE"""),"BLUE")</f>
        <v>BLUE</v>
      </c>
      <c r="G5924" s="20" t="str">
        <f>IFERROR(__xludf.DUMMYFUNCTION("""COMPUTED_VALUE"""),"Uncle Sams Cider (04/04/2023)")</f>
        <v>Uncle Sams Cider (04/04/2023)</v>
      </c>
      <c r="H5924" s="19"/>
    </row>
    <row r="5925">
      <c r="A5925" s="9"/>
      <c r="B5925" s="15"/>
      <c r="C5925" s="9">
        <f>IFERROR(__xludf.DUMMYFUNCTION("""COMPUTED_VALUE"""),45082.4165231365)</f>
        <v>45082.41652</v>
      </c>
      <c r="D5925" s="15">
        <f>IFERROR(__xludf.DUMMYFUNCTION("""COMPUTED_VALUE"""),1.005)</f>
        <v>1.005</v>
      </c>
      <c r="E5925" s="16">
        <f>IFERROR(__xludf.DUMMYFUNCTION("""COMPUTED_VALUE"""),67.0)</f>
        <v>67</v>
      </c>
      <c r="F5925" s="19" t="str">
        <f>IFERROR(__xludf.DUMMYFUNCTION("""COMPUTED_VALUE"""),"BLUE")</f>
        <v>BLUE</v>
      </c>
      <c r="G5925" s="20" t="str">
        <f>IFERROR(__xludf.DUMMYFUNCTION("""COMPUTED_VALUE"""),"Uncle Sams Cider (04/04/2023)")</f>
        <v>Uncle Sams Cider (04/04/2023)</v>
      </c>
      <c r="H5925" s="19"/>
    </row>
    <row r="5926">
      <c r="A5926" s="9"/>
      <c r="B5926" s="15"/>
      <c r="C5926" s="9">
        <f>IFERROR(__xludf.DUMMYFUNCTION("""COMPUTED_VALUE"""),45082.4060793055)</f>
        <v>45082.40608</v>
      </c>
      <c r="D5926" s="15">
        <f>IFERROR(__xludf.DUMMYFUNCTION("""COMPUTED_VALUE"""),1.006)</f>
        <v>1.006</v>
      </c>
      <c r="E5926" s="16">
        <f>IFERROR(__xludf.DUMMYFUNCTION("""COMPUTED_VALUE"""),67.0)</f>
        <v>67</v>
      </c>
      <c r="F5926" s="19" t="str">
        <f>IFERROR(__xludf.DUMMYFUNCTION("""COMPUTED_VALUE"""),"BLUE")</f>
        <v>BLUE</v>
      </c>
      <c r="G5926" s="20" t="str">
        <f>IFERROR(__xludf.DUMMYFUNCTION("""COMPUTED_VALUE"""),"Uncle Sams Cider (04/04/2023)")</f>
        <v>Uncle Sams Cider (04/04/2023)</v>
      </c>
      <c r="H5926" s="19"/>
    </row>
    <row r="5927">
      <c r="A5927" s="9"/>
      <c r="B5927" s="15"/>
      <c r="C5927" s="9">
        <f>IFERROR(__xludf.DUMMYFUNCTION("""COMPUTED_VALUE"""),45082.3956592824)</f>
        <v>45082.39566</v>
      </c>
      <c r="D5927" s="15">
        <f>IFERROR(__xludf.DUMMYFUNCTION("""COMPUTED_VALUE"""),1.006)</f>
        <v>1.006</v>
      </c>
      <c r="E5927" s="16">
        <f>IFERROR(__xludf.DUMMYFUNCTION("""COMPUTED_VALUE"""),67.0)</f>
        <v>67</v>
      </c>
      <c r="F5927" s="19" t="str">
        <f>IFERROR(__xludf.DUMMYFUNCTION("""COMPUTED_VALUE"""),"BLUE")</f>
        <v>BLUE</v>
      </c>
      <c r="G5927" s="20" t="str">
        <f>IFERROR(__xludf.DUMMYFUNCTION("""COMPUTED_VALUE"""),"Uncle Sams Cider (04/04/2023)")</f>
        <v>Uncle Sams Cider (04/04/2023)</v>
      </c>
      <c r="H5927" s="19"/>
    </row>
    <row r="5928">
      <c r="A5928" s="9"/>
      <c r="B5928" s="15"/>
      <c r="C5928" s="9">
        <f>IFERROR(__xludf.DUMMYFUNCTION("""COMPUTED_VALUE"""),45082.3852385648)</f>
        <v>45082.38524</v>
      </c>
      <c r="D5928" s="15">
        <f>IFERROR(__xludf.DUMMYFUNCTION("""COMPUTED_VALUE"""),1.005)</f>
        <v>1.005</v>
      </c>
      <c r="E5928" s="16">
        <f>IFERROR(__xludf.DUMMYFUNCTION("""COMPUTED_VALUE"""),67.0)</f>
        <v>67</v>
      </c>
      <c r="F5928" s="19" t="str">
        <f>IFERROR(__xludf.DUMMYFUNCTION("""COMPUTED_VALUE"""),"BLUE")</f>
        <v>BLUE</v>
      </c>
      <c r="G5928" s="20" t="str">
        <f>IFERROR(__xludf.DUMMYFUNCTION("""COMPUTED_VALUE"""),"Uncle Sams Cider (04/04/2023)")</f>
        <v>Uncle Sams Cider (04/04/2023)</v>
      </c>
      <c r="H5928" s="19"/>
    </row>
    <row r="5929">
      <c r="A5929" s="9"/>
      <c r="B5929" s="15"/>
      <c r="C5929" s="9">
        <f>IFERROR(__xludf.DUMMYFUNCTION("""COMPUTED_VALUE"""),45082.3748057175)</f>
        <v>45082.37481</v>
      </c>
      <c r="D5929" s="15">
        <f>IFERROR(__xludf.DUMMYFUNCTION("""COMPUTED_VALUE"""),1.005)</f>
        <v>1.005</v>
      </c>
      <c r="E5929" s="16">
        <f>IFERROR(__xludf.DUMMYFUNCTION("""COMPUTED_VALUE"""),67.0)</f>
        <v>67</v>
      </c>
      <c r="F5929" s="19" t="str">
        <f>IFERROR(__xludf.DUMMYFUNCTION("""COMPUTED_VALUE"""),"BLUE")</f>
        <v>BLUE</v>
      </c>
      <c r="G5929" s="20" t="str">
        <f>IFERROR(__xludf.DUMMYFUNCTION("""COMPUTED_VALUE"""),"Uncle Sams Cider (04/04/2023)")</f>
        <v>Uncle Sams Cider (04/04/2023)</v>
      </c>
      <c r="H5929" s="19"/>
    </row>
    <row r="5930">
      <c r="A5930" s="9"/>
      <c r="B5930" s="15"/>
      <c r="C5930" s="9">
        <f>IFERROR(__xludf.DUMMYFUNCTION("""COMPUTED_VALUE"""),45082.3643735069)</f>
        <v>45082.36437</v>
      </c>
      <c r="D5930" s="15">
        <f>IFERROR(__xludf.DUMMYFUNCTION("""COMPUTED_VALUE"""),1.006)</f>
        <v>1.006</v>
      </c>
      <c r="E5930" s="16">
        <f>IFERROR(__xludf.DUMMYFUNCTION("""COMPUTED_VALUE"""),67.0)</f>
        <v>67</v>
      </c>
      <c r="F5930" s="19" t="str">
        <f>IFERROR(__xludf.DUMMYFUNCTION("""COMPUTED_VALUE"""),"BLUE")</f>
        <v>BLUE</v>
      </c>
      <c r="G5930" s="20" t="str">
        <f>IFERROR(__xludf.DUMMYFUNCTION("""COMPUTED_VALUE"""),"Uncle Sams Cider (04/04/2023)")</f>
        <v>Uncle Sams Cider (04/04/2023)</v>
      </c>
      <c r="H5930" s="19"/>
    </row>
    <row r="5931">
      <c r="A5931" s="9"/>
      <c r="B5931" s="15"/>
      <c r="C5931" s="9">
        <f>IFERROR(__xludf.DUMMYFUNCTION("""COMPUTED_VALUE"""),45082.3539522685)</f>
        <v>45082.35395</v>
      </c>
      <c r="D5931" s="15">
        <f>IFERROR(__xludf.DUMMYFUNCTION("""COMPUTED_VALUE"""),1.006)</f>
        <v>1.006</v>
      </c>
      <c r="E5931" s="16">
        <f>IFERROR(__xludf.DUMMYFUNCTION("""COMPUTED_VALUE"""),67.0)</f>
        <v>67</v>
      </c>
      <c r="F5931" s="19" t="str">
        <f>IFERROR(__xludf.DUMMYFUNCTION("""COMPUTED_VALUE"""),"BLUE")</f>
        <v>BLUE</v>
      </c>
      <c r="G5931" s="20" t="str">
        <f>IFERROR(__xludf.DUMMYFUNCTION("""COMPUTED_VALUE"""),"Uncle Sams Cider (04/04/2023)")</f>
        <v>Uncle Sams Cider (04/04/2023)</v>
      </c>
      <c r="H5931" s="19"/>
    </row>
    <row r="5932">
      <c r="A5932" s="9"/>
      <c r="B5932" s="15"/>
      <c r="C5932" s="9">
        <f>IFERROR(__xludf.DUMMYFUNCTION("""COMPUTED_VALUE"""),45082.3435302662)</f>
        <v>45082.34353</v>
      </c>
      <c r="D5932" s="15">
        <f>IFERROR(__xludf.DUMMYFUNCTION("""COMPUTED_VALUE"""),1.005)</f>
        <v>1.005</v>
      </c>
      <c r="E5932" s="16">
        <f>IFERROR(__xludf.DUMMYFUNCTION("""COMPUTED_VALUE"""),67.0)</f>
        <v>67</v>
      </c>
      <c r="F5932" s="19" t="str">
        <f>IFERROR(__xludf.DUMMYFUNCTION("""COMPUTED_VALUE"""),"BLUE")</f>
        <v>BLUE</v>
      </c>
      <c r="G5932" s="20" t="str">
        <f>IFERROR(__xludf.DUMMYFUNCTION("""COMPUTED_VALUE"""),"Uncle Sams Cider (04/04/2023)")</f>
        <v>Uncle Sams Cider (04/04/2023)</v>
      </c>
      <c r="H5932" s="19"/>
    </row>
    <row r="5933">
      <c r="A5933" s="9"/>
      <c r="B5933" s="15"/>
      <c r="C5933" s="9">
        <f>IFERROR(__xludf.DUMMYFUNCTION("""COMPUTED_VALUE"""),45082.3330854629)</f>
        <v>45082.33309</v>
      </c>
      <c r="D5933" s="15">
        <f>IFERROR(__xludf.DUMMYFUNCTION("""COMPUTED_VALUE"""),1.005)</f>
        <v>1.005</v>
      </c>
      <c r="E5933" s="16">
        <f>IFERROR(__xludf.DUMMYFUNCTION("""COMPUTED_VALUE"""),67.0)</f>
        <v>67</v>
      </c>
      <c r="F5933" s="19" t="str">
        <f>IFERROR(__xludf.DUMMYFUNCTION("""COMPUTED_VALUE"""),"BLUE")</f>
        <v>BLUE</v>
      </c>
      <c r="G5933" s="20" t="str">
        <f>IFERROR(__xludf.DUMMYFUNCTION("""COMPUTED_VALUE"""),"Uncle Sams Cider (04/04/2023)")</f>
        <v>Uncle Sams Cider (04/04/2023)</v>
      </c>
      <c r="H5933" s="19"/>
    </row>
    <row r="5934">
      <c r="A5934" s="9"/>
      <c r="B5934" s="15"/>
      <c r="C5934" s="9">
        <f>IFERROR(__xludf.DUMMYFUNCTION("""COMPUTED_VALUE"""),45082.322650405)</f>
        <v>45082.32265</v>
      </c>
      <c r="D5934" s="15">
        <f>IFERROR(__xludf.DUMMYFUNCTION("""COMPUTED_VALUE"""),1.006)</f>
        <v>1.006</v>
      </c>
      <c r="E5934" s="16">
        <f>IFERROR(__xludf.DUMMYFUNCTION("""COMPUTED_VALUE"""),67.0)</f>
        <v>67</v>
      </c>
      <c r="F5934" s="19" t="str">
        <f>IFERROR(__xludf.DUMMYFUNCTION("""COMPUTED_VALUE"""),"BLUE")</f>
        <v>BLUE</v>
      </c>
      <c r="G5934" s="20" t="str">
        <f>IFERROR(__xludf.DUMMYFUNCTION("""COMPUTED_VALUE"""),"Uncle Sams Cider (04/04/2023)")</f>
        <v>Uncle Sams Cider (04/04/2023)</v>
      </c>
      <c r="H5934" s="19"/>
    </row>
    <row r="5935">
      <c r="A5935" s="9"/>
      <c r="B5935" s="15"/>
      <c r="C5935" s="9">
        <f>IFERROR(__xludf.DUMMYFUNCTION("""COMPUTED_VALUE"""),45082.3122286111)</f>
        <v>45082.31223</v>
      </c>
      <c r="D5935" s="15">
        <f>IFERROR(__xludf.DUMMYFUNCTION("""COMPUTED_VALUE"""),1.005)</f>
        <v>1.005</v>
      </c>
      <c r="E5935" s="16">
        <f>IFERROR(__xludf.DUMMYFUNCTION("""COMPUTED_VALUE"""),67.0)</f>
        <v>67</v>
      </c>
      <c r="F5935" s="19" t="str">
        <f>IFERROR(__xludf.DUMMYFUNCTION("""COMPUTED_VALUE"""),"BLUE")</f>
        <v>BLUE</v>
      </c>
      <c r="G5935" s="20" t="str">
        <f>IFERROR(__xludf.DUMMYFUNCTION("""COMPUTED_VALUE"""),"Uncle Sams Cider (04/04/2023)")</f>
        <v>Uncle Sams Cider (04/04/2023)</v>
      </c>
      <c r="H5935" s="19"/>
    </row>
    <row r="5936">
      <c r="A5936" s="9"/>
      <c r="B5936" s="15"/>
      <c r="C5936" s="9">
        <f>IFERROR(__xludf.DUMMYFUNCTION("""COMPUTED_VALUE"""),45082.3018077199)</f>
        <v>45082.30181</v>
      </c>
      <c r="D5936" s="15">
        <f>IFERROR(__xludf.DUMMYFUNCTION("""COMPUTED_VALUE"""),1.006)</f>
        <v>1.006</v>
      </c>
      <c r="E5936" s="16">
        <f>IFERROR(__xludf.DUMMYFUNCTION("""COMPUTED_VALUE"""),67.0)</f>
        <v>67</v>
      </c>
      <c r="F5936" s="19" t="str">
        <f>IFERROR(__xludf.DUMMYFUNCTION("""COMPUTED_VALUE"""),"BLUE")</f>
        <v>BLUE</v>
      </c>
      <c r="G5936" s="20" t="str">
        <f>IFERROR(__xludf.DUMMYFUNCTION("""COMPUTED_VALUE"""),"Uncle Sams Cider (04/04/2023)")</f>
        <v>Uncle Sams Cider (04/04/2023)</v>
      </c>
      <c r="H5936" s="19"/>
    </row>
    <row r="5937">
      <c r="A5937" s="9"/>
      <c r="B5937" s="15"/>
      <c r="C5937" s="9">
        <f>IFERROR(__xludf.DUMMYFUNCTION("""COMPUTED_VALUE"""),45082.2913744212)</f>
        <v>45082.29137</v>
      </c>
      <c r="D5937" s="15">
        <f>IFERROR(__xludf.DUMMYFUNCTION("""COMPUTED_VALUE"""),1.006)</f>
        <v>1.006</v>
      </c>
      <c r="E5937" s="16">
        <f>IFERROR(__xludf.DUMMYFUNCTION("""COMPUTED_VALUE"""),67.0)</f>
        <v>67</v>
      </c>
      <c r="F5937" s="19" t="str">
        <f>IFERROR(__xludf.DUMMYFUNCTION("""COMPUTED_VALUE"""),"BLUE")</f>
        <v>BLUE</v>
      </c>
      <c r="G5937" s="20" t="str">
        <f>IFERROR(__xludf.DUMMYFUNCTION("""COMPUTED_VALUE"""),"Uncle Sams Cider (04/04/2023)")</f>
        <v>Uncle Sams Cider (04/04/2023)</v>
      </c>
      <c r="H5937" s="19"/>
    </row>
    <row r="5938">
      <c r="A5938" s="9"/>
      <c r="B5938" s="15"/>
      <c r="C5938" s="9">
        <f>IFERROR(__xludf.DUMMYFUNCTION("""COMPUTED_VALUE"""),45082.2809522338)</f>
        <v>45082.28095</v>
      </c>
      <c r="D5938" s="15">
        <f>IFERROR(__xludf.DUMMYFUNCTION("""COMPUTED_VALUE"""),1.006)</f>
        <v>1.006</v>
      </c>
      <c r="E5938" s="16">
        <f>IFERROR(__xludf.DUMMYFUNCTION("""COMPUTED_VALUE"""),67.0)</f>
        <v>67</v>
      </c>
      <c r="F5938" s="19" t="str">
        <f>IFERROR(__xludf.DUMMYFUNCTION("""COMPUTED_VALUE"""),"BLUE")</f>
        <v>BLUE</v>
      </c>
      <c r="G5938" s="20" t="str">
        <f>IFERROR(__xludf.DUMMYFUNCTION("""COMPUTED_VALUE"""),"Uncle Sams Cider (04/04/2023)")</f>
        <v>Uncle Sams Cider (04/04/2023)</v>
      </c>
      <c r="H5938" s="19"/>
    </row>
    <row r="5939">
      <c r="A5939" s="9"/>
      <c r="B5939" s="15"/>
      <c r="C5939" s="9">
        <f>IFERROR(__xludf.DUMMYFUNCTION("""COMPUTED_VALUE"""),45082.2705182175)</f>
        <v>45082.27052</v>
      </c>
      <c r="D5939" s="15">
        <f>IFERROR(__xludf.DUMMYFUNCTION("""COMPUTED_VALUE"""),1.006)</f>
        <v>1.006</v>
      </c>
      <c r="E5939" s="16">
        <f>IFERROR(__xludf.DUMMYFUNCTION("""COMPUTED_VALUE"""),67.0)</f>
        <v>67</v>
      </c>
      <c r="F5939" s="19" t="str">
        <f>IFERROR(__xludf.DUMMYFUNCTION("""COMPUTED_VALUE"""),"BLUE")</f>
        <v>BLUE</v>
      </c>
      <c r="G5939" s="20" t="str">
        <f>IFERROR(__xludf.DUMMYFUNCTION("""COMPUTED_VALUE"""),"Uncle Sams Cider (04/04/2023)")</f>
        <v>Uncle Sams Cider (04/04/2023)</v>
      </c>
      <c r="H5939" s="19"/>
    </row>
    <row r="5940">
      <c r="A5940" s="9"/>
      <c r="B5940" s="15"/>
      <c r="C5940" s="9">
        <f>IFERROR(__xludf.DUMMYFUNCTION("""COMPUTED_VALUE"""),45082.260097037)</f>
        <v>45082.2601</v>
      </c>
      <c r="D5940" s="15">
        <f>IFERROR(__xludf.DUMMYFUNCTION("""COMPUTED_VALUE"""),1.006)</f>
        <v>1.006</v>
      </c>
      <c r="E5940" s="16">
        <f>IFERROR(__xludf.DUMMYFUNCTION("""COMPUTED_VALUE"""),67.0)</f>
        <v>67</v>
      </c>
      <c r="F5940" s="19" t="str">
        <f>IFERROR(__xludf.DUMMYFUNCTION("""COMPUTED_VALUE"""),"BLUE")</f>
        <v>BLUE</v>
      </c>
      <c r="G5940" s="20" t="str">
        <f>IFERROR(__xludf.DUMMYFUNCTION("""COMPUTED_VALUE"""),"Uncle Sams Cider (04/04/2023)")</f>
        <v>Uncle Sams Cider (04/04/2023)</v>
      </c>
      <c r="H5940" s="19"/>
    </row>
    <row r="5941">
      <c r="A5941" s="9"/>
      <c r="B5941" s="15"/>
      <c r="C5941" s="9">
        <f>IFERROR(__xludf.DUMMYFUNCTION("""COMPUTED_VALUE"""),45082.2496741666)</f>
        <v>45082.24967</v>
      </c>
      <c r="D5941" s="15">
        <f>IFERROR(__xludf.DUMMYFUNCTION("""COMPUTED_VALUE"""),1.006)</f>
        <v>1.006</v>
      </c>
      <c r="E5941" s="16">
        <f>IFERROR(__xludf.DUMMYFUNCTION("""COMPUTED_VALUE"""),67.0)</f>
        <v>67</v>
      </c>
      <c r="F5941" s="19" t="str">
        <f>IFERROR(__xludf.DUMMYFUNCTION("""COMPUTED_VALUE"""),"BLUE")</f>
        <v>BLUE</v>
      </c>
      <c r="G5941" s="20" t="str">
        <f>IFERROR(__xludf.DUMMYFUNCTION("""COMPUTED_VALUE"""),"Uncle Sams Cider (04/04/2023)")</f>
        <v>Uncle Sams Cider (04/04/2023)</v>
      </c>
      <c r="H5941" s="19"/>
    </row>
    <row r="5942">
      <c r="A5942" s="9"/>
      <c r="B5942" s="15"/>
      <c r="C5942" s="9">
        <f>IFERROR(__xludf.DUMMYFUNCTION("""COMPUTED_VALUE"""),45082.2392526157)</f>
        <v>45082.23925</v>
      </c>
      <c r="D5942" s="15">
        <f>IFERROR(__xludf.DUMMYFUNCTION("""COMPUTED_VALUE"""),1.005)</f>
        <v>1.005</v>
      </c>
      <c r="E5942" s="16">
        <f>IFERROR(__xludf.DUMMYFUNCTION("""COMPUTED_VALUE"""),67.0)</f>
        <v>67</v>
      </c>
      <c r="F5942" s="19" t="str">
        <f>IFERROR(__xludf.DUMMYFUNCTION("""COMPUTED_VALUE"""),"BLUE")</f>
        <v>BLUE</v>
      </c>
      <c r="G5942" s="20" t="str">
        <f>IFERROR(__xludf.DUMMYFUNCTION("""COMPUTED_VALUE"""),"Uncle Sams Cider (04/04/2023)")</f>
        <v>Uncle Sams Cider (04/04/2023)</v>
      </c>
      <c r="H5942" s="19"/>
    </row>
    <row r="5943">
      <c r="A5943" s="9"/>
      <c r="B5943" s="15"/>
      <c r="C5943" s="9">
        <f>IFERROR(__xludf.DUMMYFUNCTION("""COMPUTED_VALUE"""),45082.2288198958)</f>
        <v>45082.22882</v>
      </c>
      <c r="D5943" s="15">
        <f>IFERROR(__xludf.DUMMYFUNCTION("""COMPUTED_VALUE"""),1.006)</f>
        <v>1.006</v>
      </c>
      <c r="E5943" s="16">
        <f>IFERROR(__xludf.DUMMYFUNCTION("""COMPUTED_VALUE"""),67.0)</f>
        <v>67</v>
      </c>
      <c r="F5943" s="19" t="str">
        <f>IFERROR(__xludf.DUMMYFUNCTION("""COMPUTED_VALUE"""),"BLUE")</f>
        <v>BLUE</v>
      </c>
      <c r="G5943" s="20" t="str">
        <f>IFERROR(__xludf.DUMMYFUNCTION("""COMPUTED_VALUE"""),"Uncle Sams Cider (04/04/2023)")</f>
        <v>Uncle Sams Cider (04/04/2023)</v>
      </c>
      <c r="H5943" s="19"/>
    </row>
    <row r="5944">
      <c r="A5944" s="9"/>
      <c r="B5944" s="15"/>
      <c r="C5944" s="9">
        <f>IFERROR(__xludf.DUMMYFUNCTION("""COMPUTED_VALUE"""),45082.218399074)</f>
        <v>45082.2184</v>
      </c>
      <c r="D5944" s="15">
        <f>IFERROR(__xludf.DUMMYFUNCTION("""COMPUTED_VALUE"""),1.006)</f>
        <v>1.006</v>
      </c>
      <c r="E5944" s="16">
        <f>IFERROR(__xludf.DUMMYFUNCTION("""COMPUTED_VALUE"""),67.0)</f>
        <v>67</v>
      </c>
      <c r="F5944" s="19" t="str">
        <f>IFERROR(__xludf.DUMMYFUNCTION("""COMPUTED_VALUE"""),"BLUE")</f>
        <v>BLUE</v>
      </c>
      <c r="G5944" s="20" t="str">
        <f>IFERROR(__xludf.DUMMYFUNCTION("""COMPUTED_VALUE"""),"Uncle Sams Cider (04/04/2023)")</f>
        <v>Uncle Sams Cider (04/04/2023)</v>
      </c>
      <c r="H5944" s="19"/>
    </row>
    <row r="5945">
      <c r="A5945" s="9"/>
      <c r="B5945" s="15"/>
      <c r="C5945" s="9">
        <f>IFERROR(__xludf.DUMMYFUNCTION("""COMPUTED_VALUE"""),45082.2079781481)</f>
        <v>45082.20798</v>
      </c>
      <c r="D5945" s="15">
        <f>IFERROR(__xludf.DUMMYFUNCTION("""COMPUTED_VALUE"""),1.006)</f>
        <v>1.006</v>
      </c>
      <c r="E5945" s="16">
        <f>IFERROR(__xludf.DUMMYFUNCTION("""COMPUTED_VALUE"""),67.0)</f>
        <v>67</v>
      </c>
      <c r="F5945" s="19" t="str">
        <f>IFERROR(__xludf.DUMMYFUNCTION("""COMPUTED_VALUE"""),"BLUE")</f>
        <v>BLUE</v>
      </c>
      <c r="G5945" s="20" t="str">
        <f>IFERROR(__xludf.DUMMYFUNCTION("""COMPUTED_VALUE"""),"Uncle Sams Cider (04/04/2023)")</f>
        <v>Uncle Sams Cider (04/04/2023)</v>
      </c>
      <c r="H5945" s="19"/>
    </row>
    <row r="5946">
      <c r="A5946" s="9"/>
      <c r="B5946" s="15"/>
      <c r="C5946" s="9">
        <f>IFERROR(__xludf.DUMMYFUNCTION("""COMPUTED_VALUE"""),45082.197556331)</f>
        <v>45082.19756</v>
      </c>
      <c r="D5946" s="15">
        <f>IFERROR(__xludf.DUMMYFUNCTION("""COMPUTED_VALUE"""),1.006)</f>
        <v>1.006</v>
      </c>
      <c r="E5946" s="16">
        <f>IFERROR(__xludf.DUMMYFUNCTION("""COMPUTED_VALUE"""),67.0)</f>
        <v>67</v>
      </c>
      <c r="F5946" s="19" t="str">
        <f>IFERROR(__xludf.DUMMYFUNCTION("""COMPUTED_VALUE"""),"BLUE")</f>
        <v>BLUE</v>
      </c>
      <c r="G5946" s="20" t="str">
        <f>IFERROR(__xludf.DUMMYFUNCTION("""COMPUTED_VALUE"""),"Uncle Sams Cider (04/04/2023)")</f>
        <v>Uncle Sams Cider (04/04/2023)</v>
      </c>
      <c r="H5946" s="19"/>
    </row>
    <row r="5947">
      <c r="A5947" s="9"/>
      <c r="B5947" s="15"/>
      <c r="C5947" s="9">
        <f>IFERROR(__xludf.DUMMYFUNCTION("""COMPUTED_VALUE"""),45082.1871358101)</f>
        <v>45082.18714</v>
      </c>
      <c r="D5947" s="15">
        <f>IFERROR(__xludf.DUMMYFUNCTION("""COMPUTED_VALUE"""),1.006)</f>
        <v>1.006</v>
      </c>
      <c r="E5947" s="16">
        <f>IFERROR(__xludf.DUMMYFUNCTION("""COMPUTED_VALUE"""),67.0)</f>
        <v>67</v>
      </c>
      <c r="F5947" s="19" t="str">
        <f>IFERROR(__xludf.DUMMYFUNCTION("""COMPUTED_VALUE"""),"BLUE")</f>
        <v>BLUE</v>
      </c>
      <c r="G5947" s="20" t="str">
        <f>IFERROR(__xludf.DUMMYFUNCTION("""COMPUTED_VALUE"""),"Uncle Sams Cider (04/04/2023)")</f>
        <v>Uncle Sams Cider (04/04/2023)</v>
      </c>
      <c r="H5947" s="19"/>
    </row>
    <row r="5948">
      <c r="A5948" s="9"/>
      <c r="B5948" s="15"/>
      <c r="C5948" s="9">
        <f>IFERROR(__xludf.DUMMYFUNCTION("""COMPUTED_VALUE"""),45082.1767163194)</f>
        <v>45082.17672</v>
      </c>
      <c r="D5948" s="15">
        <f>IFERROR(__xludf.DUMMYFUNCTION("""COMPUTED_VALUE"""),1.006)</f>
        <v>1.006</v>
      </c>
      <c r="E5948" s="16">
        <f>IFERROR(__xludf.DUMMYFUNCTION("""COMPUTED_VALUE"""),67.0)</f>
        <v>67</v>
      </c>
      <c r="F5948" s="19" t="str">
        <f>IFERROR(__xludf.DUMMYFUNCTION("""COMPUTED_VALUE"""),"BLUE")</f>
        <v>BLUE</v>
      </c>
      <c r="G5948" s="20" t="str">
        <f>IFERROR(__xludf.DUMMYFUNCTION("""COMPUTED_VALUE"""),"Uncle Sams Cider (04/04/2023)")</f>
        <v>Uncle Sams Cider (04/04/2023)</v>
      </c>
      <c r="H5948" s="19"/>
    </row>
    <row r="5949">
      <c r="A5949" s="9"/>
      <c r="B5949" s="15"/>
      <c r="C5949" s="9">
        <f>IFERROR(__xludf.DUMMYFUNCTION("""COMPUTED_VALUE"""),45082.1662849537)</f>
        <v>45082.16628</v>
      </c>
      <c r="D5949" s="15">
        <f>IFERROR(__xludf.DUMMYFUNCTION("""COMPUTED_VALUE"""),1.006)</f>
        <v>1.006</v>
      </c>
      <c r="E5949" s="16">
        <f>IFERROR(__xludf.DUMMYFUNCTION("""COMPUTED_VALUE"""),67.0)</f>
        <v>67</v>
      </c>
      <c r="F5949" s="19" t="str">
        <f>IFERROR(__xludf.DUMMYFUNCTION("""COMPUTED_VALUE"""),"BLUE")</f>
        <v>BLUE</v>
      </c>
      <c r="G5949" s="20" t="str">
        <f>IFERROR(__xludf.DUMMYFUNCTION("""COMPUTED_VALUE"""),"Uncle Sams Cider (04/04/2023)")</f>
        <v>Uncle Sams Cider (04/04/2023)</v>
      </c>
      <c r="H5949" s="19"/>
    </row>
    <row r="5950">
      <c r="A5950" s="9"/>
      <c r="B5950" s="15"/>
      <c r="C5950" s="9">
        <f>IFERROR(__xludf.DUMMYFUNCTION("""COMPUTED_VALUE"""),45082.1558507638)</f>
        <v>45082.15585</v>
      </c>
      <c r="D5950" s="15">
        <f>IFERROR(__xludf.DUMMYFUNCTION("""COMPUTED_VALUE"""),1.005)</f>
        <v>1.005</v>
      </c>
      <c r="E5950" s="16">
        <f>IFERROR(__xludf.DUMMYFUNCTION("""COMPUTED_VALUE"""),67.0)</f>
        <v>67</v>
      </c>
      <c r="F5950" s="19" t="str">
        <f>IFERROR(__xludf.DUMMYFUNCTION("""COMPUTED_VALUE"""),"BLUE")</f>
        <v>BLUE</v>
      </c>
      <c r="G5950" s="20" t="str">
        <f>IFERROR(__xludf.DUMMYFUNCTION("""COMPUTED_VALUE"""),"Uncle Sams Cider (04/04/2023)")</f>
        <v>Uncle Sams Cider (04/04/2023)</v>
      </c>
      <c r="H5950" s="19"/>
    </row>
    <row r="5951">
      <c r="A5951" s="9"/>
      <c r="B5951" s="15"/>
      <c r="C5951" s="9">
        <f>IFERROR(__xludf.DUMMYFUNCTION("""COMPUTED_VALUE"""),45082.1454174884)</f>
        <v>45082.14542</v>
      </c>
      <c r="D5951" s="15">
        <f>IFERROR(__xludf.DUMMYFUNCTION("""COMPUTED_VALUE"""),1.006)</f>
        <v>1.006</v>
      </c>
      <c r="E5951" s="16">
        <f>IFERROR(__xludf.DUMMYFUNCTION("""COMPUTED_VALUE"""),67.0)</f>
        <v>67</v>
      </c>
      <c r="F5951" s="19" t="str">
        <f>IFERROR(__xludf.DUMMYFUNCTION("""COMPUTED_VALUE"""),"BLUE")</f>
        <v>BLUE</v>
      </c>
      <c r="G5951" s="20" t="str">
        <f>IFERROR(__xludf.DUMMYFUNCTION("""COMPUTED_VALUE"""),"Uncle Sams Cider (04/04/2023)")</f>
        <v>Uncle Sams Cider (04/04/2023)</v>
      </c>
      <c r="H5951" s="19"/>
    </row>
    <row r="5952">
      <c r="A5952" s="9"/>
      <c r="B5952" s="15"/>
      <c r="C5952" s="9">
        <f>IFERROR(__xludf.DUMMYFUNCTION("""COMPUTED_VALUE"""),45082.1349961574)</f>
        <v>45082.135</v>
      </c>
      <c r="D5952" s="15">
        <f>IFERROR(__xludf.DUMMYFUNCTION("""COMPUTED_VALUE"""),1.006)</f>
        <v>1.006</v>
      </c>
      <c r="E5952" s="16">
        <f>IFERROR(__xludf.DUMMYFUNCTION("""COMPUTED_VALUE"""),67.0)</f>
        <v>67</v>
      </c>
      <c r="F5952" s="19" t="str">
        <f>IFERROR(__xludf.DUMMYFUNCTION("""COMPUTED_VALUE"""),"BLUE")</f>
        <v>BLUE</v>
      </c>
      <c r="G5952" s="20" t="str">
        <f>IFERROR(__xludf.DUMMYFUNCTION("""COMPUTED_VALUE"""),"Uncle Sams Cider (04/04/2023)")</f>
        <v>Uncle Sams Cider (04/04/2023)</v>
      </c>
      <c r="H5952" s="19"/>
    </row>
    <row r="5953">
      <c r="A5953" s="9"/>
      <c r="B5953" s="15"/>
      <c r="C5953" s="9">
        <f>IFERROR(__xludf.DUMMYFUNCTION("""COMPUTED_VALUE"""),45082.124574456)</f>
        <v>45082.12457</v>
      </c>
      <c r="D5953" s="15">
        <f>IFERROR(__xludf.DUMMYFUNCTION("""COMPUTED_VALUE"""),1.005)</f>
        <v>1.005</v>
      </c>
      <c r="E5953" s="16">
        <f>IFERROR(__xludf.DUMMYFUNCTION("""COMPUTED_VALUE"""),67.0)</f>
        <v>67</v>
      </c>
      <c r="F5953" s="19" t="str">
        <f>IFERROR(__xludf.DUMMYFUNCTION("""COMPUTED_VALUE"""),"BLUE")</f>
        <v>BLUE</v>
      </c>
      <c r="G5953" s="20" t="str">
        <f>IFERROR(__xludf.DUMMYFUNCTION("""COMPUTED_VALUE"""),"Uncle Sams Cider (04/04/2023)")</f>
        <v>Uncle Sams Cider (04/04/2023)</v>
      </c>
      <c r="H5953" s="19"/>
    </row>
    <row r="5954">
      <c r="A5954" s="9"/>
      <c r="B5954" s="15"/>
      <c r="C5954" s="9">
        <f>IFERROR(__xludf.DUMMYFUNCTION("""COMPUTED_VALUE"""),45082.114155)</f>
        <v>45082.11416</v>
      </c>
      <c r="D5954" s="15">
        <f>IFERROR(__xludf.DUMMYFUNCTION("""COMPUTED_VALUE"""),1.006)</f>
        <v>1.006</v>
      </c>
      <c r="E5954" s="16">
        <f>IFERROR(__xludf.DUMMYFUNCTION("""COMPUTED_VALUE"""),67.0)</f>
        <v>67</v>
      </c>
      <c r="F5954" s="19" t="str">
        <f>IFERROR(__xludf.DUMMYFUNCTION("""COMPUTED_VALUE"""),"BLUE")</f>
        <v>BLUE</v>
      </c>
      <c r="G5954" s="20" t="str">
        <f>IFERROR(__xludf.DUMMYFUNCTION("""COMPUTED_VALUE"""),"Uncle Sams Cider (04/04/2023)")</f>
        <v>Uncle Sams Cider (04/04/2023)</v>
      </c>
      <c r="H5954" s="19"/>
    </row>
    <row r="5955">
      <c r="A5955" s="9"/>
      <c r="B5955" s="15"/>
      <c r="C5955" s="9">
        <f>IFERROR(__xludf.DUMMYFUNCTION("""COMPUTED_VALUE"""),45082.1037337847)</f>
        <v>45082.10373</v>
      </c>
      <c r="D5955" s="15">
        <f>IFERROR(__xludf.DUMMYFUNCTION("""COMPUTED_VALUE"""),1.006)</f>
        <v>1.006</v>
      </c>
      <c r="E5955" s="16">
        <f>IFERROR(__xludf.DUMMYFUNCTION("""COMPUTED_VALUE"""),67.0)</f>
        <v>67</v>
      </c>
      <c r="F5955" s="19" t="str">
        <f>IFERROR(__xludf.DUMMYFUNCTION("""COMPUTED_VALUE"""),"BLUE")</f>
        <v>BLUE</v>
      </c>
      <c r="G5955" s="20" t="str">
        <f>IFERROR(__xludf.DUMMYFUNCTION("""COMPUTED_VALUE"""),"Uncle Sams Cider (04/04/2023)")</f>
        <v>Uncle Sams Cider (04/04/2023)</v>
      </c>
      <c r="H5955" s="19"/>
    </row>
    <row r="5956">
      <c r="A5956" s="9"/>
      <c r="B5956" s="15"/>
      <c r="C5956" s="9">
        <f>IFERROR(__xludf.DUMMYFUNCTION("""COMPUTED_VALUE"""),45082.0932992592)</f>
        <v>45082.0933</v>
      </c>
      <c r="D5956" s="15">
        <f>IFERROR(__xludf.DUMMYFUNCTION("""COMPUTED_VALUE"""),1.006)</f>
        <v>1.006</v>
      </c>
      <c r="E5956" s="16">
        <f>IFERROR(__xludf.DUMMYFUNCTION("""COMPUTED_VALUE"""),67.0)</f>
        <v>67</v>
      </c>
      <c r="F5956" s="19" t="str">
        <f>IFERROR(__xludf.DUMMYFUNCTION("""COMPUTED_VALUE"""),"BLUE")</f>
        <v>BLUE</v>
      </c>
      <c r="G5956" s="20" t="str">
        <f>IFERROR(__xludf.DUMMYFUNCTION("""COMPUTED_VALUE"""),"Uncle Sams Cider (04/04/2023)")</f>
        <v>Uncle Sams Cider (04/04/2023)</v>
      </c>
      <c r="H5956" s="19"/>
    </row>
    <row r="5957">
      <c r="A5957" s="9"/>
      <c r="B5957" s="15"/>
      <c r="C5957" s="9">
        <f>IFERROR(__xludf.DUMMYFUNCTION("""COMPUTED_VALUE"""),45082.0828784259)</f>
        <v>45082.08288</v>
      </c>
      <c r="D5957" s="15">
        <f>IFERROR(__xludf.DUMMYFUNCTION("""COMPUTED_VALUE"""),1.006)</f>
        <v>1.006</v>
      </c>
      <c r="E5957" s="16">
        <f>IFERROR(__xludf.DUMMYFUNCTION("""COMPUTED_VALUE"""),67.0)</f>
        <v>67</v>
      </c>
      <c r="F5957" s="19" t="str">
        <f>IFERROR(__xludf.DUMMYFUNCTION("""COMPUTED_VALUE"""),"BLUE")</f>
        <v>BLUE</v>
      </c>
      <c r="G5957" s="20" t="str">
        <f>IFERROR(__xludf.DUMMYFUNCTION("""COMPUTED_VALUE"""),"Uncle Sams Cider (04/04/2023)")</f>
        <v>Uncle Sams Cider (04/04/2023)</v>
      </c>
      <c r="H5957" s="19"/>
    </row>
    <row r="5958">
      <c r="A5958" s="9"/>
      <c r="B5958" s="15"/>
      <c r="C5958" s="9">
        <f>IFERROR(__xludf.DUMMYFUNCTION("""COMPUTED_VALUE"""),45082.0724572338)</f>
        <v>45082.07246</v>
      </c>
      <c r="D5958" s="15">
        <f>IFERROR(__xludf.DUMMYFUNCTION("""COMPUTED_VALUE"""),1.006)</f>
        <v>1.006</v>
      </c>
      <c r="E5958" s="16">
        <f>IFERROR(__xludf.DUMMYFUNCTION("""COMPUTED_VALUE"""),67.0)</f>
        <v>67</v>
      </c>
      <c r="F5958" s="19" t="str">
        <f>IFERROR(__xludf.DUMMYFUNCTION("""COMPUTED_VALUE"""),"BLUE")</f>
        <v>BLUE</v>
      </c>
      <c r="G5958" s="20" t="str">
        <f>IFERROR(__xludf.DUMMYFUNCTION("""COMPUTED_VALUE"""),"Uncle Sams Cider (04/04/2023)")</f>
        <v>Uncle Sams Cider (04/04/2023)</v>
      </c>
      <c r="H5958" s="19"/>
    </row>
    <row r="5959">
      <c r="A5959" s="9"/>
      <c r="B5959" s="15"/>
      <c r="C5959" s="9">
        <f>IFERROR(__xludf.DUMMYFUNCTION("""COMPUTED_VALUE"""),45082.0620359722)</f>
        <v>45082.06204</v>
      </c>
      <c r="D5959" s="15">
        <f>IFERROR(__xludf.DUMMYFUNCTION("""COMPUTED_VALUE"""),1.006)</f>
        <v>1.006</v>
      </c>
      <c r="E5959" s="16">
        <f>IFERROR(__xludf.DUMMYFUNCTION("""COMPUTED_VALUE"""),67.0)</f>
        <v>67</v>
      </c>
      <c r="F5959" s="19" t="str">
        <f>IFERROR(__xludf.DUMMYFUNCTION("""COMPUTED_VALUE"""),"BLUE")</f>
        <v>BLUE</v>
      </c>
      <c r="G5959" s="20" t="str">
        <f>IFERROR(__xludf.DUMMYFUNCTION("""COMPUTED_VALUE"""),"Uncle Sams Cider (04/04/2023)")</f>
        <v>Uncle Sams Cider (04/04/2023)</v>
      </c>
      <c r="H5959" s="19"/>
    </row>
    <row r="5960">
      <c r="A5960" s="9"/>
      <c r="B5960" s="15"/>
      <c r="C5960" s="9">
        <f>IFERROR(__xludf.DUMMYFUNCTION("""COMPUTED_VALUE"""),45082.0516168981)</f>
        <v>45082.05162</v>
      </c>
      <c r="D5960" s="15">
        <f>IFERROR(__xludf.DUMMYFUNCTION("""COMPUTED_VALUE"""),1.005)</f>
        <v>1.005</v>
      </c>
      <c r="E5960" s="16">
        <f>IFERROR(__xludf.DUMMYFUNCTION("""COMPUTED_VALUE"""),67.0)</f>
        <v>67</v>
      </c>
      <c r="F5960" s="19" t="str">
        <f>IFERROR(__xludf.DUMMYFUNCTION("""COMPUTED_VALUE"""),"BLUE")</f>
        <v>BLUE</v>
      </c>
      <c r="G5960" s="20" t="str">
        <f>IFERROR(__xludf.DUMMYFUNCTION("""COMPUTED_VALUE"""),"Uncle Sams Cider (04/04/2023)")</f>
        <v>Uncle Sams Cider (04/04/2023)</v>
      </c>
      <c r="H5960" s="19"/>
    </row>
    <row r="5961">
      <c r="A5961" s="9"/>
      <c r="B5961" s="15"/>
      <c r="C5961" s="9">
        <f>IFERROR(__xludf.DUMMYFUNCTION("""COMPUTED_VALUE"""),45082.0411918749)</f>
        <v>45082.04119</v>
      </c>
      <c r="D5961" s="15">
        <f>IFERROR(__xludf.DUMMYFUNCTION("""COMPUTED_VALUE"""),1.006)</f>
        <v>1.006</v>
      </c>
      <c r="E5961" s="16">
        <f>IFERROR(__xludf.DUMMYFUNCTION("""COMPUTED_VALUE"""),67.0)</f>
        <v>67</v>
      </c>
      <c r="F5961" s="19" t="str">
        <f>IFERROR(__xludf.DUMMYFUNCTION("""COMPUTED_VALUE"""),"BLUE")</f>
        <v>BLUE</v>
      </c>
      <c r="G5961" s="20" t="str">
        <f>IFERROR(__xludf.DUMMYFUNCTION("""COMPUTED_VALUE"""),"Uncle Sams Cider (04/04/2023)")</f>
        <v>Uncle Sams Cider (04/04/2023)</v>
      </c>
      <c r="H5961" s="19"/>
    </row>
    <row r="5962">
      <c r="A5962" s="9"/>
      <c r="B5962" s="15"/>
      <c r="C5962" s="9">
        <f>IFERROR(__xludf.DUMMYFUNCTION("""COMPUTED_VALUE"""),45082.0307479629)</f>
        <v>45082.03075</v>
      </c>
      <c r="D5962" s="15">
        <f>IFERROR(__xludf.DUMMYFUNCTION("""COMPUTED_VALUE"""),1.006)</f>
        <v>1.006</v>
      </c>
      <c r="E5962" s="16">
        <f>IFERROR(__xludf.DUMMYFUNCTION("""COMPUTED_VALUE"""),67.0)</f>
        <v>67</v>
      </c>
      <c r="F5962" s="19" t="str">
        <f>IFERROR(__xludf.DUMMYFUNCTION("""COMPUTED_VALUE"""),"BLUE")</f>
        <v>BLUE</v>
      </c>
      <c r="G5962" s="20" t="str">
        <f>IFERROR(__xludf.DUMMYFUNCTION("""COMPUTED_VALUE"""),"Uncle Sams Cider (04/04/2023)")</f>
        <v>Uncle Sams Cider (04/04/2023)</v>
      </c>
      <c r="H5962" s="19"/>
    </row>
    <row r="5963">
      <c r="A5963" s="9"/>
      <c r="B5963" s="15"/>
      <c r="C5963" s="9">
        <f>IFERROR(__xludf.DUMMYFUNCTION("""COMPUTED_VALUE"""),45082.0203251157)</f>
        <v>45082.02033</v>
      </c>
      <c r="D5963" s="15">
        <f>IFERROR(__xludf.DUMMYFUNCTION("""COMPUTED_VALUE"""),1.006)</f>
        <v>1.006</v>
      </c>
      <c r="E5963" s="16">
        <f>IFERROR(__xludf.DUMMYFUNCTION("""COMPUTED_VALUE"""),67.0)</f>
        <v>67</v>
      </c>
      <c r="F5963" s="19" t="str">
        <f>IFERROR(__xludf.DUMMYFUNCTION("""COMPUTED_VALUE"""),"BLUE")</f>
        <v>BLUE</v>
      </c>
      <c r="G5963" s="20" t="str">
        <f>IFERROR(__xludf.DUMMYFUNCTION("""COMPUTED_VALUE"""),"Uncle Sams Cider (04/04/2023)")</f>
        <v>Uncle Sams Cider (04/04/2023)</v>
      </c>
      <c r="H5963" s="19"/>
    </row>
    <row r="5964">
      <c r="A5964" s="9"/>
      <c r="B5964" s="15"/>
      <c r="C5964" s="9">
        <f>IFERROR(__xludf.DUMMYFUNCTION("""COMPUTED_VALUE"""),45082.0099037615)</f>
        <v>45082.0099</v>
      </c>
      <c r="D5964" s="15">
        <f>IFERROR(__xludf.DUMMYFUNCTION("""COMPUTED_VALUE"""),1.006)</f>
        <v>1.006</v>
      </c>
      <c r="E5964" s="16">
        <f>IFERROR(__xludf.DUMMYFUNCTION("""COMPUTED_VALUE"""),67.0)</f>
        <v>67</v>
      </c>
      <c r="F5964" s="19" t="str">
        <f>IFERROR(__xludf.DUMMYFUNCTION("""COMPUTED_VALUE"""),"BLUE")</f>
        <v>BLUE</v>
      </c>
      <c r="G5964" s="20" t="str">
        <f>IFERROR(__xludf.DUMMYFUNCTION("""COMPUTED_VALUE"""),"Uncle Sams Cider (04/04/2023)")</f>
        <v>Uncle Sams Cider (04/04/2023)</v>
      </c>
      <c r="H5964" s="19"/>
    </row>
    <row r="5965">
      <c r="A5965" s="9"/>
      <c r="B5965" s="15"/>
      <c r="C5965" s="9">
        <f>IFERROR(__xludf.DUMMYFUNCTION("""COMPUTED_VALUE"""),45081.9994600347)</f>
        <v>45081.99946</v>
      </c>
      <c r="D5965" s="15">
        <f>IFERROR(__xludf.DUMMYFUNCTION("""COMPUTED_VALUE"""),1.006)</f>
        <v>1.006</v>
      </c>
      <c r="E5965" s="16">
        <f>IFERROR(__xludf.DUMMYFUNCTION("""COMPUTED_VALUE"""),67.0)</f>
        <v>67</v>
      </c>
      <c r="F5965" s="19" t="str">
        <f>IFERROR(__xludf.DUMMYFUNCTION("""COMPUTED_VALUE"""),"BLUE")</f>
        <v>BLUE</v>
      </c>
      <c r="G5965" s="20" t="str">
        <f>IFERROR(__xludf.DUMMYFUNCTION("""COMPUTED_VALUE"""),"Uncle Sams Cider (04/04/2023)")</f>
        <v>Uncle Sams Cider (04/04/2023)</v>
      </c>
      <c r="H5965" s="19"/>
    </row>
    <row r="5966">
      <c r="A5966" s="9"/>
      <c r="B5966" s="15"/>
      <c r="C5966" s="9">
        <f>IFERROR(__xludf.DUMMYFUNCTION("""COMPUTED_VALUE"""),45081.9890372685)</f>
        <v>45081.98904</v>
      </c>
      <c r="D5966" s="15">
        <f>IFERROR(__xludf.DUMMYFUNCTION("""COMPUTED_VALUE"""),1.006)</f>
        <v>1.006</v>
      </c>
      <c r="E5966" s="16">
        <f>IFERROR(__xludf.DUMMYFUNCTION("""COMPUTED_VALUE"""),67.0)</f>
        <v>67</v>
      </c>
      <c r="F5966" s="19" t="str">
        <f>IFERROR(__xludf.DUMMYFUNCTION("""COMPUTED_VALUE"""),"BLUE")</f>
        <v>BLUE</v>
      </c>
      <c r="G5966" s="20" t="str">
        <f>IFERROR(__xludf.DUMMYFUNCTION("""COMPUTED_VALUE"""),"Uncle Sams Cider (04/04/2023)")</f>
        <v>Uncle Sams Cider (04/04/2023)</v>
      </c>
      <c r="H5966" s="19"/>
    </row>
    <row r="5967">
      <c r="A5967" s="9"/>
      <c r="B5967" s="15"/>
      <c r="C5967" s="9">
        <f>IFERROR(__xludf.DUMMYFUNCTION("""COMPUTED_VALUE"""),45081.9786178472)</f>
        <v>45081.97862</v>
      </c>
      <c r="D5967" s="15">
        <f>IFERROR(__xludf.DUMMYFUNCTION("""COMPUTED_VALUE"""),1.006)</f>
        <v>1.006</v>
      </c>
      <c r="E5967" s="16">
        <f>IFERROR(__xludf.DUMMYFUNCTION("""COMPUTED_VALUE"""),67.0)</f>
        <v>67</v>
      </c>
      <c r="F5967" s="19" t="str">
        <f>IFERROR(__xludf.DUMMYFUNCTION("""COMPUTED_VALUE"""),"BLUE")</f>
        <v>BLUE</v>
      </c>
      <c r="G5967" s="20" t="str">
        <f>IFERROR(__xludf.DUMMYFUNCTION("""COMPUTED_VALUE"""),"Uncle Sams Cider (04/04/2023)")</f>
        <v>Uncle Sams Cider (04/04/2023)</v>
      </c>
      <c r="H5967" s="19"/>
    </row>
    <row r="5968">
      <c r="A5968" s="9"/>
      <c r="B5968" s="15"/>
      <c r="C5968" s="9">
        <f>IFERROR(__xludf.DUMMYFUNCTION("""COMPUTED_VALUE"""),45081.9681972222)</f>
        <v>45081.9682</v>
      </c>
      <c r="D5968" s="15">
        <f>IFERROR(__xludf.DUMMYFUNCTION("""COMPUTED_VALUE"""),1.006)</f>
        <v>1.006</v>
      </c>
      <c r="E5968" s="16">
        <f>IFERROR(__xludf.DUMMYFUNCTION("""COMPUTED_VALUE"""),67.0)</f>
        <v>67</v>
      </c>
      <c r="F5968" s="19" t="str">
        <f>IFERROR(__xludf.DUMMYFUNCTION("""COMPUTED_VALUE"""),"BLUE")</f>
        <v>BLUE</v>
      </c>
      <c r="G5968" s="20" t="str">
        <f>IFERROR(__xludf.DUMMYFUNCTION("""COMPUTED_VALUE"""),"Uncle Sams Cider (04/04/2023)")</f>
        <v>Uncle Sams Cider (04/04/2023)</v>
      </c>
      <c r="H5968" s="19"/>
    </row>
    <row r="5969">
      <c r="A5969" s="9"/>
      <c r="B5969" s="15"/>
      <c r="C5969" s="9">
        <f>IFERROR(__xludf.DUMMYFUNCTION("""COMPUTED_VALUE"""),45081.9577744791)</f>
        <v>45081.95777</v>
      </c>
      <c r="D5969" s="15">
        <f>IFERROR(__xludf.DUMMYFUNCTION("""COMPUTED_VALUE"""),1.006)</f>
        <v>1.006</v>
      </c>
      <c r="E5969" s="16">
        <f>IFERROR(__xludf.DUMMYFUNCTION("""COMPUTED_VALUE"""),67.0)</f>
        <v>67</v>
      </c>
      <c r="F5969" s="19" t="str">
        <f>IFERROR(__xludf.DUMMYFUNCTION("""COMPUTED_VALUE"""),"BLUE")</f>
        <v>BLUE</v>
      </c>
      <c r="G5969" s="20" t="str">
        <f>IFERROR(__xludf.DUMMYFUNCTION("""COMPUTED_VALUE"""),"Uncle Sams Cider (04/04/2023)")</f>
        <v>Uncle Sams Cider (04/04/2023)</v>
      </c>
      <c r="H5969" s="19"/>
    </row>
    <row r="5970">
      <c r="A5970" s="9"/>
      <c r="B5970" s="15"/>
      <c r="C5970" s="9">
        <f>IFERROR(__xludf.DUMMYFUNCTION("""COMPUTED_VALUE"""),45081.9473505324)</f>
        <v>45081.94735</v>
      </c>
      <c r="D5970" s="15">
        <f>IFERROR(__xludf.DUMMYFUNCTION("""COMPUTED_VALUE"""),1.006)</f>
        <v>1.006</v>
      </c>
      <c r="E5970" s="16">
        <f>IFERROR(__xludf.DUMMYFUNCTION("""COMPUTED_VALUE"""),67.0)</f>
        <v>67</v>
      </c>
      <c r="F5970" s="19" t="str">
        <f>IFERROR(__xludf.DUMMYFUNCTION("""COMPUTED_VALUE"""),"BLUE")</f>
        <v>BLUE</v>
      </c>
      <c r="G5970" s="20" t="str">
        <f>IFERROR(__xludf.DUMMYFUNCTION("""COMPUTED_VALUE"""),"Uncle Sams Cider (04/04/2023)")</f>
        <v>Uncle Sams Cider (04/04/2023)</v>
      </c>
      <c r="H5970" s="19"/>
    </row>
    <row r="5971">
      <c r="A5971" s="9"/>
      <c r="B5971" s="15"/>
      <c r="C5971" s="9">
        <f>IFERROR(__xludf.DUMMYFUNCTION("""COMPUTED_VALUE"""),45081.9369160185)</f>
        <v>45081.93692</v>
      </c>
      <c r="D5971" s="15">
        <f>IFERROR(__xludf.DUMMYFUNCTION("""COMPUTED_VALUE"""),1.006)</f>
        <v>1.006</v>
      </c>
      <c r="E5971" s="16">
        <f>IFERROR(__xludf.DUMMYFUNCTION("""COMPUTED_VALUE"""),67.0)</f>
        <v>67</v>
      </c>
      <c r="F5971" s="19" t="str">
        <f>IFERROR(__xludf.DUMMYFUNCTION("""COMPUTED_VALUE"""),"BLUE")</f>
        <v>BLUE</v>
      </c>
      <c r="G5971" s="20" t="str">
        <f>IFERROR(__xludf.DUMMYFUNCTION("""COMPUTED_VALUE"""),"Uncle Sams Cider (04/04/2023)")</f>
        <v>Uncle Sams Cider (04/04/2023)</v>
      </c>
      <c r="H5971" s="19"/>
    </row>
    <row r="5972">
      <c r="A5972" s="9"/>
      <c r="B5972" s="15"/>
      <c r="C5972" s="9">
        <f>IFERROR(__xludf.DUMMYFUNCTION("""COMPUTED_VALUE"""),45081.926495787)</f>
        <v>45081.9265</v>
      </c>
      <c r="D5972" s="15">
        <f>IFERROR(__xludf.DUMMYFUNCTION("""COMPUTED_VALUE"""),1.006)</f>
        <v>1.006</v>
      </c>
      <c r="E5972" s="16">
        <f>IFERROR(__xludf.DUMMYFUNCTION("""COMPUTED_VALUE"""),67.0)</f>
        <v>67</v>
      </c>
      <c r="F5972" s="19" t="str">
        <f>IFERROR(__xludf.DUMMYFUNCTION("""COMPUTED_VALUE"""),"BLUE")</f>
        <v>BLUE</v>
      </c>
      <c r="G5972" s="20" t="str">
        <f>IFERROR(__xludf.DUMMYFUNCTION("""COMPUTED_VALUE"""),"Uncle Sams Cider (04/04/2023)")</f>
        <v>Uncle Sams Cider (04/04/2023)</v>
      </c>
      <c r="H5972" s="19"/>
    </row>
    <row r="5973">
      <c r="A5973" s="9"/>
      <c r="B5973" s="15"/>
      <c r="C5973" s="9">
        <f>IFERROR(__xludf.DUMMYFUNCTION("""COMPUTED_VALUE"""),45081.9160753703)</f>
        <v>45081.91608</v>
      </c>
      <c r="D5973" s="15">
        <f>IFERROR(__xludf.DUMMYFUNCTION("""COMPUTED_VALUE"""),1.006)</f>
        <v>1.006</v>
      </c>
      <c r="E5973" s="16">
        <f>IFERROR(__xludf.DUMMYFUNCTION("""COMPUTED_VALUE"""),67.0)</f>
        <v>67</v>
      </c>
      <c r="F5973" s="19" t="str">
        <f>IFERROR(__xludf.DUMMYFUNCTION("""COMPUTED_VALUE"""),"BLUE")</f>
        <v>BLUE</v>
      </c>
      <c r="G5973" s="20" t="str">
        <f>IFERROR(__xludf.DUMMYFUNCTION("""COMPUTED_VALUE"""),"Uncle Sams Cider (04/04/2023)")</f>
        <v>Uncle Sams Cider (04/04/2023)</v>
      </c>
      <c r="H5973" s="19"/>
    </row>
    <row r="5974">
      <c r="A5974" s="9"/>
      <c r="B5974" s="15"/>
      <c r="C5974" s="9">
        <f>IFERROR(__xludf.DUMMYFUNCTION("""COMPUTED_VALUE"""),45081.9056566666)</f>
        <v>45081.90566</v>
      </c>
      <c r="D5974" s="15">
        <f>IFERROR(__xludf.DUMMYFUNCTION("""COMPUTED_VALUE"""),1.006)</f>
        <v>1.006</v>
      </c>
      <c r="E5974" s="16">
        <f>IFERROR(__xludf.DUMMYFUNCTION("""COMPUTED_VALUE"""),67.0)</f>
        <v>67</v>
      </c>
      <c r="F5974" s="19" t="str">
        <f>IFERROR(__xludf.DUMMYFUNCTION("""COMPUTED_VALUE"""),"BLUE")</f>
        <v>BLUE</v>
      </c>
      <c r="G5974" s="20" t="str">
        <f>IFERROR(__xludf.DUMMYFUNCTION("""COMPUTED_VALUE"""),"Uncle Sams Cider (04/04/2023)")</f>
        <v>Uncle Sams Cider (04/04/2023)</v>
      </c>
      <c r="H5974" s="19"/>
    </row>
    <row r="5975">
      <c r="A5975" s="9"/>
      <c r="B5975" s="15"/>
      <c r="C5975" s="9">
        <f>IFERROR(__xludf.DUMMYFUNCTION("""COMPUTED_VALUE"""),45081.8952351273)</f>
        <v>45081.89524</v>
      </c>
      <c r="D5975" s="15">
        <f>IFERROR(__xludf.DUMMYFUNCTION("""COMPUTED_VALUE"""),1.006)</f>
        <v>1.006</v>
      </c>
      <c r="E5975" s="16">
        <f>IFERROR(__xludf.DUMMYFUNCTION("""COMPUTED_VALUE"""),67.0)</f>
        <v>67</v>
      </c>
      <c r="F5975" s="19" t="str">
        <f>IFERROR(__xludf.DUMMYFUNCTION("""COMPUTED_VALUE"""),"BLUE")</f>
        <v>BLUE</v>
      </c>
      <c r="G5975" s="20" t="str">
        <f>IFERROR(__xludf.DUMMYFUNCTION("""COMPUTED_VALUE"""),"Uncle Sams Cider (04/04/2023)")</f>
        <v>Uncle Sams Cider (04/04/2023)</v>
      </c>
      <c r="H5975" s="19"/>
    </row>
    <row r="5976">
      <c r="A5976" s="9"/>
      <c r="B5976" s="15"/>
      <c r="C5976" s="9">
        <f>IFERROR(__xludf.DUMMYFUNCTION("""COMPUTED_VALUE"""),45081.8848132176)</f>
        <v>45081.88481</v>
      </c>
      <c r="D5976" s="15">
        <f>IFERROR(__xludf.DUMMYFUNCTION("""COMPUTED_VALUE"""),1.006)</f>
        <v>1.006</v>
      </c>
      <c r="E5976" s="16">
        <f>IFERROR(__xludf.DUMMYFUNCTION("""COMPUTED_VALUE"""),67.0)</f>
        <v>67</v>
      </c>
      <c r="F5976" s="19" t="str">
        <f>IFERROR(__xludf.DUMMYFUNCTION("""COMPUTED_VALUE"""),"BLUE")</f>
        <v>BLUE</v>
      </c>
      <c r="G5976" s="20" t="str">
        <f>IFERROR(__xludf.DUMMYFUNCTION("""COMPUTED_VALUE"""),"Uncle Sams Cider (04/04/2023)")</f>
        <v>Uncle Sams Cider (04/04/2023)</v>
      </c>
      <c r="H5976" s="19"/>
    </row>
    <row r="5977">
      <c r="A5977" s="9"/>
      <c r="B5977" s="15"/>
      <c r="C5977" s="9">
        <f>IFERROR(__xludf.DUMMYFUNCTION("""COMPUTED_VALUE"""),45081.8743921759)</f>
        <v>45081.87439</v>
      </c>
      <c r="D5977" s="15">
        <f>IFERROR(__xludf.DUMMYFUNCTION("""COMPUTED_VALUE"""),1.006)</f>
        <v>1.006</v>
      </c>
      <c r="E5977" s="16">
        <f>IFERROR(__xludf.DUMMYFUNCTION("""COMPUTED_VALUE"""),67.0)</f>
        <v>67</v>
      </c>
      <c r="F5977" s="19" t="str">
        <f>IFERROR(__xludf.DUMMYFUNCTION("""COMPUTED_VALUE"""),"BLUE")</f>
        <v>BLUE</v>
      </c>
      <c r="G5977" s="20" t="str">
        <f>IFERROR(__xludf.DUMMYFUNCTION("""COMPUTED_VALUE"""),"Uncle Sams Cider (04/04/2023)")</f>
        <v>Uncle Sams Cider (04/04/2023)</v>
      </c>
      <c r="H5977" s="19"/>
    </row>
    <row r="5978">
      <c r="A5978" s="9"/>
      <c r="B5978" s="15"/>
      <c r="C5978" s="9">
        <f>IFERROR(__xludf.DUMMYFUNCTION("""COMPUTED_VALUE"""),45081.8639700578)</f>
        <v>45081.86397</v>
      </c>
      <c r="D5978" s="15">
        <f>IFERROR(__xludf.DUMMYFUNCTION("""COMPUTED_VALUE"""),1.006)</f>
        <v>1.006</v>
      </c>
      <c r="E5978" s="16">
        <f>IFERROR(__xludf.DUMMYFUNCTION("""COMPUTED_VALUE"""),67.0)</f>
        <v>67</v>
      </c>
      <c r="F5978" s="19" t="str">
        <f>IFERROR(__xludf.DUMMYFUNCTION("""COMPUTED_VALUE"""),"BLUE")</f>
        <v>BLUE</v>
      </c>
      <c r="G5978" s="20" t="str">
        <f>IFERROR(__xludf.DUMMYFUNCTION("""COMPUTED_VALUE"""),"Uncle Sams Cider (04/04/2023)")</f>
        <v>Uncle Sams Cider (04/04/2023)</v>
      </c>
      <c r="H5978" s="19"/>
    </row>
    <row r="5979">
      <c r="A5979" s="9"/>
      <c r="B5979" s="15"/>
      <c r="C5979" s="9">
        <f>IFERROR(__xludf.DUMMYFUNCTION("""COMPUTED_VALUE"""),45081.8535495949)</f>
        <v>45081.85355</v>
      </c>
      <c r="D5979" s="15">
        <f>IFERROR(__xludf.DUMMYFUNCTION("""COMPUTED_VALUE"""),1.006)</f>
        <v>1.006</v>
      </c>
      <c r="E5979" s="16">
        <f>IFERROR(__xludf.DUMMYFUNCTION("""COMPUTED_VALUE"""),67.0)</f>
        <v>67</v>
      </c>
      <c r="F5979" s="19" t="str">
        <f>IFERROR(__xludf.DUMMYFUNCTION("""COMPUTED_VALUE"""),"BLUE")</f>
        <v>BLUE</v>
      </c>
      <c r="G5979" s="20" t="str">
        <f>IFERROR(__xludf.DUMMYFUNCTION("""COMPUTED_VALUE"""),"Uncle Sams Cider (04/04/2023)")</f>
        <v>Uncle Sams Cider (04/04/2023)</v>
      </c>
      <c r="H5979" s="19"/>
    </row>
    <row r="5980">
      <c r="A5980" s="9"/>
      <c r="B5980" s="15"/>
      <c r="C5980" s="9">
        <f>IFERROR(__xludf.DUMMYFUNCTION("""COMPUTED_VALUE"""),45081.8431157175)</f>
        <v>45081.84312</v>
      </c>
      <c r="D5980" s="15">
        <f>IFERROR(__xludf.DUMMYFUNCTION("""COMPUTED_VALUE"""),1.006)</f>
        <v>1.006</v>
      </c>
      <c r="E5980" s="16">
        <f>IFERROR(__xludf.DUMMYFUNCTION("""COMPUTED_VALUE"""),67.0)</f>
        <v>67</v>
      </c>
      <c r="F5980" s="19" t="str">
        <f>IFERROR(__xludf.DUMMYFUNCTION("""COMPUTED_VALUE"""),"BLUE")</f>
        <v>BLUE</v>
      </c>
      <c r="G5980" s="20" t="str">
        <f>IFERROR(__xludf.DUMMYFUNCTION("""COMPUTED_VALUE"""),"Uncle Sams Cider (04/04/2023)")</f>
        <v>Uncle Sams Cider (04/04/2023)</v>
      </c>
      <c r="H5980" s="19"/>
    </row>
    <row r="5981">
      <c r="A5981" s="9"/>
      <c r="B5981" s="15"/>
      <c r="C5981" s="9">
        <f>IFERROR(__xludf.DUMMYFUNCTION("""COMPUTED_VALUE"""),45081.8326934259)</f>
        <v>45081.83269</v>
      </c>
      <c r="D5981" s="15">
        <f>IFERROR(__xludf.DUMMYFUNCTION("""COMPUTED_VALUE"""),1.006)</f>
        <v>1.006</v>
      </c>
      <c r="E5981" s="16">
        <f>IFERROR(__xludf.DUMMYFUNCTION("""COMPUTED_VALUE"""),67.0)</f>
        <v>67</v>
      </c>
      <c r="F5981" s="19" t="str">
        <f>IFERROR(__xludf.DUMMYFUNCTION("""COMPUTED_VALUE"""),"BLUE")</f>
        <v>BLUE</v>
      </c>
      <c r="G5981" s="20" t="str">
        <f>IFERROR(__xludf.DUMMYFUNCTION("""COMPUTED_VALUE"""),"Uncle Sams Cider (04/04/2023)")</f>
        <v>Uncle Sams Cider (04/04/2023)</v>
      </c>
      <c r="H5981" s="19"/>
    </row>
    <row r="5982">
      <c r="A5982" s="9"/>
      <c r="B5982" s="15"/>
      <c r="C5982" s="9">
        <f>IFERROR(__xludf.DUMMYFUNCTION("""COMPUTED_VALUE"""),45081.8222722106)</f>
        <v>45081.82227</v>
      </c>
      <c r="D5982" s="15">
        <f>IFERROR(__xludf.DUMMYFUNCTION("""COMPUTED_VALUE"""),1.006)</f>
        <v>1.006</v>
      </c>
      <c r="E5982" s="16">
        <f>IFERROR(__xludf.DUMMYFUNCTION("""COMPUTED_VALUE"""),67.0)</f>
        <v>67</v>
      </c>
      <c r="F5982" s="19" t="str">
        <f>IFERROR(__xludf.DUMMYFUNCTION("""COMPUTED_VALUE"""),"BLUE")</f>
        <v>BLUE</v>
      </c>
      <c r="G5982" s="20" t="str">
        <f>IFERROR(__xludf.DUMMYFUNCTION("""COMPUTED_VALUE"""),"Uncle Sams Cider (04/04/2023)")</f>
        <v>Uncle Sams Cider (04/04/2023)</v>
      </c>
      <c r="H5982" s="19"/>
    </row>
    <row r="5983">
      <c r="A5983" s="9"/>
      <c r="B5983" s="15"/>
      <c r="C5983" s="9">
        <f>IFERROR(__xludf.DUMMYFUNCTION("""COMPUTED_VALUE"""),45081.811850324)</f>
        <v>45081.81185</v>
      </c>
      <c r="D5983" s="15">
        <f>IFERROR(__xludf.DUMMYFUNCTION("""COMPUTED_VALUE"""),1.006)</f>
        <v>1.006</v>
      </c>
      <c r="E5983" s="16">
        <f>IFERROR(__xludf.DUMMYFUNCTION("""COMPUTED_VALUE"""),67.0)</f>
        <v>67</v>
      </c>
      <c r="F5983" s="19" t="str">
        <f>IFERROR(__xludf.DUMMYFUNCTION("""COMPUTED_VALUE"""),"BLUE")</f>
        <v>BLUE</v>
      </c>
      <c r="G5983" s="20" t="str">
        <f>IFERROR(__xludf.DUMMYFUNCTION("""COMPUTED_VALUE"""),"Uncle Sams Cider (04/04/2023)")</f>
        <v>Uncle Sams Cider (04/04/2023)</v>
      </c>
      <c r="H5983" s="19"/>
    </row>
    <row r="5984">
      <c r="A5984" s="9"/>
      <c r="B5984" s="15"/>
      <c r="C5984" s="9">
        <f>IFERROR(__xludf.DUMMYFUNCTION("""COMPUTED_VALUE"""),45081.8014162731)</f>
        <v>45081.80142</v>
      </c>
      <c r="D5984" s="15">
        <f>IFERROR(__xludf.DUMMYFUNCTION("""COMPUTED_VALUE"""),1.006)</f>
        <v>1.006</v>
      </c>
      <c r="E5984" s="16">
        <f>IFERROR(__xludf.DUMMYFUNCTION("""COMPUTED_VALUE"""),67.0)</f>
        <v>67</v>
      </c>
      <c r="F5984" s="19" t="str">
        <f>IFERROR(__xludf.DUMMYFUNCTION("""COMPUTED_VALUE"""),"BLUE")</f>
        <v>BLUE</v>
      </c>
      <c r="G5984" s="20" t="str">
        <f>IFERROR(__xludf.DUMMYFUNCTION("""COMPUTED_VALUE"""),"Uncle Sams Cider (04/04/2023)")</f>
        <v>Uncle Sams Cider (04/04/2023)</v>
      </c>
      <c r="H5984" s="19"/>
    </row>
    <row r="5985">
      <c r="A5985" s="9"/>
      <c r="B5985" s="15"/>
      <c r="C5985" s="9">
        <f>IFERROR(__xludf.DUMMYFUNCTION("""COMPUTED_VALUE"""),45081.790981574)</f>
        <v>45081.79098</v>
      </c>
      <c r="D5985" s="15">
        <f>IFERROR(__xludf.DUMMYFUNCTION("""COMPUTED_VALUE"""),1.006)</f>
        <v>1.006</v>
      </c>
      <c r="E5985" s="16">
        <f>IFERROR(__xludf.DUMMYFUNCTION("""COMPUTED_VALUE"""),67.0)</f>
        <v>67</v>
      </c>
      <c r="F5985" s="19" t="str">
        <f>IFERROR(__xludf.DUMMYFUNCTION("""COMPUTED_VALUE"""),"BLUE")</f>
        <v>BLUE</v>
      </c>
      <c r="G5985" s="20" t="str">
        <f>IFERROR(__xludf.DUMMYFUNCTION("""COMPUTED_VALUE"""),"Uncle Sams Cider (04/04/2023)")</f>
        <v>Uncle Sams Cider (04/04/2023)</v>
      </c>
      <c r="H5985" s="19"/>
    </row>
    <row r="5986">
      <c r="A5986" s="9"/>
      <c r="B5986" s="15"/>
      <c r="C5986" s="9">
        <f>IFERROR(__xludf.DUMMYFUNCTION("""COMPUTED_VALUE"""),45081.7805600462)</f>
        <v>45081.78056</v>
      </c>
      <c r="D5986" s="15">
        <f>IFERROR(__xludf.DUMMYFUNCTION("""COMPUTED_VALUE"""),1.006)</f>
        <v>1.006</v>
      </c>
      <c r="E5986" s="16">
        <f>IFERROR(__xludf.DUMMYFUNCTION("""COMPUTED_VALUE"""),67.0)</f>
        <v>67</v>
      </c>
      <c r="F5986" s="19" t="str">
        <f>IFERROR(__xludf.DUMMYFUNCTION("""COMPUTED_VALUE"""),"BLUE")</f>
        <v>BLUE</v>
      </c>
      <c r="G5986" s="20" t="str">
        <f>IFERROR(__xludf.DUMMYFUNCTION("""COMPUTED_VALUE"""),"Uncle Sams Cider (04/04/2023)")</f>
        <v>Uncle Sams Cider (04/04/2023)</v>
      </c>
      <c r="H5986" s="19"/>
    </row>
    <row r="5987">
      <c r="A5987" s="9"/>
      <c r="B5987" s="15"/>
      <c r="C5987" s="9">
        <f>IFERROR(__xludf.DUMMYFUNCTION("""COMPUTED_VALUE"""),45081.7701370833)</f>
        <v>45081.77014</v>
      </c>
      <c r="D5987" s="15">
        <f>IFERROR(__xludf.DUMMYFUNCTION("""COMPUTED_VALUE"""),1.006)</f>
        <v>1.006</v>
      </c>
      <c r="E5987" s="16">
        <f>IFERROR(__xludf.DUMMYFUNCTION("""COMPUTED_VALUE"""),67.0)</f>
        <v>67</v>
      </c>
      <c r="F5987" s="19" t="str">
        <f>IFERROR(__xludf.DUMMYFUNCTION("""COMPUTED_VALUE"""),"BLUE")</f>
        <v>BLUE</v>
      </c>
      <c r="G5987" s="20" t="str">
        <f>IFERROR(__xludf.DUMMYFUNCTION("""COMPUTED_VALUE"""),"Uncle Sams Cider (04/04/2023)")</f>
        <v>Uncle Sams Cider (04/04/2023)</v>
      </c>
      <c r="H5987" s="19"/>
    </row>
    <row r="5988">
      <c r="A5988" s="9"/>
      <c r="B5988" s="15"/>
      <c r="C5988" s="9">
        <f>IFERROR(__xludf.DUMMYFUNCTION("""COMPUTED_VALUE"""),45081.7597148148)</f>
        <v>45081.75971</v>
      </c>
      <c r="D5988" s="15">
        <f>IFERROR(__xludf.DUMMYFUNCTION("""COMPUTED_VALUE"""),1.006)</f>
        <v>1.006</v>
      </c>
      <c r="E5988" s="16">
        <f>IFERROR(__xludf.DUMMYFUNCTION("""COMPUTED_VALUE"""),67.0)</f>
        <v>67</v>
      </c>
      <c r="F5988" s="19" t="str">
        <f>IFERROR(__xludf.DUMMYFUNCTION("""COMPUTED_VALUE"""),"BLUE")</f>
        <v>BLUE</v>
      </c>
      <c r="G5988" s="20" t="str">
        <f>IFERROR(__xludf.DUMMYFUNCTION("""COMPUTED_VALUE"""),"Uncle Sams Cider (04/04/2023)")</f>
        <v>Uncle Sams Cider (04/04/2023)</v>
      </c>
      <c r="H5988" s="19"/>
    </row>
    <row r="5989">
      <c r="A5989" s="9"/>
      <c r="B5989" s="15"/>
      <c r="C5989" s="9">
        <f>IFERROR(__xludf.DUMMYFUNCTION("""COMPUTED_VALUE"""),45081.7492929976)</f>
        <v>45081.74929</v>
      </c>
      <c r="D5989" s="15">
        <f>IFERROR(__xludf.DUMMYFUNCTION("""COMPUTED_VALUE"""),1.006)</f>
        <v>1.006</v>
      </c>
      <c r="E5989" s="16">
        <f>IFERROR(__xludf.DUMMYFUNCTION("""COMPUTED_VALUE"""),67.0)</f>
        <v>67</v>
      </c>
      <c r="F5989" s="19" t="str">
        <f>IFERROR(__xludf.DUMMYFUNCTION("""COMPUTED_VALUE"""),"BLUE")</f>
        <v>BLUE</v>
      </c>
      <c r="G5989" s="20" t="str">
        <f>IFERROR(__xludf.DUMMYFUNCTION("""COMPUTED_VALUE"""),"Uncle Sams Cider (04/04/2023)")</f>
        <v>Uncle Sams Cider (04/04/2023)</v>
      </c>
      <c r="H5989" s="19"/>
    </row>
    <row r="5990">
      <c r="A5990" s="9"/>
      <c r="B5990" s="15"/>
      <c r="C5990" s="9">
        <f>IFERROR(__xludf.DUMMYFUNCTION("""COMPUTED_VALUE"""),45081.7388721527)</f>
        <v>45081.73887</v>
      </c>
      <c r="D5990" s="15">
        <f>IFERROR(__xludf.DUMMYFUNCTION("""COMPUTED_VALUE"""),1.006)</f>
        <v>1.006</v>
      </c>
      <c r="E5990" s="16">
        <f>IFERROR(__xludf.DUMMYFUNCTION("""COMPUTED_VALUE"""),67.0)</f>
        <v>67</v>
      </c>
      <c r="F5990" s="19" t="str">
        <f>IFERROR(__xludf.DUMMYFUNCTION("""COMPUTED_VALUE"""),"BLUE")</f>
        <v>BLUE</v>
      </c>
      <c r="G5990" s="20" t="str">
        <f>IFERROR(__xludf.DUMMYFUNCTION("""COMPUTED_VALUE"""),"Uncle Sams Cider (04/04/2023)")</f>
        <v>Uncle Sams Cider (04/04/2023)</v>
      </c>
      <c r="H5990" s="19"/>
    </row>
    <row r="5991">
      <c r="A5991" s="9"/>
      <c r="B5991" s="15"/>
      <c r="C5991" s="9">
        <f>IFERROR(__xludf.DUMMYFUNCTION("""COMPUTED_VALUE"""),45081.7284514236)</f>
        <v>45081.72845</v>
      </c>
      <c r="D5991" s="15">
        <f>IFERROR(__xludf.DUMMYFUNCTION("""COMPUTED_VALUE"""),1.005)</f>
        <v>1.005</v>
      </c>
      <c r="E5991" s="16">
        <f>IFERROR(__xludf.DUMMYFUNCTION("""COMPUTED_VALUE"""),67.0)</f>
        <v>67</v>
      </c>
      <c r="F5991" s="19" t="str">
        <f>IFERROR(__xludf.DUMMYFUNCTION("""COMPUTED_VALUE"""),"BLUE")</f>
        <v>BLUE</v>
      </c>
      <c r="G5991" s="20" t="str">
        <f>IFERROR(__xludf.DUMMYFUNCTION("""COMPUTED_VALUE"""),"Uncle Sams Cider (04/04/2023)")</f>
        <v>Uncle Sams Cider (04/04/2023)</v>
      </c>
      <c r="H5991" s="19"/>
    </row>
    <row r="5992">
      <c r="A5992" s="9"/>
      <c r="B5992" s="15"/>
      <c r="C5992" s="9">
        <f>IFERROR(__xludf.DUMMYFUNCTION("""COMPUTED_VALUE"""),45081.7180304166)</f>
        <v>45081.71803</v>
      </c>
      <c r="D5992" s="15">
        <f>IFERROR(__xludf.DUMMYFUNCTION("""COMPUTED_VALUE"""),1.006)</f>
        <v>1.006</v>
      </c>
      <c r="E5992" s="16">
        <f>IFERROR(__xludf.DUMMYFUNCTION("""COMPUTED_VALUE"""),67.0)</f>
        <v>67</v>
      </c>
      <c r="F5992" s="19" t="str">
        <f>IFERROR(__xludf.DUMMYFUNCTION("""COMPUTED_VALUE"""),"BLUE")</f>
        <v>BLUE</v>
      </c>
      <c r="G5992" s="20" t="str">
        <f>IFERROR(__xludf.DUMMYFUNCTION("""COMPUTED_VALUE"""),"Uncle Sams Cider (04/04/2023)")</f>
        <v>Uncle Sams Cider (04/04/2023)</v>
      </c>
      <c r="H5992" s="19"/>
    </row>
    <row r="5993">
      <c r="A5993" s="9"/>
      <c r="B5993" s="15"/>
      <c r="C5993" s="9">
        <f>IFERROR(__xludf.DUMMYFUNCTION("""COMPUTED_VALUE"""),45081.7076087615)</f>
        <v>45081.70761</v>
      </c>
      <c r="D5993" s="15">
        <f>IFERROR(__xludf.DUMMYFUNCTION("""COMPUTED_VALUE"""),1.006)</f>
        <v>1.006</v>
      </c>
      <c r="E5993" s="16">
        <f>IFERROR(__xludf.DUMMYFUNCTION("""COMPUTED_VALUE"""),67.0)</f>
        <v>67</v>
      </c>
      <c r="F5993" s="19" t="str">
        <f>IFERROR(__xludf.DUMMYFUNCTION("""COMPUTED_VALUE"""),"BLUE")</f>
        <v>BLUE</v>
      </c>
      <c r="G5993" s="20" t="str">
        <f>IFERROR(__xludf.DUMMYFUNCTION("""COMPUTED_VALUE"""),"Uncle Sams Cider (04/04/2023)")</f>
        <v>Uncle Sams Cider (04/04/2023)</v>
      </c>
      <c r="H5993" s="19"/>
    </row>
    <row r="5994">
      <c r="A5994" s="9"/>
      <c r="B5994" s="15"/>
      <c r="C5994" s="9">
        <f>IFERROR(__xludf.DUMMYFUNCTION("""COMPUTED_VALUE"""),45081.6971864583)</f>
        <v>45081.69719</v>
      </c>
      <c r="D5994" s="15">
        <f>IFERROR(__xludf.DUMMYFUNCTION("""COMPUTED_VALUE"""),1.006)</f>
        <v>1.006</v>
      </c>
      <c r="E5994" s="16">
        <f>IFERROR(__xludf.DUMMYFUNCTION("""COMPUTED_VALUE"""),67.0)</f>
        <v>67</v>
      </c>
      <c r="F5994" s="19" t="str">
        <f>IFERROR(__xludf.DUMMYFUNCTION("""COMPUTED_VALUE"""),"BLUE")</f>
        <v>BLUE</v>
      </c>
      <c r="G5994" s="20" t="str">
        <f>IFERROR(__xludf.DUMMYFUNCTION("""COMPUTED_VALUE"""),"Uncle Sams Cider (04/04/2023)")</f>
        <v>Uncle Sams Cider (04/04/2023)</v>
      </c>
      <c r="H5994" s="19"/>
    </row>
    <row r="5995">
      <c r="A5995" s="9"/>
      <c r="B5995" s="15"/>
      <c r="C5995" s="9">
        <f>IFERROR(__xludf.DUMMYFUNCTION("""COMPUTED_VALUE"""),45081.686765243)</f>
        <v>45081.68677</v>
      </c>
      <c r="D5995" s="15">
        <f>IFERROR(__xludf.DUMMYFUNCTION("""COMPUTED_VALUE"""),1.006)</f>
        <v>1.006</v>
      </c>
      <c r="E5995" s="16">
        <f>IFERROR(__xludf.DUMMYFUNCTION("""COMPUTED_VALUE"""),67.0)</f>
        <v>67</v>
      </c>
      <c r="F5995" s="19" t="str">
        <f>IFERROR(__xludf.DUMMYFUNCTION("""COMPUTED_VALUE"""),"BLUE")</f>
        <v>BLUE</v>
      </c>
      <c r="G5995" s="20" t="str">
        <f>IFERROR(__xludf.DUMMYFUNCTION("""COMPUTED_VALUE"""),"Uncle Sams Cider (04/04/2023)")</f>
        <v>Uncle Sams Cider (04/04/2023)</v>
      </c>
      <c r="H5995" s="19"/>
    </row>
    <row r="5996">
      <c r="A5996" s="9"/>
      <c r="B5996" s="15"/>
      <c r="C5996" s="9">
        <f>IFERROR(__xludf.DUMMYFUNCTION("""COMPUTED_VALUE"""),45081.676346875)</f>
        <v>45081.67635</v>
      </c>
      <c r="D5996" s="15">
        <f>IFERROR(__xludf.DUMMYFUNCTION("""COMPUTED_VALUE"""),1.005)</f>
        <v>1.005</v>
      </c>
      <c r="E5996" s="16">
        <f>IFERROR(__xludf.DUMMYFUNCTION("""COMPUTED_VALUE"""),67.0)</f>
        <v>67</v>
      </c>
      <c r="F5996" s="19" t="str">
        <f>IFERROR(__xludf.DUMMYFUNCTION("""COMPUTED_VALUE"""),"BLUE")</f>
        <v>BLUE</v>
      </c>
      <c r="G5996" s="20" t="str">
        <f>IFERROR(__xludf.DUMMYFUNCTION("""COMPUTED_VALUE"""),"Uncle Sams Cider (04/04/2023)")</f>
        <v>Uncle Sams Cider (04/04/2023)</v>
      </c>
      <c r="H5996" s="19"/>
    </row>
    <row r="5997">
      <c r="A5997" s="9"/>
      <c r="B5997" s="15"/>
      <c r="C5997" s="9">
        <f>IFERROR(__xludf.DUMMYFUNCTION("""COMPUTED_VALUE"""),45081.6659142245)</f>
        <v>45081.66591</v>
      </c>
      <c r="D5997" s="15">
        <f>IFERROR(__xludf.DUMMYFUNCTION("""COMPUTED_VALUE"""),1.006)</f>
        <v>1.006</v>
      </c>
      <c r="E5997" s="16">
        <f>IFERROR(__xludf.DUMMYFUNCTION("""COMPUTED_VALUE"""),67.0)</f>
        <v>67</v>
      </c>
      <c r="F5997" s="19" t="str">
        <f>IFERROR(__xludf.DUMMYFUNCTION("""COMPUTED_VALUE"""),"BLUE")</f>
        <v>BLUE</v>
      </c>
      <c r="G5997" s="20" t="str">
        <f>IFERROR(__xludf.DUMMYFUNCTION("""COMPUTED_VALUE"""),"Uncle Sams Cider (04/04/2023)")</f>
        <v>Uncle Sams Cider (04/04/2023)</v>
      </c>
      <c r="H5997" s="19"/>
    </row>
    <row r="5998">
      <c r="A5998" s="9"/>
      <c r="B5998" s="15"/>
      <c r="C5998" s="9">
        <f>IFERROR(__xludf.DUMMYFUNCTION("""COMPUTED_VALUE"""),45081.6554934953)</f>
        <v>45081.65549</v>
      </c>
      <c r="D5998" s="15">
        <f>IFERROR(__xludf.DUMMYFUNCTION("""COMPUTED_VALUE"""),1.006)</f>
        <v>1.006</v>
      </c>
      <c r="E5998" s="16">
        <f>IFERROR(__xludf.DUMMYFUNCTION("""COMPUTED_VALUE"""),67.0)</f>
        <v>67</v>
      </c>
      <c r="F5998" s="19" t="str">
        <f>IFERROR(__xludf.DUMMYFUNCTION("""COMPUTED_VALUE"""),"BLUE")</f>
        <v>BLUE</v>
      </c>
      <c r="G5998" s="20" t="str">
        <f>IFERROR(__xludf.DUMMYFUNCTION("""COMPUTED_VALUE"""),"Uncle Sams Cider (04/04/2023)")</f>
        <v>Uncle Sams Cider (04/04/2023)</v>
      </c>
      <c r="H5998" s="19"/>
    </row>
    <row r="5999">
      <c r="A5999" s="9"/>
      <c r="B5999" s="15"/>
      <c r="C5999" s="9">
        <f>IFERROR(__xludf.DUMMYFUNCTION("""COMPUTED_VALUE"""),45081.6450620833)</f>
        <v>45081.64506</v>
      </c>
      <c r="D5999" s="15">
        <f>IFERROR(__xludf.DUMMYFUNCTION("""COMPUTED_VALUE"""),1.006)</f>
        <v>1.006</v>
      </c>
      <c r="E5999" s="16">
        <f>IFERROR(__xludf.DUMMYFUNCTION("""COMPUTED_VALUE"""),67.0)</f>
        <v>67</v>
      </c>
      <c r="F5999" s="19" t="str">
        <f>IFERROR(__xludf.DUMMYFUNCTION("""COMPUTED_VALUE"""),"BLUE")</f>
        <v>BLUE</v>
      </c>
      <c r="G5999" s="20" t="str">
        <f>IFERROR(__xludf.DUMMYFUNCTION("""COMPUTED_VALUE"""),"Uncle Sams Cider (04/04/2023)")</f>
        <v>Uncle Sams Cider (04/04/2023)</v>
      </c>
      <c r="H5999" s="19"/>
    </row>
    <row r="6000">
      <c r="A6000" s="9"/>
      <c r="B6000" s="15"/>
      <c r="C6000" s="9">
        <f>IFERROR(__xludf.DUMMYFUNCTION("""COMPUTED_VALUE"""),45081.6346407986)</f>
        <v>45081.63464</v>
      </c>
      <c r="D6000" s="15">
        <f>IFERROR(__xludf.DUMMYFUNCTION("""COMPUTED_VALUE"""),1.006)</f>
        <v>1.006</v>
      </c>
      <c r="E6000" s="16">
        <f>IFERROR(__xludf.DUMMYFUNCTION("""COMPUTED_VALUE"""),67.0)</f>
        <v>67</v>
      </c>
      <c r="F6000" s="19" t="str">
        <f>IFERROR(__xludf.DUMMYFUNCTION("""COMPUTED_VALUE"""),"BLUE")</f>
        <v>BLUE</v>
      </c>
      <c r="G6000" s="20" t="str">
        <f>IFERROR(__xludf.DUMMYFUNCTION("""COMPUTED_VALUE"""),"Uncle Sams Cider (04/04/2023)")</f>
        <v>Uncle Sams Cider (04/04/2023)</v>
      </c>
      <c r="H6000" s="19"/>
    </row>
    <row r="6001">
      <c r="A6001" s="9"/>
      <c r="B6001" s="15"/>
      <c r="C6001" s="9">
        <f>IFERROR(__xludf.DUMMYFUNCTION("""COMPUTED_VALUE"""),45081.6242192476)</f>
        <v>45081.62422</v>
      </c>
      <c r="D6001" s="15">
        <f>IFERROR(__xludf.DUMMYFUNCTION("""COMPUTED_VALUE"""),1.006)</f>
        <v>1.006</v>
      </c>
      <c r="E6001" s="16">
        <f>IFERROR(__xludf.DUMMYFUNCTION("""COMPUTED_VALUE"""),67.0)</f>
        <v>67</v>
      </c>
      <c r="F6001" s="19" t="str">
        <f>IFERROR(__xludf.DUMMYFUNCTION("""COMPUTED_VALUE"""),"BLUE")</f>
        <v>BLUE</v>
      </c>
      <c r="G6001" s="20" t="str">
        <f>IFERROR(__xludf.DUMMYFUNCTION("""COMPUTED_VALUE"""),"Uncle Sams Cider (04/04/2023)")</f>
        <v>Uncle Sams Cider (04/04/2023)</v>
      </c>
      <c r="H6001" s="19"/>
    </row>
    <row r="6002">
      <c r="A6002" s="9"/>
      <c r="B6002" s="15"/>
      <c r="C6002" s="9">
        <f>IFERROR(__xludf.DUMMYFUNCTION("""COMPUTED_VALUE"""),45081.6137860185)</f>
        <v>45081.61379</v>
      </c>
      <c r="D6002" s="15">
        <f>IFERROR(__xludf.DUMMYFUNCTION("""COMPUTED_VALUE"""),1.006)</f>
        <v>1.006</v>
      </c>
      <c r="E6002" s="16">
        <f>IFERROR(__xludf.DUMMYFUNCTION("""COMPUTED_VALUE"""),67.0)</f>
        <v>67</v>
      </c>
      <c r="F6002" s="19" t="str">
        <f>IFERROR(__xludf.DUMMYFUNCTION("""COMPUTED_VALUE"""),"BLUE")</f>
        <v>BLUE</v>
      </c>
      <c r="G6002" s="20" t="str">
        <f>IFERROR(__xludf.DUMMYFUNCTION("""COMPUTED_VALUE"""),"Uncle Sams Cider (04/04/2023)")</f>
        <v>Uncle Sams Cider (04/04/2023)</v>
      </c>
      <c r="H6002" s="19"/>
    </row>
    <row r="6003">
      <c r="A6003" s="9"/>
      <c r="B6003" s="15"/>
      <c r="C6003" s="9">
        <f>IFERROR(__xludf.DUMMYFUNCTION("""COMPUTED_VALUE"""),45081.6033516666)</f>
        <v>45081.60335</v>
      </c>
      <c r="D6003" s="15">
        <f>IFERROR(__xludf.DUMMYFUNCTION("""COMPUTED_VALUE"""),1.006)</f>
        <v>1.006</v>
      </c>
      <c r="E6003" s="16">
        <f>IFERROR(__xludf.DUMMYFUNCTION("""COMPUTED_VALUE"""),67.0)</f>
        <v>67</v>
      </c>
      <c r="F6003" s="19" t="str">
        <f>IFERROR(__xludf.DUMMYFUNCTION("""COMPUTED_VALUE"""),"BLUE")</f>
        <v>BLUE</v>
      </c>
      <c r="G6003" s="20" t="str">
        <f>IFERROR(__xludf.DUMMYFUNCTION("""COMPUTED_VALUE"""),"Uncle Sams Cider (04/04/2023)")</f>
        <v>Uncle Sams Cider (04/04/2023)</v>
      </c>
      <c r="H6003" s="19"/>
    </row>
    <row r="6004">
      <c r="A6004" s="9"/>
      <c r="B6004" s="15"/>
      <c r="C6004" s="9">
        <f>IFERROR(__xludf.DUMMYFUNCTION("""COMPUTED_VALUE"""),45081.5929320717)</f>
        <v>45081.59293</v>
      </c>
      <c r="D6004" s="15">
        <f>IFERROR(__xludf.DUMMYFUNCTION("""COMPUTED_VALUE"""),1.006)</f>
        <v>1.006</v>
      </c>
      <c r="E6004" s="16">
        <f>IFERROR(__xludf.DUMMYFUNCTION("""COMPUTED_VALUE"""),67.0)</f>
        <v>67</v>
      </c>
      <c r="F6004" s="19" t="str">
        <f>IFERROR(__xludf.DUMMYFUNCTION("""COMPUTED_VALUE"""),"BLUE")</f>
        <v>BLUE</v>
      </c>
      <c r="G6004" s="20" t="str">
        <f>IFERROR(__xludf.DUMMYFUNCTION("""COMPUTED_VALUE"""),"Uncle Sams Cider (04/04/2023)")</f>
        <v>Uncle Sams Cider (04/04/2023)</v>
      </c>
      <c r="H6004" s="19"/>
    </row>
    <row r="6005">
      <c r="A6005" s="9"/>
      <c r="B6005" s="15"/>
      <c r="C6005" s="9">
        <f>IFERROR(__xludf.DUMMYFUNCTION("""COMPUTED_VALUE"""),45081.5825087962)</f>
        <v>45081.58251</v>
      </c>
      <c r="D6005" s="15">
        <f>IFERROR(__xludf.DUMMYFUNCTION("""COMPUTED_VALUE"""),1.006)</f>
        <v>1.006</v>
      </c>
      <c r="E6005" s="16">
        <f>IFERROR(__xludf.DUMMYFUNCTION("""COMPUTED_VALUE"""),67.0)</f>
        <v>67</v>
      </c>
      <c r="F6005" s="19" t="str">
        <f>IFERROR(__xludf.DUMMYFUNCTION("""COMPUTED_VALUE"""),"BLUE")</f>
        <v>BLUE</v>
      </c>
      <c r="G6005" s="20" t="str">
        <f>IFERROR(__xludf.DUMMYFUNCTION("""COMPUTED_VALUE"""),"Uncle Sams Cider (04/04/2023)")</f>
        <v>Uncle Sams Cider (04/04/2023)</v>
      </c>
      <c r="H6005" s="19"/>
    </row>
    <row r="6006">
      <c r="A6006" s="9"/>
      <c r="B6006" s="15"/>
      <c r="C6006" s="9">
        <f>IFERROR(__xludf.DUMMYFUNCTION("""COMPUTED_VALUE"""),45081.572087037)</f>
        <v>45081.57209</v>
      </c>
      <c r="D6006" s="15">
        <f>IFERROR(__xludf.DUMMYFUNCTION("""COMPUTED_VALUE"""),1.006)</f>
        <v>1.006</v>
      </c>
      <c r="E6006" s="16">
        <f>IFERROR(__xludf.DUMMYFUNCTION("""COMPUTED_VALUE"""),67.0)</f>
        <v>67</v>
      </c>
      <c r="F6006" s="19" t="str">
        <f>IFERROR(__xludf.DUMMYFUNCTION("""COMPUTED_VALUE"""),"BLUE")</f>
        <v>BLUE</v>
      </c>
      <c r="G6006" s="20" t="str">
        <f>IFERROR(__xludf.DUMMYFUNCTION("""COMPUTED_VALUE"""),"Uncle Sams Cider (04/04/2023)")</f>
        <v>Uncle Sams Cider (04/04/2023)</v>
      </c>
      <c r="H6006" s="19"/>
    </row>
    <row r="6007">
      <c r="A6007" s="9"/>
      <c r="B6007" s="15"/>
      <c r="C6007" s="9">
        <f>IFERROR(__xludf.DUMMYFUNCTION("""COMPUTED_VALUE"""),45081.5616558912)</f>
        <v>45081.56166</v>
      </c>
      <c r="D6007" s="15">
        <f>IFERROR(__xludf.DUMMYFUNCTION("""COMPUTED_VALUE"""),1.006)</f>
        <v>1.006</v>
      </c>
      <c r="E6007" s="16">
        <f>IFERROR(__xludf.DUMMYFUNCTION("""COMPUTED_VALUE"""),67.0)</f>
        <v>67</v>
      </c>
      <c r="F6007" s="19" t="str">
        <f>IFERROR(__xludf.DUMMYFUNCTION("""COMPUTED_VALUE"""),"BLUE")</f>
        <v>BLUE</v>
      </c>
      <c r="G6007" s="20" t="str">
        <f>IFERROR(__xludf.DUMMYFUNCTION("""COMPUTED_VALUE"""),"Uncle Sams Cider (04/04/2023)")</f>
        <v>Uncle Sams Cider (04/04/2023)</v>
      </c>
      <c r="H6007" s="19"/>
    </row>
    <row r="6008">
      <c r="A6008" s="9"/>
      <c r="B6008" s="15"/>
      <c r="C6008" s="9">
        <f>IFERROR(__xludf.DUMMYFUNCTION("""COMPUTED_VALUE"""),45081.5512346643)</f>
        <v>45081.55123</v>
      </c>
      <c r="D6008" s="15">
        <f>IFERROR(__xludf.DUMMYFUNCTION("""COMPUTED_VALUE"""),1.006)</f>
        <v>1.006</v>
      </c>
      <c r="E6008" s="16">
        <f>IFERROR(__xludf.DUMMYFUNCTION("""COMPUTED_VALUE"""),67.0)</f>
        <v>67</v>
      </c>
      <c r="F6008" s="19" t="str">
        <f>IFERROR(__xludf.DUMMYFUNCTION("""COMPUTED_VALUE"""),"BLUE")</f>
        <v>BLUE</v>
      </c>
      <c r="G6008" s="20" t="str">
        <f>IFERROR(__xludf.DUMMYFUNCTION("""COMPUTED_VALUE"""),"Uncle Sams Cider (04/04/2023)")</f>
        <v>Uncle Sams Cider (04/04/2023)</v>
      </c>
      <c r="H6008" s="19"/>
    </row>
    <row r="6009">
      <c r="A6009" s="9"/>
      <c r="B6009" s="15"/>
      <c r="C6009" s="9">
        <f>IFERROR(__xludf.DUMMYFUNCTION("""COMPUTED_VALUE"""),45081.5408131134)</f>
        <v>45081.54081</v>
      </c>
      <c r="D6009" s="15">
        <f>IFERROR(__xludf.DUMMYFUNCTION("""COMPUTED_VALUE"""),1.006)</f>
        <v>1.006</v>
      </c>
      <c r="E6009" s="16">
        <f>IFERROR(__xludf.DUMMYFUNCTION("""COMPUTED_VALUE"""),67.0)</f>
        <v>67</v>
      </c>
      <c r="F6009" s="19" t="str">
        <f>IFERROR(__xludf.DUMMYFUNCTION("""COMPUTED_VALUE"""),"BLUE")</f>
        <v>BLUE</v>
      </c>
      <c r="G6009" s="20" t="str">
        <f>IFERROR(__xludf.DUMMYFUNCTION("""COMPUTED_VALUE"""),"Uncle Sams Cider (04/04/2023)")</f>
        <v>Uncle Sams Cider (04/04/2023)</v>
      </c>
      <c r="H6009" s="19"/>
    </row>
    <row r="6010">
      <c r="A6010" s="9"/>
      <c r="B6010" s="15"/>
      <c r="C6010" s="9">
        <f>IFERROR(__xludf.DUMMYFUNCTION("""COMPUTED_VALUE"""),45081.5303919907)</f>
        <v>45081.53039</v>
      </c>
      <c r="D6010" s="15">
        <f>IFERROR(__xludf.DUMMYFUNCTION("""COMPUTED_VALUE"""),1.006)</f>
        <v>1.006</v>
      </c>
      <c r="E6010" s="16">
        <f>IFERROR(__xludf.DUMMYFUNCTION("""COMPUTED_VALUE"""),67.0)</f>
        <v>67</v>
      </c>
      <c r="F6010" s="19" t="str">
        <f>IFERROR(__xludf.DUMMYFUNCTION("""COMPUTED_VALUE"""),"BLUE")</f>
        <v>BLUE</v>
      </c>
      <c r="G6010" s="20" t="str">
        <f>IFERROR(__xludf.DUMMYFUNCTION("""COMPUTED_VALUE"""),"Uncle Sams Cider (04/04/2023)")</f>
        <v>Uncle Sams Cider (04/04/2023)</v>
      </c>
      <c r="H6010" s="19"/>
    </row>
    <row r="6011">
      <c r="A6011" s="9"/>
      <c r="B6011" s="15"/>
      <c r="C6011" s="9">
        <f>IFERROR(__xludf.DUMMYFUNCTION("""COMPUTED_VALUE"""),45081.5199579976)</f>
        <v>45081.51996</v>
      </c>
      <c r="D6011" s="15">
        <f>IFERROR(__xludf.DUMMYFUNCTION("""COMPUTED_VALUE"""),1.006)</f>
        <v>1.006</v>
      </c>
      <c r="E6011" s="16">
        <f>IFERROR(__xludf.DUMMYFUNCTION("""COMPUTED_VALUE"""),67.0)</f>
        <v>67</v>
      </c>
      <c r="F6011" s="19" t="str">
        <f>IFERROR(__xludf.DUMMYFUNCTION("""COMPUTED_VALUE"""),"BLUE")</f>
        <v>BLUE</v>
      </c>
      <c r="G6011" s="20" t="str">
        <f>IFERROR(__xludf.DUMMYFUNCTION("""COMPUTED_VALUE"""),"Uncle Sams Cider (04/04/2023)")</f>
        <v>Uncle Sams Cider (04/04/2023)</v>
      </c>
      <c r="H6011" s="19"/>
    </row>
    <row r="6012">
      <c r="A6012" s="9"/>
      <c r="B6012" s="15"/>
      <c r="C6012" s="9">
        <f>IFERROR(__xludf.DUMMYFUNCTION("""COMPUTED_VALUE"""),45081.5095382523)</f>
        <v>45081.50954</v>
      </c>
      <c r="D6012" s="15">
        <f>IFERROR(__xludf.DUMMYFUNCTION("""COMPUTED_VALUE"""),1.006)</f>
        <v>1.006</v>
      </c>
      <c r="E6012" s="16">
        <f>IFERROR(__xludf.DUMMYFUNCTION("""COMPUTED_VALUE"""),67.0)</f>
        <v>67</v>
      </c>
      <c r="F6012" s="19" t="str">
        <f>IFERROR(__xludf.DUMMYFUNCTION("""COMPUTED_VALUE"""),"BLUE")</f>
        <v>BLUE</v>
      </c>
      <c r="G6012" s="20" t="str">
        <f>IFERROR(__xludf.DUMMYFUNCTION("""COMPUTED_VALUE"""),"Uncle Sams Cider (04/04/2023)")</f>
        <v>Uncle Sams Cider (04/04/2023)</v>
      </c>
      <c r="H6012" s="19"/>
    </row>
    <row r="6013">
      <c r="A6013" s="9"/>
      <c r="B6013" s="15"/>
      <c r="C6013" s="9">
        <f>IFERROR(__xludf.DUMMYFUNCTION("""COMPUTED_VALUE"""),45081.4991172569)</f>
        <v>45081.49912</v>
      </c>
      <c r="D6013" s="15">
        <f>IFERROR(__xludf.DUMMYFUNCTION("""COMPUTED_VALUE"""),1.006)</f>
        <v>1.006</v>
      </c>
      <c r="E6013" s="16">
        <f>IFERROR(__xludf.DUMMYFUNCTION("""COMPUTED_VALUE"""),67.0)</f>
        <v>67</v>
      </c>
      <c r="F6013" s="19" t="str">
        <f>IFERROR(__xludf.DUMMYFUNCTION("""COMPUTED_VALUE"""),"BLUE")</f>
        <v>BLUE</v>
      </c>
      <c r="G6013" s="20" t="str">
        <f>IFERROR(__xludf.DUMMYFUNCTION("""COMPUTED_VALUE"""),"Uncle Sams Cider (04/04/2023)")</f>
        <v>Uncle Sams Cider (04/04/2023)</v>
      </c>
      <c r="H6013" s="19"/>
    </row>
    <row r="6014">
      <c r="A6014" s="9"/>
      <c r="B6014" s="15"/>
      <c r="C6014" s="9">
        <f>IFERROR(__xludf.DUMMYFUNCTION("""COMPUTED_VALUE"""),45081.4886959953)</f>
        <v>45081.4887</v>
      </c>
      <c r="D6014" s="15">
        <f>IFERROR(__xludf.DUMMYFUNCTION("""COMPUTED_VALUE"""),1.006)</f>
        <v>1.006</v>
      </c>
      <c r="E6014" s="16">
        <f>IFERROR(__xludf.DUMMYFUNCTION("""COMPUTED_VALUE"""),67.0)</f>
        <v>67</v>
      </c>
      <c r="F6014" s="19" t="str">
        <f>IFERROR(__xludf.DUMMYFUNCTION("""COMPUTED_VALUE"""),"BLUE")</f>
        <v>BLUE</v>
      </c>
      <c r="G6014" s="20" t="str">
        <f>IFERROR(__xludf.DUMMYFUNCTION("""COMPUTED_VALUE"""),"Uncle Sams Cider (04/04/2023)")</f>
        <v>Uncle Sams Cider (04/04/2023)</v>
      </c>
      <c r="H6014" s="19"/>
    </row>
    <row r="6015">
      <c r="A6015" s="9"/>
      <c r="B6015" s="15"/>
      <c r="C6015" s="9">
        <f>IFERROR(__xludf.DUMMYFUNCTION("""COMPUTED_VALUE"""),45081.4782512731)</f>
        <v>45081.47825</v>
      </c>
      <c r="D6015" s="15">
        <f>IFERROR(__xludf.DUMMYFUNCTION("""COMPUTED_VALUE"""),1.006)</f>
        <v>1.006</v>
      </c>
      <c r="E6015" s="16">
        <f>IFERROR(__xludf.DUMMYFUNCTION("""COMPUTED_VALUE"""),67.0)</f>
        <v>67</v>
      </c>
      <c r="F6015" s="19" t="str">
        <f>IFERROR(__xludf.DUMMYFUNCTION("""COMPUTED_VALUE"""),"BLUE")</f>
        <v>BLUE</v>
      </c>
      <c r="G6015" s="20" t="str">
        <f>IFERROR(__xludf.DUMMYFUNCTION("""COMPUTED_VALUE"""),"Uncle Sams Cider (04/04/2023)")</f>
        <v>Uncle Sams Cider (04/04/2023)</v>
      </c>
      <c r="H6015" s="19"/>
    </row>
    <row r="6016">
      <c r="A6016" s="9"/>
      <c r="B6016" s="15"/>
      <c r="C6016" s="9">
        <f>IFERROR(__xludf.DUMMYFUNCTION("""COMPUTED_VALUE"""),45081.4678306018)</f>
        <v>45081.46783</v>
      </c>
      <c r="D6016" s="15">
        <f>IFERROR(__xludf.DUMMYFUNCTION("""COMPUTED_VALUE"""),1.006)</f>
        <v>1.006</v>
      </c>
      <c r="E6016" s="16">
        <f>IFERROR(__xludf.DUMMYFUNCTION("""COMPUTED_VALUE"""),67.0)</f>
        <v>67</v>
      </c>
      <c r="F6016" s="19" t="str">
        <f>IFERROR(__xludf.DUMMYFUNCTION("""COMPUTED_VALUE"""),"BLUE")</f>
        <v>BLUE</v>
      </c>
      <c r="G6016" s="20" t="str">
        <f>IFERROR(__xludf.DUMMYFUNCTION("""COMPUTED_VALUE"""),"Uncle Sams Cider (04/04/2023)")</f>
        <v>Uncle Sams Cider (04/04/2023)</v>
      </c>
      <c r="H6016" s="19"/>
    </row>
    <row r="6017">
      <c r="A6017" s="9"/>
      <c r="B6017" s="15"/>
      <c r="C6017" s="9">
        <f>IFERROR(__xludf.DUMMYFUNCTION("""COMPUTED_VALUE"""),45081.4574073263)</f>
        <v>45081.45741</v>
      </c>
      <c r="D6017" s="15">
        <f>IFERROR(__xludf.DUMMYFUNCTION("""COMPUTED_VALUE"""),1.006)</f>
        <v>1.006</v>
      </c>
      <c r="E6017" s="16">
        <f>IFERROR(__xludf.DUMMYFUNCTION("""COMPUTED_VALUE"""),67.0)</f>
        <v>67</v>
      </c>
      <c r="F6017" s="19" t="str">
        <f>IFERROR(__xludf.DUMMYFUNCTION("""COMPUTED_VALUE"""),"BLUE")</f>
        <v>BLUE</v>
      </c>
      <c r="G6017" s="20" t="str">
        <f>IFERROR(__xludf.DUMMYFUNCTION("""COMPUTED_VALUE"""),"Uncle Sams Cider (04/04/2023)")</f>
        <v>Uncle Sams Cider (04/04/2023)</v>
      </c>
      <c r="H6017" s="19"/>
    </row>
    <row r="6018">
      <c r="A6018" s="9"/>
      <c r="B6018" s="15"/>
      <c r="C6018" s="9">
        <f>IFERROR(__xludf.DUMMYFUNCTION("""COMPUTED_VALUE"""),45081.4469849768)</f>
        <v>45081.44698</v>
      </c>
      <c r="D6018" s="15">
        <f>IFERROR(__xludf.DUMMYFUNCTION("""COMPUTED_VALUE"""),1.006)</f>
        <v>1.006</v>
      </c>
      <c r="E6018" s="16">
        <f>IFERROR(__xludf.DUMMYFUNCTION("""COMPUTED_VALUE"""),67.0)</f>
        <v>67</v>
      </c>
      <c r="F6018" s="19" t="str">
        <f>IFERROR(__xludf.DUMMYFUNCTION("""COMPUTED_VALUE"""),"BLUE")</f>
        <v>BLUE</v>
      </c>
      <c r="G6018" s="20" t="str">
        <f>IFERROR(__xludf.DUMMYFUNCTION("""COMPUTED_VALUE"""),"Uncle Sams Cider (04/04/2023)")</f>
        <v>Uncle Sams Cider (04/04/2023)</v>
      </c>
      <c r="H6018" s="19"/>
    </row>
    <row r="6019">
      <c r="A6019" s="9"/>
      <c r="B6019" s="15"/>
      <c r="C6019" s="9">
        <f>IFERROR(__xludf.DUMMYFUNCTION("""COMPUTED_VALUE"""),45081.4365509953)</f>
        <v>45081.43655</v>
      </c>
      <c r="D6019" s="15">
        <f>IFERROR(__xludf.DUMMYFUNCTION("""COMPUTED_VALUE"""),1.006)</f>
        <v>1.006</v>
      </c>
      <c r="E6019" s="16">
        <f>IFERROR(__xludf.DUMMYFUNCTION("""COMPUTED_VALUE"""),67.0)</f>
        <v>67</v>
      </c>
      <c r="F6019" s="19" t="str">
        <f>IFERROR(__xludf.DUMMYFUNCTION("""COMPUTED_VALUE"""),"BLUE")</f>
        <v>BLUE</v>
      </c>
      <c r="G6019" s="20" t="str">
        <f>IFERROR(__xludf.DUMMYFUNCTION("""COMPUTED_VALUE"""),"Uncle Sams Cider (04/04/2023)")</f>
        <v>Uncle Sams Cider (04/04/2023)</v>
      </c>
      <c r="H6019" s="19"/>
    </row>
    <row r="6020">
      <c r="A6020" s="9"/>
      <c r="B6020" s="15"/>
      <c r="C6020" s="9">
        <f>IFERROR(__xludf.DUMMYFUNCTION("""COMPUTED_VALUE"""),45081.4261176504)</f>
        <v>45081.42612</v>
      </c>
      <c r="D6020" s="15">
        <f>IFERROR(__xludf.DUMMYFUNCTION("""COMPUTED_VALUE"""),1.006)</f>
        <v>1.006</v>
      </c>
      <c r="E6020" s="16">
        <f>IFERROR(__xludf.DUMMYFUNCTION("""COMPUTED_VALUE"""),67.0)</f>
        <v>67</v>
      </c>
      <c r="F6020" s="19" t="str">
        <f>IFERROR(__xludf.DUMMYFUNCTION("""COMPUTED_VALUE"""),"BLUE")</f>
        <v>BLUE</v>
      </c>
      <c r="G6020" s="20" t="str">
        <f>IFERROR(__xludf.DUMMYFUNCTION("""COMPUTED_VALUE"""),"Uncle Sams Cider (04/04/2023)")</f>
        <v>Uncle Sams Cider (04/04/2023)</v>
      </c>
      <c r="H6020" s="19"/>
    </row>
    <row r="6021">
      <c r="A6021" s="9"/>
      <c r="B6021" s="15"/>
      <c r="C6021" s="9">
        <f>IFERROR(__xludf.DUMMYFUNCTION("""COMPUTED_VALUE"""),45081.4156942939)</f>
        <v>45081.41569</v>
      </c>
      <c r="D6021" s="15">
        <f>IFERROR(__xludf.DUMMYFUNCTION("""COMPUTED_VALUE"""),1.006)</f>
        <v>1.006</v>
      </c>
      <c r="E6021" s="16">
        <f>IFERROR(__xludf.DUMMYFUNCTION("""COMPUTED_VALUE"""),67.0)</f>
        <v>67</v>
      </c>
      <c r="F6021" s="19" t="str">
        <f>IFERROR(__xludf.DUMMYFUNCTION("""COMPUTED_VALUE"""),"BLUE")</f>
        <v>BLUE</v>
      </c>
      <c r="G6021" s="20" t="str">
        <f>IFERROR(__xludf.DUMMYFUNCTION("""COMPUTED_VALUE"""),"Uncle Sams Cider (04/04/2023)")</f>
        <v>Uncle Sams Cider (04/04/2023)</v>
      </c>
      <c r="H6021" s="19"/>
    </row>
    <row r="6022">
      <c r="A6022" s="9"/>
      <c r="B6022" s="15"/>
      <c r="C6022" s="9">
        <f>IFERROR(__xludf.DUMMYFUNCTION("""COMPUTED_VALUE"""),45081.4052261805)</f>
        <v>45081.40523</v>
      </c>
      <c r="D6022" s="15">
        <f>IFERROR(__xludf.DUMMYFUNCTION("""COMPUTED_VALUE"""),1.006)</f>
        <v>1.006</v>
      </c>
      <c r="E6022" s="16">
        <f>IFERROR(__xludf.DUMMYFUNCTION("""COMPUTED_VALUE"""),67.0)</f>
        <v>67</v>
      </c>
      <c r="F6022" s="19" t="str">
        <f>IFERROR(__xludf.DUMMYFUNCTION("""COMPUTED_VALUE"""),"BLUE")</f>
        <v>BLUE</v>
      </c>
      <c r="G6022" s="20" t="str">
        <f>IFERROR(__xludf.DUMMYFUNCTION("""COMPUTED_VALUE"""),"Uncle Sams Cider (04/04/2023)")</f>
        <v>Uncle Sams Cider (04/04/2023)</v>
      </c>
      <c r="H6022" s="19"/>
    </row>
    <row r="6023">
      <c r="A6023" s="9"/>
      <c r="B6023" s="15"/>
      <c r="C6023" s="9">
        <f>IFERROR(__xludf.DUMMYFUNCTION("""COMPUTED_VALUE"""),45081.3947946296)</f>
        <v>45081.39479</v>
      </c>
      <c r="D6023" s="15">
        <f>IFERROR(__xludf.DUMMYFUNCTION("""COMPUTED_VALUE"""),1.006)</f>
        <v>1.006</v>
      </c>
      <c r="E6023" s="16">
        <f>IFERROR(__xludf.DUMMYFUNCTION("""COMPUTED_VALUE"""),67.0)</f>
        <v>67</v>
      </c>
      <c r="F6023" s="19" t="str">
        <f>IFERROR(__xludf.DUMMYFUNCTION("""COMPUTED_VALUE"""),"BLUE")</f>
        <v>BLUE</v>
      </c>
      <c r="G6023" s="20" t="str">
        <f>IFERROR(__xludf.DUMMYFUNCTION("""COMPUTED_VALUE"""),"Uncle Sams Cider (04/04/2023)")</f>
        <v>Uncle Sams Cider (04/04/2023)</v>
      </c>
      <c r="H6023" s="19"/>
    </row>
    <row r="6024">
      <c r="A6024" s="9"/>
      <c r="B6024" s="15"/>
      <c r="C6024" s="9">
        <f>IFERROR(__xludf.DUMMYFUNCTION("""COMPUTED_VALUE"""),45081.3843620833)</f>
        <v>45081.38436</v>
      </c>
      <c r="D6024" s="15">
        <f>IFERROR(__xludf.DUMMYFUNCTION("""COMPUTED_VALUE"""),1.006)</f>
        <v>1.006</v>
      </c>
      <c r="E6024" s="16">
        <f>IFERROR(__xludf.DUMMYFUNCTION("""COMPUTED_VALUE"""),67.0)</f>
        <v>67</v>
      </c>
      <c r="F6024" s="19" t="str">
        <f>IFERROR(__xludf.DUMMYFUNCTION("""COMPUTED_VALUE"""),"BLUE")</f>
        <v>BLUE</v>
      </c>
      <c r="G6024" s="20" t="str">
        <f>IFERROR(__xludf.DUMMYFUNCTION("""COMPUTED_VALUE"""),"Uncle Sams Cider (04/04/2023)")</f>
        <v>Uncle Sams Cider (04/04/2023)</v>
      </c>
      <c r="H6024" s="19"/>
    </row>
    <row r="6025">
      <c r="A6025" s="9"/>
      <c r="B6025" s="15"/>
      <c r="C6025" s="9">
        <f>IFERROR(__xludf.DUMMYFUNCTION("""COMPUTED_VALUE"""),45081.3739287037)</f>
        <v>45081.37393</v>
      </c>
      <c r="D6025" s="15">
        <f>IFERROR(__xludf.DUMMYFUNCTION("""COMPUTED_VALUE"""),1.006)</f>
        <v>1.006</v>
      </c>
      <c r="E6025" s="16">
        <f>IFERROR(__xludf.DUMMYFUNCTION("""COMPUTED_VALUE"""),67.0)</f>
        <v>67</v>
      </c>
      <c r="F6025" s="19" t="str">
        <f>IFERROR(__xludf.DUMMYFUNCTION("""COMPUTED_VALUE"""),"BLUE")</f>
        <v>BLUE</v>
      </c>
      <c r="G6025" s="20" t="str">
        <f>IFERROR(__xludf.DUMMYFUNCTION("""COMPUTED_VALUE"""),"Uncle Sams Cider (04/04/2023)")</f>
        <v>Uncle Sams Cider (04/04/2023)</v>
      </c>
      <c r="H6025" s="19"/>
    </row>
    <row r="6026">
      <c r="A6026" s="9"/>
      <c r="B6026" s="15"/>
      <c r="C6026" s="9">
        <f>IFERROR(__xludf.DUMMYFUNCTION("""COMPUTED_VALUE"""),45081.3635097222)</f>
        <v>45081.36351</v>
      </c>
      <c r="D6026" s="15">
        <f>IFERROR(__xludf.DUMMYFUNCTION("""COMPUTED_VALUE"""),1.006)</f>
        <v>1.006</v>
      </c>
      <c r="E6026" s="16">
        <f>IFERROR(__xludf.DUMMYFUNCTION("""COMPUTED_VALUE"""),67.0)</f>
        <v>67</v>
      </c>
      <c r="F6026" s="19" t="str">
        <f>IFERROR(__xludf.DUMMYFUNCTION("""COMPUTED_VALUE"""),"BLUE")</f>
        <v>BLUE</v>
      </c>
      <c r="G6026" s="20" t="str">
        <f>IFERROR(__xludf.DUMMYFUNCTION("""COMPUTED_VALUE"""),"Uncle Sams Cider (04/04/2023)")</f>
        <v>Uncle Sams Cider (04/04/2023)</v>
      </c>
      <c r="H6026" s="19"/>
    </row>
    <row r="6027">
      <c r="A6027" s="9"/>
      <c r="B6027" s="15"/>
      <c r="C6027" s="9">
        <f>IFERROR(__xludf.DUMMYFUNCTION("""COMPUTED_VALUE"""),45081.3530874768)</f>
        <v>45081.35309</v>
      </c>
      <c r="D6027" s="15">
        <f>IFERROR(__xludf.DUMMYFUNCTION("""COMPUTED_VALUE"""),1.006)</f>
        <v>1.006</v>
      </c>
      <c r="E6027" s="16">
        <f>IFERROR(__xludf.DUMMYFUNCTION("""COMPUTED_VALUE"""),67.0)</f>
        <v>67</v>
      </c>
      <c r="F6027" s="19" t="str">
        <f>IFERROR(__xludf.DUMMYFUNCTION("""COMPUTED_VALUE"""),"BLUE")</f>
        <v>BLUE</v>
      </c>
      <c r="G6027" s="20" t="str">
        <f>IFERROR(__xludf.DUMMYFUNCTION("""COMPUTED_VALUE"""),"Uncle Sams Cider (04/04/2023)")</f>
        <v>Uncle Sams Cider (04/04/2023)</v>
      </c>
      <c r="H6027" s="19"/>
    </row>
    <row r="6028">
      <c r="A6028" s="9"/>
      <c r="B6028" s="15"/>
      <c r="C6028" s="9">
        <f>IFERROR(__xludf.DUMMYFUNCTION("""COMPUTED_VALUE"""),45081.3426648263)</f>
        <v>45081.34266</v>
      </c>
      <c r="D6028" s="15">
        <f>IFERROR(__xludf.DUMMYFUNCTION("""COMPUTED_VALUE"""),1.006)</f>
        <v>1.006</v>
      </c>
      <c r="E6028" s="16">
        <f>IFERROR(__xludf.DUMMYFUNCTION("""COMPUTED_VALUE"""),67.0)</f>
        <v>67</v>
      </c>
      <c r="F6028" s="19" t="str">
        <f>IFERROR(__xludf.DUMMYFUNCTION("""COMPUTED_VALUE"""),"BLUE")</f>
        <v>BLUE</v>
      </c>
      <c r="G6028" s="20" t="str">
        <f>IFERROR(__xludf.DUMMYFUNCTION("""COMPUTED_VALUE"""),"Uncle Sams Cider (04/04/2023)")</f>
        <v>Uncle Sams Cider (04/04/2023)</v>
      </c>
      <c r="H6028" s="19"/>
    </row>
    <row r="6029">
      <c r="A6029" s="9"/>
      <c r="B6029" s="15"/>
      <c r="C6029" s="9">
        <f>IFERROR(__xludf.DUMMYFUNCTION("""COMPUTED_VALUE"""),45081.3322195601)</f>
        <v>45081.33222</v>
      </c>
      <c r="D6029" s="15">
        <f>IFERROR(__xludf.DUMMYFUNCTION("""COMPUTED_VALUE"""),1.006)</f>
        <v>1.006</v>
      </c>
      <c r="E6029" s="16">
        <f>IFERROR(__xludf.DUMMYFUNCTION("""COMPUTED_VALUE"""),67.0)</f>
        <v>67</v>
      </c>
      <c r="F6029" s="19" t="str">
        <f>IFERROR(__xludf.DUMMYFUNCTION("""COMPUTED_VALUE"""),"BLUE")</f>
        <v>BLUE</v>
      </c>
      <c r="G6029" s="20" t="str">
        <f>IFERROR(__xludf.DUMMYFUNCTION("""COMPUTED_VALUE"""),"Uncle Sams Cider (04/04/2023)")</f>
        <v>Uncle Sams Cider (04/04/2023)</v>
      </c>
      <c r="H6029" s="19"/>
    </row>
    <row r="6030">
      <c r="A6030" s="9"/>
      <c r="B6030" s="15"/>
      <c r="C6030" s="9">
        <f>IFERROR(__xludf.DUMMYFUNCTION("""COMPUTED_VALUE"""),45081.3217983796)</f>
        <v>45081.3218</v>
      </c>
      <c r="D6030" s="15">
        <f>IFERROR(__xludf.DUMMYFUNCTION("""COMPUTED_VALUE"""),1.006)</f>
        <v>1.006</v>
      </c>
      <c r="E6030" s="16">
        <f>IFERROR(__xludf.DUMMYFUNCTION("""COMPUTED_VALUE"""),67.0)</f>
        <v>67</v>
      </c>
      <c r="F6030" s="19" t="str">
        <f>IFERROR(__xludf.DUMMYFUNCTION("""COMPUTED_VALUE"""),"BLUE")</f>
        <v>BLUE</v>
      </c>
      <c r="G6030" s="20" t="str">
        <f>IFERROR(__xludf.DUMMYFUNCTION("""COMPUTED_VALUE"""),"Uncle Sams Cider (04/04/2023)")</f>
        <v>Uncle Sams Cider (04/04/2023)</v>
      </c>
      <c r="H6030" s="19"/>
    </row>
    <row r="6031">
      <c r="A6031" s="9"/>
      <c r="B6031" s="15"/>
      <c r="C6031" s="9">
        <f>IFERROR(__xludf.DUMMYFUNCTION("""COMPUTED_VALUE"""),45081.3113775347)</f>
        <v>45081.31138</v>
      </c>
      <c r="D6031" s="15">
        <f>IFERROR(__xludf.DUMMYFUNCTION("""COMPUTED_VALUE"""),1.006)</f>
        <v>1.006</v>
      </c>
      <c r="E6031" s="16">
        <f>IFERROR(__xludf.DUMMYFUNCTION("""COMPUTED_VALUE"""),67.0)</f>
        <v>67</v>
      </c>
      <c r="F6031" s="19" t="str">
        <f>IFERROR(__xludf.DUMMYFUNCTION("""COMPUTED_VALUE"""),"BLUE")</f>
        <v>BLUE</v>
      </c>
      <c r="G6031" s="20" t="str">
        <f>IFERROR(__xludf.DUMMYFUNCTION("""COMPUTED_VALUE"""),"Uncle Sams Cider (04/04/2023)")</f>
        <v>Uncle Sams Cider (04/04/2023)</v>
      </c>
      <c r="H6031" s="19"/>
    </row>
    <row r="6032">
      <c r="A6032" s="9"/>
      <c r="B6032" s="15"/>
      <c r="C6032" s="9">
        <f>IFERROR(__xludf.DUMMYFUNCTION("""COMPUTED_VALUE"""),45081.3009562152)</f>
        <v>45081.30096</v>
      </c>
      <c r="D6032" s="15">
        <f>IFERROR(__xludf.DUMMYFUNCTION("""COMPUTED_VALUE"""),1.006)</f>
        <v>1.006</v>
      </c>
      <c r="E6032" s="16">
        <f>IFERROR(__xludf.DUMMYFUNCTION("""COMPUTED_VALUE"""),67.0)</f>
        <v>67</v>
      </c>
      <c r="F6032" s="19" t="str">
        <f>IFERROR(__xludf.DUMMYFUNCTION("""COMPUTED_VALUE"""),"BLUE")</f>
        <v>BLUE</v>
      </c>
      <c r="G6032" s="20" t="str">
        <f>IFERROR(__xludf.DUMMYFUNCTION("""COMPUTED_VALUE"""),"Uncle Sams Cider (04/04/2023)")</f>
        <v>Uncle Sams Cider (04/04/2023)</v>
      </c>
      <c r="H6032" s="19"/>
    </row>
    <row r="6033">
      <c r="A6033" s="9"/>
      <c r="B6033" s="15"/>
      <c r="C6033" s="9">
        <f>IFERROR(__xludf.DUMMYFUNCTION("""COMPUTED_VALUE"""),45081.2905360879)</f>
        <v>45081.29054</v>
      </c>
      <c r="D6033" s="15">
        <f>IFERROR(__xludf.DUMMYFUNCTION("""COMPUTED_VALUE"""),1.006)</f>
        <v>1.006</v>
      </c>
      <c r="E6033" s="16">
        <f>IFERROR(__xludf.DUMMYFUNCTION("""COMPUTED_VALUE"""),67.0)</f>
        <v>67</v>
      </c>
      <c r="F6033" s="19" t="str">
        <f>IFERROR(__xludf.DUMMYFUNCTION("""COMPUTED_VALUE"""),"BLUE")</f>
        <v>BLUE</v>
      </c>
      <c r="G6033" s="20" t="str">
        <f>IFERROR(__xludf.DUMMYFUNCTION("""COMPUTED_VALUE"""),"Uncle Sams Cider (04/04/2023)")</f>
        <v>Uncle Sams Cider (04/04/2023)</v>
      </c>
      <c r="H6033" s="19"/>
    </row>
    <row r="6034">
      <c r="A6034" s="9"/>
      <c r="B6034" s="15"/>
      <c r="C6034" s="9">
        <f>IFERROR(__xludf.DUMMYFUNCTION("""COMPUTED_VALUE"""),45081.2801135069)</f>
        <v>45081.28011</v>
      </c>
      <c r="D6034" s="15">
        <f>IFERROR(__xludf.DUMMYFUNCTION("""COMPUTED_VALUE"""),1.006)</f>
        <v>1.006</v>
      </c>
      <c r="E6034" s="16">
        <f>IFERROR(__xludf.DUMMYFUNCTION("""COMPUTED_VALUE"""),67.0)</f>
        <v>67</v>
      </c>
      <c r="F6034" s="19" t="str">
        <f>IFERROR(__xludf.DUMMYFUNCTION("""COMPUTED_VALUE"""),"BLUE")</f>
        <v>BLUE</v>
      </c>
      <c r="G6034" s="20" t="str">
        <f>IFERROR(__xludf.DUMMYFUNCTION("""COMPUTED_VALUE"""),"Uncle Sams Cider (04/04/2023)")</f>
        <v>Uncle Sams Cider (04/04/2023)</v>
      </c>
      <c r="H6034" s="19"/>
    </row>
    <row r="6035">
      <c r="A6035" s="9"/>
      <c r="B6035" s="15"/>
      <c r="C6035" s="9">
        <f>IFERROR(__xludf.DUMMYFUNCTION("""COMPUTED_VALUE"""),45081.2696927662)</f>
        <v>45081.26969</v>
      </c>
      <c r="D6035" s="15">
        <f>IFERROR(__xludf.DUMMYFUNCTION("""COMPUTED_VALUE"""),1.006)</f>
        <v>1.006</v>
      </c>
      <c r="E6035" s="16">
        <f>IFERROR(__xludf.DUMMYFUNCTION("""COMPUTED_VALUE"""),67.0)</f>
        <v>67</v>
      </c>
      <c r="F6035" s="19" t="str">
        <f>IFERROR(__xludf.DUMMYFUNCTION("""COMPUTED_VALUE"""),"BLUE")</f>
        <v>BLUE</v>
      </c>
      <c r="G6035" s="20" t="str">
        <f>IFERROR(__xludf.DUMMYFUNCTION("""COMPUTED_VALUE"""),"Uncle Sams Cider (04/04/2023)")</f>
        <v>Uncle Sams Cider (04/04/2023)</v>
      </c>
      <c r="H6035" s="19"/>
    </row>
    <row r="6036">
      <c r="A6036" s="9"/>
      <c r="B6036" s="15"/>
      <c r="C6036" s="9">
        <f>IFERROR(__xludf.DUMMYFUNCTION("""COMPUTED_VALUE"""),45081.2592694907)</f>
        <v>45081.25927</v>
      </c>
      <c r="D6036" s="15">
        <f>IFERROR(__xludf.DUMMYFUNCTION("""COMPUTED_VALUE"""),1.006)</f>
        <v>1.006</v>
      </c>
      <c r="E6036" s="16">
        <f>IFERROR(__xludf.DUMMYFUNCTION("""COMPUTED_VALUE"""),67.0)</f>
        <v>67</v>
      </c>
      <c r="F6036" s="19" t="str">
        <f>IFERROR(__xludf.DUMMYFUNCTION("""COMPUTED_VALUE"""),"BLUE")</f>
        <v>BLUE</v>
      </c>
      <c r="G6036" s="20" t="str">
        <f>IFERROR(__xludf.DUMMYFUNCTION("""COMPUTED_VALUE"""),"Uncle Sams Cider (04/04/2023)")</f>
        <v>Uncle Sams Cider (04/04/2023)</v>
      </c>
      <c r="H6036" s="19"/>
    </row>
    <row r="6037">
      <c r="A6037" s="9"/>
      <c r="B6037" s="15"/>
      <c r="C6037" s="9">
        <f>IFERROR(__xludf.DUMMYFUNCTION("""COMPUTED_VALUE"""),45081.2488474652)</f>
        <v>45081.24885</v>
      </c>
      <c r="D6037" s="15">
        <f>IFERROR(__xludf.DUMMYFUNCTION("""COMPUTED_VALUE"""),1.006)</f>
        <v>1.006</v>
      </c>
      <c r="E6037" s="16">
        <f>IFERROR(__xludf.DUMMYFUNCTION("""COMPUTED_VALUE"""),67.0)</f>
        <v>67</v>
      </c>
      <c r="F6037" s="19" t="str">
        <f>IFERROR(__xludf.DUMMYFUNCTION("""COMPUTED_VALUE"""),"BLUE")</f>
        <v>BLUE</v>
      </c>
      <c r="G6037" s="20" t="str">
        <f>IFERROR(__xludf.DUMMYFUNCTION("""COMPUTED_VALUE"""),"Uncle Sams Cider (04/04/2023)")</f>
        <v>Uncle Sams Cider (04/04/2023)</v>
      </c>
      <c r="H6037" s="19"/>
    </row>
    <row r="6038">
      <c r="A6038" s="9"/>
      <c r="B6038" s="15"/>
      <c r="C6038" s="9">
        <f>IFERROR(__xludf.DUMMYFUNCTION("""COMPUTED_VALUE"""),45081.2384268865)</f>
        <v>45081.23843</v>
      </c>
      <c r="D6038" s="15">
        <f>IFERROR(__xludf.DUMMYFUNCTION("""COMPUTED_VALUE"""),1.006)</f>
        <v>1.006</v>
      </c>
      <c r="E6038" s="16">
        <f>IFERROR(__xludf.DUMMYFUNCTION("""COMPUTED_VALUE"""),67.0)</f>
        <v>67</v>
      </c>
      <c r="F6038" s="19" t="str">
        <f>IFERROR(__xludf.DUMMYFUNCTION("""COMPUTED_VALUE"""),"BLUE")</f>
        <v>BLUE</v>
      </c>
      <c r="G6038" s="20" t="str">
        <f>IFERROR(__xludf.DUMMYFUNCTION("""COMPUTED_VALUE"""),"Uncle Sams Cider (04/04/2023)")</f>
        <v>Uncle Sams Cider (04/04/2023)</v>
      </c>
      <c r="H6038" s="19"/>
    </row>
    <row r="6039">
      <c r="A6039" s="9"/>
      <c r="B6039" s="15"/>
      <c r="C6039" s="9">
        <f>IFERROR(__xludf.DUMMYFUNCTION("""COMPUTED_VALUE"""),45081.2279715162)</f>
        <v>45081.22797</v>
      </c>
      <c r="D6039" s="15">
        <f>IFERROR(__xludf.DUMMYFUNCTION("""COMPUTED_VALUE"""),1.006)</f>
        <v>1.006</v>
      </c>
      <c r="E6039" s="16">
        <f>IFERROR(__xludf.DUMMYFUNCTION("""COMPUTED_VALUE"""),67.0)</f>
        <v>67</v>
      </c>
      <c r="F6039" s="19" t="str">
        <f>IFERROR(__xludf.DUMMYFUNCTION("""COMPUTED_VALUE"""),"BLUE")</f>
        <v>BLUE</v>
      </c>
      <c r="G6039" s="20" t="str">
        <f>IFERROR(__xludf.DUMMYFUNCTION("""COMPUTED_VALUE"""),"Uncle Sams Cider (04/04/2023)")</f>
        <v>Uncle Sams Cider (04/04/2023)</v>
      </c>
      <c r="H6039" s="19"/>
    </row>
    <row r="6040">
      <c r="A6040" s="9"/>
      <c r="B6040" s="15"/>
      <c r="C6040" s="9">
        <f>IFERROR(__xludf.DUMMYFUNCTION("""COMPUTED_VALUE"""),45081.2175524421)</f>
        <v>45081.21755</v>
      </c>
      <c r="D6040" s="15">
        <f>IFERROR(__xludf.DUMMYFUNCTION("""COMPUTED_VALUE"""),1.006)</f>
        <v>1.006</v>
      </c>
      <c r="E6040" s="16">
        <f>IFERROR(__xludf.DUMMYFUNCTION("""COMPUTED_VALUE"""),67.0)</f>
        <v>67</v>
      </c>
      <c r="F6040" s="19" t="str">
        <f>IFERROR(__xludf.DUMMYFUNCTION("""COMPUTED_VALUE"""),"BLUE")</f>
        <v>BLUE</v>
      </c>
      <c r="G6040" s="20" t="str">
        <f>IFERROR(__xludf.DUMMYFUNCTION("""COMPUTED_VALUE"""),"Uncle Sams Cider (04/04/2023)")</f>
        <v>Uncle Sams Cider (04/04/2023)</v>
      </c>
      <c r="H6040" s="19"/>
    </row>
    <row r="6041">
      <c r="A6041" s="9"/>
      <c r="B6041" s="15"/>
      <c r="C6041" s="9">
        <f>IFERROR(__xludf.DUMMYFUNCTION("""COMPUTED_VALUE"""),45081.2071314351)</f>
        <v>45081.20713</v>
      </c>
      <c r="D6041" s="15">
        <f>IFERROR(__xludf.DUMMYFUNCTION("""COMPUTED_VALUE"""),1.006)</f>
        <v>1.006</v>
      </c>
      <c r="E6041" s="16">
        <f>IFERROR(__xludf.DUMMYFUNCTION("""COMPUTED_VALUE"""),67.0)</f>
        <v>67</v>
      </c>
      <c r="F6041" s="19" t="str">
        <f>IFERROR(__xludf.DUMMYFUNCTION("""COMPUTED_VALUE"""),"BLUE")</f>
        <v>BLUE</v>
      </c>
      <c r="G6041" s="20" t="str">
        <f>IFERROR(__xludf.DUMMYFUNCTION("""COMPUTED_VALUE"""),"Uncle Sams Cider (04/04/2023)")</f>
        <v>Uncle Sams Cider (04/04/2023)</v>
      </c>
      <c r="H6041" s="19"/>
    </row>
    <row r="6042">
      <c r="A6042" s="9"/>
      <c r="B6042" s="15"/>
      <c r="C6042" s="9">
        <f>IFERROR(__xludf.DUMMYFUNCTION("""COMPUTED_VALUE"""),45081.1967089467)</f>
        <v>45081.19671</v>
      </c>
      <c r="D6042" s="15">
        <f>IFERROR(__xludf.DUMMYFUNCTION("""COMPUTED_VALUE"""),1.006)</f>
        <v>1.006</v>
      </c>
      <c r="E6042" s="16">
        <f>IFERROR(__xludf.DUMMYFUNCTION("""COMPUTED_VALUE"""),67.0)</f>
        <v>67</v>
      </c>
      <c r="F6042" s="19" t="str">
        <f>IFERROR(__xludf.DUMMYFUNCTION("""COMPUTED_VALUE"""),"BLUE")</f>
        <v>BLUE</v>
      </c>
      <c r="G6042" s="20" t="str">
        <f>IFERROR(__xludf.DUMMYFUNCTION("""COMPUTED_VALUE"""),"Uncle Sams Cider (04/04/2023)")</f>
        <v>Uncle Sams Cider (04/04/2023)</v>
      </c>
      <c r="H6042" s="19"/>
    </row>
    <row r="6043">
      <c r="A6043" s="9"/>
      <c r="B6043" s="15"/>
      <c r="C6043" s="9">
        <f>IFERROR(__xludf.DUMMYFUNCTION("""COMPUTED_VALUE"""),45081.186288206)</f>
        <v>45081.18629</v>
      </c>
      <c r="D6043" s="15">
        <f>IFERROR(__xludf.DUMMYFUNCTION("""COMPUTED_VALUE"""),1.006)</f>
        <v>1.006</v>
      </c>
      <c r="E6043" s="16">
        <f>IFERROR(__xludf.DUMMYFUNCTION("""COMPUTED_VALUE"""),67.0)</f>
        <v>67</v>
      </c>
      <c r="F6043" s="19" t="str">
        <f>IFERROR(__xludf.DUMMYFUNCTION("""COMPUTED_VALUE"""),"BLUE")</f>
        <v>BLUE</v>
      </c>
      <c r="G6043" s="20" t="str">
        <f>IFERROR(__xludf.DUMMYFUNCTION("""COMPUTED_VALUE"""),"Uncle Sams Cider (04/04/2023)")</f>
        <v>Uncle Sams Cider (04/04/2023)</v>
      </c>
      <c r="H6043" s="19"/>
    </row>
    <row r="6044">
      <c r="A6044" s="9"/>
      <c r="B6044" s="15"/>
      <c r="C6044" s="9">
        <f>IFERROR(__xludf.DUMMYFUNCTION("""COMPUTED_VALUE"""),45081.1758692476)</f>
        <v>45081.17587</v>
      </c>
      <c r="D6044" s="15">
        <f>IFERROR(__xludf.DUMMYFUNCTION("""COMPUTED_VALUE"""),1.006)</f>
        <v>1.006</v>
      </c>
      <c r="E6044" s="16">
        <f>IFERROR(__xludf.DUMMYFUNCTION("""COMPUTED_VALUE"""),67.0)</f>
        <v>67</v>
      </c>
      <c r="F6044" s="19" t="str">
        <f>IFERROR(__xludf.DUMMYFUNCTION("""COMPUTED_VALUE"""),"BLUE")</f>
        <v>BLUE</v>
      </c>
      <c r="G6044" s="20" t="str">
        <f>IFERROR(__xludf.DUMMYFUNCTION("""COMPUTED_VALUE"""),"Uncle Sams Cider (04/04/2023)")</f>
        <v>Uncle Sams Cider (04/04/2023)</v>
      </c>
      <c r="H6044" s="19"/>
    </row>
    <row r="6045">
      <c r="A6045" s="9"/>
      <c r="B6045" s="15"/>
      <c r="C6045" s="9">
        <f>IFERROR(__xludf.DUMMYFUNCTION("""COMPUTED_VALUE"""),45081.1654479745)</f>
        <v>45081.16545</v>
      </c>
      <c r="D6045" s="15">
        <f>IFERROR(__xludf.DUMMYFUNCTION("""COMPUTED_VALUE"""),1.006)</f>
        <v>1.006</v>
      </c>
      <c r="E6045" s="16">
        <f>IFERROR(__xludf.DUMMYFUNCTION("""COMPUTED_VALUE"""),67.0)</f>
        <v>67</v>
      </c>
      <c r="F6045" s="19" t="str">
        <f>IFERROR(__xludf.DUMMYFUNCTION("""COMPUTED_VALUE"""),"BLUE")</f>
        <v>BLUE</v>
      </c>
      <c r="G6045" s="20" t="str">
        <f>IFERROR(__xludf.DUMMYFUNCTION("""COMPUTED_VALUE"""),"Uncle Sams Cider (04/04/2023)")</f>
        <v>Uncle Sams Cider (04/04/2023)</v>
      </c>
      <c r="H6045" s="19"/>
    </row>
    <row r="6046">
      <c r="A6046" s="9"/>
      <c r="B6046" s="15"/>
      <c r="C6046" s="9">
        <f>IFERROR(__xludf.DUMMYFUNCTION("""COMPUTED_VALUE"""),45081.1549793981)</f>
        <v>45081.15498</v>
      </c>
      <c r="D6046" s="15">
        <f>IFERROR(__xludf.DUMMYFUNCTION("""COMPUTED_VALUE"""),1.006)</f>
        <v>1.006</v>
      </c>
      <c r="E6046" s="16">
        <f>IFERROR(__xludf.DUMMYFUNCTION("""COMPUTED_VALUE"""),67.0)</f>
        <v>67</v>
      </c>
      <c r="F6046" s="19" t="str">
        <f>IFERROR(__xludf.DUMMYFUNCTION("""COMPUTED_VALUE"""),"BLUE")</f>
        <v>BLUE</v>
      </c>
      <c r="G6046" s="20" t="str">
        <f>IFERROR(__xludf.DUMMYFUNCTION("""COMPUTED_VALUE"""),"Uncle Sams Cider (04/04/2023)")</f>
        <v>Uncle Sams Cider (04/04/2023)</v>
      </c>
      <c r="H6046" s="19"/>
    </row>
    <row r="6047">
      <c r="A6047" s="9"/>
      <c r="B6047" s="15"/>
      <c r="C6047" s="9">
        <f>IFERROR(__xludf.DUMMYFUNCTION("""COMPUTED_VALUE"""),45081.144558993)</f>
        <v>45081.14456</v>
      </c>
      <c r="D6047" s="15">
        <f>IFERROR(__xludf.DUMMYFUNCTION("""COMPUTED_VALUE"""),1.006)</f>
        <v>1.006</v>
      </c>
      <c r="E6047" s="16">
        <f>IFERROR(__xludf.DUMMYFUNCTION("""COMPUTED_VALUE"""),67.0)</f>
        <v>67</v>
      </c>
      <c r="F6047" s="19" t="str">
        <f>IFERROR(__xludf.DUMMYFUNCTION("""COMPUTED_VALUE"""),"BLUE")</f>
        <v>BLUE</v>
      </c>
      <c r="G6047" s="20" t="str">
        <f>IFERROR(__xludf.DUMMYFUNCTION("""COMPUTED_VALUE"""),"Uncle Sams Cider (04/04/2023)")</f>
        <v>Uncle Sams Cider (04/04/2023)</v>
      </c>
      <c r="H6047" s="19"/>
    </row>
    <row r="6048">
      <c r="A6048" s="9"/>
      <c r="B6048" s="15"/>
      <c r="C6048" s="9">
        <f>IFERROR(__xludf.DUMMYFUNCTION("""COMPUTED_VALUE"""),45081.134137199)</f>
        <v>45081.13414</v>
      </c>
      <c r="D6048" s="15">
        <f>IFERROR(__xludf.DUMMYFUNCTION("""COMPUTED_VALUE"""),1.006)</f>
        <v>1.006</v>
      </c>
      <c r="E6048" s="16">
        <f>IFERROR(__xludf.DUMMYFUNCTION("""COMPUTED_VALUE"""),67.0)</f>
        <v>67</v>
      </c>
      <c r="F6048" s="19" t="str">
        <f>IFERROR(__xludf.DUMMYFUNCTION("""COMPUTED_VALUE"""),"BLUE")</f>
        <v>BLUE</v>
      </c>
      <c r="G6048" s="20" t="str">
        <f>IFERROR(__xludf.DUMMYFUNCTION("""COMPUTED_VALUE"""),"Uncle Sams Cider (04/04/2023)")</f>
        <v>Uncle Sams Cider (04/04/2023)</v>
      </c>
      <c r="H6048" s="19"/>
    </row>
    <row r="6049">
      <c r="A6049" s="9"/>
      <c r="B6049" s="15"/>
      <c r="C6049" s="9">
        <f>IFERROR(__xludf.DUMMYFUNCTION("""COMPUTED_VALUE"""),45081.1237172569)</f>
        <v>45081.12372</v>
      </c>
      <c r="D6049" s="15">
        <f>IFERROR(__xludf.DUMMYFUNCTION("""COMPUTED_VALUE"""),1.006)</f>
        <v>1.006</v>
      </c>
      <c r="E6049" s="16">
        <f>IFERROR(__xludf.DUMMYFUNCTION("""COMPUTED_VALUE"""),67.0)</f>
        <v>67</v>
      </c>
      <c r="F6049" s="19" t="str">
        <f>IFERROR(__xludf.DUMMYFUNCTION("""COMPUTED_VALUE"""),"BLUE")</f>
        <v>BLUE</v>
      </c>
      <c r="G6049" s="20" t="str">
        <f>IFERROR(__xludf.DUMMYFUNCTION("""COMPUTED_VALUE"""),"Uncle Sams Cider (04/04/2023)")</f>
        <v>Uncle Sams Cider (04/04/2023)</v>
      </c>
      <c r="H6049" s="19"/>
    </row>
    <row r="6050">
      <c r="A6050" s="9"/>
      <c r="B6050" s="15"/>
      <c r="C6050" s="9">
        <f>IFERROR(__xludf.DUMMYFUNCTION("""COMPUTED_VALUE"""),45081.1132848842)</f>
        <v>45081.11328</v>
      </c>
      <c r="D6050" s="15">
        <f>IFERROR(__xludf.DUMMYFUNCTION("""COMPUTED_VALUE"""),1.006)</f>
        <v>1.006</v>
      </c>
      <c r="E6050" s="16">
        <f>IFERROR(__xludf.DUMMYFUNCTION("""COMPUTED_VALUE"""),67.0)</f>
        <v>67</v>
      </c>
      <c r="F6050" s="19" t="str">
        <f>IFERROR(__xludf.DUMMYFUNCTION("""COMPUTED_VALUE"""),"BLUE")</f>
        <v>BLUE</v>
      </c>
      <c r="G6050" s="20" t="str">
        <f>IFERROR(__xludf.DUMMYFUNCTION("""COMPUTED_VALUE"""),"Uncle Sams Cider (04/04/2023)")</f>
        <v>Uncle Sams Cider (04/04/2023)</v>
      </c>
      <c r="H6050" s="19"/>
    </row>
    <row r="6051">
      <c r="A6051" s="9"/>
      <c r="B6051" s="15"/>
      <c r="C6051" s="9">
        <f>IFERROR(__xludf.DUMMYFUNCTION("""COMPUTED_VALUE"""),45081.102864155)</f>
        <v>45081.10286</v>
      </c>
      <c r="D6051" s="15">
        <f>IFERROR(__xludf.DUMMYFUNCTION("""COMPUTED_VALUE"""),1.006)</f>
        <v>1.006</v>
      </c>
      <c r="E6051" s="16">
        <f>IFERROR(__xludf.DUMMYFUNCTION("""COMPUTED_VALUE"""),67.0)</f>
        <v>67</v>
      </c>
      <c r="F6051" s="19" t="str">
        <f>IFERROR(__xludf.DUMMYFUNCTION("""COMPUTED_VALUE"""),"BLUE")</f>
        <v>BLUE</v>
      </c>
      <c r="G6051" s="20" t="str">
        <f>IFERROR(__xludf.DUMMYFUNCTION("""COMPUTED_VALUE"""),"Uncle Sams Cider (04/04/2023)")</f>
        <v>Uncle Sams Cider (04/04/2023)</v>
      </c>
      <c r="H6051" s="19"/>
    </row>
    <row r="6052">
      <c r="A6052" s="9"/>
      <c r="B6052" s="15"/>
      <c r="C6052" s="9">
        <f>IFERROR(__xludf.DUMMYFUNCTION("""COMPUTED_VALUE"""),45081.092445949)</f>
        <v>45081.09245</v>
      </c>
      <c r="D6052" s="15">
        <f>IFERROR(__xludf.DUMMYFUNCTION("""COMPUTED_VALUE"""),1.006)</f>
        <v>1.006</v>
      </c>
      <c r="E6052" s="16">
        <f>IFERROR(__xludf.DUMMYFUNCTION("""COMPUTED_VALUE"""),67.0)</f>
        <v>67</v>
      </c>
      <c r="F6052" s="19" t="str">
        <f>IFERROR(__xludf.DUMMYFUNCTION("""COMPUTED_VALUE"""),"BLUE")</f>
        <v>BLUE</v>
      </c>
      <c r="G6052" s="20" t="str">
        <f>IFERROR(__xludf.DUMMYFUNCTION("""COMPUTED_VALUE"""),"Uncle Sams Cider (04/04/2023)")</f>
        <v>Uncle Sams Cider (04/04/2023)</v>
      </c>
      <c r="H6052" s="19"/>
    </row>
    <row r="6053">
      <c r="A6053" s="9"/>
      <c r="B6053" s="15"/>
      <c r="C6053" s="9">
        <f>IFERROR(__xludf.DUMMYFUNCTION("""COMPUTED_VALUE"""),45081.0820121296)</f>
        <v>45081.08201</v>
      </c>
      <c r="D6053" s="15">
        <f>IFERROR(__xludf.DUMMYFUNCTION("""COMPUTED_VALUE"""),1.006)</f>
        <v>1.006</v>
      </c>
      <c r="E6053" s="16">
        <f>IFERROR(__xludf.DUMMYFUNCTION("""COMPUTED_VALUE"""),67.0)</f>
        <v>67</v>
      </c>
      <c r="F6053" s="19" t="str">
        <f>IFERROR(__xludf.DUMMYFUNCTION("""COMPUTED_VALUE"""),"BLUE")</f>
        <v>BLUE</v>
      </c>
      <c r="G6053" s="20" t="str">
        <f>IFERROR(__xludf.DUMMYFUNCTION("""COMPUTED_VALUE"""),"Uncle Sams Cider (04/04/2023)")</f>
        <v>Uncle Sams Cider (04/04/2023)</v>
      </c>
      <c r="H6053" s="19"/>
    </row>
    <row r="6054">
      <c r="A6054" s="9"/>
      <c r="B6054" s="15"/>
      <c r="C6054" s="9">
        <f>IFERROR(__xludf.DUMMYFUNCTION("""COMPUTED_VALUE"""),45081.071590625)</f>
        <v>45081.07159</v>
      </c>
      <c r="D6054" s="15">
        <f>IFERROR(__xludf.DUMMYFUNCTION("""COMPUTED_VALUE"""),1.006)</f>
        <v>1.006</v>
      </c>
      <c r="E6054" s="16">
        <f>IFERROR(__xludf.DUMMYFUNCTION("""COMPUTED_VALUE"""),67.0)</f>
        <v>67</v>
      </c>
      <c r="F6054" s="19" t="str">
        <f>IFERROR(__xludf.DUMMYFUNCTION("""COMPUTED_VALUE"""),"BLUE")</f>
        <v>BLUE</v>
      </c>
      <c r="G6054" s="20" t="str">
        <f>IFERROR(__xludf.DUMMYFUNCTION("""COMPUTED_VALUE"""),"Uncle Sams Cider (04/04/2023)")</f>
        <v>Uncle Sams Cider (04/04/2023)</v>
      </c>
      <c r="H6054" s="19"/>
    </row>
    <row r="6055">
      <c r="A6055" s="9"/>
      <c r="B6055" s="15"/>
      <c r="C6055" s="9">
        <f>IFERROR(__xludf.DUMMYFUNCTION("""COMPUTED_VALUE"""),45081.0611467245)</f>
        <v>45081.06115</v>
      </c>
      <c r="D6055" s="15">
        <f>IFERROR(__xludf.DUMMYFUNCTION("""COMPUTED_VALUE"""),1.006)</f>
        <v>1.006</v>
      </c>
      <c r="E6055" s="16">
        <f>IFERROR(__xludf.DUMMYFUNCTION("""COMPUTED_VALUE"""),67.0)</f>
        <v>67</v>
      </c>
      <c r="F6055" s="19" t="str">
        <f>IFERROR(__xludf.DUMMYFUNCTION("""COMPUTED_VALUE"""),"BLUE")</f>
        <v>BLUE</v>
      </c>
      <c r="G6055" s="20" t="str">
        <f>IFERROR(__xludf.DUMMYFUNCTION("""COMPUTED_VALUE"""),"Uncle Sams Cider (04/04/2023)")</f>
        <v>Uncle Sams Cider (04/04/2023)</v>
      </c>
      <c r="H6055" s="19"/>
    </row>
    <row r="6056">
      <c r="A6056" s="9"/>
      <c r="B6056" s="15"/>
      <c r="C6056" s="9">
        <f>IFERROR(__xludf.DUMMYFUNCTION("""COMPUTED_VALUE"""),45081.0507250694)</f>
        <v>45081.05073</v>
      </c>
      <c r="D6056" s="15">
        <f>IFERROR(__xludf.DUMMYFUNCTION("""COMPUTED_VALUE"""),1.006)</f>
        <v>1.006</v>
      </c>
      <c r="E6056" s="16">
        <f>IFERROR(__xludf.DUMMYFUNCTION("""COMPUTED_VALUE"""),67.0)</f>
        <v>67</v>
      </c>
      <c r="F6056" s="19" t="str">
        <f>IFERROR(__xludf.DUMMYFUNCTION("""COMPUTED_VALUE"""),"BLUE")</f>
        <v>BLUE</v>
      </c>
      <c r="G6056" s="20" t="str">
        <f>IFERROR(__xludf.DUMMYFUNCTION("""COMPUTED_VALUE"""),"Uncle Sams Cider (04/04/2023)")</f>
        <v>Uncle Sams Cider (04/04/2023)</v>
      </c>
      <c r="H6056" s="19"/>
    </row>
    <row r="6057">
      <c r="A6057" s="9"/>
      <c r="B6057" s="15"/>
      <c r="C6057" s="9">
        <f>IFERROR(__xludf.DUMMYFUNCTION("""COMPUTED_VALUE"""),45081.0403041435)</f>
        <v>45081.0403</v>
      </c>
      <c r="D6057" s="15">
        <f>IFERROR(__xludf.DUMMYFUNCTION("""COMPUTED_VALUE"""),1.006)</f>
        <v>1.006</v>
      </c>
      <c r="E6057" s="16">
        <f>IFERROR(__xludf.DUMMYFUNCTION("""COMPUTED_VALUE"""),67.0)</f>
        <v>67</v>
      </c>
      <c r="F6057" s="19" t="str">
        <f>IFERROR(__xludf.DUMMYFUNCTION("""COMPUTED_VALUE"""),"BLUE")</f>
        <v>BLUE</v>
      </c>
      <c r="G6057" s="20" t="str">
        <f>IFERROR(__xludf.DUMMYFUNCTION("""COMPUTED_VALUE"""),"Uncle Sams Cider (04/04/2023)")</f>
        <v>Uncle Sams Cider (04/04/2023)</v>
      </c>
      <c r="H6057" s="19"/>
    </row>
    <row r="6058">
      <c r="A6058" s="9"/>
      <c r="B6058" s="15"/>
      <c r="C6058" s="9">
        <f>IFERROR(__xludf.DUMMYFUNCTION("""COMPUTED_VALUE"""),45081.0298810069)</f>
        <v>45081.02988</v>
      </c>
      <c r="D6058" s="15">
        <f>IFERROR(__xludf.DUMMYFUNCTION("""COMPUTED_VALUE"""),1.006)</f>
        <v>1.006</v>
      </c>
      <c r="E6058" s="16">
        <f>IFERROR(__xludf.DUMMYFUNCTION("""COMPUTED_VALUE"""),67.0)</f>
        <v>67</v>
      </c>
      <c r="F6058" s="19" t="str">
        <f>IFERROR(__xludf.DUMMYFUNCTION("""COMPUTED_VALUE"""),"BLUE")</f>
        <v>BLUE</v>
      </c>
      <c r="G6058" s="20" t="str">
        <f>IFERROR(__xludf.DUMMYFUNCTION("""COMPUTED_VALUE"""),"Uncle Sams Cider (04/04/2023)")</f>
        <v>Uncle Sams Cider (04/04/2023)</v>
      </c>
      <c r="H6058" s="19"/>
    </row>
    <row r="6059">
      <c r="A6059" s="9"/>
      <c r="B6059" s="15"/>
      <c r="C6059" s="9">
        <f>IFERROR(__xludf.DUMMYFUNCTION("""COMPUTED_VALUE"""),45081.0194610648)</f>
        <v>45081.01946</v>
      </c>
      <c r="D6059" s="15">
        <f>IFERROR(__xludf.DUMMYFUNCTION("""COMPUTED_VALUE"""),1.006)</f>
        <v>1.006</v>
      </c>
      <c r="E6059" s="16">
        <f>IFERROR(__xludf.DUMMYFUNCTION("""COMPUTED_VALUE"""),67.0)</f>
        <v>67</v>
      </c>
      <c r="F6059" s="19" t="str">
        <f>IFERROR(__xludf.DUMMYFUNCTION("""COMPUTED_VALUE"""),"BLUE")</f>
        <v>BLUE</v>
      </c>
      <c r="G6059" s="20" t="str">
        <f>IFERROR(__xludf.DUMMYFUNCTION("""COMPUTED_VALUE"""),"Uncle Sams Cider (04/04/2023)")</f>
        <v>Uncle Sams Cider (04/04/2023)</v>
      </c>
      <c r="H6059" s="19"/>
    </row>
    <row r="6060">
      <c r="A6060" s="9"/>
      <c r="B6060" s="15"/>
      <c r="C6060" s="9">
        <f>IFERROR(__xludf.DUMMYFUNCTION("""COMPUTED_VALUE"""),45081.0090389351)</f>
        <v>45081.00904</v>
      </c>
      <c r="D6060" s="15">
        <f>IFERROR(__xludf.DUMMYFUNCTION("""COMPUTED_VALUE"""),1.006)</f>
        <v>1.006</v>
      </c>
      <c r="E6060" s="16">
        <f>IFERROR(__xludf.DUMMYFUNCTION("""COMPUTED_VALUE"""),67.0)</f>
        <v>67</v>
      </c>
      <c r="F6060" s="19" t="str">
        <f>IFERROR(__xludf.DUMMYFUNCTION("""COMPUTED_VALUE"""),"BLUE")</f>
        <v>BLUE</v>
      </c>
      <c r="G6060" s="20" t="str">
        <f>IFERROR(__xludf.DUMMYFUNCTION("""COMPUTED_VALUE"""),"Uncle Sams Cider (04/04/2023)")</f>
        <v>Uncle Sams Cider (04/04/2023)</v>
      </c>
      <c r="H6060" s="19"/>
    </row>
    <row r="6061">
      <c r="A6061" s="9"/>
      <c r="B6061" s="15"/>
      <c r="C6061" s="9">
        <f>IFERROR(__xludf.DUMMYFUNCTION("""COMPUTED_VALUE"""),45080.9986068402)</f>
        <v>45080.99861</v>
      </c>
      <c r="D6061" s="15">
        <f>IFERROR(__xludf.DUMMYFUNCTION("""COMPUTED_VALUE"""),1.006)</f>
        <v>1.006</v>
      </c>
      <c r="E6061" s="16">
        <f>IFERROR(__xludf.DUMMYFUNCTION("""COMPUTED_VALUE"""),67.0)</f>
        <v>67</v>
      </c>
      <c r="F6061" s="19" t="str">
        <f>IFERROR(__xludf.DUMMYFUNCTION("""COMPUTED_VALUE"""),"BLUE")</f>
        <v>BLUE</v>
      </c>
      <c r="G6061" s="20" t="str">
        <f>IFERROR(__xludf.DUMMYFUNCTION("""COMPUTED_VALUE"""),"Uncle Sams Cider (04/04/2023)")</f>
        <v>Uncle Sams Cider (04/04/2023)</v>
      </c>
      <c r="H6061" s="19"/>
    </row>
    <row r="6062">
      <c r="A6062" s="9"/>
      <c r="B6062" s="15"/>
      <c r="C6062" s="9">
        <f>IFERROR(__xludf.DUMMYFUNCTION("""COMPUTED_VALUE"""),45080.9881862268)</f>
        <v>45080.98819</v>
      </c>
      <c r="D6062" s="15">
        <f>IFERROR(__xludf.DUMMYFUNCTION("""COMPUTED_VALUE"""),1.006)</f>
        <v>1.006</v>
      </c>
      <c r="E6062" s="16">
        <f>IFERROR(__xludf.DUMMYFUNCTION("""COMPUTED_VALUE"""),67.0)</f>
        <v>67</v>
      </c>
      <c r="F6062" s="19" t="str">
        <f>IFERROR(__xludf.DUMMYFUNCTION("""COMPUTED_VALUE"""),"BLUE")</f>
        <v>BLUE</v>
      </c>
      <c r="G6062" s="20" t="str">
        <f>IFERROR(__xludf.DUMMYFUNCTION("""COMPUTED_VALUE"""),"Uncle Sams Cider (04/04/2023)")</f>
        <v>Uncle Sams Cider (04/04/2023)</v>
      </c>
      <c r="H6062" s="19"/>
    </row>
    <row r="6063">
      <c r="A6063" s="9"/>
      <c r="B6063" s="15"/>
      <c r="C6063" s="9">
        <f>IFERROR(__xludf.DUMMYFUNCTION("""COMPUTED_VALUE"""),45080.9777665972)</f>
        <v>45080.97777</v>
      </c>
      <c r="D6063" s="15">
        <f>IFERROR(__xludf.DUMMYFUNCTION("""COMPUTED_VALUE"""),1.006)</f>
        <v>1.006</v>
      </c>
      <c r="E6063" s="16">
        <f>IFERROR(__xludf.DUMMYFUNCTION("""COMPUTED_VALUE"""),67.0)</f>
        <v>67</v>
      </c>
      <c r="F6063" s="19" t="str">
        <f>IFERROR(__xludf.DUMMYFUNCTION("""COMPUTED_VALUE"""),"BLUE")</f>
        <v>BLUE</v>
      </c>
      <c r="G6063" s="20" t="str">
        <f>IFERROR(__xludf.DUMMYFUNCTION("""COMPUTED_VALUE"""),"Uncle Sams Cider (04/04/2023)")</f>
        <v>Uncle Sams Cider (04/04/2023)</v>
      </c>
      <c r="H6063" s="19"/>
    </row>
    <row r="6064">
      <c r="A6064" s="9"/>
      <c r="B6064" s="15"/>
      <c r="C6064" s="9">
        <f>IFERROR(__xludf.DUMMYFUNCTION("""COMPUTED_VALUE"""),45080.967345324)</f>
        <v>45080.96735</v>
      </c>
      <c r="D6064" s="15">
        <f>IFERROR(__xludf.DUMMYFUNCTION("""COMPUTED_VALUE"""),1.006)</f>
        <v>1.006</v>
      </c>
      <c r="E6064" s="16">
        <f>IFERROR(__xludf.DUMMYFUNCTION("""COMPUTED_VALUE"""),67.0)</f>
        <v>67</v>
      </c>
      <c r="F6064" s="19" t="str">
        <f>IFERROR(__xludf.DUMMYFUNCTION("""COMPUTED_VALUE"""),"BLUE")</f>
        <v>BLUE</v>
      </c>
      <c r="G6064" s="20" t="str">
        <f>IFERROR(__xludf.DUMMYFUNCTION("""COMPUTED_VALUE"""),"Uncle Sams Cider (04/04/2023)")</f>
        <v>Uncle Sams Cider (04/04/2023)</v>
      </c>
      <c r="H6064" s="19"/>
    </row>
    <row r="6065">
      <c r="A6065" s="9"/>
      <c r="B6065" s="15"/>
      <c r="C6065" s="9">
        <f>IFERROR(__xludf.DUMMYFUNCTION("""COMPUTED_VALUE"""),45080.9569253009)</f>
        <v>45080.95693</v>
      </c>
      <c r="D6065" s="15">
        <f>IFERROR(__xludf.DUMMYFUNCTION("""COMPUTED_VALUE"""),1.006)</f>
        <v>1.006</v>
      </c>
      <c r="E6065" s="16">
        <f>IFERROR(__xludf.DUMMYFUNCTION("""COMPUTED_VALUE"""),67.0)</f>
        <v>67</v>
      </c>
      <c r="F6065" s="19" t="str">
        <f>IFERROR(__xludf.DUMMYFUNCTION("""COMPUTED_VALUE"""),"BLUE")</f>
        <v>BLUE</v>
      </c>
      <c r="G6065" s="20" t="str">
        <f>IFERROR(__xludf.DUMMYFUNCTION("""COMPUTED_VALUE"""),"Uncle Sams Cider (04/04/2023)")</f>
        <v>Uncle Sams Cider (04/04/2023)</v>
      </c>
      <c r="H6065" s="19"/>
    </row>
    <row r="6066">
      <c r="A6066" s="9"/>
      <c r="B6066" s="15"/>
      <c r="C6066" s="9">
        <f>IFERROR(__xludf.DUMMYFUNCTION("""COMPUTED_VALUE"""),45080.9465040856)</f>
        <v>45080.9465</v>
      </c>
      <c r="D6066" s="15">
        <f>IFERROR(__xludf.DUMMYFUNCTION("""COMPUTED_VALUE"""),1.006)</f>
        <v>1.006</v>
      </c>
      <c r="E6066" s="16">
        <f>IFERROR(__xludf.DUMMYFUNCTION("""COMPUTED_VALUE"""),67.0)</f>
        <v>67</v>
      </c>
      <c r="F6066" s="19" t="str">
        <f>IFERROR(__xludf.DUMMYFUNCTION("""COMPUTED_VALUE"""),"BLUE")</f>
        <v>BLUE</v>
      </c>
      <c r="G6066" s="20" t="str">
        <f>IFERROR(__xludf.DUMMYFUNCTION("""COMPUTED_VALUE"""),"Uncle Sams Cider (04/04/2023)")</f>
        <v>Uncle Sams Cider (04/04/2023)</v>
      </c>
      <c r="H6066" s="19"/>
    </row>
    <row r="6067">
      <c r="A6067" s="9"/>
      <c r="B6067" s="15"/>
      <c r="C6067" s="9">
        <f>IFERROR(__xludf.DUMMYFUNCTION("""COMPUTED_VALUE"""),45080.9360487268)</f>
        <v>45080.93605</v>
      </c>
      <c r="D6067" s="15">
        <f>IFERROR(__xludf.DUMMYFUNCTION("""COMPUTED_VALUE"""),1.006)</f>
        <v>1.006</v>
      </c>
      <c r="E6067" s="16">
        <f>IFERROR(__xludf.DUMMYFUNCTION("""COMPUTED_VALUE"""),67.0)</f>
        <v>67</v>
      </c>
      <c r="F6067" s="19" t="str">
        <f>IFERROR(__xludf.DUMMYFUNCTION("""COMPUTED_VALUE"""),"BLUE")</f>
        <v>BLUE</v>
      </c>
      <c r="G6067" s="20" t="str">
        <f>IFERROR(__xludf.DUMMYFUNCTION("""COMPUTED_VALUE"""),"Uncle Sams Cider (04/04/2023)")</f>
        <v>Uncle Sams Cider (04/04/2023)</v>
      </c>
      <c r="H6067" s="19"/>
    </row>
    <row r="6068">
      <c r="A6068" s="9"/>
      <c r="B6068" s="15"/>
      <c r="C6068" s="9">
        <f>IFERROR(__xludf.DUMMYFUNCTION("""COMPUTED_VALUE"""),45080.9256285532)</f>
        <v>45080.92563</v>
      </c>
      <c r="D6068" s="15">
        <f>IFERROR(__xludf.DUMMYFUNCTION("""COMPUTED_VALUE"""),1.006)</f>
        <v>1.006</v>
      </c>
      <c r="E6068" s="16">
        <f>IFERROR(__xludf.DUMMYFUNCTION("""COMPUTED_VALUE"""),67.0)</f>
        <v>67</v>
      </c>
      <c r="F6068" s="19" t="str">
        <f>IFERROR(__xludf.DUMMYFUNCTION("""COMPUTED_VALUE"""),"BLUE")</f>
        <v>BLUE</v>
      </c>
      <c r="G6068" s="20" t="str">
        <f>IFERROR(__xludf.DUMMYFUNCTION("""COMPUTED_VALUE"""),"Uncle Sams Cider (04/04/2023)")</f>
        <v>Uncle Sams Cider (04/04/2023)</v>
      </c>
      <c r="H6068" s="19"/>
    </row>
    <row r="6069">
      <c r="A6069" s="9"/>
      <c r="B6069" s="15"/>
      <c r="C6069" s="9">
        <f>IFERROR(__xludf.DUMMYFUNCTION("""COMPUTED_VALUE"""),45080.915207662)</f>
        <v>45080.91521</v>
      </c>
      <c r="D6069" s="15">
        <f>IFERROR(__xludf.DUMMYFUNCTION("""COMPUTED_VALUE"""),1.006)</f>
        <v>1.006</v>
      </c>
      <c r="E6069" s="16">
        <f>IFERROR(__xludf.DUMMYFUNCTION("""COMPUTED_VALUE"""),67.0)</f>
        <v>67</v>
      </c>
      <c r="F6069" s="19" t="str">
        <f>IFERROR(__xludf.DUMMYFUNCTION("""COMPUTED_VALUE"""),"BLUE")</f>
        <v>BLUE</v>
      </c>
      <c r="G6069" s="20" t="str">
        <f>IFERROR(__xludf.DUMMYFUNCTION("""COMPUTED_VALUE"""),"Uncle Sams Cider (04/04/2023)")</f>
        <v>Uncle Sams Cider (04/04/2023)</v>
      </c>
      <c r="H6069" s="19"/>
    </row>
    <row r="6070">
      <c r="A6070" s="9"/>
      <c r="B6070" s="15"/>
      <c r="C6070" s="9">
        <f>IFERROR(__xludf.DUMMYFUNCTION("""COMPUTED_VALUE"""),45080.9047855671)</f>
        <v>45080.90479</v>
      </c>
      <c r="D6070" s="15">
        <f>IFERROR(__xludf.DUMMYFUNCTION("""COMPUTED_VALUE"""),1.006)</f>
        <v>1.006</v>
      </c>
      <c r="E6070" s="16">
        <f>IFERROR(__xludf.DUMMYFUNCTION("""COMPUTED_VALUE"""),67.0)</f>
        <v>67</v>
      </c>
      <c r="F6070" s="19" t="str">
        <f>IFERROR(__xludf.DUMMYFUNCTION("""COMPUTED_VALUE"""),"BLUE")</f>
        <v>BLUE</v>
      </c>
      <c r="G6070" s="20" t="str">
        <f>IFERROR(__xludf.DUMMYFUNCTION("""COMPUTED_VALUE"""),"Uncle Sams Cider (04/04/2023)")</f>
        <v>Uncle Sams Cider (04/04/2023)</v>
      </c>
      <c r="H6070" s="19"/>
    </row>
    <row r="6071">
      <c r="A6071" s="9"/>
      <c r="B6071" s="15"/>
      <c r="C6071" s="9">
        <f>IFERROR(__xludf.DUMMYFUNCTION("""COMPUTED_VALUE"""),45080.8943423611)</f>
        <v>45080.89434</v>
      </c>
      <c r="D6071" s="15">
        <f>IFERROR(__xludf.DUMMYFUNCTION("""COMPUTED_VALUE"""),1.006)</f>
        <v>1.006</v>
      </c>
      <c r="E6071" s="16">
        <f>IFERROR(__xludf.DUMMYFUNCTION("""COMPUTED_VALUE"""),67.0)</f>
        <v>67</v>
      </c>
      <c r="F6071" s="19" t="str">
        <f>IFERROR(__xludf.DUMMYFUNCTION("""COMPUTED_VALUE"""),"BLUE")</f>
        <v>BLUE</v>
      </c>
      <c r="G6071" s="20" t="str">
        <f>IFERROR(__xludf.DUMMYFUNCTION("""COMPUTED_VALUE"""),"Uncle Sams Cider (04/04/2023)")</f>
        <v>Uncle Sams Cider (04/04/2023)</v>
      </c>
      <c r="H6071" s="19"/>
    </row>
    <row r="6072">
      <c r="A6072" s="9"/>
      <c r="B6072" s="15"/>
      <c r="C6072" s="9">
        <f>IFERROR(__xludf.DUMMYFUNCTION("""COMPUTED_VALUE"""),45080.8839209027)</f>
        <v>45080.88392</v>
      </c>
      <c r="D6072" s="15">
        <f>IFERROR(__xludf.DUMMYFUNCTION("""COMPUTED_VALUE"""),1.006)</f>
        <v>1.006</v>
      </c>
      <c r="E6072" s="16">
        <f>IFERROR(__xludf.DUMMYFUNCTION("""COMPUTED_VALUE"""),67.0)</f>
        <v>67</v>
      </c>
      <c r="F6072" s="19" t="str">
        <f>IFERROR(__xludf.DUMMYFUNCTION("""COMPUTED_VALUE"""),"BLUE")</f>
        <v>BLUE</v>
      </c>
      <c r="G6072" s="20" t="str">
        <f>IFERROR(__xludf.DUMMYFUNCTION("""COMPUTED_VALUE"""),"Uncle Sams Cider (04/04/2023)")</f>
        <v>Uncle Sams Cider (04/04/2023)</v>
      </c>
      <c r="H6072" s="19"/>
    </row>
    <row r="6073">
      <c r="A6073" s="9"/>
      <c r="B6073" s="15"/>
      <c r="C6073" s="9">
        <f>IFERROR(__xludf.DUMMYFUNCTION("""COMPUTED_VALUE"""),45080.8734998958)</f>
        <v>45080.8735</v>
      </c>
      <c r="D6073" s="15">
        <f>IFERROR(__xludf.DUMMYFUNCTION("""COMPUTED_VALUE"""),1.006)</f>
        <v>1.006</v>
      </c>
      <c r="E6073" s="16">
        <f>IFERROR(__xludf.DUMMYFUNCTION("""COMPUTED_VALUE"""),67.0)</f>
        <v>67</v>
      </c>
      <c r="F6073" s="19" t="str">
        <f>IFERROR(__xludf.DUMMYFUNCTION("""COMPUTED_VALUE"""),"BLUE")</f>
        <v>BLUE</v>
      </c>
      <c r="G6073" s="20" t="str">
        <f>IFERROR(__xludf.DUMMYFUNCTION("""COMPUTED_VALUE"""),"Uncle Sams Cider (04/04/2023)")</f>
        <v>Uncle Sams Cider (04/04/2023)</v>
      </c>
      <c r="H6073" s="19"/>
    </row>
    <row r="6074">
      <c r="A6074" s="9"/>
      <c r="B6074" s="15"/>
      <c r="C6074" s="9">
        <f>IFERROR(__xludf.DUMMYFUNCTION("""COMPUTED_VALUE"""),45080.8630793518)</f>
        <v>45080.86308</v>
      </c>
      <c r="D6074" s="15">
        <f>IFERROR(__xludf.DUMMYFUNCTION("""COMPUTED_VALUE"""),1.006)</f>
        <v>1.006</v>
      </c>
      <c r="E6074" s="16">
        <f>IFERROR(__xludf.DUMMYFUNCTION("""COMPUTED_VALUE"""),67.0)</f>
        <v>67</v>
      </c>
      <c r="F6074" s="19" t="str">
        <f>IFERROR(__xludf.DUMMYFUNCTION("""COMPUTED_VALUE"""),"BLUE")</f>
        <v>BLUE</v>
      </c>
      <c r="G6074" s="20" t="str">
        <f>IFERROR(__xludf.DUMMYFUNCTION("""COMPUTED_VALUE"""),"Uncle Sams Cider (04/04/2023)")</f>
        <v>Uncle Sams Cider (04/04/2023)</v>
      </c>
      <c r="H6074" s="19"/>
    </row>
    <row r="6075">
      <c r="A6075" s="9"/>
      <c r="B6075" s="15"/>
      <c r="C6075" s="9">
        <f>IFERROR(__xludf.DUMMYFUNCTION("""COMPUTED_VALUE"""),45080.8526591435)</f>
        <v>45080.85266</v>
      </c>
      <c r="D6075" s="15">
        <f>IFERROR(__xludf.DUMMYFUNCTION("""COMPUTED_VALUE"""),1.006)</f>
        <v>1.006</v>
      </c>
      <c r="E6075" s="16">
        <f>IFERROR(__xludf.DUMMYFUNCTION("""COMPUTED_VALUE"""),67.0)</f>
        <v>67</v>
      </c>
      <c r="F6075" s="19" t="str">
        <f>IFERROR(__xludf.DUMMYFUNCTION("""COMPUTED_VALUE"""),"BLUE")</f>
        <v>BLUE</v>
      </c>
      <c r="G6075" s="20" t="str">
        <f>IFERROR(__xludf.DUMMYFUNCTION("""COMPUTED_VALUE"""),"Uncle Sams Cider (04/04/2023)")</f>
        <v>Uncle Sams Cider (04/04/2023)</v>
      </c>
      <c r="H6075" s="19"/>
    </row>
    <row r="6076">
      <c r="A6076" s="9"/>
      <c r="B6076" s="15"/>
      <c r="C6076" s="9">
        <f>IFERROR(__xludf.DUMMYFUNCTION("""COMPUTED_VALUE"""),45080.8422269676)</f>
        <v>45080.84223</v>
      </c>
      <c r="D6076" s="15">
        <f>IFERROR(__xludf.DUMMYFUNCTION("""COMPUTED_VALUE"""),1.006)</f>
        <v>1.006</v>
      </c>
      <c r="E6076" s="16">
        <f>IFERROR(__xludf.DUMMYFUNCTION("""COMPUTED_VALUE"""),67.0)</f>
        <v>67</v>
      </c>
      <c r="F6076" s="19" t="str">
        <f>IFERROR(__xludf.DUMMYFUNCTION("""COMPUTED_VALUE"""),"BLUE")</f>
        <v>BLUE</v>
      </c>
      <c r="G6076" s="20" t="str">
        <f>IFERROR(__xludf.DUMMYFUNCTION("""COMPUTED_VALUE"""),"Uncle Sams Cider (04/04/2023)")</f>
        <v>Uncle Sams Cider (04/04/2023)</v>
      </c>
      <c r="H6076" s="19"/>
    </row>
    <row r="6077">
      <c r="A6077" s="9"/>
      <c r="B6077" s="15"/>
      <c r="C6077" s="9">
        <f>IFERROR(__xludf.DUMMYFUNCTION("""COMPUTED_VALUE"""),45080.8317957638)</f>
        <v>45080.8318</v>
      </c>
      <c r="D6077" s="15">
        <f>IFERROR(__xludf.DUMMYFUNCTION("""COMPUTED_VALUE"""),1.006)</f>
        <v>1.006</v>
      </c>
      <c r="E6077" s="16">
        <f>IFERROR(__xludf.DUMMYFUNCTION("""COMPUTED_VALUE"""),67.0)</f>
        <v>67</v>
      </c>
      <c r="F6077" s="19" t="str">
        <f>IFERROR(__xludf.DUMMYFUNCTION("""COMPUTED_VALUE"""),"BLUE")</f>
        <v>BLUE</v>
      </c>
      <c r="G6077" s="20" t="str">
        <f>IFERROR(__xludf.DUMMYFUNCTION("""COMPUTED_VALUE"""),"Uncle Sams Cider (04/04/2023)")</f>
        <v>Uncle Sams Cider (04/04/2023)</v>
      </c>
      <c r="H6077" s="19"/>
    </row>
    <row r="6078">
      <c r="A6078" s="9"/>
      <c r="B6078" s="15"/>
      <c r="C6078" s="9">
        <f>IFERROR(__xludf.DUMMYFUNCTION("""COMPUTED_VALUE"""),45080.8213750347)</f>
        <v>45080.82138</v>
      </c>
      <c r="D6078" s="15">
        <f>IFERROR(__xludf.DUMMYFUNCTION("""COMPUTED_VALUE"""),1.006)</f>
        <v>1.006</v>
      </c>
      <c r="E6078" s="16">
        <f>IFERROR(__xludf.DUMMYFUNCTION("""COMPUTED_VALUE"""),67.0)</f>
        <v>67</v>
      </c>
      <c r="F6078" s="19" t="str">
        <f>IFERROR(__xludf.DUMMYFUNCTION("""COMPUTED_VALUE"""),"BLUE")</f>
        <v>BLUE</v>
      </c>
      <c r="G6078" s="20" t="str">
        <f>IFERROR(__xludf.DUMMYFUNCTION("""COMPUTED_VALUE"""),"Uncle Sams Cider (04/04/2023)")</f>
        <v>Uncle Sams Cider (04/04/2023)</v>
      </c>
      <c r="H6078" s="19"/>
    </row>
    <row r="6079">
      <c r="A6079" s="9"/>
      <c r="B6079" s="15"/>
      <c r="C6079" s="9">
        <f>IFERROR(__xludf.DUMMYFUNCTION("""COMPUTED_VALUE"""),45080.8109538078)</f>
        <v>45080.81095</v>
      </c>
      <c r="D6079" s="15">
        <f>IFERROR(__xludf.DUMMYFUNCTION("""COMPUTED_VALUE"""),1.006)</f>
        <v>1.006</v>
      </c>
      <c r="E6079" s="16">
        <f>IFERROR(__xludf.DUMMYFUNCTION("""COMPUTED_VALUE"""),67.0)</f>
        <v>67</v>
      </c>
      <c r="F6079" s="19" t="str">
        <f>IFERROR(__xludf.DUMMYFUNCTION("""COMPUTED_VALUE"""),"BLUE")</f>
        <v>BLUE</v>
      </c>
      <c r="G6079" s="20" t="str">
        <f>IFERROR(__xludf.DUMMYFUNCTION("""COMPUTED_VALUE"""),"Uncle Sams Cider (04/04/2023)")</f>
        <v>Uncle Sams Cider (04/04/2023)</v>
      </c>
      <c r="H6079" s="19"/>
    </row>
    <row r="6080">
      <c r="A6080" s="9"/>
      <c r="B6080" s="15"/>
      <c r="C6080" s="9">
        <f>IFERROR(__xludf.DUMMYFUNCTION("""COMPUTED_VALUE"""),45080.8005328935)</f>
        <v>45080.80053</v>
      </c>
      <c r="D6080" s="15">
        <f>IFERROR(__xludf.DUMMYFUNCTION("""COMPUTED_VALUE"""),1.006)</f>
        <v>1.006</v>
      </c>
      <c r="E6080" s="16">
        <f>IFERROR(__xludf.DUMMYFUNCTION("""COMPUTED_VALUE"""),67.0)</f>
        <v>67</v>
      </c>
      <c r="F6080" s="19" t="str">
        <f>IFERROR(__xludf.DUMMYFUNCTION("""COMPUTED_VALUE"""),"BLUE")</f>
        <v>BLUE</v>
      </c>
      <c r="G6080" s="20" t="str">
        <f>IFERROR(__xludf.DUMMYFUNCTION("""COMPUTED_VALUE"""),"Uncle Sams Cider (04/04/2023)")</f>
        <v>Uncle Sams Cider (04/04/2023)</v>
      </c>
      <c r="H6080" s="19"/>
    </row>
    <row r="6081">
      <c r="A6081" s="9"/>
      <c r="B6081" s="15"/>
      <c r="C6081" s="9">
        <f>IFERROR(__xludf.DUMMYFUNCTION("""COMPUTED_VALUE"""),45080.7901005324)</f>
        <v>45080.7901</v>
      </c>
      <c r="D6081" s="15">
        <f>IFERROR(__xludf.DUMMYFUNCTION("""COMPUTED_VALUE"""),1.006)</f>
        <v>1.006</v>
      </c>
      <c r="E6081" s="16">
        <f>IFERROR(__xludf.DUMMYFUNCTION("""COMPUTED_VALUE"""),67.0)</f>
        <v>67</v>
      </c>
      <c r="F6081" s="19" t="str">
        <f>IFERROR(__xludf.DUMMYFUNCTION("""COMPUTED_VALUE"""),"BLUE")</f>
        <v>BLUE</v>
      </c>
      <c r="G6081" s="20" t="str">
        <f>IFERROR(__xludf.DUMMYFUNCTION("""COMPUTED_VALUE"""),"Uncle Sams Cider (04/04/2023)")</f>
        <v>Uncle Sams Cider (04/04/2023)</v>
      </c>
      <c r="H6081" s="19"/>
    </row>
    <row r="6082">
      <c r="A6082" s="9"/>
      <c r="B6082" s="15"/>
      <c r="C6082" s="9">
        <f>IFERROR(__xludf.DUMMYFUNCTION("""COMPUTED_VALUE"""),45080.7796679513)</f>
        <v>45080.77967</v>
      </c>
      <c r="D6082" s="15">
        <f>IFERROR(__xludf.DUMMYFUNCTION("""COMPUTED_VALUE"""),1.006)</f>
        <v>1.006</v>
      </c>
      <c r="E6082" s="16">
        <f>IFERROR(__xludf.DUMMYFUNCTION("""COMPUTED_VALUE"""),67.0)</f>
        <v>67</v>
      </c>
      <c r="F6082" s="19" t="str">
        <f>IFERROR(__xludf.DUMMYFUNCTION("""COMPUTED_VALUE"""),"BLUE")</f>
        <v>BLUE</v>
      </c>
      <c r="G6082" s="20" t="str">
        <f>IFERROR(__xludf.DUMMYFUNCTION("""COMPUTED_VALUE"""),"Uncle Sams Cider (04/04/2023)")</f>
        <v>Uncle Sams Cider (04/04/2023)</v>
      </c>
      <c r="H6082" s="19"/>
    </row>
    <row r="6083">
      <c r="A6083" s="9"/>
      <c r="B6083" s="15"/>
      <c r="C6083" s="9">
        <f>IFERROR(__xludf.DUMMYFUNCTION("""COMPUTED_VALUE"""),45080.7692486342)</f>
        <v>45080.76925</v>
      </c>
      <c r="D6083" s="15">
        <f>IFERROR(__xludf.DUMMYFUNCTION("""COMPUTED_VALUE"""),1.006)</f>
        <v>1.006</v>
      </c>
      <c r="E6083" s="16">
        <f>IFERROR(__xludf.DUMMYFUNCTION("""COMPUTED_VALUE"""),67.0)</f>
        <v>67</v>
      </c>
      <c r="F6083" s="19" t="str">
        <f>IFERROR(__xludf.DUMMYFUNCTION("""COMPUTED_VALUE"""),"BLUE")</f>
        <v>BLUE</v>
      </c>
      <c r="G6083" s="20" t="str">
        <f>IFERROR(__xludf.DUMMYFUNCTION("""COMPUTED_VALUE"""),"Uncle Sams Cider (04/04/2023)")</f>
        <v>Uncle Sams Cider (04/04/2023)</v>
      </c>
      <c r="H6083" s="19"/>
    </row>
    <row r="6084">
      <c r="A6084" s="9"/>
      <c r="B6084" s="15"/>
      <c r="C6084" s="9">
        <f>IFERROR(__xludf.DUMMYFUNCTION("""COMPUTED_VALUE"""),45080.758827118)</f>
        <v>45080.75883</v>
      </c>
      <c r="D6084" s="15">
        <f>IFERROR(__xludf.DUMMYFUNCTION("""COMPUTED_VALUE"""),1.006)</f>
        <v>1.006</v>
      </c>
      <c r="E6084" s="16">
        <f>IFERROR(__xludf.DUMMYFUNCTION("""COMPUTED_VALUE"""),67.0)</f>
        <v>67</v>
      </c>
      <c r="F6084" s="19" t="str">
        <f>IFERROR(__xludf.DUMMYFUNCTION("""COMPUTED_VALUE"""),"BLUE")</f>
        <v>BLUE</v>
      </c>
      <c r="G6084" s="20" t="str">
        <f>IFERROR(__xludf.DUMMYFUNCTION("""COMPUTED_VALUE"""),"Uncle Sams Cider (04/04/2023)")</f>
        <v>Uncle Sams Cider (04/04/2023)</v>
      </c>
      <c r="H6084" s="19"/>
    </row>
    <row r="6085">
      <c r="A6085" s="9"/>
      <c r="B6085" s="15"/>
      <c r="C6085" s="9">
        <f>IFERROR(__xludf.DUMMYFUNCTION("""COMPUTED_VALUE"""),45080.7484051736)</f>
        <v>45080.74841</v>
      </c>
      <c r="D6085" s="15">
        <f>IFERROR(__xludf.DUMMYFUNCTION("""COMPUTED_VALUE"""),1.006)</f>
        <v>1.006</v>
      </c>
      <c r="E6085" s="16">
        <f>IFERROR(__xludf.DUMMYFUNCTION("""COMPUTED_VALUE"""),67.0)</f>
        <v>67</v>
      </c>
      <c r="F6085" s="19" t="str">
        <f>IFERROR(__xludf.DUMMYFUNCTION("""COMPUTED_VALUE"""),"BLUE")</f>
        <v>BLUE</v>
      </c>
      <c r="G6085" s="20" t="str">
        <f>IFERROR(__xludf.DUMMYFUNCTION("""COMPUTED_VALUE"""),"Uncle Sams Cider (04/04/2023)")</f>
        <v>Uncle Sams Cider (04/04/2023)</v>
      </c>
      <c r="H6085" s="19"/>
    </row>
    <row r="6086">
      <c r="A6086" s="9"/>
      <c r="B6086" s="15"/>
      <c r="C6086" s="9">
        <f>IFERROR(__xludf.DUMMYFUNCTION("""COMPUTED_VALUE"""),45080.7379739236)</f>
        <v>45080.73797</v>
      </c>
      <c r="D6086" s="15">
        <f>IFERROR(__xludf.DUMMYFUNCTION("""COMPUTED_VALUE"""),1.006)</f>
        <v>1.006</v>
      </c>
      <c r="E6086" s="16">
        <f>IFERROR(__xludf.DUMMYFUNCTION("""COMPUTED_VALUE"""),67.0)</f>
        <v>67</v>
      </c>
      <c r="F6086" s="19" t="str">
        <f>IFERROR(__xludf.DUMMYFUNCTION("""COMPUTED_VALUE"""),"BLUE")</f>
        <v>BLUE</v>
      </c>
      <c r="G6086" s="20" t="str">
        <f>IFERROR(__xludf.DUMMYFUNCTION("""COMPUTED_VALUE"""),"Uncle Sams Cider (04/04/2023)")</f>
        <v>Uncle Sams Cider (04/04/2023)</v>
      </c>
      <c r="H6086" s="19"/>
    </row>
    <row r="6087">
      <c r="A6087" s="9"/>
      <c r="B6087" s="15"/>
      <c r="C6087" s="9">
        <f>IFERROR(__xludf.DUMMYFUNCTION("""COMPUTED_VALUE"""),45080.7275523611)</f>
        <v>45080.72755</v>
      </c>
      <c r="D6087" s="15">
        <f>IFERROR(__xludf.DUMMYFUNCTION("""COMPUTED_VALUE"""),1.006)</f>
        <v>1.006</v>
      </c>
      <c r="E6087" s="16">
        <f>IFERROR(__xludf.DUMMYFUNCTION("""COMPUTED_VALUE"""),67.0)</f>
        <v>67</v>
      </c>
      <c r="F6087" s="19" t="str">
        <f>IFERROR(__xludf.DUMMYFUNCTION("""COMPUTED_VALUE"""),"BLUE")</f>
        <v>BLUE</v>
      </c>
      <c r="G6087" s="20" t="str">
        <f>IFERROR(__xludf.DUMMYFUNCTION("""COMPUTED_VALUE"""),"Uncle Sams Cider (04/04/2023)")</f>
        <v>Uncle Sams Cider (04/04/2023)</v>
      </c>
      <c r="H6087" s="19"/>
    </row>
    <row r="6088">
      <c r="A6088" s="9"/>
      <c r="B6088" s="15"/>
      <c r="C6088" s="9">
        <f>IFERROR(__xludf.DUMMYFUNCTION("""COMPUTED_VALUE"""),45080.7171305671)</f>
        <v>45080.71713</v>
      </c>
      <c r="D6088" s="15">
        <f>IFERROR(__xludf.DUMMYFUNCTION("""COMPUTED_VALUE"""),1.006)</f>
        <v>1.006</v>
      </c>
      <c r="E6088" s="16">
        <f>IFERROR(__xludf.DUMMYFUNCTION("""COMPUTED_VALUE"""),67.0)</f>
        <v>67</v>
      </c>
      <c r="F6088" s="19" t="str">
        <f>IFERROR(__xludf.DUMMYFUNCTION("""COMPUTED_VALUE"""),"BLUE")</f>
        <v>BLUE</v>
      </c>
      <c r="G6088" s="20" t="str">
        <f>IFERROR(__xludf.DUMMYFUNCTION("""COMPUTED_VALUE"""),"Uncle Sams Cider (04/04/2023)")</f>
        <v>Uncle Sams Cider (04/04/2023)</v>
      </c>
      <c r="H6088" s="19"/>
    </row>
    <row r="6089">
      <c r="A6089" s="9"/>
      <c r="B6089" s="15"/>
      <c r="C6089" s="9">
        <f>IFERROR(__xludf.DUMMYFUNCTION("""COMPUTED_VALUE"""),45080.7067097916)</f>
        <v>45080.70671</v>
      </c>
      <c r="D6089" s="15">
        <f>IFERROR(__xludf.DUMMYFUNCTION("""COMPUTED_VALUE"""),1.006)</f>
        <v>1.006</v>
      </c>
      <c r="E6089" s="16">
        <f>IFERROR(__xludf.DUMMYFUNCTION("""COMPUTED_VALUE"""),67.0)</f>
        <v>67</v>
      </c>
      <c r="F6089" s="19" t="str">
        <f>IFERROR(__xludf.DUMMYFUNCTION("""COMPUTED_VALUE"""),"BLUE")</f>
        <v>BLUE</v>
      </c>
      <c r="G6089" s="20" t="str">
        <f>IFERROR(__xludf.DUMMYFUNCTION("""COMPUTED_VALUE"""),"Uncle Sams Cider (04/04/2023)")</f>
        <v>Uncle Sams Cider (04/04/2023)</v>
      </c>
      <c r="H6089" s="19"/>
    </row>
    <row r="6090">
      <c r="A6090" s="9"/>
      <c r="B6090" s="15"/>
      <c r="C6090" s="9">
        <f>IFERROR(__xludf.DUMMYFUNCTION("""COMPUTED_VALUE"""),45080.6962663888)</f>
        <v>45080.69627</v>
      </c>
      <c r="D6090" s="15">
        <f>IFERROR(__xludf.DUMMYFUNCTION("""COMPUTED_VALUE"""),1.006)</f>
        <v>1.006</v>
      </c>
      <c r="E6090" s="16">
        <f>IFERROR(__xludf.DUMMYFUNCTION("""COMPUTED_VALUE"""),67.0)</f>
        <v>67</v>
      </c>
      <c r="F6090" s="19" t="str">
        <f>IFERROR(__xludf.DUMMYFUNCTION("""COMPUTED_VALUE"""),"BLUE")</f>
        <v>BLUE</v>
      </c>
      <c r="G6090" s="20" t="str">
        <f>IFERROR(__xludf.DUMMYFUNCTION("""COMPUTED_VALUE"""),"Uncle Sams Cider (04/04/2023)")</f>
        <v>Uncle Sams Cider (04/04/2023)</v>
      </c>
      <c r="H6090" s="19"/>
    </row>
    <row r="6091">
      <c r="A6091" s="9"/>
      <c r="B6091" s="15"/>
      <c r="C6091" s="9">
        <f>IFERROR(__xludf.DUMMYFUNCTION("""COMPUTED_VALUE"""),45080.6858327893)</f>
        <v>45080.68583</v>
      </c>
      <c r="D6091" s="15">
        <f>IFERROR(__xludf.DUMMYFUNCTION("""COMPUTED_VALUE"""),1.006)</f>
        <v>1.006</v>
      </c>
      <c r="E6091" s="16">
        <f>IFERROR(__xludf.DUMMYFUNCTION("""COMPUTED_VALUE"""),67.0)</f>
        <v>67</v>
      </c>
      <c r="F6091" s="19" t="str">
        <f>IFERROR(__xludf.DUMMYFUNCTION("""COMPUTED_VALUE"""),"BLUE")</f>
        <v>BLUE</v>
      </c>
      <c r="G6091" s="20" t="str">
        <f>IFERROR(__xludf.DUMMYFUNCTION("""COMPUTED_VALUE"""),"Uncle Sams Cider (04/04/2023)")</f>
        <v>Uncle Sams Cider (04/04/2023)</v>
      </c>
      <c r="H6091" s="19"/>
    </row>
    <row r="6092">
      <c r="A6092" s="9"/>
      <c r="B6092" s="15"/>
      <c r="C6092" s="9">
        <f>IFERROR(__xludf.DUMMYFUNCTION("""COMPUTED_VALUE"""),45080.6754126736)</f>
        <v>45080.67541</v>
      </c>
      <c r="D6092" s="15">
        <f>IFERROR(__xludf.DUMMYFUNCTION("""COMPUTED_VALUE"""),1.006)</f>
        <v>1.006</v>
      </c>
      <c r="E6092" s="16">
        <f>IFERROR(__xludf.DUMMYFUNCTION("""COMPUTED_VALUE"""),67.0)</f>
        <v>67</v>
      </c>
      <c r="F6092" s="19" t="str">
        <f>IFERROR(__xludf.DUMMYFUNCTION("""COMPUTED_VALUE"""),"BLUE")</f>
        <v>BLUE</v>
      </c>
      <c r="G6092" s="20" t="str">
        <f>IFERROR(__xludf.DUMMYFUNCTION("""COMPUTED_VALUE"""),"Uncle Sams Cider (04/04/2023)")</f>
        <v>Uncle Sams Cider (04/04/2023)</v>
      </c>
      <c r="H6092" s="19"/>
    </row>
    <row r="6093">
      <c r="A6093" s="9"/>
      <c r="B6093" s="15"/>
      <c r="C6093" s="9">
        <f>IFERROR(__xludf.DUMMYFUNCTION("""COMPUTED_VALUE"""),45080.664979456)</f>
        <v>45080.66498</v>
      </c>
      <c r="D6093" s="15">
        <f>IFERROR(__xludf.DUMMYFUNCTION("""COMPUTED_VALUE"""),1.006)</f>
        <v>1.006</v>
      </c>
      <c r="E6093" s="16">
        <f>IFERROR(__xludf.DUMMYFUNCTION("""COMPUTED_VALUE"""),67.0)</f>
        <v>67</v>
      </c>
      <c r="F6093" s="19" t="str">
        <f>IFERROR(__xludf.DUMMYFUNCTION("""COMPUTED_VALUE"""),"BLUE")</f>
        <v>BLUE</v>
      </c>
      <c r="G6093" s="20" t="str">
        <f>IFERROR(__xludf.DUMMYFUNCTION("""COMPUTED_VALUE"""),"Uncle Sams Cider (04/04/2023)")</f>
        <v>Uncle Sams Cider (04/04/2023)</v>
      </c>
      <c r="H6093" s="19"/>
    </row>
    <row r="6094">
      <c r="A6094" s="9"/>
      <c r="B6094" s="15"/>
      <c r="C6094" s="9">
        <f>IFERROR(__xludf.DUMMYFUNCTION("""COMPUTED_VALUE"""),45080.6545575347)</f>
        <v>45080.65456</v>
      </c>
      <c r="D6094" s="15">
        <f>IFERROR(__xludf.DUMMYFUNCTION("""COMPUTED_VALUE"""),1.006)</f>
        <v>1.006</v>
      </c>
      <c r="E6094" s="16">
        <f>IFERROR(__xludf.DUMMYFUNCTION("""COMPUTED_VALUE"""),67.0)</f>
        <v>67</v>
      </c>
      <c r="F6094" s="19" t="str">
        <f>IFERROR(__xludf.DUMMYFUNCTION("""COMPUTED_VALUE"""),"BLUE")</f>
        <v>BLUE</v>
      </c>
      <c r="G6094" s="20" t="str">
        <f>IFERROR(__xludf.DUMMYFUNCTION("""COMPUTED_VALUE"""),"Uncle Sams Cider (04/04/2023)")</f>
        <v>Uncle Sams Cider (04/04/2023)</v>
      </c>
      <c r="H6094" s="19"/>
    </row>
    <row r="6095">
      <c r="A6095" s="9"/>
      <c r="B6095" s="15"/>
      <c r="C6095" s="9">
        <f>IFERROR(__xludf.DUMMYFUNCTION("""COMPUTED_VALUE"""),45080.6441260995)</f>
        <v>45080.64413</v>
      </c>
      <c r="D6095" s="15">
        <f>IFERROR(__xludf.DUMMYFUNCTION("""COMPUTED_VALUE"""),1.006)</f>
        <v>1.006</v>
      </c>
      <c r="E6095" s="16">
        <f>IFERROR(__xludf.DUMMYFUNCTION("""COMPUTED_VALUE"""),67.0)</f>
        <v>67</v>
      </c>
      <c r="F6095" s="19" t="str">
        <f>IFERROR(__xludf.DUMMYFUNCTION("""COMPUTED_VALUE"""),"BLUE")</f>
        <v>BLUE</v>
      </c>
      <c r="G6095" s="20" t="str">
        <f>IFERROR(__xludf.DUMMYFUNCTION("""COMPUTED_VALUE"""),"Uncle Sams Cider (04/04/2023)")</f>
        <v>Uncle Sams Cider (04/04/2023)</v>
      </c>
      <c r="H6095" s="19"/>
    </row>
    <row r="6096">
      <c r="A6096" s="9"/>
      <c r="B6096" s="15"/>
      <c r="C6096" s="9">
        <f>IFERROR(__xludf.DUMMYFUNCTION("""COMPUTED_VALUE"""),45080.6337060185)</f>
        <v>45080.63371</v>
      </c>
      <c r="D6096" s="15">
        <f>IFERROR(__xludf.DUMMYFUNCTION("""COMPUTED_VALUE"""),1.006)</f>
        <v>1.006</v>
      </c>
      <c r="E6096" s="16">
        <f>IFERROR(__xludf.DUMMYFUNCTION("""COMPUTED_VALUE"""),67.0)</f>
        <v>67</v>
      </c>
      <c r="F6096" s="19" t="str">
        <f>IFERROR(__xludf.DUMMYFUNCTION("""COMPUTED_VALUE"""),"BLUE")</f>
        <v>BLUE</v>
      </c>
      <c r="G6096" s="20" t="str">
        <f>IFERROR(__xludf.DUMMYFUNCTION("""COMPUTED_VALUE"""),"Uncle Sams Cider (04/04/2023)")</f>
        <v>Uncle Sams Cider (04/04/2023)</v>
      </c>
      <c r="H6096" s="19"/>
    </row>
    <row r="6097">
      <c r="A6097" s="9"/>
      <c r="B6097" s="15"/>
      <c r="C6097" s="9">
        <f>IFERROR(__xludf.DUMMYFUNCTION("""COMPUTED_VALUE"""),45080.6232842592)</f>
        <v>45080.62328</v>
      </c>
      <c r="D6097" s="15">
        <f>IFERROR(__xludf.DUMMYFUNCTION("""COMPUTED_VALUE"""),1.006)</f>
        <v>1.006</v>
      </c>
      <c r="E6097" s="16">
        <f>IFERROR(__xludf.DUMMYFUNCTION("""COMPUTED_VALUE"""),67.0)</f>
        <v>67</v>
      </c>
      <c r="F6097" s="19" t="str">
        <f>IFERROR(__xludf.DUMMYFUNCTION("""COMPUTED_VALUE"""),"BLUE")</f>
        <v>BLUE</v>
      </c>
      <c r="G6097" s="20" t="str">
        <f>IFERROR(__xludf.DUMMYFUNCTION("""COMPUTED_VALUE"""),"Uncle Sams Cider (04/04/2023)")</f>
        <v>Uncle Sams Cider (04/04/2023)</v>
      </c>
      <c r="H6097" s="19"/>
    </row>
    <row r="6098">
      <c r="A6098" s="9"/>
      <c r="B6098" s="15"/>
      <c r="C6098" s="9">
        <f>IFERROR(__xludf.DUMMYFUNCTION("""COMPUTED_VALUE"""),45080.6128623263)</f>
        <v>45080.61286</v>
      </c>
      <c r="D6098" s="15">
        <f>IFERROR(__xludf.DUMMYFUNCTION("""COMPUTED_VALUE"""),1.006)</f>
        <v>1.006</v>
      </c>
      <c r="E6098" s="16">
        <f>IFERROR(__xludf.DUMMYFUNCTION("""COMPUTED_VALUE"""),67.0)</f>
        <v>67</v>
      </c>
      <c r="F6098" s="19" t="str">
        <f>IFERROR(__xludf.DUMMYFUNCTION("""COMPUTED_VALUE"""),"BLUE")</f>
        <v>BLUE</v>
      </c>
      <c r="G6098" s="20" t="str">
        <f>IFERROR(__xludf.DUMMYFUNCTION("""COMPUTED_VALUE"""),"Uncle Sams Cider (04/04/2023)")</f>
        <v>Uncle Sams Cider (04/04/2023)</v>
      </c>
      <c r="H6098" s="19"/>
    </row>
    <row r="6099">
      <c r="A6099" s="9"/>
      <c r="B6099" s="15"/>
      <c r="C6099" s="9">
        <f>IFERROR(__xludf.DUMMYFUNCTION("""COMPUTED_VALUE"""),45080.6024401504)</f>
        <v>45080.60244</v>
      </c>
      <c r="D6099" s="15">
        <f>IFERROR(__xludf.DUMMYFUNCTION("""COMPUTED_VALUE"""),1.006)</f>
        <v>1.006</v>
      </c>
      <c r="E6099" s="16">
        <f>IFERROR(__xludf.DUMMYFUNCTION("""COMPUTED_VALUE"""),67.0)</f>
        <v>67</v>
      </c>
      <c r="F6099" s="19" t="str">
        <f>IFERROR(__xludf.DUMMYFUNCTION("""COMPUTED_VALUE"""),"BLUE")</f>
        <v>BLUE</v>
      </c>
      <c r="G6099" s="20" t="str">
        <f>IFERROR(__xludf.DUMMYFUNCTION("""COMPUTED_VALUE"""),"Uncle Sams Cider (04/04/2023)")</f>
        <v>Uncle Sams Cider (04/04/2023)</v>
      </c>
      <c r="H6099" s="19"/>
    </row>
    <row r="6100">
      <c r="A6100" s="9"/>
      <c r="B6100" s="15"/>
      <c r="C6100" s="9">
        <f>IFERROR(__xludf.DUMMYFUNCTION("""COMPUTED_VALUE"""),45080.5920204166)</f>
        <v>45080.59202</v>
      </c>
      <c r="D6100" s="15">
        <f>IFERROR(__xludf.DUMMYFUNCTION("""COMPUTED_VALUE"""),1.006)</f>
        <v>1.006</v>
      </c>
      <c r="E6100" s="16">
        <f>IFERROR(__xludf.DUMMYFUNCTION("""COMPUTED_VALUE"""),67.0)</f>
        <v>67</v>
      </c>
      <c r="F6100" s="19" t="str">
        <f>IFERROR(__xludf.DUMMYFUNCTION("""COMPUTED_VALUE"""),"BLUE")</f>
        <v>BLUE</v>
      </c>
      <c r="G6100" s="20" t="str">
        <f>IFERROR(__xludf.DUMMYFUNCTION("""COMPUTED_VALUE"""),"Uncle Sams Cider (04/04/2023)")</f>
        <v>Uncle Sams Cider (04/04/2023)</v>
      </c>
      <c r="H6100" s="19"/>
    </row>
    <row r="6101">
      <c r="A6101" s="9"/>
      <c r="B6101" s="15"/>
      <c r="C6101" s="9">
        <f>IFERROR(__xludf.DUMMYFUNCTION("""COMPUTED_VALUE"""),45080.5815986689)</f>
        <v>45080.5816</v>
      </c>
      <c r="D6101" s="15">
        <f>IFERROR(__xludf.DUMMYFUNCTION("""COMPUTED_VALUE"""),1.006)</f>
        <v>1.006</v>
      </c>
      <c r="E6101" s="16">
        <f>IFERROR(__xludf.DUMMYFUNCTION("""COMPUTED_VALUE"""),67.0)</f>
        <v>67</v>
      </c>
      <c r="F6101" s="19" t="str">
        <f>IFERROR(__xludf.DUMMYFUNCTION("""COMPUTED_VALUE"""),"BLUE")</f>
        <v>BLUE</v>
      </c>
      <c r="G6101" s="20" t="str">
        <f>IFERROR(__xludf.DUMMYFUNCTION("""COMPUTED_VALUE"""),"Uncle Sams Cider (04/04/2023)")</f>
        <v>Uncle Sams Cider (04/04/2023)</v>
      </c>
      <c r="H6101" s="19"/>
    </row>
    <row r="6102">
      <c r="A6102" s="9"/>
      <c r="B6102" s="15"/>
      <c r="C6102" s="9">
        <f>IFERROR(__xludf.DUMMYFUNCTION("""COMPUTED_VALUE"""),45080.5711785416)</f>
        <v>45080.57118</v>
      </c>
      <c r="D6102" s="15">
        <f>IFERROR(__xludf.DUMMYFUNCTION("""COMPUTED_VALUE"""),1.006)</f>
        <v>1.006</v>
      </c>
      <c r="E6102" s="16">
        <f>IFERROR(__xludf.DUMMYFUNCTION("""COMPUTED_VALUE"""),67.0)</f>
        <v>67</v>
      </c>
      <c r="F6102" s="19" t="str">
        <f>IFERROR(__xludf.DUMMYFUNCTION("""COMPUTED_VALUE"""),"BLUE")</f>
        <v>BLUE</v>
      </c>
      <c r="G6102" s="20" t="str">
        <f>IFERROR(__xludf.DUMMYFUNCTION("""COMPUTED_VALUE"""),"Uncle Sams Cider (04/04/2023)")</f>
        <v>Uncle Sams Cider (04/04/2023)</v>
      </c>
      <c r="H6102" s="19"/>
    </row>
    <row r="6103">
      <c r="A6103" s="9"/>
      <c r="B6103" s="15"/>
      <c r="C6103" s="9">
        <f>IFERROR(__xludf.DUMMYFUNCTION("""COMPUTED_VALUE"""),45080.5607561689)</f>
        <v>45080.56076</v>
      </c>
      <c r="D6103" s="15">
        <f>IFERROR(__xludf.DUMMYFUNCTION("""COMPUTED_VALUE"""),1.006)</f>
        <v>1.006</v>
      </c>
      <c r="E6103" s="16">
        <f>IFERROR(__xludf.DUMMYFUNCTION("""COMPUTED_VALUE"""),67.0)</f>
        <v>67</v>
      </c>
      <c r="F6103" s="19" t="str">
        <f>IFERROR(__xludf.DUMMYFUNCTION("""COMPUTED_VALUE"""),"BLUE")</f>
        <v>BLUE</v>
      </c>
      <c r="G6103" s="20" t="str">
        <f>IFERROR(__xludf.DUMMYFUNCTION("""COMPUTED_VALUE"""),"Uncle Sams Cider (04/04/2023)")</f>
        <v>Uncle Sams Cider (04/04/2023)</v>
      </c>
      <c r="H6103" s="19"/>
    </row>
    <row r="6104">
      <c r="A6104" s="9"/>
      <c r="B6104" s="15"/>
      <c r="C6104" s="9">
        <f>IFERROR(__xludf.DUMMYFUNCTION("""COMPUTED_VALUE"""),45080.5503346412)</f>
        <v>45080.55033</v>
      </c>
      <c r="D6104" s="15">
        <f>IFERROR(__xludf.DUMMYFUNCTION("""COMPUTED_VALUE"""),1.006)</f>
        <v>1.006</v>
      </c>
      <c r="E6104" s="16">
        <f>IFERROR(__xludf.DUMMYFUNCTION("""COMPUTED_VALUE"""),67.0)</f>
        <v>67</v>
      </c>
      <c r="F6104" s="19" t="str">
        <f>IFERROR(__xludf.DUMMYFUNCTION("""COMPUTED_VALUE"""),"BLUE")</f>
        <v>BLUE</v>
      </c>
      <c r="G6104" s="20" t="str">
        <f>IFERROR(__xludf.DUMMYFUNCTION("""COMPUTED_VALUE"""),"Uncle Sams Cider (04/04/2023)")</f>
        <v>Uncle Sams Cider (04/04/2023)</v>
      </c>
      <c r="H6104" s="19"/>
    </row>
    <row r="6105">
      <c r="A6105" s="9"/>
      <c r="B6105" s="15"/>
      <c r="C6105" s="9">
        <f>IFERROR(__xludf.DUMMYFUNCTION("""COMPUTED_VALUE"""),45080.5399132523)</f>
        <v>45080.53991</v>
      </c>
      <c r="D6105" s="15">
        <f>IFERROR(__xludf.DUMMYFUNCTION("""COMPUTED_VALUE"""),1.006)</f>
        <v>1.006</v>
      </c>
      <c r="E6105" s="16">
        <f>IFERROR(__xludf.DUMMYFUNCTION("""COMPUTED_VALUE"""),67.0)</f>
        <v>67</v>
      </c>
      <c r="F6105" s="19" t="str">
        <f>IFERROR(__xludf.DUMMYFUNCTION("""COMPUTED_VALUE"""),"BLUE")</f>
        <v>BLUE</v>
      </c>
      <c r="G6105" s="20" t="str">
        <f>IFERROR(__xludf.DUMMYFUNCTION("""COMPUTED_VALUE"""),"Uncle Sams Cider (04/04/2023)")</f>
        <v>Uncle Sams Cider (04/04/2023)</v>
      </c>
      <c r="H6105" s="19"/>
    </row>
    <row r="6106">
      <c r="A6106" s="9"/>
      <c r="B6106" s="15"/>
      <c r="C6106" s="9">
        <f>IFERROR(__xludf.DUMMYFUNCTION("""COMPUTED_VALUE"""),45080.5294562963)</f>
        <v>45080.52946</v>
      </c>
      <c r="D6106" s="15">
        <f>IFERROR(__xludf.DUMMYFUNCTION("""COMPUTED_VALUE"""),1.006)</f>
        <v>1.006</v>
      </c>
      <c r="E6106" s="16">
        <f>IFERROR(__xludf.DUMMYFUNCTION("""COMPUTED_VALUE"""),67.0)</f>
        <v>67</v>
      </c>
      <c r="F6106" s="19" t="str">
        <f>IFERROR(__xludf.DUMMYFUNCTION("""COMPUTED_VALUE"""),"BLUE")</f>
        <v>BLUE</v>
      </c>
      <c r="G6106" s="20" t="str">
        <f>IFERROR(__xludf.DUMMYFUNCTION("""COMPUTED_VALUE"""),"Uncle Sams Cider (04/04/2023)")</f>
        <v>Uncle Sams Cider (04/04/2023)</v>
      </c>
      <c r="H6106" s="19"/>
    </row>
    <row r="6107">
      <c r="A6107" s="9"/>
      <c r="B6107" s="15"/>
      <c r="C6107" s="9">
        <f>IFERROR(__xludf.DUMMYFUNCTION("""COMPUTED_VALUE"""),45080.5190239236)</f>
        <v>45080.51902</v>
      </c>
      <c r="D6107" s="15">
        <f>IFERROR(__xludf.DUMMYFUNCTION("""COMPUTED_VALUE"""),1.006)</f>
        <v>1.006</v>
      </c>
      <c r="E6107" s="16">
        <f>IFERROR(__xludf.DUMMYFUNCTION("""COMPUTED_VALUE"""),67.0)</f>
        <v>67</v>
      </c>
      <c r="F6107" s="19" t="str">
        <f>IFERROR(__xludf.DUMMYFUNCTION("""COMPUTED_VALUE"""),"BLUE")</f>
        <v>BLUE</v>
      </c>
      <c r="G6107" s="20" t="str">
        <f>IFERROR(__xludf.DUMMYFUNCTION("""COMPUTED_VALUE"""),"Uncle Sams Cider (04/04/2023)")</f>
        <v>Uncle Sams Cider (04/04/2023)</v>
      </c>
      <c r="H6107" s="19"/>
    </row>
    <row r="6108">
      <c r="A6108" s="9"/>
      <c r="B6108" s="15"/>
      <c r="C6108" s="9">
        <f>IFERROR(__xludf.DUMMYFUNCTION("""COMPUTED_VALUE"""),45080.5085917245)</f>
        <v>45080.50859</v>
      </c>
      <c r="D6108" s="15">
        <f>IFERROR(__xludf.DUMMYFUNCTION("""COMPUTED_VALUE"""),1.006)</f>
        <v>1.006</v>
      </c>
      <c r="E6108" s="16">
        <f>IFERROR(__xludf.DUMMYFUNCTION("""COMPUTED_VALUE"""),67.0)</f>
        <v>67</v>
      </c>
      <c r="F6108" s="19" t="str">
        <f>IFERROR(__xludf.DUMMYFUNCTION("""COMPUTED_VALUE"""),"BLUE")</f>
        <v>BLUE</v>
      </c>
      <c r="G6108" s="20" t="str">
        <f>IFERROR(__xludf.DUMMYFUNCTION("""COMPUTED_VALUE"""),"Uncle Sams Cider (04/04/2023)")</f>
        <v>Uncle Sams Cider (04/04/2023)</v>
      </c>
      <c r="H6108" s="19"/>
    </row>
    <row r="6109">
      <c r="A6109" s="9"/>
      <c r="B6109" s="15"/>
      <c r="C6109" s="9">
        <f>IFERROR(__xludf.DUMMYFUNCTION("""COMPUTED_VALUE"""),45080.4981705555)</f>
        <v>45080.49817</v>
      </c>
      <c r="D6109" s="15">
        <f>IFERROR(__xludf.DUMMYFUNCTION("""COMPUTED_VALUE"""),1.006)</f>
        <v>1.006</v>
      </c>
      <c r="E6109" s="16">
        <f>IFERROR(__xludf.DUMMYFUNCTION("""COMPUTED_VALUE"""),67.0)</f>
        <v>67</v>
      </c>
      <c r="F6109" s="19" t="str">
        <f>IFERROR(__xludf.DUMMYFUNCTION("""COMPUTED_VALUE"""),"BLUE")</f>
        <v>BLUE</v>
      </c>
      <c r="G6109" s="20" t="str">
        <f>IFERROR(__xludf.DUMMYFUNCTION("""COMPUTED_VALUE"""),"Uncle Sams Cider (04/04/2023)")</f>
        <v>Uncle Sams Cider (04/04/2023)</v>
      </c>
      <c r="H6109" s="19"/>
    </row>
    <row r="6110">
      <c r="A6110" s="9"/>
      <c r="B6110" s="15"/>
      <c r="C6110" s="9">
        <f>IFERROR(__xludf.DUMMYFUNCTION("""COMPUTED_VALUE"""),45080.4877382176)</f>
        <v>45080.48774</v>
      </c>
      <c r="D6110" s="15">
        <f>IFERROR(__xludf.DUMMYFUNCTION("""COMPUTED_VALUE"""),1.006)</f>
        <v>1.006</v>
      </c>
      <c r="E6110" s="16">
        <f>IFERROR(__xludf.DUMMYFUNCTION("""COMPUTED_VALUE"""),67.0)</f>
        <v>67</v>
      </c>
      <c r="F6110" s="19" t="str">
        <f>IFERROR(__xludf.DUMMYFUNCTION("""COMPUTED_VALUE"""),"BLUE")</f>
        <v>BLUE</v>
      </c>
      <c r="G6110" s="20" t="str">
        <f>IFERROR(__xludf.DUMMYFUNCTION("""COMPUTED_VALUE"""),"Uncle Sams Cider (04/04/2023)")</f>
        <v>Uncle Sams Cider (04/04/2023)</v>
      </c>
      <c r="H6110" s="19"/>
    </row>
    <row r="6111">
      <c r="A6111" s="9"/>
      <c r="B6111" s="15"/>
      <c r="C6111" s="9">
        <f>IFERROR(__xludf.DUMMYFUNCTION("""COMPUTED_VALUE"""),45080.4773048611)</f>
        <v>45080.4773</v>
      </c>
      <c r="D6111" s="15">
        <f>IFERROR(__xludf.DUMMYFUNCTION("""COMPUTED_VALUE"""),1.006)</f>
        <v>1.006</v>
      </c>
      <c r="E6111" s="16">
        <f>IFERROR(__xludf.DUMMYFUNCTION("""COMPUTED_VALUE"""),67.0)</f>
        <v>67</v>
      </c>
      <c r="F6111" s="19" t="str">
        <f>IFERROR(__xludf.DUMMYFUNCTION("""COMPUTED_VALUE"""),"BLUE")</f>
        <v>BLUE</v>
      </c>
      <c r="G6111" s="20" t="str">
        <f>IFERROR(__xludf.DUMMYFUNCTION("""COMPUTED_VALUE"""),"Uncle Sams Cider (04/04/2023)")</f>
        <v>Uncle Sams Cider (04/04/2023)</v>
      </c>
      <c r="H6111" s="19"/>
    </row>
    <row r="6112">
      <c r="A6112" s="9"/>
      <c r="B6112" s="15"/>
      <c r="C6112" s="9">
        <f>IFERROR(__xludf.DUMMYFUNCTION("""COMPUTED_VALUE"""),45080.4668853935)</f>
        <v>45080.46689</v>
      </c>
      <c r="D6112" s="15">
        <f>IFERROR(__xludf.DUMMYFUNCTION("""COMPUTED_VALUE"""),1.006)</f>
        <v>1.006</v>
      </c>
      <c r="E6112" s="16">
        <f>IFERROR(__xludf.DUMMYFUNCTION("""COMPUTED_VALUE"""),67.0)</f>
        <v>67</v>
      </c>
      <c r="F6112" s="19" t="str">
        <f>IFERROR(__xludf.DUMMYFUNCTION("""COMPUTED_VALUE"""),"BLUE")</f>
        <v>BLUE</v>
      </c>
      <c r="G6112" s="20" t="str">
        <f>IFERROR(__xludf.DUMMYFUNCTION("""COMPUTED_VALUE"""),"Uncle Sams Cider (04/04/2023)")</f>
        <v>Uncle Sams Cider (04/04/2023)</v>
      </c>
      <c r="H6112" s="19"/>
    </row>
    <row r="6113">
      <c r="A6113" s="9"/>
      <c r="B6113" s="15"/>
      <c r="C6113" s="9">
        <f>IFERROR(__xludf.DUMMYFUNCTION("""COMPUTED_VALUE"""),45080.4564652083)</f>
        <v>45080.45647</v>
      </c>
      <c r="D6113" s="15">
        <f>IFERROR(__xludf.DUMMYFUNCTION("""COMPUTED_VALUE"""),1.006)</f>
        <v>1.006</v>
      </c>
      <c r="E6113" s="16">
        <f>IFERROR(__xludf.DUMMYFUNCTION("""COMPUTED_VALUE"""),67.0)</f>
        <v>67</v>
      </c>
      <c r="F6113" s="19" t="str">
        <f>IFERROR(__xludf.DUMMYFUNCTION("""COMPUTED_VALUE"""),"BLUE")</f>
        <v>BLUE</v>
      </c>
      <c r="G6113" s="20" t="str">
        <f>IFERROR(__xludf.DUMMYFUNCTION("""COMPUTED_VALUE"""),"Uncle Sams Cider (04/04/2023)")</f>
        <v>Uncle Sams Cider (04/04/2023)</v>
      </c>
      <c r="H6113" s="19"/>
    </row>
    <row r="6114">
      <c r="A6114" s="9"/>
      <c r="B6114" s="15"/>
      <c r="C6114" s="9">
        <f>IFERROR(__xludf.DUMMYFUNCTION("""COMPUTED_VALUE"""),45080.4460313657)</f>
        <v>45080.44603</v>
      </c>
      <c r="D6114" s="15">
        <f>IFERROR(__xludf.DUMMYFUNCTION("""COMPUTED_VALUE"""),1.006)</f>
        <v>1.006</v>
      </c>
      <c r="E6114" s="16">
        <f>IFERROR(__xludf.DUMMYFUNCTION("""COMPUTED_VALUE"""),67.0)</f>
        <v>67</v>
      </c>
      <c r="F6114" s="19" t="str">
        <f>IFERROR(__xludf.DUMMYFUNCTION("""COMPUTED_VALUE"""),"BLUE")</f>
        <v>BLUE</v>
      </c>
      <c r="G6114" s="20" t="str">
        <f>IFERROR(__xludf.DUMMYFUNCTION("""COMPUTED_VALUE"""),"Uncle Sams Cider (04/04/2023)")</f>
        <v>Uncle Sams Cider (04/04/2023)</v>
      </c>
      <c r="H6114" s="19"/>
    </row>
    <row r="6115">
      <c r="A6115" s="9"/>
      <c r="B6115" s="15"/>
      <c r="C6115" s="9">
        <f>IFERROR(__xludf.DUMMYFUNCTION("""COMPUTED_VALUE"""),45080.435609456)</f>
        <v>45080.43561</v>
      </c>
      <c r="D6115" s="15">
        <f>IFERROR(__xludf.DUMMYFUNCTION("""COMPUTED_VALUE"""),1.006)</f>
        <v>1.006</v>
      </c>
      <c r="E6115" s="16">
        <f>IFERROR(__xludf.DUMMYFUNCTION("""COMPUTED_VALUE"""),67.0)</f>
        <v>67</v>
      </c>
      <c r="F6115" s="19" t="str">
        <f>IFERROR(__xludf.DUMMYFUNCTION("""COMPUTED_VALUE"""),"BLUE")</f>
        <v>BLUE</v>
      </c>
      <c r="G6115" s="20" t="str">
        <f>IFERROR(__xludf.DUMMYFUNCTION("""COMPUTED_VALUE"""),"Uncle Sams Cider (04/04/2023)")</f>
        <v>Uncle Sams Cider (04/04/2023)</v>
      </c>
      <c r="H6115" s="19"/>
    </row>
    <row r="6116">
      <c r="A6116" s="9"/>
      <c r="B6116" s="15"/>
      <c r="C6116" s="9">
        <f>IFERROR(__xludf.DUMMYFUNCTION("""COMPUTED_VALUE"""),45080.4251874074)</f>
        <v>45080.42519</v>
      </c>
      <c r="D6116" s="15">
        <f>IFERROR(__xludf.DUMMYFUNCTION("""COMPUTED_VALUE"""),1.006)</f>
        <v>1.006</v>
      </c>
      <c r="E6116" s="16">
        <f>IFERROR(__xludf.DUMMYFUNCTION("""COMPUTED_VALUE"""),67.0)</f>
        <v>67</v>
      </c>
      <c r="F6116" s="19" t="str">
        <f>IFERROR(__xludf.DUMMYFUNCTION("""COMPUTED_VALUE"""),"BLUE")</f>
        <v>BLUE</v>
      </c>
      <c r="G6116" s="20" t="str">
        <f>IFERROR(__xludf.DUMMYFUNCTION("""COMPUTED_VALUE"""),"Uncle Sams Cider (04/04/2023)")</f>
        <v>Uncle Sams Cider (04/04/2023)</v>
      </c>
      <c r="H6116" s="19"/>
    </row>
    <row r="6117">
      <c r="A6117" s="9"/>
      <c r="B6117" s="15"/>
      <c r="C6117" s="9">
        <f>IFERROR(__xludf.DUMMYFUNCTION("""COMPUTED_VALUE"""),45080.414765706)</f>
        <v>45080.41477</v>
      </c>
      <c r="D6117" s="15">
        <f>IFERROR(__xludf.DUMMYFUNCTION("""COMPUTED_VALUE"""),1.006)</f>
        <v>1.006</v>
      </c>
      <c r="E6117" s="16">
        <f>IFERROR(__xludf.DUMMYFUNCTION("""COMPUTED_VALUE"""),67.0)</f>
        <v>67</v>
      </c>
      <c r="F6117" s="19" t="str">
        <f>IFERROR(__xludf.DUMMYFUNCTION("""COMPUTED_VALUE"""),"BLUE")</f>
        <v>BLUE</v>
      </c>
      <c r="G6117" s="20" t="str">
        <f>IFERROR(__xludf.DUMMYFUNCTION("""COMPUTED_VALUE"""),"Uncle Sams Cider (04/04/2023)")</f>
        <v>Uncle Sams Cider (04/04/2023)</v>
      </c>
      <c r="H6117" s="19"/>
    </row>
    <row r="6118">
      <c r="A6118" s="9"/>
      <c r="B6118" s="15"/>
      <c r="C6118" s="9">
        <f>IFERROR(__xludf.DUMMYFUNCTION("""COMPUTED_VALUE"""),45080.4043335648)</f>
        <v>45080.40433</v>
      </c>
      <c r="D6118" s="15">
        <f>IFERROR(__xludf.DUMMYFUNCTION("""COMPUTED_VALUE"""),1.006)</f>
        <v>1.006</v>
      </c>
      <c r="E6118" s="16">
        <f>IFERROR(__xludf.DUMMYFUNCTION("""COMPUTED_VALUE"""),67.0)</f>
        <v>67</v>
      </c>
      <c r="F6118" s="19" t="str">
        <f>IFERROR(__xludf.DUMMYFUNCTION("""COMPUTED_VALUE"""),"BLUE")</f>
        <v>BLUE</v>
      </c>
      <c r="G6118" s="20" t="str">
        <f>IFERROR(__xludf.DUMMYFUNCTION("""COMPUTED_VALUE"""),"Uncle Sams Cider (04/04/2023)")</f>
        <v>Uncle Sams Cider (04/04/2023)</v>
      </c>
      <c r="H6118" s="19"/>
    </row>
    <row r="6119">
      <c r="A6119" s="9"/>
      <c r="B6119" s="15"/>
      <c r="C6119" s="9">
        <f>IFERROR(__xludf.DUMMYFUNCTION("""COMPUTED_VALUE"""),45080.3938878588)</f>
        <v>45080.39389</v>
      </c>
      <c r="D6119" s="15">
        <f>IFERROR(__xludf.DUMMYFUNCTION("""COMPUTED_VALUE"""),1.006)</f>
        <v>1.006</v>
      </c>
      <c r="E6119" s="16">
        <f>IFERROR(__xludf.DUMMYFUNCTION("""COMPUTED_VALUE"""),67.0)</f>
        <v>67</v>
      </c>
      <c r="F6119" s="19" t="str">
        <f>IFERROR(__xludf.DUMMYFUNCTION("""COMPUTED_VALUE"""),"BLUE")</f>
        <v>BLUE</v>
      </c>
      <c r="G6119" s="20" t="str">
        <f>IFERROR(__xludf.DUMMYFUNCTION("""COMPUTED_VALUE"""),"Uncle Sams Cider (04/04/2023)")</f>
        <v>Uncle Sams Cider (04/04/2023)</v>
      </c>
      <c r="H6119" s="19"/>
    </row>
    <row r="6120">
      <c r="A6120" s="9"/>
      <c r="B6120" s="15"/>
      <c r="C6120" s="9">
        <f>IFERROR(__xludf.DUMMYFUNCTION("""COMPUTED_VALUE"""),45080.3834671412)</f>
        <v>45080.38347</v>
      </c>
      <c r="D6120" s="15">
        <f>IFERROR(__xludf.DUMMYFUNCTION("""COMPUTED_VALUE"""),1.006)</f>
        <v>1.006</v>
      </c>
      <c r="E6120" s="16">
        <f>IFERROR(__xludf.DUMMYFUNCTION("""COMPUTED_VALUE"""),67.0)</f>
        <v>67</v>
      </c>
      <c r="F6120" s="19" t="str">
        <f>IFERROR(__xludf.DUMMYFUNCTION("""COMPUTED_VALUE"""),"BLUE")</f>
        <v>BLUE</v>
      </c>
      <c r="G6120" s="20" t="str">
        <f>IFERROR(__xludf.DUMMYFUNCTION("""COMPUTED_VALUE"""),"Uncle Sams Cider (04/04/2023)")</f>
        <v>Uncle Sams Cider (04/04/2023)</v>
      </c>
      <c r="H6120" s="19"/>
    </row>
    <row r="6121">
      <c r="A6121" s="9"/>
      <c r="B6121" s="15"/>
      <c r="C6121" s="9">
        <f>IFERROR(__xludf.DUMMYFUNCTION("""COMPUTED_VALUE"""),45080.3730474421)</f>
        <v>45080.37305</v>
      </c>
      <c r="D6121" s="15">
        <f>IFERROR(__xludf.DUMMYFUNCTION("""COMPUTED_VALUE"""),1.006)</f>
        <v>1.006</v>
      </c>
      <c r="E6121" s="16">
        <f>IFERROR(__xludf.DUMMYFUNCTION("""COMPUTED_VALUE"""),67.0)</f>
        <v>67</v>
      </c>
      <c r="F6121" s="19" t="str">
        <f>IFERROR(__xludf.DUMMYFUNCTION("""COMPUTED_VALUE"""),"BLUE")</f>
        <v>BLUE</v>
      </c>
      <c r="G6121" s="20" t="str">
        <f>IFERROR(__xludf.DUMMYFUNCTION("""COMPUTED_VALUE"""),"Uncle Sams Cider (04/04/2023)")</f>
        <v>Uncle Sams Cider (04/04/2023)</v>
      </c>
      <c r="H6121" s="19"/>
    </row>
    <row r="6122">
      <c r="A6122" s="9"/>
      <c r="B6122" s="15"/>
      <c r="C6122" s="9">
        <f>IFERROR(__xludf.DUMMYFUNCTION("""COMPUTED_VALUE"""),45080.3626286574)</f>
        <v>45080.36263</v>
      </c>
      <c r="D6122" s="15">
        <f>IFERROR(__xludf.DUMMYFUNCTION("""COMPUTED_VALUE"""),1.006)</f>
        <v>1.006</v>
      </c>
      <c r="E6122" s="16">
        <f>IFERROR(__xludf.DUMMYFUNCTION("""COMPUTED_VALUE"""),67.0)</f>
        <v>67</v>
      </c>
      <c r="F6122" s="19" t="str">
        <f>IFERROR(__xludf.DUMMYFUNCTION("""COMPUTED_VALUE"""),"BLUE")</f>
        <v>BLUE</v>
      </c>
      <c r="G6122" s="20" t="str">
        <f>IFERROR(__xludf.DUMMYFUNCTION("""COMPUTED_VALUE"""),"Uncle Sams Cider (04/04/2023)")</f>
        <v>Uncle Sams Cider (04/04/2023)</v>
      </c>
      <c r="H6122" s="19"/>
    </row>
    <row r="6123">
      <c r="A6123" s="9"/>
      <c r="B6123" s="15"/>
      <c r="C6123" s="9">
        <f>IFERROR(__xludf.DUMMYFUNCTION("""COMPUTED_VALUE"""),45080.3522082754)</f>
        <v>45080.35221</v>
      </c>
      <c r="D6123" s="15">
        <f>IFERROR(__xludf.DUMMYFUNCTION("""COMPUTED_VALUE"""),1.006)</f>
        <v>1.006</v>
      </c>
      <c r="E6123" s="16">
        <f>IFERROR(__xludf.DUMMYFUNCTION("""COMPUTED_VALUE"""),67.0)</f>
        <v>67</v>
      </c>
      <c r="F6123" s="19" t="str">
        <f>IFERROR(__xludf.DUMMYFUNCTION("""COMPUTED_VALUE"""),"BLUE")</f>
        <v>BLUE</v>
      </c>
      <c r="G6123" s="20" t="str">
        <f>IFERROR(__xludf.DUMMYFUNCTION("""COMPUTED_VALUE"""),"Uncle Sams Cider (04/04/2023)")</f>
        <v>Uncle Sams Cider (04/04/2023)</v>
      </c>
      <c r="H6123" s="19"/>
    </row>
    <row r="6124">
      <c r="A6124" s="9"/>
      <c r="B6124" s="15"/>
      <c r="C6124" s="9">
        <f>IFERROR(__xludf.DUMMYFUNCTION("""COMPUTED_VALUE"""),45080.341789456)</f>
        <v>45080.34179</v>
      </c>
      <c r="D6124" s="15">
        <f>IFERROR(__xludf.DUMMYFUNCTION("""COMPUTED_VALUE"""),1.006)</f>
        <v>1.006</v>
      </c>
      <c r="E6124" s="16">
        <f>IFERROR(__xludf.DUMMYFUNCTION("""COMPUTED_VALUE"""),67.0)</f>
        <v>67</v>
      </c>
      <c r="F6124" s="19" t="str">
        <f>IFERROR(__xludf.DUMMYFUNCTION("""COMPUTED_VALUE"""),"BLUE")</f>
        <v>BLUE</v>
      </c>
      <c r="G6124" s="20" t="str">
        <f>IFERROR(__xludf.DUMMYFUNCTION("""COMPUTED_VALUE"""),"Uncle Sams Cider (04/04/2023)")</f>
        <v>Uncle Sams Cider (04/04/2023)</v>
      </c>
      <c r="H6124" s="19"/>
    </row>
    <row r="6125">
      <c r="A6125" s="9"/>
      <c r="B6125" s="15"/>
      <c r="C6125" s="9">
        <f>IFERROR(__xludf.DUMMYFUNCTION("""COMPUTED_VALUE"""),45080.3313678935)</f>
        <v>45080.33137</v>
      </c>
      <c r="D6125" s="15">
        <f>IFERROR(__xludf.DUMMYFUNCTION("""COMPUTED_VALUE"""),1.006)</f>
        <v>1.006</v>
      </c>
      <c r="E6125" s="16">
        <f>IFERROR(__xludf.DUMMYFUNCTION("""COMPUTED_VALUE"""),67.0)</f>
        <v>67</v>
      </c>
      <c r="F6125" s="19" t="str">
        <f>IFERROR(__xludf.DUMMYFUNCTION("""COMPUTED_VALUE"""),"BLUE")</f>
        <v>BLUE</v>
      </c>
      <c r="G6125" s="20" t="str">
        <f>IFERROR(__xludf.DUMMYFUNCTION("""COMPUTED_VALUE"""),"Uncle Sams Cider (04/04/2023)")</f>
        <v>Uncle Sams Cider (04/04/2023)</v>
      </c>
      <c r="H6125" s="19"/>
    </row>
    <row r="6126">
      <c r="A6126" s="9"/>
      <c r="B6126" s="15"/>
      <c r="C6126" s="9">
        <f>IFERROR(__xludf.DUMMYFUNCTION("""COMPUTED_VALUE"""),45080.3209356365)</f>
        <v>45080.32094</v>
      </c>
      <c r="D6126" s="15">
        <f>IFERROR(__xludf.DUMMYFUNCTION("""COMPUTED_VALUE"""),1.006)</f>
        <v>1.006</v>
      </c>
      <c r="E6126" s="16">
        <f>IFERROR(__xludf.DUMMYFUNCTION("""COMPUTED_VALUE"""),67.0)</f>
        <v>67</v>
      </c>
      <c r="F6126" s="19" t="str">
        <f>IFERROR(__xludf.DUMMYFUNCTION("""COMPUTED_VALUE"""),"BLUE")</f>
        <v>BLUE</v>
      </c>
      <c r="G6126" s="20" t="str">
        <f>IFERROR(__xludf.DUMMYFUNCTION("""COMPUTED_VALUE"""),"Uncle Sams Cider (04/04/2023)")</f>
        <v>Uncle Sams Cider (04/04/2023)</v>
      </c>
      <c r="H6126" s="19"/>
    </row>
    <row r="6127">
      <c r="A6127" s="9"/>
      <c r="B6127" s="15"/>
      <c r="C6127" s="9">
        <f>IFERROR(__xludf.DUMMYFUNCTION("""COMPUTED_VALUE"""),45080.3105134606)</f>
        <v>45080.31051</v>
      </c>
      <c r="D6127" s="15">
        <f>IFERROR(__xludf.DUMMYFUNCTION("""COMPUTED_VALUE"""),1.006)</f>
        <v>1.006</v>
      </c>
      <c r="E6127" s="16">
        <f>IFERROR(__xludf.DUMMYFUNCTION("""COMPUTED_VALUE"""),67.0)</f>
        <v>67</v>
      </c>
      <c r="F6127" s="19" t="str">
        <f>IFERROR(__xludf.DUMMYFUNCTION("""COMPUTED_VALUE"""),"BLUE")</f>
        <v>BLUE</v>
      </c>
      <c r="G6127" s="20" t="str">
        <f>IFERROR(__xludf.DUMMYFUNCTION("""COMPUTED_VALUE"""),"Uncle Sams Cider (04/04/2023)")</f>
        <v>Uncle Sams Cider (04/04/2023)</v>
      </c>
      <c r="H6127" s="19"/>
    </row>
    <row r="6128">
      <c r="A6128" s="9"/>
      <c r="B6128" s="15"/>
      <c r="C6128" s="9">
        <f>IFERROR(__xludf.DUMMYFUNCTION("""COMPUTED_VALUE"""),45080.3000940046)</f>
        <v>45080.30009</v>
      </c>
      <c r="D6128" s="15">
        <f>IFERROR(__xludf.DUMMYFUNCTION("""COMPUTED_VALUE"""),1.006)</f>
        <v>1.006</v>
      </c>
      <c r="E6128" s="16">
        <f>IFERROR(__xludf.DUMMYFUNCTION("""COMPUTED_VALUE"""),67.0)</f>
        <v>67</v>
      </c>
      <c r="F6128" s="19" t="str">
        <f>IFERROR(__xludf.DUMMYFUNCTION("""COMPUTED_VALUE"""),"BLUE")</f>
        <v>BLUE</v>
      </c>
      <c r="G6128" s="20" t="str">
        <f>IFERROR(__xludf.DUMMYFUNCTION("""COMPUTED_VALUE"""),"Uncle Sams Cider (04/04/2023)")</f>
        <v>Uncle Sams Cider (04/04/2023)</v>
      </c>
      <c r="H6128" s="19"/>
    </row>
    <row r="6129">
      <c r="A6129" s="9"/>
      <c r="B6129" s="15"/>
      <c r="C6129" s="9">
        <f>IFERROR(__xludf.DUMMYFUNCTION("""COMPUTED_VALUE"""),45080.2896732986)</f>
        <v>45080.28967</v>
      </c>
      <c r="D6129" s="15">
        <f>IFERROR(__xludf.DUMMYFUNCTION("""COMPUTED_VALUE"""),1.006)</f>
        <v>1.006</v>
      </c>
      <c r="E6129" s="16">
        <f>IFERROR(__xludf.DUMMYFUNCTION("""COMPUTED_VALUE"""),67.0)</f>
        <v>67</v>
      </c>
      <c r="F6129" s="19" t="str">
        <f>IFERROR(__xludf.DUMMYFUNCTION("""COMPUTED_VALUE"""),"BLUE")</f>
        <v>BLUE</v>
      </c>
      <c r="G6129" s="20" t="str">
        <f>IFERROR(__xludf.DUMMYFUNCTION("""COMPUTED_VALUE"""),"Uncle Sams Cider (04/04/2023)")</f>
        <v>Uncle Sams Cider (04/04/2023)</v>
      </c>
      <c r="H6129" s="19"/>
    </row>
    <row r="6130">
      <c r="A6130" s="9"/>
      <c r="B6130" s="15"/>
      <c r="C6130" s="9">
        <f>IFERROR(__xludf.DUMMYFUNCTION("""COMPUTED_VALUE"""),45080.2792538194)</f>
        <v>45080.27925</v>
      </c>
      <c r="D6130" s="15">
        <f>IFERROR(__xludf.DUMMYFUNCTION("""COMPUTED_VALUE"""),1.006)</f>
        <v>1.006</v>
      </c>
      <c r="E6130" s="16">
        <f>IFERROR(__xludf.DUMMYFUNCTION("""COMPUTED_VALUE"""),67.0)</f>
        <v>67</v>
      </c>
      <c r="F6130" s="19" t="str">
        <f>IFERROR(__xludf.DUMMYFUNCTION("""COMPUTED_VALUE"""),"BLUE")</f>
        <v>BLUE</v>
      </c>
      <c r="G6130" s="20" t="str">
        <f>IFERROR(__xludf.DUMMYFUNCTION("""COMPUTED_VALUE"""),"Uncle Sams Cider (04/04/2023)")</f>
        <v>Uncle Sams Cider (04/04/2023)</v>
      </c>
      <c r="H6130" s="19"/>
    </row>
    <row r="6131">
      <c r="A6131" s="9"/>
      <c r="B6131" s="15"/>
      <c r="C6131" s="9">
        <f>IFERROR(__xludf.DUMMYFUNCTION("""COMPUTED_VALUE"""),45080.2688330439)</f>
        <v>45080.26883</v>
      </c>
      <c r="D6131" s="15">
        <f>IFERROR(__xludf.DUMMYFUNCTION("""COMPUTED_VALUE"""),1.006)</f>
        <v>1.006</v>
      </c>
      <c r="E6131" s="16">
        <f>IFERROR(__xludf.DUMMYFUNCTION("""COMPUTED_VALUE"""),67.0)</f>
        <v>67</v>
      </c>
      <c r="F6131" s="19" t="str">
        <f>IFERROR(__xludf.DUMMYFUNCTION("""COMPUTED_VALUE"""),"BLUE")</f>
        <v>BLUE</v>
      </c>
      <c r="G6131" s="20" t="str">
        <f>IFERROR(__xludf.DUMMYFUNCTION("""COMPUTED_VALUE"""),"Uncle Sams Cider (04/04/2023)")</f>
        <v>Uncle Sams Cider (04/04/2023)</v>
      </c>
      <c r="H6131" s="19"/>
    </row>
    <row r="6132">
      <c r="A6132" s="9"/>
      <c r="B6132" s="15"/>
      <c r="C6132" s="9">
        <f>IFERROR(__xludf.DUMMYFUNCTION("""COMPUTED_VALUE"""),45080.2584109606)</f>
        <v>45080.25841</v>
      </c>
      <c r="D6132" s="15">
        <f>IFERROR(__xludf.DUMMYFUNCTION("""COMPUTED_VALUE"""),1.006)</f>
        <v>1.006</v>
      </c>
      <c r="E6132" s="16">
        <f>IFERROR(__xludf.DUMMYFUNCTION("""COMPUTED_VALUE"""),67.0)</f>
        <v>67</v>
      </c>
      <c r="F6132" s="19" t="str">
        <f>IFERROR(__xludf.DUMMYFUNCTION("""COMPUTED_VALUE"""),"BLUE")</f>
        <v>BLUE</v>
      </c>
      <c r="G6132" s="20" t="str">
        <f>IFERROR(__xludf.DUMMYFUNCTION("""COMPUTED_VALUE"""),"Uncle Sams Cider (04/04/2023)")</f>
        <v>Uncle Sams Cider (04/04/2023)</v>
      </c>
      <c r="H6132" s="19"/>
    </row>
    <row r="6133">
      <c r="A6133" s="9"/>
      <c r="B6133" s="15"/>
      <c r="C6133" s="9">
        <f>IFERROR(__xludf.DUMMYFUNCTION("""COMPUTED_VALUE"""),45080.2479787152)</f>
        <v>45080.24798</v>
      </c>
      <c r="D6133" s="15">
        <f>IFERROR(__xludf.DUMMYFUNCTION("""COMPUTED_VALUE"""),1.006)</f>
        <v>1.006</v>
      </c>
      <c r="E6133" s="16">
        <f>IFERROR(__xludf.DUMMYFUNCTION("""COMPUTED_VALUE"""),67.0)</f>
        <v>67</v>
      </c>
      <c r="F6133" s="19" t="str">
        <f>IFERROR(__xludf.DUMMYFUNCTION("""COMPUTED_VALUE"""),"BLUE")</f>
        <v>BLUE</v>
      </c>
      <c r="G6133" s="20" t="str">
        <f>IFERROR(__xludf.DUMMYFUNCTION("""COMPUTED_VALUE"""),"Uncle Sams Cider (04/04/2023)")</f>
        <v>Uncle Sams Cider (04/04/2023)</v>
      </c>
      <c r="H6133" s="19"/>
    </row>
    <row r="6134">
      <c r="A6134" s="9"/>
      <c r="B6134" s="15"/>
      <c r="C6134" s="9">
        <f>IFERROR(__xludf.DUMMYFUNCTION("""COMPUTED_VALUE"""),45080.2375589814)</f>
        <v>45080.23756</v>
      </c>
      <c r="D6134" s="15">
        <f>IFERROR(__xludf.DUMMYFUNCTION("""COMPUTED_VALUE"""),1.006)</f>
        <v>1.006</v>
      </c>
      <c r="E6134" s="16">
        <f>IFERROR(__xludf.DUMMYFUNCTION("""COMPUTED_VALUE"""),66.0)</f>
        <v>66</v>
      </c>
      <c r="F6134" s="19" t="str">
        <f>IFERROR(__xludf.DUMMYFUNCTION("""COMPUTED_VALUE"""),"BLUE")</f>
        <v>BLUE</v>
      </c>
      <c r="G6134" s="20" t="str">
        <f>IFERROR(__xludf.DUMMYFUNCTION("""COMPUTED_VALUE"""),"Uncle Sams Cider (04/04/2023)")</f>
        <v>Uncle Sams Cider (04/04/2023)</v>
      </c>
      <c r="H6134" s="19"/>
    </row>
    <row r="6135">
      <c r="A6135" s="9"/>
      <c r="B6135" s="15"/>
      <c r="C6135" s="9">
        <f>IFERROR(__xludf.DUMMYFUNCTION("""COMPUTED_VALUE"""),45080.2271374537)</f>
        <v>45080.22714</v>
      </c>
      <c r="D6135" s="15">
        <f>IFERROR(__xludf.DUMMYFUNCTION("""COMPUTED_VALUE"""),1.006)</f>
        <v>1.006</v>
      </c>
      <c r="E6135" s="16">
        <f>IFERROR(__xludf.DUMMYFUNCTION("""COMPUTED_VALUE"""),67.0)</f>
        <v>67</v>
      </c>
      <c r="F6135" s="19" t="str">
        <f>IFERROR(__xludf.DUMMYFUNCTION("""COMPUTED_VALUE"""),"BLUE")</f>
        <v>BLUE</v>
      </c>
      <c r="G6135" s="20" t="str">
        <f>IFERROR(__xludf.DUMMYFUNCTION("""COMPUTED_VALUE"""),"Uncle Sams Cider (04/04/2023)")</f>
        <v>Uncle Sams Cider (04/04/2023)</v>
      </c>
      <c r="H6135" s="19"/>
    </row>
    <row r="6136">
      <c r="A6136" s="9"/>
      <c r="B6136" s="15"/>
      <c r="C6136" s="9">
        <f>IFERROR(__xludf.DUMMYFUNCTION("""COMPUTED_VALUE"""),45080.2167170717)</f>
        <v>45080.21672</v>
      </c>
      <c r="D6136" s="15">
        <f>IFERROR(__xludf.DUMMYFUNCTION("""COMPUTED_VALUE"""),1.006)</f>
        <v>1.006</v>
      </c>
      <c r="E6136" s="16">
        <f>IFERROR(__xludf.DUMMYFUNCTION("""COMPUTED_VALUE"""),66.0)</f>
        <v>66</v>
      </c>
      <c r="F6136" s="19" t="str">
        <f>IFERROR(__xludf.DUMMYFUNCTION("""COMPUTED_VALUE"""),"BLUE")</f>
        <v>BLUE</v>
      </c>
      <c r="G6136" s="20" t="str">
        <f>IFERROR(__xludf.DUMMYFUNCTION("""COMPUTED_VALUE"""),"Uncle Sams Cider (04/04/2023)")</f>
        <v>Uncle Sams Cider (04/04/2023)</v>
      </c>
      <c r="H6136" s="19"/>
    </row>
    <row r="6137">
      <c r="A6137" s="9"/>
      <c r="B6137" s="15"/>
      <c r="C6137" s="9">
        <f>IFERROR(__xludf.DUMMYFUNCTION("""COMPUTED_VALUE"""),45080.2062959838)</f>
        <v>45080.2063</v>
      </c>
      <c r="D6137" s="15">
        <f>IFERROR(__xludf.DUMMYFUNCTION("""COMPUTED_VALUE"""),1.006)</f>
        <v>1.006</v>
      </c>
      <c r="E6137" s="16">
        <f>IFERROR(__xludf.DUMMYFUNCTION("""COMPUTED_VALUE"""),67.0)</f>
        <v>67</v>
      </c>
      <c r="F6137" s="19" t="str">
        <f>IFERROR(__xludf.DUMMYFUNCTION("""COMPUTED_VALUE"""),"BLUE")</f>
        <v>BLUE</v>
      </c>
      <c r="G6137" s="20" t="str">
        <f>IFERROR(__xludf.DUMMYFUNCTION("""COMPUTED_VALUE"""),"Uncle Sams Cider (04/04/2023)")</f>
        <v>Uncle Sams Cider (04/04/2023)</v>
      </c>
      <c r="H6137" s="19"/>
    </row>
    <row r="6138">
      <c r="A6138" s="9"/>
      <c r="B6138" s="15"/>
      <c r="C6138" s="9">
        <f>IFERROR(__xludf.DUMMYFUNCTION("""COMPUTED_VALUE"""),45080.19587478)</f>
        <v>45080.19587</v>
      </c>
      <c r="D6138" s="15">
        <f>IFERROR(__xludf.DUMMYFUNCTION("""COMPUTED_VALUE"""),1.006)</f>
        <v>1.006</v>
      </c>
      <c r="E6138" s="16">
        <f>IFERROR(__xludf.DUMMYFUNCTION("""COMPUTED_VALUE"""),66.0)</f>
        <v>66</v>
      </c>
      <c r="F6138" s="19" t="str">
        <f>IFERROR(__xludf.DUMMYFUNCTION("""COMPUTED_VALUE"""),"BLUE")</f>
        <v>BLUE</v>
      </c>
      <c r="G6138" s="20" t="str">
        <f>IFERROR(__xludf.DUMMYFUNCTION("""COMPUTED_VALUE"""),"Uncle Sams Cider (04/04/2023)")</f>
        <v>Uncle Sams Cider (04/04/2023)</v>
      </c>
      <c r="H6138" s="19"/>
    </row>
    <row r="6139">
      <c r="A6139" s="9"/>
      <c r="B6139" s="15"/>
      <c r="C6139" s="9">
        <f>IFERROR(__xludf.DUMMYFUNCTION("""COMPUTED_VALUE"""),45080.1854535185)</f>
        <v>45080.18545</v>
      </c>
      <c r="D6139" s="15">
        <f>IFERROR(__xludf.DUMMYFUNCTION("""COMPUTED_VALUE"""),1.006)</f>
        <v>1.006</v>
      </c>
      <c r="E6139" s="16">
        <f>IFERROR(__xludf.DUMMYFUNCTION("""COMPUTED_VALUE"""),66.0)</f>
        <v>66</v>
      </c>
      <c r="F6139" s="19" t="str">
        <f>IFERROR(__xludf.DUMMYFUNCTION("""COMPUTED_VALUE"""),"BLUE")</f>
        <v>BLUE</v>
      </c>
      <c r="G6139" s="20" t="str">
        <f>IFERROR(__xludf.DUMMYFUNCTION("""COMPUTED_VALUE"""),"Uncle Sams Cider (04/04/2023)")</f>
        <v>Uncle Sams Cider (04/04/2023)</v>
      </c>
      <c r="H6139" s="19"/>
    </row>
    <row r="6140">
      <c r="A6140" s="9"/>
      <c r="B6140" s="15"/>
      <c r="C6140" s="9">
        <f>IFERROR(__xludf.DUMMYFUNCTION("""COMPUTED_VALUE"""),45080.1750315046)</f>
        <v>45080.17503</v>
      </c>
      <c r="D6140" s="15">
        <f>IFERROR(__xludf.DUMMYFUNCTION("""COMPUTED_VALUE"""),1.006)</f>
        <v>1.006</v>
      </c>
      <c r="E6140" s="16">
        <f>IFERROR(__xludf.DUMMYFUNCTION("""COMPUTED_VALUE"""),66.0)</f>
        <v>66</v>
      </c>
      <c r="F6140" s="19" t="str">
        <f>IFERROR(__xludf.DUMMYFUNCTION("""COMPUTED_VALUE"""),"BLUE")</f>
        <v>BLUE</v>
      </c>
      <c r="G6140" s="20" t="str">
        <f>IFERROR(__xludf.DUMMYFUNCTION("""COMPUTED_VALUE"""),"Uncle Sams Cider (04/04/2023)")</f>
        <v>Uncle Sams Cider (04/04/2023)</v>
      </c>
      <c r="H6140" s="19"/>
    </row>
    <row r="6141">
      <c r="A6141" s="9"/>
      <c r="B6141" s="15"/>
      <c r="C6141" s="9">
        <f>IFERROR(__xludf.DUMMYFUNCTION("""COMPUTED_VALUE"""),45080.1646109027)</f>
        <v>45080.16461</v>
      </c>
      <c r="D6141" s="15">
        <f>IFERROR(__xludf.DUMMYFUNCTION("""COMPUTED_VALUE"""),1.006)</f>
        <v>1.006</v>
      </c>
      <c r="E6141" s="16">
        <f>IFERROR(__xludf.DUMMYFUNCTION("""COMPUTED_VALUE"""),66.0)</f>
        <v>66</v>
      </c>
      <c r="F6141" s="19" t="str">
        <f>IFERROR(__xludf.DUMMYFUNCTION("""COMPUTED_VALUE"""),"BLUE")</f>
        <v>BLUE</v>
      </c>
      <c r="G6141" s="20" t="str">
        <f>IFERROR(__xludf.DUMMYFUNCTION("""COMPUTED_VALUE"""),"Uncle Sams Cider (04/04/2023)")</f>
        <v>Uncle Sams Cider (04/04/2023)</v>
      </c>
      <c r="H6141" s="19"/>
    </row>
    <row r="6142">
      <c r="A6142" s="9"/>
      <c r="B6142" s="15"/>
      <c r="C6142" s="9">
        <f>IFERROR(__xludf.DUMMYFUNCTION("""COMPUTED_VALUE"""),45080.1541904861)</f>
        <v>45080.15419</v>
      </c>
      <c r="D6142" s="15">
        <f>IFERROR(__xludf.DUMMYFUNCTION("""COMPUTED_VALUE"""),1.006)</f>
        <v>1.006</v>
      </c>
      <c r="E6142" s="16">
        <f>IFERROR(__xludf.DUMMYFUNCTION("""COMPUTED_VALUE"""),66.0)</f>
        <v>66</v>
      </c>
      <c r="F6142" s="19" t="str">
        <f>IFERROR(__xludf.DUMMYFUNCTION("""COMPUTED_VALUE"""),"BLUE")</f>
        <v>BLUE</v>
      </c>
      <c r="G6142" s="20" t="str">
        <f>IFERROR(__xludf.DUMMYFUNCTION("""COMPUTED_VALUE"""),"Uncle Sams Cider (04/04/2023)")</f>
        <v>Uncle Sams Cider (04/04/2023)</v>
      </c>
      <c r="H6142" s="19"/>
    </row>
    <row r="6143">
      <c r="A6143" s="9"/>
      <c r="B6143" s="15"/>
      <c r="C6143" s="9">
        <f>IFERROR(__xludf.DUMMYFUNCTION("""COMPUTED_VALUE"""),45080.1437703703)</f>
        <v>45080.14377</v>
      </c>
      <c r="D6143" s="15">
        <f>IFERROR(__xludf.DUMMYFUNCTION("""COMPUTED_VALUE"""),1.006)</f>
        <v>1.006</v>
      </c>
      <c r="E6143" s="16">
        <f>IFERROR(__xludf.DUMMYFUNCTION("""COMPUTED_VALUE"""),66.0)</f>
        <v>66</v>
      </c>
      <c r="F6143" s="19" t="str">
        <f>IFERROR(__xludf.DUMMYFUNCTION("""COMPUTED_VALUE"""),"BLUE")</f>
        <v>BLUE</v>
      </c>
      <c r="G6143" s="20" t="str">
        <f>IFERROR(__xludf.DUMMYFUNCTION("""COMPUTED_VALUE"""),"Uncle Sams Cider (04/04/2023)")</f>
        <v>Uncle Sams Cider (04/04/2023)</v>
      </c>
      <c r="H6143" s="19"/>
    </row>
    <row r="6144">
      <c r="A6144" s="9"/>
      <c r="B6144" s="15"/>
      <c r="C6144" s="9">
        <f>IFERROR(__xludf.DUMMYFUNCTION("""COMPUTED_VALUE"""),45080.1333384259)</f>
        <v>45080.13334</v>
      </c>
      <c r="D6144" s="15">
        <f>IFERROR(__xludf.DUMMYFUNCTION("""COMPUTED_VALUE"""),1.006)</f>
        <v>1.006</v>
      </c>
      <c r="E6144" s="16">
        <f>IFERROR(__xludf.DUMMYFUNCTION("""COMPUTED_VALUE"""),66.0)</f>
        <v>66</v>
      </c>
      <c r="F6144" s="19" t="str">
        <f>IFERROR(__xludf.DUMMYFUNCTION("""COMPUTED_VALUE"""),"BLUE")</f>
        <v>BLUE</v>
      </c>
      <c r="G6144" s="20" t="str">
        <f>IFERROR(__xludf.DUMMYFUNCTION("""COMPUTED_VALUE"""),"Uncle Sams Cider (04/04/2023)")</f>
        <v>Uncle Sams Cider (04/04/2023)</v>
      </c>
      <c r="H6144" s="19"/>
    </row>
    <row r="6145">
      <c r="A6145" s="9"/>
      <c r="B6145" s="15"/>
      <c r="C6145" s="9">
        <f>IFERROR(__xludf.DUMMYFUNCTION("""COMPUTED_VALUE"""),45080.122905405)</f>
        <v>45080.12291</v>
      </c>
      <c r="D6145" s="15">
        <f>IFERROR(__xludf.DUMMYFUNCTION("""COMPUTED_VALUE"""),1.006)</f>
        <v>1.006</v>
      </c>
      <c r="E6145" s="16">
        <f>IFERROR(__xludf.DUMMYFUNCTION("""COMPUTED_VALUE"""),66.0)</f>
        <v>66</v>
      </c>
      <c r="F6145" s="19" t="str">
        <f>IFERROR(__xludf.DUMMYFUNCTION("""COMPUTED_VALUE"""),"BLUE")</f>
        <v>BLUE</v>
      </c>
      <c r="G6145" s="20" t="str">
        <f>IFERROR(__xludf.DUMMYFUNCTION("""COMPUTED_VALUE"""),"Uncle Sams Cider (04/04/2023)")</f>
        <v>Uncle Sams Cider (04/04/2023)</v>
      </c>
      <c r="H6145" s="19"/>
    </row>
    <row r="6146">
      <c r="A6146" s="9"/>
      <c r="B6146" s="15"/>
      <c r="C6146" s="9">
        <f>IFERROR(__xludf.DUMMYFUNCTION("""COMPUTED_VALUE"""),45080.1124736111)</f>
        <v>45080.11247</v>
      </c>
      <c r="D6146" s="15">
        <f>IFERROR(__xludf.DUMMYFUNCTION("""COMPUTED_VALUE"""),1.006)</f>
        <v>1.006</v>
      </c>
      <c r="E6146" s="16">
        <f>IFERROR(__xludf.DUMMYFUNCTION("""COMPUTED_VALUE"""),66.0)</f>
        <v>66</v>
      </c>
      <c r="F6146" s="19" t="str">
        <f>IFERROR(__xludf.DUMMYFUNCTION("""COMPUTED_VALUE"""),"BLUE")</f>
        <v>BLUE</v>
      </c>
      <c r="G6146" s="20" t="str">
        <f>IFERROR(__xludf.DUMMYFUNCTION("""COMPUTED_VALUE"""),"Uncle Sams Cider (04/04/2023)")</f>
        <v>Uncle Sams Cider (04/04/2023)</v>
      </c>
      <c r="H6146" s="19"/>
    </row>
    <row r="6147">
      <c r="A6147" s="9"/>
      <c r="B6147" s="15"/>
      <c r="C6147" s="9">
        <f>IFERROR(__xludf.DUMMYFUNCTION("""COMPUTED_VALUE"""),45080.1020525115)</f>
        <v>45080.10205</v>
      </c>
      <c r="D6147" s="15">
        <f>IFERROR(__xludf.DUMMYFUNCTION("""COMPUTED_VALUE"""),1.007)</f>
        <v>1.007</v>
      </c>
      <c r="E6147" s="16">
        <f>IFERROR(__xludf.DUMMYFUNCTION("""COMPUTED_VALUE"""),66.0)</f>
        <v>66</v>
      </c>
      <c r="F6147" s="19" t="str">
        <f>IFERROR(__xludf.DUMMYFUNCTION("""COMPUTED_VALUE"""),"BLUE")</f>
        <v>BLUE</v>
      </c>
      <c r="G6147" s="20" t="str">
        <f>IFERROR(__xludf.DUMMYFUNCTION("""COMPUTED_VALUE"""),"Uncle Sams Cider (04/04/2023)")</f>
        <v>Uncle Sams Cider (04/04/2023)</v>
      </c>
      <c r="H6147" s="19"/>
    </row>
    <row r="6148">
      <c r="A6148" s="9"/>
      <c r="B6148" s="15"/>
      <c r="C6148" s="9">
        <f>IFERROR(__xludf.DUMMYFUNCTION("""COMPUTED_VALUE"""),45080.0916312847)</f>
        <v>45080.09163</v>
      </c>
      <c r="D6148" s="15">
        <f>IFERROR(__xludf.DUMMYFUNCTION("""COMPUTED_VALUE"""),1.006)</f>
        <v>1.006</v>
      </c>
      <c r="E6148" s="16">
        <f>IFERROR(__xludf.DUMMYFUNCTION("""COMPUTED_VALUE"""),66.0)</f>
        <v>66</v>
      </c>
      <c r="F6148" s="19" t="str">
        <f>IFERROR(__xludf.DUMMYFUNCTION("""COMPUTED_VALUE"""),"BLUE")</f>
        <v>BLUE</v>
      </c>
      <c r="G6148" s="20" t="str">
        <f>IFERROR(__xludf.DUMMYFUNCTION("""COMPUTED_VALUE"""),"Uncle Sams Cider (04/04/2023)")</f>
        <v>Uncle Sams Cider (04/04/2023)</v>
      </c>
      <c r="H6148" s="19"/>
    </row>
    <row r="6149">
      <c r="A6149" s="9"/>
      <c r="B6149" s="15"/>
      <c r="C6149" s="9">
        <f>IFERROR(__xludf.DUMMYFUNCTION("""COMPUTED_VALUE"""),45080.0812093865)</f>
        <v>45080.08121</v>
      </c>
      <c r="D6149" s="15">
        <f>IFERROR(__xludf.DUMMYFUNCTION("""COMPUTED_VALUE"""),1.006)</f>
        <v>1.006</v>
      </c>
      <c r="E6149" s="16">
        <f>IFERROR(__xludf.DUMMYFUNCTION("""COMPUTED_VALUE"""),66.0)</f>
        <v>66</v>
      </c>
      <c r="F6149" s="19" t="str">
        <f>IFERROR(__xludf.DUMMYFUNCTION("""COMPUTED_VALUE"""),"BLUE")</f>
        <v>BLUE</v>
      </c>
      <c r="G6149" s="20" t="str">
        <f>IFERROR(__xludf.DUMMYFUNCTION("""COMPUTED_VALUE"""),"Uncle Sams Cider (04/04/2023)")</f>
        <v>Uncle Sams Cider (04/04/2023)</v>
      </c>
      <c r="H6149" s="19"/>
    </row>
    <row r="6150">
      <c r="A6150" s="9"/>
      <c r="B6150" s="15"/>
      <c r="C6150" s="9">
        <f>IFERROR(__xludf.DUMMYFUNCTION("""COMPUTED_VALUE"""),45080.0707873611)</f>
        <v>45080.07079</v>
      </c>
      <c r="D6150" s="15">
        <f>IFERROR(__xludf.DUMMYFUNCTION("""COMPUTED_VALUE"""),1.006)</f>
        <v>1.006</v>
      </c>
      <c r="E6150" s="16">
        <f>IFERROR(__xludf.DUMMYFUNCTION("""COMPUTED_VALUE"""),66.0)</f>
        <v>66</v>
      </c>
      <c r="F6150" s="19" t="str">
        <f>IFERROR(__xludf.DUMMYFUNCTION("""COMPUTED_VALUE"""),"BLUE")</f>
        <v>BLUE</v>
      </c>
      <c r="G6150" s="20" t="str">
        <f>IFERROR(__xludf.DUMMYFUNCTION("""COMPUTED_VALUE"""),"Uncle Sams Cider (04/04/2023)")</f>
        <v>Uncle Sams Cider (04/04/2023)</v>
      </c>
      <c r="H6150" s="19"/>
    </row>
    <row r="6151">
      <c r="A6151" s="9"/>
      <c r="B6151" s="15"/>
      <c r="C6151" s="9">
        <f>IFERROR(__xludf.DUMMYFUNCTION("""COMPUTED_VALUE"""),45080.0603657175)</f>
        <v>45080.06037</v>
      </c>
      <c r="D6151" s="15">
        <f>IFERROR(__xludf.DUMMYFUNCTION("""COMPUTED_VALUE"""),1.006)</f>
        <v>1.006</v>
      </c>
      <c r="E6151" s="16">
        <f>IFERROR(__xludf.DUMMYFUNCTION("""COMPUTED_VALUE"""),66.0)</f>
        <v>66</v>
      </c>
      <c r="F6151" s="19" t="str">
        <f>IFERROR(__xludf.DUMMYFUNCTION("""COMPUTED_VALUE"""),"BLUE")</f>
        <v>BLUE</v>
      </c>
      <c r="G6151" s="20" t="str">
        <f>IFERROR(__xludf.DUMMYFUNCTION("""COMPUTED_VALUE"""),"Uncle Sams Cider (04/04/2023)")</f>
        <v>Uncle Sams Cider (04/04/2023)</v>
      </c>
      <c r="H6151" s="19"/>
    </row>
    <row r="6152">
      <c r="A6152" s="9"/>
      <c r="B6152" s="15"/>
      <c r="C6152" s="9">
        <f>IFERROR(__xludf.DUMMYFUNCTION("""COMPUTED_VALUE"""),45080.0499461111)</f>
        <v>45080.04995</v>
      </c>
      <c r="D6152" s="15">
        <f>IFERROR(__xludf.DUMMYFUNCTION("""COMPUTED_VALUE"""),1.006)</f>
        <v>1.006</v>
      </c>
      <c r="E6152" s="16">
        <f>IFERROR(__xludf.DUMMYFUNCTION("""COMPUTED_VALUE"""),66.0)</f>
        <v>66</v>
      </c>
      <c r="F6152" s="19" t="str">
        <f>IFERROR(__xludf.DUMMYFUNCTION("""COMPUTED_VALUE"""),"BLUE")</f>
        <v>BLUE</v>
      </c>
      <c r="G6152" s="20" t="str">
        <f>IFERROR(__xludf.DUMMYFUNCTION("""COMPUTED_VALUE"""),"Uncle Sams Cider (04/04/2023)")</f>
        <v>Uncle Sams Cider (04/04/2023)</v>
      </c>
      <c r="H6152" s="19"/>
    </row>
    <row r="6153">
      <c r="A6153" s="9"/>
      <c r="B6153" s="15"/>
      <c r="C6153" s="9">
        <f>IFERROR(__xludf.DUMMYFUNCTION("""COMPUTED_VALUE"""),45080.039526412)</f>
        <v>45080.03953</v>
      </c>
      <c r="D6153" s="15">
        <f>IFERROR(__xludf.DUMMYFUNCTION("""COMPUTED_VALUE"""),1.006)</f>
        <v>1.006</v>
      </c>
      <c r="E6153" s="16">
        <f>IFERROR(__xludf.DUMMYFUNCTION("""COMPUTED_VALUE"""),66.0)</f>
        <v>66</v>
      </c>
      <c r="F6153" s="19" t="str">
        <f>IFERROR(__xludf.DUMMYFUNCTION("""COMPUTED_VALUE"""),"BLUE")</f>
        <v>BLUE</v>
      </c>
      <c r="G6153" s="20" t="str">
        <f>IFERROR(__xludf.DUMMYFUNCTION("""COMPUTED_VALUE"""),"Uncle Sams Cider (04/04/2023)")</f>
        <v>Uncle Sams Cider (04/04/2023)</v>
      </c>
      <c r="H6153" s="19"/>
    </row>
    <row r="6154">
      <c r="A6154" s="9"/>
      <c r="B6154" s="15"/>
      <c r="C6154" s="9">
        <f>IFERROR(__xludf.DUMMYFUNCTION("""COMPUTED_VALUE"""),45080.0291079745)</f>
        <v>45080.02911</v>
      </c>
      <c r="D6154" s="15">
        <f>IFERROR(__xludf.DUMMYFUNCTION("""COMPUTED_VALUE"""),1.007)</f>
        <v>1.007</v>
      </c>
      <c r="E6154" s="16">
        <f>IFERROR(__xludf.DUMMYFUNCTION("""COMPUTED_VALUE"""),66.0)</f>
        <v>66</v>
      </c>
      <c r="F6154" s="19" t="str">
        <f>IFERROR(__xludf.DUMMYFUNCTION("""COMPUTED_VALUE"""),"BLUE")</f>
        <v>BLUE</v>
      </c>
      <c r="G6154" s="20" t="str">
        <f>IFERROR(__xludf.DUMMYFUNCTION("""COMPUTED_VALUE"""),"Uncle Sams Cider (04/04/2023)")</f>
        <v>Uncle Sams Cider (04/04/2023)</v>
      </c>
      <c r="H6154" s="19"/>
    </row>
    <row r="6155">
      <c r="A6155" s="9"/>
      <c r="B6155" s="15"/>
      <c r="C6155" s="9">
        <f>IFERROR(__xludf.DUMMYFUNCTION("""COMPUTED_VALUE"""),45080.0186877777)</f>
        <v>45080.01869</v>
      </c>
      <c r="D6155" s="15">
        <f>IFERROR(__xludf.DUMMYFUNCTION("""COMPUTED_VALUE"""),1.006)</f>
        <v>1.006</v>
      </c>
      <c r="E6155" s="16">
        <f>IFERROR(__xludf.DUMMYFUNCTION("""COMPUTED_VALUE"""),66.0)</f>
        <v>66</v>
      </c>
      <c r="F6155" s="19" t="str">
        <f>IFERROR(__xludf.DUMMYFUNCTION("""COMPUTED_VALUE"""),"BLUE")</f>
        <v>BLUE</v>
      </c>
      <c r="G6155" s="20" t="str">
        <f>IFERROR(__xludf.DUMMYFUNCTION("""COMPUTED_VALUE"""),"Uncle Sams Cider (04/04/2023)")</f>
        <v>Uncle Sams Cider (04/04/2023)</v>
      </c>
      <c r="H6155" s="19"/>
    </row>
    <row r="6156">
      <c r="A6156" s="9"/>
      <c r="B6156" s="15"/>
      <c r="C6156" s="9">
        <f>IFERROR(__xludf.DUMMYFUNCTION("""COMPUTED_VALUE"""),45080.0082655555)</f>
        <v>45080.00827</v>
      </c>
      <c r="D6156" s="15">
        <f>IFERROR(__xludf.DUMMYFUNCTION("""COMPUTED_VALUE"""),1.007)</f>
        <v>1.007</v>
      </c>
      <c r="E6156" s="16">
        <f>IFERROR(__xludf.DUMMYFUNCTION("""COMPUTED_VALUE"""),66.0)</f>
        <v>66</v>
      </c>
      <c r="F6156" s="19" t="str">
        <f>IFERROR(__xludf.DUMMYFUNCTION("""COMPUTED_VALUE"""),"BLUE")</f>
        <v>BLUE</v>
      </c>
      <c r="G6156" s="20" t="str">
        <f>IFERROR(__xludf.DUMMYFUNCTION("""COMPUTED_VALUE"""),"Uncle Sams Cider (04/04/2023)")</f>
        <v>Uncle Sams Cider (04/04/2023)</v>
      </c>
      <c r="H6156" s="19"/>
    </row>
    <row r="6157">
      <c r="A6157" s="9"/>
      <c r="B6157" s="15"/>
      <c r="C6157" s="9">
        <f>IFERROR(__xludf.DUMMYFUNCTION("""COMPUTED_VALUE"""),45079.9978442129)</f>
        <v>45079.99784</v>
      </c>
      <c r="D6157" s="15">
        <f>IFERROR(__xludf.DUMMYFUNCTION("""COMPUTED_VALUE"""),1.006)</f>
        <v>1.006</v>
      </c>
      <c r="E6157" s="16">
        <f>IFERROR(__xludf.DUMMYFUNCTION("""COMPUTED_VALUE"""),66.0)</f>
        <v>66</v>
      </c>
      <c r="F6157" s="19" t="str">
        <f>IFERROR(__xludf.DUMMYFUNCTION("""COMPUTED_VALUE"""),"BLUE")</f>
        <v>BLUE</v>
      </c>
      <c r="G6157" s="20" t="str">
        <f>IFERROR(__xludf.DUMMYFUNCTION("""COMPUTED_VALUE"""),"Uncle Sams Cider (04/04/2023)")</f>
        <v>Uncle Sams Cider (04/04/2023)</v>
      </c>
      <c r="H6157" s="19"/>
    </row>
    <row r="6158">
      <c r="A6158" s="9"/>
      <c r="B6158" s="15"/>
      <c r="C6158" s="9">
        <f>IFERROR(__xludf.DUMMYFUNCTION("""COMPUTED_VALUE"""),45079.9874225463)</f>
        <v>45079.98742</v>
      </c>
      <c r="D6158" s="15">
        <f>IFERROR(__xludf.DUMMYFUNCTION("""COMPUTED_VALUE"""),1.006)</f>
        <v>1.006</v>
      </c>
      <c r="E6158" s="16">
        <f>IFERROR(__xludf.DUMMYFUNCTION("""COMPUTED_VALUE"""),66.0)</f>
        <v>66</v>
      </c>
      <c r="F6158" s="19" t="str">
        <f>IFERROR(__xludf.DUMMYFUNCTION("""COMPUTED_VALUE"""),"BLUE")</f>
        <v>BLUE</v>
      </c>
      <c r="G6158" s="20" t="str">
        <f>IFERROR(__xludf.DUMMYFUNCTION("""COMPUTED_VALUE"""),"Uncle Sams Cider (04/04/2023)")</f>
        <v>Uncle Sams Cider (04/04/2023)</v>
      </c>
      <c r="H6158" s="19"/>
    </row>
    <row r="6159">
      <c r="A6159" s="9"/>
      <c r="B6159" s="15"/>
      <c r="C6159" s="9">
        <f>IFERROR(__xludf.DUMMYFUNCTION("""COMPUTED_VALUE"""),45079.9770034375)</f>
        <v>45079.977</v>
      </c>
      <c r="D6159" s="15">
        <f>IFERROR(__xludf.DUMMYFUNCTION("""COMPUTED_VALUE"""),1.006)</f>
        <v>1.006</v>
      </c>
      <c r="E6159" s="16">
        <f>IFERROR(__xludf.DUMMYFUNCTION("""COMPUTED_VALUE"""),66.0)</f>
        <v>66</v>
      </c>
      <c r="F6159" s="19" t="str">
        <f>IFERROR(__xludf.DUMMYFUNCTION("""COMPUTED_VALUE"""),"BLUE")</f>
        <v>BLUE</v>
      </c>
      <c r="G6159" s="20" t="str">
        <f>IFERROR(__xludf.DUMMYFUNCTION("""COMPUTED_VALUE"""),"Uncle Sams Cider (04/04/2023)")</f>
        <v>Uncle Sams Cider (04/04/2023)</v>
      </c>
      <c r="H6159" s="19"/>
    </row>
    <row r="6160">
      <c r="A6160" s="9"/>
      <c r="B6160" s="15"/>
      <c r="C6160" s="9">
        <f>IFERROR(__xludf.DUMMYFUNCTION("""COMPUTED_VALUE"""),45079.9665709143)</f>
        <v>45079.96657</v>
      </c>
      <c r="D6160" s="15">
        <f>IFERROR(__xludf.DUMMYFUNCTION("""COMPUTED_VALUE"""),1.007)</f>
        <v>1.007</v>
      </c>
      <c r="E6160" s="16">
        <f>IFERROR(__xludf.DUMMYFUNCTION("""COMPUTED_VALUE"""),66.0)</f>
        <v>66</v>
      </c>
      <c r="F6160" s="19" t="str">
        <f>IFERROR(__xludf.DUMMYFUNCTION("""COMPUTED_VALUE"""),"BLUE")</f>
        <v>BLUE</v>
      </c>
      <c r="G6160" s="20" t="str">
        <f>IFERROR(__xludf.DUMMYFUNCTION("""COMPUTED_VALUE"""),"Uncle Sams Cider (04/04/2023)")</f>
        <v>Uncle Sams Cider (04/04/2023)</v>
      </c>
      <c r="H6160" s="19"/>
    </row>
    <row r="6161">
      <c r="A6161" s="9"/>
      <c r="B6161" s="15"/>
      <c r="C6161" s="9">
        <f>IFERROR(__xludf.DUMMYFUNCTION("""COMPUTED_VALUE"""),45079.9561503009)</f>
        <v>45079.95615</v>
      </c>
      <c r="D6161" s="15">
        <f>IFERROR(__xludf.DUMMYFUNCTION("""COMPUTED_VALUE"""),1.006)</f>
        <v>1.006</v>
      </c>
      <c r="E6161" s="16">
        <f>IFERROR(__xludf.DUMMYFUNCTION("""COMPUTED_VALUE"""),66.0)</f>
        <v>66</v>
      </c>
      <c r="F6161" s="19" t="str">
        <f>IFERROR(__xludf.DUMMYFUNCTION("""COMPUTED_VALUE"""),"BLUE")</f>
        <v>BLUE</v>
      </c>
      <c r="G6161" s="20" t="str">
        <f>IFERROR(__xludf.DUMMYFUNCTION("""COMPUTED_VALUE"""),"Uncle Sams Cider (04/04/2023)")</f>
        <v>Uncle Sams Cider (04/04/2023)</v>
      </c>
      <c r="H6161" s="19"/>
    </row>
    <row r="6162">
      <c r="A6162" s="9"/>
      <c r="B6162" s="15"/>
      <c r="C6162" s="9">
        <f>IFERROR(__xludf.DUMMYFUNCTION("""COMPUTED_VALUE"""),45079.9457301736)</f>
        <v>45079.94573</v>
      </c>
      <c r="D6162" s="15">
        <f>IFERROR(__xludf.DUMMYFUNCTION("""COMPUTED_VALUE"""),1.006)</f>
        <v>1.006</v>
      </c>
      <c r="E6162" s="16">
        <f>IFERROR(__xludf.DUMMYFUNCTION("""COMPUTED_VALUE"""),66.0)</f>
        <v>66</v>
      </c>
      <c r="F6162" s="19" t="str">
        <f>IFERROR(__xludf.DUMMYFUNCTION("""COMPUTED_VALUE"""),"BLUE")</f>
        <v>BLUE</v>
      </c>
      <c r="G6162" s="20" t="str">
        <f>IFERROR(__xludf.DUMMYFUNCTION("""COMPUTED_VALUE"""),"Uncle Sams Cider (04/04/2023)")</f>
        <v>Uncle Sams Cider (04/04/2023)</v>
      </c>
      <c r="H6162" s="19"/>
    </row>
    <row r="6163">
      <c r="A6163" s="9"/>
      <c r="B6163" s="15"/>
      <c r="C6163" s="9">
        <f>IFERROR(__xludf.DUMMYFUNCTION("""COMPUTED_VALUE"""),45079.935308993)</f>
        <v>45079.93531</v>
      </c>
      <c r="D6163" s="15">
        <f>IFERROR(__xludf.DUMMYFUNCTION("""COMPUTED_VALUE"""),1.006)</f>
        <v>1.006</v>
      </c>
      <c r="E6163" s="16">
        <f>IFERROR(__xludf.DUMMYFUNCTION("""COMPUTED_VALUE"""),66.0)</f>
        <v>66</v>
      </c>
      <c r="F6163" s="19" t="str">
        <f>IFERROR(__xludf.DUMMYFUNCTION("""COMPUTED_VALUE"""),"BLUE")</f>
        <v>BLUE</v>
      </c>
      <c r="G6163" s="20" t="str">
        <f>IFERROR(__xludf.DUMMYFUNCTION("""COMPUTED_VALUE"""),"Uncle Sams Cider (04/04/2023)")</f>
        <v>Uncle Sams Cider (04/04/2023)</v>
      </c>
      <c r="H6163" s="19"/>
    </row>
    <row r="6164">
      <c r="A6164" s="9"/>
      <c r="B6164" s="15"/>
      <c r="C6164" s="9">
        <f>IFERROR(__xludf.DUMMYFUNCTION("""COMPUTED_VALUE"""),45079.9248649305)</f>
        <v>45079.92486</v>
      </c>
      <c r="D6164" s="15">
        <f>IFERROR(__xludf.DUMMYFUNCTION("""COMPUTED_VALUE"""),1.006)</f>
        <v>1.006</v>
      </c>
      <c r="E6164" s="16">
        <f>IFERROR(__xludf.DUMMYFUNCTION("""COMPUTED_VALUE"""),66.0)</f>
        <v>66</v>
      </c>
      <c r="F6164" s="19" t="str">
        <f>IFERROR(__xludf.DUMMYFUNCTION("""COMPUTED_VALUE"""),"BLUE")</f>
        <v>BLUE</v>
      </c>
      <c r="G6164" s="20" t="str">
        <f>IFERROR(__xludf.DUMMYFUNCTION("""COMPUTED_VALUE"""),"Uncle Sams Cider (04/04/2023)")</f>
        <v>Uncle Sams Cider (04/04/2023)</v>
      </c>
      <c r="H6164" s="19"/>
    </row>
    <row r="6165">
      <c r="A6165" s="9"/>
      <c r="B6165" s="15"/>
      <c r="C6165" s="9">
        <f>IFERROR(__xludf.DUMMYFUNCTION("""COMPUTED_VALUE"""),45079.9144449768)</f>
        <v>45079.91444</v>
      </c>
      <c r="D6165" s="15">
        <f>IFERROR(__xludf.DUMMYFUNCTION("""COMPUTED_VALUE"""),1.006)</f>
        <v>1.006</v>
      </c>
      <c r="E6165" s="16">
        <f>IFERROR(__xludf.DUMMYFUNCTION("""COMPUTED_VALUE"""),66.0)</f>
        <v>66</v>
      </c>
      <c r="F6165" s="19" t="str">
        <f>IFERROR(__xludf.DUMMYFUNCTION("""COMPUTED_VALUE"""),"BLUE")</f>
        <v>BLUE</v>
      </c>
      <c r="G6165" s="20" t="str">
        <f>IFERROR(__xludf.DUMMYFUNCTION("""COMPUTED_VALUE"""),"Uncle Sams Cider (04/04/2023)")</f>
        <v>Uncle Sams Cider (04/04/2023)</v>
      </c>
      <c r="H6165" s="19"/>
    </row>
    <row r="6166">
      <c r="A6166" s="9"/>
      <c r="B6166" s="15"/>
      <c r="C6166" s="9">
        <f>IFERROR(__xludf.DUMMYFUNCTION("""COMPUTED_VALUE"""),45079.9040228009)</f>
        <v>45079.90402</v>
      </c>
      <c r="D6166" s="15">
        <f>IFERROR(__xludf.DUMMYFUNCTION("""COMPUTED_VALUE"""),1.007)</f>
        <v>1.007</v>
      </c>
      <c r="E6166" s="16">
        <f>IFERROR(__xludf.DUMMYFUNCTION("""COMPUTED_VALUE"""),66.0)</f>
        <v>66</v>
      </c>
      <c r="F6166" s="19" t="str">
        <f>IFERROR(__xludf.DUMMYFUNCTION("""COMPUTED_VALUE"""),"BLUE")</f>
        <v>BLUE</v>
      </c>
      <c r="G6166" s="20" t="str">
        <f>IFERROR(__xludf.DUMMYFUNCTION("""COMPUTED_VALUE"""),"Uncle Sams Cider (04/04/2023)")</f>
        <v>Uncle Sams Cider (04/04/2023)</v>
      </c>
      <c r="H6166" s="19"/>
    </row>
    <row r="6167">
      <c r="A6167" s="9"/>
      <c r="B6167" s="15"/>
      <c r="C6167" s="9">
        <f>IFERROR(__xludf.DUMMYFUNCTION("""COMPUTED_VALUE"""),45079.8935901041)</f>
        <v>45079.89359</v>
      </c>
      <c r="D6167" s="15">
        <f>IFERROR(__xludf.DUMMYFUNCTION("""COMPUTED_VALUE"""),1.006)</f>
        <v>1.006</v>
      </c>
      <c r="E6167" s="16">
        <f>IFERROR(__xludf.DUMMYFUNCTION("""COMPUTED_VALUE"""),66.0)</f>
        <v>66</v>
      </c>
      <c r="F6167" s="19" t="str">
        <f>IFERROR(__xludf.DUMMYFUNCTION("""COMPUTED_VALUE"""),"BLUE")</f>
        <v>BLUE</v>
      </c>
      <c r="G6167" s="20" t="str">
        <f>IFERROR(__xludf.DUMMYFUNCTION("""COMPUTED_VALUE"""),"Uncle Sams Cider (04/04/2023)")</f>
        <v>Uncle Sams Cider (04/04/2023)</v>
      </c>
      <c r="H6167" s="19"/>
    </row>
    <row r="6168">
      <c r="A6168" s="9"/>
      <c r="B6168" s="15"/>
      <c r="C6168" s="9">
        <f>IFERROR(__xludf.DUMMYFUNCTION("""COMPUTED_VALUE"""),45079.8831688194)</f>
        <v>45079.88317</v>
      </c>
      <c r="D6168" s="15">
        <f>IFERROR(__xludf.DUMMYFUNCTION("""COMPUTED_VALUE"""),1.006)</f>
        <v>1.006</v>
      </c>
      <c r="E6168" s="16">
        <f>IFERROR(__xludf.DUMMYFUNCTION("""COMPUTED_VALUE"""),66.0)</f>
        <v>66</v>
      </c>
      <c r="F6168" s="19" t="str">
        <f>IFERROR(__xludf.DUMMYFUNCTION("""COMPUTED_VALUE"""),"BLUE")</f>
        <v>BLUE</v>
      </c>
      <c r="G6168" s="20" t="str">
        <f>IFERROR(__xludf.DUMMYFUNCTION("""COMPUTED_VALUE"""),"Uncle Sams Cider (04/04/2023)")</f>
        <v>Uncle Sams Cider (04/04/2023)</v>
      </c>
      <c r="H6168" s="19"/>
    </row>
    <row r="6169">
      <c r="A6169" s="9"/>
      <c r="B6169" s="15"/>
      <c r="C6169" s="9">
        <f>IFERROR(__xludf.DUMMYFUNCTION("""COMPUTED_VALUE"""),45079.8727356481)</f>
        <v>45079.87274</v>
      </c>
      <c r="D6169" s="15">
        <f>IFERROR(__xludf.DUMMYFUNCTION("""COMPUTED_VALUE"""),1.007)</f>
        <v>1.007</v>
      </c>
      <c r="E6169" s="16">
        <f>IFERROR(__xludf.DUMMYFUNCTION("""COMPUTED_VALUE"""),66.0)</f>
        <v>66</v>
      </c>
      <c r="F6169" s="19" t="str">
        <f>IFERROR(__xludf.DUMMYFUNCTION("""COMPUTED_VALUE"""),"BLUE")</f>
        <v>BLUE</v>
      </c>
      <c r="G6169" s="20" t="str">
        <f>IFERROR(__xludf.DUMMYFUNCTION("""COMPUTED_VALUE"""),"Uncle Sams Cider (04/04/2023)")</f>
        <v>Uncle Sams Cider (04/04/2023)</v>
      </c>
      <c r="H6169" s="19"/>
    </row>
    <row r="6170">
      <c r="A6170" s="9"/>
      <c r="B6170" s="15"/>
      <c r="C6170" s="9">
        <f>IFERROR(__xludf.DUMMYFUNCTION("""COMPUTED_VALUE"""),45079.8623143981)</f>
        <v>45079.86231</v>
      </c>
      <c r="D6170" s="15">
        <f>IFERROR(__xludf.DUMMYFUNCTION("""COMPUTED_VALUE"""),1.007)</f>
        <v>1.007</v>
      </c>
      <c r="E6170" s="16">
        <f>IFERROR(__xludf.DUMMYFUNCTION("""COMPUTED_VALUE"""),66.0)</f>
        <v>66</v>
      </c>
      <c r="F6170" s="19" t="str">
        <f>IFERROR(__xludf.DUMMYFUNCTION("""COMPUTED_VALUE"""),"BLUE")</f>
        <v>BLUE</v>
      </c>
      <c r="G6170" s="20" t="str">
        <f>IFERROR(__xludf.DUMMYFUNCTION("""COMPUTED_VALUE"""),"Uncle Sams Cider (04/04/2023)")</f>
        <v>Uncle Sams Cider (04/04/2023)</v>
      </c>
      <c r="H6170" s="19"/>
    </row>
    <row r="6171">
      <c r="A6171" s="9"/>
      <c r="B6171" s="15"/>
      <c r="C6171" s="9">
        <f>IFERROR(__xludf.DUMMYFUNCTION("""COMPUTED_VALUE"""),45079.8518925463)</f>
        <v>45079.85189</v>
      </c>
      <c r="D6171" s="15">
        <f>IFERROR(__xludf.DUMMYFUNCTION("""COMPUTED_VALUE"""),1.006)</f>
        <v>1.006</v>
      </c>
      <c r="E6171" s="16">
        <f>IFERROR(__xludf.DUMMYFUNCTION("""COMPUTED_VALUE"""),66.0)</f>
        <v>66</v>
      </c>
      <c r="F6171" s="19" t="str">
        <f>IFERROR(__xludf.DUMMYFUNCTION("""COMPUTED_VALUE"""),"BLUE")</f>
        <v>BLUE</v>
      </c>
      <c r="G6171" s="20" t="str">
        <f>IFERROR(__xludf.DUMMYFUNCTION("""COMPUTED_VALUE"""),"Uncle Sams Cider (04/04/2023)")</f>
        <v>Uncle Sams Cider (04/04/2023)</v>
      </c>
      <c r="H6171" s="19"/>
    </row>
    <row r="6172">
      <c r="A6172" s="9"/>
      <c r="B6172" s="15"/>
      <c r="C6172" s="9">
        <f>IFERROR(__xludf.DUMMYFUNCTION("""COMPUTED_VALUE"""),45079.8414723495)</f>
        <v>45079.84147</v>
      </c>
      <c r="D6172" s="15">
        <f>IFERROR(__xludf.DUMMYFUNCTION("""COMPUTED_VALUE"""),1.007)</f>
        <v>1.007</v>
      </c>
      <c r="E6172" s="16">
        <f>IFERROR(__xludf.DUMMYFUNCTION("""COMPUTED_VALUE"""),66.0)</f>
        <v>66</v>
      </c>
      <c r="F6172" s="19" t="str">
        <f>IFERROR(__xludf.DUMMYFUNCTION("""COMPUTED_VALUE"""),"BLUE")</f>
        <v>BLUE</v>
      </c>
      <c r="G6172" s="20" t="str">
        <f>IFERROR(__xludf.DUMMYFUNCTION("""COMPUTED_VALUE"""),"Uncle Sams Cider (04/04/2023)")</f>
        <v>Uncle Sams Cider (04/04/2023)</v>
      </c>
      <c r="H6172" s="19"/>
    </row>
    <row r="6173">
      <c r="A6173" s="9"/>
      <c r="B6173" s="15"/>
      <c r="C6173" s="9">
        <f>IFERROR(__xludf.DUMMYFUNCTION("""COMPUTED_VALUE"""),45079.8310515856)</f>
        <v>45079.83105</v>
      </c>
      <c r="D6173" s="15">
        <f>IFERROR(__xludf.DUMMYFUNCTION("""COMPUTED_VALUE"""),1.006)</f>
        <v>1.006</v>
      </c>
      <c r="E6173" s="16">
        <f>IFERROR(__xludf.DUMMYFUNCTION("""COMPUTED_VALUE"""),66.0)</f>
        <v>66</v>
      </c>
      <c r="F6173" s="19" t="str">
        <f>IFERROR(__xludf.DUMMYFUNCTION("""COMPUTED_VALUE"""),"BLUE")</f>
        <v>BLUE</v>
      </c>
      <c r="G6173" s="20" t="str">
        <f>IFERROR(__xludf.DUMMYFUNCTION("""COMPUTED_VALUE"""),"Uncle Sams Cider (04/04/2023)")</f>
        <v>Uncle Sams Cider (04/04/2023)</v>
      </c>
      <c r="H6173" s="19"/>
    </row>
    <row r="6174">
      <c r="A6174" s="9"/>
      <c r="B6174" s="15"/>
      <c r="C6174" s="9">
        <f>IFERROR(__xludf.DUMMYFUNCTION("""COMPUTED_VALUE"""),45079.8206198379)</f>
        <v>45079.82062</v>
      </c>
      <c r="D6174" s="15">
        <f>IFERROR(__xludf.DUMMYFUNCTION("""COMPUTED_VALUE"""),1.006)</f>
        <v>1.006</v>
      </c>
      <c r="E6174" s="16">
        <f>IFERROR(__xludf.DUMMYFUNCTION("""COMPUTED_VALUE"""),66.0)</f>
        <v>66</v>
      </c>
      <c r="F6174" s="19" t="str">
        <f>IFERROR(__xludf.DUMMYFUNCTION("""COMPUTED_VALUE"""),"BLUE")</f>
        <v>BLUE</v>
      </c>
      <c r="G6174" s="20" t="str">
        <f>IFERROR(__xludf.DUMMYFUNCTION("""COMPUTED_VALUE"""),"Uncle Sams Cider (04/04/2023)")</f>
        <v>Uncle Sams Cider (04/04/2023)</v>
      </c>
      <c r="H6174" s="19"/>
    </row>
    <row r="6175">
      <c r="A6175" s="9"/>
      <c r="B6175" s="15"/>
      <c r="C6175" s="9">
        <f>IFERROR(__xludf.DUMMYFUNCTION("""COMPUTED_VALUE"""),45079.8101869328)</f>
        <v>45079.81019</v>
      </c>
      <c r="D6175" s="15">
        <f>IFERROR(__xludf.DUMMYFUNCTION("""COMPUTED_VALUE"""),1.007)</f>
        <v>1.007</v>
      </c>
      <c r="E6175" s="16">
        <f>IFERROR(__xludf.DUMMYFUNCTION("""COMPUTED_VALUE"""),66.0)</f>
        <v>66</v>
      </c>
      <c r="F6175" s="19" t="str">
        <f>IFERROR(__xludf.DUMMYFUNCTION("""COMPUTED_VALUE"""),"BLUE")</f>
        <v>BLUE</v>
      </c>
      <c r="G6175" s="20" t="str">
        <f>IFERROR(__xludf.DUMMYFUNCTION("""COMPUTED_VALUE"""),"Uncle Sams Cider (04/04/2023)")</f>
        <v>Uncle Sams Cider (04/04/2023)</v>
      </c>
      <c r="H6175" s="19"/>
    </row>
    <row r="6176">
      <c r="A6176" s="9"/>
      <c r="B6176" s="15"/>
      <c r="C6176" s="9">
        <f>IFERROR(__xludf.DUMMYFUNCTION("""COMPUTED_VALUE"""),45079.7997664004)</f>
        <v>45079.79977</v>
      </c>
      <c r="D6176" s="15">
        <f>IFERROR(__xludf.DUMMYFUNCTION("""COMPUTED_VALUE"""),1.007)</f>
        <v>1.007</v>
      </c>
      <c r="E6176" s="16">
        <f>IFERROR(__xludf.DUMMYFUNCTION("""COMPUTED_VALUE"""),66.0)</f>
        <v>66</v>
      </c>
      <c r="F6176" s="19" t="str">
        <f>IFERROR(__xludf.DUMMYFUNCTION("""COMPUTED_VALUE"""),"BLUE")</f>
        <v>BLUE</v>
      </c>
      <c r="G6176" s="20" t="str">
        <f>IFERROR(__xludf.DUMMYFUNCTION("""COMPUTED_VALUE"""),"Uncle Sams Cider (04/04/2023)")</f>
        <v>Uncle Sams Cider (04/04/2023)</v>
      </c>
      <c r="H6176" s="19"/>
    </row>
    <row r="6177">
      <c r="A6177" s="9"/>
      <c r="B6177" s="15"/>
      <c r="C6177" s="9">
        <f>IFERROR(__xludf.DUMMYFUNCTION("""COMPUTED_VALUE"""),45079.7893459838)</f>
        <v>45079.78935</v>
      </c>
      <c r="D6177" s="15">
        <f>IFERROR(__xludf.DUMMYFUNCTION("""COMPUTED_VALUE"""),1.007)</f>
        <v>1.007</v>
      </c>
      <c r="E6177" s="16">
        <f>IFERROR(__xludf.DUMMYFUNCTION("""COMPUTED_VALUE"""),66.0)</f>
        <v>66</v>
      </c>
      <c r="F6177" s="19" t="str">
        <f>IFERROR(__xludf.DUMMYFUNCTION("""COMPUTED_VALUE"""),"BLUE")</f>
        <v>BLUE</v>
      </c>
      <c r="G6177" s="20" t="str">
        <f>IFERROR(__xludf.DUMMYFUNCTION("""COMPUTED_VALUE"""),"Uncle Sams Cider (04/04/2023)")</f>
        <v>Uncle Sams Cider (04/04/2023)</v>
      </c>
      <c r="H6177" s="19"/>
    </row>
    <row r="6178">
      <c r="A6178" s="9"/>
      <c r="B6178" s="15"/>
      <c r="C6178" s="9">
        <f>IFERROR(__xludf.DUMMYFUNCTION("""COMPUTED_VALUE"""),45079.7789251851)</f>
        <v>45079.77893</v>
      </c>
      <c r="D6178" s="15">
        <f>IFERROR(__xludf.DUMMYFUNCTION("""COMPUTED_VALUE"""),1.006)</f>
        <v>1.006</v>
      </c>
      <c r="E6178" s="16">
        <f>IFERROR(__xludf.DUMMYFUNCTION("""COMPUTED_VALUE"""),66.0)</f>
        <v>66</v>
      </c>
      <c r="F6178" s="19" t="str">
        <f>IFERROR(__xludf.DUMMYFUNCTION("""COMPUTED_VALUE"""),"BLUE")</f>
        <v>BLUE</v>
      </c>
      <c r="G6178" s="20" t="str">
        <f>IFERROR(__xludf.DUMMYFUNCTION("""COMPUTED_VALUE"""),"Uncle Sams Cider (04/04/2023)")</f>
        <v>Uncle Sams Cider (04/04/2023)</v>
      </c>
      <c r="H6178" s="19"/>
    </row>
    <row r="6179">
      <c r="A6179" s="9"/>
      <c r="B6179" s="15"/>
      <c r="C6179" s="9">
        <f>IFERROR(__xludf.DUMMYFUNCTION("""COMPUTED_VALUE"""),45079.7685054513)</f>
        <v>45079.76851</v>
      </c>
      <c r="D6179" s="15">
        <f>IFERROR(__xludf.DUMMYFUNCTION("""COMPUTED_VALUE"""),1.007)</f>
        <v>1.007</v>
      </c>
      <c r="E6179" s="16">
        <f>IFERROR(__xludf.DUMMYFUNCTION("""COMPUTED_VALUE"""),66.0)</f>
        <v>66</v>
      </c>
      <c r="F6179" s="19" t="str">
        <f>IFERROR(__xludf.DUMMYFUNCTION("""COMPUTED_VALUE"""),"BLUE")</f>
        <v>BLUE</v>
      </c>
      <c r="G6179" s="20" t="str">
        <f>IFERROR(__xludf.DUMMYFUNCTION("""COMPUTED_VALUE"""),"Uncle Sams Cider (04/04/2023)")</f>
        <v>Uncle Sams Cider (04/04/2023)</v>
      </c>
      <c r="H6179" s="19"/>
    </row>
    <row r="6180">
      <c r="A6180" s="9"/>
      <c r="B6180" s="15"/>
      <c r="C6180" s="9">
        <f>IFERROR(__xludf.DUMMYFUNCTION("""COMPUTED_VALUE"""),45079.7580847685)</f>
        <v>45079.75808</v>
      </c>
      <c r="D6180" s="15">
        <f>IFERROR(__xludf.DUMMYFUNCTION("""COMPUTED_VALUE"""),1.006)</f>
        <v>1.006</v>
      </c>
      <c r="E6180" s="16">
        <f>IFERROR(__xludf.DUMMYFUNCTION("""COMPUTED_VALUE"""),66.0)</f>
        <v>66</v>
      </c>
      <c r="F6180" s="19" t="str">
        <f>IFERROR(__xludf.DUMMYFUNCTION("""COMPUTED_VALUE"""),"BLUE")</f>
        <v>BLUE</v>
      </c>
      <c r="G6180" s="20" t="str">
        <f>IFERROR(__xludf.DUMMYFUNCTION("""COMPUTED_VALUE"""),"Uncle Sams Cider (04/04/2023)")</f>
        <v>Uncle Sams Cider (04/04/2023)</v>
      </c>
      <c r="H6180" s="19"/>
    </row>
    <row r="6181">
      <c r="A6181" s="9"/>
      <c r="B6181" s="15"/>
      <c r="C6181" s="9">
        <f>IFERROR(__xludf.DUMMYFUNCTION("""COMPUTED_VALUE"""),45079.7476397106)</f>
        <v>45079.74764</v>
      </c>
      <c r="D6181" s="15">
        <f>IFERROR(__xludf.DUMMYFUNCTION("""COMPUTED_VALUE"""),1.006)</f>
        <v>1.006</v>
      </c>
      <c r="E6181" s="16">
        <f>IFERROR(__xludf.DUMMYFUNCTION("""COMPUTED_VALUE"""),66.0)</f>
        <v>66</v>
      </c>
      <c r="F6181" s="19" t="str">
        <f>IFERROR(__xludf.DUMMYFUNCTION("""COMPUTED_VALUE"""),"BLUE")</f>
        <v>BLUE</v>
      </c>
      <c r="G6181" s="20" t="str">
        <f>IFERROR(__xludf.DUMMYFUNCTION("""COMPUTED_VALUE"""),"Uncle Sams Cider (04/04/2023)")</f>
        <v>Uncle Sams Cider (04/04/2023)</v>
      </c>
      <c r="H6181" s="19"/>
    </row>
    <row r="6182">
      <c r="A6182" s="9"/>
      <c r="B6182" s="15"/>
      <c r="C6182" s="9">
        <f>IFERROR(__xludf.DUMMYFUNCTION("""COMPUTED_VALUE"""),45079.7372185648)</f>
        <v>45079.73722</v>
      </c>
      <c r="D6182" s="15">
        <f>IFERROR(__xludf.DUMMYFUNCTION("""COMPUTED_VALUE"""),1.006)</f>
        <v>1.006</v>
      </c>
      <c r="E6182" s="16">
        <f>IFERROR(__xludf.DUMMYFUNCTION("""COMPUTED_VALUE"""),66.0)</f>
        <v>66</v>
      </c>
      <c r="F6182" s="19" t="str">
        <f>IFERROR(__xludf.DUMMYFUNCTION("""COMPUTED_VALUE"""),"BLUE")</f>
        <v>BLUE</v>
      </c>
      <c r="G6182" s="20" t="str">
        <f>IFERROR(__xludf.DUMMYFUNCTION("""COMPUTED_VALUE"""),"Uncle Sams Cider (04/04/2023)")</f>
        <v>Uncle Sams Cider (04/04/2023)</v>
      </c>
      <c r="H6182" s="19"/>
    </row>
    <row r="6183">
      <c r="A6183" s="9"/>
      <c r="B6183" s="15"/>
      <c r="C6183" s="9">
        <f>IFERROR(__xludf.DUMMYFUNCTION("""COMPUTED_VALUE"""),45079.7268001157)</f>
        <v>45079.7268</v>
      </c>
      <c r="D6183" s="15">
        <f>IFERROR(__xludf.DUMMYFUNCTION("""COMPUTED_VALUE"""),1.006)</f>
        <v>1.006</v>
      </c>
      <c r="E6183" s="16">
        <f>IFERROR(__xludf.DUMMYFUNCTION("""COMPUTED_VALUE"""),66.0)</f>
        <v>66</v>
      </c>
      <c r="F6183" s="19" t="str">
        <f>IFERROR(__xludf.DUMMYFUNCTION("""COMPUTED_VALUE"""),"BLUE")</f>
        <v>BLUE</v>
      </c>
      <c r="G6183" s="20" t="str">
        <f>IFERROR(__xludf.DUMMYFUNCTION("""COMPUTED_VALUE"""),"Uncle Sams Cider (04/04/2023)")</f>
        <v>Uncle Sams Cider (04/04/2023)</v>
      </c>
      <c r="H6183" s="19"/>
    </row>
    <row r="6184">
      <c r="A6184" s="9"/>
      <c r="B6184" s="15"/>
      <c r="C6184" s="9">
        <f>IFERROR(__xludf.DUMMYFUNCTION("""COMPUTED_VALUE"""),45079.7163803935)</f>
        <v>45079.71638</v>
      </c>
      <c r="D6184" s="15">
        <f>IFERROR(__xludf.DUMMYFUNCTION("""COMPUTED_VALUE"""),1.006)</f>
        <v>1.006</v>
      </c>
      <c r="E6184" s="16">
        <f>IFERROR(__xludf.DUMMYFUNCTION("""COMPUTED_VALUE"""),66.0)</f>
        <v>66</v>
      </c>
      <c r="F6184" s="19" t="str">
        <f>IFERROR(__xludf.DUMMYFUNCTION("""COMPUTED_VALUE"""),"BLUE")</f>
        <v>BLUE</v>
      </c>
      <c r="G6184" s="20" t="str">
        <f>IFERROR(__xludf.DUMMYFUNCTION("""COMPUTED_VALUE"""),"Uncle Sams Cider (04/04/2023)")</f>
        <v>Uncle Sams Cider (04/04/2023)</v>
      </c>
      <c r="H6184" s="19"/>
    </row>
    <row r="6185">
      <c r="A6185" s="9"/>
      <c r="B6185" s="15"/>
      <c r="C6185" s="9">
        <f>IFERROR(__xludf.DUMMYFUNCTION("""COMPUTED_VALUE"""),45079.7059361805)</f>
        <v>45079.70594</v>
      </c>
      <c r="D6185" s="15">
        <f>IFERROR(__xludf.DUMMYFUNCTION("""COMPUTED_VALUE"""),1.006)</f>
        <v>1.006</v>
      </c>
      <c r="E6185" s="16">
        <f>IFERROR(__xludf.DUMMYFUNCTION("""COMPUTED_VALUE"""),66.0)</f>
        <v>66</v>
      </c>
      <c r="F6185" s="19" t="str">
        <f>IFERROR(__xludf.DUMMYFUNCTION("""COMPUTED_VALUE"""),"BLUE")</f>
        <v>BLUE</v>
      </c>
      <c r="G6185" s="20" t="str">
        <f>IFERROR(__xludf.DUMMYFUNCTION("""COMPUTED_VALUE"""),"Uncle Sams Cider (04/04/2023)")</f>
        <v>Uncle Sams Cider (04/04/2023)</v>
      </c>
      <c r="H6185" s="19"/>
    </row>
    <row r="6186">
      <c r="A6186" s="9"/>
      <c r="B6186" s="15"/>
      <c r="C6186" s="9">
        <f>IFERROR(__xludf.DUMMYFUNCTION("""COMPUTED_VALUE"""),45079.6955155555)</f>
        <v>45079.69552</v>
      </c>
      <c r="D6186" s="15">
        <f>IFERROR(__xludf.DUMMYFUNCTION("""COMPUTED_VALUE"""),1.007)</f>
        <v>1.007</v>
      </c>
      <c r="E6186" s="16">
        <f>IFERROR(__xludf.DUMMYFUNCTION("""COMPUTED_VALUE"""),66.0)</f>
        <v>66</v>
      </c>
      <c r="F6186" s="19" t="str">
        <f>IFERROR(__xludf.DUMMYFUNCTION("""COMPUTED_VALUE"""),"BLUE")</f>
        <v>BLUE</v>
      </c>
      <c r="G6186" s="20" t="str">
        <f>IFERROR(__xludf.DUMMYFUNCTION("""COMPUTED_VALUE"""),"Uncle Sams Cider (04/04/2023)")</f>
        <v>Uncle Sams Cider (04/04/2023)</v>
      </c>
      <c r="H6186" s="19"/>
    </row>
    <row r="6187">
      <c r="A6187" s="9"/>
      <c r="B6187" s="15"/>
      <c r="C6187" s="9">
        <f>IFERROR(__xludf.DUMMYFUNCTION("""COMPUTED_VALUE"""),45079.6850940277)</f>
        <v>45079.68509</v>
      </c>
      <c r="D6187" s="15">
        <f>IFERROR(__xludf.DUMMYFUNCTION("""COMPUTED_VALUE"""),1.007)</f>
        <v>1.007</v>
      </c>
      <c r="E6187" s="16">
        <f>IFERROR(__xludf.DUMMYFUNCTION("""COMPUTED_VALUE"""),66.0)</f>
        <v>66</v>
      </c>
      <c r="F6187" s="19" t="str">
        <f>IFERROR(__xludf.DUMMYFUNCTION("""COMPUTED_VALUE"""),"BLUE")</f>
        <v>BLUE</v>
      </c>
      <c r="G6187" s="20" t="str">
        <f>IFERROR(__xludf.DUMMYFUNCTION("""COMPUTED_VALUE"""),"Uncle Sams Cider (04/04/2023)")</f>
        <v>Uncle Sams Cider (04/04/2023)</v>
      </c>
      <c r="H6187" s="19"/>
    </row>
    <row r="6188">
      <c r="A6188" s="9"/>
      <c r="B6188" s="15"/>
      <c r="C6188" s="9">
        <f>IFERROR(__xludf.DUMMYFUNCTION("""COMPUTED_VALUE"""),45079.6746491203)</f>
        <v>45079.67465</v>
      </c>
      <c r="D6188" s="15">
        <f>IFERROR(__xludf.DUMMYFUNCTION("""COMPUTED_VALUE"""),1.006)</f>
        <v>1.006</v>
      </c>
      <c r="E6188" s="16">
        <f>IFERROR(__xludf.DUMMYFUNCTION("""COMPUTED_VALUE"""),66.0)</f>
        <v>66</v>
      </c>
      <c r="F6188" s="19" t="str">
        <f>IFERROR(__xludf.DUMMYFUNCTION("""COMPUTED_VALUE"""),"BLUE")</f>
        <v>BLUE</v>
      </c>
      <c r="G6188" s="20" t="str">
        <f>IFERROR(__xludf.DUMMYFUNCTION("""COMPUTED_VALUE"""),"Uncle Sams Cider (04/04/2023)")</f>
        <v>Uncle Sams Cider (04/04/2023)</v>
      </c>
      <c r="H6188" s="19"/>
    </row>
    <row r="6189">
      <c r="A6189" s="9"/>
      <c r="B6189" s="15"/>
      <c r="C6189" s="9">
        <f>IFERROR(__xludf.DUMMYFUNCTION("""COMPUTED_VALUE"""),45079.6642262152)</f>
        <v>45079.66423</v>
      </c>
      <c r="D6189" s="15">
        <f>IFERROR(__xludf.DUMMYFUNCTION("""COMPUTED_VALUE"""),1.007)</f>
        <v>1.007</v>
      </c>
      <c r="E6189" s="16">
        <f>IFERROR(__xludf.DUMMYFUNCTION("""COMPUTED_VALUE"""),66.0)</f>
        <v>66</v>
      </c>
      <c r="F6189" s="19" t="str">
        <f>IFERROR(__xludf.DUMMYFUNCTION("""COMPUTED_VALUE"""),"BLUE")</f>
        <v>BLUE</v>
      </c>
      <c r="G6189" s="20" t="str">
        <f>IFERROR(__xludf.DUMMYFUNCTION("""COMPUTED_VALUE"""),"Uncle Sams Cider (04/04/2023)")</f>
        <v>Uncle Sams Cider (04/04/2023)</v>
      </c>
      <c r="H6189" s="19"/>
    </row>
    <row r="6190">
      <c r="A6190" s="9"/>
      <c r="B6190" s="15"/>
      <c r="C6190" s="9">
        <f>IFERROR(__xludf.DUMMYFUNCTION("""COMPUTED_VALUE"""),45079.6538064467)</f>
        <v>45079.65381</v>
      </c>
      <c r="D6190" s="15">
        <f>IFERROR(__xludf.DUMMYFUNCTION("""COMPUTED_VALUE"""),1.007)</f>
        <v>1.007</v>
      </c>
      <c r="E6190" s="16">
        <f>IFERROR(__xludf.DUMMYFUNCTION("""COMPUTED_VALUE"""),66.0)</f>
        <v>66</v>
      </c>
      <c r="F6190" s="19" t="str">
        <f>IFERROR(__xludf.DUMMYFUNCTION("""COMPUTED_VALUE"""),"BLUE")</f>
        <v>BLUE</v>
      </c>
      <c r="G6190" s="20" t="str">
        <f>IFERROR(__xludf.DUMMYFUNCTION("""COMPUTED_VALUE"""),"Uncle Sams Cider (04/04/2023)")</f>
        <v>Uncle Sams Cider (04/04/2023)</v>
      </c>
      <c r="H6190" s="19"/>
    </row>
    <row r="6191">
      <c r="A6191" s="9"/>
      <c r="B6191" s="15"/>
      <c r="C6191" s="9">
        <f>IFERROR(__xludf.DUMMYFUNCTION("""COMPUTED_VALUE"""),45079.643386956)</f>
        <v>45079.64339</v>
      </c>
      <c r="D6191" s="15">
        <f>IFERROR(__xludf.DUMMYFUNCTION("""COMPUTED_VALUE"""),1.006)</f>
        <v>1.006</v>
      </c>
      <c r="E6191" s="16">
        <f>IFERROR(__xludf.DUMMYFUNCTION("""COMPUTED_VALUE"""),66.0)</f>
        <v>66</v>
      </c>
      <c r="F6191" s="19" t="str">
        <f>IFERROR(__xludf.DUMMYFUNCTION("""COMPUTED_VALUE"""),"BLUE")</f>
        <v>BLUE</v>
      </c>
      <c r="G6191" s="20" t="str">
        <f>IFERROR(__xludf.DUMMYFUNCTION("""COMPUTED_VALUE"""),"Uncle Sams Cider (04/04/2023)")</f>
        <v>Uncle Sams Cider (04/04/2023)</v>
      </c>
      <c r="H6191" s="19"/>
    </row>
    <row r="6192">
      <c r="A6192" s="9"/>
      <c r="B6192" s="15"/>
      <c r="C6192" s="9">
        <f>IFERROR(__xludf.DUMMYFUNCTION("""COMPUTED_VALUE"""),45079.632965625)</f>
        <v>45079.63297</v>
      </c>
      <c r="D6192" s="15">
        <f>IFERROR(__xludf.DUMMYFUNCTION("""COMPUTED_VALUE"""),1.007)</f>
        <v>1.007</v>
      </c>
      <c r="E6192" s="16">
        <f>IFERROR(__xludf.DUMMYFUNCTION("""COMPUTED_VALUE"""),66.0)</f>
        <v>66</v>
      </c>
      <c r="F6192" s="19" t="str">
        <f>IFERROR(__xludf.DUMMYFUNCTION("""COMPUTED_VALUE"""),"BLUE")</f>
        <v>BLUE</v>
      </c>
      <c r="G6192" s="20" t="str">
        <f>IFERROR(__xludf.DUMMYFUNCTION("""COMPUTED_VALUE"""),"Uncle Sams Cider (04/04/2023)")</f>
        <v>Uncle Sams Cider (04/04/2023)</v>
      </c>
      <c r="H6192" s="19"/>
    </row>
    <row r="6193">
      <c r="A6193" s="9"/>
      <c r="B6193" s="15"/>
      <c r="C6193" s="9">
        <f>IFERROR(__xludf.DUMMYFUNCTION("""COMPUTED_VALUE"""),45079.6225447222)</f>
        <v>45079.62254</v>
      </c>
      <c r="D6193" s="15">
        <f>IFERROR(__xludf.DUMMYFUNCTION("""COMPUTED_VALUE"""),1.007)</f>
        <v>1.007</v>
      </c>
      <c r="E6193" s="16">
        <f>IFERROR(__xludf.DUMMYFUNCTION("""COMPUTED_VALUE"""),66.0)</f>
        <v>66</v>
      </c>
      <c r="F6193" s="19" t="str">
        <f>IFERROR(__xludf.DUMMYFUNCTION("""COMPUTED_VALUE"""),"BLUE")</f>
        <v>BLUE</v>
      </c>
      <c r="G6193" s="20" t="str">
        <f>IFERROR(__xludf.DUMMYFUNCTION("""COMPUTED_VALUE"""),"Uncle Sams Cider (04/04/2023)")</f>
        <v>Uncle Sams Cider (04/04/2023)</v>
      </c>
      <c r="H6193" s="19"/>
    </row>
    <row r="6194">
      <c r="A6194" s="9"/>
      <c r="B6194" s="15"/>
      <c r="C6194" s="9">
        <f>IFERROR(__xludf.DUMMYFUNCTION("""COMPUTED_VALUE"""),45079.6121120138)</f>
        <v>45079.61211</v>
      </c>
      <c r="D6194" s="15">
        <f>IFERROR(__xludf.DUMMYFUNCTION("""COMPUTED_VALUE"""),1.007)</f>
        <v>1.007</v>
      </c>
      <c r="E6194" s="16">
        <f>IFERROR(__xludf.DUMMYFUNCTION("""COMPUTED_VALUE"""),66.0)</f>
        <v>66</v>
      </c>
      <c r="F6194" s="19" t="str">
        <f>IFERROR(__xludf.DUMMYFUNCTION("""COMPUTED_VALUE"""),"BLUE")</f>
        <v>BLUE</v>
      </c>
      <c r="G6194" s="20" t="str">
        <f>IFERROR(__xludf.DUMMYFUNCTION("""COMPUTED_VALUE"""),"Uncle Sams Cider (04/04/2023)")</f>
        <v>Uncle Sams Cider (04/04/2023)</v>
      </c>
      <c r="H6194" s="19"/>
    </row>
    <row r="6195">
      <c r="A6195" s="9"/>
      <c r="B6195" s="15"/>
      <c r="C6195" s="9">
        <f>IFERROR(__xludf.DUMMYFUNCTION("""COMPUTED_VALUE"""),45079.6016798263)</f>
        <v>45079.60168</v>
      </c>
      <c r="D6195" s="15">
        <f>IFERROR(__xludf.DUMMYFUNCTION("""COMPUTED_VALUE"""),1.007)</f>
        <v>1.007</v>
      </c>
      <c r="E6195" s="16">
        <f>IFERROR(__xludf.DUMMYFUNCTION("""COMPUTED_VALUE"""),66.0)</f>
        <v>66</v>
      </c>
      <c r="F6195" s="19" t="str">
        <f>IFERROR(__xludf.DUMMYFUNCTION("""COMPUTED_VALUE"""),"BLUE")</f>
        <v>BLUE</v>
      </c>
      <c r="G6195" s="20" t="str">
        <f>IFERROR(__xludf.DUMMYFUNCTION("""COMPUTED_VALUE"""),"Uncle Sams Cider (04/04/2023)")</f>
        <v>Uncle Sams Cider (04/04/2023)</v>
      </c>
      <c r="H6195" s="19"/>
    </row>
    <row r="6196">
      <c r="A6196" s="9"/>
      <c r="B6196" s="15"/>
      <c r="C6196" s="9">
        <f>IFERROR(__xludf.DUMMYFUNCTION("""COMPUTED_VALUE"""),45079.5912465162)</f>
        <v>45079.59125</v>
      </c>
      <c r="D6196" s="15">
        <f>IFERROR(__xludf.DUMMYFUNCTION("""COMPUTED_VALUE"""),1.006)</f>
        <v>1.006</v>
      </c>
      <c r="E6196" s="16">
        <f>IFERROR(__xludf.DUMMYFUNCTION("""COMPUTED_VALUE"""),66.0)</f>
        <v>66</v>
      </c>
      <c r="F6196" s="19" t="str">
        <f>IFERROR(__xludf.DUMMYFUNCTION("""COMPUTED_VALUE"""),"BLUE")</f>
        <v>BLUE</v>
      </c>
      <c r="G6196" s="20" t="str">
        <f>IFERROR(__xludf.DUMMYFUNCTION("""COMPUTED_VALUE"""),"Uncle Sams Cider (04/04/2023)")</f>
        <v>Uncle Sams Cider (04/04/2023)</v>
      </c>
      <c r="H6196" s="19"/>
    </row>
    <row r="6197">
      <c r="A6197" s="9"/>
      <c r="B6197" s="15"/>
      <c r="C6197" s="9">
        <f>IFERROR(__xludf.DUMMYFUNCTION("""COMPUTED_VALUE"""),45079.5808254166)</f>
        <v>45079.58083</v>
      </c>
      <c r="D6197" s="15">
        <f>IFERROR(__xludf.DUMMYFUNCTION("""COMPUTED_VALUE"""),1.006)</f>
        <v>1.006</v>
      </c>
      <c r="E6197" s="16">
        <f>IFERROR(__xludf.DUMMYFUNCTION("""COMPUTED_VALUE"""),66.0)</f>
        <v>66</v>
      </c>
      <c r="F6197" s="19" t="str">
        <f>IFERROR(__xludf.DUMMYFUNCTION("""COMPUTED_VALUE"""),"BLUE")</f>
        <v>BLUE</v>
      </c>
      <c r="G6197" s="20" t="str">
        <f>IFERROR(__xludf.DUMMYFUNCTION("""COMPUTED_VALUE"""),"Uncle Sams Cider (04/04/2023)")</f>
        <v>Uncle Sams Cider (04/04/2023)</v>
      </c>
      <c r="H6197" s="19"/>
    </row>
    <row r="6198">
      <c r="A6198" s="9"/>
      <c r="B6198" s="15"/>
      <c r="C6198" s="9">
        <f>IFERROR(__xludf.DUMMYFUNCTION("""COMPUTED_VALUE"""),45079.5704048842)</f>
        <v>45079.5704</v>
      </c>
      <c r="D6198" s="15">
        <f>IFERROR(__xludf.DUMMYFUNCTION("""COMPUTED_VALUE"""),1.007)</f>
        <v>1.007</v>
      </c>
      <c r="E6198" s="16">
        <f>IFERROR(__xludf.DUMMYFUNCTION("""COMPUTED_VALUE"""),66.0)</f>
        <v>66</v>
      </c>
      <c r="F6198" s="19" t="str">
        <f>IFERROR(__xludf.DUMMYFUNCTION("""COMPUTED_VALUE"""),"BLUE")</f>
        <v>BLUE</v>
      </c>
      <c r="G6198" s="20" t="str">
        <f>IFERROR(__xludf.DUMMYFUNCTION("""COMPUTED_VALUE"""),"Uncle Sams Cider (04/04/2023)")</f>
        <v>Uncle Sams Cider (04/04/2023)</v>
      </c>
      <c r="H6198" s="19"/>
    </row>
    <row r="6199">
      <c r="A6199" s="9"/>
      <c r="B6199" s="15"/>
      <c r="C6199" s="9">
        <f>IFERROR(__xludf.DUMMYFUNCTION("""COMPUTED_VALUE"""),45079.5599843055)</f>
        <v>45079.55998</v>
      </c>
      <c r="D6199" s="15">
        <f>IFERROR(__xludf.DUMMYFUNCTION("""COMPUTED_VALUE"""),1.007)</f>
        <v>1.007</v>
      </c>
      <c r="E6199" s="16">
        <f>IFERROR(__xludf.DUMMYFUNCTION("""COMPUTED_VALUE"""),66.0)</f>
        <v>66</v>
      </c>
      <c r="F6199" s="19" t="str">
        <f>IFERROR(__xludf.DUMMYFUNCTION("""COMPUTED_VALUE"""),"BLUE")</f>
        <v>BLUE</v>
      </c>
      <c r="G6199" s="20" t="str">
        <f>IFERROR(__xludf.DUMMYFUNCTION("""COMPUTED_VALUE"""),"Uncle Sams Cider (04/04/2023)")</f>
        <v>Uncle Sams Cider (04/04/2023)</v>
      </c>
      <c r="H6199" s="19"/>
    </row>
    <row r="6200">
      <c r="A6200" s="9"/>
      <c r="B6200" s="15"/>
      <c r="C6200" s="9">
        <f>IFERROR(__xludf.DUMMYFUNCTION("""COMPUTED_VALUE"""),45079.5495623263)</f>
        <v>45079.54956</v>
      </c>
      <c r="D6200" s="15">
        <f>IFERROR(__xludf.DUMMYFUNCTION("""COMPUTED_VALUE"""),1.006)</f>
        <v>1.006</v>
      </c>
      <c r="E6200" s="16">
        <f>IFERROR(__xludf.DUMMYFUNCTION("""COMPUTED_VALUE"""),66.0)</f>
        <v>66</v>
      </c>
      <c r="F6200" s="19" t="str">
        <f>IFERROR(__xludf.DUMMYFUNCTION("""COMPUTED_VALUE"""),"BLUE")</f>
        <v>BLUE</v>
      </c>
      <c r="G6200" s="20" t="str">
        <f>IFERROR(__xludf.DUMMYFUNCTION("""COMPUTED_VALUE"""),"Uncle Sams Cider (04/04/2023)")</f>
        <v>Uncle Sams Cider (04/04/2023)</v>
      </c>
      <c r="H6200" s="19"/>
    </row>
    <row r="6201">
      <c r="A6201" s="9"/>
      <c r="B6201" s="15"/>
      <c r="C6201" s="9">
        <f>IFERROR(__xludf.DUMMYFUNCTION("""COMPUTED_VALUE"""),45079.5391408912)</f>
        <v>45079.53914</v>
      </c>
      <c r="D6201" s="15">
        <f>IFERROR(__xludf.DUMMYFUNCTION("""COMPUTED_VALUE"""),1.007)</f>
        <v>1.007</v>
      </c>
      <c r="E6201" s="16">
        <f>IFERROR(__xludf.DUMMYFUNCTION("""COMPUTED_VALUE"""),66.0)</f>
        <v>66</v>
      </c>
      <c r="F6201" s="19" t="str">
        <f>IFERROR(__xludf.DUMMYFUNCTION("""COMPUTED_VALUE"""),"BLUE")</f>
        <v>BLUE</v>
      </c>
      <c r="G6201" s="20" t="str">
        <f>IFERROR(__xludf.DUMMYFUNCTION("""COMPUTED_VALUE"""),"Uncle Sams Cider (04/04/2023)")</f>
        <v>Uncle Sams Cider (04/04/2023)</v>
      </c>
      <c r="H6201" s="19"/>
    </row>
    <row r="6202">
      <c r="A6202" s="9"/>
      <c r="B6202" s="15"/>
      <c r="C6202" s="9">
        <f>IFERROR(__xludf.DUMMYFUNCTION("""COMPUTED_VALUE"""),45079.5287195023)</f>
        <v>45079.52872</v>
      </c>
      <c r="D6202" s="15">
        <f>IFERROR(__xludf.DUMMYFUNCTION("""COMPUTED_VALUE"""),1.007)</f>
        <v>1.007</v>
      </c>
      <c r="E6202" s="16">
        <f>IFERROR(__xludf.DUMMYFUNCTION("""COMPUTED_VALUE"""),66.0)</f>
        <v>66</v>
      </c>
      <c r="F6202" s="19" t="str">
        <f>IFERROR(__xludf.DUMMYFUNCTION("""COMPUTED_VALUE"""),"BLUE")</f>
        <v>BLUE</v>
      </c>
      <c r="G6202" s="20" t="str">
        <f>IFERROR(__xludf.DUMMYFUNCTION("""COMPUTED_VALUE"""),"Uncle Sams Cider (04/04/2023)")</f>
        <v>Uncle Sams Cider (04/04/2023)</v>
      </c>
      <c r="H6202" s="19"/>
    </row>
    <row r="6203">
      <c r="A6203" s="9"/>
      <c r="B6203" s="15"/>
      <c r="C6203" s="9">
        <f>IFERROR(__xludf.DUMMYFUNCTION("""COMPUTED_VALUE"""),45079.5182864814)</f>
        <v>45079.51829</v>
      </c>
      <c r="D6203" s="15">
        <f>IFERROR(__xludf.DUMMYFUNCTION("""COMPUTED_VALUE"""),1.007)</f>
        <v>1.007</v>
      </c>
      <c r="E6203" s="16">
        <f>IFERROR(__xludf.DUMMYFUNCTION("""COMPUTED_VALUE"""),66.0)</f>
        <v>66</v>
      </c>
      <c r="F6203" s="19" t="str">
        <f>IFERROR(__xludf.DUMMYFUNCTION("""COMPUTED_VALUE"""),"BLUE")</f>
        <v>BLUE</v>
      </c>
      <c r="G6203" s="20" t="str">
        <f>IFERROR(__xludf.DUMMYFUNCTION("""COMPUTED_VALUE"""),"Uncle Sams Cider (04/04/2023)")</f>
        <v>Uncle Sams Cider (04/04/2023)</v>
      </c>
      <c r="H6203" s="19"/>
    </row>
    <row r="6204">
      <c r="A6204" s="9"/>
      <c r="B6204" s="15"/>
      <c r="C6204" s="9">
        <f>IFERROR(__xludf.DUMMYFUNCTION("""COMPUTED_VALUE"""),45079.5078655902)</f>
        <v>45079.50787</v>
      </c>
      <c r="D6204" s="15">
        <f>IFERROR(__xludf.DUMMYFUNCTION("""COMPUTED_VALUE"""),1.007)</f>
        <v>1.007</v>
      </c>
      <c r="E6204" s="16">
        <f>IFERROR(__xludf.DUMMYFUNCTION("""COMPUTED_VALUE"""),66.0)</f>
        <v>66</v>
      </c>
      <c r="F6204" s="19" t="str">
        <f>IFERROR(__xludf.DUMMYFUNCTION("""COMPUTED_VALUE"""),"BLUE")</f>
        <v>BLUE</v>
      </c>
      <c r="G6204" s="20" t="str">
        <f>IFERROR(__xludf.DUMMYFUNCTION("""COMPUTED_VALUE"""),"Uncle Sams Cider (04/04/2023)")</f>
        <v>Uncle Sams Cider (04/04/2023)</v>
      </c>
      <c r="H6204" s="19"/>
    </row>
    <row r="6205">
      <c r="A6205" s="9"/>
      <c r="B6205" s="15"/>
      <c r="C6205" s="9">
        <f>IFERROR(__xludf.DUMMYFUNCTION("""COMPUTED_VALUE"""),45079.4974442129)</f>
        <v>45079.49744</v>
      </c>
      <c r="D6205" s="15">
        <f>IFERROR(__xludf.DUMMYFUNCTION("""COMPUTED_VALUE"""),1.007)</f>
        <v>1.007</v>
      </c>
      <c r="E6205" s="16">
        <f>IFERROR(__xludf.DUMMYFUNCTION("""COMPUTED_VALUE"""),66.0)</f>
        <v>66</v>
      </c>
      <c r="F6205" s="19" t="str">
        <f>IFERROR(__xludf.DUMMYFUNCTION("""COMPUTED_VALUE"""),"BLUE")</f>
        <v>BLUE</v>
      </c>
      <c r="G6205" s="20" t="str">
        <f>IFERROR(__xludf.DUMMYFUNCTION("""COMPUTED_VALUE"""),"Uncle Sams Cider (04/04/2023)")</f>
        <v>Uncle Sams Cider (04/04/2023)</v>
      </c>
      <c r="H6205" s="19"/>
    </row>
    <row r="6206">
      <c r="A6206" s="9"/>
      <c r="B6206" s="15"/>
      <c r="C6206" s="9">
        <f>IFERROR(__xludf.DUMMYFUNCTION("""COMPUTED_VALUE"""),45079.4870121875)</f>
        <v>45079.48701</v>
      </c>
      <c r="D6206" s="15">
        <f>IFERROR(__xludf.DUMMYFUNCTION("""COMPUTED_VALUE"""),1.007)</f>
        <v>1.007</v>
      </c>
      <c r="E6206" s="16">
        <f>IFERROR(__xludf.DUMMYFUNCTION("""COMPUTED_VALUE"""),66.0)</f>
        <v>66</v>
      </c>
      <c r="F6206" s="19" t="str">
        <f>IFERROR(__xludf.DUMMYFUNCTION("""COMPUTED_VALUE"""),"BLUE")</f>
        <v>BLUE</v>
      </c>
      <c r="G6206" s="20" t="str">
        <f>IFERROR(__xludf.DUMMYFUNCTION("""COMPUTED_VALUE"""),"Uncle Sams Cider (04/04/2023)")</f>
        <v>Uncle Sams Cider (04/04/2023)</v>
      </c>
      <c r="H6206" s="19"/>
    </row>
    <row r="6207">
      <c r="A6207" s="9"/>
      <c r="B6207" s="15"/>
      <c r="C6207" s="9">
        <f>IFERROR(__xludf.DUMMYFUNCTION("""COMPUTED_VALUE"""),45079.4765926273)</f>
        <v>45079.47659</v>
      </c>
      <c r="D6207" s="15">
        <f>IFERROR(__xludf.DUMMYFUNCTION("""COMPUTED_VALUE"""),1.006)</f>
        <v>1.006</v>
      </c>
      <c r="E6207" s="16">
        <f>IFERROR(__xludf.DUMMYFUNCTION("""COMPUTED_VALUE"""),66.0)</f>
        <v>66</v>
      </c>
      <c r="F6207" s="19" t="str">
        <f>IFERROR(__xludf.DUMMYFUNCTION("""COMPUTED_VALUE"""),"BLUE")</f>
        <v>BLUE</v>
      </c>
      <c r="G6207" s="20" t="str">
        <f>IFERROR(__xludf.DUMMYFUNCTION("""COMPUTED_VALUE"""),"Uncle Sams Cider (04/04/2023)")</f>
        <v>Uncle Sams Cider (04/04/2023)</v>
      </c>
      <c r="H6207" s="19"/>
    </row>
    <row r="6208">
      <c r="A6208" s="9"/>
      <c r="B6208" s="15"/>
      <c r="C6208" s="9">
        <f>IFERROR(__xludf.DUMMYFUNCTION("""COMPUTED_VALUE"""),45079.4661713194)</f>
        <v>45079.46617</v>
      </c>
      <c r="D6208" s="15">
        <f>IFERROR(__xludf.DUMMYFUNCTION("""COMPUTED_VALUE"""),1.007)</f>
        <v>1.007</v>
      </c>
      <c r="E6208" s="16">
        <f>IFERROR(__xludf.DUMMYFUNCTION("""COMPUTED_VALUE"""),66.0)</f>
        <v>66</v>
      </c>
      <c r="F6208" s="19" t="str">
        <f>IFERROR(__xludf.DUMMYFUNCTION("""COMPUTED_VALUE"""),"BLUE")</f>
        <v>BLUE</v>
      </c>
      <c r="G6208" s="20" t="str">
        <f>IFERROR(__xludf.DUMMYFUNCTION("""COMPUTED_VALUE"""),"Uncle Sams Cider (04/04/2023)")</f>
        <v>Uncle Sams Cider (04/04/2023)</v>
      </c>
      <c r="H6208" s="19"/>
    </row>
    <row r="6209">
      <c r="A6209" s="9"/>
      <c r="B6209" s="15"/>
      <c r="C6209" s="9">
        <f>IFERROR(__xludf.DUMMYFUNCTION("""COMPUTED_VALUE"""),45079.4557377314)</f>
        <v>45079.45574</v>
      </c>
      <c r="D6209" s="15">
        <f>IFERROR(__xludf.DUMMYFUNCTION("""COMPUTED_VALUE"""),1.007)</f>
        <v>1.007</v>
      </c>
      <c r="E6209" s="16">
        <f>IFERROR(__xludf.DUMMYFUNCTION("""COMPUTED_VALUE"""),66.0)</f>
        <v>66</v>
      </c>
      <c r="F6209" s="19" t="str">
        <f>IFERROR(__xludf.DUMMYFUNCTION("""COMPUTED_VALUE"""),"BLUE")</f>
        <v>BLUE</v>
      </c>
      <c r="G6209" s="20" t="str">
        <f>IFERROR(__xludf.DUMMYFUNCTION("""COMPUTED_VALUE"""),"Uncle Sams Cider (04/04/2023)")</f>
        <v>Uncle Sams Cider (04/04/2023)</v>
      </c>
      <c r="H6209" s="19"/>
    </row>
    <row r="6210">
      <c r="A6210" s="9"/>
      <c r="B6210" s="15"/>
      <c r="C6210" s="9">
        <f>IFERROR(__xludf.DUMMYFUNCTION("""COMPUTED_VALUE"""),45079.4453053125)</f>
        <v>45079.44531</v>
      </c>
      <c r="D6210" s="15">
        <f>IFERROR(__xludf.DUMMYFUNCTION("""COMPUTED_VALUE"""),1.007)</f>
        <v>1.007</v>
      </c>
      <c r="E6210" s="16">
        <f>IFERROR(__xludf.DUMMYFUNCTION("""COMPUTED_VALUE"""),66.0)</f>
        <v>66</v>
      </c>
      <c r="F6210" s="19" t="str">
        <f>IFERROR(__xludf.DUMMYFUNCTION("""COMPUTED_VALUE"""),"BLUE")</f>
        <v>BLUE</v>
      </c>
      <c r="G6210" s="20" t="str">
        <f>IFERROR(__xludf.DUMMYFUNCTION("""COMPUTED_VALUE"""),"Uncle Sams Cider (04/04/2023)")</f>
        <v>Uncle Sams Cider (04/04/2023)</v>
      </c>
      <c r="H6210" s="19"/>
    </row>
    <row r="6211">
      <c r="A6211" s="9"/>
      <c r="B6211" s="15"/>
      <c r="C6211" s="9">
        <f>IFERROR(__xludf.DUMMYFUNCTION("""COMPUTED_VALUE"""),45079.4348723379)</f>
        <v>45079.43487</v>
      </c>
      <c r="D6211" s="15">
        <f>IFERROR(__xludf.DUMMYFUNCTION("""COMPUTED_VALUE"""),1.007)</f>
        <v>1.007</v>
      </c>
      <c r="E6211" s="16">
        <f>IFERROR(__xludf.DUMMYFUNCTION("""COMPUTED_VALUE"""),66.0)</f>
        <v>66</v>
      </c>
      <c r="F6211" s="19" t="str">
        <f>IFERROR(__xludf.DUMMYFUNCTION("""COMPUTED_VALUE"""),"BLUE")</f>
        <v>BLUE</v>
      </c>
      <c r="G6211" s="20" t="str">
        <f>IFERROR(__xludf.DUMMYFUNCTION("""COMPUTED_VALUE"""),"Uncle Sams Cider (04/04/2023)")</f>
        <v>Uncle Sams Cider (04/04/2023)</v>
      </c>
      <c r="H6211" s="19"/>
    </row>
    <row r="6212">
      <c r="A6212" s="9"/>
      <c r="B6212" s="15"/>
      <c r="C6212" s="9">
        <f>IFERROR(__xludf.DUMMYFUNCTION("""COMPUTED_VALUE"""),45079.4244396759)</f>
        <v>45079.42444</v>
      </c>
      <c r="D6212" s="15">
        <f>IFERROR(__xludf.DUMMYFUNCTION("""COMPUTED_VALUE"""),1.007)</f>
        <v>1.007</v>
      </c>
      <c r="E6212" s="16">
        <f>IFERROR(__xludf.DUMMYFUNCTION("""COMPUTED_VALUE"""),66.0)</f>
        <v>66</v>
      </c>
      <c r="F6212" s="19" t="str">
        <f>IFERROR(__xludf.DUMMYFUNCTION("""COMPUTED_VALUE"""),"BLUE")</f>
        <v>BLUE</v>
      </c>
      <c r="G6212" s="20" t="str">
        <f>IFERROR(__xludf.DUMMYFUNCTION("""COMPUTED_VALUE"""),"Uncle Sams Cider (04/04/2023)")</f>
        <v>Uncle Sams Cider (04/04/2023)</v>
      </c>
      <c r="H6212" s="19"/>
    </row>
    <row r="6213">
      <c r="A6213" s="9"/>
      <c r="B6213" s="15"/>
      <c r="C6213" s="9">
        <f>IFERROR(__xludf.DUMMYFUNCTION("""COMPUTED_VALUE"""),45079.4140065277)</f>
        <v>45079.41401</v>
      </c>
      <c r="D6213" s="15">
        <f>IFERROR(__xludf.DUMMYFUNCTION("""COMPUTED_VALUE"""),1.007)</f>
        <v>1.007</v>
      </c>
      <c r="E6213" s="16">
        <f>IFERROR(__xludf.DUMMYFUNCTION("""COMPUTED_VALUE"""),66.0)</f>
        <v>66</v>
      </c>
      <c r="F6213" s="19" t="str">
        <f>IFERROR(__xludf.DUMMYFUNCTION("""COMPUTED_VALUE"""),"BLUE")</f>
        <v>BLUE</v>
      </c>
      <c r="G6213" s="20" t="str">
        <f>IFERROR(__xludf.DUMMYFUNCTION("""COMPUTED_VALUE"""),"Uncle Sams Cider (04/04/2023)")</f>
        <v>Uncle Sams Cider (04/04/2023)</v>
      </c>
      <c r="H6213" s="19"/>
    </row>
    <row r="6214">
      <c r="A6214" s="9"/>
      <c r="B6214" s="15"/>
      <c r="C6214" s="9">
        <f>IFERROR(__xludf.DUMMYFUNCTION("""COMPUTED_VALUE"""),45079.4035869791)</f>
        <v>45079.40359</v>
      </c>
      <c r="D6214" s="15">
        <f>IFERROR(__xludf.DUMMYFUNCTION("""COMPUTED_VALUE"""),1.007)</f>
        <v>1.007</v>
      </c>
      <c r="E6214" s="16">
        <f>IFERROR(__xludf.DUMMYFUNCTION("""COMPUTED_VALUE"""),66.0)</f>
        <v>66</v>
      </c>
      <c r="F6214" s="19" t="str">
        <f>IFERROR(__xludf.DUMMYFUNCTION("""COMPUTED_VALUE"""),"BLUE")</f>
        <v>BLUE</v>
      </c>
      <c r="G6214" s="20" t="str">
        <f>IFERROR(__xludf.DUMMYFUNCTION("""COMPUTED_VALUE"""),"Uncle Sams Cider (04/04/2023)")</f>
        <v>Uncle Sams Cider (04/04/2023)</v>
      </c>
      <c r="H6214" s="19"/>
    </row>
    <row r="6215">
      <c r="A6215" s="9"/>
      <c r="B6215" s="15"/>
      <c r="C6215" s="9">
        <f>IFERROR(__xludf.DUMMYFUNCTION("""COMPUTED_VALUE"""),45079.3931654282)</f>
        <v>45079.39317</v>
      </c>
      <c r="D6215" s="15">
        <f>IFERROR(__xludf.DUMMYFUNCTION("""COMPUTED_VALUE"""),1.007)</f>
        <v>1.007</v>
      </c>
      <c r="E6215" s="16">
        <f>IFERROR(__xludf.DUMMYFUNCTION("""COMPUTED_VALUE"""),66.0)</f>
        <v>66</v>
      </c>
      <c r="F6215" s="19" t="str">
        <f>IFERROR(__xludf.DUMMYFUNCTION("""COMPUTED_VALUE"""),"BLUE")</f>
        <v>BLUE</v>
      </c>
      <c r="G6215" s="20" t="str">
        <f>IFERROR(__xludf.DUMMYFUNCTION("""COMPUTED_VALUE"""),"Uncle Sams Cider (04/04/2023)")</f>
        <v>Uncle Sams Cider (04/04/2023)</v>
      </c>
      <c r="H6215" s="19"/>
    </row>
    <row r="6216">
      <c r="A6216" s="9"/>
      <c r="B6216" s="15"/>
      <c r="C6216" s="9">
        <f>IFERROR(__xludf.DUMMYFUNCTION("""COMPUTED_VALUE"""),45079.3827214814)</f>
        <v>45079.38272</v>
      </c>
      <c r="D6216" s="15">
        <f>IFERROR(__xludf.DUMMYFUNCTION("""COMPUTED_VALUE"""),1.006)</f>
        <v>1.006</v>
      </c>
      <c r="E6216" s="16">
        <f>IFERROR(__xludf.DUMMYFUNCTION("""COMPUTED_VALUE"""),66.0)</f>
        <v>66</v>
      </c>
      <c r="F6216" s="19" t="str">
        <f>IFERROR(__xludf.DUMMYFUNCTION("""COMPUTED_VALUE"""),"BLUE")</f>
        <v>BLUE</v>
      </c>
      <c r="G6216" s="20" t="str">
        <f>IFERROR(__xludf.DUMMYFUNCTION("""COMPUTED_VALUE"""),"Uncle Sams Cider (04/04/2023)")</f>
        <v>Uncle Sams Cider (04/04/2023)</v>
      </c>
      <c r="H6216" s="19"/>
    </row>
    <row r="6217">
      <c r="A6217" s="9"/>
      <c r="B6217" s="15"/>
      <c r="C6217" s="9">
        <f>IFERROR(__xludf.DUMMYFUNCTION("""COMPUTED_VALUE"""),45079.3723005092)</f>
        <v>45079.3723</v>
      </c>
      <c r="D6217" s="15">
        <f>IFERROR(__xludf.DUMMYFUNCTION("""COMPUTED_VALUE"""),1.006)</f>
        <v>1.006</v>
      </c>
      <c r="E6217" s="16">
        <f>IFERROR(__xludf.DUMMYFUNCTION("""COMPUTED_VALUE"""),66.0)</f>
        <v>66</v>
      </c>
      <c r="F6217" s="19" t="str">
        <f>IFERROR(__xludf.DUMMYFUNCTION("""COMPUTED_VALUE"""),"BLUE")</f>
        <v>BLUE</v>
      </c>
      <c r="G6217" s="20" t="str">
        <f>IFERROR(__xludf.DUMMYFUNCTION("""COMPUTED_VALUE"""),"Uncle Sams Cider (04/04/2023)")</f>
        <v>Uncle Sams Cider (04/04/2023)</v>
      </c>
      <c r="H6217" s="19"/>
    </row>
    <row r="6218">
      <c r="A6218" s="9"/>
      <c r="B6218" s="15"/>
      <c r="C6218" s="9">
        <f>IFERROR(__xludf.DUMMYFUNCTION("""COMPUTED_VALUE"""),45079.3618814467)</f>
        <v>45079.36188</v>
      </c>
      <c r="D6218" s="15">
        <f>IFERROR(__xludf.DUMMYFUNCTION("""COMPUTED_VALUE"""),1.007)</f>
        <v>1.007</v>
      </c>
      <c r="E6218" s="16">
        <f>IFERROR(__xludf.DUMMYFUNCTION("""COMPUTED_VALUE"""),66.0)</f>
        <v>66</v>
      </c>
      <c r="F6218" s="19" t="str">
        <f>IFERROR(__xludf.DUMMYFUNCTION("""COMPUTED_VALUE"""),"BLUE")</f>
        <v>BLUE</v>
      </c>
      <c r="G6218" s="20" t="str">
        <f>IFERROR(__xludf.DUMMYFUNCTION("""COMPUTED_VALUE"""),"Uncle Sams Cider (04/04/2023)")</f>
        <v>Uncle Sams Cider (04/04/2023)</v>
      </c>
      <c r="H6218" s="19"/>
    </row>
    <row r="6219">
      <c r="A6219" s="9"/>
      <c r="B6219" s="15"/>
      <c r="C6219" s="9">
        <f>IFERROR(__xludf.DUMMYFUNCTION("""COMPUTED_VALUE"""),45079.3514470949)</f>
        <v>45079.35145</v>
      </c>
      <c r="D6219" s="15">
        <f>IFERROR(__xludf.DUMMYFUNCTION("""COMPUTED_VALUE"""),1.007)</f>
        <v>1.007</v>
      </c>
      <c r="E6219" s="16">
        <f>IFERROR(__xludf.DUMMYFUNCTION("""COMPUTED_VALUE"""),66.0)</f>
        <v>66</v>
      </c>
      <c r="F6219" s="19" t="str">
        <f>IFERROR(__xludf.DUMMYFUNCTION("""COMPUTED_VALUE"""),"BLUE")</f>
        <v>BLUE</v>
      </c>
      <c r="G6219" s="20" t="str">
        <f>IFERROR(__xludf.DUMMYFUNCTION("""COMPUTED_VALUE"""),"Uncle Sams Cider (04/04/2023)")</f>
        <v>Uncle Sams Cider (04/04/2023)</v>
      </c>
      <c r="H6219" s="19"/>
    </row>
    <row r="6220">
      <c r="A6220" s="9"/>
      <c r="B6220" s="15"/>
      <c r="C6220" s="9">
        <f>IFERROR(__xludf.DUMMYFUNCTION("""COMPUTED_VALUE"""),45079.3410036921)</f>
        <v>45079.341</v>
      </c>
      <c r="D6220" s="15">
        <f>IFERROR(__xludf.DUMMYFUNCTION("""COMPUTED_VALUE"""),1.007)</f>
        <v>1.007</v>
      </c>
      <c r="E6220" s="16">
        <f>IFERROR(__xludf.DUMMYFUNCTION("""COMPUTED_VALUE"""),66.0)</f>
        <v>66</v>
      </c>
      <c r="F6220" s="19" t="str">
        <f>IFERROR(__xludf.DUMMYFUNCTION("""COMPUTED_VALUE"""),"BLUE")</f>
        <v>BLUE</v>
      </c>
      <c r="G6220" s="20" t="str">
        <f>IFERROR(__xludf.DUMMYFUNCTION("""COMPUTED_VALUE"""),"Uncle Sams Cider (04/04/2023)")</f>
        <v>Uncle Sams Cider (04/04/2023)</v>
      </c>
      <c r="H6220" s="19"/>
    </row>
    <row r="6221">
      <c r="A6221" s="9"/>
      <c r="B6221" s="15"/>
      <c r="C6221" s="9">
        <f>IFERROR(__xludf.DUMMYFUNCTION("""COMPUTED_VALUE"""),45079.3305824305)</f>
        <v>45079.33058</v>
      </c>
      <c r="D6221" s="15">
        <f>IFERROR(__xludf.DUMMYFUNCTION("""COMPUTED_VALUE"""),1.007)</f>
        <v>1.007</v>
      </c>
      <c r="E6221" s="16">
        <f>IFERROR(__xludf.DUMMYFUNCTION("""COMPUTED_VALUE"""),66.0)</f>
        <v>66</v>
      </c>
      <c r="F6221" s="19" t="str">
        <f>IFERROR(__xludf.DUMMYFUNCTION("""COMPUTED_VALUE"""),"BLUE")</f>
        <v>BLUE</v>
      </c>
      <c r="G6221" s="20" t="str">
        <f>IFERROR(__xludf.DUMMYFUNCTION("""COMPUTED_VALUE"""),"Uncle Sams Cider (04/04/2023)")</f>
        <v>Uncle Sams Cider (04/04/2023)</v>
      </c>
      <c r="H6221" s="19"/>
    </row>
    <row r="6222">
      <c r="A6222" s="9"/>
      <c r="B6222" s="15"/>
      <c r="C6222" s="9">
        <f>IFERROR(__xludf.DUMMYFUNCTION("""COMPUTED_VALUE"""),45079.3201490972)</f>
        <v>45079.32015</v>
      </c>
      <c r="D6222" s="15">
        <f>IFERROR(__xludf.DUMMYFUNCTION("""COMPUTED_VALUE"""),1.007)</f>
        <v>1.007</v>
      </c>
      <c r="E6222" s="16">
        <f>IFERROR(__xludf.DUMMYFUNCTION("""COMPUTED_VALUE"""),66.0)</f>
        <v>66</v>
      </c>
      <c r="F6222" s="19" t="str">
        <f>IFERROR(__xludf.DUMMYFUNCTION("""COMPUTED_VALUE"""),"BLUE")</f>
        <v>BLUE</v>
      </c>
      <c r="G6222" s="20" t="str">
        <f>IFERROR(__xludf.DUMMYFUNCTION("""COMPUTED_VALUE"""),"Uncle Sams Cider (04/04/2023)")</f>
        <v>Uncle Sams Cider (04/04/2023)</v>
      </c>
      <c r="H6222" s="19"/>
    </row>
    <row r="6223">
      <c r="A6223" s="9"/>
      <c r="B6223" s="15"/>
      <c r="C6223" s="9">
        <f>IFERROR(__xludf.DUMMYFUNCTION("""COMPUTED_VALUE"""),45079.3097280092)</f>
        <v>45079.30973</v>
      </c>
      <c r="D6223" s="15">
        <f>IFERROR(__xludf.DUMMYFUNCTION("""COMPUTED_VALUE"""),1.007)</f>
        <v>1.007</v>
      </c>
      <c r="E6223" s="16">
        <f>IFERROR(__xludf.DUMMYFUNCTION("""COMPUTED_VALUE"""),66.0)</f>
        <v>66</v>
      </c>
      <c r="F6223" s="19" t="str">
        <f>IFERROR(__xludf.DUMMYFUNCTION("""COMPUTED_VALUE"""),"BLUE")</f>
        <v>BLUE</v>
      </c>
      <c r="G6223" s="20" t="str">
        <f>IFERROR(__xludf.DUMMYFUNCTION("""COMPUTED_VALUE"""),"Uncle Sams Cider (04/04/2023)")</f>
        <v>Uncle Sams Cider (04/04/2023)</v>
      </c>
      <c r="H6223" s="19"/>
    </row>
    <row r="6224">
      <c r="A6224" s="9"/>
      <c r="B6224" s="15"/>
      <c r="C6224" s="9">
        <f>IFERROR(__xludf.DUMMYFUNCTION("""COMPUTED_VALUE"""),45079.2993071412)</f>
        <v>45079.29931</v>
      </c>
      <c r="D6224" s="15">
        <f>IFERROR(__xludf.DUMMYFUNCTION("""COMPUTED_VALUE"""),1.007)</f>
        <v>1.007</v>
      </c>
      <c r="E6224" s="16">
        <f>IFERROR(__xludf.DUMMYFUNCTION("""COMPUTED_VALUE"""),66.0)</f>
        <v>66</v>
      </c>
      <c r="F6224" s="19" t="str">
        <f>IFERROR(__xludf.DUMMYFUNCTION("""COMPUTED_VALUE"""),"BLUE")</f>
        <v>BLUE</v>
      </c>
      <c r="G6224" s="20" t="str">
        <f>IFERROR(__xludf.DUMMYFUNCTION("""COMPUTED_VALUE"""),"Uncle Sams Cider (04/04/2023)")</f>
        <v>Uncle Sams Cider (04/04/2023)</v>
      </c>
      <c r="H6224" s="19"/>
    </row>
    <row r="6225">
      <c r="A6225" s="9"/>
      <c r="B6225" s="15"/>
      <c r="C6225" s="9">
        <f>IFERROR(__xludf.DUMMYFUNCTION("""COMPUTED_VALUE"""),45079.2888857754)</f>
        <v>45079.28889</v>
      </c>
      <c r="D6225" s="15">
        <f>IFERROR(__xludf.DUMMYFUNCTION("""COMPUTED_VALUE"""),1.007)</f>
        <v>1.007</v>
      </c>
      <c r="E6225" s="16">
        <f>IFERROR(__xludf.DUMMYFUNCTION("""COMPUTED_VALUE"""),66.0)</f>
        <v>66</v>
      </c>
      <c r="F6225" s="19" t="str">
        <f>IFERROR(__xludf.DUMMYFUNCTION("""COMPUTED_VALUE"""),"BLUE")</f>
        <v>BLUE</v>
      </c>
      <c r="G6225" s="20" t="str">
        <f>IFERROR(__xludf.DUMMYFUNCTION("""COMPUTED_VALUE"""),"Uncle Sams Cider (04/04/2023)")</f>
        <v>Uncle Sams Cider (04/04/2023)</v>
      </c>
      <c r="H6225" s="19"/>
    </row>
    <row r="6226">
      <c r="A6226" s="9"/>
      <c r="B6226" s="15"/>
      <c r="C6226" s="9">
        <f>IFERROR(__xludf.DUMMYFUNCTION("""COMPUTED_VALUE"""),45079.2784426157)</f>
        <v>45079.27844</v>
      </c>
      <c r="D6226" s="15">
        <f>IFERROR(__xludf.DUMMYFUNCTION("""COMPUTED_VALUE"""),1.007)</f>
        <v>1.007</v>
      </c>
      <c r="E6226" s="16">
        <f>IFERROR(__xludf.DUMMYFUNCTION("""COMPUTED_VALUE"""),66.0)</f>
        <v>66</v>
      </c>
      <c r="F6226" s="19" t="str">
        <f>IFERROR(__xludf.DUMMYFUNCTION("""COMPUTED_VALUE"""),"BLUE")</f>
        <v>BLUE</v>
      </c>
      <c r="G6226" s="20" t="str">
        <f>IFERROR(__xludf.DUMMYFUNCTION("""COMPUTED_VALUE"""),"Uncle Sams Cider (04/04/2023)")</f>
        <v>Uncle Sams Cider (04/04/2023)</v>
      </c>
      <c r="H6226" s="19"/>
    </row>
    <row r="6227">
      <c r="A6227" s="9"/>
      <c r="B6227" s="15"/>
      <c r="C6227" s="9">
        <f>IFERROR(__xludf.DUMMYFUNCTION("""COMPUTED_VALUE"""),45079.2680093171)</f>
        <v>45079.26801</v>
      </c>
      <c r="D6227" s="15">
        <f>IFERROR(__xludf.DUMMYFUNCTION("""COMPUTED_VALUE"""),1.007)</f>
        <v>1.007</v>
      </c>
      <c r="E6227" s="16">
        <f>IFERROR(__xludf.DUMMYFUNCTION("""COMPUTED_VALUE"""),66.0)</f>
        <v>66</v>
      </c>
      <c r="F6227" s="19" t="str">
        <f>IFERROR(__xludf.DUMMYFUNCTION("""COMPUTED_VALUE"""),"BLUE")</f>
        <v>BLUE</v>
      </c>
      <c r="G6227" s="20" t="str">
        <f>IFERROR(__xludf.DUMMYFUNCTION("""COMPUTED_VALUE"""),"Uncle Sams Cider (04/04/2023)")</f>
        <v>Uncle Sams Cider (04/04/2023)</v>
      </c>
      <c r="H6227" s="19"/>
    </row>
    <row r="6228">
      <c r="A6228" s="9"/>
      <c r="B6228" s="15"/>
      <c r="C6228" s="9">
        <f>IFERROR(__xludf.DUMMYFUNCTION("""COMPUTED_VALUE"""),45079.2575642245)</f>
        <v>45079.25756</v>
      </c>
      <c r="D6228" s="15">
        <f>IFERROR(__xludf.DUMMYFUNCTION("""COMPUTED_VALUE"""),1.007)</f>
        <v>1.007</v>
      </c>
      <c r="E6228" s="16">
        <f>IFERROR(__xludf.DUMMYFUNCTION("""COMPUTED_VALUE"""),66.0)</f>
        <v>66</v>
      </c>
      <c r="F6228" s="19" t="str">
        <f>IFERROR(__xludf.DUMMYFUNCTION("""COMPUTED_VALUE"""),"BLUE")</f>
        <v>BLUE</v>
      </c>
      <c r="G6228" s="20" t="str">
        <f>IFERROR(__xludf.DUMMYFUNCTION("""COMPUTED_VALUE"""),"Uncle Sams Cider (04/04/2023)")</f>
        <v>Uncle Sams Cider (04/04/2023)</v>
      </c>
      <c r="H6228" s="19"/>
    </row>
    <row r="6229">
      <c r="A6229" s="9"/>
      <c r="B6229" s="15"/>
      <c r="C6229" s="9">
        <f>IFERROR(__xludf.DUMMYFUNCTION("""COMPUTED_VALUE"""),45079.2471431713)</f>
        <v>45079.24714</v>
      </c>
      <c r="D6229" s="15">
        <f>IFERROR(__xludf.DUMMYFUNCTION("""COMPUTED_VALUE"""),1.007)</f>
        <v>1.007</v>
      </c>
      <c r="E6229" s="16">
        <f>IFERROR(__xludf.DUMMYFUNCTION("""COMPUTED_VALUE"""),66.0)</f>
        <v>66</v>
      </c>
      <c r="F6229" s="19" t="str">
        <f>IFERROR(__xludf.DUMMYFUNCTION("""COMPUTED_VALUE"""),"BLUE")</f>
        <v>BLUE</v>
      </c>
      <c r="G6229" s="20" t="str">
        <f>IFERROR(__xludf.DUMMYFUNCTION("""COMPUTED_VALUE"""),"Uncle Sams Cider (04/04/2023)")</f>
        <v>Uncle Sams Cider (04/04/2023)</v>
      </c>
      <c r="H6229" s="19"/>
    </row>
    <row r="6230">
      <c r="A6230" s="9"/>
      <c r="B6230" s="15"/>
      <c r="C6230" s="9">
        <f>IFERROR(__xludf.DUMMYFUNCTION("""COMPUTED_VALUE"""),45079.2367217476)</f>
        <v>45079.23672</v>
      </c>
      <c r="D6230" s="15">
        <f>IFERROR(__xludf.DUMMYFUNCTION("""COMPUTED_VALUE"""),1.007)</f>
        <v>1.007</v>
      </c>
      <c r="E6230" s="16">
        <f>IFERROR(__xludf.DUMMYFUNCTION("""COMPUTED_VALUE"""),66.0)</f>
        <v>66</v>
      </c>
      <c r="F6230" s="19" t="str">
        <f>IFERROR(__xludf.DUMMYFUNCTION("""COMPUTED_VALUE"""),"BLUE")</f>
        <v>BLUE</v>
      </c>
      <c r="G6230" s="20" t="str">
        <f>IFERROR(__xludf.DUMMYFUNCTION("""COMPUTED_VALUE"""),"Uncle Sams Cider (04/04/2023)")</f>
        <v>Uncle Sams Cider (04/04/2023)</v>
      </c>
      <c r="H6230" s="19"/>
    </row>
    <row r="6231">
      <c r="A6231" s="9"/>
      <c r="B6231" s="15"/>
      <c r="C6231" s="9">
        <f>IFERROR(__xludf.DUMMYFUNCTION("""COMPUTED_VALUE"""),45079.2263000231)</f>
        <v>45079.2263</v>
      </c>
      <c r="D6231" s="15">
        <f>IFERROR(__xludf.DUMMYFUNCTION("""COMPUTED_VALUE"""),1.007)</f>
        <v>1.007</v>
      </c>
      <c r="E6231" s="16">
        <f>IFERROR(__xludf.DUMMYFUNCTION("""COMPUTED_VALUE"""),66.0)</f>
        <v>66</v>
      </c>
      <c r="F6231" s="19" t="str">
        <f>IFERROR(__xludf.DUMMYFUNCTION("""COMPUTED_VALUE"""),"BLUE")</f>
        <v>BLUE</v>
      </c>
      <c r="G6231" s="20" t="str">
        <f>IFERROR(__xludf.DUMMYFUNCTION("""COMPUTED_VALUE"""),"Uncle Sams Cider (04/04/2023)")</f>
        <v>Uncle Sams Cider (04/04/2023)</v>
      </c>
      <c r="H6231" s="19"/>
    </row>
    <row r="6232">
      <c r="A6232" s="9"/>
      <c r="B6232" s="15"/>
      <c r="C6232" s="9">
        <f>IFERROR(__xludf.DUMMYFUNCTION("""COMPUTED_VALUE"""),45079.2158801157)</f>
        <v>45079.21588</v>
      </c>
      <c r="D6232" s="15">
        <f>IFERROR(__xludf.DUMMYFUNCTION("""COMPUTED_VALUE"""),1.007)</f>
        <v>1.007</v>
      </c>
      <c r="E6232" s="16">
        <f>IFERROR(__xludf.DUMMYFUNCTION("""COMPUTED_VALUE"""),66.0)</f>
        <v>66</v>
      </c>
      <c r="F6232" s="19" t="str">
        <f>IFERROR(__xludf.DUMMYFUNCTION("""COMPUTED_VALUE"""),"BLUE")</f>
        <v>BLUE</v>
      </c>
      <c r="G6232" s="20" t="str">
        <f>IFERROR(__xludf.DUMMYFUNCTION("""COMPUTED_VALUE"""),"Uncle Sams Cider (04/04/2023)")</f>
        <v>Uncle Sams Cider (04/04/2023)</v>
      </c>
      <c r="H6232" s="19"/>
    </row>
    <row r="6233">
      <c r="A6233" s="9"/>
      <c r="B6233" s="15"/>
      <c r="C6233" s="9">
        <f>IFERROR(__xludf.DUMMYFUNCTION("""COMPUTED_VALUE"""),45079.2054484259)</f>
        <v>45079.20545</v>
      </c>
      <c r="D6233" s="15">
        <f>IFERROR(__xludf.DUMMYFUNCTION("""COMPUTED_VALUE"""),1.007)</f>
        <v>1.007</v>
      </c>
      <c r="E6233" s="16">
        <f>IFERROR(__xludf.DUMMYFUNCTION("""COMPUTED_VALUE"""),66.0)</f>
        <v>66</v>
      </c>
      <c r="F6233" s="19" t="str">
        <f>IFERROR(__xludf.DUMMYFUNCTION("""COMPUTED_VALUE"""),"BLUE")</f>
        <v>BLUE</v>
      </c>
      <c r="G6233" s="20" t="str">
        <f>IFERROR(__xludf.DUMMYFUNCTION("""COMPUTED_VALUE"""),"Uncle Sams Cider (04/04/2023)")</f>
        <v>Uncle Sams Cider (04/04/2023)</v>
      </c>
      <c r="H6233" s="19"/>
    </row>
    <row r="6234">
      <c r="A6234" s="9"/>
      <c r="B6234" s="15"/>
      <c r="C6234" s="9">
        <f>IFERROR(__xludf.DUMMYFUNCTION("""COMPUTED_VALUE"""),45079.1950270949)</f>
        <v>45079.19503</v>
      </c>
      <c r="D6234" s="15">
        <f>IFERROR(__xludf.DUMMYFUNCTION("""COMPUTED_VALUE"""),1.007)</f>
        <v>1.007</v>
      </c>
      <c r="E6234" s="16">
        <f>IFERROR(__xludf.DUMMYFUNCTION("""COMPUTED_VALUE"""),66.0)</f>
        <v>66</v>
      </c>
      <c r="F6234" s="19" t="str">
        <f>IFERROR(__xludf.DUMMYFUNCTION("""COMPUTED_VALUE"""),"BLUE")</f>
        <v>BLUE</v>
      </c>
      <c r="G6234" s="20" t="str">
        <f>IFERROR(__xludf.DUMMYFUNCTION("""COMPUTED_VALUE"""),"Uncle Sams Cider (04/04/2023)")</f>
        <v>Uncle Sams Cider (04/04/2023)</v>
      </c>
      <c r="H6234" s="19"/>
    </row>
    <row r="6235">
      <c r="A6235" s="9"/>
      <c r="B6235" s="15"/>
      <c r="C6235" s="9">
        <f>IFERROR(__xludf.DUMMYFUNCTION("""COMPUTED_VALUE"""),45079.1845710648)</f>
        <v>45079.18457</v>
      </c>
      <c r="D6235" s="15">
        <f>IFERROR(__xludf.DUMMYFUNCTION("""COMPUTED_VALUE"""),1.007)</f>
        <v>1.007</v>
      </c>
      <c r="E6235" s="16">
        <f>IFERROR(__xludf.DUMMYFUNCTION("""COMPUTED_VALUE"""),66.0)</f>
        <v>66</v>
      </c>
      <c r="F6235" s="19" t="str">
        <f>IFERROR(__xludf.DUMMYFUNCTION("""COMPUTED_VALUE"""),"BLUE")</f>
        <v>BLUE</v>
      </c>
      <c r="G6235" s="20" t="str">
        <f>IFERROR(__xludf.DUMMYFUNCTION("""COMPUTED_VALUE"""),"Uncle Sams Cider (04/04/2023)")</f>
        <v>Uncle Sams Cider (04/04/2023)</v>
      </c>
      <c r="H6235" s="19"/>
    </row>
    <row r="6236">
      <c r="A6236" s="9"/>
      <c r="B6236" s="15"/>
      <c r="C6236" s="9">
        <f>IFERROR(__xludf.DUMMYFUNCTION("""COMPUTED_VALUE"""),45079.1741499189)</f>
        <v>45079.17415</v>
      </c>
      <c r="D6236" s="15">
        <f>IFERROR(__xludf.DUMMYFUNCTION("""COMPUTED_VALUE"""),1.007)</f>
        <v>1.007</v>
      </c>
      <c r="E6236" s="16">
        <f>IFERROR(__xludf.DUMMYFUNCTION("""COMPUTED_VALUE"""),66.0)</f>
        <v>66</v>
      </c>
      <c r="F6236" s="19" t="str">
        <f>IFERROR(__xludf.DUMMYFUNCTION("""COMPUTED_VALUE"""),"BLUE")</f>
        <v>BLUE</v>
      </c>
      <c r="G6236" s="20" t="str">
        <f>IFERROR(__xludf.DUMMYFUNCTION("""COMPUTED_VALUE"""),"Uncle Sams Cider (04/04/2023)")</f>
        <v>Uncle Sams Cider (04/04/2023)</v>
      </c>
      <c r="H6236" s="19"/>
    </row>
    <row r="6237">
      <c r="A6237" s="9"/>
      <c r="B6237" s="15"/>
      <c r="C6237" s="9">
        <f>IFERROR(__xludf.DUMMYFUNCTION("""COMPUTED_VALUE"""),45079.1637293055)</f>
        <v>45079.16373</v>
      </c>
      <c r="D6237" s="15">
        <f>IFERROR(__xludf.DUMMYFUNCTION("""COMPUTED_VALUE"""),1.007)</f>
        <v>1.007</v>
      </c>
      <c r="E6237" s="16">
        <f>IFERROR(__xludf.DUMMYFUNCTION("""COMPUTED_VALUE"""),66.0)</f>
        <v>66</v>
      </c>
      <c r="F6237" s="19" t="str">
        <f>IFERROR(__xludf.DUMMYFUNCTION("""COMPUTED_VALUE"""),"BLUE")</f>
        <v>BLUE</v>
      </c>
      <c r="G6237" s="20" t="str">
        <f>IFERROR(__xludf.DUMMYFUNCTION("""COMPUTED_VALUE"""),"Uncle Sams Cider (04/04/2023)")</f>
        <v>Uncle Sams Cider (04/04/2023)</v>
      </c>
      <c r="H6237" s="19"/>
    </row>
    <row r="6238">
      <c r="A6238" s="9"/>
      <c r="B6238" s="15"/>
      <c r="C6238" s="9">
        <f>IFERROR(__xludf.DUMMYFUNCTION("""COMPUTED_VALUE"""),45079.1533078588)</f>
        <v>45079.15331</v>
      </c>
      <c r="D6238" s="15">
        <f>IFERROR(__xludf.DUMMYFUNCTION("""COMPUTED_VALUE"""),1.007)</f>
        <v>1.007</v>
      </c>
      <c r="E6238" s="16">
        <f>IFERROR(__xludf.DUMMYFUNCTION("""COMPUTED_VALUE"""),66.0)</f>
        <v>66</v>
      </c>
      <c r="F6238" s="19" t="str">
        <f>IFERROR(__xludf.DUMMYFUNCTION("""COMPUTED_VALUE"""),"BLUE")</f>
        <v>BLUE</v>
      </c>
      <c r="G6238" s="20" t="str">
        <f>IFERROR(__xludf.DUMMYFUNCTION("""COMPUTED_VALUE"""),"Uncle Sams Cider (04/04/2023)")</f>
        <v>Uncle Sams Cider (04/04/2023)</v>
      </c>
      <c r="H6238" s="19"/>
    </row>
    <row r="6239">
      <c r="A6239" s="9"/>
      <c r="B6239" s="15"/>
      <c r="C6239" s="9">
        <f>IFERROR(__xludf.DUMMYFUNCTION("""COMPUTED_VALUE"""),45079.1428871759)</f>
        <v>45079.14289</v>
      </c>
      <c r="D6239" s="15">
        <f>IFERROR(__xludf.DUMMYFUNCTION("""COMPUTED_VALUE"""),1.006)</f>
        <v>1.006</v>
      </c>
      <c r="E6239" s="16">
        <f>IFERROR(__xludf.DUMMYFUNCTION("""COMPUTED_VALUE"""),66.0)</f>
        <v>66</v>
      </c>
      <c r="F6239" s="19" t="str">
        <f>IFERROR(__xludf.DUMMYFUNCTION("""COMPUTED_VALUE"""),"BLUE")</f>
        <v>BLUE</v>
      </c>
      <c r="G6239" s="20" t="str">
        <f>IFERROR(__xludf.DUMMYFUNCTION("""COMPUTED_VALUE"""),"Uncle Sams Cider (04/04/2023)")</f>
        <v>Uncle Sams Cider (04/04/2023)</v>
      </c>
      <c r="H6239" s="19"/>
    </row>
    <row r="6240">
      <c r="A6240" s="9"/>
      <c r="B6240" s="15"/>
      <c r="C6240" s="9">
        <f>IFERROR(__xludf.DUMMYFUNCTION("""COMPUTED_VALUE"""),45079.132453368)</f>
        <v>45079.13245</v>
      </c>
      <c r="D6240" s="15">
        <f>IFERROR(__xludf.DUMMYFUNCTION("""COMPUTED_VALUE"""),1.007)</f>
        <v>1.007</v>
      </c>
      <c r="E6240" s="16">
        <f>IFERROR(__xludf.DUMMYFUNCTION("""COMPUTED_VALUE"""),66.0)</f>
        <v>66</v>
      </c>
      <c r="F6240" s="19" t="str">
        <f>IFERROR(__xludf.DUMMYFUNCTION("""COMPUTED_VALUE"""),"BLUE")</f>
        <v>BLUE</v>
      </c>
      <c r="G6240" s="20" t="str">
        <f>IFERROR(__xludf.DUMMYFUNCTION("""COMPUTED_VALUE"""),"Uncle Sams Cider (04/04/2023)")</f>
        <v>Uncle Sams Cider (04/04/2023)</v>
      </c>
      <c r="H6240" s="19"/>
    </row>
    <row r="6241">
      <c r="A6241" s="9"/>
      <c r="B6241" s="15"/>
      <c r="C6241" s="9">
        <f>IFERROR(__xludf.DUMMYFUNCTION("""COMPUTED_VALUE"""),45079.122019074)</f>
        <v>45079.12202</v>
      </c>
      <c r="D6241" s="15">
        <f>IFERROR(__xludf.DUMMYFUNCTION("""COMPUTED_VALUE"""),1.007)</f>
        <v>1.007</v>
      </c>
      <c r="E6241" s="16">
        <f>IFERROR(__xludf.DUMMYFUNCTION("""COMPUTED_VALUE"""),66.0)</f>
        <v>66</v>
      </c>
      <c r="F6241" s="19" t="str">
        <f>IFERROR(__xludf.DUMMYFUNCTION("""COMPUTED_VALUE"""),"BLUE")</f>
        <v>BLUE</v>
      </c>
      <c r="G6241" s="20" t="str">
        <f>IFERROR(__xludf.DUMMYFUNCTION("""COMPUTED_VALUE"""),"Uncle Sams Cider (04/04/2023)")</f>
        <v>Uncle Sams Cider (04/04/2023)</v>
      </c>
      <c r="H6241" s="19"/>
    </row>
    <row r="6242">
      <c r="A6242" s="9"/>
      <c r="B6242" s="15"/>
      <c r="C6242" s="9">
        <f>IFERROR(__xludf.DUMMYFUNCTION("""COMPUTED_VALUE"""),45079.1115765277)</f>
        <v>45079.11158</v>
      </c>
      <c r="D6242" s="15">
        <f>IFERROR(__xludf.DUMMYFUNCTION("""COMPUTED_VALUE"""),1.006)</f>
        <v>1.006</v>
      </c>
      <c r="E6242" s="16">
        <f>IFERROR(__xludf.DUMMYFUNCTION("""COMPUTED_VALUE"""),66.0)</f>
        <v>66</v>
      </c>
      <c r="F6242" s="19" t="str">
        <f>IFERROR(__xludf.DUMMYFUNCTION("""COMPUTED_VALUE"""),"BLUE")</f>
        <v>BLUE</v>
      </c>
      <c r="G6242" s="20" t="str">
        <f>IFERROR(__xludf.DUMMYFUNCTION("""COMPUTED_VALUE"""),"Uncle Sams Cider (04/04/2023)")</f>
        <v>Uncle Sams Cider (04/04/2023)</v>
      </c>
      <c r="H6242" s="19"/>
    </row>
    <row r="6243">
      <c r="A6243" s="9"/>
      <c r="B6243" s="15"/>
      <c r="C6243" s="9">
        <f>IFERROR(__xludf.DUMMYFUNCTION("""COMPUTED_VALUE"""),45079.1011292708)</f>
        <v>45079.10113</v>
      </c>
      <c r="D6243" s="15">
        <f>IFERROR(__xludf.DUMMYFUNCTION("""COMPUTED_VALUE"""),1.007)</f>
        <v>1.007</v>
      </c>
      <c r="E6243" s="16">
        <f>IFERROR(__xludf.DUMMYFUNCTION("""COMPUTED_VALUE"""),66.0)</f>
        <v>66</v>
      </c>
      <c r="F6243" s="19" t="str">
        <f>IFERROR(__xludf.DUMMYFUNCTION("""COMPUTED_VALUE"""),"BLUE")</f>
        <v>BLUE</v>
      </c>
      <c r="G6243" s="20" t="str">
        <f>IFERROR(__xludf.DUMMYFUNCTION("""COMPUTED_VALUE"""),"Uncle Sams Cider (04/04/2023)")</f>
        <v>Uncle Sams Cider (04/04/2023)</v>
      </c>
      <c r="H6243" s="19"/>
    </row>
    <row r="6244">
      <c r="A6244" s="9"/>
      <c r="B6244" s="15"/>
      <c r="C6244" s="9">
        <f>IFERROR(__xludf.DUMMYFUNCTION("""COMPUTED_VALUE"""),45079.0907081365)</f>
        <v>45079.09071</v>
      </c>
      <c r="D6244" s="15">
        <f>IFERROR(__xludf.DUMMYFUNCTION("""COMPUTED_VALUE"""),1.006)</f>
        <v>1.006</v>
      </c>
      <c r="E6244" s="16">
        <f>IFERROR(__xludf.DUMMYFUNCTION("""COMPUTED_VALUE"""),66.0)</f>
        <v>66</v>
      </c>
      <c r="F6244" s="19" t="str">
        <f>IFERROR(__xludf.DUMMYFUNCTION("""COMPUTED_VALUE"""),"BLUE")</f>
        <v>BLUE</v>
      </c>
      <c r="G6244" s="20" t="str">
        <f>IFERROR(__xludf.DUMMYFUNCTION("""COMPUTED_VALUE"""),"Uncle Sams Cider (04/04/2023)")</f>
        <v>Uncle Sams Cider (04/04/2023)</v>
      </c>
      <c r="H6244" s="19"/>
    </row>
    <row r="6245">
      <c r="A6245" s="9"/>
      <c r="B6245" s="15"/>
      <c r="C6245" s="9">
        <f>IFERROR(__xludf.DUMMYFUNCTION("""COMPUTED_VALUE"""),45079.0802870949)</f>
        <v>45079.08029</v>
      </c>
      <c r="D6245" s="15">
        <f>IFERROR(__xludf.DUMMYFUNCTION("""COMPUTED_VALUE"""),1.007)</f>
        <v>1.007</v>
      </c>
      <c r="E6245" s="16">
        <f>IFERROR(__xludf.DUMMYFUNCTION("""COMPUTED_VALUE"""),66.0)</f>
        <v>66</v>
      </c>
      <c r="F6245" s="19" t="str">
        <f>IFERROR(__xludf.DUMMYFUNCTION("""COMPUTED_VALUE"""),"BLUE")</f>
        <v>BLUE</v>
      </c>
      <c r="G6245" s="20" t="str">
        <f>IFERROR(__xludf.DUMMYFUNCTION("""COMPUTED_VALUE"""),"Uncle Sams Cider (04/04/2023)")</f>
        <v>Uncle Sams Cider (04/04/2023)</v>
      </c>
      <c r="H6245" s="19"/>
    </row>
    <row r="6246">
      <c r="A6246" s="9"/>
      <c r="B6246" s="15"/>
      <c r="C6246" s="9">
        <f>IFERROR(__xludf.DUMMYFUNCTION("""COMPUTED_VALUE"""),45079.0698662847)</f>
        <v>45079.06987</v>
      </c>
      <c r="D6246" s="15">
        <f>IFERROR(__xludf.DUMMYFUNCTION("""COMPUTED_VALUE"""),1.007)</f>
        <v>1.007</v>
      </c>
      <c r="E6246" s="16">
        <f>IFERROR(__xludf.DUMMYFUNCTION("""COMPUTED_VALUE"""),66.0)</f>
        <v>66</v>
      </c>
      <c r="F6246" s="19" t="str">
        <f>IFERROR(__xludf.DUMMYFUNCTION("""COMPUTED_VALUE"""),"BLUE")</f>
        <v>BLUE</v>
      </c>
      <c r="G6246" s="20" t="str">
        <f>IFERROR(__xludf.DUMMYFUNCTION("""COMPUTED_VALUE"""),"Uncle Sams Cider (04/04/2023)")</f>
        <v>Uncle Sams Cider (04/04/2023)</v>
      </c>
      <c r="H6246" s="19"/>
    </row>
    <row r="6247">
      <c r="A6247" s="9"/>
      <c r="B6247" s="15"/>
      <c r="C6247" s="9">
        <f>IFERROR(__xludf.DUMMYFUNCTION("""COMPUTED_VALUE"""),45079.0594343287)</f>
        <v>45079.05943</v>
      </c>
      <c r="D6247" s="15">
        <f>IFERROR(__xludf.DUMMYFUNCTION("""COMPUTED_VALUE"""),1.007)</f>
        <v>1.007</v>
      </c>
      <c r="E6247" s="16">
        <f>IFERROR(__xludf.DUMMYFUNCTION("""COMPUTED_VALUE"""),66.0)</f>
        <v>66</v>
      </c>
      <c r="F6247" s="19" t="str">
        <f>IFERROR(__xludf.DUMMYFUNCTION("""COMPUTED_VALUE"""),"BLUE")</f>
        <v>BLUE</v>
      </c>
      <c r="G6247" s="20" t="str">
        <f>IFERROR(__xludf.DUMMYFUNCTION("""COMPUTED_VALUE"""),"Uncle Sams Cider (04/04/2023)")</f>
        <v>Uncle Sams Cider (04/04/2023)</v>
      </c>
      <c r="H6247" s="19"/>
    </row>
    <row r="6248">
      <c r="A6248" s="9"/>
      <c r="B6248" s="15"/>
      <c r="C6248" s="9">
        <f>IFERROR(__xludf.DUMMYFUNCTION("""COMPUTED_VALUE"""),45079.0490015162)</f>
        <v>45079.049</v>
      </c>
      <c r="D6248" s="15">
        <f>IFERROR(__xludf.DUMMYFUNCTION("""COMPUTED_VALUE"""),1.007)</f>
        <v>1.007</v>
      </c>
      <c r="E6248" s="16">
        <f>IFERROR(__xludf.DUMMYFUNCTION("""COMPUTED_VALUE"""),66.0)</f>
        <v>66</v>
      </c>
      <c r="F6248" s="19" t="str">
        <f>IFERROR(__xludf.DUMMYFUNCTION("""COMPUTED_VALUE"""),"BLUE")</f>
        <v>BLUE</v>
      </c>
      <c r="G6248" s="20" t="str">
        <f>IFERROR(__xludf.DUMMYFUNCTION("""COMPUTED_VALUE"""),"Uncle Sams Cider (04/04/2023)")</f>
        <v>Uncle Sams Cider (04/04/2023)</v>
      </c>
      <c r="H6248" s="19"/>
    </row>
    <row r="6249">
      <c r="A6249" s="9"/>
      <c r="B6249" s="15"/>
      <c r="C6249" s="9">
        <f>IFERROR(__xludf.DUMMYFUNCTION("""COMPUTED_VALUE"""),45079.0385820486)</f>
        <v>45079.03858</v>
      </c>
      <c r="D6249" s="15">
        <f>IFERROR(__xludf.DUMMYFUNCTION("""COMPUTED_VALUE"""),1.007)</f>
        <v>1.007</v>
      </c>
      <c r="E6249" s="16">
        <f>IFERROR(__xludf.DUMMYFUNCTION("""COMPUTED_VALUE"""),66.0)</f>
        <v>66</v>
      </c>
      <c r="F6249" s="19" t="str">
        <f>IFERROR(__xludf.DUMMYFUNCTION("""COMPUTED_VALUE"""),"BLUE")</f>
        <v>BLUE</v>
      </c>
      <c r="G6249" s="20" t="str">
        <f>IFERROR(__xludf.DUMMYFUNCTION("""COMPUTED_VALUE"""),"Uncle Sams Cider (04/04/2023)")</f>
        <v>Uncle Sams Cider (04/04/2023)</v>
      </c>
      <c r="H6249" s="19"/>
    </row>
    <row r="6250">
      <c r="A6250" s="9"/>
      <c r="B6250" s="15"/>
      <c r="C6250" s="9">
        <f>IFERROR(__xludf.DUMMYFUNCTION("""COMPUTED_VALUE"""),45079.0281596759)</f>
        <v>45079.02816</v>
      </c>
      <c r="D6250" s="15">
        <f>IFERROR(__xludf.DUMMYFUNCTION("""COMPUTED_VALUE"""),1.007)</f>
        <v>1.007</v>
      </c>
      <c r="E6250" s="16">
        <f>IFERROR(__xludf.DUMMYFUNCTION("""COMPUTED_VALUE"""),66.0)</f>
        <v>66</v>
      </c>
      <c r="F6250" s="19" t="str">
        <f>IFERROR(__xludf.DUMMYFUNCTION("""COMPUTED_VALUE"""),"BLUE")</f>
        <v>BLUE</v>
      </c>
      <c r="G6250" s="20" t="str">
        <f>IFERROR(__xludf.DUMMYFUNCTION("""COMPUTED_VALUE"""),"Uncle Sams Cider (04/04/2023)")</f>
        <v>Uncle Sams Cider (04/04/2023)</v>
      </c>
      <c r="H6250" s="19"/>
    </row>
    <row r="6251">
      <c r="A6251" s="9"/>
      <c r="B6251" s="15"/>
      <c r="C6251" s="9">
        <f>IFERROR(__xludf.DUMMYFUNCTION("""COMPUTED_VALUE"""),45079.0177388078)</f>
        <v>45079.01774</v>
      </c>
      <c r="D6251" s="15">
        <f>IFERROR(__xludf.DUMMYFUNCTION("""COMPUTED_VALUE"""),1.007)</f>
        <v>1.007</v>
      </c>
      <c r="E6251" s="16">
        <f>IFERROR(__xludf.DUMMYFUNCTION("""COMPUTED_VALUE"""),66.0)</f>
        <v>66</v>
      </c>
      <c r="F6251" s="19" t="str">
        <f>IFERROR(__xludf.DUMMYFUNCTION("""COMPUTED_VALUE"""),"BLUE")</f>
        <v>BLUE</v>
      </c>
      <c r="G6251" s="20" t="str">
        <f>IFERROR(__xludf.DUMMYFUNCTION("""COMPUTED_VALUE"""),"Uncle Sams Cider (04/04/2023)")</f>
        <v>Uncle Sams Cider (04/04/2023)</v>
      </c>
      <c r="H6251" s="19"/>
    </row>
    <row r="6252">
      <c r="A6252" s="9"/>
      <c r="B6252" s="15"/>
      <c r="C6252" s="9">
        <f>IFERROR(__xludf.DUMMYFUNCTION("""COMPUTED_VALUE"""),45079.0073077777)</f>
        <v>45079.00731</v>
      </c>
      <c r="D6252" s="15">
        <f>IFERROR(__xludf.DUMMYFUNCTION("""COMPUTED_VALUE"""),1.007)</f>
        <v>1.007</v>
      </c>
      <c r="E6252" s="16">
        <f>IFERROR(__xludf.DUMMYFUNCTION("""COMPUTED_VALUE"""),66.0)</f>
        <v>66</v>
      </c>
      <c r="F6252" s="19" t="str">
        <f>IFERROR(__xludf.DUMMYFUNCTION("""COMPUTED_VALUE"""),"BLUE")</f>
        <v>BLUE</v>
      </c>
      <c r="G6252" s="20" t="str">
        <f>IFERROR(__xludf.DUMMYFUNCTION("""COMPUTED_VALUE"""),"Uncle Sams Cider (04/04/2023)")</f>
        <v>Uncle Sams Cider (04/04/2023)</v>
      </c>
      <c r="H6252" s="19"/>
    </row>
    <row r="6253">
      <c r="A6253" s="9"/>
      <c r="B6253" s="15"/>
      <c r="C6253" s="9">
        <f>IFERROR(__xludf.DUMMYFUNCTION("""COMPUTED_VALUE"""),45078.9968859375)</f>
        <v>45078.99689</v>
      </c>
      <c r="D6253" s="15">
        <f>IFERROR(__xludf.DUMMYFUNCTION("""COMPUTED_VALUE"""),1.007)</f>
        <v>1.007</v>
      </c>
      <c r="E6253" s="16">
        <f>IFERROR(__xludf.DUMMYFUNCTION("""COMPUTED_VALUE"""),65.0)</f>
        <v>65</v>
      </c>
      <c r="F6253" s="19" t="str">
        <f>IFERROR(__xludf.DUMMYFUNCTION("""COMPUTED_VALUE"""),"BLUE")</f>
        <v>BLUE</v>
      </c>
      <c r="G6253" s="20" t="str">
        <f>IFERROR(__xludf.DUMMYFUNCTION("""COMPUTED_VALUE"""),"Uncle Sams Cider (04/04/2023)")</f>
        <v>Uncle Sams Cider (04/04/2023)</v>
      </c>
      <c r="H6253" s="19"/>
    </row>
    <row r="6254">
      <c r="A6254" s="9"/>
      <c r="B6254" s="15"/>
      <c r="C6254" s="9">
        <f>IFERROR(__xludf.DUMMYFUNCTION("""COMPUTED_VALUE"""),45078.9864649189)</f>
        <v>45078.98646</v>
      </c>
      <c r="D6254" s="15">
        <f>IFERROR(__xludf.DUMMYFUNCTION("""COMPUTED_VALUE"""),1.007)</f>
        <v>1.007</v>
      </c>
      <c r="E6254" s="16">
        <f>IFERROR(__xludf.DUMMYFUNCTION("""COMPUTED_VALUE"""),65.0)</f>
        <v>65</v>
      </c>
      <c r="F6254" s="19" t="str">
        <f>IFERROR(__xludf.DUMMYFUNCTION("""COMPUTED_VALUE"""),"BLUE")</f>
        <v>BLUE</v>
      </c>
      <c r="G6254" s="20" t="str">
        <f>IFERROR(__xludf.DUMMYFUNCTION("""COMPUTED_VALUE"""),"Uncle Sams Cider (04/04/2023)")</f>
        <v>Uncle Sams Cider (04/04/2023)</v>
      </c>
      <c r="H6254" s="19"/>
    </row>
    <row r="6255">
      <c r="A6255" s="9"/>
      <c r="B6255" s="15"/>
      <c r="C6255" s="9">
        <f>IFERROR(__xludf.DUMMYFUNCTION("""COMPUTED_VALUE"""),45078.9760463078)</f>
        <v>45078.97605</v>
      </c>
      <c r="D6255" s="15">
        <f>IFERROR(__xludf.DUMMYFUNCTION("""COMPUTED_VALUE"""),1.007)</f>
        <v>1.007</v>
      </c>
      <c r="E6255" s="16">
        <f>IFERROR(__xludf.DUMMYFUNCTION("""COMPUTED_VALUE"""),66.0)</f>
        <v>66</v>
      </c>
      <c r="F6255" s="19" t="str">
        <f>IFERROR(__xludf.DUMMYFUNCTION("""COMPUTED_VALUE"""),"BLUE")</f>
        <v>BLUE</v>
      </c>
      <c r="G6255" s="20" t="str">
        <f>IFERROR(__xludf.DUMMYFUNCTION("""COMPUTED_VALUE"""),"Uncle Sams Cider (04/04/2023)")</f>
        <v>Uncle Sams Cider (04/04/2023)</v>
      </c>
      <c r="H6255" s="19"/>
    </row>
    <row r="6256">
      <c r="A6256" s="9"/>
      <c r="B6256" s="15"/>
      <c r="C6256" s="9">
        <f>IFERROR(__xludf.DUMMYFUNCTION("""COMPUTED_VALUE"""),45078.965622199)</f>
        <v>45078.96562</v>
      </c>
      <c r="D6256" s="15">
        <f>IFERROR(__xludf.DUMMYFUNCTION("""COMPUTED_VALUE"""),1.007)</f>
        <v>1.007</v>
      </c>
      <c r="E6256" s="16">
        <f>IFERROR(__xludf.DUMMYFUNCTION("""COMPUTED_VALUE"""),65.0)</f>
        <v>65</v>
      </c>
      <c r="F6256" s="19" t="str">
        <f>IFERROR(__xludf.DUMMYFUNCTION("""COMPUTED_VALUE"""),"BLUE")</f>
        <v>BLUE</v>
      </c>
      <c r="G6256" s="20" t="str">
        <f>IFERROR(__xludf.DUMMYFUNCTION("""COMPUTED_VALUE"""),"Uncle Sams Cider (04/04/2023)")</f>
        <v>Uncle Sams Cider (04/04/2023)</v>
      </c>
      <c r="H6256" s="19"/>
    </row>
    <row r="6257">
      <c r="A6257" s="9"/>
      <c r="B6257" s="15"/>
      <c r="C6257" s="9">
        <f>IFERROR(__xludf.DUMMYFUNCTION("""COMPUTED_VALUE"""),45078.9552004861)</f>
        <v>45078.9552</v>
      </c>
      <c r="D6257" s="15">
        <f>IFERROR(__xludf.DUMMYFUNCTION("""COMPUTED_VALUE"""),1.007)</f>
        <v>1.007</v>
      </c>
      <c r="E6257" s="16">
        <f>IFERROR(__xludf.DUMMYFUNCTION("""COMPUTED_VALUE"""),65.0)</f>
        <v>65</v>
      </c>
      <c r="F6257" s="19" t="str">
        <f>IFERROR(__xludf.DUMMYFUNCTION("""COMPUTED_VALUE"""),"BLUE")</f>
        <v>BLUE</v>
      </c>
      <c r="G6257" s="20" t="str">
        <f>IFERROR(__xludf.DUMMYFUNCTION("""COMPUTED_VALUE"""),"Uncle Sams Cider (04/04/2023)")</f>
        <v>Uncle Sams Cider (04/04/2023)</v>
      </c>
      <c r="H6257" s="19"/>
    </row>
    <row r="6258">
      <c r="A6258" s="9"/>
      <c r="B6258" s="15"/>
      <c r="C6258" s="9">
        <f>IFERROR(__xludf.DUMMYFUNCTION("""COMPUTED_VALUE"""),45078.9447782986)</f>
        <v>45078.94478</v>
      </c>
      <c r="D6258" s="15">
        <f>IFERROR(__xludf.DUMMYFUNCTION("""COMPUTED_VALUE"""),1.007)</f>
        <v>1.007</v>
      </c>
      <c r="E6258" s="16">
        <f>IFERROR(__xludf.DUMMYFUNCTION("""COMPUTED_VALUE"""),65.0)</f>
        <v>65</v>
      </c>
      <c r="F6258" s="19" t="str">
        <f>IFERROR(__xludf.DUMMYFUNCTION("""COMPUTED_VALUE"""),"BLUE")</f>
        <v>BLUE</v>
      </c>
      <c r="G6258" s="20" t="str">
        <f>IFERROR(__xludf.DUMMYFUNCTION("""COMPUTED_VALUE"""),"Uncle Sams Cider (04/04/2023)")</f>
        <v>Uncle Sams Cider (04/04/2023)</v>
      </c>
      <c r="H6258" s="19"/>
    </row>
    <row r="6259">
      <c r="A6259" s="9"/>
      <c r="B6259" s="15"/>
      <c r="C6259" s="9">
        <f>IFERROR(__xludf.DUMMYFUNCTION("""COMPUTED_VALUE"""),45078.9343444676)</f>
        <v>45078.93434</v>
      </c>
      <c r="D6259" s="15">
        <f>IFERROR(__xludf.DUMMYFUNCTION("""COMPUTED_VALUE"""),1.007)</f>
        <v>1.007</v>
      </c>
      <c r="E6259" s="16">
        <f>IFERROR(__xludf.DUMMYFUNCTION("""COMPUTED_VALUE"""),65.0)</f>
        <v>65</v>
      </c>
      <c r="F6259" s="19" t="str">
        <f>IFERROR(__xludf.DUMMYFUNCTION("""COMPUTED_VALUE"""),"BLUE")</f>
        <v>BLUE</v>
      </c>
      <c r="G6259" s="20" t="str">
        <f>IFERROR(__xludf.DUMMYFUNCTION("""COMPUTED_VALUE"""),"Uncle Sams Cider (04/04/2023)")</f>
        <v>Uncle Sams Cider (04/04/2023)</v>
      </c>
      <c r="H6259" s="19"/>
    </row>
    <row r="6260">
      <c r="A6260" s="9"/>
      <c r="B6260" s="15"/>
      <c r="C6260" s="9">
        <f>IFERROR(__xludf.DUMMYFUNCTION("""COMPUTED_VALUE"""),45078.9239241898)</f>
        <v>45078.92392</v>
      </c>
      <c r="D6260" s="15">
        <f>IFERROR(__xludf.DUMMYFUNCTION("""COMPUTED_VALUE"""),1.007)</f>
        <v>1.007</v>
      </c>
      <c r="E6260" s="16">
        <f>IFERROR(__xludf.DUMMYFUNCTION("""COMPUTED_VALUE"""),65.0)</f>
        <v>65</v>
      </c>
      <c r="F6260" s="19" t="str">
        <f>IFERROR(__xludf.DUMMYFUNCTION("""COMPUTED_VALUE"""),"BLUE")</f>
        <v>BLUE</v>
      </c>
      <c r="G6260" s="20" t="str">
        <f>IFERROR(__xludf.DUMMYFUNCTION("""COMPUTED_VALUE"""),"Uncle Sams Cider (04/04/2023)")</f>
        <v>Uncle Sams Cider (04/04/2023)</v>
      </c>
      <c r="H6260" s="19"/>
    </row>
    <row r="6261">
      <c r="A6261" s="9"/>
      <c r="B6261" s="15"/>
      <c r="C6261" s="9">
        <f>IFERROR(__xludf.DUMMYFUNCTION("""COMPUTED_VALUE"""),45078.9135025578)</f>
        <v>45078.9135</v>
      </c>
      <c r="D6261" s="15">
        <f>IFERROR(__xludf.DUMMYFUNCTION("""COMPUTED_VALUE"""),1.007)</f>
        <v>1.007</v>
      </c>
      <c r="E6261" s="16">
        <f>IFERROR(__xludf.DUMMYFUNCTION("""COMPUTED_VALUE"""),65.0)</f>
        <v>65</v>
      </c>
      <c r="F6261" s="19" t="str">
        <f>IFERROR(__xludf.DUMMYFUNCTION("""COMPUTED_VALUE"""),"BLUE")</f>
        <v>BLUE</v>
      </c>
      <c r="G6261" s="20" t="str">
        <f>IFERROR(__xludf.DUMMYFUNCTION("""COMPUTED_VALUE"""),"Uncle Sams Cider (04/04/2023)")</f>
        <v>Uncle Sams Cider (04/04/2023)</v>
      </c>
      <c r="H6261" s="19"/>
    </row>
    <row r="6262">
      <c r="A6262" s="9"/>
      <c r="B6262" s="15"/>
      <c r="C6262" s="9">
        <f>IFERROR(__xludf.DUMMYFUNCTION("""COMPUTED_VALUE"""),45078.9030819213)</f>
        <v>45078.90308</v>
      </c>
      <c r="D6262" s="15">
        <f>IFERROR(__xludf.DUMMYFUNCTION("""COMPUTED_VALUE"""),1.007)</f>
        <v>1.007</v>
      </c>
      <c r="E6262" s="16">
        <f>IFERROR(__xludf.DUMMYFUNCTION("""COMPUTED_VALUE"""),65.0)</f>
        <v>65</v>
      </c>
      <c r="F6262" s="19" t="str">
        <f>IFERROR(__xludf.DUMMYFUNCTION("""COMPUTED_VALUE"""),"BLUE")</f>
        <v>BLUE</v>
      </c>
      <c r="G6262" s="20" t="str">
        <f>IFERROR(__xludf.DUMMYFUNCTION("""COMPUTED_VALUE"""),"Uncle Sams Cider (04/04/2023)")</f>
        <v>Uncle Sams Cider (04/04/2023)</v>
      </c>
      <c r="H6262" s="19"/>
    </row>
    <row r="6263">
      <c r="A6263" s="9"/>
      <c r="B6263" s="15"/>
      <c r="C6263" s="9">
        <f>IFERROR(__xludf.DUMMYFUNCTION("""COMPUTED_VALUE"""),45078.8926509953)</f>
        <v>45078.89265</v>
      </c>
      <c r="D6263" s="15">
        <f>IFERROR(__xludf.DUMMYFUNCTION("""COMPUTED_VALUE"""),1.007)</f>
        <v>1.007</v>
      </c>
      <c r="E6263" s="16">
        <f>IFERROR(__xludf.DUMMYFUNCTION("""COMPUTED_VALUE"""),65.0)</f>
        <v>65</v>
      </c>
      <c r="F6263" s="19" t="str">
        <f>IFERROR(__xludf.DUMMYFUNCTION("""COMPUTED_VALUE"""),"BLUE")</f>
        <v>BLUE</v>
      </c>
      <c r="G6263" s="20" t="str">
        <f>IFERROR(__xludf.DUMMYFUNCTION("""COMPUTED_VALUE"""),"Uncle Sams Cider (04/04/2023)")</f>
        <v>Uncle Sams Cider (04/04/2023)</v>
      </c>
      <c r="H6263" s="19"/>
    </row>
    <row r="6264">
      <c r="A6264" s="9"/>
      <c r="B6264" s="15"/>
      <c r="C6264" s="9">
        <f>IFERROR(__xludf.DUMMYFUNCTION("""COMPUTED_VALUE"""),45078.8822303472)</f>
        <v>45078.88223</v>
      </c>
      <c r="D6264" s="15">
        <f>IFERROR(__xludf.DUMMYFUNCTION("""COMPUTED_VALUE"""),1.007)</f>
        <v>1.007</v>
      </c>
      <c r="E6264" s="16">
        <f>IFERROR(__xludf.DUMMYFUNCTION("""COMPUTED_VALUE"""),65.0)</f>
        <v>65</v>
      </c>
      <c r="F6264" s="19" t="str">
        <f>IFERROR(__xludf.DUMMYFUNCTION("""COMPUTED_VALUE"""),"BLUE")</f>
        <v>BLUE</v>
      </c>
      <c r="G6264" s="20" t="str">
        <f>IFERROR(__xludf.DUMMYFUNCTION("""COMPUTED_VALUE"""),"Uncle Sams Cider (04/04/2023)")</f>
        <v>Uncle Sams Cider (04/04/2023)</v>
      </c>
      <c r="H6264" s="19"/>
    </row>
    <row r="6265">
      <c r="A6265" s="9"/>
      <c r="B6265" s="15"/>
      <c r="C6265" s="9">
        <f>IFERROR(__xludf.DUMMYFUNCTION("""COMPUTED_VALUE"""),45078.8718086574)</f>
        <v>45078.87181</v>
      </c>
      <c r="D6265" s="15">
        <f>IFERROR(__xludf.DUMMYFUNCTION("""COMPUTED_VALUE"""),1.006)</f>
        <v>1.006</v>
      </c>
      <c r="E6265" s="16">
        <f>IFERROR(__xludf.DUMMYFUNCTION("""COMPUTED_VALUE"""),65.0)</f>
        <v>65</v>
      </c>
      <c r="F6265" s="19" t="str">
        <f>IFERROR(__xludf.DUMMYFUNCTION("""COMPUTED_VALUE"""),"BLUE")</f>
        <v>BLUE</v>
      </c>
      <c r="G6265" s="20" t="str">
        <f>IFERROR(__xludf.DUMMYFUNCTION("""COMPUTED_VALUE"""),"Uncle Sams Cider (04/04/2023)")</f>
        <v>Uncle Sams Cider (04/04/2023)</v>
      </c>
      <c r="H6265" s="19"/>
    </row>
    <row r="6266">
      <c r="A6266" s="9"/>
      <c r="B6266" s="15"/>
      <c r="C6266" s="9">
        <f>IFERROR(__xludf.DUMMYFUNCTION("""COMPUTED_VALUE"""),45078.8613866666)</f>
        <v>45078.86139</v>
      </c>
      <c r="D6266" s="15">
        <f>IFERROR(__xludf.DUMMYFUNCTION("""COMPUTED_VALUE"""),1.007)</f>
        <v>1.007</v>
      </c>
      <c r="E6266" s="16">
        <f>IFERROR(__xludf.DUMMYFUNCTION("""COMPUTED_VALUE"""),65.0)</f>
        <v>65</v>
      </c>
      <c r="F6266" s="19" t="str">
        <f>IFERROR(__xludf.DUMMYFUNCTION("""COMPUTED_VALUE"""),"BLUE")</f>
        <v>BLUE</v>
      </c>
      <c r="G6266" s="20" t="str">
        <f>IFERROR(__xludf.DUMMYFUNCTION("""COMPUTED_VALUE"""),"Uncle Sams Cider (04/04/2023)")</f>
        <v>Uncle Sams Cider (04/04/2023)</v>
      </c>
      <c r="H6266" s="19"/>
    </row>
    <row r="6267">
      <c r="A6267" s="9"/>
      <c r="B6267" s="15"/>
      <c r="C6267" s="9">
        <f>IFERROR(__xludf.DUMMYFUNCTION("""COMPUTED_VALUE"""),45078.8509642476)</f>
        <v>45078.85096</v>
      </c>
      <c r="D6267" s="15">
        <f>IFERROR(__xludf.DUMMYFUNCTION("""COMPUTED_VALUE"""),1.007)</f>
        <v>1.007</v>
      </c>
      <c r="E6267" s="16">
        <f>IFERROR(__xludf.DUMMYFUNCTION("""COMPUTED_VALUE"""),65.0)</f>
        <v>65</v>
      </c>
      <c r="F6267" s="19" t="str">
        <f>IFERROR(__xludf.DUMMYFUNCTION("""COMPUTED_VALUE"""),"BLUE")</f>
        <v>BLUE</v>
      </c>
      <c r="G6267" s="20" t="str">
        <f>IFERROR(__xludf.DUMMYFUNCTION("""COMPUTED_VALUE"""),"Uncle Sams Cider (04/04/2023)")</f>
        <v>Uncle Sams Cider (04/04/2023)</v>
      </c>
      <c r="H6267" s="19"/>
    </row>
    <row r="6268">
      <c r="A6268" s="9"/>
      <c r="B6268" s="15"/>
      <c r="C6268" s="9">
        <f>IFERROR(__xludf.DUMMYFUNCTION("""COMPUTED_VALUE"""),45078.8405305555)</f>
        <v>45078.84053</v>
      </c>
      <c r="D6268" s="15">
        <f>IFERROR(__xludf.DUMMYFUNCTION("""COMPUTED_VALUE"""),1.007)</f>
        <v>1.007</v>
      </c>
      <c r="E6268" s="16">
        <f>IFERROR(__xludf.DUMMYFUNCTION("""COMPUTED_VALUE"""),65.0)</f>
        <v>65</v>
      </c>
      <c r="F6268" s="19" t="str">
        <f>IFERROR(__xludf.DUMMYFUNCTION("""COMPUTED_VALUE"""),"BLUE")</f>
        <v>BLUE</v>
      </c>
      <c r="G6268" s="20" t="str">
        <f>IFERROR(__xludf.DUMMYFUNCTION("""COMPUTED_VALUE"""),"Uncle Sams Cider (04/04/2023)")</f>
        <v>Uncle Sams Cider (04/04/2023)</v>
      </c>
      <c r="H6268" s="19"/>
    </row>
    <row r="6269">
      <c r="A6269" s="9"/>
      <c r="B6269" s="15"/>
      <c r="C6269" s="9">
        <f>IFERROR(__xludf.DUMMYFUNCTION("""COMPUTED_VALUE"""),45078.8301094675)</f>
        <v>45078.83011</v>
      </c>
      <c r="D6269" s="15">
        <f>IFERROR(__xludf.DUMMYFUNCTION("""COMPUTED_VALUE"""),1.007)</f>
        <v>1.007</v>
      </c>
      <c r="E6269" s="16">
        <f>IFERROR(__xludf.DUMMYFUNCTION("""COMPUTED_VALUE"""),65.0)</f>
        <v>65</v>
      </c>
      <c r="F6269" s="19" t="str">
        <f>IFERROR(__xludf.DUMMYFUNCTION("""COMPUTED_VALUE"""),"BLUE")</f>
        <v>BLUE</v>
      </c>
      <c r="G6269" s="20" t="str">
        <f>IFERROR(__xludf.DUMMYFUNCTION("""COMPUTED_VALUE"""),"Uncle Sams Cider (04/04/2023)")</f>
        <v>Uncle Sams Cider (04/04/2023)</v>
      </c>
      <c r="H6269" s="19"/>
    </row>
    <row r="6270">
      <c r="A6270" s="9"/>
      <c r="B6270" s="15"/>
      <c r="C6270" s="9">
        <f>IFERROR(__xludf.DUMMYFUNCTION("""COMPUTED_VALUE"""),45078.8196892129)</f>
        <v>45078.81969</v>
      </c>
      <c r="D6270" s="15">
        <f>IFERROR(__xludf.DUMMYFUNCTION("""COMPUTED_VALUE"""),1.007)</f>
        <v>1.007</v>
      </c>
      <c r="E6270" s="16">
        <f>IFERROR(__xludf.DUMMYFUNCTION("""COMPUTED_VALUE"""),65.0)</f>
        <v>65</v>
      </c>
      <c r="F6270" s="19" t="str">
        <f>IFERROR(__xludf.DUMMYFUNCTION("""COMPUTED_VALUE"""),"BLUE")</f>
        <v>BLUE</v>
      </c>
      <c r="G6270" s="20" t="str">
        <f>IFERROR(__xludf.DUMMYFUNCTION("""COMPUTED_VALUE"""),"Uncle Sams Cider (04/04/2023)")</f>
        <v>Uncle Sams Cider (04/04/2023)</v>
      </c>
      <c r="H6270" s="19"/>
    </row>
    <row r="6271">
      <c r="A6271" s="9"/>
      <c r="B6271" s="15"/>
      <c r="C6271" s="9">
        <f>IFERROR(__xludf.DUMMYFUNCTION("""COMPUTED_VALUE"""),45078.8092678935)</f>
        <v>45078.80927</v>
      </c>
      <c r="D6271" s="15">
        <f>IFERROR(__xludf.DUMMYFUNCTION("""COMPUTED_VALUE"""),1.007)</f>
        <v>1.007</v>
      </c>
      <c r="E6271" s="16">
        <f>IFERROR(__xludf.DUMMYFUNCTION("""COMPUTED_VALUE"""),65.0)</f>
        <v>65</v>
      </c>
      <c r="F6271" s="19" t="str">
        <f>IFERROR(__xludf.DUMMYFUNCTION("""COMPUTED_VALUE"""),"BLUE")</f>
        <v>BLUE</v>
      </c>
      <c r="G6271" s="20" t="str">
        <f>IFERROR(__xludf.DUMMYFUNCTION("""COMPUTED_VALUE"""),"Uncle Sams Cider (04/04/2023)")</f>
        <v>Uncle Sams Cider (04/04/2023)</v>
      </c>
      <c r="H6271" s="19"/>
    </row>
    <row r="6272">
      <c r="A6272" s="9"/>
      <c r="B6272" s="15"/>
      <c r="C6272" s="9">
        <f>IFERROR(__xludf.DUMMYFUNCTION("""COMPUTED_VALUE"""),45078.798845868)</f>
        <v>45078.79885</v>
      </c>
      <c r="D6272" s="15">
        <f>IFERROR(__xludf.DUMMYFUNCTION("""COMPUTED_VALUE"""),1.007)</f>
        <v>1.007</v>
      </c>
      <c r="E6272" s="16">
        <f>IFERROR(__xludf.DUMMYFUNCTION("""COMPUTED_VALUE"""),65.0)</f>
        <v>65</v>
      </c>
      <c r="F6272" s="19" t="str">
        <f>IFERROR(__xludf.DUMMYFUNCTION("""COMPUTED_VALUE"""),"BLUE")</f>
        <v>BLUE</v>
      </c>
      <c r="G6272" s="20" t="str">
        <f>IFERROR(__xludf.DUMMYFUNCTION("""COMPUTED_VALUE"""),"Uncle Sams Cider (04/04/2023)")</f>
        <v>Uncle Sams Cider (04/04/2023)</v>
      </c>
      <c r="H6272" s="19"/>
    </row>
    <row r="6273">
      <c r="A6273" s="9"/>
      <c r="B6273" s="15"/>
      <c r="C6273" s="9">
        <f>IFERROR(__xludf.DUMMYFUNCTION("""COMPUTED_VALUE"""),45078.7884142013)</f>
        <v>45078.78841</v>
      </c>
      <c r="D6273" s="15">
        <f>IFERROR(__xludf.DUMMYFUNCTION("""COMPUTED_VALUE"""),1.007)</f>
        <v>1.007</v>
      </c>
      <c r="E6273" s="16">
        <f>IFERROR(__xludf.DUMMYFUNCTION("""COMPUTED_VALUE"""),65.0)</f>
        <v>65</v>
      </c>
      <c r="F6273" s="19" t="str">
        <f>IFERROR(__xludf.DUMMYFUNCTION("""COMPUTED_VALUE"""),"BLUE")</f>
        <v>BLUE</v>
      </c>
      <c r="G6273" s="20" t="str">
        <f>IFERROR(__xludf.DUMMYFUNCTION("""COMPUTED_VALUE"""),"Uncle Sams Cider (04/04/2023)")</f>
        <v>Uncle Sams Cider (04/04/2023)</v>
      </c>
      <c r="H6273" s="19"/>
    </row>
    <row r="6274">
      <c r="A6274" s="9"/>
      <c r="B6274" s="15"/>
      <c r="C6274" s="9">
        <f>IFERROR(__xludf.DUMMYFUNCTION("""COMPUTED_VALUE"""),45078.777993912)</f>
        <v>45078.77799</v>
      </c>
      <c r="D6274" s="15">
        <f>IFERROR(__xludf.DUMMYFUNCTION("""COMPUTED_VALUE"""),1.007)</f>
        <v>1.007</v>
      </c>
      <c r="E6274" s="16">
        <f>IFERROR(__xludf.DUMMYFUNCTION("""COMPUTED_VALUE"""),65.0)</f>
        <v>65</v>
      </c>
      <c r="F6274" s="19" t="str">
        <f>IFERROR(__xludf.DUMMYFUNCTION("""COMPUTED_VALUE"""),"BLUE")</f>
        <v>BLUE</v>
      </c>
      <c r="G6274" s="20" t="str">
        <f>IFERROR(__xludf.DUMMYFUNCTION("""COMPUTED_VALUE"""),"Uncle Sams Cider (04/04/2023)")</f>
        <v>Uncle Sams Cider (04/04/2023)</v>
      </c>
      <c r="H6274" s="19"/>
    </row>
    <row r="6275">
      <c r="A6275" s="9"/>
      <c r="B6275" s="15"/>
      <c r="C6275" s="9">
        <f>IFERROR(__xludf.DUMMYFUNCTION("""COMPUTED_VALUE"""),45078.7675710416)</f>
        <v>45078.76757</v>
      </c>
      <c r="D6275" s="15">
        <f>IFERROR(__xludf.DUMMYFUNCTION("""COMPUTED_VALUE"""),1.007)</f>
        <v>1.007</v>
      </c>
      <c r="E6275" s="16">
        <f>IFERROR(__xludf.DUMMYFUNCTION("""COMPUTED_VALUE"""),65.0)</f>
        <v>65</v>
      </c>
      <c r="F6275" s="19" t="str">
        <f>IFERROR(__xludf.DUMMYFUNCTION("""COMPUTED_VALUE"""),"BLUE")</f>
        <v>BLUE</v>
      </c>
      <c r="G6275" s="20" t="str">
        <f>IFERROR(__xludf.DUMMYFUNCTION("""COMPUTED_VALUE"""),"Uncle Sams Cider (04/04/2023)")</f>
        <v>Uncle Sams Cider (04/04/2023)</v>
      </c>
      <c r="H6275" s="19"/>
    </row>
    <row r="6276">
      <c r="A6276" s="9"/>
      <c r="B6276" s="15"/>
      <c r="C6276" s="9">
        <f>IFERROR(__xludf.DUMMYFUNCTION("""COMPUTED_VALUE"""),45078.757127824)</f>
        <v>45078.75713</v>
      </c>
      <c r="D6276" s="15">
        <f>IFERROR(__xludf.DUMMYFUNCTION("""COMPUTED_VALUE"""),1.007)</f>
        <v>1.007</v>
      </c>
      <c r="E6276" s="16">
        <f>IFERROR(__xludf.DUMMYFUNCTION("""COMPUTED_VALUE"""),65.0)</f>
        <v>65</v>
      </c>
      <c r="F6276" s="19" t="str">
        <f>IFERROR(__xludf.DUMMYFUNCTION("""COMPUTED_VALUE"""),"BLUE")</f>
        <v>BLUE</v>
      </c>
      <c r="G6276" s="20" t="str">
        <f>IFERROR(__xludf.DUMMYFUNCTION("""COMPUTED_VALUE"""),"Uncle Sams Cider (04/04/2023)")</f>
        <v>Uncle Sams Cider (04/04/2023)</v>
      </c>
      <c r="H6276" s="19"/>
    </row>
    <row r="6277">
      <c r="A6277" s="9"/>
      <c r="B6277" s="15"/>
      <c r="C6277" s="9">
        <f>IFERROR(__xludf.DUMMYFUNCTION("""COMPUTED_VALUE"""),45078.7467052083)</f>
        <v>45078.74671</v>
      </c>
      <c r="D6277" s="15">
        <f>IFERROR(__xludf.DUMMYFUNCTION("""COMPUTED_VALUE"""),1.007)</f>
        <v>1.007</v>
      </c>
      <c r="E6277" s="16">
        <f>IFERROR(__xludf.DUMMYFUNCTION("""COMPUTED_VALUE"""),65.0)</f>
        <v>65</v>
      </c>
      <c r="F6277" s="19" t="str">
        <f>IFERROR(__xludf.DUMMYFUNCTION("""COMPUTED_VALUE"""),"BLUE")</f>
        <v>BLUE</v>
      </c>
      <c r="G6277" s="20" t="str">
        <f>IFERROR(__xludf.DUMMYFUNCTION("""COMPUTED_VALUE"""),"Uncle Sams Cider (04/04/2023)")</f>
        <v>Uncle Sams Cider (04/04/2023)</v>
      </c>
      <c r="H6277" s="19"/>
    </row>
    <row r="6278">
      <c r="A6278" s="9"/>
      <c r="B6278" s="15"/>
      <c r="C6278" s="9">
        <f>IFERROR(__xludf.DUMMYFUNCTION("""COMPUTED_VALUE"""),45078.7362844907)</f>
        <v>45078.73628</v>
      </c>
      <c r="D6278" s="15">
        <f>IFERROR(__xludf.DUMMYFUNCTION("""COMPUTED_VALUE"""),1.007)</f>
        <v>1.007</v>
      </c>
      <c r="E6278" s="16">
        <f>IFERROR(__xludf.DUMMYFUNCTION("""COMPUTED_VALUE"""),65.0)</f>
        <v>65</v>
      </c>
      <c r="F6278" s="19" t="str">
        <f>IFERROR(__xludf.DUMMYFUNCTION("""COMPUTED_VALUE"""),"BLUE")</f>
        <v>BLUE</v>
      </c>
      <c r="G6278" s="20" t="str">
        <f>IFERROR(__xludf.DUMMYFUNCTION("""COMPUTED_VALUE"""),"Uncle Sams Cider (04/04/2023)")</f>
        <v>Uncle Sams Cider (04/04/2023)</v>
      </c>
      <c r="H6278" s="19"/>
    </row>
    <row r="6279">
      <c r="A6279" s="9"/>
      <c r="B6279" s="15"/>
      <c r="C6279" s="9">
        <f>IFERROR(__xludf.DUMMYFUNCTION("""COMPUTED_VALUE"""),45078.7258649537)</f>
        <v>45078.72586</v>
      </c>
      <c r="D6279" s="15">
        <f>IFERROR(__xludf.DUMMYFUNCTION("""COMPUTED_VALUE"""),1.007)</f>
        <v>1.007</v>
      </c>
      <c r="E6279" s="16">
        <f>IFERROR(__xludf.DUMMYFUNCTION("""COMPUTED_VALUE"""),65.0)</f>
        <v>65</v>
      </c>
      <c r="F6279" s="19" t="str">
        <f>IFERROR(__xludf.DUMMYFUNCTION("""COMPUTED_VALUE"""),"BLUE")</f>
        <v>BLUE</v>
      </c>
      <c r="G6279" s="20" t="str">
        <f>IFERROR(__xludf.DUMMYFUNCTION("""COMPUTED_VALUE"""),"Uncle Sams Cider (04/04/2023)")</f>
        <v>Uncle Sams Cider (04/04/2023)</v>
      </c>
      <c r="H6279" s="19"/>
    </row>
    <row r="6280">
      <c r="A6280" s="9"/>
      <c r="B6280" s="15"/>
      <c r="C6280" s="9">
        <f>IFERROR(__xludf.DUMMYFUNCTION("""COMPUTED_VALUE"""),45078.7154446643)</f>
        <v>45078.71544</v>
      </c>
      <c r="D6280" s="15">
        <f>IFERROR(__xludf.DUMMYFUNCTION("""COMPUTED_VALUE"""),1.007)</f>
        <v>1.007</v>
      </c>
      <c r="E6280" s="16">
        <f>IFERROR(__xludf.DUMMYFUNCTION("""COMPUTED_VALUE"""),65.0)</f>
        <v>65</v>
      </c>
      <c r="F6280" s="19" t="str">
        <f>IFERROR(__xludf.DUMMYFUNCTION("""COMPUTED_VALUE"""),"BLUE")</f>
        <v>BLUE</v>
      </c>
      <c r="G6280" s="20" t="str">
        <f>IFERROR(__xludf.DUMMYFUNCTION("""COMPUTED_VALUE"""),"Uncle Sams Cider (04/04/2023)")</f>
        <v>Uncle Sams Cider (04/04/2023)</v>
      </c>
      <c r="H6280" s="19"/>
    </row>
    <row r="6281">
      <c r="A6281" s="9"/>
      <c r="B6281" s="15"/>
      <c r="C6281" s="9">
        <f>IFERROR(__xludf.DUMMYFUNCTION("""COMPUTED_VALUE"""),45078.7050225694)</f>
        <v>45078.70502</v>
      </c>
      <c r="D6281" s="15">
        <f>IFERROR(__xludf.DUMMYFUNCTION("""COMPUTED_VALUE"""),1.007)</f>
        <v>1.007</v>
      </c>
      <c r="E6281" s="16">
        <f>IFERROR(__xludf.DUMMYFUNCTION("""COMPUTED_VALUE"""),65.0)</f>
        <v>65</v>
      </c>
      <c r="F6281" s="19" t="str">
        <f>IFERROR(__xludf.DUMMYFUNCTION("""COMPUTED_VALUE"""),"BLUE")</f>
        <v>BLUE</v>
      </c>
      <c r="G6281" s="20" t="str">
        <f>IFERROR(__xludf.DUMMYFUNCTION("""COMPUTED_VALUE"""),"Uncle Sams Cider (04/04/2023)")</f>
        <v>Uncle Sams Cider (04/04/2023)</v>
      </c>
      <c r="H6281" s="19"/>
    </row>
    <row r="6282">
      <c r="A6282" s="9"/>
      <c r="B6282" s="15"/>
      <c r="C6282" s="9">
        <f>IFERROR(__xludf.DUMMYFUNCTION("""COMPUTED_VALUE"""),45078.6946000694)</f>
        <v>45078.6946</v>
      </c>
      <c r="D6282" s="15">
        <f>IFERROR(__xludf.DUMMYFUNCTION("""COMPUTED_VALUE"""),1.007)</f>
        <v>1.007</v>
      </c>
      <c r="E6282" s="16">
        <f>IFERROR(__xludf.DUMMYFUNCTION("""COMPUTED_VALUE"""),65.0)</f>
        <v>65</v>
      </c>
      <c r="F6282" s="19" t="str">
        <f>IFERROR(__xludf.DUMMYFUNCTION("""COMPUTED_VALUE"""),"BLUE")</f>
        <v>BLUE</v>
      </c>
      <c r="G6282" s="20" t="str">
        <f>IFERROR(__xludf.DUMMYFUNCTION("""COMPUTED_VALUE"""),"Uncle Sams Cider (04/04/2023)")</f>
        <v>Uncle Sams Cider (04/04/2023)</v>
      </c>
      <c r="H6282" s="19"/>
    </row>
    <row r="6283">
      <c r="A6283" s="9"/>
      <c r="B6283" s="15"/>
      <c r="C6283" s="9">
        <f>IFERROR(__xludf.DUMMYFUNCTION("""COMPUTED_VALUE"""),45078.6841792939)</f>
        <v>45078.68418</v>
      </c>
      <c r="D6283" s="15">
        <f>IFERROR(__xludf.DUMMYFUNCTION("""COMPUTED_VALUE"""),1.007)</f>
        <v>1.007</v>
      </c>
      <c r="E6283" s="16">
        <f>IFERROR(__xludf.DUMMYFUNCTION("""COMPUTED_VALUE"""),65.0)</f>
        <v>65</v>
      </c>
      <c r="F6283" s="19" t="str">
        <f>IFERROR(__xludf.DUMMYFUNCTION("""COMPUTED_VALUE"""),"BLUE")</f>
        <v>BLUE</v>
      </c>
      <c r="G6283" s="20" t="str">
        <f>IFERROR(__xludf.DUMMYFUNCTION("""COMPUTED_VALUE"""),"Uncle Sams Cider (04/04/2023)")</f>
        <v>Uncle Sams Cider (04/04/2023)</v>
      </c>
      <c r="H6283" s="19"/>
    </row>
    <row r="6284">
      <c r="A6284" s="9"/>
      <c r="B6284" s="15"/>
      <c r="C6284" s="9">
        <f>IFERROR(__xludf.DUMMYFUNCTION("""COMPUTED_VALUE"""),45078.6737471643)</f>
        <v>45078.67375</v>
      </c>
      <c r="D6284" s="15">
        <f>IFERROR(__xludf.DUMMYFUNCTION("""COMPUTED_VALUE"""),1.007)</f>
        <v>1.007</v>
      </c>
      <c r="E6284" s="16">
        <f>IFERROR(__xludf.DUMMYFUNCTION("""COMPUTED_VALUE"""),65.0)</f>
        <v>65</v>
      </c>
      <c r="F6284" s="19" t="str">
        <f>IFERROR(__xludf.DUMMYFUNCTION("""COMPUTED_VALUE"""),"BLUE")</f>
        <v>BLUE</v>
      </c>
      <c r="G6284" s="20" t="str">
        <f>IFERROR(__xludf.DUMMYFUNCTION("""COMPUTED_VALUE"""),"Uncle Sams Cider (04/04/2023)")</f>
        <v>Uncle Sams Cider (04/04/2023)</v>
      </c>
      <c r="H6284" s="19"/>
    </row>
    <row r="6285">
      <c r="A6285" s="9"/>
      <c r="B6285" s="15"/>
      <c r="C6285" s="9">
        <f>IFERROR(__xludf.DUMMYFUNCTION("""COMPUTED_VALUE"""),45078.6632920023)</f>
        <v>45078.66329</v>
      </c>
      <c r="D6285" s="15">
        <f>IFERROR(__xludf.DUMMYFUNCTION("""COMPUTED_VALUE"""),1.007)</f>
        <v>1.007</v>
      </c>
      <c r="E6285" s="16">
        <f>IFERROR(__xludf.DUMMYFUNCTION("""COMPUTED_VALUE"""),65.0)</f>
        <v>65</v>
      </c>
      <c r="F6285" s="19" t="str">
        <f>IFERROR(__xludf.DUMMYFUNCTION("""COMPUTED_VALUE"""),"BLUE")</f>
        <v>BLUE</v>
      </c>
      <c r="G6285" s="20" t="str">
        <f>IFERROR(__xludf.DUMMYFUNCTION("""COMPUTED_VALUE"""),"Uncle Sams Cider (04/04/2023)")</f>
        <v>Uncle Sams Cider (04/04/2023)</v>
      </c>
      <c r="H6285" s="19"/>
    </row>
    <row r="6286">
      <c r="A6286" s="9"/>
      <c r="B6286" s="15"/>
      <c r="C6286" s="9">
        <f>IFERROR(__xludf.DUMMYFUNCTION("""COMPUTED_VALUE"""),45078.6528717708)</f>
        <v>45078.65287</v>
      </c>
      <c r="D6286" s="15">
        <f>IFERROR(__xludf.DUMMYFUNCTION("""COMPUTED_VALUE"""),1.007)</f>
        <v>1.007</v>
      </c>
      <c r="E6286" s="16">
        <f>IFERROR(__xludf.DUMMYFUNCTION("""COMPUTED_VALUE"""),65.0)</f>
        <v>65</v>
      </c>
      <c r="F6286" s="19" t="str">
        <f>IFERROR(__xludf.DUMMYFUNCTION("""COMPUTED_VALUE"""),"BLUE")</f>
        <v>BLUE</v>
      </c>
      <c r="G6286" s="20" t="str">
        <f>IFERROR(__xludf.DUMMYFUNCTION("""COMPUTED_VALUE"""),"Uncle Sams Cider (04/04/2023)")</f>
        <v>Uncle Sams Cider (04/04/2023)</v>
      </c>
      <c r="H6286" s="19"/>
    </row>
    <row r="6287">
      <c r="A6287" s="9"/>
      <c r="B6287" s="15"/>
      <c r="C6287" s="9">
        <f>IFERROR(__xludf.DUMMYFUNCTION("""COMPUTED_VALUE"""),45078.6424493981)</f>
        <v>45078.64245</v>
      </c>
      <c r="D6287" s="15">
        <f>IFERROR(__xludf.DUMMYFUNCTION("""COMPUTED_VALUE"""),1.007)</f>
        <v>1.007</v>
      </c>
      <c r="E6287" s="16">
        <f>IFERROR(__xludf.DUMMYFUNCTION("""COMPUTED_VALUE"""),65.0)</f>
        <v>65</v>
      </c>
      <c r="F6287" s="19" t="str">
        <f>IFERROR(__xludf.DUMMYFUNCTION("""COMPUTED_VALUE"""),"BLUE")</f>
        <v>BLUE</v>
      </c>
      <c r="G6287" s="20" t="str">
        <f>IFERROR(__xludf.DUMMYFUNCTION("""COMPUTED_VALUE"""),"Uncle Sams Cider (04/04/2023)")</f>
        <v>Uncle Sams Cider (04/04/2023)</v>
      </c>
      <c r="H6287" s="19"/>
    </row>
    <row r="6288">
      <c r="A6288" s="9"/>
      <c r="B6288" s="15"/>
      <c r="C6288" s="9">
        <f>IFERROR(__xludf.DUMMYFUNCTION("""COMPUTED_VALUE"""),45078.6320057291)</f>
        <v>45078.63201</v>
      </c>
      <c r="D6288" s="15">
        <f>IFERROR(__xludf.DUMMYFUNCTION("""COMPUTED_VALUE"""),1.007)</f>
        <v>1.007</v>
      </c>
      <c r="E6288" s="16">
        <f>IFERROR(__xludf.DUMMYFUNCTION("""COMPUTED_VALUE"""),65.0)</f>
        <v>65</v>
      </c>
      <c r="F6288" s="19" t="str">
        <f>IFERROR(__xludf.DUMMYFUNCTION("""COMPUTED_VALUE"""),"BLUE")</f>
        <v>BLUE</v>
      </c>
      <c r="G6288" s="20" t="str">
        <f>IFERROR(__xludf.DUMMYFUNCTION("""COMPUTED_VALUE"""),"Uncle Sams Cider (04/04/2023)")</f>
        <v>Uncle Sams Cider (04/04/2023)</v>
      </c>
      <c r="H6288" s="19"/>
    </row>
    <row r="6289">
      <c r="A6289" s="9"/>
      <c r="B6289" s="15"/>
      <c r="C6289" s="9">
        <f>IFERROR(__xludf.DUMMYFUNCTION("""COMPUTED_VALUE"""),45078.6215732291)</f>
        <v>45078.62157</v>
      </c>
      <c r="D6289" s="15">
        <f>IFERROR(__xludf.DUMMYFUNCTION("""COMPUTED_VALUE"""),1.007)</f>
        <v>1.007</v>
      </c>
      <c r="E6289" s="16">
        <f>IFERROR(__xludf.DUMMYFUNCTION("""COMPUTED_VALUE"""),65.0)</f>
        <v>65</v>
      </c>
      <c r="F6289" s="19" t="str">
        <f>IFERROR(__xludf.DUMMYFUNCTION("""COMPUTED_VALUE"""),"BLUE")</f>
        <v>BLUE</v>
      </c>
      <c r="G6289" s="20" t="str">
        <f>IFERROR(__xludf.DUMMYFUNCTION("""COMPUTED_VALUE"""),"Uncle Sams Cider (04/04/2023)")</f>
        <v>Uncle Sams Cider (04/04/2023)</v>
      </c>
      <c r="H6289" s="19"/>
    </row>
    <row r="6290">
      <c r="A6290" s="9"/>
      <c r="B6290" s="15"/>
      <c r="C6290" s="9">
        <f>IFERROR(__xludf.DUMMYFUNCTION("""COMPUTED_VALUE"""),45078.6111157986)</f>
        <v>45078.61112</v>
      </c>
      <c r="D6290" s="15">
        <f>IFERROR(__xludf.DUMMYFUNCTION("""COMPUTED_VALUE"""),1.007)</f>
        <v>1.007</v>
      </c>
      <c r="E6290" s="16">
        <f>IFERROR(__xludf.DUMMYFUNCTION("""COMPUTED_VALUE"""),65.0)</f>
        <v>65</v>
      </c>
      <c r="F6290" s="19" t="str">
        <f>IFERROR(__xludf.DUMMYFUNCTION("""COMPUTED_VALUE"""),"BLUE")</f>
        <v>BLUE</v>
      </c>
      <c r="G6290" s="20" t="str">
        <f>IFERROR(__xludf.DUMMYFUNCTION("""COMPUTED_VALUE"""),"Uncle Sams Cider (04/04/2023)")</f>
        <v>Uncle Sams Cider (04/04/2023)</v>
      </c>
      <c r="H6290" s="19"/>
    </row>
    <row r="6291">
      <c r="A6291" s="9"/>
      <c r="B6291" s="15"/>
      <c r="C6291" s="9">
        <f>IFERROR(__xludf.DUMMYFUNCTION("""COMPUTED_VALUE"""),45078.6006938078)</f>
        <v>45078.60069</v>
      </c>
      <c r="D6291" s="15">
        <f>IFERROR(__xludf.DUMMYFUNCTION("""COMPUTED_VALUE"""),1.007)</f>
        <v>1.007</v>
      </c>
      <c r="E6291" s="16">
        <f>IFERROR(__xludf.DUMMYFUNCTION("""COMPUTED_VALUE"""),65.0)</f>
        <v>65</v>
      </c>
      <c r="F6291" s="19" t="str">
        <f>IFERROR(__xludf.DUMMYFUNCTION("""COMPUTED_VALUE"""),"BLUE")</f>
        <v>BLUE</v>
      </c>
      <c r="G6291" s="20" t="str">
        <f>IFERROR(__xludf.DUMMYFUNCTION("""COMPUTED_VALUE"""),"Uncle Sams Cider (04/04/2023)")</f>
        <v>Uncle Sams Cider (04/04/2023)</v>
      </c>
      <c r="H6291" s="19"/>
    </row>
    <row r="6292">
      <c r="A6292" s="9"/>
      <c r="B6292" s="15"/>
      <c r="C6292" s="9">
        <f>IFERROR(__xludf.DUMMYFUNCTION("""COMPUTED_VALUE"""),45078.590272905)</f>
        <v>45078.59027</v>
      </c>
      <c r="D6292" s="15">
        <f>IFERROR(__xludf.DUMMYFUNCTION("""COMPUTED_VALUE"""),1.007)</f>
        <v>1.007</v>
      </c>
      <c r="E6292" s="16">
        <f>IFERROR(__xludf.DUMMYFUNCTION("""COMPUTED_VALUE"""),65.0)</f>
        <v>65</v>
      </c>
      <c r="F6292" s="19" t="str">
        <f>IFERROR(__xludf.DUMMYFUNCTION("""COMPUTED_VALUE"""),"BLUE")</f>
        <v>BLUE</v>
      </c>
      <c r="G6292" s="20" t="str">
        <f>IFERROR(__xludf.DUMMYFUNCTION("""COMPUTED_VALUE"""),"Uncle Sams Cider (04/04/2023)")</f>
        <v>Uncle Sams Cider (04/04/2023)</v>
      </c>
      <c r="H6292" s="19"/>
    </row>
    <row r="6293">
      <c r="A6293" s="9"/>
      <c r="B6293" s="15"/>
      <c r="C6293" s="9">
        <f>IFERROR(__xludf.DUMMYFUNCTION("""COMPUTED_VALUE"""),45078.5798530902)</f>
        <v>45078.57985</v>
      </c>
      <c r="D6293" s="15">
        <f>IFERROR(__xludf.DUMMYFUNCTION("""COMPUTED_VALUE"""),1.007)</f>
        <v>1.007</v>
      </c>
      <c r="E6293" s="16">
        <f>IFERROR(__xludf.DUMMYFUNCTION("""COMPUTED_VALUE"""),65.0)</f>
        <v>65</v>
      </c>
      <c r="F6293" s="19" t="str">
        <f>IFERROR(__xludf.DUMMYFUNCTION("""COMPUTED_VALUE"""),"BLUE")</f>
        <v>BLUE</v>
      </c>
      <c r="G6293" s="20" t="str">
        <f>IFERROR(__xludf.DUMMYFUNCTION("""COMPUTED_VALUE"""),"Uncle Sams Cider (04/04/2023)")</f>
        <v>Uncle Sams Cider (04/04/2023)</v>
      </c>
      <c r="H6293" s="19"/>
    </row>
    <row r="6294">
      <c r="A6294" s="9"/>
      <c r="B6294" s="15"/>
      <c r="C6294" s="9">
        <f>IFERROR(__xludf.DUMMYFUNCTION("""COMPUTED_VALUE"""),45078.5694209838)</f>
        <v>45078.56942</v>
      </c>
      <c r="D6294" s="15">
        <f>IFERROR(__xludf.DUMMYFUNCTION("""COMPUTED_VALUE"""),1.007)</f>
        <v>1.007</v>
      </c>
      <c r="E6294" s="16">
        <f>IFERROR(__xludf.DUMMYFUNCTION("""COMPUTED_VALUE"""),65.0)</f>
        <v>65</v>
      </c>
      <c r="F6294" s="19" t="str">
        <f>IFERROR(__xludf.DUMMYFUNCTION("""COMPUTED_VALUE"""),"BLUE")</f>
        <v>BLUE</v>
      </c>
      <c r="G6294" s="20" t="str">
        <f>IFERROR(__xludf.DUMMYFUNCTION("""COMPUTED_VALUE"""),"Uncle Sams Cider (04/04/2023)")</f>
        <v>Uncle Sams Cider (04/04/2023)</v>
      </c>
      <c r="H6294" s="19"/>
    </row>
    <row r="6295">
      <c r="A6295" s="9"/>
      <c r="B6295" s="15"/>
      <c r="C6295" s="9">
        <f>IFERROR(__xludf.DUMMYFUNCTION("""COMPUTED_VALUE"""),45078.5589996296)</f>
        <v>45078.559</v>
      </c>
      <c r="D6295" s="15">
        <f>IFERROR(__xludf.DUMMYFUNCTION("""COMPUTED_VALUE"""),1.007)</f>
        <v>1.007</v>
      </c>
      <c r="E6295" s="16">
        <f>IFERROR(__xludf.DUMMYFUNCTION("""COMPUTED_VALUE"""),65.0)</f>
        <v>65</v>
      </c>
      <c r="F6295" s="19" t="str">
        <f>IFERROR(__xludf.DUMMYFUNCTION("""COMPUTED_VALUE"""),"BLUE")</f>
        <v>BLUE</v>
      </c>
      <c r="G6295" s="20" t="str">
        <f>IFERROR(__xludf.DUMMYFUNCTION("""COMPUTED_VALUE"""),"Uncle Sams Cider (04/04/2023)")</f>
        <v>Uncle Sams Cider (04/04/2023)</v>
      </c>
      <c r="H6295" s="19"/>
    </row>
    <row r="6296">
      <c r="A6296" s="9"/>
      <c r="B6296" s="15"/>
      <c r="C6296" s="9">
        <f>IFERROR(__xludf.DUMMYFUNCTION("""COMPUTED_VALUE"""),45078.548576655)</f>
        <v>45078.54858</v>
      </c>
      <c r="D6296" s="15">
        <f>IFERROR(__xludf.DUMMYFUNCTION("""COMPUTED_VALUE"""),1.007)</f>
        <v>1.007</v>
      </c>
      <c r="E6296" s="16">
        <f>IFERROR(__xludf.DUMMYFUNCTION("""COMPUTED_VALUE"""),65.0)</f>
        <v>65</v>
      </c>
      <c r="F6296" s="19" t="str">
        <f>IFERROR(__xludf.DUMMYFUNCTION("""COMPUTED_VALUE"""),"BLUE")</f>
        <v>BLUE</v>
      </c>
      <c r="G6296" s="20" t="str">
        <f>IFERROR(__xludf.DUMMYFUNCTION("""COMPUTED_VALUE"""),"Uncle Sams Cider (04/04/2023)")</f>
        <v>Uncle Sams Cider (04/04/2023)</v>
      </c>
      <c r="H6296" s="19"/>
    </row>
    <row r="6297">
      <c r="A6297" s="9"/>
      <c r="B6297" s="15"/>
      <c r="C6297" s="9">
        <f>IFERROR(__xludf.DUMMYFUNCTION("""COMPUTED_VALUE"""),45078.5381567361)</f>
        <v>45078.53816</v>
      </c>
      <c r="D6297" s="15">
        <f>IFERROR(__xludf.DUMMYFUNCTION("""COMPUTED_VALUE"""),1.007)</f>
        <v>1.007</v>
      </c>
      <c r="E6297" s="16">
        <f>IFERROR(__xludf.DUMMYFUNCTION("""COMPUTED_VALUE"""),65.0)</f>
        <v>65</v>
      </c>
      <c r="F6297" s="19" t="str">
        <f>IFERROR(__xludf.DUMMYFUNCTION("""COMPUTED_VALUE"""),"BLUE")</f>
        <v>BLUE</v>
      </c>
      <c r="G6297" s="20" t="str">
        <f>IFERROR(__xludf.DUMMYFUNCTION("""COMPUTED_VALUE"""),"Uncle Sams Cider (04/04/2023)")</f>
        <v>Uncle Sams Cider (04/04/2023)</v>
      </c>
      <c r="H6297" s="19"/>
    </row>
    <row r="6298">
      <c r="A6298" s="9"/>
      <c r="B6298" s="15"/>
      <c r="C6298" s="9">
        <f>IFERROR(__xludf.DUMMYFUNCTION("""COMPUTED_VALUE"""),45078.5277236921)</f>
        <v>45078.52772</v>
      </c>
      <c r="D6298" s="15">
        <f>IFERROR(__xludf.DUMMYFUNCTION("""COMPUTED_VALUE"""),1.007)</f>
        <v>1.007</v>
      </c>
      <c r="E6298" s="16">
        <f>IFERROR(__xludf.DUMMYFUNCTION("""COMPUTED_VALUE"""),65.0)</f>
        <v>65</v>
      </c>
      <c r="F6298" s="19" t="str">
        <f>IFERROR(__xludf.DUMMYFUNCTION("""COMPUTED_VALUE"""),"BLUE")</f>
        <v>BLUE</v>
      </c>
      <c r="G6298" s="20" t="str">
        <f>IFERROR(__xludf.DUMMYFUNCTION("""COMPUTED_VALUE"""),"Uncle Sams Cider (04/04/2023)")</f>
        <v>Uncle Sams Cider (04/04/2023)</v>
      </c>
      <c r="H6298" s="19"/>
    </row>
    <row r="6299">
      <c r="A6299" s="9"/>
      <c r="B6299" s="15"/>
      <c r="C6299" s="9">
        <f>IFERROR(__xludf.DUMMYFUNCTION("""COMPUTED_VALUE"""),45078.5173021527)</f>
        <v>45078.5173</v>
      </c>
      <c r="D6299" s="15">
        <f>IFERROR(__xludf.DUMMYFUNCTION("""COMPUTED_VALUE"""),1.007)</f>
        <v>1.007</v>
      </c>
      <c r="E6299" s="16">
        <f>IFERROR(__xludf.DUMMYFUNCTION("""COMPUTED_VALUE"""),65.0)</f>
        <v>65</v>
      </c>
      <c r="F6299" s="19" t="str">
        <f>IFERROR(__xludf.DUMMYFUNCTION("""COMPUTED_VALUE"""),"BLUE")</f>
        <v>BLUE</v>
      </c>
      <c r="G6299" s="20" t="str">
        <f>IFERROR(__xludf.DUMMYFUNCTION("""COMPUTED_VALUE"""),"Uncle Sams Cider (04/04/2023)")</f>
        <v>Uncle Sams Cider (04/04/2023)</v>
      </c>
      <c r="H6299" s="19"/>
    </row>
    <row r="6300">
      <c r="A6300" s="9"/>
      <c r="B6300" s="15"/>
      <c r="C6300" s="9">
        <f>IFERROR(__xludf.DUMMYFUNCTION("""COMPUTED_VALUE"""),45078.5068809259)</f>
        <v>45078.50688</v>
      </c>
      <c r="D6300" s="15">
        <f>IFERROR(__xludf.DUMMYFUNCTION("""COMPUTED_VALUE"""),1.007)</f>
        <v>1.007</v>
      </c>
      <c r="E6300" s="16">
        <f>IFERROR(__xludf.DUMMYFUNCTION("""COMPUTED_VALUE"""),65.0)</f>
        <v>65</v>
      </c>
      <c r="F6300" s="19" t="str">
        <f>IFERROR(__xludf.DUMMYFUNCTION("""COMPUTED_VALUE"""),"BLUE")</f>
        <v>BLUE</v>
      </c>
      <c r="G6300" s="20" t="str">
        <f>IFERROR(__xludf.DUMMYFUNCTION("""COMPUTED_VALUE"""),"Uncle Sams Cider (04/04/2023)")</f>
        <v>Uncle Sams Cider (04/04/2023)</v>
      </c>
      <c r="H6300" s="19"/>
    </row>
    <row r="6301">
      <c r="A6301" s="9"/>
      <c r="B6301" s="15"/>
      <c r="C6301" s="9">
        <f>IFERROR(__xludf.DUMMYFUNCTION("""COMPUTED_VALUE"""),45078.4964592824)</f>
        <v>45078.49646</v>
      </c>
      <c r="D6301" s="15">
        <f>IFERROR(__xludf.DUMMYFUNCTION("""COMPUTED_VALUE"""),1.007)</f>
        <v>1.007</v>
      </c>
      <c r="E6301" s="16">
        <f>IFERROR(__xludf.DUMMYFUNCTION("""COMPUTED_VALUE"""),65.0)</f>
        <v>65</v>
      </c>
      <c r="F6301" s="19" t="str">
        <f>IFERROR(__xludf.DUMMYFUNCTION("""COMPUTED_VALUE"""),"BLUE")</f>
        <v>BLUE</v>
      </c>
      <c r="G6301" s="20" t="str">
        <f>IFERROR(__xludf.DUMMYFUNCTION("""COMPUTED_VALUE"""),"Uncle Sams Cider (04/04/2023)")</f>
        <v>Uncle Sams Cider (04/04/2023)</v>
      </c>
      <c r="H6301" s="19"/>
    </row>
    <row r="6302">
      <c r="A6302" s="9"/>
      <c r="B6302" s="15"/>
      <c r="C6302" s="9">
        <f>IFERROR(__xludf.DUMMYFUNCTION("""COMPUTED_VALUE"""),45078.4860270254)</f>
        <v>45078.48603</v>
      </c>
      <c r="D6302" s="15">
        <f>IFERROR(__xludf.DUMMYFUNCTION("""COMPUTED_VALUE"""),1.007)</f>
        <v>1.007</v>
      </c>
      <c r="E6302" s="16">
        <f>IFERROR(__xludf.DUMMYFUNCTION("""COMPUTED_VALUE"""),65.0)</f>
        <v>65</v>
      </c>
      <c r="F6302" s="19" t="str">
        <f>IFERROR(__xludf.DUMMYFUNCTION("""COMPUTED_VALUE"""),"BLUE")</f>
        <v>BLUE</v>
      </c>
      <c r="G6302" s="20" t="str">
        <f>IFERROR(__xludf.DUMMYFUNCTION("""COMPUTED_VALUE"""),"Uncle Sams Cider (04/04/2023)")</f>
        <v>Uncle Sams Cider (04/04/2023)</v>
      </c>
      <c r="H6302" s="19"/>
    </row>
    <row r="6303">
      <c r="A6303" s="9"/>
      <c r="B6303" s="15"/>
      <c r="C6303" s="9">
        <f>IFERROR(__xludf.DUMMYFUNCTION("""COMPUTED_VALUE"""),45078.4755831944)</f>
        <v>45078.47558</v>
      </c>
      <c r="D6303" s="15">
        <f>IFERROR(__xludf.DUMMYFUNCTION("""COMPUTED_VALUE"""),1.007)</f>
        <v>1.007</v>
      </c>
      <c r="E6303" s="16">
        <f>IFERROR(__xludf.DUMMYFUNCTION("""COMPUTED_VALUE"""),65.0)</f>
        <v>65</v>
      </c>
      <c r="F6303" s="19" t="str">
        <f>IFERROR(__xludf.DUMMYFUNCTION("""COMPUTED_VALUE"""),"BLUE")</f>
        <v>BLUE</v>
      </c>
      <c r="G6303" s="20" t="str">
        <f>IFERROR(__xludf.DUMMYFUNCTION("""COMPUTED_VALUE"""),"Uncle Sams Cider (04/04/2023)")</f>
        <v>Uncle Sams Cider (04/04/2023)</v>
      </c>
      <c r="H6303" s="19"/>
    </row>
    <row r="6304">
      <c r="A6304" s="9"/>
      <c r="B6304" s="15"/>
      <c r="C6304" s="9">
        <f>IFERROR(__xludf.DUMMYFUNCTION("""COMPUTED_VALUE"""),45078.465162743)</f>
        <v>45078.46516</v>
      </c>
      <c r="D6304" s="15">
        <f>IFERROR(__xludf.DUMMYFUNCTION("""COMPUTED_VALUE"""),1.007)</f>
        <v>1.007</v>
      </c>
      <c r="E6304" s="16">
        <f>IFERROR(__xludf.DUMMYFUNCTION("""COMPUTED_VALUE"""),65.0)</f>
        <v>65</v>
      </c>
      <c r="F6304" s="19" t="str">
        <f>IFERROR(__xludf.DUMMYFUNCTION("""COMPUTED_VALUE"""),"BLUE")</f>
        <v>BLUE</v>
      </c>
      <c r="G6304" s="20" t="str">
        <f>IFERROR(__xludf.DUMMYFUNCTION("""COMPUTED_VALUE"""),"Uncle Sams Cider (04/04/2023)")</f>
        <v>Uncle Sams Cider (04/04/2023)</v>
      </c>
      <c r="H6304" s="19"/>
    </row>
    <row r="6305">
      <c r="A6305" s="9"/>
      <c r="B6305" s="15"/>
      <c r="C6305" s="9">
        <f>IFERROR(__xludf.DUMMYFUNCTION("""COMPUTED_VALUE"""),45078.4547417824)</f>
        <v>45078.45474</v>
      </c>
      <c r="D6305" s="15">
        <f>IFERROR(__xludf.DUMMYFUNCTION("""COMPUTED_VALUE"""),1.007)</f>
        <v>1.007</v>
      </c>
      <c r="E6305" s="16">
        <f>IFERROR(__xludf.DUMMYFUNCTION("""COMPUTED_VALUE"""),65.0)</f>
        <v>65</v>
      </c>
      <c r="F6305" s="19" t="str">
        <f>IFERROR(__xludf.DUMMYFUNCTION("""COMPUTED_VALUE"""),"BLUE")</f>
        <v>BLUE</v>
      </c>
      <c r="G6305" s="20" t="str">
        <f>IFERROR(__xludf.DUMMYFUNCTION("""COMPUTED_VALUE"""),"Uncle Sams Cider (04/04/2023)")</f>
        <v>Uncle Sams Cider (04/04/2023)</v>
      </c>
      <c r="H6305" s="19"/>
    </row>
    <row r="6306">
      <c r="A6306" s="9"/>
      <c r="B6306" s="15"/>
      <c r="C6306" s="9">
        <f>IFERROR(__xludf.DUMMYFUNCTION("""COMPUTED_VALUE"""),45078.4443198611)</f>
        <v>45078.44432</v>
      </c>
      <c r="D6306" s="15">
        <f>IFERROR(__xludf.DUMMYFUNCTION("""COMPUTED_VALUE"""),1.007)</f>
        <v>1.007</v>
      </c>
      <c r="E6306" s="16">
        <f>IFERROR(__xludf.DUMMYFUNCTION("""COMPUTED_VALUE"""),65.0)</f>
        <v>65</v>
      </c>
      <c r="F6306" s="19" t="str">
        <f>IFERROR(__xludf.DUMMYFUNCTION("""COMPUTED_VALUE"""),"BLUE")</f>
        <v>BLUE</v>
      </c>
      <c r="G6306" s="20" t="str">
        <f>IFERROR(__xludf.DUMMYFUNCTION("""COMPUTED_VALUE"""),"Uncle Sams Cider (04/04/2023)")</f>
        <v>Uncle Sams Cider (04/04/2023)</v>
      </c>
      <c r="H6306" s="19"/>
    </row>
    <row r="6307">
      <c r="A6307" s="9"/>
      <c r="B6307" s="15"/>
      <c r="C6307" s="9">
        <f>IFERROR(__xludf.DUMMYFUNCTION("""COMPUTED_VALUE"""),45078.4338979861)</f>
        <v>45078.4339</v>
      </c>
      <c r="D6307" s="15">
        <f>IFERROR(__xludf.DUMMYFUNCTION("""COMPUTED_VALUE"""),1.007)</f>
        <v>1.007</v>
      </c>
      <c r="E6307" s="16">
        <f>IFERROR(__xludf.DUMMYFUNCTION("""COMPUTED_VALUE"""),65.0)</f>
        <v>65</v>
      </c>
      <c r="F6307" s="19" t="str">
        <f>IFERROR(__xludf.DUMMYFUNCTION("""COMPUTED_VALUE"""),"BLUE")</f>
        <v>BLUE</v>
      </c>
      <c r="G6307" s="20" t="str">
        <f>IFERROR(__xludf.DUMMYFUNCTION("""COMPUTED_VALUE"""),"Uncle Sams Cider (04/04/2023)")</f>
        <v>Uncle Sams Cider (04/04/2023)</v>
      </c>
      <c r="H6307" s="19"/>
    </row>
    <row r="6308">
      <c r="A6308" s="9"/>
      <c r="B6308" s="15"/>
      <c r="C6308" s="9">
        <f>IFERROR(__xludf.DUMMYFUNCTION("""COMPUTED_VALUE"""),45078.4234771412)</f>
        <v>45078.42348</v>
      </c>
      <c r="D6308" s="15">
        <f>IFERROR(__xludf.DUMMYFUNCTION("""COMPUTED_VALUE"""),1.007)</f>
        <v>1.007</v>
      </c>
      <c r="E6308" s="16">
        <f>IFERROR(__xludf.DUMMYFUNCTION("""COMPUTED_VALUE"""),65.0)</f>
        <v>65</v>
      </c>
      <c r="F6308" s="19" t="str">
        <f>IFERROR(__xludf.DUMMYFUNCTION("""COMPUTED_VALUE"""),"BLUE")</f>
        <v>BLUE</v>
      </c>
      <c r="G6308" s="20" t="str">
        <f>IFERROR(__xludf.DUMMYFUNCTION("""COMPUTED_VALUE"""),"Uncle Sams Cider (04/04/2023)")</f>
        <v>Uncle Sams Cider (04/04/2023)</v>
      </c>
      <c r="H6308" s="19"/>
    </row>
    <row r="6309">
      <c r="A6309" s="9"/>
      <c r="B6309" s="15"/>
      <c r="C6309" s="9">
        <f>IFERROR(__xludf.DUMMYFUNCTION("""COMPUTED_VALUE"""),45078.4130451157)</f>
        <v>45078.41305</v>
      </c>
      <c r="D6309" s="15">
        <f>IFERROR(__xludf.DUMMYFUNCTION("""COMPUTED_VALUE"""),1.007)</f>
        <v>1.007</v>
      </c>
      <c r="E6309" s="16">
        <f>IFERROR(__xludf.DUMMYFUNCTION("""COMPUTED_VALUE"""),65.0)</f>
        <v>65</v>
      </c>
      <c r="F6309" s="19" t="str">
        <f>IFERROR(__xludf.DUMMYFUNCTION("""COMPUTED_VALUE"""),"BLUE")</f>
        <v>BLUE</v>
      </c>
      <c r="G6309" s="20" t="str">
        <f>IFERROR(__xludf.DUMMYFUNCTION("""COMPUTED_VALUE"""),"Uncle Sams Cider (04/04/2023)")</f>
        <v>Uncle Sams Cider (04/04/2023)</v>
      </c>
      <c r="H6309" s="19"/>
    </row>
    <row r="6310">
      <c r="A6310" s="9"/>
      <c r="B6310" s="15"/>
      <c r="C6310" s="9">
        <f>IFERROR(__xludf.DUMMYFUNCTION("""COMPUTED_VALUE"""),45078.4026228819)</f>
        <v>45078.40262</v>
      </c>
      <c r="D6310" s="15">
        <f>IFERROR(__xludf.DUMMYFUNCTION("""COMPUTED_VALUE"""),1.007)</f>
        <v>1.007</v>
      </c>
      <c r="E6310" s="16">
        <f>IFERROR(__xludf.DUMMYFUNCTION("""COMPUTED_VALUE"""),65.0)</f>
        <v>65</v>
      </c>
      <c r="F6310" s="19" t="str">
        <f>IFERROR(__xludf.DUMMYFUNCTION("""COMPUTED_VALUE"""),"BLUE")</f>
        <v>BLUE</v>
      </c>
      <c r="G6310" s="20" t="str">
        <f>IFERROR(__xludf.DUMMYFUNCTION("""COMPUTED_VALUE"""),"Uncle Sams Cider (04/04/2023)")</f>
        <v>Uncle Sams Cider (04/04/2023)</v>
      </c>
      <c r="H6310" s="19"/>
    </row>
    <row r="6311">
      <c r="A6311" s="9"/>
      <c r="B6311" s="15"/>
      <c r="C6311" s="9">
        <f>IFERROR(__xludf.DUMMYFUNCTION("""COMPUTED_VALUE"""),45078.3922032176)</f>
        <v>45078.3922</v>
      </c>
      <c r="D6311" s="15">
        <f>IFERROR(__xludf.DUMMYFUNCTION("""COMPUTED_VALUE"""),1.007)</f>
        <v>1.007</v>
      </c>
      <c r="E6311" s="16">
        <f>IFERROR(__xludf.DUMMYFUNCTION("""COMPUTED_VALUE"""),65.0)</f>
        <v>65</v>
      </c>
      <c r="F6311" s="19" t="str">
        <f>IFERROR(__xludf.DUMMYFUNCTION("""COMPUTED_VALUE"""),"BLUE")</f>
        <v>BLUE</v>
      </c>
      <c r="G6311" s="20" t="str">
        <f>IFERROR(__xludf.DUMMYFUNCTION("""COMPUTED_VALUE"""),"Uncle Sams Cider (04/04/2023)")</f>
        <v>Uncle Sams Cider (04/04/2023)</v>
      </c>
      <c r="H6311" s="19"/>
    </row>
    <row r="6312">
      <c r="A6312" s="9"/>
      <c r="B6312" s="15"/>
      <c r="C6312" s="9">
        <f>IFERROR(__xludf.DUMMYFUNCTION("""COMPUTED_VALUE"""),45078.3817829513)</f>
        <v>45078.38178</v>
      </c>
      <c r="D6312" s="15">
        <f>IFERROR(__xludf.DUMMYFUNCTION("""COMPUTED_VALUE"""),1.007)</f>
        <v>1.007</v>
      </c>
      <c r="E6312" s="16">
        <f>IFERROR(__xludf.DUMMYFUNCTION("""COMPUTED_VALUE"""),65.0)</f>
        <v>65</v>
      </c>
      <c r="F6312" s="19" t="str">
        <f>IFERROR(__xludf.DUMMYFUNCTION("""COMPUTED_VALUE"""),"BLUE")</f>
        <v>BLUE</v>
      </c>
      <c r="G6312" s="20" t="str">
        <f>IFERROR(__xludf.DUMMYFUNCTION("""COMPUTED_VALUE"""),"Uncle Sams Cider (04/04/2023)")</f>
        <v>Uncle Sams Cider (04/04/2023)</v>
      </c>
      <c r="H6312" s="19"/>
    </row>
    <row r="6313">
      <c r="A6313" s="9"/>
      <c r="B6313" s="15"/>
      <c r="C6313" s="9">
        <f>IFERROR(__xludf.DUMMYFUNCTION("""COMPUTED_VALUE"""),45078.3713507175)</f>
        <v>45078.37135</v>
      </c>
      <c r="D6313" s="15">
        <f>IFERROR(__xludf.DUMMYFUNCTION("""COMPUTED_VALUE"""),1.007)</f>
        <v>1.007</v>
      </c>
      <c r="E6313" s="16">
        <f>IFERROR(__xludf.DUMMYFUNCTION("""COMPUTED_VALUE"""),65.0)</f>
        <v>65</v>
      </c>
      <c r="F6313" s="19" t="str">
        <f>IFERROR(__xludf.DUMMYFUNCTION("""COMPUTED_VALUE"""),"BLUE")</f>
        <v>BLUE</v>
      </c>
      <c r="G6313" s="20" t="str">
        <f>IFERROR(__xludf.DUMMYFUNCTION("""COMPUTED_VALUE"""),"Uncle Sams Cider (04/04/2023)")</f>
        <v>Uncle Sams Cider (04/04/2023)</v>
      </c>
      <c r="H6313" s="19"/>
    </row>
    <row r="6314">
      <c r="A6314" s="9"/>
      <c r="B6314" s="15"/>
      <c r="C6314" s="9">
        <f>IFERROR(__xludf.DUMMYFUNCTION("""COMPUTED_VALUE"""),45078.3609294213)</f>
        <v>45078.36093</v>
      </c>
      <c r="D6314" s="15">
        <f>IFERROR(__xludf.DUMMYFUNCTION("""COMPUTED_VALUE"""),1.007)</f>
        <v>1.007</v>
      </c>
      <c r="E6314" s="16">
        <f>IFERROR(__xludf.DUMMYFUNCTION("""COMPUTED_VALUE"""),65.0)</f>
        <v>65</v>
      </c>
      <c r="F6314" s="19" t="str">
        <f>IFERROR(__xludf.DUMMYFUNCTION("""COMPUTED_VALUE"""),"BLUE")</f>
        <v>BLUE</v>
      </c>
      <c r="G6314" s="20" t="str">
        <f>IFERROR(__xludf.DUMMYFUNCTION("""COMPUTED_VALUE"""),"Uncle Sams Cider (04/04/2023)")</f>
        <v>Uncle Sams Cider (04/04/2023)</v>
      </c>
      <c r="H6314" s="19"/>
    </row>
    <row r="6315">
      <c r="A6315" s="9"/>
      <c r="B6315" s="15"/>
      <c r="C6315" s="9">
        <f>IFERROR(__xludf.DUMMYFUNCTION("""COMPUTED_VALUE"""),45078.3505092013)</f>
        <v>45078.35051</v>
      </c>
      <c r="D6315" s="15">
        <f>IFERROR(__xludf.DUMMYFUNCTION("""COMPUTED_VALUE"""),1.007)</f>
        <v>1.007</v>
      </c>
      <c r="E6315" s="16">
        <f>IFERROR(__xludf.DUMMYFUNCTION("""COMPUTED_VALUE"""),65.0)</f>
        <v>65</v>
      </c>
      <c r="F6315" s="19" t="str">
        <f>IFERROR(__xludf.DUMMYFUNCTION("""COMPUTED_VALUE"""),"BLUE")</f>
        <v>BLUE</v>
      </c>
      <c r="G6315" s="20" t="str">
        <f>IFERROR(__xludf.DUMMYFUNCTION("""COMPUTED_VALUE"""),"Uncle Sams Cider (04/04/2023)")</f>
        <v>Uncle Sams Cider (04/04/2023)</v>
      </c>
      <c r="H6315" s="19"/>
    </row>
    <row r="6316">
      <c r="A6316" s="9"/>
      <c r="B6316" s="15"/>
      <c r="C6316" s="9">
        <f>IFERROR(__xludf.DUMMYFUNCTION("""COMPUTED_VALUE"""),45078.3400879513)</f>
        <v>45078.34009</v>
      </c>
      <c r="D6316" s="15">
        <f>IFERROR(__xludf.DUMMYFUNCTION("""COMPUTED_VALUE"""),1.007)</f>
        <v>1.007</v>
      </c>
      <c r="E6316" s="16">
        <f>IFERROR(__xludf.DUMMYFUNCTION("""COMPUTED_VALUE"""),65.0)</f>
        <v>65</v>
      </c>
      <c r="F6316" s="19" t="str">
        <f>IFERROR(__xludf.DUMMYFUNCTION("""COMPUTED_VALUE"""),"BLUE")</f>
        <v>BLUE</v>
      </c>
      <c r="G6316" s="20" t="str">
        <f>IFERROR(__xludf.DUMMYFUNCTION("""COMPUTED_VALUE"""),"Uncle Sams Cider (04/04/2023)")</f>
        <v>Uncle Sams Cider (04/04/2023)</v>
      </c>
      <c r="H6316" s="19"/>
    </row>
    <row r="6317">
      <c r="A6317" s="9"/>
      <c r="B6317" s="15"/>
      <c r="C6317" s="9">
        <f>IFERROR(__xludf.DUMMYFUNCTION("""COMPUTED_VALUE"""),45078.32966728)</f>
        <v>45078.32967</v>
      </c>
      <c r="D6317" s="15">
        <f>IFERROR(__xludf.DUMMYFUNCTION("""COMPUTED_VALUE"""),1.007)</f>
        <v>1.007</v>
      </c>
      <c r="E6317" s="16">
        <f>IFERROR(__xludf.DUMMYFUNCTION("""COMPUTED_VALUE"""),65.0)</f>
        <v>65</v>
      </c>
      <c r="F6317" s="19" t="str">
        <f>IFERROR(__xludf.DUMMYFUNCTION("""COMPUTED_VALUE"""),"BLUE")</f>
        <v>BLUE</v>
      </c>
      <c r="G6317" s="20" t="str">
        <f>IFERROR(__xludf.DUMMYFUNCTION("""COMPUTED_VALUE"""),"Uncle Sams Cider (04/04/2023)")</f>
        <v>Uncle Sams Cider (04/04/2023)</v>
      </c>
      <c r="H6317" s="19"/>
    </row>
    <row r="6318">
      <c r="A6318" s="9"/>
      <c r="B6318" s="15"/>
      <c r="C6318" s="9">
        <f>IFERROR(__xludf.DUMMYFUNCTION("""COMPUTED_VALUE"""),45078.3192483101)</f>
        <v>45078.31925</v>
      </c>
      <c r="D6318" s="15">
        <f>IFERROR(__xludf.DUMMYFUNCTION("""COMPUTED_VALUE"""),1.007)</f>
        <v>1.007</v>
      </c>
      <c r="E6318" s="16">
        <f>IFERROR(__xludf.DUMMYFUNCTION("""COMPUTED_VALUE"""),65.0)</f>
        <v>65</v>
      </c>
      <c r="F6318" s="19" t="str">
        <f>IFERROR(__xludf.DUMMYFUNCTION("""COMPUTED_VALUE"""),"BLUE")</f>
        <v>BLUE</v>
      </c>
      <c r="G6318" s="20" t="str">
        <f>IFERROR(__xludf.DUMMYFUNCTION("""COMPUTED_VALUE"""),"Uncle Sams Cider (04/04/2023)")</f>
        <v>Uncle Sams Cider (04/04/2023)</v>
      </c>
      <c r="H6318" s="19"/>
    </row>
    <row r="6319">
      <c r="A6319" s="9"/>
      <c r="B6319" s="15"/>
      <c r="C6319" s="9">
        <f>IFERROR(__xludf.DUMMYFUNCTION("""COMPUTED_VALUE"""),45078.3088253819)</f>
        <v>45078.30883</v>
      </c>
      <c r="D6319" s="15">
        <f>IFERROR(__xludf.DUMMYFUNCTION("""COMPUTED_VALUE"""),1.007)</f>
        <v>1.007</v>
      </c>
      <c r="E6319" s="16">
        <f>IFERROR(__xludf.DUMMYFUNCTION("""COMPUTED_VALUE"""),65.0)</f>
        <v>65</v>
      </c>
      <c r="F6319" s="19" t="str">
        <f>IFERROR(__xludf.DUMMYFUNCTION("""COMPUTED_VALUE"""),"BLUE")</f>
        <v>BLUE</v>
      </c>
      <c r="G6319" s="20" t="str">
        <f>IFERROR(__xludf.DUMMYFUNCTION("""COMPUTED_VALUE"""),"Uncle Sams Cider (04/04/2023)")</f>
        <v>Uncle Sams Cider (04/04/2023)</v>
      </c>
      <c r="H6319" s="19"/>
    </row>
    <row r="6320">
      <c r="A6320" s="9"/>
      <c r="B6320" s="15"/>
      <c r="C6320" s="9">
        <f>IFERROR(__xludf.DUMMYFUNCTION("""COMPUTED_VALUE"""),45078.2983810879)</f>
        <v>45078.29838</v>
      </c>
      <c r="D6320" s="15">
        <f>IFERROR(__xludf.DUMMYFUNCTION("""COMPUTED_VALUE"""),1.007)</f>
        <v>1.007</v>
      </c>
      <c r="E6320" s="16">
        <f>IFERROR(__xludf.DUMMYFUNCTION("""COMPUTED_VALUE"""),65.0)</f>
        <v>65</v>
      </c>
      <c r="F6320" s="19" t="str">
        <f>IFERROR(__xludf.DUMMYFUNCTION("""COMPUTED_VALUE"""),"BLUE")</f>
        <v>BLUE</v>
      </c>
      <c r="G6320" s="20" t="str">
        <f>IFERROR(__xludf.DUMMYFUNCTION("""COMPUTED_VALUE"""),"Uncle Sams Cider (04/04/2023)")</f>
        <v>Uncle Sams Cider (04/04/2023)</v>
      </c>
      <c r="H6320" s="19"/>
    </row>
    <row r="6321">
      <c r="A6321" s="9"/>
      <c r="B6321" s="15"/>
      <c r="C6321" s="9">
        <f>IFERROR(__xludf.DUMMYFUNCTION("""COMPUTED_VALUE"""),45078.2879594676)</f>
        <v>45078.28796</v>
      </c>
      <c r="D6321" s="15">
        <f>IFERROR(__xludf.DUMMYFUNCTION("""COMPUTED_VALUE"""),1.007)</f>
        <v>1.007</v>
      </c>
      <c r="E6321" s="16">
        <f>IFERROR(__xludf.DUMMYFUNCTION("""COMPUTED_VALUE"""),65.0)</f>
        <v>65</v>
      </c>
      <c r="F6321" s="19" t="str">
        <f>IFERROR(__xludf.DUMMYFUNCTION("""COMPUTED_VALUE"""),"BLUE")</f>
        <v>BLUE</v>
      </c>
      <c r="G6321" s="20" t="str">
        <f>IFERROR(__xludf.DUMMYFUNCTION("""COMPUTED_VALUE"""),"Uncle Sams Cider (04/04/2023)")</f>
        <v>Uncle Sams Cider (04/04/2023)</v>
      </c>
      <c r="H6321" s="19"/>
    </row>
    <row r="6322">
      <c r="A6322" s="9"/>
      <c r="B6322" s="15"/>
      <c r="C6322" s="9">
        <f>IFERROR(__xludf.DUMMYFUNCTION("""COMPUTED_VALUE"""),45078.2775252893)</f>
        <v>45078.27753</v>
      </c>
      <c r="D6322" s="15">
        <f>IFERROR(__xludf.DUMMYFUNCTION("""COMPUTED_VALUE"""),1.007)</f>
        <v>1.007</v>
      </c>
      <c r="E6322" s="16">
        <f>IFERROR(__xludf.DUMMYFUNCTION("""COMPUTED_VALUE"""),65.0)</f>
        <v>65</v>
      </c>
      <c r="F6322" s="19" t="str">
        <f>IFERROR(__xludf.DUMMYFUNCTION("""COMPUTED_VALUE"""),"BLUE")</f>
        <v>BLUE</v>
      </c>
      <c r="G6322" s="20" t="str">
        <f>IFERROR(__xludf.DUMMYFUNCTION("""COMPUTED_VALUE"""),"Uncle Sams Cider (04/04/2023)")</f>
        <v>Uncle Sams Cider (04/04/2023)</v>
      </c>
      <c r="H6322" s="19"/>
    </row>
    <row r="6323">
      <c r="A6323" s="9"/>
      <c r="B6323" s="15"/>
      <c r="C6323" s="9">
        <f>IFERROR(__xludf.DUMMYFUNCTION("""COMPUTED_VALUE"""),45078.2671056944)</f>
        <v>45078.26711</v>
      </c>
      <c r="D6323" s="15">
        <f>IFERROR(__xludf.DUMMYFUNCTION("""COMPUTED_VALUE"""),1.007)</f>
        <v>1.007</v>
      </c>
      <c r="E6323" s="16">
        <f>IFERROR(__xludf.DUMMYFUNCTION("""COMPUTED_VALUE"""),65.0)</f>
        <v>65</v>
      </c>
      <c r="F6323" s="19" t="str">
        <f>IFERROR(__xludf.DUMMYFUNCTION("""COMPUTED_VALUE"""),"BLUE")</f>
        <v>BLUE</v>
      </c>
      <c r="G6323" s="20" t="str">
        <f>IFERROR(__xludf.DUMMYFUNCTION("""COMPUTED_VALUE"""),"Uncle Sams Cider (04/04/2023)")</f>
        <v>Uncle Sams Cider (04/04/2023)</v>
      </c>
      <c r="H6323" s="19"/>
    </row>
    <row r="6324">
      <c r="A6324" s="9"/>
      <c r="B6324" s="15"/>
      <c r="C6324" s="9">
        <f>IFERROR(__xludf.DUMMYFUNCTION("""COMPUTED_VALUE"""),45078.2566839814)</f>
        <v>45078.25668</v>
      </c>
      <c r="D6324" s="15">
        <f>IFERROR(__xludf.DUMMYFUNCTION("""COMPUTED_VALUE"""),1.007)</f>
        <v>1.007</v>
      </c>
      <c r="E6324" s="16">
        <f>IFERROR(__xludf.DUMMYFUNCTION("""COMPUTED_VALUE"""),65.0)</f>
        <v>65</v>
      </c>
      <c r="F6324" s="19" t="str">
        <f>IFERROR(__xludf.DUMMYFUNCTION("""COMPUTED_VALUE"""),"BLUE")</f>
        <v>BLUE</v>
      </c>
      <c r="G6324" s="20" t="str">
        <f>IFERROR(__xludf.DUMMYFUNCTION("""COMPUTED_VALUE"""),"Uncle Sams Cider (04/04/2023)")</f>
        <v>Uncle Sams Cider (04/04/2023)</v>
      </c>
      <c r="H6324" s="19"/>
    </row>
    <row r="6325">
      <c r="A6325" s="9"/>
      <c r="B6325" s="15"/>
      <c r="C6325" s="9">
        <f>IFERROR(__xludf.DUMMYFUNCTION("""COMPUTED_VALUE"""),45078.2462624884)</f>
        <v>45078.24626</v>
      </c>
      <c r="D6325" s="15">
        <f>IFERROR(__xludf.DUMMYFUNCTION("""COMPUTED_VALUE"""),1.007)</f>
        <v>1.007</v>
      </c>
      <c r="E6325" s="16">
        <f>IFERROR(__xludf.DUMMYFUNCTION("""COMPUTED_VALUE"""),65.0)</f>
        <v>65</v>
      </c>
      <c r="F6325" s="19" t="str">
        <f>IFERROR(__xludf.DUMMYFUNCTION("""COMPUTED_VALUE"""),"BLUE")</f>
        <v>BLUE</v>
      </c>
      <c r="G6325" s="20" t="str">
        <f>IFERROR(__xludf.DUMMYFUNCTION("""COMPUTED_VALUE"""),"Uncle Sams Cider (04/04/2023)")</f>
        <v>Uncle Sams Cider (04/04/2023)</v>
      </c>
      <c r="H6325" s="19"/>
    </row>
    <row r="6326">
      <c r="A6326" s="9"/>
      <c r="B6326" s="15"/>
      <c r="C6326" s="9">
        <f>IFERROR(__xludf.DUMMYFUNCTION("""COMPUTED_VALUE"""),45078.2358430555)</f>
        <v>45078.23584</v>
      </c>
      <c r="D6326" s="15">
        <f>IFERROR(__xludf.DUMMYFUNCTION("""COMPUTED_VALUE"""),1.007)</f>
        <v>1.007</v>
      </c>
      <c r="E6326" s="16">
        <f>IFERROR(__xludf.DUMMYFUNCTION("""COMPUTED_VALUE"""),65.0)</f>
        <v>65</v>
      </c>
      <c r="F6326" s="19" t="str">
        <f>IFERROR(__xludf.DUMMYFUNCTION("""COMPUTED_VALUE"""),"BLUE")</f>
        <v>BLUE</v>
      </c>
      <c r="G6326" s="20" t="str">
        <f>IFERROR(__xludf.DUMMYFUNCTION("""COMPUTED_VALUE"""),"Uncle Sams Cider (04/04/2023)")</f>
        <v>Uncle Sams Cider (04/04/2023)</v>
      </c>
      <c r="H6326" s="19"/>
    </row>
    <row r="6327">
      <c r="A6327" s="9"/>
      <c r="B6327" s="15"/>
      <c r="C6327" s="9">
        <f>IFERROR(__xludf.DUMMYFUNCTION("""COMPUTED_VALUE"""),45078.225422743)</f>
        <v>45078.22542</v>
      </c>
      <c r="D6327" s="15">
        <f>IFERROR(__xludf.DUMMYFUNCTION("""COMPUTED_VALUE"""),1.007)</f>
        <v>1.007</v>
      </c>
      <c r="E6327" s="16">
        <f>IFERROR(__xludf.DUMMYFUNCTION("""COMPUTED_VALUE"""),65.0)</f>
        <v>65</v>
      </c>
      <c r="F6327" s="19" t="str">
        <f>IFERROR(__xludf.DUMMYFUNCTION("""COMPUTED_VALUE"""),"BLUE")</f>
        <v>BLUE</v>
      </c>
      <c r="G6327" s="20" t="str">
        <f>IFERROR(__xludf.DUMMYFUNCTION("""COMPUTED_VALUE"""),"Uncle Sams Cider (04/04/2023)")</f>
        <v>Uncle Sams Cider (04/04/2023)</v>
      </c>
      <c r="H6327" s="19"/>
    </row>
    <row r="6328">
      <c r="A6328" s="9"/>
      <c r="B6328" s="15"/>
      <c r="C6328" s="9">
        <f>IFERROR(__xludf.DUMMYFUNCTION("""COMPUTED_VALUE"""),45078.2150017361)</f>
        <v>45078.215</v>
      </c>
      <c r="D6328" s="15">
        <f>IFERROR(__xludf.DUMMYFUNCTION("""COMPUTED_VALUE"""),1.007)</f>
        <v>1.007</v>
      </c>
      <c r="E6328" s="16">
        <f>IFERROR(__xludf.DUMMYFUNCTION("""COMPUTED_VALUE"""),65.0)</f>
        <v>65</v>
      </c>
      <c r="F6328" s="19" t="str">
        <f>IFERROR(__xludf.DUMMYFUNCTION("""COMPUTED_VALUE"""),"BLUE")</f>
        <v>BLUE</v>
      </c>
      <c r="G6328" s="20" t="str">
        <f>IFERROR(__xludf.DUMMYFUNCTION("""COMPUTED_VALUE"""),"Uncle Sams Cider (04/04/2023)")</f>
        <v>Uncle Sams Cider (04/04/2023)</v>
      </c>
      <c r="H6328" s="19"/>
    </row>
    <row r="6329">
      <c r="A6329" s="9"/>
      <c r="B6329" s="15"/>
      <c r="C6329" s="9">
        <f>IFERROR(__xludf.DUMMYFUNCTION("""COMPUTED_VALUE"""),45078.2045799537)</f>
        <v>45078.20458</v>
      </c>
      <c r="D6329" s="15">
        <f>IFERROR(__xludf.DUMMYFUNCTION("""COMPUTED_VALUE"""),1.007)</f>
        <v>1.007</v>
      </c>
      <c r="E6329" s="16">
        <f>IFERROR(__xludf.DUMMYFUNCTION("""COMPUTED_VALUE"""),65.0)</f>
        <v>65</v>
      </c>
      <c r="F6329" s="19" t="str">
        <f>IFERROR(__xludf.DUMMYFUNCTION("""COMPUTED_VALUE"""),"BLUE")</f>
        <v>BLUE</v>
      </c>
      <c r="G6329" s="20" t="str">
        <f>IFERROR(__xludf.DUMMYFUNCTION("""COMPUTED_VALUE"""),"Uncle Sams Cider (04/04/2023)")</f>
        <v>Uncle Sams Cider (04/04/2023)</v>
      </c>
      <c r="H6329" s="19"/>
    </row>
    <row r="6330">
      <c r="A6330" s="9"/>
      <c r="B6330" s="15"/>
      <c r="C6330" s="9">
        <f>IFERROR(__xludf.DUMMYFUNCTION("""COMPUTED_VALUE"""),45078.1941507407)</f>
        <v>45078.19415</v>
      </c>
      <c r="D6330" s="15">
        <f>IFERROR(__xludf.DUMMYFUNCTION("""COMPUTED_VALUE"""),1.007)</f>
        <v>1.007</v>
      </c>
      <c r="E6330" s="16">
        <f>IFERROR(__xludf.DUMMYFUNCTION("""COMPUTED_VALUE"""),65.0)</f>
        <v>65</v>
      </c>
      <c r="F6330" s="19" t="str">
        <f>IFERROR(__xludf.DUMMYFUNCTION("""COMPUTED_VALUE"""),"BLUE")</f>
        <v>BLUE</v>
      </c>
      <c r="G6330" s="20" t="str">
        <f>IFERROR(__xludf.DUMMYFUNCTION("""COMPUTED_VALUE"""),"Uncle Sams Cider (04/04/2023)")</f>
        <v>Uncle Sams Cider (04/04/2023)</v>
      </c>
      <c r="H6330" s="19"/>
    </row>
    <row r="6331">
      <c r="A6331" s="9"/>
      <c r="B6331" s="15"/>
      <c r="C6331" s="9">
        <f>IFERROR(__xludf.DUMMYFUNCTION("""COMPUTED_VALUE"""),45078.183729618)</f>
        <v>45078.18373</v>
      </c>
      <c r="D6331" s="15">
        <f>IFERROR(__xludf.DUMMYFUNCTION("""COMPUTED_VALUE"""),1.007)</f>
        <v>1.007</v>
      </c>
      <c r="E6331" s="16">
        <f>IFERROR(__xludf.DUMMYFUNCTION("""COMPUTED_VALUE"""),65.0)</f>
        <v>65</v>
      </c>
      <c r="F6331" s="19" t="str">
        <f>IFERROR(__xludf.DUMMYFUNCTION("""COMPUTED_VALUE"""),"BLUE")</f>
        <v>BLUE</v>
      </c>
      <c r="G6331" s="20" t="str">
        <f>IFERROR(__xludf.DUMMYFUNCTION("""COMPUTED_VALUE"""),"Uncle Sams Cider (04/04/2023)")</f>
        <v>Uncle Sams Cider (04/04/2023)</v>
      </c>
      <c r="H6331" s="19"/>
    </row>
    <row r="6332">
      <c r="A6332" s="9"/>
      <c r="B6332" s="15"/>
      <c r="C6332" s="9">
        <f>IFERROR(__xludf.DUMMYFUNCTION("""COMPUTED_VALUE"""),45078.1732979629)</f>
        <v>45078.1733</v>
      </c>
      <c r="D6332" s="15">
        <f>IFERROR(__xludf.DUMMYFUNCTION("""COMPUTED_VALUE"""),1.007)</f>
        <v>1.007</v>
      </c>
      <c r="E6332" s="16">
        <f>IFERROR(__xludf.DUMMYFUNCTION("""COMPUTED_VALUE"""),65.0)</f>
        <v>65</v>
      </c>
      <c r="F6332" s="19" t="str">
        <f>IFERROR(__xludf.DUMMYFUNCTION("""COMPUTED_VALUE"""),"BLUE")</f>
        <v>BLUE</v>
      </c>
      <c r="G6332" s="20" t="str">
        <f>IFERROR(__xludf.DUMMYFUNCTION("""COMPUTED_VALUE"""),"Uncle Sams Cider (04/04/2023)")</f>
        <v>Uncle Sams Cider (04/04/2023)</v>
      </c>
      <c r="H6332" s="19"/>
    </row>
    <row r="6333">
      <c r="A6333" s="9"/>
      <c r="B6333" s="15"/>
      <c r="C6333" s="9">
        <f>IFERROR(__xludf.DUMMYFUNCTION("""COMPUTED_VALUE"""),45078.1628767361)</f>
        <v>45078.16288</v>
      </c>
      <c r="D6333" s="15">
        <f>IFERROR(__xludf.DUMMYFUNCTION("""COMPUTED_VALUE"""),1.007)</f>
        <v>1.007</v>
      </c>
      <c r="E6333" s="16">
        <f>IFERROR(__xludf.DUMMYFUNCTION("""COMPUTED_VALUE"""),65.0)</f>
        <v>65</v>
      </c>
      <c r="F6333" s="19" t="str">
        <f>IFERROR(__xludf.DUMMYFUNCTION("""COMPUTED_VALUE"""),"BLUE")</f>
        <v>BLUE</v>
      </c>
      <c r="G6333" s="20" t="str">
        <f>IFERROR(__xludf.DUMMYFUNCTION("""COMPUTED_VALUE"""),"Uncle Sams Cider (04/04/2023)")</f>
        <v>Uncle Sams Cider (04/04/2023)</v>
      </c>
      <c r="H6333" s="19"/>
    </row>
    <row r="6334">
      <c r="A6334" s="9"/>
      <c r="B6334" s="15"/>
      <c r="C6334" s="9">
        <f>IFERROR(__xludf.DUMMYFUNCTION("""COMPUTED_VALUE"""),45078.1524536226)</f>
        <v>45078.15245</v>
      </c>
      <c r="D6334" s="15">
        <f>IFERROR(__xludf.DUMMYFUNCTION("""COMPUTED_VALUE"""),1.007)</f>
        <v>1.007</v>
      </c>
      <c r="E6334" s="16">
        <f>IFERROR(__xludf.DUMMYFUNCTION("""COMPUTED_VALUE"""),65.0)</f>
        <v>65</v>
      </c>
      <c r="F6334" s="19" t="str">
        <f>IFERROR(__xludf.DUMMYFUNCTION("""COMPUTED_VALUE"""),"BLUE")</f>
        <v>BLUE</v>
      </c>
      <c r="G6334" s="20" t="str">
        <f>IFERROR(__xludf.DUMMYFUNCTION("""COMPUTED_VALUE"""),"Uncle Sams Cider (04/04/2023)")</f>
        <v>Uncle Sams Cider (04/04/2023)</v>
      </c>
      <c r="H6334" s="19"/>
    </row>
    <row r="6335">
      <c r="A6335" s="9"/>
      <c r="B6335" s="15"/>
      <c r="C6335" s="9">
        <f>IFERROR(__xludf.DUMMYFUNCTION("""COMPUTED_VALUE"""),45078.1420327083)</f>
        <v>45078.14203</v>
      </c>
      <c r="D6335" s="15">
        <f>IFERROR(__xludf.DUMMYFUNCTION("""COMPUTED_VALUE"""),1.007)</f>
        <v>1.007</v>
      </c>
      <c r="E6335" s="16">
        <f>IFERROR(__xludf.DUMMYFUNCTION("""COMPUTED_VALUE"""),65.0)</f>
        <v>65</v>
      </c>
      <c r="F6335" s="19" t="str">
        <f>IFERROR(__xludf.DUMMYFUNCTION("""COMPUTED_VALUE"""),"BLUE")</f>
        <v>BLUE</v>
      </c>
      <c r="G6335" s="20" t="str">
        <f>IFERROR(__xludf.DUMMYFUNCTION("""COMPUTED_VALUE"""),"Uncle Sams Cider (04/04/2023)")</f>
        <v>Uncle Sams Cider (04/04/2023)</v>
      </c>
      <c r="H6335" s="19"/>
    </row>
    <row r="6336">
      <c r="A6336" s="9"/>
      <c r="B6336" s="15"/>
      <c r="C6336" s="9">
        <f>IFERROR(__xludf.DUMMYFUNCTION("""COMPUTED_VALUE"""),45078.1316110995)</f>
        <v>45078.13161</v>
      </c>
      <c r="D6336" s="15">
        <f>IFERROR(__xludf.DUMMYFUNCTION("""COMPUTED_VALUE"""),1.007)</f>
        <v>1.007</v>
      </c>
      <c r="E6336" s="16">
        <f>IFERROR(__xludf.DUMMYFUNCTION("""COMPUTED_VALUE"""),65.0)</f>
        <v>65</v>
      </c>
      <c r="F6336" s="19" t="str">
        <f>IFERROR(__xludf.DUMMYFUNCTION("""COMPUTED_VALUE"""),"BLUE")</f>
        <v>BLUE</v>
      </c>
      <c r="G6336" s="20" t="str">
        <f>IFERROR(__xludf.DUMMYFUNCTION("""COMPUTED_VALUE"""),"Uncle Sams Cider (04/04/2023)")</f>
        <v>Uncle Sams Cider (04/04/2023)</v>
      </c>
      <c r="H6336" s="19"/>
    </row>
    <row r="6337">
      <c r="A6337" s="9"/>
      <c r="B6337" s="15"/>
      <c r="C6337" s="9">
        <f>IFERROR(__xludf.DUMMYFUNCTION("""COMPUTED_VALUE"""),45078.1211895601)</f>
        <v>45078.12119</v>
      </c>
      <c r="D6337" s="15">
        <f>IFERROR(__xludf.DUMMYFUNCTION("""COMPUTED_VALUE"""),1.007)</f>
        <v>1.007</v>
      </c>
      <c r="E6337" s="16">
        <f>IFERROR(__xludf.DUMMYFUNCTION("""COMPUTED_VALUE"""),65.0)</f>
        <v>65</v>
      </c>
      <c r="F6337" s="19" t="str">
        <f>IFERROR(__xludf.DUMMYFUNCTION("""COMPUTED_VALUE"""),"BLUE")</f>
        <v>BLUE</v>
      </c>
      <c r="G6337" s="20" t="str">
        <f>IFERROR(__xludf.DUMMYFUNCTION("""COMPUTED_VALUE"""),"Uncle Sams Cider (04/04/2023)")</f>
        <v>Uncle Sams Cider (04/04/2023)</v>
      </c>
      <c r="H6337" s="19"/>
    </row>
    <row r="6338">
      <c r="A6338" s="9"/>
      <c r="B6338" s="15"/>
      <c r="C6338" s="9">
        <f>IFERROR(__xludf.DUMMYFUNCTION("""COMPUTED_VALUE"""),45078.110769618)</f>
        <v>45078.11077</v>
      </c>
      <c r="D6338" s="15">
        <f>IFERROR(__xludf.DUMMYFUNCTION("""COMPUTED_VALUE"""),1.007)</f>
        <v>1.007</v>
      </c>
      <c r="E6338" s="16">
        <f>IFERROR(__xludf.DUMMYFUNCTION("""COMPUTED_VALUE"""),65.0)</f>
        <v>65</v>
      </c>
      <c r="F6338" s="19" t="str">
        <f>IFERROR(__xludf.DUMMYFUNCTION("""COMPUTED_VALUE"""),"BLUE")</f>
        <v>BLUE</v>
      </c>
      <c r="G6338" s="20" t="str">
        <f>IFERROR(__xludf.DUMMYFUNCTION("""COMPUTED_VALUE"""),"Uncle Sams Cider (04/04/2023)")</f>
        <v>Uncle Sams Cider (04/04/2023)</v>
      </c>
      <c r="H6338" s="19"/>
    </row>
    <row r="6339">
      <c r="A6339" s="9"/>
      <c r="B6339" s="15"/>
      <c r="C6339" s="9">
        <f>IFERROR(__xludf.DUMMYFUNCTION("""COMPUTED_VALUE"""),45078.1003484838)</f>
        <v>45078.10035</v>
      </c>
      <c r="D6339" s="15">
        <f>IFERROR(__xludf.DUMMYFUNCTION("""COMPUTED_VALUE"""),1.007)</f>
        <v>1.007</v>
      </c>
      <c r="E6339" s="16">
        <f>IFERROR(__xludf.DUMMYFUNCTION("""COMPUTED_VALUE"""),65.0)</f>
        <v>65</v>
      </c>
      <c r="F6339" s="19" t="str">
        <f>IFERROR(__xludf.DUMMYFUNCTION("""COMPUTED_VALUE"""),"BLUE")</f>
        <v>BLUE</v>
      </c>
      <c r="G6339" s="20" t="str">
        <f>IFERROR(__xludf.DUMMYFUNCTION("""COMPUTED_VALUE"""),"Uncle Sams Cider (04/04/2023)")</f>
        <v>Uncle Sams Cider (04/04/2023)</v>
      </c>
      <c r="H6339" s="19"/>
    </row>
    <row r="6340">
      <c r="A6340" s="9"/>
      <c r="B6340" s="15"/>
      <c r="C6340" s="9">
        <f>IFERROR(__xludf.DUMMYFUNCTION("""COMPUTED_VALUE"""),45078.0899274652)</f>
        <v>45078.08993</v>
      </c>
      <c r="D6340" s="15">
        <f>IFERROR(__xludf.DUMMYFUNCTION("""COMPUTED_VALUE"""),1.007)</f>
        <v>1.007</v>
      </c>
      <c r="E6340" s="16">
        <f>IFERROR(__xludf.DUMMYFUNCTION("""COMPUTED_VALUE"""),65.0)</f>
        <v>65</v>
      </c>
      <c r="F6340" s="19" t="str">
        <f>IFERROR(__xludf.DUMMYFUNCTION("""COMPUTED_VALUE"""),"BLUE")</f>
        <v>BLUE</v>
      </c>
      <c r="G6340" s="20" t="str">
        <f>IFERROR(__xludf.DUMMYFUNCTION("""COMPUTED_VALUE"""),"Uncle Sams Cider (04/04/2023)")</f>
        <v>Uncle Sams Cider (04/04/2023)</v>
      </c>
      <c r="H6340" s="19"/>
    </row>
    <row r="6341">
      <c r="A6341" s="9"/>
      <c r="B6341" s="15"/>
      <c r="C6341" s="9">
        <f>IFERROR(__xludf.DUMMYFUNCTION("""COMPUTED_VALUE"""),45078.0795046759)</f>
        <v>45078.0795</v>
      </c>
      <c r="D6341" s="15">
        <f>IFERROR(__xludf.DUMMYFUNCTION("""COMPUTED_VALUE"""),1.007)</f>
        <v>1.007</v>
      </c>
      <c r="E6341" s="16">
        <f>IFERROR(__xludf.DUMMYFUNCTION("""COMPUTED_VALUE"""),65.0)</f>
        <v>65</v>
      </c>
      <c r="F6341" s="19" t="str">
        <f>IFERROR(__xludf.DUMMYFUNCTION("""COMPUTED_VALUE"""),"BLUE")</f>
        <v>BLUE</v>
      </c>
      <c r="G6341" s="20" t="str">
        <f>IFERROR(__xludf.DUMMYFUNCTION("""COMPUTED_VALUE"""),"Uncle Sams Cider (04/04/2023)")</f>
        <v>Uncle Sams Cider (04/04/2023)</v>
      </c>
      <c r="H6341" s="19"/>
    </row>
    <row r="6342">
      <c r="A6342" s="9"/>
      <c r="B6342" s="15"/>
      <c r="C6342" s="9">
        <f>IFERROR(__xludf.DUMMYFUNCTION("""COMPUTED_VALUE"""),45078.0690834259)</f>
        <v>45078.06908</v>
      </c>
      <c r="D6342" s="15">
        <f>IFERROR(__xludf.DUMMYFUNCTION("""COMPUTED_VALUE"""),1.007)</f>
        <v>1.007</v>
      </c>
      <c r="E6342" s="16">
        <f>IFERROR(__xludf.DUMMYFUNCTION("""COMPUTED_VALUE"""),65.0)</f>
        <v>65</v>
      </c>
      <c r="F6342" s="19" t="str">
        <f>IFERROR(__xludf.DUMMYFUNCTION("""COMPUTED_VALUE"""),"BLUE")</f>
        <v>BLUE</v>
      </c>
      <c r="G6342" s="20" t="str">
        <f>IFERROR(__xludf.DUMMYFUNCTION("""COMPUTED_VALUE"""),"Uncle Sams Cider (04/04/2023)")</f>
        <v>Uncle Sams Cider (04/04/2023)</v>
      </c>
      <c r="H6342" s="19"/>
    </row>
    <row r="6343">
      <c r="A6343" s="9"/>
      <c r="B6343" s="15"/>
      <c r="C6343" s="9">
        <f>IFERROR(__xludf.DUMMYFUNCTION("""COMPUTED_VALUE"""),45078.0586645601)</f>
        <v>45078.05866</v>
      </c>
      <c r="D6343" s="15">
        <f>IFERROR(__xludf.DUMMYFUNCTION("""COMPUTED_VALUE"""),1.007)</f>
        <v>1.007</v>
      </c>
      <c r="E6343" s="16">
        <f>IFERROR(__xludf.DUMMYFUNCTION("""COMPUTED_VALUE"""),65.0)</f>
        <v>65</v>
      </c>
      <c r="F6343" s="19" t="str">
        <f>IFERROR(__xludf.DUMMYFUNCTION("""COMPUTED_VALUE"""),"BLUE")</f>
        <v>BLUE</v>
      </c>
      <c r="G6343" s="20" t="str">
        <f>IFERROR(__xludf.DUMMYFUNCTION("""COMPUTED_VALUE"""),"Uncle Sams Cider (04/04/2023)")</f>
        <v>Uncle Sams Cider (04/04/2023)</v>
      </c>
      <c r="H6343" s="19"/>
    </row>
    <row r="6344">
      <c r="A6344" s="9"/>
      <c r="B6344" s="15"/>
      <c r="C6344" s="9">
        <f>IFERROR(__xludf.DUMMYFUNCTION("""COMPUTED_VALUE"""),45078.0482438541)</f>
        <v>45078.04824</v>
      </c>
      <c r="D6344" s="15">
        <f>IFERROR(__xludf.DUMMYFUNCTION("""COMPUTED_VALUE"""),1.007)</f>
        <v>1.007</v>
      </c>
      <c r="E6344" s="16">
        <f>IFERROR(__xludf.DUMMYFUNCTION("""COMPUTED_VALUE"""),65.0)</f>
        <v>65</v>
      </c>
      <c r="F6344" s="19" t="str">
        <f>IFERROR(__xludf.DUMMYFUNCTION("""COMPUTED_VALUE"""),"BLUE")</f>
        <v>BLUE</v>
      </c>
      <c r="G6344" s="20" t="str">
        <f>IFERROR(__xludf.DUMMYFUNCTION("""COMPUTED_VALUE"""),"Uncle Sams Cider (04/04/2023)")</f>
        <v>Uncle Sams Cider (04/04/2023)</v>
      </c>
      <c r="H6344" s="19"/>
    </row>
    <row r="6345">
      <c r="A6345" s="9"/>
      <c r="B6345" s="15"/>
      <c r="C6345" s="9">
        <f>IFERROR(__xludf.DUMMYFUNCTION("""COMPUTED_VALUE"""),45078.03782375)</f>
        <v>45078.03782</v>
      </c>
      <c r="D6345" s="15">
        <f>IFERROR(__xludf.DUMMYFUNCTION("""COMPUTED_VALUE"""),1.007)</f>
        <v>1.007</v>
      </c>
      <c r="E6345" s="16">
        <f>IFERROR(__xludf.DUMMYFUNCTION("""COMPUTED_VALUE"""),65.0)</f>
        <v>65</v>
      </c>
      <c r="F6345" s="19" t="str">
        <f>IFERROR(__xludf.DUMMYFUNCTION("""COMPUTED_VALUE"""),"BLUE")</f>
        <v>BLUE</v>
      </c>
      <c r="G6345" s="20" t="str">
        <f>IFERROR(__xludf.DUMMYFUNCTION("""COMPUTED_VALUE"""),"Uncle Sams Cider (04/04/2023)")</f>
        <v>Uncle Sams Cider (04/04/2023)</v>
      </c>
      <c r="H6345" s="19"/>
    </row>
    <row r="6346">
      <c r="A6346" s="9"/>
      <c r="B6346" s="15"/>
      <c r="C6346" s="9">
        <f>IFERROR(__xludf.DUMMYFUNCTION("""COMPUTED_VALUE"""),45078.0273318402)</f>
        <v>45078.02733</v>
      </c>
      <c r="D6346" s="15">
        <f>IFERROR(__xludf.DUMMYFUNCTION("""COMPUTED_VALUE"""),1.007)</f>
        <v>1.007</v>
      </c>
      <c r="E6346" s="16">
        <f>IFERROR(__xludf.DUMMYFUNCTION("""COMPUTED_VALUE"""),65.0)</f>
        <v>65</v>
      </c>
      <c r="F6346" s="19" t="str">
        <f>IFERROR(__xludf.DUMMYFUNCTION("""COMPUTED_VALUE"""),"BLUE")</f>
        <v>BLUE</v>
      </c>
      <c r="G6346" s="20" t="str">
        <f>IFERROR(__xludf.DUMMYFUNCTION("""COMPUTED_VALUE"""),"Uncle Sams Cider (04/04/2023)")</f>
        <v>Uncle Sams Cider (04/04/2023)</v>
      </c>
      <c r="H6346" s="19"/>
    </row>
    <row r="6347">
      <c r="A6347" s="9"/>
      <c r="B6347" s="15"/>
      <c r="C6347" s="9">
        <f>IFERROR(__xludf.DUMMYFUNCTION("""COMPUTED_VALUE"""),45078.0169116088)</f>
        <v>45078.01691</v>
      </c>
      <c r="D6347" s="15">
        <f>IFERROR(__xludf.DUMMYFUNCTION("""COMPUTED_VALUE"""),1.007)</f>
        <v>1.007</v>
      </c>
      <c r="E6347" s="16">
        <f>IFERROR(__xludf.DUMMYFUNCTION("""COMPUTED_VALUE"""),65.0)</f>
        <v>65</v>
      </c>
      <c r="F6347" s="19" t="str">
        <f>IFERROR(__xludf.DUMMYFUNCTION("""COMPUTED_VALUE"""),"BLUE")</f>
        <v>BLUE</v>
      </c>
      <c r="G6347" s="20" t="str">
        <f>IFERROR(__xludf.DUMMYFUNCTION("""COMPUTED_VALUE"""),"Uncle Sams Cider (04/04/2023)")</f>
        <v>Uncle Sams Cider (04/04/2023)</v>
      </c>
      <c r="H6347" s="19"/>
    </row>
    <row r="6348">
      <c r="A6348" s="9"/>
      <c r="B6348" s="15"/>
      <c r="C6348" s="9">
        <f>IFERROR(__xludf.DUMMYFUNCTION("""COMPUTED_VALUE"""),45078.006467905)</f>
        <v>45078.00647</v>
      </c>
      <c r="D6348" s="15">
        <f>IFERROR(__xludf.DUMMYFUNCTION("""COMPUTED_VALUE"""),1.007)</f>
        <v>1.007</v>
      </c>
      <c r="E6348" s="16">
        <f>IFERROR(__xludf.DUMMYFUNCTION("""COMPUTED_VALUE"""),65.0)</f>
        <v>65</v>
      </c>
      <c r="F6348" s="19" t="str">
        <f>IFERROR(__xludf.DUMMYFUNCTION("""COMPUTED_VALUE"""),"BLUE")</f>
        <v>BLUE</v>
      </c>
      <c r="G6348" s="20" t="str">
        <f>IFERROR(__xludf.DUMMYFUNCTION("""COMPUTED_VALUE"""),"Uncle Sams Cider (04/04/2023)")</f>
        <v>Uncle Sams Cider (04/04/2023)</v>
      </c>
      <c r="H6348" s="19"/>
    </row>
    <row r="6349">
      <c r="A6349" s="9"/>
      <c r="B6349" s="15"/>
      <c r="C6349" s="9">
        <f>IFERROR(__xludf.DUMMYFUNCTION("""COMPUTED_VALUE"""),45077.9960444675)</f>
        <v>45077.99604</v>
      </c>
      <c r="D6349" s="15">
        <f>IFERROR(__xludf.DUMMYFUNCTION("""COMPUTED_VALUE"""),1.007)</f>
        <v>1.007</v>
      </c>
      <c r="E6349" s="16">
        <f>IFERROR(__xludf.DUMMYFUNCTION("""COMPUTED_VALUE"""),65.0)</f>
        <v>65</v>
      </c>
      <c r="F6349" s="19" t="str">
        <f>IFERROR(__xludf.DUMMYFUNCTION("""COMPUTED_VALUE"""),"BLUE")</f>
        <v>BLUE</v>
      </c>
      <c r="G6349" s="20" t="str">
        <f>IFERROR(__xludf.DUMMYFUNCTION("""COMPUTED_VALUE"""),"Uncle Sams Cider (04/04/2023)")</f>
        <v>Uncle Sams Cider (04/04/2023)</v>
      </c>
      <c r="H6349" s="19"/>
    </row>
    <row r="6350">
      <c r="A6350" s="9"/>
      <c r="B6350" s="15"/>
      <c r="C6350" s="9">
        <f>IFERROR(__xludf.DUMMYFUNCTION("""COMPUTED_VALUE"""),45077.9856235416)</f>
        <v>45077.98562</v>
      </c>
      <c r="D6350" s="15">
        <f>IFERROR(__xludf.DUMMYFUNCTION("""COMPUTED_VALUE"""),1.007)</f>
        <v>1.007</v>
      </c>
      <c r="E6350" s="16">
        <f>IFERROR(__xludf.DUMMYFUNCTION("""COMPUTED_VALUE"""),65.0)</f>
        <v>65</v>
      </c>
      <c r="F6350" s="19" t="str">
        <f>IFERROR(__xludf.DUMMYFUNCTION("""COMPUTED_VALUE"""),"BLUE")</f>
        <v>BLUE</v>
      </c>
      <c r="G6350" s="20" t="str">
        <f>IFERROR(__xludf.DUMMYFUNCTION("""COMPUTED_VALUE"""),"Uncle Sams Cider (04/04/2023)")</f>
        <v>Uncle Sams Cider (04/04/2023)</v>
      </c>
      <c r="H6350" s="19"/>
    </row>
    <row r="6351">
      <c r="A6351" s="9"/>
      <c r="B6351" s="15"/>
      <c r="C6351" s="9">
        <f>IFERROR(__xludf.DUMMYFUNCTION("""COMPUTED_VALUE"""),45077.9751672453)</f>
        <v>45077.97517</v>
      </c>
      <c r="D6351" s="15">
        <f>IFERROR(__xludf.DUMMYFUNCTION("""COMPUTED_VALUE"""),1.007)</f>
        <v>1.007</v>
      </c>
      <c r="E6351" s="16">
        <f>IFERROR(__xludf.DUMMYFUNCTION("""COMPUTED_VALUE"""),65.0)</f>
        <v>65</v>
      </c>
      <c r="F6351" s="19" t="str">
        <f>IFERROR(__xludf.DUMMYFUNCTION("""COMPUTED_VALUE"""),"BLUE")</f>
        <v>BLUE</v>
      </c>
      <c r="G6351" s="20" t="str">
        <f>IFERROR(__xludf.DUMMYFUNCTION("""COMPUTED_VALUE"""),"Uncle Sams Cider (04/04/2023)")</f>
        <v>Uncle Sams Cider (04/04/2023)</v>
      </c>
      <c r="H6351" s="19"/>
    </row>
    <row r="6352">
      <c r="A6352" s="9"/>
      <c r="B6352" s="15"/>
      <c r="C6352" s="9">
        <f>IFERROR(__xludf.DUMMYFUNCTION("""COMPUTED_VALUE"""),45077.9647368171)</f>
        <v>45077.96474</v>
      </c>
      <c r="D6352" s="15">
        <f>IFERROR(__xludf.DUMMYFUNCTION("""COMPUTED_VALUE"""),1.007)</f>
        <v>1.007</v>
      </c>
      <c r="E6352" s="16">
        <f>IFERROR(__xludf.DUMMYFUNCTION("""COMPUTED_VALUE"""),65.0)</f>
        <v>65</v>
      </c>
      <c r="F6352" s="19" t="str">
        <f>IFERROR(__xludf.DUMMYFUNCTION("""COMPUTED_VALUE"""),"BLUE")</f>
        <v>BLUE</v>
      </c>
      <c r="G6352" s="20" t="str">
        <f>IFERROR(__xludf.DUMMYFUNCTION("""COMPUTED_VALUE"""),"Uncle Sams Cider (04/04/2023)")</f>
        <v>Uncle Sams Cider (04/04/2023)</v>
      </c>
      <c r="H6352" s="19"/>
    </row>
    <row r="6353">
      <c r="A6353" s="9"/>
      <c r="B6353" s="15"/>
      <c r="C6353" s="9">
        <f>IFERROR(__xludf.DUMMYFUNCTION("""COMPUTED_VALUE"""),45077.9543169675)</f>
        <v>45077.95432</v>
      </c>
      <c r="D6353" s="15">
        <f>IFERROR(__xludf.DUMMYFUNCTION("""COMPUTED_VALUE"""),1.007)</f>
        <v>1.007</v>
      </c>
      <c r="E6353" s="16">
        <f>IFERROR(__xludf.DUMMYFUNCTION("""COMPUTED_VALUE"""),65.0)</f>
        <v>65</v>
      </c>
      <c r="F6353" s="19" t="str">
        <f>IFERROR(__xludf.DUMMYFUNCTION("""COMPUTED_VALUE"""),"BLUE")</f>
        <v>BLUE</v>
      </c>
      <c r="G6353" s="20" t="str">
        <f>IFERROR(__xludf.DUMMYFUNCTION("""COMPUTED_VALUE"""),"Uncle Sams Cider (04/04/2023)")</f>
        <v>Uncle Sams Cider (04/04/2023)</v>
      </c>
      <c r="H6353" s="19"/>
    </row>
    <row r="6354">
      <c r="A6354" s="9"/>
      <c r="B6354" s="15"/>
      <c r="C6354" s="9">
        <f>IFERROR(__xludf.DUMMYFUNCTION("""COMPUTED_VALUE"""),45077.9438849652)</f>
        <v>45077.94388</v>
      </c>
      <c r="D6354" s="15">
        <f>IFERROR(__xludf.DUMMYFUNCTION("""COMPUTED_VALUE"""),1.007)</f>
        <v>1.007</v>
      </c>
      <c r="E6354" s="16">
        <f>IFERROR(__xludf.DUMMYFUNCTION("""COMPUTED_VALUE"""),65.0)</f>
        <v>65</v>
      </c>
      <c r="F6354" s="19" t="str">
        <f>IFERROR(__xludf.DUMMYFUNCTION("""COMPUTED_VALUE"""),"BLUE")</f>
        <v>BLUE</v>
      </c>
      <c r="G6354" s="20" t="str">
        <f>IFERROR(__xludf.DUMMYFUNCTION("""COMPUTED_VALUE"""),"Uncle Sams Cider (04/04/2023)")</f>
        <v>Uncle Sams Cider (04/04/2023)</v>
      </c>
      <c r="H6354" s="19"/>
    </row>
    <row r="6355">
      <c r="A6355" s="9"/>
      <c r="B6355" s="15"/>
      <c r="C6355" s="9">
        <f>IFERROR(__xludf.DUMMYFUNCTION("""COMPUTED_VALUE"""),45077.9334643055)</f>
        <v>45077.93346</v>
      </c>
      <c r="D6355" s="15">
        <f>IFERROR(__xludf.DUMMYFUNCTION("""COMPUTED_VALUE"""),1.007)</f>
        <v>1.007</v>
      </c>
      <c r="E6355" s="16">
        <f>IFERROR(__xludf.DUMMYFUNCTION("""COMPUTED_VALUE"""),65.0)</f>
        <v>65</v>
      </c>
      <c r="F6355" s="19" t="str">
        <f>IFERROR(__xludf.DUMMYFUNCTION("""COMPUTED_VALUE"""),"BLUE")</f>
        <v>BLUE</v>
      </c>
      <c r="G6355" s="20" t="str">
        <f>IFERROR(__xludf.DUMMYFUNCTION("""COMPUTED_VALUE"""),"Uncle Sams Cider (04/04/2023)")</f>
        <v>Uncle Sams Cider (04/04/2023)</v>
      </c>
      <c r="H6355" s="19"/>
    </row>
    <row r="6356">
      <c r="A6356" s="9"/>
      <c r="B6356" s="15"/>
      <c r="C6356" s="9">
        <f>IFERROR(__xludf.DUMMYFUNCTION("""COMPUTED_VALUE"""),45077.9230435416)</f>
        <v>45077.92304</v>
      </c>
      <c r="D6356" s="15">
        <f>IFERROR(__xludf.DUMMYFUNCTION("""COMPUTED_VALUE"""),1.007)</f>
        <v>1.007</v>
      </c>
      <c r="E6356" s="16">
        <f>IFERROR(__xludf.DUMMYFUNCTION("""COMPUTED_VALUE"""),65.0)</f>
        <v>65</v>
      </c>
      <c r="F6356" s="19" t="str">
        <f>IFERROR(__xludf.DUMMYFUNCTION("""COMPUTED_VALUE"""),"BLUE")</f>
        <v>BLUE</v>
      </c>
      <c r="G6356" s="20" t="str">
        <f>IFERROR(__xludf.DUMMYFUNCTION("""COMPUTED_VALUE"""),"Uncle Sams Cider (04/04/2023)")</f>
        <v>Uncle Sams Cider (04/04/2023)</v>
      </c>
      <c r="H6356" s="19"/>
    </row>
    <row r="6357">
      <c r="A6357" s="9"/>
      <c r="B6357" s="15"/>
      <c r="C6357" s="9">
        <f>IFERROR(__xludf.DUMMYFUNCTION("""COMPUTED_VALUE"""),45077.912611875)</f>
        <v>45077.91261</v>
      </c>
      <c r="D6357" s="15">
        <f>IFERROR(__xludf.DUMMYFUNCTION("""COMPUTED_VALUE"""),1.007)</f>
        <v>1.007</v>
      </c>
      <c r="E6357" s="16">
        <f>IFERROR(__xludf.DUMMYFUNCTION("""COMPUTED_VALUE"""),65.0)</f>
        <v>65</v>
      </c>
      <c r="F6357" s="19" t="str">
        <f>IFERROR(__xludf.DUMMYFUNCTION("""COMPUTED_VALUE"""),"BLUE")</f>
        <v>BLUE</v>
      </c>
      <c r="G6357" s="20" t="str">
        <f>IFERROR(__xludf.DUMMYFUNCTION("""COMPUTED_VALUE"""),"Uncle Sams Cider (04/04/2023)")</f>
        <v>Uncle Sams Cider (04/04/2023)</v>
      </c>
      <c r="H6357" s="19"/>
    </row>
    <row r="6358">
      <c r="A6358" s="9"/>
      <c r="B6358" s="15"/>
      <c r="C6358" s="9">
        <f>IFERROR(__xludf.DUMMYFUNCTION("""COMPUTED_VALUE"""),45077.902178993)</f>
        <v>45077.90218</v>
      </c>
      <c r="D6358" s="15">
        <f>IFERROR(__xludf.DUMMYFUNCTION("""COMPUTED_VALUE"""),1.007)</f>
        <v>1.007</v>
      </c>
      <c r="E6358" s="16">
        <f>IFERROR(__xludf.DUMMYFUNCTION("""COMPUTED_VALUE"""),65.0)</f>
        <v>65</v>
      </c>
      <c r="F6358" s="19" t="str">
        <f>IFERROR(__xludf.DUMMYFUNCTION("""COMPUTED_VALUE"""),"BLUE")</f>
        <v>BLUE</v>
      </c>
      <c r="G6358" s="20" t="str">
        <f>IFERROR(__xludf.DUMMYFUNCTION("""COMPUTED_VALUE"""),"Uncle Sams Cider (04/04/2023)")</f>
        <v>Uncle Sams Cider (04/04/2023)</v>
      </c>
      <c r="H6358" s="19"/>
    </row>
    <row r="6359">
      <c r="A6359" s="9"/>
      <c r="B6359" s="15"/>
      <c r="C6359" s="9">
        <f>IFERROR(__xludf.DUMMYFUNCTION("""COMPUTED_VALUE"""),45077.891747743)</f>
        <v>45077.89175</v>
      </c>
      <c r="D6359" s="15">
        <f>IFERROR(__xludf.DUMMYFUNCTION("""COMPUTED_VALUE"""),1.007)</f>
        <v>1.007</v>
      </c>
      <c r="E6359" s="16">
        <f>IFERROR(__xludf.DUMMYFUNCTION("""COMPUTED_VALUE"""),65.0)</f>
        <v>65</v>
      </c>
      <c r="F6359" s="19" t="str">
        <f>IFERROR(__xludf.DUMMYFUNCTION("""COMPUTED_VALUE"""),"BLUE")</f>
        <v>BLUE</v>
      </c>
      <c r="G6359" s="20" t="str">
        <f>IFERROR(__xludf.DUMMYFUNCTION("""COMPUTED_VALUE"""),"Uncle Sams Cider (04/04/2023)")</f>
        <v>Uncle Sams Cider (04/04/2023)</v>
      </c>
      <c r="H6359" s="19"/>
    </row>
    <row r="6360">
      <c r="A6360" s="9"/>
      <c r="B6360" s="15"/>
      <c r="C6360" s="9">
        <f>IFERROR(__xludf.DUMMYFUNCTION("""COMPUTED_VALUE"""),45077.8813138078)</f>
        <v>45077.88131</v>
      </c>
      <c r="D6360" s="15">
        <f>IFERROR(__xludf.DUMMYFUNCTION("""COMPUTED_VALUE"""),1.007)</f>
        <v>1.007</v>
      </c>
      <c r="E6360" s="16">
        <f>IFERROR(__xludf.DUMMYFUNCTION("""COMPUTED_VALUE"""),65.0)</f>
        <v>65</v>
      </c>
      <c r="F6360" s="19" t="str">
        <f>IFERROR(__xludf.DUMMYFUNCTION("""COMPUTED_VALUE"""),"BLUE")</f>
        <v>BLUE</v>
      </c>
      <c r="G6360" s="20" t="str">
        <f>IFERROR(__xludf.DUMMYFUNCTION("""COMPUTED_VALUE"""),"Uncle Sams Cider (04/04/2023)")</f>
        <v>Uncle Sams Cider (04/04/2023)</v>
      </c>
      <c r="H6360" s="19"/>
    </row>
    <row r="6361">
      <c r="A6361" s="9"/>
      <c r="B6361" s="15"/>
      <c r="C6361" s="9">
        <f>IFERROR(__xludf.DUMMYFUNCTION("""COMPUTED_VALUE"""),45077.8708789467)</f>
        <v>45077.87088</v>
      </c>
      <c r="D6361" s="15">
        <f>IFERROR(__xludf.DUMMYFUNCTION("""COMPUTED_VALUE"""),1.007)</f>
        <v>1.007</v>
      </c>
      <c r="E6361" s="16">
        <f>IFERROR(__xludf.DUMMYFUNCTION("""COMPUTED_VALUE"""),65.0)</f>
        <v>65</v>
      </c>
      <c r="F6361" s="19" t="str">
        <f>IFERROR(__xludf.DUMMYFUNCTION("""COMPUTED_VALUE"""),"BLUE")</f>
        <v>BLUE</v>
      </c>
      <c r="G6361" s="20" t="str">
        <f>IFERROR(__xludf.DUMMYFUNCTION("""COMPUTED_VALUE"""),"Uncle Sams Cider (04/04/2023)")</f>
        <v>Uncle Sams Cider (04/04/2023)</v>
      </c>
      <c r="H6361" s="19"/>
    </row>
    <row r="6362">
      <c r="A6362" s="9"/>
      <c r="B6362" s="15"/>
      <c r="C6362" s="9">
        <f>IFERROR(__xludf.DUMMYFUNCTION("""COMPUTED_VALUE"""),45077.8604594675)</f>
        <v>45077.86046</v>
      </c>
      <c r="D6362" s="15">
        <f>IFERROR(__xludf.DUMMYFUNCTION("""COMPUTED_VALUE"""),1.007)</f>
        <v>1.007</v>
      </c>
      <c r="E6362" s="16">
        <f>IFERROR(__xludf.DUMMYFUNCTION("""COMPUTED_VALUE"""),65.0)</f>
        <v>65</v>
      </c>
      <c r="F6362" s="19" t="str">
        <f>IFERROR(__xludf.DUMMYFUNCTION("""COMPUTED_VALUE"""),"BLUE")</f>
        <v>BLUE</v>
      </c>
      <c r="G6362" s="20" t="str">
        <f>IFERROR(__xludf.DUMMYFUNCTION("""COMPUTED_VALUE"""),"Uncle Sams Cider (04/04/2023)")</f>
        <v>Uncle Sams Cider (04/04/2023)</v>
      </c>
      <c r="H6362" s="19"/>
    </row>
    <row r="6363">
      <c r="A6363" s="9"/>
      <c r="B6363" s="15"/>
      <c r="C6363" s="9">
        <f>IFERROR(__xludf.DUMMYFUNCTION("""COMPUTED_VALUE"""),45077.8500269328)</f>
        <v>45077.85003</v>
      </c>
      <c r="D6363" s="15">
        <f>IFERROR(__xludf.DUMMYFUNCTION("""COMPUTED_VALUE"""),1.007)</f>
        <v>1.007</v>
      </c>
      <c r="E6363" s="16">
        <f>IFERROR(__xludf.DUMMYFUNCTION("""COMPUTED_VALUE"""),65.0)</f>
        <v>65</v>
      </c>
      <c r="F6363" s="19" t="str">
        <f>IFERROR(__xludf.DUMMYFUNCTION("""COMPUTED_VALUE"""),"BLUE")</f>
        <v>BLUE</v>
      </c>
      <c r="G6363" s="20" t="str">
        <f>IFERROR(__xludf.DUMMYFUNCTION("""COMPUTED_VALUE"""),"Uncle Sams Cider (04/04/2023)")</f>
        <v>Uncle Sams Cider (04/04/2023)</v>
      </c>
      <c r="H6363" s="19"/>
    </row>
    <row r="6364">
      <c r="A6364" s="9"/>
      <c r="B6364" s="15"/>
      <c r="C6364" s="9">
        <f>IFERROR(__xludf.DUMMYFUNCTION("""COMPUTED_VALUE"""),45077.839606331)</f>
        <v>45077.83961</v>
      </c>
      <c r="D6364" s="15">
        <f>IFERROR(__xludf.DUMMYFUNCTION("""COMPUTED_VALUE"""),1.007)</f>
        <v>1.007</v>
      </c>
      <c r="E6364" s="16">
        <f>IFERROR(__xludf.DUMMYFUNCTION("""COMPUTED_VALUE"""),65.0)</f>
        <v>65</v>
      </c>
      <c r="F6364" s="19" t="str">
        <f>IFERROR(__xludf.DUMMYFUNCTION("""COMPUTED_VALUE"""),"BLUE")</f>
        <v>BLUE</v>
      </c>
      <c r="G6364" s="20" t="str">
        <f>IFERROR(__xludf.DUMMYFUNCTION("""COMPUTED_VALUE"""),"Uncle Sams Cider (04/04/2023)")</f>
        <v>Uncle Sams Cider (04/04/2023)</v>
      </c>
      <c r="H6364" s="19"/>
    </row>
    <row r="6365">
      <c r="A6365" s="9"/>
      <c r="B6365" s="15"/>
      <c r="C6365" s="9">
        <f>IFERROR(__xludf.DUMMYFUNCTION("""COMPUTED_VALUE"""),45077.829185)</f>
        <v>45077.82919</v>
      </c>
      <c r="D6365" s="15">
        <f>IFERROR(__xludf.DUMMYFUNCTION("""COMPUTED_VALUE"""),1.007)</f>
        <v>1.007</v>
      </c>
      <c r="E6365" s="16">
        <f>IFERROR(__xludf.DUMMYFUNCTION("""COMPUTED_VALUE"""),65.0)</f>
        <v>65</v>
      </c>
      <c r="F6365" s="19" t="str">
        <f>IFERROR(__xludf.DUMMYFUNCTION("""COMPUTED_VALUE"""),"BLUE")</f>
        <v>BLUE</v>
      </c>
      <c r="G6365" s="20" t="str">
        <f>IFERROR(__xludf.DUMMYFUNCTION("""COMPUTED_VALUE"""),"Uncle Sams Cider (04/04/2023)")</f>
        <v>Uncle Sams Cider (04/04/2023)</v>
      </c>
      <c r="H6365" s="19"/>
    </row>
    <row r="6366">
      <c r="A6366" s="9"/>
      <c r="B6366" s="15"/>
      <c r="C6366" s="9">
        <f>IFERROR(__xludf.DUMMYFUNCTION("""COMPUTED_VALUE"""),45077.8187639351)</f>
        <v>45077.81876</v>
      </c>
      <c r="D6366" s="15">
        <f>IFERROR(__xludf.DUMMYFUNCTION("""COMPUTED_VALUE"""),1.007)</f>
        <v>1.007</v>
      </c>
      <c r="E6366" s="16">
        <f>IFERROR(__xludf.DUMMYFUNCTION("""COMPUTED_VALUE"""),65.0)</f>
        <v>65</v>
      </c>
      <c r="F6366" s="19" t="str">
        <f>IFERROR(__xludf.DUMMYFUNCTION("""COMPUTED_VALUE"""),"BLUE")</f>
        <v>BLUE</v>
      </c>
      <c r="G6366" s="20" t="str">
        <f>IFERROR(__xludf.DUMMYFUNCTION("""COMPUTED_VALUE"""),"Uncle Sams Cider (04/04/2023)")</f>
        <v>Uncle Sams Cider (04/04/2023)</v>
      </c>
      <c r="H6366" s="19"/>
    </row>
    <row r="6367">
      <c r="A6367" s="9"/>
      <c r="B6367" s="15"/>
      <c r="C6367" s="9">
        <f>IFERROR(__xludf.DUMMYFUNCTION("""COMPUTED_VALUE"""),45077.8083433449)</f>
        <v>45077.80834</v>
      </c>
      <c r="D6367" s="15">
        <f>IFERROR(__xludf.DUMMYFUNCTION("""COMPUTED_VALUE"""),1.007)</f>
        <v>1.007</v>
      </c>
      <c r="E6367" s="16">
        <f>IFERROR(__xludf.DUMMYFUNCTION("""COMPUTED_VALUE"""),65.0)</f>
        <v>65</v>
      </c>
      <c r="F6367" s="19" t="str">
        <f>IFERROR(__xludf.DUMMYFUNCTION("""COMPUTED_VALUE"""),"BLUE")</f>
        <v>BLUE</v>
      </c>
      <c r="G6367" s="20" t="str">
        <f>IFERROR(__xludf.DUMMYFUNCTION("""COMPUTED_VALUE"""),"Uncle Sams Cider (04/04/2023)")</f>
        <v>Uncle Sams Cider (04/04/2023)</v>
      </c>
      <c r="H6367" s="19"/>
    </row>
    <row r="6368">
      <c r="A6368" s="9"/>
      <c r="B6368" s="15"/>
      <c r="C6368" s="9">
        <f>IFERROR(__xludf.DUMMYFUNCTION("""COMPUTED_VALUE"""),45077.7979221875)</f>
        <v>45077.79792</v>
      </c>
      <c r="D6368" s="15">
        <f>IFERROR(__xludf.DUMMYFUNCTION("""COMPUTED_VALUE"""),1.007)</f>
        <v>1.007</v>
      </c>
      <c r="E6368" s="16">
        <f>IFERROR(__xludf.DUMMYFUNCTION("""COMPUTED_VALUE"""),65.0)</f>
        <v>65</v>
      </c>
      <c r="F6368" s="19" t="str">
        <f>IFERROR(__xludf.DUMMYFUNCTION("""COMPUTED_VALUE"""),"BLUE")</f>
        <v>BLUE</v>
      </c>
      <c r="G6368" s="20" t="str">
        <f>IFERROR(__xludf.DUMMYFUNCTION("""COMPUTED_VALUE"""),"Uncle Sams Cider (04/04/2023)")</f>
        <v>Uncle Sams Cider (04/04/2023)</v>
      </c>
      <c r="H6368" s="19"/>
    </row>
    <row r="6369">
      <c r="A6369" s="9"/>
      <c r="B6369" s="15"/>
      <c r="C6369" s="9">
        <f>IFERROR(__xludf.DUMMYFUNCTION("""COMPUTED_VALUE"""),45077.7875012037)</f>
        <v>45077.7875</v>
      </c>
      <c r="D6369" s="15">
        <f>IFERROR(__xludf.DUMMYFUNCTION("""COMPUTED_VALUE"""),1.007)</f>
        <v>1.007</v>
      </c>
      <c r="E6369" s="16">
        <f>IFERROR(__xludf.DUMMYFUNCTION("""COMPUTED_VALUE"""),65.0)</f>
        <v>65</v>
      </c>
      <c r="F6369" s="19" t="str">
        <f>IFERROR(__xludf.DUMMYFUNCTION("""COMPUTED_VALUE"""),"BLUE")</f>
        <v>BLUE</v>
      </c>
      <c r="G6369" s="20" t="str">
        <f>IFERROR(__xludf.DUMMYFUNCTION("""COMPUTED_VALUE"""),"Uncle Sams Cider (04/04/2023)")</f>
        <v>Uncle Sams Cider (04/04/2023)</v>
      </c>
      <c r="H6369" s="19"/>
    </row>
    <row r="6370">
      <c r="A6370" s="9"/>
      <c r="B6370" s="15"/>
      <c r="C6370" s="9">
        <f>IFERROR(__xludf.DUMMYFUNCTION("""COMPUTED_VALUE"""),45077.7770804398)</f>
        <v>45077.77708</v>
      </c>
      <c r="D6370" s="15">
        <f>IFERROR(__xludf.DUMMYFUNCTION("""COMPUTED_VALUE"""),1.007)</f>
        <v>1.007</v>
      </c>
      <c r="E6370" s="16">
        <f>IFERROR(__xludf.DUMMYFUNCTION("""COMPUTED_VALUE"""),65.0)</f>
        <v>65</v>
      </c>
      <c r="F6370" s="19" t="str">
        <f>IFERROR(__xludf.DUMMYFUNCTION("""COMPUTED_VALUE"""),"BLUE")</f>
        <v>BLUE</v>
      </c>
      <c r="G6370" s="20" t="str">
        <f>IFERROR(__xludf.DUMMYFUNCTION("""COMPUTED_VALUE"""),"Uncle Sams Cider (04/04/2023)")</f>
        <v>Uncle Sams Cider (04/04/2023)</v>
      </c>
      <c r="H6370" s="19"/>
    </row>
    <row r="6371">
      <c r="A6371" s="9"/>
      <c r="B6371" s="15"/>
      <c r="C6371" s="9">
        <f>IFERROR(__xludf.DUMMYFUNCTION("""COMPUTED_VALUE"""),45077.7666476388)</f>
        <v>45077.76665</v>
      </c>
      <c r="D6371" s="15">
        <f>IFERROR(__xludf.DUMMYFUNCTION("""COMPUTED_VALUE"""),1.007)</f>
        <v>1.007</v>
      </c>
      <c r="E6371" s="16">
        <f>IFERROR(__xludf.DUMMYFUNCTION("""COMPUTED_VALUE"""),65.0)</f>
        <v>65</v>
      </c>
      <c r="F6371" s="19" t="str">
        <f>IFERROR(__xludf.DUMMYFUNCTION("""COMPUTED_VALUE"""),"BLUE")</f>
        <v>BLUE</v>
      </c>
      <c r="G6371" s="20" t="str">
        <f>IFERROR(__xludf.DUMMYFUNCTION("""COMPUTED_VALUE"""),"Uncle Sams Cider (04/04/2023)")</f>
        <v>Uncle Sams Cider (04/04/2023)</v>
      </c>
      <c r="H6371" s="19"/>
    </row>
    <row r="6372">
      <c r="A6372" s="9"/>
      <c r="B6372" s="15"/>
      <c r="C6372" s="9">
        <f>IFERROR(__xludf.DUMMYFUNCTION("""COMPUTED_VALUE"""),45077.7562264814)</f>
        <v>45077.75623</v>
      </c>
      <c r="D6372" s="15">
        <f>IFERROR(__xludf.DUMMYFUNCTION("""COMPUTED_VALUE"""),1.007)</f>
        <v>1.007</v>
      </c>
      <c r="E6372" s="16">
        <f>IFERROR(__xludf.DUMMYFUNCTION("""COMPUTED_VALUE"""),65.0)</f>
        <v>65</v>
      </c>
      <c r="F6372" s="19" t="str">
        <f>IFERROR(__xludf.DUMMYFUNCTION("""COMPUTED_VALUE"""),"BLUE")</f>
        <v>BLUE</v>
      </c>
      <c r="G6372" s="20" t="str">
        <f>IFERROR(__xludf.DUMMYFUNCTION("""COMPUTED_VALUE"""),"Uncle Sams Cider (04/04/2023)")</f>
        <v>Uncle Sams Cider (04/04/2023)</v>
      </c>
      <c r="H6372" s="19"/>
    </row>
    <row r="6373">
      <c r="A6373" s="9"/>
      <c r="B6373" s="15"/>
      <c r="C6373" s="9">
        <f>IFERROR(__xludf.DUMMYFUNCTION("""COMPUTED_VALUE"""),45077.7458047916)</f>
        <v>45077.7458</v>
      </c>
      <c r="D6373" s="15">
        <f>IFERROR(__xludf.DUMMYFUNCTION("""COMPUTED_VALUE"""),1.007)</f>
        <v>1.007</v>
      </c>
      <c r="E6373" s="16">
        <f>IFERROR(__xludf.DUMMYFUNCTION("""COMPUTED_VALUE"""),65.0)</f>
        <v>65</v>
      </c>
      <c r="F6373" s="19" t="str">
        <f>IFERROR(__xludf.DUMMYFUNCTION("""COMPUTED_VALUE"""),"BLUE")</f>
        <v>BLUE</v>
      </c>
      <c r="G6373" s="20" t="str">
        <f>IFERROR(__xludf.DUMMYFUNCTION("""COMPUTED_VALUE"""),"Uncle Sams Cider (04/04/2023)")</f>
        <v>Uncle Sams Cider (04/04/2023)</v>
      </c>
      <c r="H6373" s="19"/>
    </row>
    <row r="6374">
      <c r="A6374" s="9"/>
      <c r="B6374" s="15"/>
      <c r="C6374" s="9">
        <f>IFERROR(__xludf.DUMMYFUNCTION("""COMPUTED_VALUE"""),45077.7353849074)</f>
        <v>45077.73538</v>
      </c>
      <c r="D6374" s="15">
        <f>IFERROR(__xludf.DUMMYFUNCTION("""COMPUTED_VALUE"""),1.007)</f>
        <v>1.007</v>
      </c>
      <c r="E6374" s="16">
        <f>IFERROR(__xludf.DUMMYFUNCTION("""COMPUTED_VALUE"""),65.0)</f>
        <v>65</v>
      </c>
      <c r="F6374" s="19" t="str">
        <f>IFERROR(__xludf.DUMMYFUNCTION("""COMPUTED_VALUE"""),"BLUE")</f>
        <v>BLUE</v>
      </c>
      <c r="G6374" s="20" t="str">
        <f>IFERROR(__xludf.DUMMYFUNCTION("""COMPUTED_VALUE"""),"Uncle Sams Cider (04/04/2023)")</f>
        <v>Uncle Sams Cider (04/04/2023)</v>
      </c>
      <c r="H6374" s="19"/>
    </row>
    <row r="6375">
      <c r="A6375" s="9"/>
      <c r="B6375" s="15"/>
      <c r="C6375" s="9">
        <f>IFERROR(__xludf.DUMMYFUNCTION("""COMPUTED_VALUE"""),45077.724962743)</f>
        <v>45077.72496</v>
      </c>
      <c r="D6375" s="15">
        <f>IFERROR(__xludf.DUMMYFUNCTION("""COMPUTED_VALUE"""),1.007)</f>
        <v>1.007</v>
      </c>
      <c r="E6375" s="16">
        <f>IFERROR(__xludf.DUMMYFUNCTION("""COMPUTED_VALUE"""),65.0)</f>
        <v>65</v>
      </c>
      <c r="F6375" s="19" t="str">
        <f>IFERROR(__xludf.DUMMYFUNCTION("""COMPUTED_VALUE"""),"BLUE")</f>
        <v>BLUE</v>
      </c>
      <c r="G6375" s="20" t="str">
        <f>IFERROR(__xludf.DUMMYFUNCTION("""COMPUTED_VALUE"""),"Uncle Sams Cider (04/04/2023)")</f>
        <v>Uncle Sams Cider (04/04/2023)</v>
      </c>
      <c r="H6375" s="19"/>
    </row>
    <row r="6376">
      <c r="A6376" s="9"/>
      <c r="B6376" s="15"/>
      <c r="C6376" s="9">
        <f>IFERROR(__xludf.DUMMYFUNCTION("""COMPUTED_VALUE"""),45077.7145401157)</f>
        <v>45077.71454</v>
      </c>
      <c r="D6376" s="15">
        <f>IFERROR(__xludf.DUMMYFUNCTION("""COMPUTED_VALUE"""),1.007)</f>
        <v>1.007</v>
      </c>
      <c r="E6376" s="16">
        <f>IFERROR(__xludf.DUMMYFUNCTION("""COMPUTED_VALUE"""),65.0)</f>
        <v>65</v>
      </c>
      <c r="F6376" s="19" t="str">
        <f>IFERROR(__xludf.DUMMYFUNCTION("""COMPUTED_VALUE"""),"BLUE")</f>
        <v>BLUE</v>
      </c>
      <c r="G6376" s="20" t="str">
        <f>IFERROR(__xludf.DUMMYFUNCTION("""COMPUTED_VALUE"""),"Uncle Sams Cider (04/04/2023)")</f>
        <v>Uncle Sams Cider (04/04/2023)</v>
      </c>
      <c r="H6376" s="19"/>
    </row>
    <row r="6377">
      <c r="A6377" s="9"/>
      <c r="B6377" s="15"/>
      <c r="C6377" s="9">
        <f>IFERROR(__xludf.DUMMYFUNCTION("""COMPUTED_VALUE"""),45077.7041188657)</f>
        <v>45077.70412</v>
      </c>
      <c r="D6377" s="15">
        <f>IFERROR(__xludf.DUMMYFUNCTION("""COMPUTED_VALUE"""),1.007)</f>
        <v>1.007</v>
      </c>
      <c r="E6377" s="16">
        <f>IFERROR(__xludf.DUMMYFUNCTION("""COMPUTED_VALUE"""),65.0)</f>
        <v>65</v>
      </c>
      <c r="F6377" s="19" t="str">
        <f>IFERROR(__xludf.DUMMYFUNCTION("""COMPUTED_VALUE"""),"BLUE")</f>
        <v>BLUE</v>
      </c>
      <c r="G6377" s="20" t="str">
        <f>IFERROR(__xludf.DUMMYFUNCTION("""COMPUTED_VALUE"""),"Uncle Sams Cider (04/04/2023)")</f>
        <v>Uncle Sams Cider (04/04/2023)</v>
      </c>
      <c r="H6377" s="19"/>
    </row>
    <row r="6378">
      <c r="A6378" s="9"/>
      <c r="B6378" s="15"/>
      <c r="C6378" s="9">
        <f>IFERROR(__xludf.DUMMYFUNCTION("""COMPUTED_VALUE"""),45077.6936849768)</f>
        <v>45077.69368</v>
      </c>
      <c r="D6378" s="15">
        <f>IFERROR(__xludf.DUMMYFUNCTION("""COMPUTED_VALUE"""),1.007)</f>
        <v>1.007</v>
      </c>
      <c r="E6378" s="16">
        <f>IFERROR(__xludf.DUMMYFUNCTION("""COMPUTED_VALUE"""),65.0)</f>
        <v>65</v>
      </c>
      <c r="F6378" s="19" t="str">
        <f>IFERROR(__xludf.DUMMYFUNCTION("""COMPUTED_VALUE"""),"BLUE")</f>
        <v>BLUE</v>
      </c>
      <c r="G6378" s="20" t="str">
        <f>IFERROR(__xludf.DUMMYFUNCTION("""COMPUTED_VALUE"""),"Uncle Sams Cider (04/04/2023)")</f>
        <v>Uncle Sams Cider (04/04/2023)</v>
      </c>
      <c r="H6378" s="19"/>
    </row>
    <row r="6379">
      <c r="A6379" s="9"/>
      <c r="B6379" s="15"/>
      <c r="C6379" s="9">
        <f>IFERROR(__xludf.DUMMYFUNCTION("""COMPUTED_VALUE"""),45077.6832642592)</f>
        <v>45077.68326</v>
      </c>
      <c r="D6379" s="15">
        <f>IFERROR(__xludf.DUMMYFUNCTION("""COMPUTED_VALUE"""),1.007)</f>
        <v>1.007</v>
      </c>
      <c r="E6379" s="16">
        <f>IFERROR(__xludf.DUMMYFUNCTION("""COMPUTED_VALUE"""),65.0)</f>
        <v>65</v>
      </c>
      <c r="F6379" s="19" t="str">
        <f>IFERROR(__xludf.DUMMYFUNCTION("""COMPUTED_VALUE"""),"BLUE")</f>
        <v>BLUE</v>
      </c>
      <c r="G6379" s="20" t="str">
        <f>IFERROR(__xludf.DUMMYFUNCTION("""COMPUTED_VALUE"""),"Uncle Sams Cider (04/04/2023)")</f>
        <v>Uncle Sams Cider (04/04/2023)</v>
      </c>
      <c r="H6379" s="19"/>
    </row>
    <row r="6380">
      <c r="A6380" s="9"/>
      <c r="B6380" s="15"/>
      <c r="C6380" s="9">
        <f>IFERROR(__xludf.DUMMYFUNCTION("""COMPUTED_VALUE"""),45077.6728313773)</f>
        <v>45077.67283</v>
      </c>
      <c r="D6380" s="15">
        <f>IFERROR(__xludf.DUMMYFUNCTION("""COMPUTED_VALUE"""),1.007)</f>
        <v>1.007</v>
      </c>
      <c r="E6380" s="16">
        <f>IFERROR(__xludf.DUMMYFUNCTION("""COMPUTED_VALUE"""),65.0)</f>
        <v>65</v>
      </c>
      <c r="F6380" s="19" t="str">
        <f>IFERROR(__xludf.DUMMYFUNCTION("""COMPUTED_VALUE"""),"BLUE")</f>
        <v>BLUE</v>
      </c>
      <c r="G6380" s="20" t="str">
        <f>IFERROR(__xludf.DUMMYFUNCTION("""COMPUTED_VALUE"""),"Uncle Sams Cider (04/04/2023)")</f>
        <v>Uncle Sams Cider (04/04/2023)</v>
      </c>
      <c r="H6380" s="19"/>
    </row>
    <row r="6381">
      <c r="A6381" s="9"/>
      <c r="B6381" s="15"/>
      <c r="C6381" s="9">
        <f>IFERROR(__xludf.DUMMYFUNCTION("""COMPUTED_VALUE"""),45077.6624114004)</f>
        <v>45077.66241</v>
      </c>
      <c r="D6381" s="15">
        <f>IFERROR(__xludf.DUMMYFUNCTION("""COMPUTED_VALUE"""),1.007)</f>
        <v>1.007</v>
      </c>
      <c r="E6381" s="16">
        <f>IFERROR(__xludf.DUMMYFUNCTION("""COMPUTED_VALUE"""),65.0)</f>
        <v>65</v>
      </c>
      <c r="F6381" s="19" t="str">
        <f>IFERROR(__xludf.DUMMYFUNCTION("""COMPUTED_VALUE"""),"BLUE")</f>
        <v>BLUE</v>
      </c>
      <c r="G6381" s="20" t="str">
        <f>IFERROR(__xludf.DUMMYFUNCTION("""COMPUTED_VALUE"""),"Uncle Sams Cider (04/04/2023)")</f>
        <v>Uncle Sams Cider (04/04/2023)</v>
      </c>
      <c r="H6381" s="19"/>
    </row>
    <row r="6382">
      <c r="A6382" s="9"/>
      <c r="B6382" s="15"/>
      <c r="C6382" s="9">
        <f>IFERROR(__xludf.DUMMYFUNCTION("""COMPUTED_VALUE"""),45077.651988912)</f>
        <v>45077.65199</v>
      </c>
      <c r="D6382" s="15">
        <f>IFERROR(__xludf.DUMMYFUNCTION("""COMPUTED_VALUE"""),1.007)</f>
        <v>1.007</v>
      </c>
      <c r="E6382" s="16">
        <f>IFERROR(__xludf.DUMMYFUNCTION("""COMPUTED_VALUE"""),65.0)</f>
        <v>65</v>
      </c>
      <c r="F6382" s="19" t="str">
        <f>IFERROR(__xludf.DUMMYFUNCTION("""COMPUTED_VALUE"""),"BLUE")</f>
        <v>BLUE</v>
      </c>
      <c r="G6382" s="20" t="str">
        <f>IFERROR(__xludf.DUMMYFUNCTION("""COMPUTED_VALUE"""),"Uncle Sams Cider (04/04/2023)")</f>
        <v>Uncle Sams Cider (04/04/2023)</v>
      </c>
      <c r="H6382" s="19"/>
    </row>
    <row r="6383">
      <c r="A6383" s="9"/>
      <c r="B6383" s="15"/>
      <c r="C6383" s="9">
        <f>IFERROR(__xludf.DUMMYFUNCTION("""COMPUTED_VALUE"""),45077.6415681597)</f>
        <v>45077.64157</v>
      </c>
      <c r="D6383" s="15">
        <f>IFERROR(__xludf.DUMMYFUNCTION("""COMPUTED_VALUE"""),1.007)</f>
        <v>1.007</v>
      </c>
      <c r="E6383" s="16">
        <f>IFERROR(__xludf.DUMMYFUNCTION("""COMPUTED_VALUE"""),65.0)</f>
        <v>65</v>
      </c>
      <c r="F6383" s="19" t="str">
        <f>IFERROR(__xludf.DUMMYFUNCTION("""COMPUTED_VALUE"""),"BLUE")</f>
        <v>BLUE</v>
      </c>
      <c r="G6383" s="20" t="str">
        <f>IFERROR(__xludf.DUMMYFUNCTION("""COMPUTED_VALUE"""),"Uncle Sams Cider (04/04/2023)")</f>
        <v>Uncle Sams Cider (04/04/2023)</v>
      </c>
      <c r="H6383" s="19"/>
    </row>
    <row r="6384">
      <c r="A6384" s="9"/>
      <c r="B6384" s="15"/>
      <c r="C6384" s="9">
        <f>IFERROR(__xludf.DUMMYFUNCTION("""COMPUTED_VALUE"""),45077.6311470833)</f>
        <v>45077.63115</v>
      </c>
      <c r="D6384" s="15">
        <f>IFERROR(__xludf.DUMMYFUNCTION("""COMPUTED_VALUE"""),1.007)</f>
        <v>1.007</v>
      </c>
      <c r="E6384" s="16">
        <f>IFERROR(__xludf.DUMMYFUNCTION("""COMPUTED_VALUE"""),65.0)</f>
        <v>65</v>
      </c>
      <c r="F6384" s="19" t="str">
        <f>IFERROR(__xludf.DUMMYFUNCTION("""COMPUTED_VALUE"""),"BLUE")</f>
        <v>BLUE</v>
      </c>
      <c r="G6384" s="20" t="str">
        <f>IFERROR(__xludf.DUMMYFUNCTION("""COMPUTED_VALUE"""),"Uncle Sams Cider (04/04/2023)")</f>
        <v>Uncle Sams Cider (04/04/2023)</v>
      </c>
      <c r="H6384" s="19"/>
    </row>
    <row r="6385">
      <c r="A6385" s="9"/>
      <c r="B6385" s="15"/>
      <c r="C6385" s="9">
        <f>IFERROR(__xludf.DUMMYFUNCTION("""COMPUTED_VALUE"""),45077.6207159027)</f>
        <v>45077.62072</v>
      </c>
      <c r="D6385" s="15">
        <f>IFERROR(__xludf.DUMMYFUNCTION("""COMPUTED_VALUE"""),1.007)</f>
        <v>1.007</v>
      </c>
      <c r="E6385" s="16">
        <f>IFERROR(__xludf.DUMMYFUNCTION("""COMPUTED_VALUE"""),65.0)</f>
        <v>65</v>
      </c>
      <c r="F6385" s="19" t="str">
        <f>IFERROR(__xludf.DUMMYFUNCTION("""COMPUTED_VALUE"""),"BLUE")</f>
        <v>BLUE</v>
      </c>
      <c r="G6385" s="20" t="str">
        <f>IFERROR(__xludf.DUMMYFUNCTION("""COMPUTED_VALUE"""),"Uncle Sams Cider (04/04/2023)")</f>
        <v>Uncle Sams Cider (04/04/2023)</v>
      </c>
      <c r="H6385" s="19"/>
    </row>
    <row r="6386">
      <c r="A6386" s="9"/>
      <c r="B6386" s="15"/>
      <c r="C6386" s="9">
        <f>IFERROR(__xludf.DUMMYFUNCTION("""COMPUTED_VALUE"""),45077.6102610763)</f>
        <v>45077.61026</v>
      </c>
      <c r="D6386" s="15">
        <f>IFERROR(__xludf.DUMMYFUNCTION("""COMPUTED_VALUE"""),1.007)</f>
        <v>1.007</v>
      </c>
      <c r="E6386" s="16">
        <f>IFERROR(__xludf.DUMMYFUNCTION("""COMPUTED_VALUE"""),65.0)</f>
        <v>65</v>
      </c>
      <c r="F6386" s="19" t="str">
        <f>IFERROR(__xludf.DUMMYFUNCTION("""COMPUTED_VALUE"""),"BLUE")</f>
        <v>BLUE</v>
      </c>
      <c r="G6386" s="20" t="str">
        <f>IFERROR(__xludf.DUMMYFUNCTION("""COMPUTED_VALUE"""),"Uncle Sams Cider (04/04/2023)")</f>
        <v>Uncle Sams Cider (04/04/2023)</v>
      </c>
      <c r="H6386" s="19"/>
    </row>
    <row r="6387">
      <c r="A6387" s="9"/>
      <c r="B6387" s="15"/>
      <c r="C6387" s="9">
        <f>IFERROR(__xludf.DUMMYFUNCTION("""COMPUTED_VALUE"""),45077.5998401041)</f>
        <v>45077.59984</v>
      </c>
      <c r="D6387" s="15">
        <f>IFERROR(__xludf.DUMMYFUNCTION("""COMPUTED_VALUE"""),1.007)</f>
        <v>1.007</v>
      </c>
      <c r="E6387" s="16">
        <f>IFERROR(__xludf.DUMMYFUNCTION("""COMPUTED_VALUE"""),65.0)</f>
        <v>65</v>
      </c>
      <c r="F6387" s="19" t="str">
        <f>IFERROR(__xludf.DUMMYFUNCTION("""COMPUTED_VALUE"""),"BLUE")</f>
        <v>BLUE</v>
      </c>
      <c r="G6387" s="20" t="str">
        <f>IFERROR(__xludf.DUMMYFUNCTION("""COMPUTED_VALUE"""),"Uncle Sams Cider (04/04/2023)")</f>
        <v>Uncle Sams Cider (04/04/2023)</v>
      </c>
      <c r="H6387" s="19"/>
    </row>
    <row r="6388">
      <c r="A6388" s="9"/>
      <c r="B6388" s="15"/>
      <c r="C6388" s="9">
        <f>IFERROR(__xludf.DUMMYFUNCTION("""COMPUTED_VALUE"""),45077.5894185764)</f>
        <v>45077.58942</v>
      </c>
      <c r="D6388" s="15">
        <f>IFERROR(__xludf.DUMMYFUNCTION("""COMPUTED_VALUE"""),1.007)</f>
        <v>1.007</v>
      </c>
      <c r="E6388" s="16">
        <f>IFERROR(__xludf.DUMMYFUNCTION("""COMPUTED_VALUE"""),65.0)</f>
        <v>65</v>
      </c>
      <c r="F6388" s="19" t="str">
        <f>IFERROR(__xludf.DUMMYFUNCTION("""COMPUTED_VALUE"""),"BLUE")</f>
        <v>BLUE</v>
      </c>
      <c r="G6388" s="20" t="str">
        <f>IFERROR(__xludf.DUMMYFUNCTION("""COMPUTED_VALUE"""),"Uncle Sams Cider (04/04/2023)")</f>
        <v>Uncle Sams Cider (04/04/2023)</v>
      </c>
      <c r="H6388" s="19"/>
    </row>
    <row r="6389">
      <c r="A6389" s="9"/>
      <c r="B6389" s="15"/>
      <c r="C6389" s="9">
        <f>IFERROR(__xludf.DUMMYFUNCTION("""COMPUTED_VALUE"""),45077.5789720138)</f>
        <v>45077.57897</v>
      </c>
      <c r="D6389" s="15">
        <f>IFERROR(__xludf.DUMMYFUNCTION("""COMPUTED_VALUE"""),1.007)</f>
        <v>1.007</v>
      </c>
      <c r="E6389" s="16">
        <f>IFERROR(__xludf.DUMMYFUNCTION("""COMPUTED_VALUE"""),65.0)</f>
        <v>65</v>
      </c>
      <c r="F6389" s="19" t="str">
        <f>IFERROR(__xludf.DUMMYFUNCTION("""COMPUTED_VALUE"""),"BLUE")</f>
        <v>BLUE</v>
      </c>
      <c r="G6389" s="20" t="str">
        <f>IFERROR(__xludf.DUMMYFUNCTION("""COMPUTED_VALUE"""),"Uncle Sams Cider (04/04/2023)")</f>
        <v>Uncle Sams Cider (04/04/2023)</v>
      </c>
      <c r="H6389" s="19"/>
    </row>
    <row r="6390">
      <c r="A6390" s="9"/>
      <c r="B6390" s="15"/>
      <c r="C6390" s="9">
        <f>IFERROR(__xludf.DUMMYFUNCTION("""COMPUTED_VALUE"""),45077.5685504976)</f>
        <v>45077.56855</v>
      </c>
      <c r="D6390" s="15">
        <f>IFERROR(__xludf.DUMMYFUNCTION("""COMPUTED_VALUE"""),1.007)</f>
        <v>1.007</v>
      </c>
      <c r="E6390" s="16">
        <f>IFERROR(__xludf.DUMMYFUNCTION("""COMPUTED_VALUE"""),65.0)</f>
        <v>65</v>
      </c>
      <c r="F6390" s="19" t="str">
        <f>IFERROR(__xludf.DUMMYFUNCTION("""COMPUTED_VALUE"""),"BLUE")</f>
        <v>BLUE</v>
      </c>
      <c r="G6390" s="20" t="str">
        <f>IFERROR(__xludf.DUMMYFUNCTION("""COMPUTED_VALUE"""),"Uncle Sams Cider (04/04/2023)")</f>
        <v>Uncle Sams Cider (04/04/2023)</v>
      </c>
      <c r="H6390" s="19"/>
    </row>
    <row r="6391">
      <c r="A6391" s="9"/>
      <c r="B6391" s="15"/>
      <c r="C6391" s="9">
        <f>IFERROR(__xludf.DUMMYFUNCTION("""COMPUTED_VALUE"""),45077.5581054398)</f>
        <v>45077.55811</v>
      </c>
      <c r="D6391" s="15">
        <f>IFERROR(__xludf.DUMMYFUNCTION("""COMPUTED_VALUE"""),1.007)</f>
        <v>1.007</v>
      </c>
      <c r="E6391" s="16">
        <f>IFERROR(__xludf.DUMMYFUNCTION("""COMPUTED_VALUE"""),65.0)</f>
        <v>65</v>
      </c>
      <c r="F6391" s="19" t="str">
        <f>IFERROR(__xludf.DUMMYFUNCTION("""COMPUTED_VALUE"""),"BLUE")</f>
        <v>BLUE</v>
      </c>
      <c r="G6391" s="20" t="str">
        <f>IFERROR(__xludf.DUMMYFUNCTION("""COMPUTED_VALUE"""),"Uncle Sams Cider (04/04/2023)")</f>
        <v>Uncle Sams Cider (04/04/2023)</v>
      </c>
      <c r="H6391" s="19"/>
    </row>
    <row r="6392">
      <c r="A6392" s="9"/>
      <c r="B6392" s="15"/>
      <c r="C6392" s="9">
        <f>IFERROR(__xludf.DUMMYFUNCTION("""COMPUTED_VALUE"""),45077.5476846643)</f>
        <v>45077.54768</v>
      </c>
      <c r="D6392" s="15">
        <f>IFERROR(__xludf.DUMMYFUNCTION("""COMPUTED_VALUE"""),1.007)</f>
        <v>1.007</v>
      </c>
      <c r="E6392" s="16">
        <f>IFERROR(__xludf.DUMMYFUNCTION("""COMPUTED_VALUE"""),65.0)</f>
        <v>65</v>
      </c>
      <c r="F6392" s="19" t="str">
        <f>IFERROR(__xludf.DUMMYFUNCTION("""COMPUTED_VALUE"""),"BLUE")</f>
        <v>BLUE</v>
      </c>
      <c r="G6392" s="20" t="str">
        <f>IFERROR(__xludf.DUMMYFUNCTION("""COMPUTED_VALUE"""),"Uncle Sams Cider (04/04/2023)")</f>
        <v>Uncle Sams Cider (04/04/2023)</v>
      </c>
      <c r="H6392" s="19"/>
    </row>
    <row r="6393">
      <c r="A6393" s="9"/>
      <c r="B6393" s="15"/>
      <c r="C6393" s="9">
        <f>IFERROR(__xludf.DUMMYFUNCTION("""COMPUTED_VALUE"""),45077.5372404861)</f>
        <v>45077.53724</v>
      </c>
      <c r="D6393" s="15">
        <f>IFERROR(__xludf.DUMMYFUNCTION("""COMPUTED_VALUE"""),1.007)</f>
        <v>1.007</v>
      </c>
      <c r="E6393" s="16">
        <f>IFERROR(__xludf.DUMMYFUNCTION("""COMPUTED_VALUE"""),65.0)</f>
        <v>65</v>
      </c>
      <c r="F6393" s="19" t="str">
        <f>IFERROR(__xludf.DUMMYFUNCTION("""COMPUTED_VALUE"""),"BLUE")</f>
        <v>BLUE</v>
      </c>
      <c r="G6393" s="20" t="str">
        <f>IFERROR(__xludf.DUMMYFUNCTION("""COMPUTED_VALUE"""),"Uncle Sams Cider (04/04/2023)")</f>
        <v>Uncle Sams Cider (04/04/2023)</v>
      </c>
      <c r="H6393" s="19"/>
    </row>
    <row r="6394">
      <c r="A6394" s="9"/>
      <c r="B6394" s="15"/>
      <c r="C6394" s="9">
        <f>IFERROR(__xludf.DUMMYFUNCTION("""COMPUTED_VALUE"""),45077.5268184259)</f>
        <v>45077.52682</v>
      </c>
      <c r="D6394" s="15">
        <f>IFERROR(__xludf.DUMMYFUNCTION("""COMPUTED_VALUE"""),1.007)</f>
        <v>1.007</v>
      </c>
      <c r="E6394" s="16">
        <f>IFERROR(__xludf.DUMMYFUNCTION("""COMPUTED_VALUE"""),65.0)</f>
        <v>65</v>
      </c>
      <c r="F6394" s="19" t="str">
        <f>IFERROR(__xludf.DUMMYFUNCTION("""COMPUTED_VALUE"""),"BLUE")</f>
        <v>BLUE</v>
      </c>
      <c r="G6394" s="20" t="str">
        <f>IFERROR(__xludf.DUMMYFUNCTION("""COMPUTED_VALUE"""),"Uncle Sams Cider (04/04/2023)")</f>
        <v>Uncle Sams Cider (04/04/2023)</v>
      </c>
      <c r="H6394" s="19"/>
    </row>
    <row r="6395">
      <c r="A6395" s="9"/>
      <c r="B6395" s="15"/>
      <c r="C6395" s="9">
        <f>IFERROR(__xludf.DUMMYFUNCTION("""COMPUTED_VALUE"""),45077.5163966435)</f>
        <v>45077.5164</v>
      </c>
      <c r="D6395" s="15">
        <f>IFERROR(__xludf.DUMMYFUNCTION("""COMPUTED_VALUE"""),1.007)</f>
        <v>1.007</v>
      </c>
      <c r="E6395" s="16">
        <f>IFERROR(__xludf.DUMMYFUNCTION("""COMPUTED_VALUE"""),65.0)</f>
        <v>65</v>
      </c>
      <c r="F6395" s="19" t="str">
        <f>IFERROR(__xludf.DUMMYFUNCTION("""COMPUTED_VALUE"""),"BLUE")</f>
        <v>BLUE</v>
      </c>
      <c r="G6395" s="20" t="str">
        <f>IFERROR(__xludf.DUMMYFUNCTION("""COMPUTED_VALUE"""),"Uncle Sams Cider (04/04/2023)")</f>
        <v>Uncle Sams Cider (04/04/2023)</v>
      </c>
      <c r="H6395" s="19"/>
    </row>
    <row r="6396">
      <c r="A6396" s="9"/>
      <c r="B6396" s="15"/>
      <c r="C6396" s="9">
        <f>IFERROR(__xludf.DUMMYFUNCTION("""COMPUTED_VALUE"""),45077.5059746412)</f>
        <v>45077.50597</v>
      </c>
      <c r="D6396" s="15">
        <f>IFERROR(__xludf.DUMMYFUNCTION("""COMPUTED_VALUE"""),1.007)</f>
        <v>1.007</v>
      </c>
      <c r="E6396" s="16">
        <f>IFERROR(__xludf.DUMMYFUNCTION("""COMPUTED_VALUE"""),65.0)</f>
        <v>65</v>
      </c>
      <c r="F6396" s="19" t="str">
        <f>IFERROR(__xludf.DUMMYFUNCTION("""COMPUTED_VALUE"""),"BLUE")</f>
        <v>BLUE</v>
      </c>
      <c r="G6396" s="20" t="str">
        <f>IFERROR(__xludf.DUMMYFUNCTION("""COMPUTED_VALUE"""),"Uncle Sams Cider (04/04/2023)")</f>
        <v>Uncle Sams Cider (04/04/2023)</v>
      </c>
      <c r="H6396" s="19"/>
    </row>
    <row r="6397">
      <c r="A6397" s="9"/>
      <c r="B6397" s="15"/>
      <c r="C6397" s="9">
        <f>IFERROR(__xludf.DUMMYFUNCTION("""COMPUTED_VALUE"""),45077.4955537731)</f>
        <v>45077.49555</v>
      </c>
      <c r="D6397" s="15">
        <f>IFERROR(__xludf.DUMMYFUNCTION("""COMPUTED_VALUE"""),1.007)</f>
        <v>1.007</v>
      </c>
      <c r="E6397" s="16">
        <f>IFERROR(__xludf.DUMMYFUNCTION("""COMPUTED_VALUE"""),65.0)</f>
        <v>65</v>
      </c>
      <c r="F6397" s="19" t="str">
        <f>IFERROR(__xludf.DUMMYFUNCTION("""COMPUTED_VALUE"""),"BLUE")</f>
        <v>BLUE</v>
      </c>
      <c r="G6397" s="20" t="str">
        <f>IFERROR(__xludf.DUMMYFUNCTION("""COMPUTED_VALUE"""),"Uncle Sams Cider (04/04/2023)")</f>
        <v>Uncle Sams Cider (04/04/2023)</v>
      </c>
      <c r="H6397" s="19"/>
    </row>
    <row r="6398">
      <c r="A6398" s="9"/>
      <c r="B6398" s="15"/>
      <c r="C6398" s="9">
        <f>IFERROR(__xludf.DUMMYFUNCTION("""COMPUTED_VALUE"""),45077.4851316203)</f>
        <v>45077.48513</v>
      </c>
      <c r="D6398" s="15">
        <f>IFERROR(__xludf.DUMMYFUNCTION("""COMPUTED_VALUE"""),1.007)</f>
        <v>1.007</v>
      </c>
      <c r="E6398" s="16">
        <f>IFERROR(__xludf.DUMMYFUNCTION("""COMPUTED_VALUE"""),65.0)</f>
        <v>65</v>
      </c>
      <c r="F6398" s="19" t="str">
        <f>IFERROR(__xludf.DUMMYFUNCTION("""COMPUTED_VALUE"""),"BLUE")</f>
        <v>BLUE</v>
      </c>
      <c r="G6398" s="20" t="str">
        <f>IFERROR(__xludf.DUMMYFUNCTION("""COMPUTED_VALUE"""),"Uncle Sams Cider (04/04/2023)")</f>
        <v>Uncle Sams Cider (04/04/2023)</v>
      </c>
      <c r="H6398" s="19"/>
    </row>
    <row r="6399">
      <c r="A6399" s="9"/>
      <c r="B6399" s="15"/>
      <c r="C6399" s="9">
        <f>IFERROR(__xludf.DUMMYFUNCTION("""COMPUTED_VALUE"""),45077.4747102893)</f>
        <v>45077.47471</v>
      </c>
      <c r="D6399" s="15">
        <f>IFERROR(__xludf.DUMMYFUNCTION("""COMPUTED_VALUE"""),1.007)</f>
        <v>1.007</v>
      </c>
      <c r="E6399" s="16">
        <f>IFERROR(__xludf.DUMMYFUNCTION("""COMPUTED_VALUE"""),65.0)</f>
        <v>65</v>
      </c>
      <c r="F6399" s="19" t="str">
        <f>IFERROR(__xludf.DUMMYFUNCTION("""COMPUTED_VALUE"""),"BLUE")</f>
        <v>BLUE</v>
      </c>
      <c r="G6399" s="20" t="str">
        <f>IFERROR(__xludf.DUMMYFUNCTION("""COMPUTED_VALUE"""),"Uncle Sams Cider (04/04/2023)")</f>
        <v>Uncle Sams Cider (04/04/2023)</v>
      </c>
      <c r="H6399" s="19"/>
    </row>
    <row r="6400">
      <c r="A6400" s="9"/>
      <c r="B6400" s="15"/>
      <c r="C6400" s="9">
        <f>IFERROR(__xludf.DUMMYFUNCTION("""COMPUTED_VALUE"""),45077.4642886689)</f>
        <v>45077.46429</v>
      </c>
      <c r="D6400" s="15">
        <f>IFERROR(__xludf.DUMMYFUNCTION("""COMPUTED_VALUE"""),1.007)</f>
        <v>1.007</v>
      </c>
      <c r="E6400" s="16">
        <f>IFERROR(__xludf.DUMMYFUNCTION("""COMPUTED_VALUE"""),65.0)</f>
        <v>65</v>
      </c>
      <c r="F6400" s="19" t="str">
        <f>IFERROR(__xludf.DUMMYFUNCTION("""COMPUTED_VALUE"""),"BLUE")</f>
        <v>BLUE</v>
      </c>
      <c r="G6400" s="20" t="str">
        <f>IFERROR(__xludf.DUMMYFUNCTION("""COMPUTED_VALUE"""),"Uncle Sams Cider (04/04/2023)")</f>
        <v>Uncle Sams Cider (04/04/2023)</v>
      </c>
      <c r="H6400" s="19"/>
    </row>
    <row r="6401">
      <c r="A6401" s="9"/>
      <c r="B6401" s="15"/>
      <c r="C6401" s="9">
        <f>IFERROR(__xludf.DUMMYFUNCTION("""COMPUTED_VALUE"""),45077.4538670138)</f>
        <v>45077.45387</v>
      </c>
      <c r="D6401" s="15">
        <f>IFERROR(__xludf.DUMMYFUNCTION("""COMPUTED_VALUE"""),1.007)</f>
        <v>1.007</v>
      </c>
      <c r="E6401" s="16">
        <f>IFERROR(__xludf.DUMMYFUNCTION("""COMPUTED_VALUE"""),65.0)</f>
        <v>65</v>
      </c>
      <c r="F6401" s="19" t="str">
        <f>IFERROR(__xludf.DUMMYFUNCTION("""COMPUTED_VALUE"""),"BLUE")</f>
        <v>BLUE</v>
      </c>
      <c r="G6401" s="20" t="str">
        <f>IFERROR(__xludf.DUMMYFUNCTION("""COMPUTED_VALUE"""),"Uncle Sams Cider (04/04/2023)")</f>
        <v>Uncle Sams Cider (04/04/2023)</v>
      </c>
      <c r="H6401" s="19"/>
    </row>
    <row r="6402">
      <c r="A6402" s="9"/>
      <c r="B6402" s="15"/>
      <c r="C6402" s="9">
        <f>IFERROR(__xludf.DUMMYFUNCTION("""COMPUTED_VALUE"""),45077.4434454282)</f>
        <v>45077.44345</v>
      </c>
      <c r="D6402" s="15">
        <f>IFERROR(__xludf.DUMMYFUNCTION("""COMPUTED_VALUE"""),1.007)</f>
        <v>1.007</v>
      </c>
      <c r="E6402" s="16">
        <f>IFERROR(__xludf.DUMMYFUNCTION("""COMPUTED_VALUE"""),65.0)</f>
        <v>65</v>
      </c>
      <c r="F6402" s="19" t="str">
        <f>IFERROR(__xludf.DUMMYFUNCTION("""COMPUTED_VALUE"""),"BLUE")</f>
        <v>BLUE</v>
      </c>
      <c r="G6402" s="20" t="str">
        <f>IFERROR(__xludf.DUMMYFUNCTION("""COMPUTED_VALUE"""),"Uncle Sams Cider (04/04/2023)")</f>
        <v>Uncle Sams Cider (04/04/2023)</v>
      </c>
      <c r="H6402" s="19"/>
    </row>
    <row r="6403">
      <c r="A6403" s="9"/>
      <c r="B6403" s="15"/>
      <c r="C6403" s="9">
        <f>IFERROR(__xludf.DUMMYFUNCTION("""COMPUTED_VALUE"""),45077.4330250578)</f>
        <v>45077.43303</v>
      </c>
      <c r="D6403" s="15">
        <f>IFERROR(__xludf.DUMMYFUNCTION("""COMPUTED_VALUE"""),1.007)</f>
        <v>1.007</v>
      </c>
      <c r="E6403" s="16">
        <f>IFERROR(__xludf.DUMMYFUNCTION("""COMPUTED_VALUE"""),65.0)</f>
        <v>65</v>
      </c>
      <c r="F6403" s="19" t="str">
        <f>IFERROR(__xludf.DUMMYFUNCTION("""COMPUTED_VALUE"""),"BLUE")</f>
        <v>BLUE</v>
      </c>
      <c r="G6403" s="20" t="str">
        <f>IFERROR(__xludf.DUMMYFUNCTION("""COMPUTED_VALUE"""),"Uncle Sams Cider (04/04/2023)")</f>
        <v>Uncle Sams Cider (04/04/2023)</v>
      </c>
      <c r="H6403" s="19"/>
    </row>
    <row r="6404">
      <c r="A6404" s="9"/>
      <c r="B6404" s="15"/>
      <c r="C6404" s="9">
        <f>IFERROR(__xludf.DUMMYFUNCTION("""COMPUTED_VALUE"""),45077.4226040856)</f>
        <v>45077.4226</v>
      </c>
      <c r="D6404" s="15">
        <f>IFERROR(__xludf.DUMMYFUNCTION("""COMPUTED_VALUE"""),1.007)</f>
        <v>1.007</v>
      </c>
      <c r="E6404" s="16">
        <f>IFERROR(__xludf.DUMMYFUNCTION("""COMPUTED_VALUE"""),65.0)</f>
        <v>65</v>
      </c>
      <c r="F6404" s="19" t="str">
        <f>IFERROR(__xludf.DUMMYFUNCTION("""COMPUTED_VALUE"""),"BLUE")</f>
        <v>BLUE</v>
      </c>
      <c r="G6404" s="20" t="str">
        <f>IFERROR(__xludf.DUMMYFUNCTION("""COMPUTED_VALUE"""),"Uncle Sams Cider (04/04/2023)")</f>
        <v>Uncle Sams Cider (04/04/2023)</v>
      </c>
      <c r="H6404" s="19"/>
    </row>
    <row r="6405">
      <c r="A6405" s="9"/>
      <c r="B6405" s="15"/>
      <c r="C6405" s="9">
        <f>IFERROR(__xludf.DUMMYFUNCTION("""COMPUTED_VALUE"""),45077.4121844675)</f>
        <v>45077.41218</v>
      </c>
      <c r="D6405" s="15">
        <f>IFERROR(__xludf.DUMMYFUNCTION("""COMPUTED_VALUE"""),1.007)</f>
        <v>1.007</v>
      </c>
      <c r="E6405" s="16">
        <f>IFERROR(__xludf.DUMMYFUNCTION("""COMPUTED_VALUE"""),65.0)</f>
        <v>65</v>
      </c>
      <c r="F6405" s="19" t="str">
        <f>IFERROR(__xludf.DUMMYFUNCTION("""COMPUTED_VALUE"""),"BLUE")</f>
        <v>BLUE</v>
      </c>
      <c r="G6405" s="20" t="str">
        <f>IFERROR(__xludf.DUMMYFUNCTION("""COMPUTED_VALUE"""),"Uncle Sams Cider (04/04/2023)")</f>
        <v>Uncle Sams Cider (04/04/2023)</v>
      </c>
      <c r="H6405" s="19"/>
    </row>
    <row r="6406">
      <c r="A6406" s="9"/>
      <c r="B6406" s="15"/>
      <c r="C6406" s="9">
        <f>IFERROR(__xludf.DUMMYFUNCTION("""COMPUTED_VALUE"""),45077.4017510763)</f>
        <v>45077.40175</v>
      </c>
      <c r="D6406" s="15">
        <f>IFERROR(__xludf.DUMMYFUNCTION("""COMPUTED_VALUE"""),1.007)</f>
        <v>1.007</v>
      </c>
      <c r="E6406" s="16">
        <f>IFERROR(__xludf.DUMMYFUNCTION("""COMPUTED_VALUE"""),65.0)</f>
        <v>65</v>
      </c>
      <c r="F6406" s="19" t="str">
        <f>IFERROR(__xludf.DUMMYFUNCTION("""COMPUTED_VALUE"""),"BLUE")</f>
        <v>BLUE</v>
      </c>
      <c r="G6406" s="20" t="str">
        <f>IFERROR(__xludf.DUMMYFUNCTION("""COMPUTED_VALUE"""),"Uncle Sams Cider (04/04/2023)")</f>
        <v>Uncle Sams Cider (04/04/2023)</v>
      </c>
      <c r="H6406" s="19"/>
    </row>
    <row r="6407">
      <c r="A6407" s="9"/>
      <c r="B6407" s="15"/>
      <c r="C6407" s="9">
        <f>IFERROR(__xludf.DUMMYFUNCTION("""COMPUTED_VALUE"""),45077.3913287963)</f>
        <v>45077.39133</v>
      </c>
      <c r="D6407" s="15">
        <f>IFERROR(__xludf.DUMMYFUNCTION("""COMPUTED_VALUE"""),1.007)</f>
        <v>1.007</v>
      </c>
      <c r="E6407" s="16">
        <f>IFERROR(__xludf.DUMMYFUNCTION("""COMPUTED_VALUE"""),65.0)</f>
        <v>65</v>
      </c>
      <c r="F6407" s="19" t="str">
        <f>IFERROR(__xludf.DUMMYFUNCTION("""COMPUTED_VALUE"""),"BLUE")</f>
        <v>BLUE</v>
      </c>
      <c r="G6407" s="20" t="str">
        <f>IFERROR(__xludf.DUMMYFUNCTION("""COMPUTED_VALUE"""),"Uncle Sams Cider (04/04/2023)")</f>
        <v>Uncle Sams Cider (04/04/2023)</v>
      </c>
      <c r="H6407" s="19"/>
    </row>
    <row r="6408">
      <c r="A6408" s="9"/>
      <c r="B6408" s="15"/>
      <c r="C6408" s="9">
        <f>IFERROR(__xludf.DUMMYFUNCTION("""COMPUTED_VALUE"""),45077.3808954282)</f>
        <v>45077.3809</v>
      </c>
      <c r="D6408" s="15">
        <f>IFERROR(__xludf.DUMMYFUNCTION("""COMPUTED_VALUE"""),1.007)</f>
        <v>1.007</v>
      </c>
      <c r="E6408" s="16">
        <f>IFERROR(__xludf.DUMMYFUNCTION("""COMPUTED_VALUE"""),65.0)</f>
        <v>65</v>
      </c>
      <c r="F6408" s="19" t="str">
        <f>IFERROR(__xludf.DUMMYFUNCTION("""COMPUTED_VALUE"""),"BLUE")</f>
        <v>BLUE</v>
      </c>
      <c r="G6408" s="20" t="str">
        <f>IFERROR(__xludf.DUMMYFUNCTION("""COMPUTED_VALUE"""),"Uncle Sams Cider (04/04/2023)")</f>
        <v>Uncle Sams Cider (04/04/2023)</v>
      </c>
      <c r="H6408" s="19"/>
    </row>
    <row r="6409">
      <c r="A6409" s="9"/>
      <c r="B6409" s="15"/>
      <c r="C6409" s="9">
        <f>IFERROR(__xludf.DUMMYFUNCTION("""COMPUTED_VALUE"""),45077.3704756828)</f>
        <v>45077.37048</v>
      </c>
      <c r="D6409" s="15">
        <f>IFERROR(__xludf.DUMMYFUNCTION("""COMPUTED_VALUE"""),1.007)</f>
        <v>1.007</v>
      </c>
      <c r="E6409" s="16">
        <f>IFERROR(__xludf.DUMMYFUNCTION("""COMPUTED_VALUE"""),65.0)</f>
        <v>65</v>
      </c>
      <c r="F6409" s="19" t="str">
        <f>IFERROR(__xludf.DUMMYFUNCTION("""COMPUTED_VALUE"""),"BLUE")</f>
        <v>BLUE</v>
      </c>
      <c r="G6409" s="20" t="str">
        <f>IFERROR(__xludf.DUMMYFUNCTION("""COMPUTED_VALUE"""),"Uncle Sams Cider (04/04/2023)")</f>
        <v>Uncle Sams Cider (04/04/2023)</v>
      </c>
      <c r="H6409" s="19"/>
    </row>
    <row r="6410">
      <c r="A6410" s="9"/>
      <c r="B6410" s="15"/>
      <c r="C6410" s="9">
        <f>IFERROR(__xludf.DUMMYFUNCTION("""COMPUTED_VALUE"""),45077.3600551851)</f>
        <v>45077.36006</v>
      </c>
      <c r="D6410" s="15">
        <f>IFERROR(__xludf.DUMMYFUNCTION("""COMPUTED_VALUE"""),1.007)</f>
        <v>1.007</v>
      </c>
      <c r="E6410" s="16">
        <f>IFERROR(__xludf.DUMMYFUNCTION("""COMPUTED_VALUE"""),65.0)</f>
        <v>65</v>
      </c>
      <c r="F6410" s="19" t="str">
        <f>IFERROR(__xludf.DUMMYFUNCTION("""COMPUTED_VALUE"""),"BLUE")</f>
        <v>BLUE</v>
      </c>
      <c r="G6410" s="20" t="str">
        <f>IFERROR(__xludf.DUMMYFUNCTION("""COMPUTED_VALUE"""),"Uncle Sams Cider (04/04/2023)")</f>
        <v>Uncle Sams Cider (04/04/2023)</v>
      </c>
      <c r="H6410" s="19"/>
    </row>
    <row r="6411">
      <c r="A6411" s="9"/>
      <c r="B6411" s="15"/>
      <c r="C6411" s="9">
        <f>IFERROR(__xludf.DUMMYFUNCTION("""COMPUTED_VALUE"""),45077.3496219097)</f>
        <v>45077.34962</v>
      </c>
      <c r="D6411" s="15">
        <f>IFERROR(__xludf.DUMMYFUNCTION("""COMPUTED_VALUE"""),1.007)</f>
        <v>1.007</v>
      </c>
      <c r="E6411" s="16">
        <f>IFERROR(__xludf.DUMMYFUNCTION("""COMPUTED_VALUE"""),65.0)</f>
        <v>65</v>
      </c>
      <c r="F6411" s="19" t="str">
        <f>IFERROR(__xludf.DUMMYFUNCTION("""COMPUTED_VALUE"""),"BLUE")</f>
        <v>BLUE</v>
      </c>
      <c r="G6411" s="20" t="str">
        <f>IFERROR(__xludf.DUMMYFUNCTION("""COMPUTED_VALUE"""),"Uncle Sams Cider (04/04/2023)")</f>
        <v>Uncle Sams Cider (04/04/2023)</v>
      </c>
      <c r="H6411" s="19"/>
    </row>
    <row r="6412">
      <c r="A6412" s="9"/>
      <c r="B6412" s="15"/>
      <c r="C6412" s="9">
        <f>IFERROR(__xludf.DUMMYFUNCTION("""COMPUTED_VALUE"""),45077.3391898958)</f>
        <v>45077.33919</v>
      </c>
      <c r="D6412" s="15">
        <f>IFERROR(__xludf.DUMMYFUNCTION("""COMPUTED_VALUE"""),1.007)</f>
        <v>1.007</v>
      </c>
      <c r="E6412" s="16">
        <f>IFERROR(__xludf.DUMMYFUNCTION("""COMPUTED_VALUE"""),65.0)</f>
        <v>65</v>
      </c>
      <c r="F6412" s="19" t="str">
        <f>IFERROR(__xludf.DUMMYFUNCTION("""COMPUTED_VALUE"""),"BLUE")</f>
        <v>BLUE</v>
      </c>
      <c r="G6412" s="20" t="str">
        <f>IFERROR(__xludf.DUMMYFUNCTION("""COMPUTED_VALUE"""),"Uncle Sams Cider (04/04/2023)")</f>
        <v>Uncle Sams Cider (04/04/2023)</v>
      </c>
      <c r="H6412" s="19"/>
    </row>
    <row r="6413">
      <c r="A6413" s="9"/>
      <c r="B6413" s="15"/>
      <c r="C6413" s="9">
        <f>IFERROR(__xludf.DUMMYFUNCTION("""COMPUTED_VALUE"""),45077.3287713078)</f>
        <v>45077.32877</v>
      </c>
      <c r="D6413" s="15">
        <f>IFERROR(__xludf.DUMMYFUNCTION("""COMPUTED_VALUE"""),1.007)</f>
        <v>1.007</v>
      </c>
      <c r="E6413" s="16">
        <f>IFERROR(__xludf.DUMMYFUNCTION("""COMPUTED_VALUE"""),65.0)</f>
        <v>65</v>
      </c>
      <c r="F6413" s="19" t="str">
        <f>IFERROR(__xludf.DUMMYFUNCTION("""COMPUTED_VALUE"""),"BLUE")</f>
        <v>BLUE</v>
      </c>
      <c r="G6413" s="20" t="str">
        <f>IFERROR(__xludf.DUMMYFUNCTION("""COMPUTED_VALUE"""),"Uncle Sams Cider (04/04/2023)")</f>
        <v>Uncle Sams Cider (04/04/2023)</v>
      </c>
      <c r="H6413" s="19"/>
    </row>
    <row r="6414">
      <c r="A6414" s="9"/>
      <c r="B6414" s="15"/>
      <c r="C6414" s="9">
        <f>IFERROR(__xludf.DUMMYFUNCTION("""COMPUTED_VALUE"""),45077.3183496527)</f>
        <v>45077.31835</v>
      </c>
      <c r="D6414" s="15">
        <f>IFERROR(__xludf.DUMMYFUNCTION("""COMPUTED_VALUE"""),1.007)</f>
        <v>1.007</v>
      </c>
      <c r="E6414" s="16">
        <f>IFERROR(__xludf.DUMMYFUNCTION("""COMPUTED_VALUE"""),65.0)</f>
        <v>65</v>
      </c>
      <c r="F6414" s="19" t="str">
        <f>IFERROR(__xludf.DUMMYFUNCTION("""COMPUTED_VALUE"""),"BLUE")</f>
        <v>BLUE</v>
      </c>
      <c r="G6414" s="20" t="str">
        <f>IFERROR(__xludf.DUMMYFUNCTION("""COMPUTED_VALUE"""),"Uncle Sams Cider (04/04/2023)")</f>
        <v>Uncle Sams Cider (04/04/2023)</v>
      </c>
      <c r="H6414" s="19"/>
    </row>
    <row r="6415">
      <c r="A6415" s="9"/>
      <c r="B6415" s="15"/>
      <c r="C6415" s="9">
        <f>IFERROR(__xludf.DUMMYFUNCTION("""COMPUTED_VALUE"""),45077.3079284259)</f>
        <v>45077.30793</v>
      </c>
      <c r="D6415" s="15">
        <f>IFERROR(__xludf.DUMMYFUNCTION("""COMPUTED_VALUE"""),1.007)</f>
        <v>1.007</v>
      </c>
      <c r="E6415" s="16">
        <f>IFERROR(__xludf.DUMMYFUNCTION("""COMPUTED_VALUE"""),65.0)</f>
        <v>65</v>
      </c>
      <c r="F6415" s="19" t="str">
        <f>IFERROR(__xludf.DUMMYFUNCTION("""COMPUTED_VALUE"""),"BLUE")</f>
        <v>BLUE</v>
      </c>
      <c r="G6415" s="20" t="str">
        <f>IFERROR(__xludf.DUMMYFUNCTION("""COMPUTED_VALUE"""),"Uncle Sams Cider (04/04/2023)")</f>
        <v>Uncle Sams Cider (04/04/2023)</v>
      </c>
      <c r="H6415" s="19"/>
    </row>
    <row r="6416">
      <c r="A6416" s="9"/>
      <c r="B6416" s="15"/>
      <c r="C6416" s="9">
        <f>IFERROR(__xludf.DUMMYFUNCTION("""COMPUTED_VALUE"""),45077.2974952777)</f>
        <v>45077.2975</v>
      </c>
      <c r="D6416" s="15">
        <f>IFERROR(__xludf.DUMMYFUNCTION("""COMPUTED_VALUE"""),1.008)</f>
        <v>1.008</v>
      </c>
      <c r="E6416" s="16">
        <f>IFERROR(__xludf.DUMMYFUNCTION("""COMPUTED_VALUE"""),65.0)</f>
        <v>65</v>
      </c>
      <c r="F6416" s="19" t="str">
        <f>IFERROR(__xludf.DUMMYFUNCTION("""COMPUTED_VALUE"""),"BLUE")</f>
        <v>BLUE</v>
      </c>
      <c r="G6416" s="20" t="str">
        <f>IFERROR(__xludf.DUMMYFUNCTION("""COMPUTED_VALUE"""),"Uncle Sams Cider (04/04/2023)")</f>
        <v>Uncle Sams Cider (04/04/2023)</v>
      </c>
      <c r="H6416" s="19"/>
    </row>
    <row r="6417">
      <c r="A6417" s="9"/>
      <c r="B6417" s="15"/>
      <c r="C6417" s="9">
        <f>IFERROR(__xludf.DUMMYFUNCTION("""COMPUTED_VALUE"""),45077.2870637847)</f>
        <v>45077.28706</v>
      </c>
      <c r="D6417" s="15">
        <f>IFERROR(__xludf.DUMMYFUNCTION("""COMPUTED_VALUE"""),1.007)</f>
        <v>1.007</v>
      </c>
      <c r="E6417" s="16">
        <f>IFERROR(__xludf.DUMMYFUNCTION("""COMPUTED_VALUE"""),65.0)</f>
        <v>65</v>
      </c>
      <c r="F6417" s="19" t="str">
        <f>IFERROR(__xludf.DUMMYFUNCTION("""COMPUTED_VALUE"""),"BLUE")</f>
        <v>BLUE</v>
      </c>
      <c r="G6417" s="20" t="str">
        <f>IFERROR(__xludf.DUMMYFUNCTION("""COMPUTED_VALUE"""),"Uncle Sams Cider (04/04/2023)")</f>
        <v>Uncle Sams Cider (04/04/2023)</v>
      </c>
      <c r="H6417" s="19"/>
    </row>
    <row r="6418">
      <c r="A6418" s="9"/>
      <c r="B6418" s="15"/>
      <c r="C6418" s="9">
        <f>IFERROR(__xludf.DUMMYFUNCTION("""COMPUTED_VALUE"""),45077.2766424074)</f>
        <v>45077.27664</v>
      </c>
      <c r="D6418" s="15">
        <f>IFERROR(__xludf.DUMMYFUNCTION("""COMPUTED_VALUE"""),1.007)</f>
        <v>1.007</v>
      </c>
      <c r="E6418" s="16">
        <f>IFERROR(__xludf.DUMMYFUNCTION("""COMPUTED_VALUE"""),65.0)</f>
        <v>65</v>
      </c>
      <c r="F6418" s="19" t="str">
        <f>IFERROR(__xludf.DUMMYFUNCTION("""COMPUTED_VALUE"""),"BLUE")</f>
        <v>BLUE</v>
      </c>
      <c r="G6418" s="20" t="str">
        <f>IFERROR(__xludf.DUMMYFUNCTION("""COMPUTED_VALUE"""),"Uncle Sams Cider (04/04/2023)")</f>
        <v>Uncle Sams Cider (04/04/2023)</v>
      </c>
      <c r="H6418" s="19"/>
    </row>
    <row r="6419">
      <c r="A6419" s="9"/>
      <c r="B6419" s="15"/>
      <c r="C6419" s="9">
        <f>IFERROR(__xludf.DUMMYFUNCTION("""COMPUTED_VALUE"""),45077.2662092824)</f>
        <v>45077.26621</v>
      </c>
      <c r="D6419" s="15">
        <f>IFERROR(__xludf.DUMMYFUNCTION("""COMPUTED_VALUE"""),1.008)</f>
        <v>1.008</v>
      </c>
      <c r="E6419" s="16">
        <f>IFERROR(__xludf.DUMMYFUNCTION("""COMPUTED_VALUE"""),65.0)</f>
        <v>65</v>
      </c>
      <c r="F6419" s="19" t="str">
        <f>IFERROR(__xludf.DUMMYFUNCTION("""COMPUTED_VALUE"""),"BLUE")</f>
        <v>BLUE</v>
      </c>
      <c r="G6419" s="20" t="str">
        <f>IFERROR(__xludf.DUMMYFUNCTION("""COMPUTED_VALUE"""),"Uncle Sams Cider (04/04/2023)")</f>
        <v>Uncle Sams Cider (04/04/2023)</v>
      </c>
      <c r="H6419" s="19"/>
    </row>
    <row r="6420">
      <c r="A6420" s="9"/>
      <c r="B6420" s="15"/>
      <c r="C6420" s="9">
        <f>IFERROR(__xludf.DUMMYFUNCTION("""COMPUTED_VALUE"""),45077.2557648264)</f>
        <v>45077.25576</v>
      </c>
      <c r="D6420" s="15">
        <f>IFERROR(__xludf.DUMMYFUNCTION("""COMPUTED_VALUE"""),1.007)</f>
        <v>1.007</v>
      </c>
      <c r="E6420" s="16">
        <f>IFERROR(__xludf.DUMMYFUNCTION("""COMPUTED_VALUE"""),65.0)</f>
        <v>65</v>
      </c>
      <c r="F6420" s="19" t="str">
        <f>IFERROR(__xludf.DUMMYFUNCTION("""COMPUTED_VALUE"""),"BLUE")</f>
        <v>BLUE</v>
      </c>
      <c r="G6420" s="20" t="str">
        <f>IFERROR(__xludf.DUMMYFUNCTION("""COMPUTED_VALUE"""),"Uncle Sams Cider (04/04/2023)")</f>
        <v>Uncle Sams Cider (04/04/2023)</v>
      </c>
      <c r="H6420" s="19"/>
    </row>
    <row r="6421">
      <c r="A6421" s="9"/>
      <c r="B6421" s="15"/>
      <c r="C6421" s="9">
        <f>IFERROR(__xludf.DUMMYFUNCTION("""COMPUTED_VALUE"""),45077.2453448379)</f>
        <v>45077.24534</v>
      </c>
      <c r="D6421" s="15">
        <f>IFERROR(__xludf.DUMMYFUNCTION("""COMPUTED_VALUE"""),1.007)</f>
        <v>1.007</v>
      </c>
      <c r="E6421" s="16">
        <f>IFERROR(__xludf.DUMMYFUNCTION("""COMPUTED_VALUE"""),65.0)</f>
        <v>65</v>
      </c>
      <c r="F6421" s="19" t="str">
        <f>IFERROR(__xludf.DUMMYFUNCTION("""COMPUTED_VALUE"""),"BLUE")</f>
        <v>BLUE</v>
      </c>
      <c r="G6421" s="20" t="str">
        <f>IFERROR(__xludf.DUMMYFUNCTION("""COMPUTED_VALUE"""),"Uncle Sams Cider (04/04/2023)")</f>
        <v>Uncle Sams Cider (04/04/2023)</v>
      </c>
      <c r="H6421" s="19"/>
    </row>
    <row r="6422">
      <c r="A6422" s="9"/>
      <c r="B6422" s="15"/>
      <c r="C6422" s="9">
        <f>IFERROR(__xludf.DUMMYFUNCTION("""COMPUTED_VALUE"""),45077.2349246296)</f>
        <v>45077.23492</v>
      </c>
      <c r="D6422" s="15">
        <f>IFERROR(__xludf.DUMMYFUNCTION("""COMPUTED_VALUE"""),1.007)</f>
        <v>1.007</v>
      </c>
      <c r="E6422" s="16">
        <f>IFERROR(__xludf.DUMMYFUNCTION("""COMPUTED_VALUE"""),65.0)</f>
        <v>65</v>
      </c>
      <c r="F6422" s="19" t="str">
        <f>IFERROR(__xludf.DUMMYFUNCTION("""COMPUTED_VALUE"""),"BLUE")</f>
        <v>BLUE</v>
      </c>
      <c r="G6422" s="20" t="str">
        <f>IFERROR(__xludf.DUMMYFUNCTION("""COMPUTED_VALUE"""),"Uncle Sams Cider (04/04/2023)")</f>
        <v>Uncle Sams Cider (04/04/2023)</v>
      </c>
      <c r="H6422" s="19"/>
    </row>
    <row r="6423">
      <c r="A6423" s="9"/>
      <c r="B6423" s="15"/>
      <c r="C6423" s="9">
        <f>IFERROR(__xludf.DUMMYFUNCTION("""COMPUTED_VALUE"""),45077.2245036226)</f>
        <v>45077.2245</v>
      </c>
      <c r="D6423" s="15">
        <f>IFERROR(__xludf.DUMMYFUNCTION("""COMPUTED_VALUE"""),1.007)</f>
        <v>1.007</v>
      </c>
      <c r="E6423" s="16">
        <f>IFERROR(__xludf.DUMMYFUNCTION("""COMPUTED_VALUE"""),65.0)</f>
        <v>65</v>
      </c>
      <c r="F6423" s="19" t="str">
        <f>IFERROR(__xludf.DUMMYFUNCTION("""COMPUTED_VALUE"""),"BLUE")</f>
        <v>BLUE</v>
      </c>
      <c r="G6423" s="20" t="str">
        <f>IFERROR(__xludf.DUMMYFUNCTION("""COMPUTED_VALUE"""),"Uncle Sams Cider (04/04/2023)")</f>
        <v>Uncle Sams Cider (04/04/2023)</v>
      </c>
      <c r="H6423" s="19"/>
    </row>
    <row r="6424">
      <c r="A6424" s="9"/>
      <c r="B6424" s="15"/>
      <c r="C6424" s="9">
        <f>IFERROR(__xludf.DUMMYFUNCTION("""COMPUTED_VALUE"""),45077.2140835185)</f>
        <v>45077.21408</v>
      </c>
      <c r="D6424" s="15">
        <f>IFERROR(__xludf.DUMMYFUNCTION("""COMPUTED_VALUE"""),1.007)</f>
        <v>1.007</v>
      </c>
      <c r="E6424" s="16">
        <f>IFERROR(__xludf.DUMMYFUNCTION("""COMPUTED_VALUE"""),65.0)</f>
        <v>65</v>
      </c>
      <c r="F6424" s="19" t="str">
        <f>IFERROR(__xludf.DUMMYFUNCTION("""COMPUTED_VALUE"""),"BLUE")</f>
        <v>BLUE</v>
      </c>
      <c r="G6424" s="20" t="str">
        <f>IFERROR(__xludf.DUMMYFUNCTION("""COMPUTED_VALUE"""),"Uncle Sams Cider (04/04/2023)")</f>
        <v>Uncle Sams Cider (04/04/2023)</v>
      </c>
      <c r="H6424" s="19"/>
    </row>
    <row r="6425">
      <c r="A6425" s="9"/>
      <c r="B6425" s="15"/>
      <c r="C6425" s="9">
        <f>IFERROR(__xludf.DUMMYFUNCTION("""COMPUTED_VALUE"""),45077.2036630208)</f>
        <v>45077.20366</v>
      </c>
      <c r="D6425" s="15">
        <f>IFERROR(__xludf.DUMMYFUNCTION("""COMPUTED_VALUE"""),1.008)</f>
        <v>1.008</v>
      </c>
      <c r="E6425" s="16">
        <f>IFERROR(__xludf.DUMMYFUNCTION("""COMPUTED_VALUE"""),65.0)</f>
        <v>65</v>
      </c>
      <c r="F6425" s="19" t="str">
        <f>IFERROR(__xludf.DUMMYFUNCTION("""COMPUTED_VALUE"""),"BLUE")</f>
        <v>BLUE</v>
      </c>
      <c r="G6425" s="20" t="str">
        <f>IFERROR(__xludf.DUMMYFUNCTION("""COMPUTED_VALUE"""),"Uncle Sams Cider (04/04/2023)")</f>
        <v>Uncle Sams Cider (04/04/2023)</v>
      </c>
      <c r="H6425" s="19"/>
    </row>
    <row r="6426">
      <c r="A6426" s="9"/>
      <c r="B6426" s="15"/>
      <c r="C6426" s="9">
        <f>IFERROR(__xludf.DUMMYFUNCTION("""COMPUTED_VALUE"""),45077.1932425347)</f>
        <v>45077.19324</v>
      </c>
      <c r="D6426" s="15">
        <f>IFERROR(__xludf.DUMMYFUNCTION("""COMPUTED_VALUE"""),1.008)</f>
        <v>1.008</v>
      </c>
      <c r="E6426" s="16">
        <f>IFERROR(__xludf.DUMMYFUNCTION("""COMPUTED_VALUE"""),65.0)</f>
        <v>65</v>
      </c>
      <c r="F6426" s="19" t="str">
        <f>IFERROR(__xludf.DUMMYFUNCTION("""COMPUTED_VALUE"""),"BLUE")</f>
        <v>BLUE</v>
      </c>
      <c r="G6426" s="20" t="str">
        <f>IFERROR(__xludf.DUMMYFUNCTION("""COMPUTED_VALUE"""),"Uncle Sams Cider (04/04/2023)")</f>
        <v>Uncle Sams Cider (04/04/2023)</v>
      </c>
      <c r="H6426" s="19"/>
    </row>
    <row r="6427">
      <c r="A6427" s="9"/>
      <c r="B6427" s="15"/>
      <c r="C6427" s="9">
        <f>IFERROR(__xludf.DUMMYFUNCTION("""COMPUTED_VALUE"""),45077.1828219213)</f>
        <v>45077.18282</v>
      </c>
      <c r="D6427" s="15">
        <f>IFERROR(__xludf.DUMMYFUNCTION("""COMPUTED_VALUE"""),1.008)</f>
        <v>1.008</v>
      </c>
      <c r="E6427" s="16">
        <f>IFERROR(__xludf.DUMMYFUNCTION("""COMPUTED_VALUE"""),65.0)</f>
        <v>65</v>
      </c>
      <c r="F6427" s="19" t="str">
        <f>IFERROR(__xludf.DUMMYFUNCTION("""COMPUTED_VALUE"""),"BLUE")</f>
        <v>BLUE</v>
      </c>
      <c r="G6427" s="20" t="str">
        <f>IFERROR(__xludf.DUMMYFUNCTION("""COMPUTED_VALUE"""),"Uncle Sams Cider (04/04/2023)")</f>
        <v>Uncle Sams Cider (04/04/2023)</v>
      </c>
      <c r="H6427" s="19"/>
    </row>
    <row r="6428">
      <c r="A6428" s="9"/>
      <c r="B6428" s="15"/>
      <c r="C6428" s="9">
        <f>IFERROR(__xludf.DUMMYFUNCTION("""COMPUTED_VALUE"""),45077.1724023495)</f>
        <v>45077.1724</v>
      </c>
      <c r="D6428" s="15">
        <f>IFERROR(__xludf.DUMMYFUNCTION("""COMPUTED_VALUE"""),1.007)</f>
        <v>1.007</v>
      </c>
      <c r="E6428" s="16">
        <f>IFERROR(__xludf.DUMMYFUNCTION("""COMPUTED_VALUE"""),65.0)</f>
        <v>65</v>
      </c>
      <c r="F6428" s="19" t="str">
        <f>IFERROR(__xludf.DUMMYFUNCTION("""COMPUTED_VALUE"""),"BLUE")</f>
        <v>BLUE</v>
      </c>
      <c r="G6428" s="20" t="str">
        <f>IFERROR(__xludf.DUMMYFUNCTION("""COMPUTED_VALUE"""),"Uncle Sams Cider (04/04/2023)")</f>
        <v>Uncle Sams Cider (04/04/2023)</v>
      </c>
      <c r="H6428" s="19"/>
    </row>
    <row r="6429">
      <c r="A6429" s="9"/>
      <c r="B6429" s="15"/>
      <c r="C6429" s="9">
        <f>IFERROR(__xludf.DUMMYFUNCTION("""COMPUTED_VALUE"""),45077.1619568634)</f>
        <v>45077.16196</v>
      </c>
      <c r="D6429" s="15">
        <f>IFERROR(__xludf.DUMMYFUNCTION("""COMPUTED_VALUE"""),1.007)</f>
        <v>1.007</v>
      </c>
      <c r="E6429" s="16">
        <f>IFERROR(__xludf.DUMMYFUNCTION("""COMPUTED_VALUE"""),65.0)</f>
        <v>65</v>
      </c>
      <c r="F6429" s="19" t="str">
        <f>IFERROR(__xludf.DUMMYFUNCTION("""COMPUTED_VALUE"""),"BLUE")</f>
        <v>BLUE</v>
      </c>
      <c r="G6429" s="20" t="str">
        <f>IFERROR(__xludf.DUMMYFUNCTION("""COMPUTED_VALUE"""),"Uncle Sams Cider (04/04/2023)")</f>
        <v>Uncle Sams Cider (04/04/2023)</v>
      </c>
      <c r="H6429" s="19"/>
    </row>
    <row r="6430">
      <c r="A6430" s="9"/>
      <c r="B6430" s="15"/>
      <c r="C6430" s="9">
        <f>IFERROR(__xludf.DUMMYFUNCTION("""COMPUTED_VALUE"""),45077.1515343171)</f>
        <v>45077.15153</v>
      </c>
      <c r="D6430" s="15">
        <f>IFERROR(__xludf.DUMMYFUNCTION("""COMPUTED_VALUE"""),1.007)</f>
        <v>1.007</v>
      </c>
      <c r="E6430" s="16">
        <f>IFERROR(__xludf.DUMMYFUNCTION("""COMPUTED_VALUE"""),65.0)</f>
        <v>65</v>
      </c>
      <c r="F6430" s="19" t="str">
        <f>IFERROR(__xludf.DUMMYFUNCTION("""COMPUTED_VALUE"""),"BLUE")</f>
        <v>BLUE</v>
      </c>
      <c r="G6430" s="20" t="str">
        <f>IFERROR(__xludf.DUMMYFUNCTION("""COMPUTED_VALUE"""),"Uncle Sams Cider (04/04/2023)")</f>
        <v>Uncle Sams Cider (04/04/2023)</v>
      </c>
      <c r="H6430" s="19"/>
    </row>
    <row r="6431">
      <c r="A6431" s="9"/>
      <c r="B6431" s="15"/>
      <c r="C6431" s="9">
        <f>IFERROR(__xludf.DUMMYFUNCTION("""COMPUTED_VALUE"""),45077.1410894328)</f>
        <v>45077.14109</v>
      </c>
      <c r="D6431" s="15">
        <f>IFERROR(__xludf.DUMMYFUNCTION("""COMPUTED_VALUE"""),1.008)</f>
        <v>1.008</v>
      </c>
      <c r="E6431" s="16">
        <f>IFERROR(__xludf.DUMMYFUNCTION("""COMPUTED_VALUE"""),65.0)</f>
        <v>65</v>
      </c>
      <c r="F6431" s="19" t="str">
        <f>IFERROR(__xludf.DUMMYFUNCTION("""COMPUTED_VALUE"""),"BLUE")</f>
        <v>BLUE</v>
      </c>
      <c r="G6431" s="20" t="str">
        <f>IFERROR(__xludf.DUMMYFUNCTION("""COMPUTED_VALUE"""),"Uncle Sams Cider (04/04/2023)")</f>
        <v>Uncle Sams Cider (04/04/2023)</v>
      </c>
      <c r="H6431" s="19"/>
    </row>
    <row r="6432">
      <c r="A6432" s="9"/>
      <c r="B6432" s="15"/>
      <c r="C6432" s="9">
        <f>IFERROR(__xludf.DUMMYFUNCTION("""COMPUTED_VALUE"""),45077.1306673958)</f>
        <v>45077.13067</v>
      </c>
      <c r="D6432" s="15">
        <f>IFERROR(__xludf.DUMMYFUNCTION("""COMPUTED_VALUE"""),1.008)</f>
        <v>1.008</v>
      </c>
      <c r="E6432" s="16">
        <f>IFERROR(__xludf.DUMMYFUNCTION("""COMPUTED_VALUE"""),65.0)</f>
        <v>65</v>
      </c>
      <c r="F6432" s="19" t="str">
        <f>IFERROR(__xludf.DUMMYFUNCTION("""COMPUTED_VALUE"""),"BLUE")</f>
        <v>BLUE</v>
      </c>
      <c r="G6432" s="20" t="str">
        <f>IFERROR(__xludf.DUMMYFUNCTION("""COMPUTED_VALUE"""),"Uncle Sams Cider (04/04/2023)")</f>
        <v>Uncle Sams Cider (04/04/2023)</v>
      </c>
      <c r="H6432" s="19"/>
    </row>
    <row r="6433">
      <c r="A6433" s="9"/>
      <c r="B6433" s="15"/>
      <c r="C6433" s="9">
        <f>IFERROR(__xludf.DUMMYFUNCTION("""COMPUTED_VALUE"""),45077.1202451736)</f>
        <v>45077.12025</v>
      </c>
      <c r="D6433" s="15">
        <f>IFERROR(__xludf.DUMMYFUNCTION("""COMPUTED_VALUE"""),1.008)</f>
        <v>1.008</v>
      </c>
      <c r="E6433" s="16">
        <f>IFERROR(__xludf.DUMMYFUNCTION("""COMPUTED_VALUE"""),65.0)</f>
        <v>65</v>
      </c>
      <c r="F6433" s="19" t="str">
        <f>IFERROR(__xludf.DUMMYFUNCTION("""COMPUTED_VALUE"""),"BLUE")</f>
        <v>BLUE</v>
      </c>
      <c r="G6433" s="20" t="str">
        <f>IFERROR(__xludf.DUMMYFUNCTION("""COMPUTED_VALUE"""),"Uncle Sams Cider (04/04/2023)")</f>
        <v>Uncle Sams Cider (04/04/2023)</v>
      </c>
      <c r="H6433" s="19"/>
    </row>
    <row r="6434">
      <c r="A6434" s="9"/>
      <c r="B6434" s="15"/>
      <c r="C6434" s="9">
        <f>IFERROR(__xludf.DUMMYFUNCTION("""COMPUTED_VALUE"""),45077.109823912)</f>
        <v>45077.10982</v>
      </c>
      <c r="D6434" s="15">
        <f>IFERROR(__xludf.DUMMYFUNCTION("""COMPUTED_VALUE"""),1.007)</f>
        <v>1.007</v>
      </c>
      <c r="E6434" s="16">
        <f>IFERROR(__xludf.DUMMYFUNCTION("""COMPUTED_VALUE"""),65.0)</f>
        <v>65</v>
      </c>
      <c r="F6434" s="19" t="str">
        <f>IFERROR(__xludf.DUMMYFUNCTION("""COMPUTED_VALUE"""),"BLUE")</f>
        <v>BLUE</v>
      </c>
      <c r="G6434" s="20" t="str">
        <f>IFERROR(__xludf.DUMMYFUNCTION("""COMPUTED_VALUE"""),"Uncle Sams Cider (04/04/2023)")</f>
        <v>Uncle Sams Cider (04/04/2023)</v>
      </c>
      <c r="H6434" s="19"/>
    </row>
    <row r="6435">
      <c r="A6435" s="9"/>
      <c r="B6435" s="15"/>
      <c r="C6435" s="9">
        <f>IFERROR(__xludf.DUMMYFUNCTION("""COMPUTED_VALUE"""),45077.0994031481)</f>
        <v>45077.0994</v>
      </c>
      <c r="D6435" s="15">
        <f>IFERROR(__xludf.DUMMYFUNCTION("""COMPUTED_VALUE"""),1.007)</f>
        <v>1.007</v>
      </c>
      <c r="E6435" s="16">
        <f>IFERROR(__xludf.DUMMYFUNCTION("""COMPUTED_VALUE"""),65.0)</f>
        <v>65</v>
      </c>
      <c r="F6435" s="19" t="str">
        <f>IFERROR(__xludf.DUMMYFUNCTION("""COMPUTED_VALUE"""),"BLUE")</f>
        <v>BLUE</v>
      </c>
      <c r="G6435" s="20" t="str">
        <f>IFERROR(__xludf.DUMMYFUNCTION("""COMPUTED_VALUE"""),"Uncle Sams Cider (04/04/2023)")</f>
        <v>Uncle Sams Cider (04/04/2023)</v>
      </c>
      <c r="H6435" s="19"/>
    </row>
    <row r="6436">
      <c r="A6436" s="9"/>
      <c r="B6436" s="15"/>
      <c r="C6436" s="9">
        <f>IFERROR(__xludf.DUMMYFUNCTION("""COMPUTED_VALUE"""),45077.0889826504)</f>
        <v>45077.08898</v>
      </c>
      <c r="D6436" s="15">
        <f>IFERROR(__xludf.DUMMYFUNCTION("""COMPUTED_VALUE"""),1.007)</f>
        <v>1.007</v>
      </c>
      <c r="E6436" s="16">
        <f>IFERROR(__xludf.DUMMYFUNCTION("""COMPUTED_VALUE"""),65.0)</f>
        <v>65</v>
      </c>
      <c r="F6436" s="19" t="str">
        <f>IFERROR(__xludf.DUMMYFUNCTION("""COMPUTED_VALUE"""),"BLUE")</f>
        <v>BLUE</v>
      </c>
      <c r="G6436" s="20" t="str">
        <f>IFERROR(__xludf.DUMMYFUNCTION("""COMPUTED_VALUE"""),"Uncle Sams Cider (04/04/2023)")</f>
        <v>Uncle Sams Cider (04/04/2023)</v>
      </c>
      <c r="H6436" s="19"/>
    </row>
    <row r="6437">
      <c r="A6437" s="9"/>
      <c r="B6437" s="15"/>
      <c r="C6437" s="9">
        <f>IFERROR(__xludf.DUMMYFUNCTION("""COMPUTED_VALUE"""),45077.078561875)</f>
        <v>45077.07856</v>
      </c>
      <c r="D6437" s="15">
        <f>IFERROR(__xludf.DUMMYFUNCTION("""COMPUTED_VALUE"""),1.007)</f>
        <v>1.007</v>
      </c>
      <c r="E6437" s="16">
        <f>IFERROR(__xludf.DUMMYFUNCTION("""COMPUTED_VALUE"""),65.0)</f>
        <v>65</v>
      </c>
      <c r="F6437" s="19" t="str">
        <f>IFERROR(__xludf.DUMMYFUNCTION("""COMPUTED_VALUE"""),"BLUE")</f>
        <v>BLUE</v>
      </c>
      <c r="G6437" s="20" t="str">
        <f>IFERROR(__xludf.DUMMYFUNCTION("""COMPUTED_VALUE"""),"Uncle Sams Cider (04/04/2023)")</f>
        <v>Uncle Sams Cider (04/04/2023)</v>
      </c>
      <c r="H6437" s="19"/>
    </row>
    <row r="6438">
      <c r="A6438" s="9"/>
      <c r="B6438" s="15"/>
      <c r="C6438" s="9">
        <f>IFERROR(__xludf.DUMMYFUNCTION("""COMPUTED_VALUE"""),45077.0681405671)</f>
        <v>45077.06814</v>
      </c>
      <c r="D6438" s="15">
        <f>IFERROR(__xludf.DUMMYFUNCTION("""COMPUTED_VALUE"""),1.007)</f>
        <v>1.007</v>
      </c>
      <c r="E6438" s="16">
        <f>IFERROR(__xludf.DUMMYFUNCTION("""COMPUTED_VALUE"""),65.0)</f>
        <v>65</v>
      </c>
      <c r="F6438" s="19" t="str">
        <f>IFERROR(__xludf.DUMMYFUNCTION("""COMPUTED_VALUE"""),"BLUE")</f>
        <v>BLUE</v>
      </c>
      <c r="G6438" s="20" t="str">
        <f>IFERROR(__xludf.DUMMYFUNCTION("""COMPUTED_VALUE"""),"Uncle Sams Cider (04/04/2023)")</f>
        <v>Uncle Sams Cider (04/04/2023)</v>
      </c>
      <c r="H6438" s="19"/>
    </row>
    <row r="6439">
      <c r="A6439" s="9"/>
      <c r="B6439" s="15"/>
      <c r="C6439" s="9">
        <f>IFERROR(__xludf.DUMMYFUNCTION("""COMPUTED_VALUE"""),45077.057717905)</f>
        <v>45077.05772</v>
      </c>
      <c r="D6439" s="15">
        <f>IFERROR(__xludf.DUMMYFUNCTION("""COMPUTED_VALUE"""),1.007)</f>
        <v>1.007</v>
      </c>
      <c r="E6439" s="16">
        <f>IFERROR(__xludf.DUMMYFUNCTION("""COMPUTED_VALUE"""),65.0)</f>
        <v>65</v>
      </c>
      <c r="F6439" s="19" t="str">
        <f>IFERROR(__xludf.DUMMYFUNCTION("""COMPUTED_VALUE"""),"BLUE")</f>
        <v>BLUE</v>
      </c>
      <c r="G6439" s="20" t="str">
        <f>IFERROR(__xludf.DUMMYFUNCTION("""COMPUTED_VALUE"""),"Uncle Sams Cider (04/04/2023)")</f>
        <v>Uncle Sams Cider (04/04/2023)</v>
      </c>
      <c r="H6439" s="19"/>
    </row>
    <row r="6440">
      <c r="A6440" s="9"/>
      <c r="B6440" s="15"/>
      <c r="C6440" s="9">
        <f>IFERROR(__xludf.DUMMYFUNCTION("""COMPUTED_VALUE"""),45077.0472968634)</f>
        <v>45077.0473</v>
      </c>
      <c r="D6440" s="15">
        <f>IFERROR(__xludf.DUMMYFUNCTION("""COMPUTED_VALUE"""),1.008)</f>
        <v>1.008</v>
      </c>
      <c r="E6440" s="16">
        <f>IFERROR(__xludf.DUMMYFUNCTION("""COMPUTED_VALUE"""),65.0)</f>
        <v>65</v>
      </c>
      <c r="F6440" s="19" t="str">
        <f>IFERROR(__xludf.DUMMYFUNCTION("""COMPUTED_VALUE"""),"BLUE")</f>
        <v>BLUE</v>
      </c>
      <c r="G6440" s="20" t="str">
        <f>IFERROR(__xludf.DUMMYFUNCTION("""COMPUTED_VALUE"""),"Uncle Sams Cider (04/04/2023)")</f>
        <v>Uncle Sams Cider (04/04/2023)</v>
      </c>
      <c r="H6440" s="19"/>
    </row>
    <row r="6441">
      <c r="A6441" s="9"/>
      <c r="B6441" s="15"/>
      <c r="C6441" s="9">
        <f>IFERROR(__xludf.DUMMYFUNCTION("""COMPUTED_VALUE"""),45077.0368754398)</f>
        <v>45077.03688</v>
      </c>
      <c r="D6441" s="15">
        <f>IFERROR(__xludf.DUMMYFUNCTION("""COMPUTED_VALUE"""),1.007)</f>
        <v>1.007</v>
      </c>
      <c r="E6441" s="16">
        <f>IFERROR(__xludf.DUMMYFUNCTION("""COMPUTED_VALUE"""),65.0)</f>
        <v>65</v>
      </c>
      <c r="F6441" s="19" t="str">
        <f>IFERROR(__xludf.DUMMYFUNCTION("""COMPUTED_VALUE"""),"BLUE")</f>
        <v>BLUE</v>
      </c>
      <c r="G6441" s="20" t="str">
        <f>IFERROR(__xludf.DUMMYFUNCTION("""COMPUTED_VALUE"""),"Uncle Sams Cider (04/04/2023)")</f>
        <v>Uncle Sams Cider (04/04/2023)</v>
      </c>
      <c r="H6441" s="19"/>
    </row>
    <row r="6442">
      <c r="A6442" s="9"/>
      <c r="B6442" s="15"/>
      <c r="C6442" s="9">
        <f>IFERROR(__xludf.DUMMYFUNCTION("""COMPUTED_VALUE"""),45077.0264535648)</f>
        <v>45077.02645</v>
      </c>
      <c r="D6442" s="15">
        <f>IFERROR(__xludf.DUMMYFUNCTION("""COMPUTED_VALUE"""),1.007)</f>
        <v>1.007</v>
      </c>
      <c r="E6442" s="16">
        <f>IFERROR(__xludf.DUMMYFUNCTION("""COMPUTED_VALUE"""),65.0)</f>
        <v>65</v>
      </c>
      <c r="F6442" s="19" t="str">
        <f>IFERROR(__xludf.DUMMYFUNCTION("""COMPUTED_VALUE"""),"BLUE")</f>
        <v>BLUE</v>
      </c>
      <c r="G6442" s="20" t="str">
        <f>IFERROR(__xludf.DUMMYFUNCTION("""COMPUTED_VALUE"""),"Uncle Sams Cider (04/04/2023)")</f>
        <v>Uncle Sams Cider (04/04/2023)</v>
      </c>
      <c r="H6442" s="19"/>
    </row>
    <row r="6443">
      <c r="A6443" s="9"/>
      <c r="B6443" s="15"/>
      <c r="C6443" s="9">
        <f>IFERROR(__xludf.DUMMYFUNCTION("""COMPUTED_VALUE"""),45077.016020949)</f>
        <v>45077.01602</v>
      </c>
      <c r="D6443" s="15">
        <f>IFERROR(__xludf.DUMMYFUNCTION("""COMPUTED_VALUE"""),1.007)</f>
        <v>1.007</v>
      </c>
      <c r="E6443" s="16">
        <f>IFERROR(__xludf.DUMMYFUNCTION("""COMPUTED_VALUE"""),65.0)</f>
        <v>65</v>
      </c>
      <c r="F6443" s="19" t="str">
        <f>IFERROR(__xludf.DUMMYFUNCTION("""COMPUTED_VALUE"""),"BLUE")</f>
        <v>BLUE</v>
      </c>
      <c r="G6443" s="20" t="str">
        <f>IFERROR(__xludf.DUMMYFUNCTION("""COMPUTED_VALUE"""),"Uncle Sams Cider (04/04/2023)")</f>
        <v>Uncle Sams Cider (04/04/2023)</v>
      </c>
      <c r="H6443" s="19"/>
    </row>
    <row r="6444">
      <c r="A6444" s="9"/>
      <c r="B6444" s="15"/>
      <c r="C6444" s="9">
        <f>IFERROR(__xludf.DUMMYFUNCTION("""COMPUTED_VALUE"""),45077.0055869907)</f>
        <v>45077.00559</v>
      </c>
      <c r="D6444" s="15">
        <f>IFERROR(__xludf.DUMMYFUNCTION("""COMPUTED_VALUE"""),1.007)</f>
        <v>1.007</v>
      </c>
      <c r="E6444" s="16">
        <f>IFERROR(__xludf.DUMMYFUNCTION("""COMPUTED_VALUE"""),65.0)</f>
        <v>65</v>
      </c>
      <c r="F6444" s="19" t="str">
        <f>IFERROR(__xludf.DUMMYFUNCTION("""COMPUTED_VALUE"""),"BLUE")</f>
        <v>BLUE</v>
      </c>
      <c r="G6444" s="20" t="str">
        <f>IFERROR(__xludf.DUMMYFUNCTION("""COMPUTED_VALUE"""),"Uncle Sams Cider (04/04/2023)")</f>
        <v>Uncle Sams Cider (04/04/2023)</v>
      </c>
      <c r="H6444" s="19"/>
    </row>
    <row r="6445">
      <c r="A6445" s="9"/>
      <c r="B6445" s="15"/>
      <c r="C6445" s="9">
        <f>IFERROR(__xludf.DUMMYFUNCTION("""COMPUTED_VALUE"""),45076.9951415856)</f>
        <v>45076.99514</v>
      </c>
      <c r="D6445" s="15">
        <f>IFERROR(__xludf.DUMMYFUNCTION("""COMPUTED_VALUE"""),1.007)</f>
        <v>1.007</v>
      </c>
      <c r="E6445" s="16">
        <f>IFERROR(__xludf.DUMMYFUNCTION("""COMPUTED_VALUE"""),65.0)</f>
        <v>65</v>
      </c>
      <c r="F6445" s="19" t="str">
        <f>IFERROR(__xludf.DUMMYFUNCTION("""COMPUTED_VALUE"""),"BLUE")</f>
        <v>BLUE</v>
      </c>
      <c r="G6445" s="20" t="str">
        <f>IFERROR(__xludf.DUMMYFUNCTION("""COMPUTED_VALUE"""),"Uncle Sams Cider (04/04/2023)")</f>
        <v>Uncle Sams Cider (04/04/2023)</v>
      </c>
      <c r="H6445" s="19"/>
    </row>
    <row r="6446">
      <c r="A6446" s="9"/>
      <c r="B6446" s="15"/>
      <c r="C6446" s="9">
        <f>IFERROR(__xludf.DUMMYFUNCTION("""COMPUTED_VALUE"""),45076.9847089699)</f>
        <v>45076.98471</v>
      </c>
      <c r="D6446" s="15">
        <f>IFERROR(__xludf.DUMMYFUNCTION("""COMPUTED_VALUE"""),1.007)</f>
        <v>1.007</v>
      </c>
      <c r="E6446" s="16">
        <f>IFERROR(__xludf.DUMMYFUNCTION("""COMPUTED_VALUE"""),65.0)</f>
        <v>65</v>
      </c>
      <c r="F6446" s="19" t="str">
        <f>IFERROR(__xludf.DUMMYFUNCTION("""COMPUTED_VALUE"""),"BLUE")</f>
        <v>BLUE</v>
      </c>
      <c r="G6446" s="20" t="str">
        <f>IFERROR(__xludf.DUMMYFUNCTION("""COMPUTED_VALUE"""),"Uncle Sams Cider (04/04/2023)")</f>
        <v>Uncle Sams Cider (04/04/2023)</v>
      </c>
      <c r="H6446" s="19"/>
    </row>
    <row r="6447">
      <c r="A6447" s="9"/>
      <c r="B6447" s="15"/>
      <c r="C6447" s="9">
        <f>IFERROR(__xludf.DUMMYFUNCTION("""COMPUTED_VALUE"""),45076.9742877893)</f>
        <v>45076.97429</v>
      </c>
      <c r="D6447" s="15">
        <f>IFERROR(__xludf.DUMMYFUNCTION("""COMPUTED_VALUE"""),1.007)</f>
        <v>1.007</v>
      </c>
      <c r="E6447" s="16">
        <f>IFERROR(__xludf.DUMMYFUNCTION("""COMPUTED_VALUE"""),65.0)</f>
        <v>65</v>
      </c>
      <c r="F6447" s="19" t="str">
        <f>IFERROR(__xludf.DUMMYFUNCTION("""COMPUTED_VALUE"""),"BLUE")</f>
        <v>BLUE</v>
      </c>
      <c r="G6447" s="20" t="str">
        <f>IFERROR(__xludf.DUMMYFUNCTION("""COMPUTED_VALUE"""),"Uncle Sams Cider (04/04/2023)")</f>
        <v>Uncle Sams Cider (04/04/2023)</v>
      </c>
      <c r="H6447" s="19"/>
    </row>
    <row r="6448">
      <c r="A6448" s="9"/>
      <c r="B6448" s="15"/>
      <c r="C6448" s="9">
        <f>IFERROR(__xludf.DUMMYFUNCTION("""COMPUTED_VALUE"""),45076.9638661111)</f>
        <v>45076.96387</v>
      </c>
      <c r="D6448" s="15">
        <f>IFERROR(__xludf.DUMMYFUNCTION("""COMPUTED_VALUE"""),1.008)</f>
        <v>1.008</v>
      </c>
      <c r="E6448" s="16">
        <f>IFERROR(__xludf.DUMMYFUNCTION("""COMPUTED_VALUE"""),65.0)</f>
        <v>65</v>
      </c>
      <c r="F6448" s="19" t="str">
        <f>IFERROR(__xludf.DUMMYFUNCTION("""COMPUTED_VALUE"""),"BLUE")</f>
        <v>BLUE</v>
      </c>
      <c r="G6448" s="20" t="str">
        <f>IFERROR(__xludf.DUMMYFUNCTION("""COMPUTED_VALUE"""),"Uncle Sams Cider (04/04/2023)")</f>
        <v>Uncle Sams Cider (04/04/2023)</v>
      </c>
      <c r="H6448" s="19"/>
    </row>
    <row r="6449">
      <c r="A6449" s="9"/>
      <c r="B6449" s="15"/>
      <c r="C6449" s="9">
        <f>IFERROR(__xludf.DUMMYFUNCTION("""COMPUTED_VALUE"""),45076.9534205439)</f>
        <v>45076.95342</v>
      </c>
      <c r="D6449" s="15">
        <f>IFERROR(__xludf.DUMMYFUNCTION("""COMPUTED_VALUE"""),1.008)</f>
        <v>1.008</v>
      </c>
      <c r="E6449" s="16">
        <f>IFERROR(__xludf.DUMMYFUNCTION("""COMPUTED_VALUE"""),65.0)</f>
        <v>65</v>
      </c>
      <c r="F6449" s="19" t="str">
        <f>IFERROR(__xludf.DUMMYFUNCTION("""COMPUTED_VALUE"""),"BLUE")</f>
        <v>BLUE</v>
      </c>
      <c r="G6449" s="20" t="str">
        <f>IFERROR(__xludf.DUMMYFUNCTION("""COMPUTED_VALUE"""),"Uncle Sams Cider (04/04/2023)")</f>
        <v>Uncle Sams Cider (04/04/2023)</v>
      </c>
      <c r="H6449" s="19"/>
    </row>
    <row r="6450">
      <c r="A6450" s="9"/>
      <c r="B6450" s="15"/>
      <c r="C6450" s="9">
        <f>IFERROR(__xludf.DUMMYFUNCTION("""COMPUTED_VALUE"""),45076.9429999074)</f>
        <v>45076.943</v>
      </c>
      <c r="D6450" s="15">
        <f>IFERROR(__xludf.DUMMYFUNCTION("""COMPUTED_VALUE"""),1.008)</f>
        <v>1.008</v>
      </c>
      <c r="E6450" s="16">
        <f>IFERROR(__xludf.DUMMYFUNCTION("""COMPUTED_VALUE"""),65.0)</f>
        <v>65</v>
      </c>
      <c r="F6450" s="19" t="str">
        <f>IFERROR(__xludf.DUMMYFUNCTION("""COMPUTED_VALUE"""),"BLUE")</f>
        <v>BLUE</v>
      </c>
      <c r="G6450" s="20" t="str">
        <f>IFERROR(__xludf.DUMMYFUNCTION("""COMPUTED_VALUE"""),"Uncle Sams Cider (04/04/2023)")</f>
        <v>Uncle Sams Cider (04/04/2023)</v>
      </c>
      <c r="H6450" s="19"/>
    </row>
    <row r="6451">
      <c r="A6451" s="9"/>
      <c r="B6451" s="15"/>
      <c r="C6451" s="9">
        <f>IFERROR(__xludf.DUMMYFUNCTION("""COMPUTED_VALUE"""),45076.9325787962)</f>
        <v>45076.93258</v>
      </c>
      <c r="D6451" s="15">
        <f>IFERROR(__xludf.DUMMYFUNCTION("""COMPUTED_VALUE"""),1.007)</f>
        <v>1.007</v>
      </c>
      <c r="E6451" s="16">
        <f>IFERROR(__xludf.DUMMYFUNCTION("""COMPUTED_VALUE"""),65.0)</f>
        <v>65</v>
      </c>
      <c r="F6451" s="19" t="str">
        <f>IFERROR(__xludf.DUMMYFUNCTION("""COMPUTED_VALUE"""),"BLUE")</f>
        <v>BLUE</v>
      </c>
      <c r="G6451" s="20" t="str">
        <f>IFERROR(__xludf.DUMMYFUNCTION("""COMPUTED_VALUE"""),"Uncle Sams Cider (04/04/2023)")</f>
        <v>Uncle Sams Cider (04/04/2023)</v>
      </c>
      <c r="H6451" s="19"/>
    </row>
    <row r="6452">
      <c r="A6452" s="9"/>
      <c r="B6452" s="15"/>
      <c r="C6452" s="9">
        <f>IFERROR(__xludf.DUMMYFUNCTION("""COMPUTED_VALUE"""),45076.9221557291)</f>
        <v>45076.92216</v>
      </c>
      <c r="D6452" s="15">
        <f>IFERROR(__xludf.DUMMYFUNCTION("""COMPUTED_VALUE"""),1.007)</f>
        <v>1.007</v>
      </c>
      <c r="E6452" s="16">
        <f>IFERROR(__xludf.DUMMYFUNCTION("""COMPUTED_VALUE"""),65.0)</f>
        <v>65</v>
      </c>
      <c r="F6452" s="19" t="str">
        <f>IFERROR(__xludf.DUMMYFUNCTION("""COMPUTED_VALUE"""),"BLUE")</f>
        <v>BLUE</v>
      </c>
      <c r="G6452" s="20" t="str">
        <f>IFERROR(__xludf.DUMMYFUNCTION("""COMPUTED_VALUE"""),"Uncle Sams Cider (04/04/2023)")</f>
        <v>Uncle Sams Cider (04/04/2023)</v>
      </c>
      <c r="H6452" s="19"/>
    </row>
    <row r="6453">
      <c r="A6453" s="9"/>
      <c r="B6453" s="15"/>
      <c r="C6453" s="9">
        <f>IFERROR(__xludf.DUMMYFUNCTION("""COMPUTED_VALUE"""),45076.9117349537)</f>
        <v>45076.91173</v>
      </c>
      <c r="D6453" s="15">
        <f>IFERROR(__xludf.DUMMYFUNCTION("""COMPUTED_VALUE"""),1.007)</f>
        <v>1.007</v>
      </c>
      <c r="E6453" s="16">
        <f>IFERROR(__xludf.DUMMYFUNCTION("""COMPUTED_VALUE"""),65.0)</f>
        <v>65</v>
      </c>
      <c r="F6453" s="19" t="str">
        <f>IFERROR(__xludf.DUMMYFUNCTION("""COMPUTED_VALUE"""),"BLUE")</f>
        <v>BLUE</v>
      </c>
      <c r="G6453" s="20" t="str">
        <f>IFERROR(__xludf.DUMMYFUNCTION("""COMPUTED_VALUE"""),"Uncle Sams Cider (04/04/2023)")</f>
        <v>Uncle Sams Cider (04/04/2023)</v>
      </c>
      <c r="H6453" s="19"/>
    </row>
    <row r="6454">
      <c r="A6454" s="9"/>
      <c r="B6454" s="15"/>
      <c r="C6454" s="9">
        <f>IFERROR(__xludf.DUMMYFUNCTION("""COMPUTED_VALUE"""),45076.9013143865)</f>
        <v>45076.90131</v>
      </c>
      <c r="D6454" s="15">
        <f>IFERROR(__xludf.DUMMYFUNCTION("""COMPUTED_VALUE"""),1.008)</f>
        <v>1.008</v>
      </c>
      <c r="E6454" s="16">
        <f>IFERROR(__xludf.DUMMYFUNCTION("""COMPUTED_VALUE"""),65.0)</f>
        <v>65</v>
      </c>
      <c r="F6454" s="19" t="str">
        <f>IFERROR(__xludf.DUMMYFUNCTION("""COMPUTED_VALUE"""),"BLUE")</f>
        <v>BLUE</v>
      </c>
      <c r="G6454" s="20" t="str">
        <f>IFERROR(__xludf.DUMMYFUNCTION("""COMPUTED_VALUE"""),"Uncle Sams Cider (04/04/2023)")</f>
        <v>Uncle Sams Cider (04/04/2023)</v>
      </c>
      <c r="H6454" s="19"/>
    </row>
    <row r="6455">
      <c r="A6455" s="9"/>
      <c r="B6455" s="15"/>
      <c r="C6455" s="9">
        <f>IFERROR(__xludf.DUMMYFUNCTION("""COMPUTED_VALUE"""),45076.8908709953)</f>
        <v>45076.89087</v>
      </c>
      <c r="D6455" s="15">
        <f>IFERROR(__xludf.DUMMYFUNCTION("""COMPUTED_VALUE"""),1.008)</f>
        <v>1.008</v>
      </c>
      <c r="E6455" s="16">
        <f>IFERROR(__xludf.DUMMYFUNCTION("""COMPUTED_VALUE"""),65.0)</f>
        <v>65</v>
      </c>
      <c r="F6455" s="19" t="str">
        <f>IFERROR(__xludf.DUMMYFUNCTION("""COMPUTED_VALUE"""),"BLUE")</f>
        <v>BLUE</v>
      </c>
      <c r="G6455" s="20" t="str">
        <f>IFERROR(__xludf.DUMMYFUNCTION("""COMPUTED_VALUE"""),"Uncle Sams Cider (04/04/2023)")</f>
        <v>Uncle Sams Cider (04/04/2023)</v>
      </c>
      <c r="H6455" s="19"/>
    </row>
    <row r="6456">
      <c r="A6456" s="9"/>
      <c r="B6456" s="15"/>
      <c r="C6456" s="9">
        <f>IFERROR(__xludf.DUMMYFUNCTION("""COMPUTED_VALUE"""),45076.8804505671)</f>
        <v>45076.88045</v>
      </c>
      <c r="D6456" s="15">
        <f>IFERROR(__xludf.DUMMYFUNCTION("""COMPUTED_VALUE"""),1.007)</f>
        <v>1.007</v>
      </c>
      <c r="E6456" s="16">
        <f>IFERROR(__xludf.DUMMYFUNCTION("""COMPUTED_VALUE"""),65.0)</f>
        <v>65</v>
      </c>
      <c r="F6456" s="19" t="str">
        <f>IFERROR(__xludf.DUMMYFUNCTION("""COMPUTED_VALUE"""),"BLUE")</f>
        <v>BLUE</v>
      </c>
      <c r="G6456" s="20" t="str">
        <f>IFERROR(__xludf.DUMMYFUNCTION("""COMPUTED_VALUE"""),"Uncle Sams Cider (04/04/2023)")</f>
        <v>Uncle Sams Cider (04/04/2023)</v>
      </c>
      <c r="H6456" s="19"/>
    </row>
    <row r="6457">
      <c r="A6457" s="9"/>
      <c r="B6457" s="15"/>
      <c r="C6457" s="9">
        <f>IFERROR(__xludf.DUMMYFUNCTION("""COMPUTED_VALUE"""),45076.8700064004)</f>
        <v>45076.87001</v>
      </c>
      <c r="D6457" s="15">
        <f>IFERROR(__xludf.DUMMYFUNCTION("""COMPUTED_VALUE"""),1.007)</f>
        <v>1.007</v>
      </c>
      <c r="E6457" s="16">
        <f>IFERROR(__xludf.DUMMYFUNCTION("""COMPUTED_VALUE"""),65.0)</f>
        <v>65</v>
      </c>
      <c r="F6457" s="19" t="str">
        <f>IFERROR(__xludf.DUMMYFUNCTION("""COMPUTED_VALUE"""),"BLUE")</f>
        <v>BLUE</v>
      </c>
      <c r="G6457" s="20" t="str">
        <f>IFERROR(__xludf.DUMMYFUNCTION("""COMPUTED_VALUE"""),"Uncle Sams Cider (04/04/2023)")</f>
        <v>Uncle Sams Cider (04/04/2023)</v>
      </c>
      <c r="H6457" s="19"/>
    </row>
    <row r="6458">
      <c r="A6458" s="9"/>
      <c r="B6458" s="15"/>
      <c r="C6458" s="9">
        <f>IFERROR(__xludf.DUMMYFUNCTION("""COMPUTED_VALUE"""),45076.8595842939)</f>
        <v>45076.85958</v>
      </c>
      <c r="D6458" s="15">
        <f>IFERROR(__xludf.DUMMYFUNCTION("""COMPUTED_VALUE"""),1.007)</f>
        <v>1.007</v>
      </c>
      <c r="E6458" s="16">
        <f>IFERROR(__xludf.DUMMYFUNCTION("""COMPUTED_VALUE"""),65.0)</f>
        <v>65</v>
      </c>
      <c r="F6458" s="19" t="str">
        <f>IFERROR(__xludf.DUMMYFUNCTION("""COMPUTED_VALUE"""),"BLUE")</f>
        <v>BLUE</v>
      </c>
      <c r="G6458" s="20" t="str">
        <f>IFERROR(__xludf.DUMMYFUNCTION("""COMPUTED_VALUE"""),"Uncle Sams Cider (04/04/2023)")</f>
        <v>Uncle Sams Cider (04/04/2023)</v>
      </c>
      <c r="H6458" s="19"/>
    </row>
    <row r="6459">
      <c r="A6459" s="9"/>
      <c r="B6459" s="15"/>
      <c r="C6459" s="9">
        <f>IFERROR(__xludf.DUMMYFUNCTION("""COMPUTED_VALUE"""),45076.8491169675)</f>
        <v>45076.84912</v>
      </c>
      <c r="D6459" s="15">
        <f>IFERROR(__xludf.DUMMYFUNCTION("""COMPUTED_VALUE"""),1.008)</f>
        <v>1.008</v>
      </c>
      <c r="E6459" s="16">
        <f>IFERROR(__xludf.DUMMYFUNCTION("""COMPUTED_VALUE"""),65.0)</f>
        <v>65</v>
      </c>
      <c r="F6459" s="19" t="str">
        <f>IFERROR(__xludf.DUMMYFUNCTION("""COMPUTED_VALUE"""),"BLUE")</f>
        <v>BLUE</v>
      </c>
      <c r="G6459" s="20" t="str">
        <f>IFERROR(__xludf.DUMMYFUNCTION("""COMPUTED_VALUE"""),"Uncle Sams Cider (04/04/2023)")</f>
        <v>Uncle Sams Cider (04/04/2023)</v>
      </c>
      <c r="H6459" s="19"/>
    </row>
    <row r="6460">
      <c r="A6460" s="9"/>
      <c r="B6460" s="15"/>
      <c r="C6460" s="9">
        <f>IFERROR(__xludf.DUMMYFUNCTION("""COMPUTED_VALUE"""),45076.838683206)</f>
        <v>45076.83868</v>
      </c>
      <c r="D6460" s="15">
        <f>IFERROR(__xludf.DUMMYFUNCTION("""COMPUTED_VALUE"""),1.007)</f>
        <v>1.007</v>
      </c>
      <c r="E6460" s="16">
        <f>IFERROR(__xludf.DUMMYFUNCTION("""COMPUTED_VALUE"""),65.0)</f>
        <v>65</v>
      </c>
      <c r="F6460" s="19" t="str">
        <f>IFERROR(__xludf.DUMMYFUNCTION("""COMPUTED_VALUE"""),"BLUE")</f>
        <v>BLUE</v>
      </c>
      <c r="G6460" s="20" t="str">
        <f>IFERROR(__xludf.DUMMYFUNCTION("""COMPUTED_VALUE"""),"Uncle Sams Cider (04/04/2023)")</f>
        <v>Uncle Sams Cider (04/04/2023)</v>
      </c>
      <c r="H6460" s="19"/>
    </row>
    <row r="6461">
      <c r="A6461" s="9"/>
      <c r="B6461" s="15"/>
      <c r="C6461" s="9">
        <f>IFERROR(__xludf.DUMMYFUNCTION("""COMPUTED_VALUE"""),45076.8282610995)</f>
        <v>45076.82826</v>
      </c>
      <c r="D6461" s="15">
        <f>IFERROR(__xludf.DUMMYFUNCTION("""COMPUTED_VALUE"""),1.007)</f>
        <v>1.007</v>
      </c>
      <c r="E6461" s="16">
        <f>IFERROR(__xludf.DUMMYFUNCTION("""COMPUTED_VALUE"""),65.0)</f>
        <v>65</v>
      </c>
      <c r="F6461" s="19" t="str">
        <f>IFERROR(__xludf.DUMMYFUNCTION("""COMPUTED_VALUE"""),"BLUE")</f>
        <v>BLUE</v>
      </c>
      <c r="G6461" s="20" t="str">
        <f>IFERROR(__xludf.DUMMYFUNCTION("""COMPUTED_VALUE"""),"Uncle Sams Cider (04/04/2023)")</f>
        <v>Uncle Sams Cider (04/04/2023)</v>
      </c>
      <c r="H6461" s="19"/>
    </row>
    <row r="6462">
      <c r="A6462" s="9"/>
      <c r="B6462" s="15"/>
      <c r="C6462" s="9">
        <f>IFERROR(__xludf.DUMMYFUNCTION("""COMPUTED_VALUE"""),45076.8178407986)</f>
        <v>45076.81784</v>
      </c>
      <c r="D6462" s="15">
        <f>IFERROR(__xludf.DUMMYFUNCTION("""COMPUTED_VALUE"""),1.008)</f>
        <v>1.008</v>
      </c>
      <c r="E6462" s="16">
        <f>IFERROR(__xludf.DUMMYFUNCTION("""COMPUTED_VALUE"""),65.0)</f>
        <v>65</v>
      </c>
      <c r="F6462" s="19" t="str">
        <f>IFERROR(__xludf.DUMMYFUNCTION("""COMPUTED_VALUE"""),"BLUE")</f>
        <v>BLUE</v>
      </c>
      <c r="G6462" s="20" t="str">
        <f>IFERROR(__xludf.DUMMYFUNCTION("""COMPUTED_VALUE"""),"Uncle Sams Cider (04/04/2023)")</f>
        <v>Uncle Sams Cider (04/04/2023)</v>
      </c>
      <c r="H6462" s="19"/>
    </row>
    <row r="6463">
      <c r="A6463" s="9"/>
      <c r="B6463" s="15"/>
      <c r="C6463" s="9">
        <f>IFERROR(__xludf.DUMMYFUNCTION("""COMPUTED_VALUE"""),45076.8074088773)</f>
        <v>45076.80741</v>
      </c>
      <c r="D6463" s="15">
        <f>IFERROR(__xludf.DUMMYFUNCTION("""COMPUTED_VALUE"""),1.008)</f>
        <v>1.008</v>
      </c>
      <c r="E6463" s="16">
        <f>IFERROR(__xludf.DUMMYFUNCTION("""COMPUTED_VALUE"""),65.0)</f>
        <v>65</v>
      </c>
      <c r="F6463" s="19" t="str">
        <f>IFERROR(__xludf.DUMMYFUNCTION("""COMPUTED_VALUE"""),"BLUE")</f>
        <v>BLUE</v>
      </c>
      <c r="G6463" s="20" t="str">
        <f>IFERROR(__xludf.DUMMYFUNCTION("""COMPUTED_VALUE"""),"Uncle Sams Cider (04/04/2023)")</f>
        <v>Uncle Sams Cider (04/04/2023)</v>
      </c>
      <c r="H6463" s="19"/>
    </row>
    <row r="6464">
      <c r="A6464" s="9"/>
      <c r="B6464" s="15"/>
      <c r="C6464" s="9">
        <f>IFERROR(__xludf.DUMMYFUNCTION("""COMPUTED_VALUE"""),45076.7969760532)</f>
        <v>45076.79698</v>
      </c>
      <c r="D6464" s="15">
        <f>IFERROR(__xludf.DUMMYFUNCTION("""COMPUTED_VALUE"""),1.007)</f>
        <v>1.007</v>
      </c>
      <c r="E6464" s="16">
        <f>IFERROR(__xludf.DUMMYFUNCTION("""COMPUTED_VALUE"""),65.0)</f>
        <v>65</v>
      </c>
      <c r="F6464" s="19" t="str">
        <f>IFERROR(__xludf.DUMMYFUNCTION("""COMPUTED_VALUE"""),"BLUE")</f>
        <v>BLUE</v>
      </c>
      <c r="G6464" s="20" t="str">
        <f>IFERROR(__xludf.DUMMYFUNCTION("""COMPUTED_VALUE"""),"Uncle Sams Cider (04/04/2023)")</f>
        <v>Uncle Sams Cider (04/04/2023)</v>
      </c>
      <c r="H6464" s="19"/>
    </row>
    <row r="6465">
      <c r="A6465" s="9"/>
      <c r="B6465" s="15"/>
      <c r="C6465" s="9">
        <f>IFERROR(__xludf.DUMMYFUNCTION("""COMPUTED_VALUE"""),45076.7865323495)</f>
        <v>45076.78653</v>
      </c>
      <c r="D6465" s="15">
        <f>IFERROR(__xludf.DUMMYFUNCTION("""COMPUTED_VALUE"""),1.007)</f>
        <v>1.007</v>
      </c>
      <c r="E6465" s="16">
        <f>IFERROR(__xludf.DUMMYFUNCTION("""COMPUTED_VALUE"""),65.0)</f>
        <v>65</v>
      </c>
      <c r="F6465" s="19" t="str">
        <f>IFERROR(__xludf.DUMMYFUNCTION("""COMPUTED_VALUE"""),"BLUE")</f>
        <v>BLUE</v>
      </c>
      <c r="G6465" s="20" t="str">
        <f>IFERROR(__xludf.DUMMYFUNCTION("""COMPUTED_VALUE"""),"Uncle Sams Cider (04/04/2023)")</f>
        <v>Uncle Sams Cider (04/04/2023)</v>
      </c>
      <c r="H6465" s="19"/>
    </row>
    <row r="6466">
      <c r="A6466" s="9"/>
      <c r="B6466" s="15"/>
      <c r="C6466" s="9">
        <f>IFERROR(__xludf.DUMMYFUNCTION("""COMPUTED_VALUE"""),45076.7761001736)</f>
        <v>45076.7761</v>
      </c>
      <c r="D6466" s="15">
        <f>IFERROR(__xludf.DUMMYFUNCTION("""COMPUTED_VALUE"""),1.008)</f>
        <v>1.008</v>
      </c>
      <c r="E6466" s="16">
        <f>IFERROR(__xludf.DUMMYFUNCTION("""COMPUTED_VALUE"""),65.0)</f>
        <v>65</v>
      </c>
      <c r="F6466" s="19" t="str">
        <f>IFERROR(__xludf.DUMMYFUNCTION("""COMPUTED_VALUE"""),"BLUE")</f>
        <v>BLUE</v>
      </c>
      <c r="G6466" s="20" t="str">
        <f>IFERROR(__xludf.DUMMYFUNCTION("""COMPUTED_VALUE"""),"Uncle Sams Cider (04/04/2023)")</f>
        <v>Uncle Sams Cider (04/04/2023)</v>
      </c>
      <c r="H6466" s="19"/>
    </row>
    <row r="6467">
      <c r="A6467" s="9"/>
      <c r="B6467" s="15"/>
      <c r="C6467" s="9">
        <f>IFERROR(__xludf.DUMMYFUNCTION("""COMPUTED_VALUE"""),45076.765679074)</f>
        <v>45076.76568</v>
      </c>
      <c r="D6467" s="15">
        <f>IFERROR(__xludf.DUMMYFUNCTION("""COMPUTED_VALUE"""),1.008)</f>
        <v>1.008</v>
      </c>
      <c r="E6467" s="16">
        <f>IFERROR(__xludf.DUMMYFUNCTION("""COMPUTED_VALUE"""),65.0)</f>
        <v>65</v>
      </c>
      <c r="F6467" s="19" t="str">
        <f>IFERROR(__xludf.DUMMYFUNCTION("""COMPUTED_VALUE"""),"BLUE")</f>
        <v>BLUE</v>
      </c>
      <c r="G6467" s="20" t="str">
        <f>IFERROR(__xludf.DUMMYFUNCTION("""COMPUTED_VALUE"""),"Uncle Sams Cider (04/04/2023)")</f>
        <v>Uncle Sams Cider (04/04/2023)</v>
      </c>
      <c r="H6467" s="19"/>
    </row>
    <row r="6468">
      <c r="A6468" s="9"/>
      <c r="B6468" s="15"/>
      <c r="C6468" s="9">
        <f>IFERROR(__xludf.DUMMYFUNCTION("""COMPUTED_VALUE"""),45076.7552582639)</f>
        <v>45076.75526</v>
      </c>
      <c r="D6468" s="15">
        <f>IFERROR(__xludf.DUMMYFUNCTION("""COMPUTED_VALUE"""),1.007)</f>
        <v>1.007</v>
      </c>
      <c r="E6468" s="16">
        <f>IFERROR(__xludf.DUMMYFUNCTION("""COMPUTED_VALUE"""),65.0)</f>
        <v>65</v>
      </c>
      <c r="F6468" s="19" t="str">
        <f>IFERROR(__xludf.DUMMYFUNCTION("""COMPUTED_VALUE"""),"BLUE")</f>
        <v>BLUE</v>
      </c>
      <c r="G6468" s="20" t="str">
        <f>IFERROR(__xludf.DUMMYFUNCTION("""COMPUTED_VALUE"""),"Uncle Sams Cider (04/04/2023)")</f>
        <v>Uncle Sams Cider (04/04/2023)</v>
      </c>
      <c r="H6468" s="19"/>
    </row>
    <row r="6469">
      <c r="A6469" s="9"/>
      <c r="B6469" s="15"/>
      <c r="C6469" s="9">
        <f>IFERROR(__xludf.DUMMYFUNCTION("""COMPUTED_VALUE"""),45076.7448373958)</f>
        <v>45076.74484</v>
      </c>
      <c r="D6469" s="15">
        <f>IFERROR(__xludf.DUMMYFUNCTION("""COMPUTED_VALUE"""),1.008)</f>
        <v>1.008</v>
      </c>
      <c r="E6469" s="16">
        <f>IFERROR(__xludf.DUMMYFUNCTION("""COMPUTED_VALUE"""),65.0)</f>
        <v>65</v>
      </c>
      <c r="F6469" s="19" t="str">
        <f>IFERROR(__xludf.DUMMYFUNCTION("""COMPUTED_VALUE"""),"BLUE")</f>
        <v>BLUE</v>
      </c>
      <c r="G6469" s="20" t="str">
        <f>IFERROR(__xludf.DUMMYFUNCTION("""COMPUTED_VALUE"""),"Uncle Sams Cider (04/04/2023)")</f>
        <v>Uncle Sams Cider (04/04/2023)</v>
      </c>
      <c r="H6469" s="19"/>
    </row>
    <row r="6470">
      <c r="A6470" s="9"/>
      <c r="B6470" s="15"/>
      <c r="C6470" s="9">
        <f>IFERROR(__xludf.DUMMYFUNCTION("""COMPUTED_VALUE"""),45076.7344170023)</f>
        <v>45076.73442</v>
      </c>
      <c r="D6470" s="15">
        <f>IFERROR(__xludf.DUMMYFUNCTION("""COMPUTED_VALUE"""),1.008)</f>
        <v>1.008</v>
      </c>
      <c r="E6470" s="16">
        <f>IFERROR(__xludf.DUMMYFUNCTION("""COMPUTED_VALUE"""),65.0)</f>
        <v>65</v>
      </c>
      <c r="F6470" s="19" t="str">
        <f>IFERROR(__xludf.DUMMYFUNCTION("""COMPUTED_VALUE"""),"BLUE")</f>
        <v>BLUE</v>
      </c>
      <c r="G6470" s="20" t="str">
        <f>IFERROR(__xludf.DUMMYFUNCTION("""COMPUTED_VALUE"""),"Uncle Sams Cider (04/04/2023)")</f>
        <v>Uncle Sams Cider (04/04/2023)</v>
      </c>
      <c r="H6470" s="19"/>
    </row>
    <row r="6471">
      <c r="A6471" s="9"/>
      <c r="B6471" s="15"/>
      <c r="C6471" s="9">
        <f>IFERROR(__xludf.DUMMYFUNCTION("""COMPUTED_VALUE"""),45076.7239842245)</f>
        <v>45076.72398</v>
      </c>
      <c r="D6471" s="15">
        <f>IFERROR(__xludf.DUMMYFUNCTION("""COMPUTED_VALUE"""),1.007)</f>
        <v>1.007</v>
      </c>
      <c r="E6471" s="16">
        <f>IFERROR(__xludf.DUMMYFUNCTION("""COMPUTED_VALUE"""),65.0)</f>
        <v>65</v>
      </c>
      <c r="F6471" s="19" t="str">
        <f>IFERROR(__xludf.DUMMYFUNCTION("""COMPUTED_VALUE"""),"BLUE")</f>
        <v>BLUE</v>
      </c>
      <c r="G6471" s="20" t="str">
        <f>IFERROR(__xludf.DUMMYFUNCTION("""COMPUTED_VALUE"""),"Uncle Sams Cider (04/04/2023)")</f>
        <v>Uncle Sams Cider (04/04/2023)</v>
      </c>
      <c r="H6471" s="19"/>
    </row>
    <row r="6472">
      <c r="A6472" s="9"/>
      <c r="B6472" s="15"/>
      <c r="C6472" s="9">
        <f>IFERROR(__xludf.DUMMYFUNCTION("""COMPUTED_VALUE"""),45076.7135502893)</f>
        <v>45076.71355</v>
      </c>
      <c r="D6472" s="15">
        <f>IFERROR(__xludf.DUMMYFUNCTION("""COMPUTED_VALUE"""),1.007)</f>
        <v>1.007</v>
      </c>
      <c r="E6472" s="16">
        <f>IFERROR(__xludf.DUMMYFUNCTION("""COMPUTED_VALUE"""),65.0)</f>
        <v>65</v>
      </c>
      <c r="F6472" s="19" t="str">
        <f>IFERROR(__xludf.DUMMYFUNCTION("""COMPUTED_VALUE"""),"BLUE")</f>
        <v>BLUE</v>
      </c>
      <c r="G6472" s="20" t="str">
        <f>IFERROR(__xludf.DUMMYFUNCTION("""COMPUTED_VALUE"""),"Uncle Sams Cider (04/04/2023)")</f>
        <v>Uncle Sams Cider (04/04/2023)</v>
      </c>
      <c r="H6472" s="19"/>
    </row>
    <row r="6473">
      <c r="A6473" s="9"/>
      <c r="B6473" s="15"/>
      <c r="C6473" s="9">
        <f>IFERROR(__xludf.DUMMYFUNCTION("""COMPUTED_VALUE"""),45076.7031168981)</f>
        <v>45076.70312</v>
      </c>
      <c r="D6473" s="15">
        <f>IFERROR(__xludf.DUMMYFUNCTION("""COMPUTED_VALUE"""),1.008)</f>
        <v>1.008</v>
      </c>
      <c r="E6473" s="16">
        <f>IFERROR(__xludf.DUMMYFUNCTION("""COMPUTED_VALUE"""),65.0)</f>
        <v>65</v>
      </c>
      <c r="F6473" s="19" t="str">
        <f>IFERROR(__xludf.DUMMYFUNCTION("""COMPUTED_VALUE"""),"BLUE")</f>
        <v>BLUE</v>
      </c>
      <c r="G6473" s="20" t="str">
        <f>IFERROR(__xludf.DUMMYFUNCTION("""COMPUTED_VALUE"""),"Uncle Sams Cider (04/04/2023)")</f>
        <v>Uncle Sams Cider (04/04/2023)</v>
      </c>
      <c r="H6473" s="19"/>
    </row>
    <row r="6474">
      <c r="A6474" s="9"/>
      <c r="B6474" s="15"/>
      <c r="C6474" s="9">
        <f>IFERROR(__xludf.DUMMYFUNCTION("""COMPUTED_VALUE"""),45076.6926955671)</f>
        <v>45076.6927</v>
      </c>
      <c r="D6474" s="15">
        <f>IFERROR(__xludf.DUMMYFUNCTION("""COMPUTED_VALUE"""),1.008)</f>
        <v>1.008</v>
      </c>
      <c r="E6474" s="16">
        <f>IFERROR(__xludf.DUMMYFUNCTION("""COMPUTED_VALUE"""),65.0)</f>
        <v>65</v>
      </c>
      <c r="F6474" s="19" t="str">
        <f>IFERROR(__xludf.DUMMYFUNCTION("""COMPUTED_VALUE"""),"BLUE")</f>
        <v>BLUE</v>
      </c>
      <c r="G6474" s="20" t="str">
        <f>IFERROR(__xludf.DUMMYFUNCTION("""COMPUTED_VALUE"""),"Uncle Sams Cider (04/04/2023)")</f>
        <v>Uncle Sams Cider (04/04/2023)</v>
      </c>
      <c r="H6474" s="19"/>
    </row>
    <row r="6475">
      <c r="A6475" s="9"/>
      <c r="B6475" s="15"/>
      <c r="C6475" s="9">
        <f>IFERROR(__xludf.DUMMYFUNCTION("""COMPUTED_VALUE"""),45076.6822762037)</f>
        <v>45076.68228</v>
      </c>
      <c r="D6475" s="15">
        <f>IFERROR(__xludf.DUMMYFUNCTION("""COMPUTED_VALUE"""),1.008)</f>
        <v>1.008</v>
      </c>
      <c r="E6475" s="16">
        <f>IFERROR(__xludf.DUMMYFUNCTION("""COMPUTED_VALUE"""),65.0)</f>
        <v>65</v>
      </c>
      <c r="F6475" s="19" t="str">
        <f>IFERROR(__xludf.DUMMYFUNCTION("""COMPUTED_VALUE"""),"BLUE")</f>
        <v>BLUE</v>
      </c>
      <c r="G6475" s="20" t="str">
        <f>IFERROR(__xludf.DUMMYFUNCTION("""COMPUTED_VALUE"""),"Uncle Sams Cider (04/04/2023)")</f>
        <v>Uncle Sams Cider (04/04/2023)</v>
      </c>
      <c r="H6475" s="19"/>
    </row>
    <row r="6476">
      <c r="A6476" s="9"/>
      <c r="B6476" s="15"/>
      <c r="C6476" s="9">
        <f>IFERROR(__xludf.DUMMYFUNCTION("""COMPUTED_VALUE"""),45076.6718556828)</f>
        <v>45076.67186</v>
      </c>
      <c r="D6476" s="15">
        <f>IFERROR(__xludf.DUMMYFUNCTION("""COMPUTED_VALUE"""),1.008)</f>
        <v>1.008</v>
      </c>
      <c r="E6476" s="16">
        <f>IFERROR(__xludf.DUMMYFUNCTION("""COMPUTED_VALUE"""),65.0)</f>
        <v>65</v>
      </c>
      <c r="F6476" s="19" t="str">
        <f>IFERROR(__xludf.DUMMYFUNCTION("""COMPUTED_VALUE"""),"BLUE")</f>
        <v>BLUE</v>
      </c>
      <c r="G6476" s="20" t="str">
        <f>IFERROR(__xludf.DUMMYFUNCTION("""COMPUTED_VALUE"""),"Uncle Sams Cider (04/04/2023)")</f>
        <v>Uncle Sams Cider (04/04/2023)</v>
      </c>
      <c r="H6476" s="19"/>
    </row>
    <row r="6477">
      <c r="A6477" s="9"/>
      <c r="B6477" s="15"/>
      <c r="C6477" s="9">
        <f>IFERROR(__xludf.DUMMYFUNCTION("""COMPUTED_VALUE"""),45076.661434375)</f>
        <v>45076.66143</v>
      </c>
      <c r="D6477" s="15">
        <f>IFERROR(__xludf.DUMMYFUNCTION("""COMPUTED_VALUE"""),1.008)</f>
        <v>1.008</v>
      </c>
      <c r="E6477" s="16">
        <f>IFERROR(__xludf.DUMMYFUNCTION("""COMPUTED_VALUE"""),65.0)</f>
        <v>65</v>
      </c>
      <c r="F6477" s="19" t="str">
        <f>IFERROR(__xludf.DUMMYFUNCTION("""COMPUTED_VALUE"""),"BLUE")</f>
        <v>BLUE</v>
      </c>
      <c r="G6477" s="20" t="str">
        <f>IFERROR(__xludf.DUMMYFUNCTION("""COMPUTED_VALUE"""),"Uncle Sams Cider (04/04/2023)")</f>
        <v>Uncle Sams Cider (04/04/2023)</v>
      </c>
      <c r="H6477" s="19"/>
    </row>
    <row r="6478">
      <c r="A6478" s="9"/>
      <c r="B6478" s="15"/>
      <c r="C6478" s="9">
        <f>IFERROR(__xludf.DUMMYFUNCTION("""COMPUTED_VALUE"""),45076.6510147222)</f>
        <v>45076.65101</v>
      </c>
      <c r="D6478" s="15">
        <f>IFERROR(__xludf.DUMMYFUNCTION("""COMPUTED_VALUE"""),1.008)</f>
        <v>1.008</v>
      </c>
      <c r="E6478" s="16">
        <f>IFERROR(__xludf.DUMMYFUNCTION("""COMPUTED_VALUE"""),65.0)</f>
        <v>65</v>
      </c>
      <c r="F6478" s="19" t="str">
        <f>IFERROR(__xludf.DUMMYFUNCTION("""COMPUTED_VALUE"""),"BLUE")</f>
        <v>BLUE</v>
      </c>
      <c r="G6478" s="20" t="str">
        <f>IFERROR(__xludf.DUMMYFUNCTION("""COMPUTED_VALUE"""),"Uncle Sams Cider (04/04/2023)")</f>
        <v>Uncle Sams Cider (04/04/2023)</v>
      </c>
      <c r="H6478" s="19"/>
    </row>
    <row r="6479">
      <c r="A6479" s="9"/>
      <c r="B6479" s="15"/>
      <c r="C6479" s="9">
        <f>IFERROR(__xludf.DUMMYFUNCTION("""COMPUTED_VALUE"""),45076.6405805671)</f>
        <v>45076.64058</v>
      </c>
      <c r="D6479" s="15">
        <f>IFERROR(__xludf.DUMMYFUNCTION("""COMPUTED_VALUE"""),1.008)</f>
        <v>1.008</v>
      </c>
      <c r="E6479" s="16">
        <f>IFERROR(__xludf.DUMMYFUNCTION("""COMPUTED_VALUE"""),65.0)</f>
        <v>65</v>
      </c>
      <c r="F6479" s="19" t="str">
        <f>IFERROR(__xludf.DUMMYFUNCTION("""COMPUTED_VALUE"""),"BLUE")</f>
        <v>BLUE</v>
      </c>
      <c r="G6479" s="20" t="str">
        <f>IFERROR(__xludf.DUMMYFUNCTION("""COMPUTED_VALUE"""),"Uncle Sams Cider (04/04/2023)")</f>
        <v>Uncle Sams Cider (04/04/2023)</v>
      </c>
      <c r="H6479" s="19"/>
    </row>
    <row r="6480">
      <c r="A6480" s="9"/>
      <c r="B6480" s="15"/>
      <c r="C6480" s="9">
        <f>IFERROR(__xludf.DUMMYFUNCTION("""COMPUTED_VALUE"""),45076.6301484375)</f>
        <v>45076.63015</v>
      </c>
      <c r="D6480" s="15">
        <f>IFERROR(__xludf.DUMMYFUNCTION("""COMPUTED_VALUE"""),1.008)</f>
        <v>1.008</v>
      </c>
      <c r="E6480" s="16">
        <f>IFERROR(__xludf.DUMMYFUNCTION("""COMPUTED_VALUE"""),65.0)</f>
        <v>65</v>
      </c>
      <c r="F6480" s="19" t="str">
        <f>IFERROR(__xludf.DUMMYFUNCTION("""COMPUTED_VALUE"""),"BLUE")</f>
        <v>BLUE</v>
      </c>
      <c r="G6480" s="20" t="str">
        <f>IFERROR(__xludf.DUMMYFUNCTION("""COMPUTED_VALUE"""),"Uncle Sams Cider (04/04/2023)")</f>
        <v>Uncle Sams Cider (04/04/2023)</v>
      </c>
      <c r="H6480" s="19"/>
    </row>
    <row r="6481">
      <c r="A6481" s="9"/>
      <c r="B6481" s="15"/>
      <c r="C6481" s="9">
        <f>IFERROR(__xludf.DUMMYFUNCTION("""COMPUTED_VALUE"""),45076.6197269328)</f>
        <v>45076.61973</v>
      </c>
      <c r="D6481" s="15">
        <f>IFERROR(__xludf.DUMMYFUNCTION("""COMPUTED_VALUE"""),1.007)</f>
        <v>1.007</v>
      </c>
      <c r="E6481" s="16">
        <f>IFERROR(__xludf.DUMMYFUNCTION("""COMPUTED_VALUE"""),65.0)</f>
        <v>65</v>
      </c>
      <c r="F6481" s="19" t="str">
        <f>IFERROR(__xludf.DUMMYFUNCTION("""COMPUTED_VALUE"""),"BLUE")</f>
        <v>BLUE</v>
      </c>
      <c r="G6481" s="20" t="str">
        <f>IFERROR(__xludf.DUMMYFUNCTION("""COMPUTED_VALUE"""),"Uncle Sams Cider (04/04/2023)")</f>
        <v>Uncle Sams Cider (04/04/2023)</v>
      </c>
      <c r="H6481" s="19"/>
    </row>
    <row r="6482">
      <c r="A6482" s="9"/>
      <c r="B6482" s="15"/>
      <c r="C6482" s="9">
        <f>IFERROR(__xludf.DUMMYFUNCTION("""COMPUTED_VALUE"""),45076.6093062731)</f>
        <v>45076.60931</v>
      </c>
      <c r="D6482" s="15">
        <f>IFERROR(__xludf.DUMMYFUNCTION("""COMPUTED_VALUE"""),1.008)</f>
        <v>1.008</v>
      </c>
      <c r="E6482" s="16">
        <f>IFERROR(__xludf.DUMMYFUNCTION("""COMPUTED_VALUE"""),65.0)</f>
        <v>65</v>
      </c>
      <c r="F6482" s="19" t="str">
        <f>IFERROR(__xludf.DUMMYFUNCTION("""COMPUTED_VALUE"""),"BLUE")</f>
        <v>BLUE</v>
      </c>
      <c r="G6482" s="20" t="str">
        <f>IFERROR(__xludf.DUMMYFUNCTION("""COMPUTED_VALUE"""),"Uncle Sams Cider (04/04/2023)")</f>
        <v>Uncle Sams Cider (04/04/2023)</v>
      </c>
      <c r="H6482" s="19"/>
    </row>
    <row r="6483">
      <c r="A6483" s="9"/>
      <c r="B6483" s="15"/>
      <c r="C6483" s="9">
        <f>IFERROR(__xludf.DUMMYFUNCTION("""COMPUTED_VALUE"""),45076.5988733564)</f>
        <v>45076.59887</v>
      </c>
      <c r="D6483" s="15">
        <f>IFERROR(__xludf.DUMMYFUNCTION("""COMPUTED_VALUE"""),1.008)</f>
        <v>1.008</v>
      </c>
      <c r="E6483" s="16">
        <f>IFERROR(__xludf.DUMMYFUNCTION("""COMPUTED_VALUE"""),65.0)</f>
        <v>65</v>
      </c>
      <c r="F6483" s="19" t="str">
        <f>IFERROR(__xludf.DUMMYFUNCTION("""COMPUTED_VALUE"""),"BLUE")</f>
        <v>BLUE</v>
      </c>
      <c r="G6483" s="20" t="str">
        <f>IFERROR(__xludf.DUMMYFUNCTION("""COMPUTED_VALUE"""),"Uncle Sams Cider (04/04/2023)")</f>
        <v>Uncle Sams Cider (04/04/2023)</v>
      </c>
      <c r="H6483" s="19"/>
    </row>
    <row r="6484">
      <c r="A6484" s="9"/>
      <c r="B6484" s="15"/>
      <c r="C6484" s="9">
        <f>IFERROR(__xludf.DUMMYFUNCTION("""COMPUTED_VALUE"""),45076.588451875)</f>
        <v>45076.58845</v>
      </c>
      <c r="D6484" s="15">
        <f>IFERROR(__xludf.DUMMYFUNCTION("""COMPUTED_VALUE"""),1.008)</f>
        <v>1.008</v>
      </c>
      <c r="E6484" s="16">
        <f>IFERROR(__xludf.DUMMYFUNCTION("""COMPUTED_VALUE"""),65.0)</f>
        <v>65</v>
      </c>
      <c r="F6484" s="19" t="str">
        <f>IFERROR(__xludf.DUMMYFUNCTION("""COMPUTED_VALUE"""),"BLUE")</f>
        <v>BLUE</v>
      </c>
      <c r="G6484" s="20" t="str">
        <f>IFERROR(__xludf.DUMMYFUNCTION("""COMPUTED_VALUE"""),"Uncle Sams Cider (04/04/2023)")</f>
        <v>Uncle Sams Cider (04/04/2023)</v>
      </c>
      <c r="H6484" s="19"/>
    </row>
    <row r="6485">
      <c r="A6485" s="9"/>
      <c r="B6485" s="15"/>
      <c r="C6485" s="9">
        <f>IFERROR(__xludf.DUMMYFUNCTION("""COMPUTED_VALUE"""),45076.5780307291)</f>
        <v>45076.57803</v>
      </c>
      <c r="D6485" s="15">
        <f>IFERROR(__xludf.DUMMYFUNCTION("""COMPUTED_VALUE"""),1.008)</f>
        <v>1.008</v>
      </c>
      <c r="E6485" s="16">
        <f>IFERROR(__xludf.DUMMYFUNCTION("""COMPUTED_VALUE"""),65.0)</f>
        <v>65</v>
      </c>
      <c r="F6485" s="19" t="str">
        <f>IFERROR(__xludf.DUMMYFUNCTION("""COMPUTED_VALUE"""),"BLUE")</f>
        <v>BLUE</v>
      </c>
      <c r="G6485" s="20" t="str">
        <f>IFERROR(__xludf.DUMMYFUNCTION("""COMPUTED_VALUE"""),"Uncle Sams Cider (04/04/2023)")</f>
        <v>Uncle Sams Cider (04/04/2023)</v>
      </c>
      <c r="H6485" s="19"/>
    </row>
    <row r="6486">
      <c r="A6486" s="9"/>
      <c r="B6486" s="15"/>
      <c r="C6486" s="9">
        <f>IFERROR(__xludf.DUMMYFUNCTION("""COMPUTED_VALUE"""),45076.5676091088)</f>
        <v>45076.56761</v>
      </c>
      <c r="D6486" s="15">
        <f>IFERROR(__xludf.DUMMYFUNCTION("""COMPUTED_VALUE"""),1.008)</f>
        <v>1.008</v>
      </c>
      <c r="E6486" s="16">
        <f>IFERROR(__xludf.DUMMYFUNCTION("""COMPUTED_VALUE"""),65.0)</f>
        <v>65</v>
      </c>
      <c r="F6486" s="19" t="str">
        <f>IFERROR(__xludf.DUMMYFUNCTION("""COMPUTED_VALUE"""),"BLUE")</f>
        <v>BLUE</v>
      </c>
      <c r="G6486" s="20" t="str">
        <f>IFERROR(__xludf.DUMMYFUNCTION("""COMPUTED_VALUE"""),"Uncle Sams Cider (04/04/2023)")</f>
        <v>Uncle Sams Cider (04/04/2023)</v>
      </c>
      <c r="H6486" s="19"/>
    </row>
    <row r="6487">
      <c r="A6487" s="9"/>
      <c r="B6487" s="15"/>
      <c r="C6487" s="9">
        <f>IFERROR(__xludf.DUMMYFUNCTION("""COMPUTED_VALUE"""),45076.5571876736)</f>
        <v>45076.55719</v>
      </c>
      <c r="D6487" s="15">
        <f>IFERROR(__xludf.DUMMYFUNCTION("""COMPUTED_VALUE"""),1.008)</f>
        <v>1.008</v>
      </c>
      <c r="E6487" s="16">
        <f>IFERROR(__xludf.DUMMYFUNCTION("""COMPUTED_VALUE"""),65.0)</f>
        <v>65</v>
      </c>
      <c r="F6487" s="19" t="str">
        <f>IFERROR(__xludf.DUMMYFUNCTION("""COMPUTED_VALUE"""),"BLUE")</f>
        <v>BLUE</v>
      </c>
      <c r="G6487" s="20" t="str">
        <f>IFERROR(__xludf.DUMMYFUNCTION("""COMPUTED_VALUE"""),"Uncle Sams Cider (04/04/2023)")</f>
        <v>Uncle Sams Cider (04/04/2023)</v>
      </c>
      <c r="H6487" s="19"/>
    </row>
    <row r="6488">
      <c r="A6488" s="9"/>
      <c r="B6488" s="15"/>
      <c r="C6488" s="9">
        <f>IFERROR(__xludf.DUMMYFUNCTION("""COMPUTED_VALUE"""),45076.5467668981)</f>
        <v>45076.54677</v>
      </c>
      <c r="D6488" s="15">
        <f>IFERROR(__xludf.DUMMYFUNCTION("""COMPUTED_VALUE"""),1.008)</f>
        <v>1.008</v>
      </c>
      <c r="E6488" s="16">
        <f>IFERROR(__xludf.DUMMYFUNCTION("""COMPUTED_VALUE"""),65.0)</f>
        <v>65</v>
      </c>
      <c r="F6488" s="19" t="str">
        <f>IFERROR(__xludf.DUMMYFUNCTION("""COMPUTED_VALUE"""),"BLUE")</f>
        <v>BLUE</v>
      </c>
      <c r="G6488" s="20" t="str">
        <f>IFERROR(__xludf.DUMMYFUNCTION("""COMPUTED_VALUE"""),"Uncle Sams Cider (04/04/2023)")</f>
        <v>Uncle Sams Cider (04/04/2023)</v>
      </c>
      <c r="H6488" s="19"/>
    </row>
    <row r="6489">
      <c r="A6489" s="9"/>
      <c r="B6489" s="15"/>
      <c r="C6489" s="9">
        <f>IFERROR(__xludf.DUMMYFUNCTION("""COMPUTED_VALUE"""),45076.5363465972)</f>
        <v>45076.53635</v>
      </c>
      <c r="D6489" s="15">
        <f>IFERROR(__xludf.DUMMYFUNCTION("""COMPUTED_VALUE"""),1.008)</f>
        <v>1.008</v>
      </c>
      <c r="E6489" s="16">
        <f>IFERROR(__xludf.DUMMYFUNCTION("""COMPUTED_VALUE"""),65.0)</f>
        <v>65</v>
      </c>
      <c r="F6489" s="19" t="str">
        <f>IFERROR(__xludf.DUMMYFUNCTION("""COMPUTED_VALUE"""),"BLUE")</f>
        <v>BLUE</v>
      </c>
      <c r="G6489" s="20" t="str">
        <f>IFERROR(__xludf.DUMMYFUNCTION("""COMPUTED_VALUE"""),"Uncle Sams Cider (04/04/2023)")</f>
        <v>Uncle Sams Cider (04/04/2023)</v>
      </c>
      <c r="H6489" s="19"/>
    </row>
    <row r="6490">
      <c r="A6490" s="9"/>
      <c r="B6490" s="15"/>
      <c r="C6490" s="9">
        <f>IFERROR(__xludf.DUMMYFUNCTION("""COMPUTED_VALUE"""),45076.5259252199)</f>
        <v>45076.52593</v>
      </c>
      <c r="D6490" s="15">
        <f>IFERROR(__xludf.DUMMYFUNCTION("""COMPUTED_VALUE"""),1.008)</f>
        <v>1.008</v>
      </c>
      <c r="E6490" s="16">
        <f>IFERROR(__xludf.DUMMYFUNCTION("""COMPUTED_VALUE"""),65.0)</f>
        <v>65</v>
      </c>
      <c r="F6490" s="19" t="str">
        <f>IFERROR(__xludf.DUMMYFUNCTION("""COMPUTED_VALUE"""),"BLUE")</f>
        <v>BLUE</v>
      </c>
      <c r="G6490" s="20" t="str">
        <f>IFERROR(__xludf.DUMMYFUNCTION("""COMPUTED_VALUE"""),"Uncle Sams Cider (04/04/2023)")</f>
        <v>Uncle Sams Cider (04/04/2023)</v>
      </c>
      <c r="H6490" s="19"/>
    </row>
    <row r="6491">
      <c r="A6491" s="9"/>
      <c r="B6491" s="15"/>
      <c r="C6491" s="9">
        <f>IFERROR(__xludf.DUMMYFUNCTION("""COMPUTED_VALUE"""),45076.5155062731)</f>
        <v>45076.51551</v>
      </c>
      <c r="D6491" s="15">
        <f>IFERROR(__xludf.DUMMYFUNCTION("""COMPUTED_VALUE"""),1.008)</f>
        <v>1.008</v>
      </c>
      <c r="E6491" s="16">
        <f>IFERROR(__xludf.DUMMYFUNCTION("""COMPUTED_VALUE"""),65.0)</f>
        <v>65</v>
      </c>
      <c r="F6491" s="19" t="str">
        <f>IFERROR(__xludf.DUMMYFUNCTION("""COMPUTED_VALUE"""),"BLUE")</f>
        <v>BLUE</v>
      </c>
      <c r="G6491" s="20" t="str">
        <f>IFERROR(__xludf.DUMMYFUNCTION("""COMPUTED_VALUE"""),"Uncle Sams Cider (04/04/2023)")</f>
        <v>Uncle Sams Cider (04/04/2023)</v>
      </c>
      <c r="H6491" s="19"/>
    </row>
    <row r="6492">
      <c r="A6492" s="9"/>
      <c r="B6492" s="15"/>
      <c r="C6492" s="9">
        <f>IFERROR(__xludf.DUMMYFUNCTION("""COMPUTED_VALUE"""),45076.5050871296)</f>
        <v>45076.50509</v>
      </c>
      <c r="D6492" s="15">
        <f>IFERROR(__xludf.DUMMYFUNCTION("""COMPUTED_VALUE"""),1.008)</f>
        <v>1.008</v>
      </c>
      <c r="E6492" s="16">
        <f>IFERROR(__xludf.DUMMYFUNCTION("""COMPUTED_VALUE"""),65.0)</f>
        <v>65</v>
      </c>
      <c r="F6492" s="19" t="str">
        <f>IFERROR(__xludf.DUMMYFUNCTION("""COMPUTED_VALUE"""),"BLUE")</f>
        <v>BLUE</v>
      </c>
      <c r="G6492" s="20" t="str">
        <f>IFERROR(__xludf.DUMMYFUNCTION("""COMPUTED_VALUE"""),"Uncle Sams Cider (04/04/2023)")</f>
        <v>Uncle Sams Cider (04/04/2023)</v>
      </c>
      <c r="H6492" s="19"/>
    </row>
    <row r="6493">
      <c r="A6493" s="9"/>
      <c r="B6493" s="15"/>
      <c r="C6493" s="9">
        <f>IFERROR(__xludf.DUMMYFUNCTION("""COMPUTED_VALUE"""),45076.4946544907)</f>
        <v>45076.49465</v>
      </c>
      <c r="D6493" s="15">
        <f>IFERROR(__xludf.DUMMYFUNCTION("""COMPUTED_VALUE"""),1.008)</f>
        <v>1.008</v>
      </c>
      <c r="E6493" s="16">
        <f>IFERROR(__xludf.DUMMYFUNCTION("""COMPUTED_VALUE"""),65.0)</f>
        <v>65</v>
      </c>
      <c r="F6493" s="19" t="str">
        <f>IFERROR(__xludf.DUMMYFUNCTION("""COMPUTED_VALUE"""),"BLUE")</f>
        <v>BLUE</v>
      </c>
      <c r="G6493" s="20" t="str">
        <f>IFERROR(__xludf.DUMMYFUNCTION("""COMPUTED_VALUE"""),"Uncle Sams Cider (04/04/2023)")</f>
        <v>Uncle Sams Cider (04/04/2023)</v>
      </c>
      <c r="H6493" s="19"/>
    </row>
    <row r="6494">
      <c r="A6494" s="9"/>
      <c r="B6494" s="15"/>
      <c r="C6494" s="9">
        <f>IFERROR(__xludf.DUMMYFUNCTION("""COMPUTED_VALUE"""),45076.4842343171)</f>
        <v>45076.48423</v>
      </c>
      <c r="D6494" s="15">
        <f>IFERROR(__xludf.DUMMYFUNCTION("""COMPUTED_VALUE"""),1.008)</f>
        <v>1.008</v>
      </c>
      <c r="E6494" s="16">
        <f>IFERROR(__xludf.DUMMYFUNCTION("""COMPUTED_VALUE"""),65.0)</f>
        <v>65</v>
      </c>
      <c r="F6494" s="19" t="str">
        <f>IFERROR(__xludf.DUMMYFUNCTION("""COMPUTED_VALUE"""),"BLUE")</f>
        <v>BLUE</v>
      </c>
      <c r="G6494" s="20" t="str">
        <f>IFERROR(__xludf.DUMMYFUNCTION("""COMPUTED_VALUE"""),"Uncle Sams Cider (04/04/2023)")</f>
        <v>Uncle Sams Cider (04/04/2023)</v>
      </c>
      <c r="H6494" s="19"/>
    </row>
    <row r="6495">
      <c r="A6495" s="9"/>
      <c r="B6495" s="15"/>
      <c r="C6495" s="9">
        <f>IFERROR(__xludf.DUMMYFUNCTION("""COMPUTED_VALUE"""),45076.4738145254)</f>
        <v>45076.47381</v>
      </c>
      <c r="D6495" s="15">
        <f>IFERROR(__xludf.DUMMYFUNCTION("""COMPUTED_VALUE"""),1.008)</f>
        <v>1.008</v>
      </c>
      <c r="E6495" s="16">
        <f>IFERROR(__xludf.DUMMYFUNCTION("""COMPUTED_VALUE"""),65.0)</f>
        <v>65</v>
      </c>
      <c r="F6495" s="19" t="str">
        <f>IFERROR(__xludf.DUMMYFUNCTION("""COMPUTED_VALUE"""),"BLUE")</f>
        <v>BLUE</v>
      </c>
      <c r="G6495" s="20" t="str">
        <f>IFERROR(__xludf.DUMMYFUNCTION("""COMPUTED_VALUE"""),"Uncle Sams Cider (04/04/2023)")</f>
        <v>Uncle Sams Cider (04/04/2023)</v>
      </c>
      <c r="H6495" s="19"/>
    </row>
    <row r="6496">
      <c r="A6496" s="9"/>
      <c r="B6496" s="15"/>
      <c r="C6496" s="9">
        <f>IFERROR(__xludf.DUMMYFUNCTION("""COMPUTED_VALUE"""),45076.4633709838)</f>
        <v>45076.46337</v>
      </c>
      <c r="D6496" s="15">
        <f>IFERROR(__xludf.DUMMYFUNCTION("""COMPUTED_VALUE"""),1.008)</f>
        <v>1.008</v>
      </c>
      <c r="E6496" s="16">
        <f>IFERROR(__xludf.DUMMYFUNCTION("""COMPUTED_VALUE"""),65.0)</f>
        <v>65</v>
      </c>
      <c r="F6496" s="19" t="str">
        <f>IFERROR(__xludf.DUMMYFUNCTION("""COMPUTED_VALUE"""),"BLUE")</f>
        <v>BLUE</v>
      </c>
      <c r="G6496" s="20" t="str">
        <f>IFERROR(__xludf.DUMMYFUNCTION("""COMPUTED_VALUE"""),"Uncle Sams Cider (04/04/2023)")</f>
        <v>Uncle Sams Cider (04/04/2023)</v>
      </c>
      <c r="H6496" s="19"/>
    </row>
    <row r="6497">
      <c r="A6497" s="9"/>
      <c r="B6497" s="15"/>
      <c r="C6497" s="9">
        <f>IFERROR(__xludf.DUMMYFUNCTION("""COMPUTED_VALUE"""),45076.4529488657)</f>
        <v>45076.45295</v>
      </c>
      <c r="D6497" s="15">
        <f>IFERROR(__xludf.DUMMYFUNCTION("""COMPUTED_VALUE"""),1.008)</f>
        <v>1.008</v>
      </c>
      <c r="E6497" s="16">
        <f>IFERROR(__xludf.DUMMYFUNCTION("""COMPUTED_VALUE"""),65.0)</f>
        <v>65</v>
      </c>
      <c r="F6497" s="19" t="str">
        <f>IFERROR(__xludf.DUMMYFUNCTION("""COMPUTED_VALUE"""),"BLUE")</f>
        <v>BLUE</v>
      </c>
      <c r="G6497" s="20" t="str">
        <f>IFERROR(__xludf.DUMMYFUNCTION("""COMPUTED_VALUE"""),"Uncle Sams Cider (04/04/2023)")</f>
        <v>Uncle Sams Cider (04/04/2023)</v>
      </c>
      <c r="H6497" s="19"/>
    </row>
    <row r="6498">
      <c r="A6498" s="9"/>
      <c r="B6498" s="15"/>
      <c r="C6498" s="9">
        <f>IFERROR(__xludf.DUMMYFUNCTION("""COMPUTED_VALUE"""),45076.4425162037)</f>
        <v>45076.44252</v>
      </c>
      <c r="D6498" s="15">
        <f>IFERROR(__xludf.DUMMYFUNCTION("""COMPUTED_VALUE"""),1.008)</f>
        <v>1.008</v>
      </c>
      <c r="E6498" s="16">
        <f>IFERROR(__xludf.DUMMYFUNCTION("""COMPUTED_VALUE"""),65.0)</f>
        <v>65</v>
      </c>
      <c r="F6498" s="19" t="str">
        <f>IFERROR(__xludf.DUMMYFUNCTION("""COMPUTED_VALUE"""),"BLUE")</f>
        <v>BLUE</v>
      </c>
      <c r="G6498" s="20" t="str">
        <f>IFERROR(__xludf.DUMMYFUNCTION("""COMPUTED_VALUE"""),"Uncle Sams Cider (04/04/2023)")</f>
        <v>Uncle Sams Cider (04/04/2023)</v>
      </c>
      <c r="H6498" s="19"/>
    </row>
    <row r="6499">
      <c r="A6499" s="9"/>
      <c r="B6499" s="15"/>
      <c r="C6499" s="9">
        <f>IFERROR(__xludf.DUMMYFUNCTION("""COMPUTED_VALUE"""),45076.4320964583)</f>
        <v>45076.4321</v>
      </c>
      <c r="D6499" s="15">
        <f>IFERROR(__xludf.DUMMYFUNCTION("""COMPUTED_VALUE"""),1.008)</f>
        <v>1.008</v>
      </c>
      <c r="E6499" s="16">
        <f>IFERROR(__xludf.DUMMYFUNCTION("""COMPUTED_VALUE"""),65.0)</f>
        <v>65</v>
      </c>
      <c r="F6499" s="19" t="str">
        <f>IFERROR(__xludf.DUMMYFUNCTION("""COMPUTED_VALUE"""),"BLUE")</f>
        <v>BLUE</v>
      </c>
      <c r="G6499" s="20" t="str">
        <f>IFERROR(__xludf.DUMMYFUNCTION("""COMPUTED_VALUE"""),"Uncle Sams Cider (04/04/2023)")</f>
        <v>Uncle Sams Cider (04/04/2023)</v>
      </c>
      <c r="H6499" s="19"/>
    </row>
    <row r="6500">
      <c r="A6500" s="9"/>
      <c r="B6500" s="15"/>
      <c r="C6500" s="9">
        <f>IFERROR(__xludf.DUMMYFUNCTION("""COMPUTED_VALUE"""),45076.4216629051)</f>
        <v>45076.42166</v>
      </c>
      <c r="D6500" s="15">
        <f>IFERROR(__xludf.DUMMYFUNCTION("""COMPUTED_VALUE"""),1.008)</f>
        <v>1.008</v>
      </c>
      <c r="E6500" s="16">
        <f>IFERROR(__xludf.DUMMYFUNCTION("""COMPUTED_VALUE"""),65.0)</f>
        <v>65</v>
      </c>
      <c r="F6500" s="19" t="str">
        <f>IFERROR(__xludf.DUMMYFUNCTION("""COMPUTED_VALUE"""),"BLUE")</f>
        <v>BLUE</v>
      </c>
      <c r="G6500" s="20" t="str">
        <f>IFERROR(__xludf.DUMMYFUNCTION("""COMPUTED_VALUE"""),"Uncle Sams Cider (04/04/2023)")</f>
        <v>Uncle Sams Cider (04/04/2023)</v>
      </c>
      <c r="H6500" s="19"/>
    </row>
    <row r="6501">
      <c r="A6501" s="9"/>
      <c r="B6501" s="15"/>
      <c r="C6501" s="9">
        <f>IFERROR(__xludf.DUMMYFUNCTION("""COMPUTED_VALUE"""),45076.4112422453)</f>
        <v>45076.41124</v>
      </c>
      <c r="D6501" s="15">
        <f>IFERROR(__xludf.DUMMYFUNCTION("""COMPUTED_VALUE"""),1.008)</f>
        <v>1.008</v>
      </c>
      <c r="E6501" s="16">
        <f>IFERROR(__xludf.DUMMYFUNCTION("""COMPUTED_VALUE"""),65.0)</f>
        <v>65</v>
      </c>
      <c r="F6501" s="19" t="str">
        <f>IFERROR(__xludf.DUMMYFUNCTION("""COMPUTED_VALUE"""),"BLUE")</f>
        <v>BLUE</v>
      </c>
      <c r="G6501" s="20" t="str">
        <f>IFERROR(__xludf.DUMMYFUNCTION("""COMPUTED_VALUE"""),"Uncle Sams Cider (04/04/2023)")</f>
        <v>Uncle Sams Cider (04/04/2023)</v>
      </c>
      <c r="H6501" s="19"/>
    </row>
    <row r="6502">
      <c r="A6502" s="9"/>
      <c r="B6502" s="15"/>
      <c r="C6502" s="9">
        <f>IFERROR(__xludf.DUMMYFUNCTION("""COMPUTED_VALUE"""),45076.4008103935)</f>
        <v>45076.40081</v>
      </c>
      <c r="D6502" s="15">
        <f>IFERROR(__xludf.DUMMYFUNCTION("""COMPUTED_VALUE"""),1.008)</f>
        <v>1.008</v>
      </c>
      <c r="E6502" s="16">
        <f>IFERROR(__xludf.DUMMYFUNCTION("""COMPUTED_VALUE"""),65.0)</f>
        <v>65</v>
      </c>
      <c r="F6502" s="19" t="str">
        <f>IFERROR(__xludf.DUMMYFUNCTION("""COMPUTED_VALUE"""),"BLUE")</f>
        <v>BLUE</v>
      </c>
      <c r="G6502" s="20" t="str">
        <f>IFERROR(__xludf.DUMMYFUNCTION("""COMPUTED_VALUE"""),"Uncle Sams Cider (04/04/2023)")</f>
        <v>Uncle Sams Cider (04/04/2023)</v>
      </c>
      <c r="H6502" s="19"/>
    </row>
    <row r="6503">
      <c r="A6503" s="9"/>
      <c r="B6503" s="15"/>
      <c r="C6503" s="9">
        <f>IFERROR(__xludf.DUMMYFUNCTION("""COMPUTED_VALUE"""),45076.3903910185)</f>
        <v>45076.39039</v>
      </c>
      <c r="D6503" s="15">
        <f>IFERROR(__xludf.DUMMYFUNCTION("""COMPUTED_VALUE"""),1.008)</f>
        <v>1.008</v>
      </c>
      <c r="E6503" s="16">
        <f>IFERROR(__xludf.DUMMYFUNCTION("""COMPUTED_VALUE"""),65.0)</f>
        <v>65</v>
      </c>
      <c r="F6503" s="19" t="str">
        <f>IFERROR(__xludf.DUMMYFUNCTION("""COMPUTED_VALUE"""),"BLUE")</f>
        <v>BLUE</v>
      </c>
      <c r="G6503" s="20" t="str">
        <f>IFERROR(__xludf.DUMMYFUNCTION("""COMPUTED_VALUE"""),"Uncle Sams Cider (04/04/2023)")</f>
        <v>Uncle Sams Cider (04/04/2023)</v>
      </c>
      <c r="H6503" s="19"/>
    </row>
    <row r="6504">
      <c r="A6504" s="9"/>
      <c r="B6504" s="15"/>
      <c r="C6504" s="9">
        <f>IFERROR(__xludf.DUMMYFUNCTION("""COMPUTED_VALUE"""),45076.37997125)</f>
        <v>45076.37997</v>
      </c>
      <c r="D6504" s="15">
        <f>IFERROR(__xludf.DUMMYFUNCTION("""COMPUTED_VALUE"""),1.008)</f>
        <v>1.008</v>
      </c>
      <c r="E6504" s="16">
        <f>IFERROR(__xludf.DUMMYFUNCTION("""COMPUTED_VALUE"""),65.0)</f>
        <v>65</v>
      </c>
      <c r="F6504" s="19" t="str">
        <f>IFERROR(__xludf.DUMMYFUNCTION("""COMPUTED_VALUE"""),"BLUE")</f>
        <v>BLUE</v>
      </c>
      <c r="G6504" s="20" t="str">
        <f>IFERROR(__xludf.DUMMYFUNCTION("""COMPUTED_VALUE"""),"Uncle Sams Cider (04/04/2023)")</f>
        <v>Uncle Sams Cider (04/04/2023)</v>
      </c>
      <c r="H6504" s="19"/>
    </row>
    <row r="6505">
      <c r="A6505" s="9"/>
      <c r="B6505" s="15"/>
      <c r="C6505" s="9">
        <f>IFERROR(__xludf.DUMMYFUNCTION("""COMPUTED_VALUE"""),45076.369551493)</f>
        <v>45076.36955</v>
      </c>
      <c r="D6505" s="15">
        <f>IFERROR(__xludf.DUMMYFUNCTION("""COMPUTED_VALUE"""),1.008)</f>
        <v>1.008</v>
      </c>
      <c r="E6505" s="16">
        <f>IFERROR(__xludf.DUMMYFUNCTION("""COMPUTED_VALUE"""),65.0)</f>
        <v>65</v>
      </c>
      <c r="F6505" s="19" t="str">
        <f>IFERROR(__xludf.DUMMYFUNCTION("""COMPUTED_VALUE"""),"BLUE")</f>
        <v>BLUE</v>
      </c>
      <c r="G6505" s="20" t="str">
        <f>IFERROR(__xludf.DUMMYFUNCTION("""COMPUTED_VALUE"""),"Uncle Sams Cider (04/04/2023)")</f>
        <v>Uncle Sams Cider (04/04/2023)</v>
      </c>
      <c r="H6505" s="19"/>
    </row>
    <row r="6506">
      <c r="A6506" s="9"/>
      <c r="B6506" s="15"/>
      <c r="C6506" s="9">
        <f>IFERROR(__xludf.DUMMYFUNCTION("""COMPUTED_VALUE"""),45076.3591302777)</f>
        <v>45076.35913</v>
      </c>
      <c r="D6506" s="15">
        <f>IFERROR(__xludf.DUMMYFUNCTION("""COMPUTED_VALUE"""),1.008)</f>
        <v>1.008</v>
      </c>
      <c r="E6506" s="16">
        <f>IFERROR(__xludf.DUMMYFUNCTION("""COMPUTED_VALUE"""),65.0)</f>
        <v>65</v>
      </c>
      <c r="F6506" s="19" t="str">
        <f>IFERROR(__xludf.DUMMYFUNCTION("""COMPUTED_VALUE"""),"BLUE")</f>
        <v>BLUE</v>
      </c>
      <c r="G6506" s="20" t="str">
        <f>IFERROR(__xludf.DUMMYFUNCTION("""COMPUTED_VALUE"""),"Uncle Sams Cider (04/04/2023)")</f>
        <v>Uncle Sams Cider (04/04/2023)</v>
      </c>
      <c r="H6506" s="19"/>
    </row>
    <row r="6507">
      <c r="A6507" s="9"/>
      <c r="B6507" s="15"/>
      <c r="C6507" s="9">
        <f>IFERROR(__xludf.DUMMYFUNCTION("""COMPUTED_VALUE"""),45076.3487076736)</f>
        <v>45076.34871</v>
      </c>
      <c r="D6507" s="15">
        <f>IFERROR(__xludf.DUMMYFUNCTION("""COMPUTED_VALUE"""),1.008)</f>
        <v>1.008</v>
      </c>
      <c r="E6507" s="16">
        <f>IFERROR(__xludf.DUMMYFUNCTION("""COMPUTED_VALUE"""),65.0)</f>
        <v>65</v>
      </c>
      <c r="F6507" s="19" t="str">
        <f>IFERROR(__xludf.DUMMYFUNCTION("""COMPUTED_VALUE"""),"BLUE")</f>
        <v>BLUE</v>
      </c>
      <c r="G6507" s="20" t="str">
        <f>IFERROR(__xludf.DUMMYFUNCTION("""COMPUTED_VALUE"""),"Uncle Sams Cider (04/04/2023)")</f>
        <v>Uncle Sams Cider (04/04/2023)</v>
      </c>
      <c r="H6507" s="19"/>
    </row>
    <row r="6508">
      <c r="A6508" s="9"/>
      <c r="B6508" s="15"/>
      <c r="C6508" s="9">
        <f>IFERROR(__xludf.DUMMYFUNCTION("""COMPUTED_VALUE"""),45076.3382874884)</f>
        <v>45076.33829</v>
      </c>
      <c r="D6508" s="15">
        <f>IFERROR(__xludf.DUMMYFUNCTION("""COMPUTED_VALUE"""),1.008)</f>
        <v>1.008</v>
      </c>
      <c r="E6508" s="16">
        <f>IFERROR(__xludf.DUMMYFUNCTION("""COMPUTED_VALUE"""),65.0)</f>
        <v>65</v>
      </c>
      <c r="F6508" s="19" t="str">
        <f>IFERROR(__xludf.DUMMYFUNCTION("""COMPUTED_VALUE"""),"BLUE")</f>
        <v>BLUE</v>
      </c>
      <c r="G6508" s="20" t="str">
        <f>IFERROR(__xludf.DUMMYFUNCTION("""COMPUTED_VALUE"""),"Uncle Sams Cider (04/04/2023)")</f>
        <v>Uncle Sams Cider (04/04/2023)</v>
      </c>
      <c r="H6508" s="19"/>
    </row>
    <row r="6509">
      <c r="A6509" s="9"/>
      <c r="B6509" s="15"/>
      <c r="C6509" s="9">
        <f>IFERROR(__xludf.DUMMYFUNCTION("""COMPUTED_VALUE"""),45076.3278646759)</f>
        <v>45076.32786</v>
      </c>
      <c r="D6509" s="15">
        <f>IFERROR(__xludf.DUMMYFUNCTION("""COMPUTED_VALUE"""),1.008)</f>
        <v>1.008</v>
      </c>
      <c r="E6509" s="16">
        <f>IFERROR(__xludf.DUMMYFUNCTION("""COMPUTED_VALUE"""),65.0)</f>
        <v>65</v>
      </c>
      <c r="F6509" s="19" t="str">
        <f>IFERROR(__xludf.DUMMYFUNCTION("""COMPUTED_VALUE"""),"BLUE")</f>
        <v>BLUE</v>
      </c>
      <c r="G6509" s="20" t="str">
        <f>IFERROR(__xludf.DUMMYFUNCTION("""COMPUTED_VALUE"""),"Uncle Sams Cider (04/04/2023)")</f>
        <v>Uncle Sams Cider (04/04/2023)</v>
      </c>
      <c r="H6509" s="19"/>
    </row>
    <row r="6510">
      <c r="A6510" s="9"/>
      <c r="B6510" s="15"/>
      <c r="C6510" s="9">
        <f>IFERROR(__xludf.DUMMYFUNCTION("""COMPUTED_VALUE"""),45076.3174458101)</f>
        <v>45076.31745</v>
      </c>
      <c r="D6510" s="15">
        <f>IFERROR(__xludf.DUMMYFUNCTION("""COMPUTED_VALUE"""),1.008)</f>
        <v>1.008</v>
      </c>
      <c r="E6510" s="16">
        <f>IFERROR(__xludf.DUMMYFUNCTION("""COMPUTED_VALUE"""),65.0)</f>
        <v>65</v>
      </c>
      <c r="F6510" s="19" t="str">
        <f>IFERROR(__xludf.DUMMYFUNCTION("""COMPUTED_VALUE"""),"BLUE")</f>
        <v>BLUE</v>
      </c>
      <c r="G6510" s="20" t="str">
        <f>IFERROR(__xludf.DUMMYFUNCTION("""COMPUTED_VALUE"""),"Uncle Sams Cider (04/04/2023)")</f>
        <v>Uncle Sams Cider (04/04/2023)</v>
      </c>
      <c r="H6510" s="19"/>
    </row>
    <row r="6511">
      <c r="A6511" s="9"/>
      <c r="B6511" s="15"/>
      <c r="C6511" s="9">
        <f>IFERROR(__xludf.DUMMYFUNCTION("""COMPUTED_VALUE"""),45076.3070243634)</f>
        <v>45076.30702</v>
      </c>
      <c r="D6511" s="15">
        <f>IFERROR(__xludf.DUMMYFUNCTION("""COMPUTED_VALUE"""),1.008)</f>
        <v>1.008</v>
      </c>
      <c r="E6511" s="16">
        <f>IFERROR(__xludf.DUMMYFUNCTION("""COMPUTED_VALUE"""),65.0)</f>
        <v>65</v>
      </c>
      <c r="F6511" s="19" t="str">
        <f>IFERROR(__xludf.DUMMYFUNCTION("""COMPUTED_VALUE"""),"BLUE")</f>
        <v>BLUE</v>
      </c>
      <c r="G6511" s="20" t="str">
        <f>IFERROR(__xludf.DUMMYFUNCTION("""COMPUTED_VALUE"""),"Uncle Sams Cider (04/04/2023)")</f>
        <v>Uncle Sams Cider (04/04/2023)</v>
      </c>
      <c r="H6511" s="19"/>
    </row>
    <row r="6512">
      <c r="A6512" s="9"/>
      <c r="B6512" s="15"/>
      <c r="C6512" s="9">
        <f>IFERROR(__xludf.DUMMYFUNCTION("""COMPUTED_VALUE"""),45076.2966046643)</f>
        <v>45076.2966</v>
      </c>
      <c r="D6512" s="15">
        <f>IFERROR(__xludf.DUMMYFUNCTION("""COMPUTED_VALUE"""),1.008)</f>
        <v>1.008</v>
      </c>
      <c r="E6512" s="16">
        <f>IFERROR(__xludf.DUMMYFUNCTION("""COMPUTED_VALUE"""),65.0)</f>
        <v>65</v>
      </c>
      <c r="F6512" s="19" t="str">
        <f>IFERROR(__xludf.DUMMYFUNCTION("""COMPUTED_VALUE"""),"BLUE")</f>
        <v>BLUE</v>
      </c>
      <c r="G6512" s="20" t="str">
        <f>IFERROR(__xludf.DUMMYFUNCTION("""COMPUTED_VALUE"""),"Uncle Sams Cider (04/04/2023)")</f>
        <v>Uncle Sams Cider (04/04/2023)</v>
      </c>
      <c r="H6512" s="19"/>
    </row>
    <row r="6513">
      <c r="A6513" s="9"/>
      <c r="B6513" s="15"/>
      <c r="C6513" s="9">
        <f>IFERROR(__xludf.DUMMYFUNCTION("""COMPUTED_VALUE"""),45076.286183831)</f>
        <v>45076.28618</v>
      </c>
      <c r="D6513" s="15">
        <f>IFERROR(__xludf.DUMMYFUNCTION("""COMPUTED_VALUE"""),1.008)</f>
        <v>1.008</v>
      </c>
      <c r="E6513" s="16">
        <f>IFERROR(__xludf.DUMMYFUNCTION("""COMPUTED_VALUE"""),65.0)</f>
        <v>65</v>
      </c>
      <c r="F6513" s="19" t="str">
        <f>IFERROR(__xludf.DUMMYFUNCTION("""COMPUTED_VALUE"""),"BLUE")</f>
        <v>BLUE</v>
      </c>
      <c r="G6513" s="20" t="str">
        <f>IFERROR(__xludf.DUMMYFUNCTION("""COMPUTED_VALUE"""),"Uncle Sams Cider (04/04/2023)")</f>
        <v>Uncle Sams Cider (04/04/2023)</v>
      </c>
      <c r="H6513" s="19"/>
    </row>
    <row r="6514">
      <c r="A6514" s="9"/>
      <c r="B6514" s="15"/>
      <c r="C6514" s="9">
        <f>IFERROR(__xludf.DUMMYFUNCTION("""COMPUTED_VALUE"""),45076.2757633796)</f>
        <v>45076.27576</v>
      </c>
      <c r="D6514" s="15">
        <f>IFERROR(__xludf.DUMMYFUNCTION("""COMPUTED_VALUE"""),1.008)</f>
        <v>1.008</v>
      </c>
      <c r="E6514" s="16">
        <f>IFERROR(__xludf.DUMMYFUNCTION("""COMPUTED_VALUE"""),65.0)</f>
        <v>65</v>
      </c>
      <c r="F6514" s="19" t="str">
        <f>IFERROR(__xludf.DUMMYFUNCTION("""COMPUTED_VALUE"""),"BLUE")</f>
        <v>BLUE</v>
      </c>
      <c r="G6514" s="20" t="str">
        <f>IFERROR(__xludf.DUMMYFUNCTION("""COMPUTED_VALUE"""),"Uncle Sams Cider (04/04/2023)")</f>
        <v>Uncle Sams Cider (04/04/2023)</v>
      </c>
      <c r="H6514" s="19"/>
    </row>
    <row r="6515">
      <c r="A6515" s="9"/>
      <c r="B6515" s="15"/>
      <c r="C6515" s="9">
        <f>IFERROR(__xludf.DUMMYFUNCTION("""COMPUTED_VALUE"""),45076.2653420601)</f>
        <v>45076.26534</v>
      </c>
      <c r="D6515" s="15">
        <f>IFERROR(__xludf.DUMMYFUNCTION("""COMPUTED_VALUE"""),1.008)</f>
        <v>1.008</v>
      </c>
      <c r="E6515" s="16">
        <f>IFERROR(__xludf.DUMMYFUNCTION("""COMPUTED_VALUE"""),65.0)</f>
        <v>65</v>
      </c>
      <c r="F6515" s="19" t="str">
        <f>IFERROR(__xludf.DUMMYFUNCTION("""COMPUTED_VALUE"""),"BLUE")</f>
        <v>BLUE</v>
      </c>
      <c r="G6515" s="20" t="str">
        <f>IFERROR(__xludf.DUMMYFUNCTION("""COMPUTED_VALUE"""),"Uncle Sams Cider (04/04/2023)")</f>
        <v>Uncle Sams Cider (04/04/2023)</v>
      </c>
      <c r="H6515" s="19"/>
    </row>
    <row r="6516">
      <c r="A6516" s="9"/>
      <c r="B6516" s="15"/>
      <c r="C6516" s="9">
        <f>IFERROR(__xludf.DUMMYFUNCTION("""COMPUTED_VALUE"""),45076.2549206597)</f>
        <v>45076.25492</v>
      </c>
      <c r="D6516" s="15">
        <f>IFERROR(__xludf.DUMMYFUNCTION("""COMPUTED_VALUE"""),1.008)</f>
        <v>1.008</v>
      </c>
      <c r="E6516" s="16">
        <f>IFERROR(__xludf.DUMMYFUNCTION("""COMPUTED_VALUE"""),65.0)</f>
        <v>65</v>
      </c>
      <c r="F6516" s="19" t="str">
        <f>IFERROR(__xludf.DUMMYFUNCTION("""COMPUTED_VALUE"""),"BLUE")</f>
        <v>BLUE</v>
      </c>
      <c r="G6516" s="20" t="str">
        <f>IFERROR(__xludf.DUMMYFUNCTION("""COMPUTED_VALUE"""),"Uncle Sams Cider (04/04/2023)")</f>
        <v>Uncle Sams Cider (04/04/2023)</v>
      </c>
      <c r="H6516" s="19"/>
    </row>
    <row r="6517">
      <c r="A6517" s="9"/>
      <c r="B6517" s="15"/>
      <c r="C6517" s="9">
        <f>IFERROR(__xludf.DUMMYFUNCTION("""COMPUTED_VALUE"""),45076.2444991782)</f>
        <v>45076.2445</v>
      </c>
      <c r="D6517" s="15">
        <f>IFERROR(__xludf.DUMMYFUNCTION("""COMPUTED_VALUE"""),1.008)</f>
        <v>1.008</v>
      </c>
      <c r="E6517" s="16">
        <f>IFERROR(__xludf.DUMMYFUNCTION("""COMPUTED_VALUE"""),65.0)</f>
        <v>65</v>
      </c>
      <c r="F6517" s="19" t="str">
        <f>IFERROR(__xludf.DUMMYFUNCTION("""COMPUTED_VALUE"""),"BLUE")</f>
        <v>BLUE</v>
      </c>
      <c r="G6517" s="20" t="str">
        <f>IFERROR(__xludf.DUMMYFUNCTION("""COMPUTED_VALUE"""),"Uncle Sams Cider (04/04/2023)")</f>
        <v>Uncle Sams Cider (04/04/2023)</v>
      </c>
      <c r="H6517" s="19"/>
    </row>
    <row r="6518">
      <c r="A6518" s="9"/>
      <c r="B6518" s="15"/>
      <c r="C6518" s="9">
        <f>IFERROR(__xludf.DUMMYFUNCTION("""COMPUTED_VALUE"""),45076.2340789699)</f>
        <v>45076.23408</v>
      </c>
      <c r="D6518" s="15">
        <f>IFERROR(__xludf.DUMMYFUNCTION("""COMPUTED_VALUE"""),1.008)</f>
        <v>1.008</v>
      </c>
      <c r="E6518" s="16">
        <f>IFERROR(__xludf.DUMMYFUNCTION("""COMPUTED_VALUE"""),65.0)</f>
        <v>65</v>
      </c>
      <c r="F6518" s="19" t="str">
        <f>IFERROR(__xludf.DUMMYFUNCTION("""COMPUTED_VALUE"""),"BLUE")</f>
        <v>BLUE</v>
      </c>
      <c r="G6518" s="20" t="str">
        <f>IFERROR(__xludf.DUMMYFUNCTION("""COMPUTED_VALUE"""),"Uncle Sams Cider (04/04/2023)")</f>
        <v>Uncle Sams Cider (04/04/2023)</v>
      </c>
      <c r="H6518" s="19"/>
    </row>
    <row r="6519">
      <c r="A6519" s="9"/>
      <c r="B6519" s="15"/>
      <c r="C6519" s="9">
        <f>IFERROR(__xludf.DUMMYFUNCTION("""COMPUTED_VALUE"""),45076.2236581481)</f>
        <v>45076.22366</v>
      </c>
      <c r="D6519" s="15">
        <f>IFERROR(__xludf.DUMMYFUNCTION("""COMPUTED_VALUE"""),1.008)</f>
        <v>1.008</v>
      </c>
      <c r="E6519" s="16">
        <f>IFERROR(__xludf.DUMMYFUNCTION("""COMPUTED_VALUE"""),65.0)</f>
        <v>65</v>
      </c>
      <c r="F6519" s="19" t="str">
        <f>IFERROR(__xludf.DUMMYFUNCTION("""COMPUTED_VALUE"""),"BLUE")</f>
        <v>BLUE</v>
      </c>
      <c r="G6519" s="20" t="str">
        <f>IFERROR(__xludf.DUMMYFUNCTION("""COMPUTED_VALUE"""),"Uncle Sams Cider (04/04/2023)")</f>
        <v>Uncle Sams Cider (04/04/2023)</v>
      </c>
      <c r="H6519" s="19"/>
    </row>
    <row r="6520">
      <c r="A6520" s="9"/>
      <c r="B6520" s="15"/>
      <c r="C6520" s="9">
        <f>IFERROR(__xludf.DUMMYFUNCTION("""COMPUTED_VALUE"""),45076.2132375694)</f>
        <v>45076.21324</v>
      </c>
      <c r="D6520" s="15">
        <f>IFERROR(__xludf.DUMMYFUNCTION("""COMPUTED_VALUE"""),1.008)</f>
        <v>1.008</v>
      </c>
      <c r="E6520" s="16">
        <f>IFERROR(__xludf.DUMMYFUNCTION("""COMPUTED_VALUE"""),65.0)</f>
        <v>65</v>
      </c>
      <c r="F6520" s="19" t="str">
        <f>IFERROR(__xludf.DUMMYFUNCTION("""COMPUTED_VALUE"""),"BLUE")</f>
        <v>BLUE</v>
      </c>
      <c r="G6520" s="20" t="str">
        <f>IFERROR(__xludf.DUMMYFUNCTION("""COMPUTED_VALUE"""),"Uncle Sams Cider (04/04/2023)")</f>
        <v>Uncle Sams Cider (04/04/2023)</v>
      </c>
      <c r="H6520" s="19"/>
    </row>
    <row r="6521">
      <c r="A6521" s="9"/>
      <c r="B6521" s="15"/>
      <c r="C6521" s="9">
        <f>IFERROR(__xludf.DUMMYFUNCTION("""COMPUTED_VALUE"""),45076.2027713194)</f>
        <v>45076.20277</v>
      </c>
      <c r="D6521" s="15">
        <f>IFERROR(__xludf.DUMMYFUNCTION("""COMPUTED_VALUE"""),1.008)</f>
        <v>1.008</v>
      </c>
      <c r="E6521" s="16">
        <f>IFERROR(__xludf.DUMMYFUNCTION("""COMPUTED_VALUE"""),65.0)</f>
        <v>65</v>
      </c>
      <c r="F6521" s="19" t="str">
        <f>IFERROR(__xludf.DUMMYFUNCTION("""COMPUTED_VALUE"""),"BLUE")</f>
        <v>BLUE</v>
      </c>
      <c r="G6521" s="20" t="str">
        <f>IFERROR(__xludf.DUMMYFUNCTION("""COMPUTED_VALUE"""),"Uncle Sams Cider (04/04/2023)")</f>
        <v>Uncle Sams Cider (04/04/2023)</v>
      </c>
      <c r="H6521" s="19"/>
    </row>
    <row r="6522">
      <c r="A6522" s="9"/>
      <c r="B6522" s="15"/>
      <c r="C6522" s="9">
        <f>IFERROR(__xludf.DUMMYFUNCTION("""COMPUTED_VALUE"""),45076.1923385648)</f>
        <v>45076.19234</v>
      </c>
      <c r="D6522" s="15">
        <f>IFERROR(__xludf.DUMMYFUNCTION("""COMPUTED_VALUE"""),1.008)</f>
        <v>1.008</v>
      </c>
      <c r="E6522" s="16">
        <f>IFERROR(__xludf.DUMMYFUNCTION("""COMPUTED_VALUE"""),65.0)</f>
        <v>65</v>
      </c>
      <c r="F6522" s="19" t="str">
        <f>IFERROR(__xludf.DUMMYFUNCTION("""COMPUTED_VALUE"""),"BLUE")</f>
        <v>BLUE</v>
      </c>
      <c r="G6522" s="20" t="str">
        <f>IFERROR(__xludf.DUMMYFUNCTION("""COMPUTED_VALUE"""),"Uncle Sams Cider (04/04/2023)")</f>
        <v>Uncle Sams Cider (04/04/2023)</v>
      </c>
      <c r="H6522" s="19"/>
    </row>
    <row r="6523">
      <c r="A6523" s="9"/>
      <c r="B6523" s="15"/>
      <c r="C6523" s="9">
        <f>IFERROR(__xludf.DUMMYFUNCTION("""COMPUTED_VALUE"""),45076.1819176388)</f>
        <v>45076.18192</v>
      </c>
      <c r="D6523" s="15">
        <f>IFERROR(__xludf.DUMMYFUNCTION("""COMPUTED_VALUE"""),1.008)</f>
        <v>1.008</v>
      </c>
      <c r="E6523" s="16">
        <f>IFERROR(__xludf.DUMMYFUNCTION("""COMPUTED_VALUE"""),65.0)</f>
        <v>65</v>
      </c>
      <c r="F6523" s="19" t="str">
        <f>IFERROR(__xludf.DUMMYFUNCTION("""COMPUTED_VALUE"""),"BLUE")</f>
        <v>BLUE</v>
      </c>
      <c r="G6523" s="20" t="str">
        <f>IFERROR(__xludf.DUMMYFUNCTION("""COMPUTED_VALUE"""),"Uncle Sams Cider (04/04/2023)")</f>
        <v>Uncle Sams Cider (04/04/2023)</v>
      </c>
      <c r="H6523" s="19"/>
    </row>
    <row r="6524">
      <c r="A6524" s="9"/>
      <c r="B6524" s="15"/>
      <c r="C6524" s="9">
        <f>IFERROR(__xludf.DUMMYFUNCTION("""COMPUTED_VALUE"""),45076.1714956944)</f>
        <v>45076.1715</v>
      </c>
      <c r="D6524" s="15">
        <f>IFERROR(__xludf.DUMMYFUNCTION("""COMPUTED_VALUE"""),1.008)</f>
        <v>1.008</v>
      </c>
      <c r="E6524" s="16">
        <f>IFERROR(__xludf.DUMMYFUNCTION("""COMPUTED_VALUE"""),65.0)</f>
        <v>65</v>
      </c>
      <c r="F6524" s="19" t="str">
        <f>IFERROR(__xludf.DUMMYFUNCTION("""COMPUTED_VALUE"""),"BLUE")</f>
        <v>BLUE</v>
      </c>
      <c r="G6524" s="20" t="str">
        <f>IFERROR(__xludf.DUMMYFUNCTION("""COMPUTED_VALUE"""),"Uncle Sams Cider (04/04/2023)")</f>
        <v>Uncle Sams Cider (04/04/2023)</v>
      </c>
      <c r="H6524" s="19"/>
    </row>
    <row r="6525">
      <c r="A6525" s="9"/>
      <c r="B6525" s="15"/>
      <c r="C6525" s="9">
        <f>IFERROR(__xludf.DUMMYFUNCTION("""COMPUTED_VALUE"""),45076.161074618)</f>
        <v>45076.16107</v>
      </c>
      <c r="D6525" s="15">
        <f>IFERROR(__xludf.DUMMYFUNCTION("""COMPUTED_VALUE"""),1.008)</f>
        <v>1.008</v>
      </c>
      <c r="E6525" s="16">
        <f>IFERROR(__xludf.DUMMYFUNCTION("""COMPUTED_VALUE"""),65.0)</f>
        <v>65</v>
      </c>
      <c r="F6525" s="19" t="str">
        <f>IFERROR(__xludf.DUMMYFUNCTION("""COMPUTED_VALUE"""),"BLUE")</f>
        <v>BLUE</v>
      </c>
      <c r="G6525" s="20" t="str">
        <f>IFERROR(__xludf.DUMMYFUNCTION("""COMPUTED_VALUE"""),"Uncle Sams Cider (04/04/2023)")</f>
        <v>Uncle Sams Cider (04/04/2023)</v>
      </c>
      <c r="H6525" s="19"/>
    </row>
    <row r="6526">
      <c r="A6526" s="9"/>
      <c r="B6526" s="15"/>
      <c r="C6526" s="9">
        <f>IFERROR(__xludf.DUMMYFUNCTION("""COMPUTED_VALUE"""),45076.150654074)</f>
        <v>45076.15065</v>
      </c>
      <c r="D6526" s="15">
        <f>IFERROR(__xludf.DUMMYFUNCTION("""COMPUTED_VALUE"""),1.008)</f>
        <v>1.008</v>
      </c>
      <c r="E6526" s="16">
        <f>IFERROR(__xludf.DUMMYFUNCTION("""COMPUTED_VALUE"""),65.0)</f>
        <v>65</v>
      </c>
      <c r="F6526" s="19" t="str">
        <f>IFERROR(__xludf.DUMMYFUNCTION("""COMPUTED_VALUE"""),"BLUE")</f>
        <v>BLUE</v>
      </c>
      <c r="G6526" s="20" t="str">
        <f>IFERROR(__xludf.DUMMYFUNCTION("""COMPUTED_VALUE"""),"Uncle Sams Cider (04/04/2023)")</f>
        <v>Uncle Sams Cider (04/04/2023)</v>
      </c>
      <c r="H6526" s="19"/>
    </row>
    <row r="6527">
      <c r="A6527" s="9"/>
      <c r="B6527" s="15"/>
      <c r="C6527" s="9">
        <f>IFERROR(__xludf.DUMMYFUNCTION("""COMPUTED_VALUE"""),45076.1402341898)</f>
        <v>45076.14023</v>
      </c>
      <c r="D6527" s="15">
        <f>IFERROR(__xludf.DUMMYFUNCTION("""COMPUTED_VALUE"""),1.008)</f>
        <v>1.008</v>
      </c>
      <c r="E6527" s="16">
        <f>IFERROR(__xludf.DUMMYFUNCTION("""COMPUTED_VALUE"""),65.0)</f>
        <v>65</v>
      </c>
      <c r="F6527" s="19" t="str">
        <f>IFERROR(__xludf.DUMMYFUNCTION("""COMPUTED_VALUE"""),"BLUE")</f>
        <v>BLUE</v>
      </c>
      <c r="G6527" s="20" t="str">
        <f>IFERROR(__xludf.DUMMYFUNCTION("""COMPUTED_VALUE"""),"Uncle Sams Cider (04/04/2023)")</f>
        <v>Uncle Sams Cider (04/04/2023)</v>
      </c>
      <c r="H6527" s="19"/>
    </row>
    <row r="6528">
      <c r="A6528" s="9"/>
      <c r="B6528" s="15"/>
      <c r="C6528" s="9">
        <f>IFERROR(__xludf.DUMMYFUNCTION("""COMPUTED_VALUE"""),45076.1298117939)</f>
        <v>45076.12981</v>
      </c>
      <c r="D6528" s="15">
        <f>IFERROR(__xludf.DUMMYFUNCTION("""COMPUTED_VALUE"""),1.008)</f>
        <v>1.008</v>
      </c>
      <c r="E6528" s="16">
        <f>IFERROR(__xludf.DUMMYFUNCTION("""COMPUTED_VALUE"""),65.0)</f>
        <v>65</v>
      </c>
      <c r="F6528" s="19" t="str">
        <f>IFERROR(__xludf.DUMMYFUNCTION("""COMPUTED_VALUE"""),"BLUE")</f>
        <v>BLUE</v>
      </c>
      <c r="G6528" s="20" t="str">
        <f>IFERROR(__xludf.DUMMYFUNCTION("""COMPUTED_VALUE"""),"Uncle Sams Cider (04/04/2023)")</f>
        <v>Uncle Sams Cider (04/04/2023)</v>
      </c>
      <c r="H6528" s="19"/>
    </row>
    <row r="6529">
      <c r="A6529" s="9"/>
      <c r="B6529" s="15"/>
      <c r="C6529" s="9">
        <f>IFERROR(__xludf.DUMMYFUNCTION("""COMPUTED_VALUE"""),45076.1193917361)</f>
        <v>45076.11939</v>
      </c>
      <c r="D6529" s="15">
        <f>IFERROR(__xludf.DUMMYFUNCTION("""COMPUTED_VALUE"""),1.008)</f>
        <v>1.008</v>
      </c>
      <c r="E6529" s="16">
        <f>IFERROR(__xludf.DUMMYFUNCTION("""COMPUTED_VALUE"""),65.0)</f>
        <v>65</v>
      </c>
      <c r="F6529" s="19" t="str">
        <f>IFERROR(__xludf.DUMMYFUNCTION("""COMPUTED_VALUE"""),"BLUE")</f>
        <v>BLUE</v>
      </c>
      <c r="G6529" s="20" t="str">
        <f>IFERROR(__xludf.DUMMYFUNCTION("""COMPUTED_VALUE"""),"Uncle Sams Cider (04/04/2023)")</f>
        <v>Uncle Sams Cider (04/04/2023)</v>
      </c>
      <c r="H6529" s="19"/>
    </row>
    <row r="6530">
      <c r="A6530" s="9"/>
      <c r="B6530" s="15"/>
      <c r="C6530" s="9">
        <f>IFERROR(__xludf.DUMMYFUNCTION("""COMPUTED_VALUE"""),45076.108945868)</f>
        <v>45076.10895</v>
      </c>
      <c r="D6530" s="15">
        <f>IFERROR(__xludf.DUMMYFUNCTION("""COMPUTED_VALUE"""),1.008)</f>
        <v>1.008</v>
      </c>
      <c r="E6530" s="16">
        <f>IFERROR(__xludf.DUMMYFUNCTION("""COMPUTED_VALUE"""),65.0)</f>
        <v>65</v>
      </c>
      <c r="F6530" s="19" t="str">
        <f>IFERROR(__xludf.DUMMYFUNCTION("""COMPUTED_VALUE"""),"BLUE")</f>
        <v>BLUE</v>
      </c>
      <c r="G6530" s="20" t="str">
        <f>IFERROR(__xludf.DUMMYFUNCTION("""COMPUTED_VALUE"""),"Uncle Sams Cider (04/04/2023)")</f>
        <v>Uncle Sams Cider (04/04/2023)</v>
      </c>
      <c r="H6530" s="19"/>
    </row>
    <row r="6531">
      <c r="A6531" s="9"/>
      <c r="B6531" s="15"/>
      <c r="C6531" s="9">
        <f>IFERROR(__xludf.DUMMYFUNCTION("""COMPUTED_VALUE"""),45076.0985245601)</f>
        <v>45076.09852</v>
      </c>
      <c r="D6531" s="15">
        <f>IFERROR(__xludf.DUMMYFUNCTION("""COMPUTED_VALUE"""),1.008)</f>
        <v>1.008</v>
      </c>
      <c r="E6531" s="16">
        <f>IFERROR(__xludf.DUMMYFUNCTION("""COMPUTED_VALUE"""),65.0)</f>
        <v>65</v>
      </c>
      <c r="F6531" s="19" t="str">
        <f>IFERROR(__xludf.DUMMYFUNCTION("""COMPUTED_VALUE"""),"BLUE")</f>
        <v>BLUE</v>
      </c>
      <c r="G6531" s="20" t="str">
        <f>IFERROR(__xludf.DUMMYFUNCTION("""COMPUTED_VALUE"""),"Uncle Sams Cider (04/04/2023)")</f>
        <v>Uncle Sams Cider (04/04/2023)</v>
      </c>
      <c r="H6531" s="19"/>
    </row>
    <row r="6532">
      <c r="A6532" s="9"/>
      <c r="B6532" s="15"/>
      <c r="C6532" s="9">
        <f>IFERROR(__xludf.DUMMYFUNCTION("""COMPUTED_VALUE"""),45076.0881017824)</f>
        <v>45076.0881</v>
      </c>
      <c r="D6532" s="15">
        <f>IFERROR(__xludf.DUMMYFUNCTION("""COMPUTED_VALUE"""),1.008)</f>
        <v>1.008</v>
      </c>
      <c r="E6532" s="16">
        <f>IFERROR(__xludf.DUMMYFUNCTION("""COMPUTED_VALUE"""),65.0)</f>
        <v>65</v>
      </c>
      <c r="F6532" s="19" t="str">
        <f>IFERROR(__xludf.DUMMYFUNCTION("""COMPUTED_VALUE"""),"BLUE")</f>
        <v>BLUE</v>
      </c>
      <c r="G6532" s="20" t="str">
        <f>IFERROR(__xludf.DUMMYFUNCTION("""COMPUTED_VALUE"""),"Uncle Sams Cider (04/04/2023)")</f>
        <v>Uncle Sams Cider (04/04/2023)</v>
      </c>
      <c r="H6532" s="19"/>
    </row>
    <row r="6533">
      <c r="A6533" s="9"/>
      <c r="B6533" s="15"/>
      <c r="C6533" s="9">
        <f>IFERROR(__xludf.DUMMYFUNCTION("""COMPUTED_VALUE"""),45076.0776712152)</f>
        <v>45076.07767</v>
      </c>
      <c r="D6533" s="15">
        <f>IFERROR(__xludf.DUMMYFUNCTION("""COMPUTED_VALUE"""),1.008)</f>
        <v>1.008</v>
      </c>
      <c r="E6533" s="16">
        <f>IFERROR(__xludf.DUMMYFUNCTION("""COMPUTED_VALUE"""),65.0)</f>
        <v>65</v>
      </c>
      <c r="F6533" s="19" t="str">
        <f>IFERROR(__xludf.DUMMYFUNCTION("""COMPUTED_VALUE"""),"BLUE")</f>
        <v>BLUE</v>
      </c>
      <c r="G6533" s="20" t="str">
        <f>IFERROR(__xludf.DUMMYFUNCTION("""COMPUTED_VALUE"""),"Uncle Sams Cider (04/04/2023)")</f>
        <v>Uncle Sams Cider (04/04/2023)</v>
      </c>
      <c r="H6533" s="19"/>
    </row>
    <row r="6534">
      <c r="A6534" s="9"/>
      <c r="B6534" s="15"/>
      <c r="C6534" s="9">
        <f>IFERROR(__xludf.DUMMYFUNCTION("""COMPUTED_VALUE"""),45076.0672498611)</f>
        <v>45076.06725</v>
      </c>
      <c r="D6534" s="15">
        <f>IFERROR(__xludf.DUMMYFUNCTION("""COMPUTED_VALUE"""),1.008)</f>
        <v>1.008</v>
      </c>
      <c r="E6534" s="16">
        <f>IFERROR(__xludf.DUMMYFUNCTION("""COMPUTED_VALUE"""),65.0)</f>
        <v>65</v>
      </c>
      <c r="F6534" s="19" t="str">
        <f>IFERROR(__xludf.DUMMYFUNCTION("""COMPUTED_VALUE"""),"BLUE")</f>
        <v>BLUE</v>
      </c>
      <c r="G6534" s="20" t="str">
        <f>IFERROR(__xludf.DUMMYFUNCTION("""COMPUTED_VALUE"""),"Uncle Sams Cider (04/04/2023)")</f>
        <v>Uncle Sams Cider (04/04/2023)</v>
      </c>
      <c r="H6534" s="19"/>
    </row>
    <row r="6535">
      <c r="A6535" s="9"/>
      <c r="B6535" s="15"/>
      <c r="C6535" s="9">
        <f>IFERROR(__xludf.DUMMYFUNCTION("""COMPUTED_VALUE"""),45076.0568292708)</f>
        <v>45076.05683</v>
      </c>
      <c r="D6535" s="15">
        <f>IFERROR(__xludf.DUMMYFUNCTION("""COMPUTED_VALUE"""),1.008)</f>
        <v>1.008</v>
      </c>
      <c r="E6535" s="16">
        <f>IFERROR(__xludf.DUMMYFUNCTION("""COMPUTED_VALUE"""),65.0)</f>
        <v>65</v>
      </c>
      <c r="F6535" s="19" t="str">
        <f>IFERROR(__xludf.DUMMYFUNCTION("""COMPUTED_VALUE"""),"BLUE")</f>
        <v>BLUE</v>
      </c>
      <c r="G6535" s="20" t="str">
        <f>IFERROR(__xludf.DUMMYFUNCTION("""COMPUTED_VALUE"""),"Uncle Sams Cider (04/04/2023)")</f>
        <v>Uncle Sams Cider (04/04/2023)</v>
      </c>
      <c r="H6535" s="19"/>
    </row>
    <row r="6536">
      <c r="A6536" s="9"/>
      <c r="B6536" s="15"/>
      <c r="C6536" s="9">
        <f>IFERROR(__xludf.DUMMYFUNCTION("""COMPUTED_VALUE"""),45076.0464086574)</f>
        <v>45076.04641</v>
      </c>
      <c r="D6536" s="15">
        <f>IFERROR(__xludf.DUMMYFUNCTION("""COMPUTED_VALUE"""),1.008)</f>
        <v>1.008</v>
      </c>
      <c r="E6536" s="16">
        <f>IFERROR(__xludf.DUMMYFUNCTION("""COMPUTED_VALUE"""),65.0)</f>
        <v>65</v>
      </c>
      <c r="F6536" s="19" t="str">
        <f>IFERROR(__xludf.DUMMYFUNCTION("""COMPUTED_VALUE"""),"BLUE")</f>
        <v>BLUE</v>
      </c>
      <c r="G6536" s="20" t="str">
        <f>IFERROR(__xludf.DUMMYFUNCTION("""COMPUTED_VALUE"""),"Uncle Sams Cider (04/04/2023)")</f>
        <v>Uncle Sams Cider (04/04/2023)</v>
      </c>
      <c r="H6536" s="19"/>
    </row>
    <row r="6537">
      <c r="A6537" s="9"/>
      <c r="B6537" s="15"/>
      <c r="C6537" s="9">
        <f>IFERROR(__xludf.DUMMYFUNCTION("""COMPUTED_VALUE"""),45076.035988125)</f>
        <v>45076.03599</v>
      </c>
      <c r="D6537" s="15">
        <f>IFERROR(__xludf.DUMMYFUNCTION("""COMPUTED_VALUE"""),1.008)</f>
        <v>1.008</v>
      </c>
      <c r="E6537" s="16">
        <f>IFERROR(__xludf.DUMMYFUNCTION("""COMPUTED_VALUE"""),65.0)</f>
        <v>65</v>
      </c>
      <c r="F6537" s="19" t="str">
        <f>IFERROR(__xludf.DUMMYFUNCTION("""COMPUTED_VALUE"""),"BLUE")</f>
        <v>BLUE</v>
      </c>
      <c r="G6537" s="20" t="str">
        <f>IFERROR(__xludf.DUMMYFUNCTION("""COMPUTED_VALUE"""),"Uncle Sams Cider (04/04/2023)")</f>
        <v>Uncle Sams Cider (04/04/2023)</v>
      </c>
      <c r="H6537" s="19"/>
    </row>
    <row r="6538">
      <c r="A6538" s="9"/>
      <c r="B6538" s="15"/>
      <c r="C6538" s="9">
        <f>IFERROR(__xludf.DUMMYFUNCTION("""COMPUTED_VALUE"""),45076.0255674074)</f>
        <v>45076.02557</v>
      </c>
      <c r="D6538" s="15">
        <f>IFERROR(__xludf.DUMMYFUNCTION("""COMPUTED_VALUE"""),1.008)</f>
        <v>1.008</v>
      </c>
      <c r="E6538" s="16">
        <f>IFERROR(__xludf.DUMMYFUNCTION("""COMPUTED_VALUE"""),65.0)</f>
        <v>65</v>
      </c>
      <c r="F6538" s="19" t="str">
        <f>IFERROR(__xludf.DUMMYFUNCTION("""COMPUTED_VALUE"""),"BLUE")</f>
        <v>BLUE</v>
      </c>
      <c r="G6538" s="20" t="str">
        <f>IFERROR(__xludf.DUMMYFUNCTION("""COMPUTED_VALUE"""),"Uncle Sams Cider (04/04/2023)")</f>
        <v>Uncle Sams Cider (04/04/2023)</v>
      </c>
      <c r="H6538" s="19"/>
    </row>
    <row r="6539">
      <c r="A6539" s="9"/>
      <c r="B6539" s="15"/>
      <c r="C6539" s="9">
        <f>IFERROR(__xludf.DUMMYFUNCTION("""COMPUTED_VALUE"""),45076.0151359953)</f>
        <v>45076.01514</v>
      </c>
      <c r="D6539" s="15">
        <f>IFERROR(__xludf.DUMMYFUNCTION("""COMPUTED_VALUE"""),1.008)</f>
        <v>1.008</v>
      </c>
      <c r="E6539" s="16">
        <f>IFERROR(__xludf.DUMMYFUNCTION("""COMPUTED_VALUE"""),65.0)</f>
        <v>65</v>
      </c>
      <c r="F6539" s="19" t="str">
        <f>IFERROR(__xludf.DUMMYFUNCTION("""COMPUTED_VALUE"""),"BLUE")</f>
        <v>BLUE</v>
      </c>
      <c r="G6539" s="20" t="str">
        <f>IFERROR(__xludf.DUMMYFUNCTION("""COMPUTED_VALUE"""),"Uncle Sams Cider (04/04/2023)")</f>
        <v>Uncle Sams Cider (04/04/2023)</v>
      </c>
      <c r="H6539" s="19"/>
    </row>
    <row r="6540">
      <c r="A6540" s="9"/>
      <c r="B6540" s="15"/>
      <c r="C6540" s="9">
        <f>IFERROR(__xludf.DUMMYFUNCTION("""COMPUTED_VALUE"""),45076.0047128125)</f>
        <v>45076.00471</v>
      </c>
      <c r="D6540" s="15">
        <f>IFERROR(__xludf.DUMMYFUNCTION("""COMPUTED_VALUE"""),1.008)</f>
        <v>1.008</v>
      </c>
      <c r="E6540" s="16">
        <f>IFERROR(__xludf.DUMMYFUNCTION("""COMPUTED_VALUE"""),65.0)</f>
        <v>65</v>
      </c>
      <c r="F6540" s="19" t="str">
        <f>IFERROR(__xludf.DUMMYFUNCTION("""COMPUTED_VALUE"""),"BLUE")</f>
        <v>BLUE</v>
      </c>
      <c r="G6540" s="20" t="str">
        <f>IFERROR(__xludf.DUMMYFUNCTION("""COMPUTED_VALUE"""),"Uncle Sams Cider (04/04/2023)")</f>
        <v>Uncle Sams Cider (04/04/2023)</v>
      </c>
      <c r="H6540" s="19"/>
    </row>
    <row r="6541">
      <c r="A6541" s="9"/>
      <c r="B6541" s="15"/>
      <c r="C6541" s="9">
        <f>IFERROR(__xludf.DUMMYFUNCTION("""COMPUTED_VALUE"""),45075.9942796296)</f>
        <v>45075.99428</v>
      </c>
      <c r="D6541" s="15">
        <f>IFERROR(__xludf.DUMMYFUNCTION("""COMPUTED_VALUE"""),1.008)</f>
        <v>1.008</v>
      </c>
      <c r="E6541" s="16">
        <f>IFERROR(__xludf.DUMMYFUNCTION("""COMPUTED_VALUE"""),65.0)</f>
        <v>65</v>
      </c>
      <c r="F6541" s="19" t="str">
        <f>IFERROR(__xludf.DUMMYFUNCTION("""COMPUTED_VALUE"""),"BLUE")</f>
        <v>BLUE</v>
      </c>
      <c r="G6541" s="20" t="str">
        <f>IFERROR(__xludf.DUMMYFUNCTION("""COMPUTED_VALUE"""),"Uncle Sams Cider (04/04/2023)")</f>
        <v>Uncle Sams Cider (04/04/2023)</v>
      </c>
      <c r="H6541" s="19"/>
    </row>
    <row r="6542">
      <c r="A6542" s="9"/>
      <c r="B6542" s="15"/>
      <c r="C6542" s="9">
        <f>IFERROR(__xludf.DUMMYFUNCTION("""COMPUTED_VALUE"""),45075.9838598032)</f>
        <v>45075.98386</v>
      </c>
      <c r="D6542" s="15">
        <f>IFERROR(__xludf.DUMMYFUNCTION("""COMPUTED_VALUE"""),1.008)</f>
        <v>1.008</v>
      </c>
      <c r="E6542" s="16">
        <f>IFERROR(__xludf.DUMMYFUNCTION("""COMPUTED_VALUE"""),65.0)</f>
        <v>65</v>
      </c>
      <c r="F6542" s="19" t="str">
        <f>IFERROR(__xludf.DUMMYFUNCTION("""COMPUTED_VALUE"""),"BLUE")</f>
        <v>BLUE</v>
      </c>
      <c r="G6542" s="20" t="str">
        <f>IFERROR(__xludf.DUMMYFUNCTION("""COMPUTED_VALUE"""),"Uncle Sams Cider (04/04/2023)")</f>
        <v>Uncle Sams Cider (04/04/2023)</v>
      </c>
      <c r="H6542" s="19"/>
    </row>
    <row r="6543">
      <c r="A6543" s="9"/>
      <c r="B6543" s="15"/>
      <c r="C6543" s="9">
        <f>IFERROR(__xludf.DUMMYFUNCTION("""COMPUTED_VALUE"""),45075.973438912)</f>
        <v>45075.97344</v>
      </c>
      <c r="D6543" s="15">
        <f>IFERROR(__xludf.DUMMYFUNCTION("""COMPUTED_VALUE"""),1.008)</f>
        <v>1.008</v>
      </c>
      <c r="E6543" s="16">
        <f>IFERROR(__xludf.DUMMYFUNCTION("""COMPUTED_VALUE"""),65.0)</f>
        <v>65</v>
      </c>
      <c r="F6543" s="19" t="str">
        <f>IFERROR(__xludf.DUMMYFUNCTION("""COMPUTED_VALUE"""),"BLUE")</f>
        <v>BLUE</v>
      </c>
      <c r="G6543" s="20" t="str">
        <f>IFERROR(__xludf.DUMMYFUNCTION("""COMPUTED_VALUE"""),"Uncle Sams Cider (04/04/2023)")</f>
        <v>Uncle Sams Cider (04/04/2023)</v>
      </c>
      <c r="H6543" s="19"/>
    </row>
    <row r="6544">
      <c r="A6544" s="9"/>
      <c r="B6544" s="15"/>
      <c r="C6544" s="9">
        <f>IFERROR(__xludf.DUMMYFUNCTION("""COMPUTED_VALUE"""),45075.9630188194)</f>
        <v>45075.96302</v>
      </c>
      <c r="D6544" s="15">
        <f>IFERROR(__xludf.DUMMYFUNCTION("""COMPUTED_VALUE"""),1.008)</f>
        <v>1.008</v>
      </c>
      <c r="E6544" s="16">
        <f>IFERROR(__xludf.DUMMYFUNCTION("""COMPUTED_VALUE"""),65.0)</f>
        <v>65</v>
      </c>
      <c r="F6544" s="19" t="str">
        <f>IFERROR(__xludf.DUMMYFUNCTION("""COMPUTED_VALUE"""),"BLUE")</f>
        <v>BLUE</v>
      </c>
      <c r="G6544" s="20" t="str">
        <f>IFERROR(__xludf.DUMMYFUNCTION("""COMPUTED_VALUE"""),"Uncle Sams Cider (04/04/2023)")</f>
        <v>Uncle Sams Cider (04/04/2023)</v>
      </c>
      <c r="H6544" s="19"/>
    </row>
    <row r="6545">
      <c r="A6545" s="9"/>
      <c r="B6545" s="15"/>
      <c r="C6545" s="9">
        <f>IFERROR(__xludf.DUMMYFUNCTION("""COMPUTED_VALUE"""),45075.9525740972)</f>
        <v>45075.95257</v>
      </c>
      <c r="D6545" s="15">
        <f>IFERROR(__xludf.DUMMYFUNCTION("""COMPUTED_VALUE"""),1.008)</f>
        <v>1.008</v>
      </c>
      <c r="E6545" s="16">
        <f>IFERROR(__xludf.DUMMYFUNCTION("""COMPUTED_VALUE"""),65.0)</f>
        <v>65</v>
      </c>
      <c r="F6545" s="19" t="str">
        <f>IFERROR(__xludf.DUMMYFUNCTION("""COMPUTED_VALUE"""),"BLUE")</f>
        <v>BLUE</v>
      </c>
      <c r="G6545" s="20" t="str">
        <f>IFERROR(__xludf.DUMMYFUNCTION("""COMPUTED_VALUE"""),"Uncle Sams Cider (04/04/2023)")</f>
        <v>Uncle Sams Cider (04/04/2023)</v>
      </c>
      <c r="H6545" s="19"/>
    </row>
    <row r="6546">
      <c r="A6546" s="9"/>
      <c r="B6546" s="15"/>
      <c r="C6546" s="9">
        <f>IFERROR(__xludf.DUMMYFUNCTION("""COMPUTED_VALUE"""),45075.9421409838)</f>
        <v>45075.94214</v>
      </c>
      <c r="D6546" s="15">
        <f>IFERROR(__xludf.DUMMYFUNCTION("""COMPUTED_VALUE"""),1.008)</f>
        <v>1.008</v>
      </c>
      <c r="E6546" s="16">
        <f>IFERROR(__xludf.DUMMYFUNCTION("""COMPUTED_VALUE"""),65.0)</f>
        <v>65</v>
      </c>
      <c r="F6546" s="19" t="str">
        <f>IFERROR(__xludf.DUMMYFUNCTION("""COMPUTED_VALUE"""),"BLUE")</f>
        <v>BLUE</v>
      </c>
      <c r="G6546" s="20" t="str">
        <f>IFERROR(__xludf.DUMMYFUNCTION("""COMPUTED_VALUE"""),"Uncle Sams Cider (04/04/2023)")</f>
        <v>Uncle Sams Cider (04/04/2023)</v>
      </c>
      <c r="H6546" s="19"/>
    </row>
    <row r="6547">
      <c r="A6547" s="9"/>
      <c r="B6547" s="15"/>
      <c r="C6547" s="9">
        <f>IFERROR(__xludf.DUMMYFUNCTION("""COMPUTED_VALUE"""),45075.9317201388)</f>
        <v>45075.93172</v>
      </c>
      <c r="D6547" s="15">
        <f>IFERROR(__xludf.DUMMYFUNCTION("""COMPUTED_VALUE"""),1.008)</f>
        <v>1.008</v>
      </c>
      <c r="E6547" s="16">
        <f>IFERROR(__xludf.DUMMYFUNCTION("""COMPUTED_VALUE"""),65.0)</f>
        <v>65</v>
      </c>
      <c r="F6547" s="19" t="str">
        <f>IFERROR(__xludf.DUMMYFUNCTION("""COMPUTED_VALUE"""),"BLUE")</f>
        <v>BLUE</v>
      </c>
      <c r="G6547" s="20" t="str">
        <f>IFERROR(__xludf.DUMMYFUNCTION("""COMPUTED_VALUE"""),"Uncle Sams Cider (04/04/2023)")</f>
        <v>Uncle Sams Cider (04/04/2023)</v>
      </c>
      <c r="H6547" s="19"/>
    </row>
    <row r="6548">
      <c r="A6548" s="9"/>
      <c r="B6548" s="15"/>
      <c r="C6548" s="9">
        <f>IFERROR(__xludf.DUMMYFUNCTION("""COMPUTED_VALUE"""),45075.9212999652)</f>
        <v>45075.9213</v>
      </c>
      <c r="D6548" s="15">
        <f>IFERROR(__xludf.DUMMYFUNCTION("""COMPUTED_VALUE"""),1.008)</f>
        <v>1.008</v>
      </c>
      <c r="E6548" s="16">
        <f>IFERROR(__xludf.DUMMYFUNCTION("""COMPUTED_VALUE"""),65.0)</f>
        <v>65</v>
      </c>
      <c r="F6548" s="19" t="str">
        <f>IFERROR(__xludf.DUMMYFUNCTION("""COMPUTED_VALUE"""),"BLUE")</f>
        <v>BLUE</v>
      </c>
      <c r="G6548" s="20" t="str">
        <f>IFERROR(__xludf.DUMMYFUNCTION("""COMPUTED_VALUE"""),"Uncle Sams Cider (04/04/2023)")</f>
        <v>Uncle Sams Cider (04/04/2023)</v>
      </c>
      <c r="H6548" s="19"/>
    </row>
    <row r="6549">
      <c r="A6549" s="9"/>
      <c r="B6549" s="15"/>
      <c r="C6549" s="9">
        <f>IFERROR(__xludf.DUMMYFUNCTION("""COMPUTED_VALUE"""),45075.9108787963)</f>
        <v>45075.91088</v>
      </c>
      <c r="D6549" s="15">
        <f>IFERROR(__xludf.DUMMYFUNCTION("""COMPUTED_VALUE"""),1.008)</f>
        <v>1.008</v>
      </c>
      <c r="E6549" s="16">
        <f>IFERROR(__xludf.DUMMYFUNCTION("""COMPUTED_VALUE"""),65.0)</f>
        <v>65</v>
      </c>
      <c r="F6549" s="19" t="str">
        <f>IFERROR(__xludf.DUMMYFUNCTION("""COMPUTED_VALUE"""),"BLUE")</f>
        <v>BLUE</v>
      </c>
      <c r="G6549" s="20" t="str">
        <f>IFERROR(__xludf.DUMMYFUNCTION("""COMPUTED_VALUE"""),"Uncle Sams Cider (04/04/2023)")</f>
        <v>Uncle Sams Cider (04/04/2023)</v>
      </c>
      <c r="H6549" s="19"/>
    </row>
    <row r="6550">
      <c r="A6550" s="9"/>
      <c r="B6550" s="15"/>
      <c r="C6550" s="9">
        <f>IFERROR(__xludf.DUMMYFUNCTION("""COMPUTED_VALUE"""),45075.9004577662)</f>
        <v>45075.90046</v>
      </c>
      <c r="D6550" s="15">
        <f>IFERROR(__xludf.DUMMYFUNCTION("""COMPUTED_VALUE"""),1.008)</f>
        <v>1.008</v>
      </c>
      <c r="E6550" s="16">
        <f>IFERROR(__xludf.DUMMYFUNCTION("""COMPUTED_VALUE"""),65.0)</f>
        <v>65</v>
      </c>
      <c r="F6550" s="19" t="str">
        <f>IFERROR(__xludf.DUMMYFUNCTION("""COMPUTED_VALUE"""),"BLUE")</f>
        <v>BLUE</v>
      </c>
      <c r="G6550" s="20" t="str">
        <f>IFERROR(__xludf.DUMMYFUNCTION("""COMPUTED_VALUE"""),"Uncle Sams Cider (04/04/2023)")</f>
        <v>Uncle Sams Cider (04/04/2023)</v>
      </c>
      <c r="H6550" s="19"/>
    </row>
    <row r="6551">
      <c r="A6551" s="9"/>
      <c r="B6551" s="15"/>
      <c r="C6551" s="9">
        <f>IFERROR(__xludf.DUMMYFUNCTION("""COMPUTED_VALUE"""),45075.8900372106)</f>
        <v>45075.89004</v>
      </c>
      <c r="D6551" s="15">
        <f>IFERROR(__xludf.DUMMYFUNCTION("""COMPUTED_VALUE"""),1.008)</f>
        <v>1.008</v>
      </c>
      <c r="E6551" s="16">
        <f>IFERROR(__xludf.DUMMYFUNCTION("""COMPUTED_VALUE"""),65.0)</f>
        <v>65</v>
      </c>
      <c r="F6551" s="19" t="str">
        <f>IFERROR(__xludf.DUMMYFUNCTION("""COMPUTED_VALUE"""),"BLUE")</f>
        <v>BLUE</v>
      </c>
      <c r="G6551" s="20" t="str">
        <f>IFERROR(__xludf.DUMMYFUNCTION("""COMPUTED_VALUE"""),"Uncle Sams Cider (04/04/2023)")</f>
        <v>Uncle Sams Cider (04/04/2023)</v>
      </c>
      <c r="H6551" s="19"/>
    </row>
    <row r="6552">
      <c r="A6552" s="9"/>
      <c r="B6552" s="15"/>
      <c r="C6552" s="9">
        <f>IFERROR(__xludf.DUMMYFUNCTION("""COMPUTED_VALUE"""),45075.8796162963)</f>
        <v>45075.87962</v>
      </c>
      <c r="D6552" s="15">
        <f>IFERROR(__xludf.DUMMYFUNCTION("""COMPUTED_VALUE"""),1.008)</f>
        <v>1.008</v>
      </c>
      <c r="E6552" s="16">
        <f>IFERROR(__xludf.DUMMYFUNCTION("""COMPUTED_VALUE"""),65.0)</f>
        <v>65</v>
      </c>
      <c r="F6552" s="19" t="str">
        <f>IFERROR(__xludf.DUMMYFUNCTION("""COMPUTED_VALUE"""),"BLUE")</f>
        <v>BLUE</v>
      </c>
      <c r="G6552" s="20" t="str">
        <f>IFERROR(__xludf.DUMMYFUNCTION("""COMPUTED_VALUE"""),"Uncle Sams Cider (04/04/2023)")</f>
        <v>Uncle Sams Cider (04/04/2023)</v>
      </c>
      <c r="H6552" s="19"/>
    </row>
    <row r="6553">
      <c r="A6553" s="9"/>
      <c r="B6553" s="15"/>
      <c r="C6553" s="9">
        <f>IFERROR(__xludf.DUMMYFUNCTION("""COMPUTED_VALUE"""),45075.8691956712)</f>
        <v>45075.8692</v>
      </c>
      <c r="D6553" s="15">
        <f>IFERROR(__xludf.DUMMYFUNCTION("""COMPUTED_VALUE"""),1.008)</f>
        <v>1.008</v>
      </c>
      <c r="E6553" s="16">
        <f>IFERROR(__xludf.DUMMYFUNCTION("""COMPUTED_VALUE"""),65.0)</f>
        <v>65</v>
      </c>
      <c r="F6553" s="19" t="str">
        <f>IFERROR(__xludf.DUMMYFUNCTION("""COMPUTED_VALUE"""),"BLUE")</f>
        <v>BLUE</v>
      </c>
      <c r="G6553" s="20" t="str">
        <f>IFERROR(__xludf.DUMMYFUNCTION("""COMPUTED_VALUE"""),"Uncle Sams Cider (04/04/2023)")</f>
        <v>Uncle Sams Cider (04/04/2023)</v>
      </c>
      <c r="H6553" s="19"/>
    </row>
    <row r="6554">
      <c r="A6554" s="9"/>
      <c r="B6554" s="15"/>
      <c r="C6554" s="9">
        <f>IFERROR(__xludf.DUMMYFUNCTION("""COMPUTED_VALUE"""),45075.8587751388)</f>
        <v>45075.85878</v>
      </c>
      <c r="D6554" s="15">
        <f>IFERROR(__xludf.DUMMYFUNCTION("""COMPUTED_VALUE"""),1.008)</f>
        <v>1.008</v>
      </c>
      <c r="E6554" s="16">
        <f>IFERROR(__xludf.DUMMYFUNCTION("""COMPUTED_VALUE"""),65.0)</f>
        <v>65</v>
      </c>
      <c r="F6554" s="19" t="str">
        <f>IFERROR(__xludf.DUMMYFUNCTION("""COMPUTED_VALUE"""),"BLUE")</f>
        <v>BLUE</v>
      </c>
      <c r="G6554" s="20" t="str">
        <f>IFERROR(__xludf.DUMMYFUNCTION("""COMPUTED_VALUE"""),"Uncle Sams Cider (04/04/2023)")</f>
        <v>Uncle Sams Cider (04/04/2023)</v>
      </c>
      <c r="H6554" s="19"/>
    </row>
    <row r="6555">
      <c r="A6555" s="9"/>
      <c r="B6555" s="15"/>
      <c r="C6555" s="9">
        <f>IFERROR(__xludf.DUMMYFUNCTION("""COMPUTED_VALUE"""),45075.848355868)</f>
        <v>45075.84836</v>
      </c>
      <c r="D6555" s="15">
        <f>IFERROR(__xludf.DUMMYFUNCTION("""COMPUTED_VALUE"""),1.008)</f>
        <v>1.008</v>
      </c>
      <c r="E6555" s="16">
        <f>IFERROR(__xludf.DUMMYFUNCTION("""COMPUTED_VALUE"""),65.0)</f>
        <v>65</v>
      </c>
      <c r="F6555" s="19" t="str">
        <f>IFERROR(__xludf.DUMMYFUNCTION("""COMPUTED_VALUE"""),"BLUE")</f>
        <v>BLUE</v>
      </c>
      <c r="G6555" s="20" t="str">
        <f>IFERROR(__xludf.DUMMYFUNCTION("""COMPUTED_VALUE"""),"Uncle Sams Cider (04/04/2023)")</f>
        <v>Uncle Sams Cider (04/04/2023)</v>
      </c>
      <c r="H6555" s="19"/>
    </row>
    <row r="6556">
      <c r="A6556" s="9"/>
      <c r="B6556" s="15"/>
      <c r="C6556" s="9">
        <f>IFERROR(__xludf.DUMMYFUNCTION("""COMPUTED_VALUE"""),45075.8379342361)</f>
        <v>45075.83793</v>
      </c>
      <c r="D6556" s="15">
        <f>IFERROR(__xludf.DUMMYFUNCTION("""COMPUTED_VALUE"""),1.008)</f>
        <v>1.008</v>
      </c>
      <c r="E6556" s="16">
        <f>IFERROR(__xludf.DUMMYFUNCTION("""COMPUTED_VALUE"""),65.0)</f>
        <v>65</v>
      </c>
      <c r="F6556" s="19" t="str">
        <f>IFERROR(__xludf.DUMMYFUNCTION("""COMPUTED_VALUE"""),"BLUE")</f>
        <v>BLUE</v>
      </c>
      <c r="G6556" s="20" t="str">
        <f>IFERROR(__xludf.DUMMYFUNCTION("""COMPUTED_VALUE"""),"Uncle Sams Cider (04/04/2023)")</f>
        <v>Uncle Sams Cider (04/04/2023)</v>
      </c>
      <c r="H6556" s="19"/>
    </row>
    <row r="6557">
      <c r="A6557" s="9"/>
      <c r="B6557" s="15"/>
      <c r="C6557" s="9">
        <f>IFERROR(__xludf.DUMMYFUNCTION("""COMPUTED_VALUE"""),45075.8275127314)</f>
        <v>45075.82751</v>
      </c>
      <c r="D6557" s="15">
        <f>IFERROR(__xludf.DUMMYFUNCTION("""COMPUTED_VALUE"""),1.008)</f>
        <v>1.008</v>
      </c>
      <c r="E6557" s="16">
        <f>IFERROR(__xludf.DUMMYFUNCTION("""COMPUTED_VALUE"""),65.0)</f>
        <v>65</v>
      </c>
      <c r="F6557" s="19" t="str">
        <f>IFERROR(__xludf.DUMMYFUNCTION("""COMPUTED_VALUE"""),"BLUE")</f>
        <v>BLUE</v>
      </c>
      <c r="G6557" s="20" t="str">
        <f>IFERROR(__xludf.DUMMYFUNCTION("""COMPUTED_VALUE"""),"Uncle Sams Cider (04/04/2023)")</f>
        <v>Uncle Sams Cider (04/04/2023)</v>
      </c>
      <c r="H6557" s="19"/>
    </row>
    <row r="6558">
      <c r="A6558" s="9"/>
      <c r="B6558" s="15"/>
      <c r="C6558" s="9">
        <f>IFERROR(__xludf.DUMMYFUNCTION("""COMPUTED_VALUE"""),45075.8170903587)</f>
        <v>45075.81709</v>
      </c>
      <c r="D6558" s="15">
        <f>IFERROR(__xludf.DUMMYFUNCTION("""COMPUTED_VALUE"""),1.008)</f>
        <v>1.008</v>
      </c>
      <c r="E6558" s="16">
        <f>IFERROR(__xludf.DUMMYFUNCTION("""COMPUTED_VALUE"""),65.0)</f>
        <v>65</v>
      </c>
      <c r="F6558" s="19" t="str">
        <f>IFERROR(__xludf.DUMMYFUNCTION("""COMPUTED_VALUE"""),"BLUE")</f>
        <v>BLUE</v>
      </c>
      <c r="G6558" s="20" t="str">
        <f>IFERROR(__xludf.DUMMYFUNCTION("""COMPUTED_VALUE"""),"Uncle Sams Cider (04/04/2023)")</f>
        <v>Uncle Sams Cider (04/04/2023)</v>
      </c>
      <c r="H6558" s="19"/>
    </row>
    <row r="6559">
      <c r="A6559" s="9"/>
      <c r="B6559" s="15"/>
      <c r="C6559" s="9">
        <f>IFERROR(__xludf.DUMMYFUNCTION("""COMPUTED_VALUE"""),45075.4730609259)</f>
        <v>45075.47306</v>
      </c>
      <c r="D6559" s="15">
        <f>IFERROR(__xludf.DUMMYFUNCTION("""COMPUTED_VALUE"""),1.008)</f>
        <v>1.008</v>
      </c>
      <c r="E6559" s="16">
        <f>IFERROR(__xludf.DUMMYFUNCTION("""COMPUTED_VALUE"""),65.0)</f>
        <v>65</v>
      </c>
      <c r="F6559" s="19" t="str">
        <f>IFERROR(__xludf.DUMMYFUNCTION("""COMPUTED_VALUE"""),"BLUE")</f>
        <v>BLUE</v>
      </c>
      <c r="G6559" s="20" t="str">
        <f>IFERROR(__xludf.DUMMYFUNCTION("""COMPUTED_VALUE"""),"Uncle Sams Cider (04/04/2023)")</f>
        <v>Uncle Sams Cider (04/04/2023)</v>
      </c>
      <c r="H6559" s="19"/>
    </row>
    <row r="6560">
      <c r="A6560" s="9"/>
      <c r="B6560" s="15"/>
      <c r="C6560" s="9">
        <f>IFERROR(__xludf.DUMMYFUNCTION("""COMPUTED_VALUE"""),45075.4626274189)</f>
        <v>45075.46263</v>
      </c>
      <c r="D6560" s="15">
        <f>IFERROR(__xludf.DUMMYFUNCTION("""COMPUTED_VALUE"""),1.008)</f>
        <v>1.008</v>
      </c>
      <c r="E6560" s="16">
        <f>IFERROR(__xludf.DUMMYFUNCTION("""COMPUTED_VALUE"""),65.0)</f>
        <v>65</v>
      </c>
      <c r="F6560" s="19" t="str">
        <f>IFERROR(__xludf.DUMMYFUNCTION("""COMPUTED_VALUE"""),"BLUE")</f>
        <v>BLUE</v>
      </c>
      <c r="G6560" s="20" t="str">
        <f>IFERROR(__xludf.DUMMYFUNCTION("""COMPUTED_VALUE"""),"Uncle Sams Cider (04/04/2023)")</f>
        <v>Uncle Sams Cider (04/04/2023)</v>
      </c>
      <c r="H6560" s="19"/>
    </row>
    <row r="6561">
      <c r="A6561" s="9"/>
      <c r="B6561" s="15"/>
      <c r="C6561" s="9">
        <f>IFERROR(__xludf.DUMMYFUNCTION("""COMPUTED_VALUE"""),45075.4522077314)</f>
        <v>45075.45221</v>
      </c>
      <c r="D6561" s="15">
        <f>IFERROR(__xludf.DUMMYFUNCTION("""COMPUTED_VALUE"""),1.008)</f>
        <v>1.008</v>
      </c>
      <c r="E6561" s="16">
        <f>IFERROR(__xludf.DUMMYFUNCTION("""COMPUTED_VALUE"""),65.0)</f>
        <v>65</v>
      </c>
      <c r="F6561" s="19" t="str">
        <f>IFERROR(__xludf.DUMMYFUNCTION("""COMPUTED_VALUE"""),"BLUE")</f>
        <v>BLUE</v>
      </c>
      <c r="G6561" s="20" t="str">
        <f>IFERROR(__xludf.DUMMYFUNCTION("""COMPUTED_VALUE"""),"Uncle Sams Cider (04/04/2023)")</f>
        <v>Uncle Sams Cider (04/04/2023)</v>
      </c>
      <c r="H6561" s="19"/>
    </row>
    <row r="6562">
      <c r="A6562" s="9"/>
      <c r="B6562" s="15"/>
      <c r="C6562" s="9">
        <f>IFERROR(__xludf.DUMMYFUNCTION("""COMPUTED_VALUE"""),45075.4417862152)</f>
        <v>45075.44179</v>
      </c>
      <c r="D6562" s="15">
        <f>IFERROR(__xludf.DUMMYFUNCTION("""COMPUTED_VALUE"""),1.008)</f>
        <v>1.008</v>
      </c>
      <c r="E6562" s="16">
        <f>IFERROR(__xludf.DUMMYFUNCTION("""COMPUTED_VALUE"""),65.0)</f>
        <v>65</v>
      </c>
      <c r="F6562" s="19" t="str">
        <f>IFERROR(__xludf.DUMMYFUNCTION("""COMPUTED_VALUE"""),"BLUE")</f>
        <v>BLUE</v>
      </c>
      <c r="G6562" s="20" t="str">
        <f>IFERROR(__xludf.DUMMYFUNCTION("""COMPUTED_VALUE"""),"Uncle Sams Cider (04/04/2023)")</f>
        <v>Uncle Sams Cider (04/04/2023)</v>
      </c>
      <c r="H6562" s="19"/>
    </row>
    <row r="6563">
      <c r="A6563" s="9"/>
      <c r="B6563" s="15"/>
      <c r="C6563" s="9">
        <f>IFERROR(__xludf.DUMMYFUNCTION("""COMPUTED_VALUE"""),45075.4313320138)</f>
        <v>45075.43133</v>
      </c>
      <c r="D6563" s="15">
        <f>IFERROR(__xludf.DUMMYFUNCTION("""COMPUTED_VALUE"""),1.008)</f>
        <v>1.008</v>
      </c>
      <c r="E6563" s="16">
        <f>IFERROR(__xludf.DUMMYFUNCTION("""COMPUTED_VALUE"""),65.0)</f>
        <v>65</v>
      </c>
      <c r="F6563" s="19" t="str">
        <f>IFERROR(__xludf.DUMMYFUNCTION("""COMPUTED_VALUE"""),"BLUE")</f>
        <v>BLUE</v>
      </c>
      <c r="G6563" s="20" t="str">
        <f>IFERROR(__xludf.DUMMYFUNCTION("""COMPUTED_VALUE"""),"Uncle Sams Cider (04/04/2023)")</f>
        <v>Uncle Sams Cider (04/04/2023)</v>
      </c>
      <c r="H6563" s="19"/>
    </row>
    <row r="6564">
      <c r="A6564" s="9"/>
      <c r="B6564" s="15"/>
      <c r="C6564" s="9">
        <f>IFERROR(__xludf.DUMMYFUNCTION("""COMPUTED_VALUE"""),45075.4208749652)</f>
        <v>45075.42087</v>
      </c>
      <c r="D6564" s="15">
        <f>IFERROR(__xludf.DUMMYFUNCTION("""COMPUTED_VALUE"""),1.008)</f>
        <v>1.008</v>
      </c>
      <c r="E6564" s="16">
        <f>IFERROR(__xludf.DUMMYFUNCTION("""COMPUTED_VALUE"""),65.0)</f>
        <v>65</v>
      </c>
      <c r="F6564" s="19" t="str">
        <f>IFERROR(__xludf.DUMMYFUNCTION("""COMPUTED_VALUE"""),"BLUE")</f>
        <v>BLUE</v>
      </c>
      <c r="G6564" s="20" t="str">
        <f>IFERROR(__xludf.DUMMYFUNCTION("""COMPUTED_VALUE"""),"Uncle Sams Cider (04/04/2023)")</f>
        <v>Uncle Sams Cider (04/04/2023)</v>
      </c>
      <c r="H6564" s="19"/>
    </row>
    <row r="6565">
      <c r="A6565" s="9"/>
      <c r="B6565" s="15"/>
      <c r="C6565" s="9">
        <f>IFERROR(__xludf.DUMMYFUNCTION("""COMPUTED_VALUE"""),45075.4104430555)</f>
        <v>45075.41044</v>
      </c>
      <c r="D6565" s="15">
        <f>IFERROR(__xludf.DUMMYFUNCTION("""COMPUTED_VALUE"""),1.008)</f>
        <v>1.008</v>
      </c>
      <c r="E6565" s="16">
        <f>IFERROR(__xludf.DUMMYFUNCTION("""COMPUTED_VALUE"""),65.0)</f>
        <v>65</v>
      </c>
      <c r="F6565" s="19" t="str">
        <f>IFERROR(__xludf.DUMMYFUNCTION("""COMPUTED_VALUE"""),"BLUE")</f>
        <v>BLUE</v>
      </c>
      <c r="G6565" s="20" t="str">
        <f>IFERROR(__xludf.DUMMYFUNCTION("""COMPUTED_VALUE"""),"Uncle Sams Cider (04/04/2023)")</f>
        <v>Uncle Sams Cider (04/04/2023)</v>
      </c>
      <c r="H6565" s="19"/>
    </row>
    <row r="6566">
      <c r="A6566" s="9"/>
      <c r="B6566" s="15"/>
      <c r="C6566" s="9">
        <f>IFERROR(__xludf.DUMMYFUNCTION("""COMPUTED_VALUE"""),45075.3999873032)</f>
        <v>45075.39999</v>
      </c>
      <c r="D6566" s="15">
        <f>IFERROR(__xludf.DUMMYFUNCTION("""COMPUTED_VALUE"""),1.008)</f>
        <v>1.008</v>
      </c>
      <c r="E6566" s="16">
        <f>IFERROR(__xludf.DUMMYFUNCTION("""COMPUTED_VALUE"""),65.0)</f>
        <v>65</v>
      </c>
      <c r="F6566" s="19" t="str">
        <f>IFERROR(__xludf.DUMMYFUNCTION("""COMPUTED_VALUE"""),"BLUE")</f>
        <v>BLUE</v>
      </c>
      <c r="G6566" s="20" t="str">
        <f>IFERROR(__xludf.DUMMYFUNCTION("""COMPUTED_VALUE"""),"Uncle Sams Cider (04/04/2023)")</f>
        <v>Uncle Sams Cider (04/04/2023)</v>
      </c>
      <c r="H6566" s="19"/>
    </row>
    <row r="6567">
      <c r="A6567" s="9"/>
      <c r="B6567" s="15"/>
      <c r="C6567" s="9">
        <f>IFERROR(__xludf.DUMMYFUNCTION("""COMPUTED_VALUE"""),45075.3895660532)</f>
        <v>45075.38957</v>
      </c>
      <c r="D6567" s="15">
        <f>IFERROR(__xludf.DUMMYFUNCTION("""COMPUTED_VALUE"""),1.008)</f>
        <v>1.008</v>
      </c>
      <c r="E6567" s="16">
        <f>IFERROR(__xludf.DUMMYFUNCTION("""COMPUTED_VALUE"""),65.0)</f>
        <v>65</v>
      </c>
      <c r="F6567" s="19" t="str">
        <f>IFERROR(__xludf.DUMMYFUNCTION("""COMPUTED_VALUE"""),"BLUE")</f>
        <v>BLUE</v>
      </c>
      <c r="G6567" s="20" t="str">
        <f>IFERROR(__xludf.DUMMYFUNCTION("""COMPUTED_VALUE"""),"Uncle Sams Cider (04/04/2023)")</f>
        <v>Uncle Sams Cider (04/04/2023)</v>
      </c>
      <c r="H6567" s="19"/>
    </row>
    <row r="6568">
      <c r="A6568" s="9"/>
      <c r="B6568" s="15"/>
      <c r="C6568" s="9">
        <f>IFERROR(__xludf.DUMMYFUNCTION("""COMPUTED_VALUE"""),45075.3791444907)</f>
        <v>45075.37914</v>
      </c>
      <c r="D6568" s="15">
        <f>IFERROR(__xludf.DUMMYFUNCTION("""COMPUTED_VALUE"""),1.008)</f>
        <v>1.008</v>
      </c>
      <c r="E6568" s="16">
        <f>IFERROR(__xludf.DUMMYFUNCTION("""COMPUTED_VALUE"""),65.0)</f>
        <v>65</v>
      </c>
      <c r="F6568" s="19" t="str">
        <f>IFERROR(__xludf.DUMMYFUNCTION("""COMPUTED_VALUE"""),"BLUE")</f>
        <v>BLUE</v>
      </c>
      <c r="G6568" s="20" t="str">
        <f>IFERROR(__xludf.DUMMYFUNCTION("""COMPUTED_VALUE"""),"Uncle Sams Cider (04/04/2023)")</f>
        <v>Uncle Sams Cider (04/04/2023)</v>
      </c>
      <c r="H6568" s="19"/>
    </row>
    <row r="6569">
      <c r="A6569" s="9"/>
      <c r="B6569" s="15"/>
      <c r="C6569" s="9">
        <f>IFERROR(__xludf.DUMMYFUNCTION("""COMPUTED_VALUE"""),45075.3687240625)</f>
        <v>45075.36872</v>
      </c>
      <c r="D6569" s="15">
        <f>IFERROR(__xludf.DUMMYFUNCTION("""COMPUTED_VALUE"""),1.008)</f>
        <v>1.008</v>
      </c>
      <c r="E6569" s="16">
        <f>IFERROR(__xludf.DUMMYFUNCTION("""COMPUTED_VALUE"""),65.0)</f>
        <v>65</v>
      </c>
      <c r="F6569" s="19" t="str">
        <f>IFERROR(__xludf.DUMMYFUNCTION("""COMPUTED_VALUE"""),"BLUE")</f>
        <v>BLUE</v>
      </c>
      <c r="G6569" s="20" t="str">
        <f>IFERROR(__xludf.DUMMYFUNCTION("""COMPUTED_VALUE"""),"Uncle Sams Cider (04/04/2023)")</f>
        <v>Uncle Sams Cider (04/04/2023)</v>
      </c>
      <c r="H6569" s="19"/>
    </row>
    <row r="6570">
      <c r="A6570" s="9"/>
      <c r="B6570" s="15"/>
      <c r="C6570" s="9">
        <f>IFERROR(__xludf.DUMMYFUNCTION("""COMPUTED_VALUE"""),45075.3583031597)</f>
        <v>45075.3583</v>
      </c>
      <c r="D6570" s="15">
        <f>IFERROR(__xludf.DUMMYFUNCTION("""COMPUTED_VALUE"""),1.008)</f>
        <v>1.008</v>
      </c>
      <c r="E6570" s="16">
        <f>IFERROR(__xludf.DUMMYFUNCTION("""COMPUTED_VALUE"""),65.0)</f>
        <v>65</v>
      </c>
      <c r="F6570" s="19" t="str">
        <f>IFERROR(__xludf.DUMMYFUNCTION("""COMPUTED_VALUE"""),"BLUE")</f>
        <v>BLUE</v>
      </c>
      <c r="G6570" s="20" t="str">
        <f>IFERROR(__xludf.DUMMYFUNCTION("""COMPUTED_VALUE"""),"Uncle Sams Cider (04/04/2023)")</f>
        <v>Uncle Sams Cider (04/04/2023)</v>
      </c>
      <c r="H6570" s="19"/>
    </row>
    <row r="6571">
      <c r="A6571" s="9"/>
      <c r="B6571" s="15"/>
      <c r="C6571" s="9">
        <f>IFERROR(__xludf.DUMMYFUNCTION("""COMPUTED_VALUE"""),45075.3478812384)</f>
        <v>45075.34788</v>
      </c>
      <c r="D6571" s="15">
        <f>IFERROR(__xludf.DUMMYFUNCTION("""COMPUTED_VALUE"""),1.008)</f>
        <v>1.008</v>
      </c>
      <c r="E6571" s="16">
        <f>IFERROR(__xludf.DUMMYFUNCTION("""COMPUTED_VALUE"""),65.0)</f>
        <v>65</v>
      </c>
      <c r="F6571" s="19" t="str">
        <f>IFERROR(__xludf.DUMMYFUNCTION("""COMPUTED_VALUE"""),"BLUE")</f>
        <v>BLUE</v>
      </c>
      <c r="G6571" s="20" t="str">
        <f>IFERROR(__xludf.DUMMYFUNCTION("""COMPUTED_VALUE"""),"Uncle Sams Cider (04/04/2023)")</f>
        <v>Uncle Sams Cider (04/04/2023)</v>
      </c>
      <c r="H6571" s="19"/>
    </row>
    <row r="6572">
      <c r="A6572" s="9"/>
      <c r="B6572" s="15"/>
      <c r="C6572" s="9">
        <f>IFERROR(__xludf.DUMMYFUNCTION("""COMPUTED_VALUE"""),45075.3374595254)</f>
        <v>45075.33746</v>
      </c>
      <c r="D6572" s="15">
        <f>IFERROR(__xludf.DUMMYFUNCTION("""COMPUTED_VALUE"""),1.008)</f>
        <v>1.008</v>
      </c>
      <c r="E6572" s="16">
        <f>IFERROR(__xludf.DUMMYFUNCTION("""COMPUTED_VALUE"""),65.0)</f>
        <v>65</v>
      </c>
      <c r="F6572" s="19" t="str">
        <f>IFERROR(__xludf.DUMMYFUNCTION("""COMPUTED_VALUE"""),"BLUE")</f>
        <v>BLUE</v>
      </c>
      <c r="G6572" s="20" t="str">
        <f>IFERROR(__xludf.DUMMYFUNCTION("""COMPUTED_VALUE"""),"Uncle Sams Cider (04/04/2023)")</f>
        <v>Uncle Sams Cider (04/04/2023)</v>
      </c>
      <c r="H6572" s="19"/>
    </row>
    <row r="6573">
      <c r="A6573" s="9"/>
      <c r="B6573" s="15"/>
      <c r="C6573" s="9">
        <f>IFERROR(__xludf.DUMMYFUNCTION("""COMPUTED_VALUE"""),45075.3270371643)</f>
        <v>45075.32704</v>
      </c>
      <c r="D6573" s="15">
        <f>IFERROR(__xludf.DUMMYFUNCTION("""COMPUTED_VALUE"""),1.008)</f>
        <v>1.008</v>
      </c>
      <c r="E6573" s="16">
        <f>IFERROR(__xludf.DUMMYFUNCTION("""COMPUTED_VALUE"""),65.0)</f>
        <v>65</v>
      </c>
      <c r="F6573" s="19" t="str">
        <f>IFERROR(__xludf.DUMMYFUNCTION("""COMPUTED_VALUE"""),"BLUE")</f>
        <v>BLUE</v>
      </c>
      <c r="G6573" s="20" t="str">
        <f>IFERROR(__xludf.DUMMYFUNCTION("""COMPUTED_VALUE"""),"Uncle Sams Cider (04/04/2023)")</f>
        <v>Uncle Sams Cider (04/04/2023)</v>
      </c>
      <c r="H6573" s="19"/>
    </row>
    <row r="6574">
      <c r="A6574" s="9"/>
      <c r="B6574" s="15"/>
      <c r="C6574" s="9">
        <f>IFERROR(__xludf.DUMMYFUNCTION("""COMPUTED_VALUE"""),45075.3166171759)</f>
        <v>45075.31662</v>
      </c>
      <c r="D6574" s="15">
        <f>IFERROR(__xludf.DUMMYFUNCTION("""COMPUTED_VALUE"""),1.008)</f>
        <v>1.008</v>
      </c>
      <c r="E6574" s="16">
        <f>IFERROR(__xludf.DUMMYFUNCTION("""COMPUTED_VALUE"""),65.0)</f>
        <v>65</v>
      </c>
      <c r="F6574" s="19" t="str">
        <f>IFERROR(__xludf.DUMMYFUNCTION("""COMPUTED_VALUE"""),"BLUE")</f>
        <v>BLUE</v>
      </c>
      <c r="G6574" s="20" t="str">
        <f>IFERROR(__xludf.DUMMYFUNCTION("""COMPUTED_VALUE"""),"Uncle Sams Cider (04/04/2023)")</f>
        <v>Uncle Sams Cider (04/04/2023)</v>
      </c>
      <c r="H6574" s="19"/>
    </row>
    <row r="6575">
      <c r="A6575" s="9"/>
      <c r="B6575" s="15"/>
      <c r="C6575" s="9">
        <f>IFERROR(__xludf.DUMMYFUNCTION("""COMPUTED_VALUE"""),45075.3061854398)</f>
        <v>45075.30619</v>
      </c>
      <c r="D6575" s="15">
        <f>IFERROR(__xludf.DUMMYFUNCTION("""COMPUTED_VALUE"""),1.008)</f>
        <v>1.008</v>
      </c>
      <c r="E6575" s="16">
        <f>IFERROR(__xludf.DUMMYFUNCTION("""COMPUTED_VALUE"""),65.0)</f>
        <v>65</v>
      </c>
      <c r="F6575" s="19" t="str">
        <f>IFERROR(__xludf.DUMMYFUNCTION("""COMPUTED_VALUE"""),"BLUE")</f>
        <v>BLUE</v>
      </c>
      <c r="G6575" s="20" t="str">
        <f>IFERROR(__xludf.DUMMYFUNCTION("""COMPUTED_VALUE"""),"Uncle Sams Cider (04/04/2023)")</f>
        <v>Uncle Sams Cider (04/04/2023)</v>
      </c>
      <c r="H6575" s="19"/>
    </row>
    <row r="6576">
      <c r="A6576" s="9"/>
      <c r="B6576" s="15"/>
      <c r="C6576" s="9">
        <f>IFERROR(__xludf.DUMMYFUNCTION("""COMPUTED_VALUE"""),45075.2957658796)</f>
        <v>45075.29577</v>
      </c>
      <c r="D6576" s="15">
        <f>IFERROR(__xludf.DUMMYFUNCTION("""COMPUTED_VALUE"""),1.008)</f>
        <v>1.008</v>
      </c>
      <c r="E6576" s="16">
        <f>IFERROR(__xludf.DUMMYFUNCTION("""COMPUTED_VALUE"""),65.0)</f>
        <v>65</v>
      </c>
      <c r="F6576" s="19" t="str">
        <f>IFERROR(__xludf.DUMMYFUNCTION("""COMPUTED_VALUE"""),"BLUE")</f>
        <v>BLUE</v>
      </c>
      <c r="G6576" s="20" t="str">
        <f>IFERROR(__xludf.DUMMYFUNCTION("""COMPUTED_VALUE"""),"Uncle Sams Cider (04/04/2023)")</f>
        <v>Uncle Sams Cider (04/04/2023)</v>
      </c>
      <c r="H6576" s="19"/>
    </row>
    <row r="6577">
      <c r="A6577" s="9"/>
      <c r="B6577" s="15"/>
      <c r="C6577" s="9">
        <f>IFERROR(__xludf.DUMMYFUNCTION("""COMPUTED_VALUE"""),45075.2853442708)</f>
        <v>45075.28534</v>
      </c>
      <c r="D6577" s="15">
        <f>IFERROR(__xludf.DUMMYFUNCTION("""COMPUTED_VALUE"""),1.008)</f>
        <v>1.008</v>
      </c>
      <c r="E6577" s="16">
        <f>IFERROR(__xludf.DUMMYFUNCTION("""COMPUTED_VALUE"""),65.0)</f>
        <v>65</v>
      </c>
      <c r="F6577" s="19" t="str">
        <f>IFERROR(__xludf.DUMMYFUNCTION("""COMPUTED_VALUE"""),"BLUE")</f>
        <v>BLUE</v>
      </c>
      <c r="G6577" s="20" t="str">
        <f>IFERROR(__xludf.DUMMYFUNCTION("""COMPUTED_VALUE"""),"Uncle Sams Cider (04/04/2023)")</f>
        <v>Uncle Sams Cider (04/04/2023)</v>
      </c>
      <c r="H6577" s="19"/>
    </row>
    <row r="6578">
      <c r="A6578" s="9"/>
      <c r="B6578" s="15"/>
      <c r="C6578" s="9">
        <f>IFERROR(__xludf.DUMMYFUNCTION("""COMPUTED_VALUE"""),45075.2749218981)</f>
        <v>45075.27492</v>
      </c>
      <c r="D6578" s="15">
        <f>IFERROR(__xludf.DUMMYFUNCTION("""COMPUTED_VALUE"""),1.008)</f>
        <v>1.008</v>
      </c>
      <c r="E6578" s="16">
        <f>IFERROR(__xludf.DUMMYFUNCTION("""COMPUTED_VALUE"""),65.0)</f>
        <v>65</v>
      </c>
      <c r="F6578" s="19" t="str">
        <f>IFERROR(__xludf.DUMMYFUNCTION("""COMPUTED_VALUE"""),"BLUE")</f>
        <v>BLUE</v>
      </c>
      <c r="G6578" s="20" t="str">
        <f>IFERROR(__xludf.DUMMYFUNCTION("""COMPUTED_VALUE"""),"Uncle Sams Cider (04/04/2023)")</f>
        <v>Uncle Sams Cider (04/04/2023)</v>
      </c>
      <c r="H6578" s="19"/>
    </row>
    <row r="6579">
      <c r="A6579" s="9"/>
      <c r="B6579" s="15"/>
      <c r="C6579" s="9">
        <f>IFERROR(__xludf.DUMMYFUNCTION("""COMPUTED_VALUE"""),45075.2644901041)</f>
        <v>45075.26449</v>
      </c>
      <c r="D6579" s="15">
        <f>IFERROR(__xludf.DUMMYFUNCTION("""COMPUTED_VALUE"""),1.008)</f>
        <v>1.008</v>
      </c>
      <c r="E6579" s="16">
        <f>IFERROR(__xludf.DUMMYFUNCTION("""COMPUTED_VALUE"""),65.0)</f>
        <v>65</v>
      </c>
      <c r="F6579" s="19" t="str">
        <f>IFERROR(__xludf.DUMMYFUNCTION("""COMPUTED_VALUE"""),"BLUE")</f>
        <v>BLUE</v>
      </c>
      <c r="G6579" s="20" t="str">
        <f>IFERROR(__xludf.DUMMYFUNCTION("""COMPUTED_VALUE"""),"Uncle Sams Cider (04/04/2023)")</f>
        <v>Uncle Sams Cider (04/04/2023)</v>
      </c>
      <c r="H6579" s="19"/>
    </row>
    <row r="6580">
      <c r="A6580" s="9"/>
      <c r="B6580" s="15"/>
      <c r="C6580" s="9">
        <f>IFERROR(__xludf.DUMMYFUNCTION("""COMPUTED_VALUE"""),45075.2540690856)</f>
        <v>45075.25407</v>
      </c>
      <c r="D6580" s="15">
        <f>IFERROR(__xludf.DUMMYFUNCTION("""COMPUTED_VALUE"""),1.008)</f>
        <v>1.008</v>
      </c>
      <c r="E6580" s="16">
        <f>IFERROR(__xludf.DUMMYFUNCTION("""COMPUTED_VALUE"""),65.0)</f>
        <v>65</v>
      </c>
      <c r="F6580" s="19" t="str">
        <f>IFERROR(__xludf.DUMMYFUNCTION("""COMPUTED_VALUE"""),"BLUE")</f>
        <v>BLUE</v>
      </c>
      <c r="G6580" s="20" t="str">
        <f>IFERROR(__xludf.DUMMYFUNCTION("""COMPUTED_VALUE"""),"Uncle Sams Cider (04/04/2023)")</f>
        <v>Uncle Sams Cider (04/04/2023)</v>
      </c>
      <c r="H6580" s="19"/>
    </row>
    <row r="6581">
      <c r="A6581" s="9"/>
      <c r="B6581" s="15"/>
      <c r="C6581" s="9">
        <f>IFERROR(__xludf.DUMMYFUNCTION("""COMPUTED_VALUE"""),45075.243633993)</f>
        <v>45075.24363</v>
      </c>
      <c r="D6581" s="15">
        <f>IFERROR(__xludf.DUMMYFUNCTION("""COMPUTED_VALUE"""),1.008)</f>
        <v>1.008</v>
      </c>
      <c r="E6581" s="16">
        <f>IFERROR(__xludf.DUMMYFUNCTION("""COMPUTED_VALUE"""),65.0)</f>
        <v>65</v>
      </c>
      <c r="F6581" s="19" t="str">
        <f>IFERROR(__xludf.DUMMYFUNCTION("""COMPUTED_VALUE"""),"BLUE")</f>
        <v>BLUE</v>
      </c>
      <c r="G6581" s="20" t="str">
        <f>IFERROR(__xludf.DUMMYFUNCTION("""COMPUTED_VALUE"""),"Uncle Sams Cider (04/04/2023)")</f>
        <v>Uncle Sams Cider (04/04/2023)</v>
      </c>
      <c r="H6581" s="19"/>
    </row>
    <row r="6582">
      <c r="A6582" s="9"/>
      <c r="B6582" s="15"/>
      <c r="C6582" s="9">
        <f>IFERROR(__xludf.DUMMYFUNCTION("""COMPUTED_VALUE"""),45075.2332015856)</f>
        <v>45075.2332</v>
      </c>
      <c r="D6582" s="15">
        <f>IFERROR(__xludf.DUMMYFUNCTION("""COMPUTED_VALUE"""),1.008)</f>
        <v>1.008</v>
      </c>
      <c r="E6582" s="16">
        <f>IFERROR(__xludf.DUMMYFUNCTION("""COMPUTED_VALUE"""),65.0)</f>
        <v>65</v>
      </c>
      <c r="F6582" s="19" t="str">
        <f>IFERROR(__xludf.DUMMYFUNCTION("""COMPUTED_VALUE"""),"BLUE")</f>
        <v>BLUE</v>
      </c>
      <c r="G6582" s="20" t="str">
        <f>IFERROR(__xludf.DUMMYFUNCTION("""COMPUTED_VALUE"""),"Uncle Sams Cider (04/04/2023)")</f>
        <v>Uncle Sams Cider (04/04/2023)</v>
      </c>
      <c r="H6582" s="19"/>
    </row>
    <row r="6583">
      <c r="A6583" s="9"/>
      <c r="B6583" s="15"/>
      <c r="C6583" s="9">
        <f>IFERROR(__xludf.DUMMYFUNCTION("""COMPUTED_VALUE"""),45075.2227808449)</f>
        <v>45075.22278</v>
      </c>
      <c r="D6583" s="15">
        <f>IFERROR(__xludf.DUMMYFUNCTION("""COMPUTED_VALUE"""),1.009)</f>
        <v>1.009</v>
      </c>
      <c r="E6583" s="16">
        <f>IFERROR(__xludf.DUMMYFUNCTION("""COMPUTED_VALUE"""),65.0)</f>
        <v>65</v>
      </c>
      <c r="F6583" s="19" t="str">
        <f>IFERROR(__xludf.DUMMYFUNCTION("""COMPUTED_VALUE"""),"BLUE")</f>
        <v>BLUE</v>
      </c>
      <c r="G6583" s="20" t="str">
        <f>IFERROR(__xludf.DUMMYFUNCTION("""COMPUTED_VALUE"""),"Uncle Sams Cider (04/04/2023)")</f>
        <v>Uncle Sams Cider (04/04/2023)</v>
      </c>
      <c r="H6583" s="19"/>
    </row>
    <row r="6584">
      <c r="A6584" s="9"/>
      <c r="B6584" s="15"/>
      <c r="C6584" s="9">
        <f>IFERROR(__xludf.DUMMYFUNCTION("""COMPUTED_VALUE"""),45075.2123593171)</f>
        <v>45075.21236</v>
      </c>
      <c r="D6584" s="15">
        <f>IFERROR(__xludf.DUMMYFUNCTION("""COMPUTED_VALUE"""),1.008)</f>
        <v>1.008</v>
      </c>
      <c r="E6584" s="16">
        <f>IFERROR(__xludf.DUMMYFUNCTION("""COMPUTED_VALUE"""),65.0)</f>
        <v>65</v>
      </c>
      <c r="F6584" s="19" t="str">
        <f>IFERROR(__xludf.DUMMYFUNCTION("""COMPUTED_VALUE"""),"BLUE")</f>
        <v>BLUE</v>
      </c>
      <c r="G6584" s="20" t="str">
        <f>IFERROR(__xludf.DUMMYFUNCTION("""COMPUTED_VALUE"""),"Uncle Sams Cider (04/04/2023)")</f>
        <v>Uncle Sams Cider (04/04/2023)</v>
      </c>
      <c r="H6584" s="19"/>
    </row>
    <row r="6585">
      <c r="A6585" s="9"/>
      <c r="B6585" s="15"/>
      <c r="C6585" s="9">
        <f>IFERROR(__xludf.DUMMYFUNCTION("""COMPUTED_VALUE"""),45075.2019153472)</f>
        <v>45075.20192</v>
      </c>
      <c r="D6585" s="15">
        <f>IFERROR(__xludf.DUMMYFUNCTION("""COMPUTED_VALUE"""),1.008)</f>
        <v>1.008</v>
      </c>
      <c r="E6585" s="16">
        <f>IFERROR(__xludf.DUMMYFUNCTION("""COMPUTED_VALUE"""),65.0)</f>
        <v>65</v>
      </c>
      <c r="F6585" s="19" t="str">
        <f>IFERROR(__xludf.DUMMYFUNCTION("""COMPUTED_VALUE"""),"BLUE")</f>
        <v>BLUE</v>
      </c>
      <c r="G6585" s="20" t="str">
        <f>IFERROR(__xludf.DUMMYFUNCTION("""COMPUTED_VALUE"""),"Uncle Sams Cider (04/04/2023)")</f>
        <v>Uncle Sams Cider (04/04/2023)</v>
      </c>
      <c r="H6585" s="19"/>
    </row>
    <row r="6586">
      <c r="A6586" s="9"/>
      <c r="B6586" s="15"/>
      <c r="C6586" s="9">
        <f>IFERROR(__xludf.DUMMYFUNCTION("""COMPUTED_VALUE"""),45075.1914949537)</f>
        <v>45075.19149</v>
      </c>
      <c r="D6586" s="15">
        <f>IFERROR(__xludf.DUMMYFUNCTION("""COMPUTED_VALUE"""),1.008)</f>
        <v>1.008</v>
      </c>
      <c r="E6586" s="16">
        <f>IFERROR(__xludf.DUMMYFUNCTION("""COMPUTED_VALUE"""),65.0)</f>
        <v>65</v>
      </c>
      <c r="F6586" s="19" t="str">
        <f>IFERROR(__xludf.DUMMYFUNCTION("""COMPUTED_VALUE"""),"BLUE")</f>
        <v>BLUE</v>
      </c>
      <c r="G6586" s="20" t="str">
        <f>IFERROR(__xludf.DUMMYFUNCTION("""COMPUTED_VALUE"""),"Uncle Sams Cider (04/04/2023)")</f>
        <v>Uncle Sams Cider (04/04/2023)</v>
      </c>
      <c r="H6586" s="19"/>
    </row>
    <row r="6587">
      <c r="A6587" s="9"/>
      <c r="B6587" s="15"/>
      <c r="C6587" s="9">
        <f>IFERROR(__xludf.DUMMYFUNCTION("""COMPUTED_VALUE"""),45075.1810726388)</f>
        <v>45075.18107</v>
      </c>
      <c r="D6587" s="15">
        <f>IFERROR(__xludf.DUMMYFUNCTION("""COMPUTED_VALUE"""),1.008)</f>
        <v>1.008</v>
      </c>
      <c r="E6587" s="16">
        <f>IFERROR(__xludf.DUMMYFUNCTION("""COMPUTED_VALUE"""),65.0)</f>
        <v>65</v>
      </c>
      <c r="F6587" s="19" t="str">
        <f>IFERROR(__xludf.DUMMYFUNCTION("""COMPUTED_VALUE"""),"BLUE")</f>
        <v>BLUE</v>
      </c>
      <c r="G6587" s="20" t="str">
        <f>IFERROR(__xludf.DUMMYFUNCTION("""COMPUTED_VALUE"""),"Uncle Sams Cider (04/04/2023)")</f>
        <v>Uncle Sams Cider (04/04/2023)</v>
      </c>
      <c r="H6587" s="19"/>
    </row>
    <row r="6588">
      <c r="A6588" s="9"/>
      <c r="B6588" s="15"/>
      <c r="C6588" s="9">
        <f>IFERROR(__xludf.DUMMYFUNCTION("""COMPUTED_VALUE"""),45075.1706517013)</f>
        <v>45075.17065</v>
      </c>
      <c r="D6588" s="15">
        <f>IFERROR(__xludf.DUMMYFUNCTION("""COMPUTED_VALUE"""),1.008)</f>
        <v>1.008</v>
      </c>
      <c r="E6588" s="16">
        <f>IFERROR(__xludf.DUMMYFUNCTION("""COMPUTED_VALUE"""),65.0)</f>
        <v>65</v>
      </c>
      <c r="F6588" s="19" t="str">
        <f>IFERROR(__xludf.DUMMYFUNCTION("""COMPUTED_VALUE"""),"BLUE")</f>
        <v>BLUE</v>
      </c>
      <c r="G6588" s="20" t="str">
        <f>IFERROR(__xludf.DUMMYFUNCTION("""COMPUTED_VALUE"""),"Uncle Sams Cider (04/04/2023)")</f>
        <v>Uncle Sams Cider (04/04/2023)</v>
      </c>
      <c r="H6588" s="19"/>
    </row>
    <row r="6589">
      <c r="A6589" s="9"/>
      <c r="B6589" s="15"/>
      <c r="C6589" s="9">
        <f>IFERROR(__xludf.DUMMYFUNCTION("""COMPUTED_VALUE"""),45075.1602078472)</f>
        <v>45075.16021</v>
      </c>
      <c r="D6589" s="15">
        <f>IFERROR(__xludf.DUMMYFUNCTION("""COMPUTED_VALUE"""),1.008)</f>
        <v>1.008</v>
      </c>
      <c r="E6589" s="16">
        <f>IFERROR(__xludf.DUMMYFUNCTION("""COMPUTED_VALUE"""),65.0)</f>
        <v>65</v>
      </c>
      <c r="F6589" s="19" t="str">
        <f>IFERROR(__xludf.DUMMYFUNCTION("""COMPUTED_VALUE"""),"BLUE")</f>
        <v>BLUE</v>
      </c>
      <c r="G6589" s="20" t="str">
        <f>IFERROR(__xludf.DUMMYFUNCTION("""COMPUTED_VALUE"""),"Uncle Sams Cider (04/04/2023)")</f>
        <v>Uncle Sams Cider (04/04/2023)</v>
      </c>
      <c r="H6589" s="19"/>
    </row>
    <row r="6590">
      <c r="A6590" s="9"/>
      <c r="B6590" s="15"/>
      <c r="C6590" s="9">
        <f>IFERROR(__xludf.DUMMYFUNCTION("""COMPUTED_VALUE"""),45075.1497861805)</f>
        <v>45075.14979</v>
      </c>
      <c r="D6590" s="15">
        <f>IFERROR(__xludf.DUMMYFUNCTION("""COMPUTED_VALUE"""),1.008)</f>
        <v>1.008</v>
      </c>
      <c r="E6590" s="16">
        <f>IFERROR(__xludf.DUMMYFUNCTION("""COMPUTED_VALUE"""),65.0)</f>
        <v>65</v>
      </c>
      <c r="F6590" s="19" t="str">
        <f>IFERROR(__xludf.DUMMYFUNCTION("""COMPUTED_VALUE"""),"BLUE")</f>
        <v>BLUE</v>
      </c>
      <c r="G6590" s="20" t="str">
        <f>IFERROR(__xludf.DUMMYFUNCTION("""COMPUTED_VALUE"""),"Uncle Sams Cider (04/04/2023)")</f>
        <v>Uncle Sams Cider (04/04/2023)</v>
      </c>
      <c r="H6590" s="19"/>
    </row>
    <row r="6591">
      <c r="A6591" s="9"/>
      <c r="B6591" s="15"/>
      <c r="C6591" s="9">
        <f>IFERROR(__xludf.DUMMYFUNCTION("""COMPUTED_VALUE"""),45075.1393659375)</f>
        <v>45075.13937</v>
      </c>
      <c r="D6591" s="15">
        <f>IFERROR(__xludf.DUMMYFUNCTION("""COMPUTED_VALUE"""),1.008)</f>
        <v>1.008</v>
      </c>
      <c r="E6591" s="16">
        <f>IFERROR(__xludf.DUMMYFUNCTION("""COMPUTED_VALUE"""),65.0)</f>
        <v>65</v>
      </c>
      <c r="F6591" s="19" t="str">
        <f>IFERROR(__xludf.DUMMYFUNCTION("""COMPUTED_VALUE"""),"BLUE")</f>
        <v>BLUE</v>
      </c>
      <c r="G6591" s="20" t="str">
        <f>IFERROR(__xludf.DUMMYFUNCTION("""COMPUTED_VALUE"""),"Uncle Sams Cider (04/04/2023)")</f>
        <v>Uncle Sams Cider (04/04/2023)</v>
      </c>
      <c r="H6591" s="19"/>
    </row>
    <row r="6592">
      <c r="A6592" s="9"/>
      <c r="B6592" s="15"/>
      <c r="C6592" s="9">
        <f>IFERROR(__xludf.DUMMYFUNCTION("""COMPUTED_VALUE"""),45075.1289426736)</f>
        <v>45075.12894</v>
      </c>
      <c r="D6592" s="15">
        <f>IFERROR(__xludf.DUMMYFUNCTION("""COMPUTED_VALUE"""),1.008)</f>
        <v>1.008</v>
      </c>
      <c r="E6592" s="16">
        <f>IFERROR(__xludf.DUMMYFUNCTION("""COMPUTED_VALUE"""),65.0)</f>
        <v>65</v>
      </c>
      <c r="F6592" s="19" t="str">
        <f>IFERROR(__xludf.DUMMYFUNCTION("""COMPUTED_VALUE"""),"BLUE")</f>
        <v>BLUE</v>
      </c>
      <c r="G6592" s="20" t="str">
        <f>IFERROR(__xludf.DUMMYFUNCTION("""COMPUTED_VALUE"""),"Uncle Sams Cider (04/04/2023)")</f>
        <v>Uncle Sams Cider (04/04/2023)</v>
      </c>
      <c r="H6592" s="19"/>
    </row>
    <row r="6593">
      <c r="A6593" s="9"/>
      <c r="B6593" s="15"/>
      <c r="C6593" s="9">
        <f>IFERROR(__xludf.DUMMYFUNCTION("""COMPUTED_VALUE"""),45075.1185209722)</f>
        <v>45075.11852</v>
      </c>
      <c r="D6593" s="15">
        <f>IFERROR(__xludf.DUMMYFUNCTION("""COMPUTED_VALUE"""),1.008)</f>
        <v>1.008</v>
      </c>
      <c r="E6593" s="16">
        <f>IFERROR(__xludf.DUMMYFUNCTION("""COMPUTED_VALUE"""),65.0)</f>
        <v>65</v>
      </c>
      <c r="F6593" s="19" t="str">
        <f>IFERROR(__xludf.DUMMYFUNCTION("""COMPUTED_VALUE"""),"BLUE")</f>
        <v>BLUE</v>
      </c>
      <c r="G6593" s="20" t="str">
        <f>IFERROR(__xludf.DUMMYFUNCTION("""COMPUTED_VALUE"""),"Uncle Sams Cider (04/04/2023)")</f>
        <v>Uncle Sams Cider (04/04/2023)</v>
      </c>
      <c r="H6593" s="19"/>
    </row>
    <row r="6594">
      <c r="A6594" s="9"/>
      <c r="B6594" s="15"/>
      <c r="C6594" s="9">
        <f>IFERROR(__xludf.DUMMYFUNCTION("""COMPUTED_VALUE"""),45075.1080999074)</f>
        <v>45075.1081</v>
      </c>
      <c r="D6594" s="15">
        <f>IFERROR(__xludf.DUMMYFUNCTION("""COMPUTED_VALUE"""),1.008)</f>
        <v>1.008</v>
      </c>
      <c r="E6594" s="16">
        <f>IFERROR(__xludf.DUMMYFUNCTION("""COMPUTED_VALUE"""),65.0)</f>
        <v>65</v>
      </c>
      <c r="F6594" s="19" t="str">
        <f>IFERROR(__xludf.DUMMYFUNCTION("""COMPUTED_VALUE"""),"BLUE")</f>
        <v>BLUE</v>
      </c>
      <c r="G6594" s="20" t="str">
        <f>IFERROR(__xludf.DUMMYFUNCTION("""COMPUTED_VALUE"""),"Uncle Sams Cider (04/04/2023)")</f>
        <v>Uncle Sams Cider (04/04/2023)</v>
      </c>
      <c r="H6594" s="19"/>
    </row>
    <row r="6595">
      <c r="A6595" s="9"/>
      <c r="B6595" s="15"/>
      <c r="C6595" s="9">
        <f>IFERROR(__xludf.DUMMYFUNCTION("""COMPUTED_VALUE"""),45075.0976673495)</f>
        <v>45075.09767</v>
      </c>
      <c r="D6595" s="15">
        <f>IFERROR(__xludf.DUMMYFUNCTION("""COMPUTED_VALUE"""),1.008)</f>
        <v>1.008</v>
      </c>
      <c r="E6595" s="16">
        <f>IFERROR(__xludf.DUMMYFUNCTION("""COMPUTED_VALUE"""),65.0)</f>
        <v>65</v>
      </c>
      <c r="F6595" s="19" t="str">
        <f>IFERROR(__xludf.DUMMYFUNCTION("""COMPUTED_VALUE"""),"BLUE")</f>
        <v>BLUE</v>
      </c>
      <c r="G6595" s="20" t="str">
        <f>IFERROR(__xludf.DUMMYFUNCTION("""COMPUTED_VALUE"""),"Uncle Sams Cider (04/04/2023)")</f>
        <v>Uncle Sams Cider (04/04/2023)</v>
      </c>
      <c r="H6595" s="19"/>
    </row>
    <row r="6596">
      <c r="A6596" s="9"/>
      <c r="B6596" s="15"/>
      <c r="C6596" s="9">
        <f>IFERROR(__xludf.DUMMYFUNCTION("""COMPUTED_VALUE"""),45075.0872450231)</f>
        <v>45075.08725</v>
      </c>
      <c r="D6596" s="15">
        <f>IFERROR(__xludf.DUMMYFUNCTION("""COMPUTED_VALUE"""),1.008)</f>
        <v>1.008</v>
      </c>
      <c r="E6596" s="16">
        <f>IFERROR(__xludf.DUMMYFUNCTION("""COMPUTED_VALUE"""),65.0)</f>
        <v>65</v>
      </c>
      <c r="F6596" s="19" t="str">
        <f>IFERROR(__xludf.DUMMYFUNCTION("""COMPUTED_VALUE"""),"BLUE")</f>
        <v>BLUE</v>
      </c>
      <c r="G6596" s="20" t="str">
        <f>IFERROR(__xludf.DUMMYFUNCTION("""COMPUTED_VALUE"""),"Uncle Sams Cider (04/04/2023)")</f>
        <v>Uncle Sams Cider (04/04/2023)</v>
      </c>
      <c r="H6596" s="19"/>
    </row>
    <row r="6597">
      <c r="A6597" s="9"/>
      <c r="B6597" s="15"/>
      <c r="C6597" s="9">
        <f>IFERROR(__xludf.DUMMYFUNCTION("""COMPUTED_VALUE"""),45075.0768247569)</f>
        <v>45075.07682</v>
      </c>
      <c r="D6597" s="15">
        <f>IFERROR(__xludf.DUMMYFUNCTION("""COMPUTED_VALUE"""),1.008)</f>
        <v>1.008</v>
      </c>
      <c r="E6597" s="16">
        <f>IFERROR(__xludf.DUMMYFUNCTION("""COMPUTED_VALUE"""),65.0)</f>
        <v>65</v>
      </c>
      <c r="F6597" s="19" t="str">
        <f>IFERROR(__xludf.DUMMYFUNCTION("""COMPUTED_VALUE"""),"BLUE")</f>
        <v>BLUE</v>
      </c>
      <c r="G6597" s="20" t="str">
        <f>IFERROR(__xludf.DUMMYFUNCTION("""COMPUTED_VALUE"""),"Uncle Sams Cider (04/04/2023)")</f>
        <v>Uncle Sams Cider (04/04/2023)</v>
      </c>
      <c r="H6597" s="19"/>
    </row>
    <row r="6598">
      <c r="A6598" s="9"/>
      <c r="B6598" s="15"/>
      <c r="C6598" s="9">
        <f>IFERROR(__xludf.DUMMYFUNCTION("""COMPUTED_VALUE"""),45075.0664039814)</f>
        <v>45075.0664</v>
      </c>
      <c r="D6598" s="15">
        <f>IFERROR(__xludf.DUMMYFUNCTION("""COMPUTED_VALUE"""),1.008)</f>
        <v>1.008</v>
      </c>
      <c r="E6598" s="16">
        <f>IFERROR(__xludf.DUMMYFUNCTION("""COMPUTED_VALUE"""),65.0)</f>
        <v>65</v>
      </c>
      <c r="F6598" s="19" t="str">
        <f>IFERROR(__xludf.DUMMYFUNCTION("""COMPUTED_VALUE"""),"BLUE")</f>
        <v>BLUE</v>
      </c>
      <c r="G6598" s="20" t="str">
        <f>IFERROR(__xludf.DUMMYFUNCTION("""COMPUTED_VALUE"""),"Uncle Sams Cider (04/04/2023)")</f>
        <v>Uncle Sams Cider (04/04/2023)</v>
      </c>
      <c r="H6598" s="19"/>
    </row>
    <row r="6599">
      <c r="A6599" s="9"/>
      <c r="B6599" s="15"/>
      <c r="C6599" s="9">
        <f>IFERROR(__xludf.DUMMYFUNCTION("""COMPUTED_VALUE"""),45075.0559833564)</f>
        <v>45075.05598</v>
      </c>
      <c r="D6599" s="15">
        <f>IFERROR(__xludf.DUMMYFUNCTION("""COMPUTED_VALUE"""),1.008)</f>
        <v>1.008</v>
      </c>
      <c r="E6599" s="16">
        <f>IFERROR(__xludf.DUMMYFUNCTION("""COMPUTED_VALUE"""),65.0)</f>
        <v>65</v>
      </c>
      <c r="F6599" s="19" t="str">
        <f>IFERROR(__xludf.DUMMYFUNCTION("""COMPUTED_VALUE"""),"BLUE")</f>
        <v>BLUE</v>
      </c>
      <c r="G6599" s="20" t="str">
        <f>IFERROR(__xludf.DUMMYFUNCTION("""COMPUTED_VALUE"""),"Uncle Sams Cider (04/04/2023)")</f>
        <v>Uncle Sams Cider (04/04/2023)</v>
      </c>
      <c r="H6599" s="19"/>
    </row>
    <row r="6600">
      <c r="A6600" s="9"/>
      <c r="B6600" s="15"/>
      <c r="C6600" s="9">
        <f>IFERROR(__xludf.DUMMYFUNCTION("""COMPUTED_VALUE"""),45075.0455394213)</f>
        <v>45075.04554</v>
      </c>
      <c r="D6600" s="15">
        <f>IFERROR(__xludf.DUMMYFUNCTION("""COMPUTED_VALUE"""),1.008)</f>
        <v>1.008</v>
      </c>
      <c r="E6600" s="16">
        <f>IFERROR(__xludf.DUMMYFUNCTION("""COMPUTED_VALUE"""),65.0)</f>
        <v>65</v>
      </c>
      <c r="F6600" s="19" t="str">
        <f>IFERROR(__xludf.DUMMYFUNCTION("""COMPUTED_VALUE"""),"BLUE")</f>
        <v>BLUE</v>
      </c>
      <c r="G6600" s="20" t="str">
        <f>IFERROR(__xludf.DUMMYFUNCTION("""COMPUTED_VALUE"""),"Uncle Sams Cider (04/04/2023)")</f>
        <v>Uncle Sams Cider (04/04/2023)</v>
      </c>
      <c r="H6600" s="19"/>
    </row>
    <row r="6601">
      <c r="A6601" s="9"/>
      <c r="B6601" s="15"/>
      <c r="C6601" s="9">
        <f>IFERROR(__xludf.DUMMYFUNCTION("""COMPUTED_VALUE"""),45075.0351183333)</f>
        <v>45075.03512</v>
      </c>
      <c r="D6601" s="15">
        <f>IFERROR(__xludf.DUMMYFUNCTION("""COMPUTED_VALUE"""),1.008)</f>
        <v>1.008</v>
      </c>
      <c r="E6601" s="16">
        <f>IFERROR(__xludf.DUMMYFUNCTION("""COMPUTED_VALUE"""),65.0)</f>
        <v>65</v>
      </c>
      <c r="F6601" s="19" t="str">
        <f>IFERROR(__xludf.DUMMYFUNCTION("""COMPUTED_VALUE"""),"BLUE")</f>
        <v>BLUE</v>
      </c>
      <c r="G6601" s="20" t="str">
        <f>IFERROR(__xludf.DUMMYFUNCTION("""COMPUTED_VALUE"""),"Uncle Sams Cider (04/04/2023)")</f>
        <v>Uncle Sams Cider (04/04/2023)</v>
      </c>
      <c r="H6601" s="19"/>
    </row>
    <row r="6602">
      <c r="A6602" s="9"/>
      <c r="B6602" s="15"/>
      <c r="C6602" s="9">
        <f>IFERROR(__xludf.DUMMYFUNCTION("""COMPUTED_VALUE"""),45075.0246845601)</f>
        <v>45075.02468</v>
      </c>
      <c r="D6602" s="15">
        <f>IFERROR(__xludf.DUMMYFUNCTION("""COMPUTED_VALUE"""),1.008)</f>
        <v>1.008</v>
      </c>
      <c r="E6602" s="16">
        <f>IFERROR(__xludf.DUMMYFUNCTION("""COMPUTED_VALUE"""),65.0)</f>
        <v>65</v>
      </c>
      <c r="F6602" s="19" t="str">
        <f>IFERROR(__xludf.DUMMYFUNCTION("""COMPUTED_VALUE"""),"BLUE")</f>
        <v>BLUE</v>
      </c>
      <c r="G6602" s="20" t="str">
        <f>IFERROR(__xludf.DUMMYFUNCTION("""COMPUTED_VALUE"""),"Uncle Sams Cider (04/04/2023)")</f>
        <v>Uncle Sams Cider (04/04/2023)</v>
      </c>
      <c r="H6602" s="19"/>
    </row>
    <row r="6603">
      <c r="A6603" s="9"/>
      <c r="B6603" s="15"/>
      <c r="C6603" s="9">
        <f>IFERROR(__xludf.DUMMYFUNCTION("""COMPUTED_VALUE"""),45075.0142524537)</f>
        <v>45075.01425</v>
      </c>
      <c r="D6603" s="15">
        <f>IFERROR(__xludf.DUMMYFUNCTION("""COMPUTED_VALUE"""),1.008)</f>
        <v>1.008</v>
      </c>
      <c r="E6603" s="16">
        <f>IFERROR(__xludf.DUMMYFUNCTION("""COMPUTED_VALUE"""),65.0)</f>
        <v>65</v>
      </c>
      <c r="F6603" s="19" t="str">
        <f>IFERROR(__xludf.DUMMYFUNCTION("""COMPUTED_VALUE"""),"BLUE")</f>
        <v>BLUE</v>
      </c>
      <c r="G6603" s="20" t="str">
        <f>IFERROR(__xludf.DUMMYFUNCTION("""COMPUTED_VALUE"""),"Uncle Sams Cider (04/04/2023)")</f>
        <v>Uncle Sams Cider (04/04/2023)</v>
      </c>
      <c r="H6603" s="19"/>
    </row>
    <row r="6604">
      <c r="A6604" s="9"/>
      <c r="B6604" s="15"/>
      <c r="C6604" s="9">
        <f>IFERROR(__xludf.DUMMYFUNCTION("""COMPUTED_VALUE"""),45075.0038081018)</f>
        <v>45075.00381</v>
      </c>
      <c r="D6604" s="15">
        <f>IFERROR(__xludf.DUMMYFUNCTION("""COMPUTED_VALUE"""),1.008)</f>
        <v>1.008</v>
      </c>
      <c r="E6604" s="16">
        <f>IFERROR(__xludf.DUMMYFUNCTION("""COMPUTED_VALUE"""),65.0)</f>
        <v>65</v>
      </c>
      <c r="F6604" s="19" t="str">
        <f>IFERROR(__xludf.DUMMYFUNCTION("""COMPUTED_VALUE"""),"BLUE")</f>
        <v>BLUE</v>
      </c>
      <c r="G6604" s="20" t="str">
        <f>IFERROR(__xludf.DUMMYFUNCTION("""COMPUTED_VALUE"""),"Uncle Sams Cider (04/04/2023)")</f>
        <v>Uncle Sams Cider (04/04/2023)</v>
      </c>
      <c r="H6604" s="19"/>
    </row>
    <row r="6605">
      <c r="A6605" s="9"/>
      <c r="B6605" s="15"/>
      <c r="C6605" s="9">
        <f>IFERROR(__xludf.DUMMYFUNCTION("""COMPUTED_VALUE"""),45074.9933870254)</f>
        <v>45074.99339</v>
      </c>
      <c r="D6605" s="15">
        <f>IFERROR(__xludf.DUMMYFUNCTION("""COMPUTED_VALUE"""),1.008)</f>
        <v>1.008</v>
      </c>
      <c r="E6605" s="16">
        <f>IFERROR(__xludf.DUMMYFUNCTION("""COMPUTED_VALUE"""),65.0)</f>
        <v>65</v>
      </c>
      <c r="F6605" s="19" t="str">
        <f>IFERROR(__xludf.DUMMYFUNCTION("""COMPUTED_VALUE"""),"BLUE")</f>
        <v>BLUE</v>
      </c>
      <c r="G6605" s="20" t="str">
        <f>IFERROR(__xludf.DUMMYFUNCTION("""COMPUTED_VALUE"""),"Uncle Sams Cider (04/04/2023)")</f>
        <v>Uncle Sams Cider (04/04/2023)</v>
      </c>
      <c r="H6605" s="19"/>
    </row>
    <row r="6606">
      <c r="A6606" s="9"/>
      <c r="B6606" s="15"/>
      <c r="C6606" s="9">
        <f>IFERROR(__xludf.DUMMYFUNCTION("""COMPUTED_VALUE"""),45074.9829552199)</f>
        <v>45074.98296</v>
      </c>
      <c r="D6606" s="15">
        <f>IFERROR(__xludf.DUMMYFUNCTION("""COMPUTED_VALUE"""),1.008)</f>
        <v>1.008</v>
      </c>
      <c r="E6606" s="16">
        <f>IFERROR(__xludf.DUMMYFUNCTION("""COMPUTED_VALUE"""),65.0)</f>
        <v>65</v>
      </c>
      <c r="F6606" s="19" t="str">
        <f>IFERROR(__xludf.DUMMYFUNCTION("""COMPUTED_VALUE"""),"BLUE")</f>
        <v>BLUE</v>
      </c>
      <c r="G6606" s="20" t="str">
        <f>IFERROR(__xludf.DUMMYFUNCTION("""COMPUTED_VALUE"""),"Uncle Sams Cider (04/04/2023)")</f>
        <v>Uncle Sams Cider (04/04/2023)</v>
      </c>
      <c r="H6606" s="19"/>
    </row>
    <row r="6607">
      <c r="A6607" s="9"/>
      <c r="B6607" s="15"/>
      <c r="C6607" s="9">
        <f>IFERROR(__xludf.DUMMYFUNCTION("""COMPUTED_VALUE"""),45074.9725353472)</f>
        <v>45074.97254</v>
      </c>
      <c r="D6607" s="15">
        <f>IFERROR(__xludf.DUMMYFUNCTION("""COMPUTED_VALUE"""),1.008)</f>
        <v>1.008</v>
      </c>
      <c r="E6607" s="16">
        <f>IFERROR(__xludf.DUMMYFUNCTION("""COMPUTED_VALUE"""),65.0)</f>
        <v>65</v>
      </c>
      <c r="F6607" s="19" t="str">
        <f>IFERROR(__xludf.DUMMYFUNCTION("""COMPUTED_VALUE"""),"BLUE")</f>
        <v>BLUE</v>
      </c>
      <c r="G6607" s="20" t="str">
        <f>IFERROR(__xludf.DUMMYFUNCTION("""COMPUTED_VALUE"""),"Uncle Sams Cider (04/04/2023)")</f>
        <v>Uncle Sams Cider (04/04/2023)</v>
      </c>
      <c r="H6607" s="19"/>
    </row>
    <row r="6608">
      <c r="A6608" s="9"/>
      <c r="B6608" s="15"/>
      <c r="C6608" s="9">
        <f>IFERROR(__xludf.DUMMYFUNCTION("""COMPUTED_VALUE"""),45074.9621145949)</f>
        <v>45074.96211</v>
      </c>
      <c r="D6608" s="15">
        <f>IFERROR(__xludf.DUMMYFUNCTION("""COMPUTED_VALUE"""),1.008)</f>
        <v>1.008</v>
      </c>
      <c r="E6608" s="16">
        <f>IFERROR(__xludf.DUMMYFUNCTION("""COMPUTED_VALUE"""),65.0)</f>
        <v>65</v>
      </c>
      <c r="F6608" s="19" t="str">
        <f>IFERROR(__xludf.DUMMYFUNCTION("""COMPUTED_VALUE"""),"BLUE")</f>
        <v>BLUE</v>
      </c>
      <c r="G6608" s="20" t="str">
        <f>IFERROR(__xludf.DUMMYFUNCTION("""COMPUTED_VALUE"""),"Uncle Sams Cider (04/04/2023)")</f>
        <v>Uncle Sams Cider (04/04/2023)</v>
      </c>
      <c r="H6608" s="19"/>
    </row>
    <row r="6609">
      <c r="A6609" s="9"/>
      <c r="B6609" s="15"/>
      <c r="C6609" s="9">
        <f>IFERROR(__xludf.DUMMYFUNCTION("""COMPUTED_VALUE"""),45074.9516955324)</f>
        <v>45074.9517</v>
      </c>
      <c r="D6609" s="15">
        <f>IFERROR(__xludf.DUMMYFUNCTION("""COMPUTED_VALUE"""),1.009)</f>
        <v>1.009</v>
      </c>
      <c r="E6609" s="16">
        <f>IFERROR(__xludf.DUMMYFUNCTION("""COMPUTED_VALUE"""),65.0)</f>
        <v>65</v>
      </c>
      <c r="F6609" s="19" t="str">
        <f>IFERROR(__xludf.DUMMYFUNCTION("""COMPUTED_VALUE"""),"BLUE")</f>
        <v>BLUE</v>
      </c>
      <c r="G6609" s="20" t="str">
        <f>IFERROR(__xludf.DUMMYFUNCTION("""COMPUTED_VALUE"""),"Uncle Sams Cider (04/04/2023)")</f>
        <v>Uncle Sams Cider (04/04/2023)</v>
      </c>
      <c r="H6609" s="19"/>
    </row>
    <row r="6610">
      <c r="A6610" s="9"/>
      <c r="B6610" s="15"/>
      <c r="C6610" s="9">
        <f>IFERROR(__xludf.DUMMYFUNCTION("""COMPUTED_VALUE"""),45074.9412753472)</f>
        <v>45074.94128</v>
      </c>
      <c r="D6610" s="15">
        <f>IFERROR(__xludf.DUMMYFUNCTION("""COMPUTED_VALUE"""),1.008)</f>
        <v>1.008</v>
      </c>
      <c r="E6610" s="16">
        <f>IFERROR(__xludf.DUMMYFUNCTION("""COMPUTED_VALUE"""),65.0)</f>
        <v>65</v>
      </c>
      <c r="F6610" s="19" t="str">
        <f>IFERROR(__xludf.DUMMYFUNCTION("""COMPUTED_VALUE"""),"BLUE")</f>
        <v>BLUE</v>
      </c>
      <c r="G6610" s="20" t="str">
        <f>IFERROR(__xludf.DUMMYFUNCTION("""COMPUTED_VALUE"""),"Uncle Sams Cider (04/04/2023)")</f>
        <v>Uncle Sams Cider (04/04/2023)</v>
      </c>
      <c r="H6610" s="19"/>
    </row>
    <row r="6611">
      <c r="A6611" s="9"/>
      <c r="B6611" s="15"/>
      <c r="C6611" s="9">
        <f>IFERROR(__xludf.DUMMYFUNCTION("""COMPUTED_VALUE"""),45074.9308415162)</f>
        <v>45074.93084</v>
      </c>
      <c r="D6611" s="15">
        <f>IFERROR(__xludf.DUMMYFUNCTION("""COMPUTED_VALUE"""),1.008)</f>
        <v>1.008</v>
      </c>
      <c r="E6611" s="16">
        <f>IFERROR(__xludf.DUMMYFUNCTION("""COMPUTED_VALUE"""),65.0)</f>
        <v>65</v>
      </c>
      <c r="F6611" s="19" t="str">
        <f>IFERROR(__xludf.DUMMYFUNCTION("""COMPUTED_VALUE"""),"BLUE")</f>
        <v>BLUE</v>
      </c>
      <c r="G6611" s="20" t="str">
        <f>IFERROR(__xludf.DUMMYFUNCTION("""COMPUTED_VALUE"""),"Uncle Sams Cider (04/04/2023)")</f>
        <v>Uncle Sams Cider (04/04/2023)</v>
      </c>
      <c r="H6611" s="19"/>
    </row>
    <row r="6612">
      <c r="A6612" s="9"/>
      <c r="B6612" s="15"/>
      <c r="C6612" s="9">
        <f>IFERROR(__xludf.DUMMYFUNCTION("""COMPUTED_VALUE"""),45074.9204194097)</f>
        <v>45074.92042</v>
      </c>
      <c r="D6612" s="15">
        <f>IFERROR(__xludf.DUMMYFUNCTION("""COMPUTED_VALUE"""),1.008)</f>
        <v>1.008</v>
      </c>
      <c r="E6612" s="16">
        <f>IFERROR(__xludf.DUMMYFUNCTION("""COMPUTED_VALUE"""),65.0)</f>
        <v>65</v>
      </c>
      <c r="F6612" s="19" t="str">
        <f>IFERROR(__xludf.DUMMYFUNCTION("""COMPUTED_VALUE"""),"BLUE")</f>
        <v>BLUE</v>
      </c>
      <c r="G6612" s="20" t="str">
        <f>IFERROR(__xludf.DUMMYFUNCTION("""COMPUTED_VALUE"""),"Uncle Sams Cider (04/04/2023)")</f>
        <v>Uncle Sams Cider (04/04/2023)</v>
      </c>
      <c r="H6612" s="19"/>
    </row>
    <row r="6613">
      <c r="A6613" s="9"/>
      <c r="B6613" s="15"/>
      <c r="C6613" s="9">
        <f>IFERROR(__xludf.DUMMYFUNCTION("""COMPUTED_VALUE"""),45074.9099956828)</f>
        <v>45074.91</v>
      </c>
      <c r="D6613" s="15">
        <f>IFERROR(__xludf.DUMMYFUNCTION("""COMPUTED_VALUE"""),1.008)</f>
        <v>1.008</v>
      </c>
      <c r="E6613" s="16">
        <f>IFERROR(__xludf.DUMMYFUNCTION("""COMPUTED_VALUE"""),65.0)</f>
        <v>65</v>
      </c>
      <c r="F6613" s="19" t="str">
        <f>IFERROR(__xludf.DUMMYFUNCTION("""COMPUTED_VALUE"""),"BLUE")</f>
        <v>BLUE</v>
      </c>
      <c r="G6613" s="20" t="str">
        <f>IFERROR(__xludf.DUMMYFUNCTION("""COMPUTED_VALUE"""),"Uncle Sams Cider (04/04/2023)")</f>
        <v>Uncle Sams Cider (04/04/2023)</v>
      </c>
      <c r="H6613" s="19"/>
    </row>
    <row r="6614">
      <c r="A6614" s="9"/>
      <c r="B6614" s="15"/>
      <c r="C6614" s="9">
        <f>IFERROR(__xludf.DUMMYFUNCTION("""COMPUTED_VALUE"""),45074.8995632291)</f>
        <v>45074.89956</v>
      </c>
      <c r="D6614" s="15">
        <f>IFERROR(__xludf.DUMMYFUNCTION("""COMPUTED_VALUE"""),1.008)</f>
        <v>1.008</v>
      </c>
      <c r="E6614" s="16">
        <f>IFERROR(__xludf.DUMMYFUNCTION("""COMPUTED_VALUE"""),65.0)</f>
        <v>65</v>
      </c>
      <c r="F6614" s="19" t="str">
        <f>IFERROR(__xludf.DUMMYFUNCTION("""COMPUTED_VALUE"""),"BLUE")</f>
        <v>BLUE</v>
      </c>
      <c r="G6614" s="20" t="str">
        <f>IFERROR(__xludf.DUMMYFUNCTION("""COMPUTED_VALUE"""),"Uncle Sams Cider (04/04/2023)")</f>
        <v>Uncle Sams Cider (04/04/2023)</v>
      </c>
      <c r="H6614" s="19"/>
    </row>
    <row r="6615">
      <c r="A6615" s="9"/>
      <c r="B6615" s="15"/>
      <c r="C6615" s="9">
        <f>IFERROR(__xludf.DUMMYFUNCTION("""COMPUTED_VALUE"""),45074.8891429629)</f>
        <v>45074.88914</v>
      </c>
      <c r="D6615" s="15">
        <f>IFERROR(__xludf.DUMMYFUNCTION("""COMPUTED_VALUE"""),1.008)</f>
        <v>1.008</v>
      </c>
      <c r="E6615" s="16">
        <f>IFERROR(__xludf.DUMMYFUNCTION("""COMPUTED_VALUE"""),65.0)</f>
        <v>65</v>
      </c>
      <c r="F6615" s="19" t="str">
        <f>IFERROR(__xludf.DUMMYFUNCTION("""COMPUTED_VALUE"""),"BLUE")</f>
        <v>BLUE</v>
      </c>
      <c r="G6615" s="20" t="str">
        <f>IFERROR(__xludf.DUMMYFUNCTION("""COMPUTED_VALUE"""),"Uncle Sams Cider (04/04/2023)")</f>
        <v>Uncle Sams Cider (04/04/2023)</v>
      </c>
      <c r="H6615" s="19"/>
    </row>
    <row r="6616">
      <c r="A6616" s="9"/>
      <c r="B6616" s="15"/>
      <c r="C6616" s="9">
        <f>IFERROR(__xludf.DUMMYFUNCTION("""COMPUTED_VALUE"""),45074.8786971064)</f>
        <v>45074.8787</v>
      </c>
      <c r="D6616" s="15">
        <f>IFERROR(__xludf.DUMMYFUNCTION("""COMPUTED_VALUE"""),1.008)</f>
        <v>1.008</v>
      </c>
      <c r="E6616" s="16">
        <f>IFERROR(__xludf.DUMMYFUNCTION("""COMPUTED_VALUE"""),65.0)</f>
        <v>65</v>
      </c>
      <c r="F6616" s="19" t="str">
        <f>IFERROR(__xludf.DUMMYFUNCTION("""COMPUTED_VALUE"""),"BLUE")</f>
        <v>BLUE</v>
      </c>
      <c r="G6616" s="20" t="str">
        <f>IFERROR(__xludf.DUMMYFUNCTION("""COMPUTED_VALUE"""),"Uncle Sams Cider (04/04/2023)")</f>
        <v>Uncle Sams Cider (04/04/2023)</v>
      </c>
      <c r="H6616" s="19"/>
    </row>
    <row r="6617">
      <c r="A6617" s="9"/>
      <c r="B6617" s="15"/>
      <c r="C6617" s="9">
        <f>IFERROR(__xludf.DUMMYFUNCTION("""COMPUTED_VALUE"""),45074.8682627662)</f>
        <v>45074.86826</v>
      </c>
      <c r="D6617" s="15">
        <f>IFERROR(__xludf.DUMMYFUNCTION("""COMPUTED_VALUE"""),1.008)</f>
        <v>1.008</v>
      </c>
      <c r="E6617" s="16">
        <f>IFERROR(__xludf.DUMMYFUNCTION("""COMPUTED_VALUE"""),65.0)</f>
        <v>65</v>
      </c>
      <c r="F6617" s="19" t="str">
        <f>IFERROR(__xludf.DUMMYFUNCTION("""COMPUTED_VALUE"""),"BLUE")</f>
        <v>BLUE</v>
      </c>
      <c r="G6617" s="20" t="str">
        <f>IFERROR(__xludf.DUMMYFUNCTION("""COMPUTED_VALUE"""),"Uncle Sams Cider (04/04/2023)")</f>
        <v>Uncle Sams Cider (04/04/2023)</v>
      </c>
      <c r="H6617" s="19"/>
    </row>
    <row r="6618">
      <c r="A6618" s="9"/>
      <c r="B6618" s="15"/>
      <c r="C6618" s="9">
        <f>IFERROR(__xludf.DUMMYFUNCTION("""COMPUTED_VALUE"""),45074.857818368)</f>
        <v>45074.85782</v>
      </c>
      <c r="D6618" s="15">
        <f>IFERROR(__xludf.DUMMYFUNCTION("""COMPUTED_VALUE"""),1.008)</f>
        <v>1.008</v>
      </c>
      <c r="E6618" s="16">
        <f>IFERROR(__xludf.DUMMYFUNCTION("""COMPUTED_VALUE"""),65.0)</f>
        <v>65</v>
      </c>
      <c r="F6618" s="19" t="str">
        <f>IFERROR(__xludf.DUMMYFUNCTION("""COMPUTED_VALUE"""),"BLUE")</f>
        <v>BLUE</v>
      </c>
      <c r="G6618" s="20" t="str">
        <f>IFERROR(__xludf.DUMMYFUNCTION("""COMPUTED_VALUE"""),"Uncle Sams Cider (04/04/2023)")</f>
        <v>Uncle Sams Cider (04/04/2023)</v>
      </c>
      <c r="H6618" s="19"/>
    </row>
    <row r="6619">
      <c r="A6619" s="9"/>
      <c r="B6619" s="15"/>
      <c r="C6619" s="9">
        <f>IFERROR(__xludf.DUMMYFUNCTION("""COMPUTED_VALUE"""),45074.8473983449)</f>
        <v>45074.8474</v>
      </c>
      <c r="D6619" s="15">
        <f>IFERROR(__xludf.DUMMYFUNCTION("""COMPUTED_VALUE"""),1.008)</f>
        <v>1.008</v>
      </c>
      <c r="E6619" s="16">
        <f>IFERROR(__xludf.DUMMYFUNCTION("""COMPUTED_VALUE"""),65.0)</f>
        <v>65</v>
      </c>
      <c r="F6619" s="19" t="str">
        <f>IFERROR(__xludf.DUMMYFUNCTION("""COMPUTED_VALUE"""),"BLUE")</f>
        <v>BLUE</v>
      </c>
      <c r="G6619" s="20" t="str">
        <f>IFERROR(__xludf.DUMMYFUNCTION("""COMPUTED_VALUE"""),"Uncle Sams Cider (04/04/2023)")</f>
        <v>Uncle Sams Cider (04/04/2023)</v>
      </c>
      <c r="H6619" s="19"/>
    </row>
    <row r="6620">
      <c r="A6620" s="9"/>
      <c r="B6620" s="15"/>
      <c r="C6620" s="9">
        <f>IFERROR(__xludf.DUMMYFUNCTION("""COMPUTED_VALUE"""),45074.8369655439)</f>
        <v>45074.83697</v>
      </c>
      <c r="D6620" s="15">
        <f>IFERROR(__xludf.DUMMYFUNCTION("""COMPUTED_VALUE"""),1.008)</f>
        <v>1.008</v>
      </c>
      <c r="E6620" s="16">
        <f>IFERROR(__xludf.DUMMYFUNCTION("""COMPUTED_VALUE"""),65.0)</f>
        <v>65</v>
      </c>
      <c r="F6620" s="19" t="str">
        <f>IFERROR(__xludf.DUMMYFUNCTION("""COMPUTED_VALUE"""),"BLUE")</f>
        <v>BLUE</v>
      </c>
      <c r="G6620" s="20" t="str">
        <f>IFERROR(__xludf.DUMMYFUNCTION("""COMPUTED_VALUE"""),"Uncle Sams Cider (04/04/2023)")</f>
        <v>Uncle Sams Cider (04/04/2023)</v>
      </c>
      <c r="H6620" s="19"/>
    </row>
    <row r="6621">
      <c r="A6621" s="9"/>
      <c r="B6621" s="15"/>
      <c r="C6621" s="9">
        <f>IFERROR(__xludf.DUMMYFUNCTION("""COMPUTED_VALUE"""),45074.8265330324)</f>
        <v>45074.82653</v>
      </c>
      <c r="D6621" s="15">
        <f>IFERROR(__xludf.DUMMYFUNCTION("""COMPUTED_VALUE"""),1.008)</f>
        <v>1.008</v>
      </c>
      <c r="E6621" s="16">
        <f>IFERROR(__xludf.DUMMYFUNCTION("""COMPUTED_VALUE"""),65.0)</f>
        <v>65</v>
      </c>
      <c r="F6621" s="19" t="str">
        <f>IFERROR(__xludf.DUMMYFUNCTION("""COMPUTED_VALUE"""),"BLUE")</f>
        <v>BLUE</v>
      </c>
      <c r="G6621" s="20" t="str">
        <f>IFERROR(__xludf.DUMMYFUNCTION("""COMPUTED_VALUE"""),"Uncle Sams Cider (04/04/2023)")</f>
        <v>Uncle Sams Cider (04/04/2023)</v>
      </c>
      <c r="H6621" s="19"/>
    </row>
    <row r="6622">
      <c r="A6622" s="9"/>
      <c r="B6622" s="15"/>
      <c r="C6622" s="9">
        <f>IFERROR(__xludf.DUMMYFUNCTION("""COMPUTED_VALUE"""),45074.8161102083)</f>
        <v>45074.81611</v>
      </c>
      <c r="D6622" s="15">
        <f>IFERROR(__xludf.DUMMYFUNCTION("""COMPUTED_VALUE"""),1.008)</f>
        <v>1.008</v>
      </c>
      <c r="E6622" s="16">
        <f>IFERROR(__xludf.DUMMYFUNCTION("""COMPUTED_VALUE"""),65.0)</f>
        <v>65</v>
      </c>
      <c r="F6622" s="19" t="str">
        <f>IFERROR(__xludf.DUMMYFUNCTION("""COMPUTED_VALUE"""),"BLUE")</f>
        <v>BLUE</v>
      </c>
      <c r="G6622" s="20" t="str">
        <f>IFERROR(__xludf.DUMMYFUNCTION("""COMPUTED_VALUE"""),"Uncle Sams Cider (04/04/2023)")</f>
        <v>Uncle Sams Cider (04/04/2023)</v>
      </c>
      <c r="H6622" s="19"/>
    </row>
    <row r="6623">
      <c r="A6623" s="9"/>
      <c r="B6623" s="15"/>
      <c r="C6623" s="9">
        <f>IFERROR(__xludf.DUMMYFUNCTION("""COMPUTED_VALUE"""),45074.8056774884)</f>
        <v>45074.80568</v>
      </c>
      <c r="D6623" s="15">
        <f>IFERROR(__xludf.DUMMYFUNCTION("""COMPUTED_VALUE"""),1.008)</f>
        <v>1.008</v>
      </c>
      <c r="E6623" s="16">
        <f>IFERROR(__xludf.DUMMYFUNCTION("""COMPUTED_VALUE"""),65.0)</f>
        <v>65</v>
      </c>
      <c r="F6623" s="19" t="str">
        <f>IFERROR(__xludf.DUMMYFUNCTION("""COMPUTED_VALUE"""),"BLUE")</f>
        <v>BLUE</v>
      </c>
      <c r="G6623" s="20" t="str">
        <f>IFERROR(__xludf.DUMMYFUNCTION("""COMPUTED_VALUE"""),"Uncle Sams Cider (04/04/2023)")</f>
        <v>Uncle Sams Cider (04/04/2023)</v>
      </c>
      <c r="H6623" s="19"/>
    </row>
    <row r="6624">
      <c r="A6624" s="9"/>
      <c r="B6624" s="15"/>
      <c r="C6624" s="9">
        <f>IFERROR(__xludf.DUMMYFUNCTION("""COMPUTED_VALUE"""),45074.7952443055)</f>
        <v>45074.79524</v>
      </c>
      <c r="D6624" s="15">
        <f>IFERROR(__xludf.DUMMYFUNCTION("""COMPUTED_VALUE"""),1.009)</f>
        <v>1.009</v>
      </c>
      <c r="E6624" s="16">
        <f>IFERROR(__xludf.DUMMYFUNCTION("""COMPUTED_VALUE"""),65.0)</f>
        <v>65</v>
      </c>
      <c r="F6624" s="19" t="str">
        <f>IFERROR(__xludf.DUMMYFUNCTION("""COMPUTED_VALUE"""),"BLUE")</f>
        <v>BLUE</v>
      </c>
      <c r="G6624" s="20" t="str">
        <f>IFERROR(__xludf.DUMMYFUNCTION("""COMPUTED_VALUE"""),"Uncle Sams Cider (04/04/2023)")</f>
        <v>Uncle Sams Cider (04/04/2023)</v>
      </c>
      <c r="H6624" s="19"/>
    </row>
    <row r="6625">
      <c r="A6625" s="9"/>
      <c r="B6625" s="15"/>
      <c r="C6625" s="9">
        <f>IFERROR(__xludf.DUMMYFUNCTION("""COMPUTED_VALUE"""),45074.7848227199)</f>
        <v>45074.78482</v>
      </c>
      <c r="D6625" s="15">
        <f>IFERROR(__xludf.DUMMYFUNCTION("""COMPUTED_VALUE"""),1.008)</f>
        <v>1.008</v>
      </c>
      <c r="E6625" s="16">
        <f>IFERROR(__xludf.DUMMYFUNCTION("""COMPUTED_VALUE"""),65.0)</f>
        <v>65</v>
      </c>
      <c r="F6625" s="19" t="str">
        <f>IFERROR(__xludf.DUMMYFUNCTION("""COMPUTED_VALUE"""),"BLUE")</f>
        <v>BLUE</v>
      </c>
      <c r="G6625" s="20" t="str">
        <f>IFERROR(__xludf.DUMMYFUNCTION("""COMPUTED_VALUE"""),"Uncle Sams Cider (04/04/2023)")</f>
        <v>Uncle Sams Cider (04/04/2023)</v>
      </c>
      <c r="H6625" s="19"/>
    </row>
    <row r="6626">
      <c r="A6626" s="9"/>
      <c r="B6626" s="15"/>
      <c r="C6626" s="9">
        <f>IFERROR(__xludf.DUMMYFUNCTION("""COMPUTED_VALUE"""),45074.7744006828)</f>
        <v>45074.7744</v>
      </c>
      <c r="D6626" s="15">
        <f>IFERROR(__xludf.DUMMYFUNCTION("""COMPUTED_VALUE"""),1.008)</f>
        <v>1.008</v>
      </c>
      <c r="E6626" s="16">
        <f>IFERROR(__xludf.DUMMYFUNCTION("""COMPUTED_VALUE"""),65.0)</f>
        <v>65</v>
      </c>
      <c r="F6626" s="19" t="str">
        <f>IFERROR(__xludf.DUMMYFUNCTION("""COMPUTED_VALUE"""),"BLUE")</f>
        <v>BLUE</v>
      </c>
      <c r="G6626" s="20" t="str">
        <f>IFERROR(__xludf.DUMMYFUNCTION("""COMPUTED_VALUE"""),"Uncle Sams Cider (04/04/2023)")</f>
        <v>Uncle Sams Cider (04/04/2023)</v>
      </c>
      <c r="H6626" s="19"/>
    </row>
    <row r="6627">
      <c r="A6627" s="9"/>
      <c r="B6627" s="15"/>
      <c r="C6627" s="9">
        <f>IFERROR(__xludf.DUMMYFUNCTION("""COMPUTED_VALUE"""),45074.7639688541)</f>
        <v>45074.76397</v>
      </c>
      <c r="D6627" s="15">
        <f>IFERROR(__xludf.DUMMYFUNCTION("""COMPUTED_VALUE"""),1.008)</f>
        <v>1.008</v>
      </c>
      <c r="E6627" s="16">
        <f>IFERROR(__xludf.DUMMYFUNCTION("""COMPUTED_VALUE"""),65.0)</f>
        <v>65</v>
      </c>
      <c r="F6627" s="19" t="str">
        <f>IFERROR(__xludf.DUMMYFUNCTION("""COMPUTED_VALUE"""),"BLUE")</f>
        <v>BLUE</v>
      </c>
      <c r="G6627" s="20" t="str">
        <f>IFERROR(__xludf.DUMMYFUNCTION("""COMPUTED_VALUE"""),"Uncle Sams Cider (04/04/2023)")</f>
        <v>Uncle Sams Cider (04/04/2023)</v>
      </c>
      <c r="H6627" s="19"/>
    </row>
    <row r="6628">
      <c r="A6628" s="9"/>
      <c r="B6628" s="15"/>
      <c r="C6628" s="9">
        <f>IFERROR(__xludf.DUMMYFUNCTION("""COMPUTED_VALUE"""),45074.7535475463)</f>
        <v>45074.75355</v>
      </c>
      <c r="D6628" s="15">
        <f>IFERROR(__xludf.DUMMYFUNCTION("""COMPUTED_VALUE"""),1.009)</f>
        <v>1.009</v>
      </c>
      <c r="E6628" s="16">
        <f>IFERROR(__xludf.DUMMYFUNCTION("""COMPUTED_VALUE"""),65.0)</f>
        <v>65</v>
      </c>
      <c r="F6628" s="19" t="str">
        <f>IFERROR(__xludf.DUMMYFUNCTION("""COMPUTED_VALUE"""),"BLUE")</f>
        <v>BLUE</v>
      </c>
      <c r="G6628" s="20" t="str">
        <f>IFERROR(__xludf.DUMMYFUNCTION("""COMPUTED_VALUE"""),"Uncle Sams Cider (04/04/2023)")</f>
        <v>Uncle Sams Cider (04/04/2023)</v>
      </c>
      <c r="H6628" s="19"/>
    </row>
    <row r="6629">
      <c r="A6629" s="9"/>
      <c r="B6629" s="15"/>
      <c r="C6629" s="9">
        <f>IFERROR(__xludf.DUMMYFUNCTION("""COMPUTED_VALUE"""),45074.7431147106)</f>
        <v>45074.74311</v>
      </c>
      <c r="D6629" s="15">
        <f>IFERROR(__xludf.DUMMYFUNCTION("""COMPUTED_VALUE"""),1.008)</f>
        <v>1.008</v>
      </c>
      <c r="E6629" s="16">
        <f>IFERROR(__xludf.DUMMYFUNCTION("""COMPUTED_VALUE"""),65.0)</f>
        <v>65</v>
      </c>
      <c r="F6629" s="19" t="str">
        <f>IFERROR(__xludf.DUMMYFUNCTION("""COMPUTED_VALUE"""),"BLUE")</f>
        <v>BLUE</v>
      </c>
      <c r="G6629" s="20" t="str">
        <f>IFERROR(__xludf.DUMMYFUNCTION("""COMPUTED_VALUE"""),"Uncle Sams Cider (04/04/2023)")</f>
        <v>Uncle Sams Cider (04/04/2023)</v>
      </c>
      <c r="H6629" s="19"/>
    </row>
    <row r="6630">
      <c r="A6630" s="9"/>
      <c r="B6630" s="15"/>
      <c r="C6630" s="9">
        <f>IFERROR(__xludf.DUMMYFUNCTION("""COMPUTED_VALUE"""),45074.7326692361)</f>
        <v>45074.73267</v>
      </c>
      <c r="D6630" s="15">
        <f>IFERROR(__xludf.DUMMYFUNCTION("""COMPUTED_VALUE"""),1.008)</f>
        <v>1.008</v>
      </c>
      <c r="E6630" s="16">
        <f>IFERROR(__xludf.DUMMYFUNCTION("""COMPUTED_VALUE"""),65.0)</f>
        <v>65</v>
      </c>
      <c r="F6630" s="19" t="str">
        <f>IFERROR(__xludf.DUMMYFUNCTION("""COMPUTED_VALUE"""),"BLUE")</f>
        <v>BLUE</v>
      </c>
      <c r="G6630" s="20" t="str">
        <f>IFERROR(__xludf.DUMMYFUNCTION("""COMPUTED_VALUE"""),"Uncle Sams Cider (04/04/2023)")</f>
        <v>Uncle Sams Cider (04/04/2023)</v>
      </c>
      <c r="H6630" s="19"/>
    </row>
    <row r="6631">
      <c r="A6631" s="9"/>
      <c r="B6631" s="15"/>
      <c r="C6631" s="9">
        <f>IFERROR(__xludf.DUMMYFUNCTION("""COMPUTED_VALUE"""),45074.7222480555)</f>
        <v>45074.72225</v>
      </c>
      <c r="D6631" s="15">
        <f>IFERROR(__xludf.DUMMYFUNCTION("""COMPUTED_VALUE"""),1.009)</f>
        <v>1.009</v>
      </c>
      <c r="E6631" s="16">
        <f>IFERROR(__xludf.DUMMYFUNCTION("""COMPUTED_VALUE"""),65.0)</f>
        <v>65</v>
      </c>
      <c r="F6631" s="19" t="str">
        <f>IFERROR(__xludf.DUMMYFUNCTION("""COMPUTED_VALUE"""),"BLUE")</f>
        <v>BLUE</v>
      </c>
      <c r="G6631" s="20" t="str">
        <f>IFERROR(__xludf.DUMMYFUNCTION("""COMPUTED_VALUE"""),"Uncle Sams Cider (04/04/2023)")</f>
        <v>Uncle Sams Cider (04/04/2023)</v>
      </c>
      <c r="H6631" s="19"/>
    </row>
    <row r="6632">
      <c r="A6632" s="9"/>
      <c r="B6632" s="15"/>
      <c r="C6632" s="9">
        <f>IFERROR(__xludf.DUMMYFUNCTION("""COMPUTED_VALUE"""),45074.7118270833)</f>
        <v>45074.71183</v>
      </c>
      <c r="D6632" s="15">
        <f>IFERROR(__xludf.DUMMYFUNCTION("""COMPUTED_VALUE"""),1.008)</f>
        <v>1.008</v>
      </c>
      <c r="E6632" s="16">
        <f>IFERROR(__xludf.DUMMYFUNCTION("""COMPUTED_VALUE"""),65.0)</f>
        <v>65</v>
      </c>
      <c r="F6632" s="19" t="str">
        <f>IFERROR(__xludf.DUMMYFUNCTION("""COMPUTED_VALUE"""),"BLUE")</f>
        <v>BLUE</v>
      </c>
      <c r="G6632" s="20" t="str">
        <f>IFERROR(__xludf.DUMMYFUNCTION("""COMPUTED_VALUE"""),"Uncle Sams Cider (04/04/2023)")</f>
        <v>Uncle Sams Cider (04/04/2023)</v>
      </c>
      <c r="H6632" s="19"/>
    </row>
    <row r="6633">
      <c r="A6633" s="9"/>
      <c r="B6633" s="15"/>
      <c r="C6633" s="9">
        <f>IFERROR(__xludf.DUMMYFUNCTION("""COMPUTED_VALUE"""),45074.7014048263)</f>
        <v>45074.7014</v>
      </c>
      <c r="D6633" s="15">
        <f>IFERROR(__xludf.DUMMYFUNCTION("""COMPUTED_VALUE"""),1.009)</f>
        <v>1.009</v>
      </c>
      <c r="E6633" s="16">
        <f>IFERROR(__xludf.DUMMYFUNCTION("""COMPUTED_VALUE"""),65.0)</f>
        <v>65</v>
      </c>
      <c r="F6633" s="19" t="str">
        <f>IFERROR(__xludf.DUMMYFUNCTION("""COMPUTED_VALUE"""),"BLUE")</f>
        <v>BLUE</v>
      </c>
      <c r="G6633" s="20" t="str">
        <f>IFERROR(__xludf.DUMMYFUNCTION("""COMPUTED_VALUE"""),"Uncle Sams Cider (04/04/2023)")</f>
        <v>Uncle Sams Cider (04/04/2023)</v>
      </c>
      <c r="H6633" s="19"/>
    </row>
    <row r="6634">
      <c r="A6634" s="9"/>
      <c r="B6634" s="15"/>
      <c r="C6634" s="9">
        <f>IFERROR(__xludf.DUMMYFUNCTION("""COMPUTED_VALUE"""),45074.680560787)</f>
        <v>45074.68056</v>
      </c>
      <c r="D6634" s="15">
        <f>IFERROR(__xludf.DUMMYFUNCTION("""COMPUTED_VALUE"""),1.009)</f>
        <v>1.009</v>
      </c>
      <c r="E6634" s="16">
        <f>IFERROR(__xludf.DUMMYFUNCTION("""COMPUTED_VALUE"""),65.0)</f>
        <v>65</v>
      </c>
      <c r="F6634" s="19" t="str">
        <f>IFERROR(__xludf.DUMMYFUNCTION("""COMPUTED_VALUE"""),"BLUE")</f>
        <v>BLUE</v>
      </c>
      <c r="G6634" s="20" t="str">
        <f>IFERROR(__xludf.DUMMYFUNCTION("""COMPUTED_VALUE"""),"Uncle Sams Cider (04/04/2023)")</f>
        <v>Uncle Sams Cider (04/04/2023)</v>
      </c>
      <c r="H6634" s="19"/>
    </row>
    <row r="6635">
      <c r="A6635" s="9"/>
      <c r="B6635" s="15"/>
      <c r="C6635" s="9">
        <f>IFERROR(__xludf.DUMMYFUNCTION("""COMPUTED_VALUE"""),45074.6701393634)</f>
        <v>45074.67014</v>
      </c>
      <c r="D6635" s="15">
        <f>IFERROR(__xludf.DUMMYFUNCTION("""COMPUTED_VALUE"""),1.009)</f>
        <v>1.009</v>
      </c>
      <c r="E6635" s="16">
        <f>IFERROR(__xludf.DUMMYFUNCTION("""COMPUTED_VALUE"""),65.0)</f>
        <v>65</v>
      </c>
      <c r="F6635" s="19" t="str">
        <f>IFERROR(__xludf.DUMMYFUNCTION("""COMPUTED_VALUE"""),"BLUE")</f>
        <v>BLUE</v>
      </c>
      <c r="G6635" s="20" t="str">
        <f>IFERROR(__xludf.DUMMYFUNCTION("""COMPUTED_VALUE"""),"Uncle Sams Cider (04/04/2023)")</f>
        <v>Uncle Sams Cider (04/04/2023)</v>
      </c>
      <c r="H6635" s="19"/>
    </row>
    <row r="6636">
      <c r="A6636" s="9"/>
      <c r="B6636" s="15"/>
      <c r="C6636" s="9">
        <f>IFERROR(__xludf.DUMMYFUNCTION("""COMPUTED_VALUE"""),45074.6597073726)</f>
        <v>45074.65971</v>
      </c>
      <c r="D6636" s="15">
        <f>IFERROR(__xludf.DUMMYFUNCTION("""COMPUTED_VALUE"""),1.008)</f>
        <v>1.008</v>
      </c>
      <c r="E6636" s="16">
        <f>IFERROR(__xludf.DUMMYFUNCTION("""COMPUTED_VALUE"""),65.0)</f>
        <v>65</v>
      </c>
      <c r="F6636" s="19" t="str">
        <f>IFERROR(__xludf.DUMMYFUNCTION("""COMPUTED_VALUE"""),"BLUE")</f>
        <v>BLUE</v>
      </c>
      <c r="G6636" s="20" t="str">
        <f>IFERROR(__xludf.DUMMYFUNCTION("""COMPUTED_VALUE"""),"Uncle Sams Cider (04/04/2023)")</f>
        <v>Uncle Sams Cider (04/04/2023)</v>
      </c>
      <c r="H6636" s="19"/>
    </row>
    <row r="6637">
      <c r="A6637" s="9"/>
      <c r="B6637" s="15"/>
      <c r="C6637" s="9">
        <f>IFERROR(__xludf.DUMMYFUNCTION("""COMPUTED_VALUE"""),45074.6492866782)</f>
        <v>45074.64929</v>
      </c>
      <c r="D6637" s="15">
        <f>IFERROR(__xludf.DUMMYFUNCTION("""COMPUTED_VALUE"""),1.008)</f>
        <v>1.008</v>
      </c>
      <c r="E6637" s="16">
        <f>IFERROR(__xludf.DUMMYFUNCTION("""COMPUTED_VALUE"""),65.0)</f>
        <v>65</v>
      </c>
      <c r="F6637" s="19" t="str">
        <f>IFERROR(__xludf.DUMMYFUNCTION("""COMPUTED_VALUE"""),"BLUE")</f>
        <v>BLUE</v>
      </c>
      <c r="G6637" s="20" t="str">
        <f>IFERROR(__xludf.DUMMYFUNCTION("""COMPUTED_VALUE"""),"Uncle Sams Cider (04/04/2023)")</f>
        <v>Uncle Sams Cider (04/04/2023)</v>
      </c>
      <c r="H6637" s="19"/>
    </row>
    <row r="6638">
      <c r="A6638" s="9"/>
      <c r="B6638" s="15"/>
      <c r="C6638" s="9">
        <f>IFERROR(__xludf.DUMMYFUNCTION("""COMPUTED_VALUE"""),45074.6388652199)</f>
        <v>45074.63887</v>
      </c>
      <c r="D6638" s="15">
        <f>IFERROR(__xludf.DUMMYFUNCTION("""COMPUTED_VALUE"""),1.008)</f>
        <v>1.008</v>
      </c>
      <c r="E6638" s="16">
        <f>IFERROR(__xludf.DUMMYFUNCTION("""COMPUTED_VALUE"""),65.0)</f>
        <v>65</v>
      </c>
      <c r="F6638" s="19" t="str">
        <f>IFERROR(__xludf.DUMMYFUNCTION("""COMPUTED_VALUE"""),"BLUE")</f>
        <v>BLUE</v>
      </c>
      <c r="G6638" s="20" t="str">
        <f>IFERROR(__xludf.DUMMYFUNCTION("""COMPUTED_VALUE"""),"Uncle Sams Cider (04/04/2023)")</f>
        <v>Uncle Sams Cider (04/04/2023)</v>
      </c>
      <c r="H6638" s="19"/>
    </row>
    <row r="6639">
      <c r="A6639" s="9"/>
      <c r="B6639" s="15"/>
      <c r="C6639" s="9">
        <f>IFERROR(__xludf.DUMMYFUNCTION("""COMPUTED_VALUE"""),45074.628443206)</f>
        <v>45074.62844</v>
      </c>
      <c r="D6639" s="15">
        <f>IFERROR(__xludf.DUMMYFUNCTION("""COMPUTED_VALUE"""),1.008)</f>
        <v>1.008</v>
      </c>
      <c r="E6639" s="16">
        <f>IFERROR(__xludf.DUMMYFUNCTION("""COMPUTED_VALUE"""),65.0)</f>
        <v>65</v>
      </c>
      <c r="F6639" s="19" t="str">
        <f>IFERROR(__xludf.DUMMYFUNCTION("""COMPUTED_VALUE"""),"BLUE")</f>
        <v>BLUE</v>
      </c>
      <c r="G6639" s="20" t="str">
        <f>IFERROR(__xludf.DUMMYFUNCTION("""COMPUTED_VALUE"""),"Uncle Sams Cider (04/04/2023)")</f>
        <v>Uncle Sams Cider (04/04/2023)</v>
      </c>
      <c r="H6639" s="19"/>
    </row>
    <row r="6640">
      <c r="A6640" s="9"/>
      <c r="B6640" s="15"/>
      <c r="C6640" s="9">
        <f>IFERROR(__xludf.DUMMYFUNCTION("""COMPUTED_VALUE"""),45074.6180191666)</f>
        <v>45074.61802</v>
      </c>
      <c r="D6640" s="15">
        <f>IFERROR(__xludf.DUMMYFUNCTION("""COMPUTED_VALUE"""),1.009)</f>
        <v>1.009</v>
      </c>
      <c r="E6640" s="16">
        <f>IFERROR(__xludf.DUMMYFUNCTION("""COMPUTED_VALUE"""),65.0)</f>
        <v>65</v>
      </c>
      <c r="F6640" s="19" t="str">
        <f>IFERROR(__xludf.DUMMYFUNCTION("""COMPUTED_VALUE"""),"BLUE")</f>
        <v>BLUE</v>
      </c>
      <c r="G6640" s="20" t="str">
        <f>IFERROR(__xludf.DUMMYFUNCTION("""COMPUTED_VALUE"""),"Uncle Sams Cider (04/04/2023)")</f>
        <v>Uncle Sams Cider (04/04/2023)</v>
      </c>
      <c r="H6640" s="19"/>
    </row>
    <row r="6641">
      <c r="A6641" s="9"/>
      <c r="B6641" s="15"/>
      <c r="C6641" s="9">
        <f>IFERROR(__xludf.DUMMYFUNCTION("""COMPUTED_VALUE"""),45074.6075992361)</f>
        <v>45074.6076</v>
      </c>
      <c r="D6641" s="15">
        <f>IFERROR(__xludf.DUMMYFUNCTION("""COMPUTED_VALUE"""),1.008)</f>
        <v>1.008</v>
      </c>
      <c r="E6641" s="16">
        <f>IFERROR(__xludf.DUMMYFUNCTION("""COMPUTED_VALUE"""),65.0)</f>
        <v>65</v>
      </c>
      <c r="F6641" s="19" t="str">
        <f>IFERROR(__xludf.DUMMYFUNCTION("""COMPUTED_VALUE"""),"BLUE")</f>
        <v>BLUE</v>
      </c>
      <c r="G6641" s="20" t="str">
        <f>IFERROR(__xludf.DUMMYFUNCTION("""COMPUTED_VALUE"""),"Uncle Sams Cider (04/04/2023)")</f>
        <v>Uncle Sams Cider (04/04/2023)</v>
      </c>
      <c r="H6641" s="19"/>
    </row>
    <row r="6642">
      <c r="A6642" s="9"/>
      <c r="B6642" s="15"/>
      <c r="C6642" s="9">
        <f>IFERROR(__xludf.DUMMYFUNCTION("""COMPUTED_VALUE"""),45074.5971779513)</f>
        <v>45074.59718</v>
      </c>
      <c r="D6642" s="15">
        <f>IFERROR(__xludf.DUMMYFUNCTION("""COMPUTED_VALUE"""),1.009)</f>
        <v>1.009</v>
      </c>
      <c r="E6642" s="16">
        <f>IFERROR(__xludf.DUMMYFUNCTION("""COMPUTED_VALUE"""),65.0)</f>
        <v>65</v>
      </c>
      <c r="F6642" s="19" t="str">
        <f>IFERROR(__xludf.DUMMYFUNCTION("""COMPUTED_VALUE"""),"BLUE")</f>
        <v>BLUE</v>
      </c>
      <c r="G6642" s="20" t="str">
        <f>IFERROR(__xludf.DUMMYFUNCTION("""COMPUTED_VALUE"""),"Uncle Sams Cider (04/04/2023)")</f>
        <v>Uncle Sams Cider (04/04/2023)</v>
      </c>
      <c r="H6642" s="19"/>
    </row>
    <row r="6643">
      <c r="A6643" s="9"/>
      <c r="B6643" s="15"/>
      <c r="C6643" s="9">
        <f>IFERROR(__xludf.DUMMYFUNCTION("""COMPUTED_VALUE"""),45074.586755787)</f>
        <v>45074.58676</v>
      </c>
      <c r="D6643" s="15">
        <f>IFERROR(__xludf.DUMMYFUNCTION("""COMPUTED_VALUE"""),1.009)</f>
        <v>1.009</v>
      </c>
      <c r="E6643" s="16">
        <f>IFERROR(__xludf.DUMMYFUNCTION("""COMPUTED_VALUE"""),65.0)</f>
        <v>65</v>
      </c>
      <c r="F6643" s="19" t="str">
        <f>IFERROR(__xludf.DUMMYFUNCTION("""COMPUTED_VALUE"""),"BLUE")</f>
        <v>BLUE</v>
      </c>
      <c r="G6643" s="20" t="str">
        <f>IFERROR(__xludf.DUMMYFUNCTION("""COMPUTED_VALUE"""),"Uncle Sams Cider (04/04/2023)")</f>
        <v>Uncle Sams Cider (04/04/2023)</v>
      </c>
      <c r="H6643" s="19"/>
    </row>
    <row r="6644">
      <c r="A6644" s="9"/>
      <c r="B6644" s="15"/>
      <c r="C6644" s="9">
        <f>IFERROR(__xludf.DUMMYFUNCTION("""COMPUTED_VALUE"""),45074.576334537)</f>
        <v>45074.57633</v>
      </c>
      <c r="D6644" s="15">
        <f>IFERROR(__xludf.DUMMYFUNCTION("""COMPUTED_VALUE"""),1.008)</f>
        <v>1.008</v>
      </c>
      <c r="E6644" s="16">
        <f>IFERROR(__xludf.DUMMYFUNCTION("""COMPUTED_VALUE"""),65.0)</f>
        <v>65</v>
      </c>
      <c r="F6644" s="19" t="str">
        <f>IFERROR(__xludf.DUMMYFUNCTION("""COMPUTED_VALUE"""),"BLUE")</f>
        <v>BLUE</v>
      </c>
      <c r="G6644" s="20" t="str">
        <f>IFERROR(__xludf.DUMMYFUNCTION("""COMPUTED_VALUE"""),"Uncle Sams Cider (04/04/2023)")</f>
        <v>Uncle Sams Cider (04/04/2023)</v>
      </c>
      <c r="H6644" s="19"/>
    </row>
    <row r="6645">
      <c r="A6645" s="9"/>
      <c r="B6645" s="15"/>
      <c r="C6645" s="9">
        <f>IFERROR(__xludf.DUMMYFUNCTION("""COMPUTED_VALUE"""),45074.5659161342)</f>
        <v>45074.56592</v>
      </c>
      <c r="D6645" s="15">
        <f>IFERROR(__xludf.DUMMYFUNCTION("""COMPUTED_VALUE"""),1.009)</f>
        <v>1.009</v>
      </c>
      <c r="E6645" s="16">
        <f>IFERROR(__xludf.DUMMYFUNCTION("""COMPUTED_VALUE"""),65.0)</f>
        <v>65</v>
      </c>
      <c r="F6645" s="19" t="str">
        <f>IFERROR(__xludf.DUMMYFUNCTION("""COMPUTED_VALUE"""),"BLUE")</f>
        <v>BLUE</v>
      </c>
      <c r="G6645" s="20" t="str">
        <f>IFERROR(__xludf.DUMMYFUNCTION("""COMPUTED_VALUE"""),"Uncle Sams Cider (04/04/2023)")</f>
        <v>Uncle Sams Cider (04/04/2023)</v>
      </c>
      <c r="H6645" s="19"/>
    </row>
    <row r="6646">
      <c r="A6646" s="9"/>
      <c r="B6646" s="15"/>
      <c r="C6646" s="9">
        <f>IFERROR(__xludf.DUMMYFUNCTION("""COMPUTED_VALUE"""),45074.5554838425)</f>
        <v>45074.55548</v>
      </c>
      <c r="D6646" s="15">
        <f>IFERROR(__xludf.DUMMYFUNCTION("""COMPUTED_VALUE"""),1.009)</f>
        <v>1.009</v>
      </c>
      <c r="E6646" s="16">
        <f>IFERROR(__xludf.DUMMYFUNCTION("""COMPUTED_VALUE"""),65.0)</f>
        <v>65</v>
      </c>
      <c r="F6646" s="19" t="str">
        <f>IFERROR(__xludf.DUMMYFUNCTION("""COMPUTED_VALUE"""),"BLUE")</f>
        <v>BLUE</v>
      </c>
      <c r="G6646" s="20" t="str">
        <f>IFERROR(__xludf.DUMMYFUNCTION("""COMPUTED_VALUE"""),"Uncle Sams Cider (04/04/2023)")</f>
        <v>Uncle Sams Cider (04/04/2023)</v>
      </c>
      <c r="H6646" s="19"/>
    </row>
    <row r="6647">
      <c r="A6647" s="9"/>
      <c r="B6647" s="15"/>
      <c r="C6647" s="9">
        <f>IFERROR(__xludf.DUMMYFUNCTION("""COMPUTED_VALUE"""),45074.5450632754)</f>
        <v>45074.54506</v>
      </c>
      <c r="D6647" s="15">
        <f>IFERROR(__xludf.DUMMYFUNCTION("""COMPUTED_VALUE"""),1.008)</f>
        <v>1.008</v>
      </c>
      <c r="E6647" s="16">
        <f>IFERROR(__xludf.DUMMYFUNCTION("""COMPUTED_VALUE"""),65.0)</f>
        <v>65</v>
      </c>
      <c r="F6647" s="19" t="str">
        <f>IFERROR(__xludf.DUMMYFUNCTION("""COMPUTED_VALUE"""),"BLUE")</f>
        <v>BLUE</v>
      </c>
      <c r="G6647" s="20" t="str">
        <f>IFERROR(__xludf.DUMMYFUNCTION("""COMPUTED_VALUE"""),"Uncle Sams Cider (04/04/2023)")</f>
        <v>Uncle Sams Cider (04/04/2023)</v>
      </c>
      <c r="H6647" s="19"/>
    </row>
    <row r="6648">
      <c r="A6648" s="9"/>
      <c r="B6648" s="15"/>
      <c r="C6648" s="9">
        <f>IFERROR(__xludf.DUMMYFUNCTION("""COMPUTED_VALUE"""),45074.5346424074)</f>
        <v>45074.53464</v>
      </c>
      <c r="D6648" s="15">
        <f>IFERROR(__xludf.DUMMYFUNCTION("""COMPUTED_VALUE"""),1.008)</f>
        <v>1.008</v>
      </c>
      <c r="E6648" s="16">
        <f>IFERROR(__xludf.DUMMYFUNCTION("""COMPUTED_VALUE"""),65.0)</f>
        <v>65</v>
      </c>
      <c r="F6648" s="19" t="str">
        <f>IFERROR(__xludf.DUMMYFUNCTION("""COMPUTED_VALUE"""),"BLUE")</f>
        <v>BLUE</v>
      </c>
      <c r="G6648" s="20" t="str">
        <f>IFERROR(__xludf.DUMMYFUNCTION("""COMPUTED_VALUE"""),"Uncle Sams Cider (04/04/2023)")</f>
        <v>Uncle Sams Cider (04/04/2023)</v>
      </c>
      <c r="H6648" s="19"/>
    </row>
    <row r="6649">
      <c r="A6649" s="9"/>
      <c r="B6649" s="15"/>
      <c r="C6649" s="9">
        <f>IFERROR(__xludf.DUMMYFUNCTION("""COMPUTED_VALUE"""),45074.5242185416)</f>
        <v>45074.52422</v>
      </c>
      <c r="D6649" s="15">
        <f>IFERROR(__xludf.DUMMYFUNCTION("""COMPUTED_VALUE"""),1.008)</f>
        <v>1.008</v>
      </c>
      <c r="E6649" s="16">
        <f>IFERROR(__xludf.DUMMYFUNCTION("""COMPUTED_VALUE"""),65.0)</f>
        <v>65</v>
      </c>
      <c r="F6649" s="19" t="str">
        <f>IFERROR(__xludf.DUMMYFUNCTION("""COMPUTED_VALUE"""),"BLUE")</f>
        <v>BLUE</v>
      </c>
      <c r="G6649" s="20" t="str">
        <f>IFERROR(__xludf.DUMMYFUNCTION("""COMPUTED_VALUE"""),"Uncle Sams Cider (04/04/2023)")</f>
        <v>Uncle Sams Cider (04/04/2023)</v>
      </c>
      <c r="H6649" s="19"/>
    </row>
    <row r="6650">
      <c r="A6650" s="9"/>
      <c r="B6650" s="15"/>
      <c r="C6650" s="9">
        <f>IFERROR(__xludf.DUMMYFUNCTION("""COMPUTED_VALUE"""),45074.5137979166)</f>
        <v>45074.5138</v>
      </c>
      <c r="D6650" s="15">
        <f>IFERROR(__xludf.DUMMYFUNCTION("""COMPUTED_VALUE"""),1.008)</f>
        <v>1.008</v>
      </c>
      <c r="E6650" s="16">
        <f>IFERROR(__xludf.DUMMYFUNCTION("""COMPUTED_VALUE"""),65.0)</f>
        <v>65</v>
      </c>
      <c r="F6650" s="19" t="str">
        <f>IFERROR(__xludf.DUMMYFUNCTION("""COMPUTED_VALUE"""),"BLUE")</f>
        <v>BLUE</v>
      </c>
      <c r="G6650" s="20" t="str">
        <f>IFERROR(__xludf.DUMMYFUNCTION("""COMPUTED_VALUE"""),"Uncle Sams Cider (04/04/2023)")</f>
        <v>Uncle Sams Cider (04/04/2023)</v>
      </c>
      <c r="H6650" s="19"/>
    </row>
    <row r="6651">
      <c r="A6651" s="9"/>
      <c r="B6651" s="15"/>
      <c r="C6651" s="9">
        <f>IFERROR(__xludf.DUMMYFUNCTION("""COMPUTED_VALUE"""),45074.5033781597)</f>
        <v>45074.50338</v>
      </c>
      <c r="D6651" s="15">
        <f>IFERROR(__xludf.DUMMYFUNCTION("""COMPUTED_VALUE"""),1.009)</f>
        <v>1.009</v>
      </c>
      <c r="E6651" s="16">
        <f>IFERROR(__xludf.DUMMYFUNCTION("""COMPUTED_VALUE"""),65.0)</f>
        <v>65</v>
      </c>
      <c r="F6651" s="19" t="str">
        <f>IFERROR(__xludf.DUMMYFUNCTION("""COMPUTED_VALUE"""),"BLUE")</f>
        <v>BLUE</v>
      </c>
      <c r="G6651" s="20" t="str">
        <f>IFERROR(__xludf.DUMMYFUNCTION("""COMPUTED_VALUE"""),"Uncle Sams Cider (04/04/2023)")</f>
        <v>Uncle Sams Cider (04/04/2023)</v>
      </c>
      <c r="H6651" s="19"/>
    </row>
    <row r="6652">
      <c r="A6652" s="9"/>
      <c r="B6652" s="15"/>
      <c r="C6652" s="9">
        <f>IFERROR(__xludf.DUMMYFUNCTION("""COMPUTED_VALUE"""),45074.4929462847)</f>
        <v>45074.49295</v>
      </c>
      <c r="D6652" s="15">
        <f>IFERROR(__xludf.DUMMYFUNCTION("""COMPUTED_VALUE"""),1.008)</f>
        <v>1.008</v>
      </c>
      <c r="E6652" s="16">
        <f>IFERROR(__xludf.DUMMYFUNCTION("""COMPUTED_VALUE"""),65.0)</f>
        <v>65</v>
      </c>
      <c r="F6652" s="19" t="str">
        <f>IFERROR(__xludf.DUMMYFUNCTION("""COMPUTED_VALUE"""),"BLUE")</f>
        <v>BLUE</v>
      </c>
      <c r="G6652" s="20" t="str">
        <f>IFERROR(__xludf.DUMMYFUNCTION("""COMPUTED_VALUE"""),"Uncle Sams Cider (04/04/2023)")</f>
        <v>Uncle Sams Cider (04/04/2023)</v>
      </c>
      <c r="H6652" s="19"/>
    </row>
    <row r="6653">
      <c r="A6653" s="9"/>
      <c r="B6653" s="15"/>
      <c r="C6653" s="9">
        <f>IFERROR(__xludf.DUMMYFUNCTION("""COMPUTED_VALUE"""),45074.4825241666)</f>
        <v>45074.48252</v>
      </c>
      <c r="D6653" s="15">
        <f>IFERROR(__xludf.DUMMYFUNCTION("""COMPUTED_VALUE"""),1.009)</f>
        <v>1.009</v>
      </c>
      <c r="E6653" s="16">
        <f>IFERROR(__xludf.DUMMYFUNCTION("""COMPUTED_VALUE"""),65.0)</f>
        <v>65</v>
      </c>
      <c r="F6653" s="19" t="str">
        <f>IFERROR(__xludf.DUMMYFUNCTION("""COMPUTED_VALUE"""),"BLUE")</f>
        <v>BLUE</v>
      </c>
      <c r="G6653" s="20" t="str">
        <f>IFERROR(__xludf.DUMMYFUNCTION("""COMPUTED_VALUE"""),"Uncle Sams Cider (04/04/2023)")</f>
        <v>Uncle Sams Cider (04/04/2023)</v>
      </c>
      <c r="H6653" s="19"/>
    </row>
    <row r="6654">
      <c r="A6654" s="9"/>
      <c r="B6654" s="15"/>
      <c r="C6654" s="9">
        <f>IFERROR(__xludf.DUMMYFUNCTION("""COMPUTED_VALUE"""),45074.4721018518)</f>
        <v>45074.4721</v>
      </c>
      <c r="D6654" s="15">
        <f>IFERROR(__xludf.DUMMYFUNCTION("""COMPUTED_VALUE"""),1.009)</f>
        <v>1.009</v>
      </c>
      <c r="E6654" s="16">
        <f>IFERROR(__xludf.DUMMYFUNCTION("""COMPUTED_VALUE"""),65.0)</f>
        <v>65</v>
      </c>
      <c r="F6654" s="19" t="str">
        <f>IFERROR(__xludf.DUMMYFUNCTION("""COMPUTED_VALUE"""),"BLUE")</f>
        <v>BLUE</v>
      </c>
      <c r="G6654" s="20" t="str">
        <f>IFERROR(__xludf.DUMMYFUNCTION("""COMPUTED_VALUE"""),"Uncle Sams Cider (04/04/2023)")</f>
        <v>Uncle Sams Cider (04/04/2023)</v>
      </c>
      <c r="H6654" s="19"/>
    </row>
    <row r="6655">
      <c r="A6655" s="9"/>
      <c r="B6655" s="15"/>
      <c r="C6655" s="9">
        <f>IFERROR(__xludf.DUMMYFUNCTION("""COMPUTED_VALUE"""),45074.4616688078)</f>
        <v>45074.46167</v>
      </c>
      <c r="D6655" s="15">
        <f>IFERROR(__xludf.DUMMYFUNCTION("""COMPUTED_VALUE"""),1.009)</f>
        <v>1.009</v>
      </c>
      <c r="E6655" s="16">
        <f>IFERROR(__xludf.DUMMYFUNCTION("""COMPUTED_VALUE"""),65.0)</f>
        <v>65</v>
      </c>
      <c r="F6655" s="19" t="str">
        <f>IFERROR(__xludf.DUMMYFUNCTION("""COMPUTED_VALUE"""),"BLUE")</f>
        <v>BLUE</v>
      </c>
      <c r="G6655" s="20" t="str">
        <f>IFERROR(__xludf.DUMMYFUNCTION("""COMPUTED_VALUE"""),"Uncle Sams Cider (04/04/2023)")</f>
        <v>Uncle Sams Cider (04/04/2023)</v>
      </c>
      <c r="H6655" s="19"/>
    </row>
    <row r="6656">
      <c r="A6656" s="9"/>
      <c r="B6656" s="15"/>
      <c r="C6656" s="9">
        <f>IFERROR(__xludf.DUMMYFUNCTION("""COMPUTED_VALUE"""),45074.4512479976)</f>
        <v>45074.45125</v>
      </c>
      <c r="D6656" s="15">
        <f>IFERROR(__xludf.DUMMYFUNCTION("""COMPUTED_VALUE"""),1.009)</f>
        <v>1.009</v>
      </c>
      <c r="E6656" s="16">
        <f>IFERROR(__xludf.DUMMYFUNCTION("""COMPUTED_VALUE"""),65.0)</f>
        <v>65</v>
      </c>
      <c r="F6656" s="19" t="str">
        <f>IFERROR(__xludf.DUMMYFUNCTION("""COMPUTED_VALUE"""),"BLUE")</f>
        <v>BLUE</v>
      </c>
      <c r="G6656" s="20" t="str">
        <f>IFERROR(__xludf.DUMMYFUNCTION("""COMPUTED_VALUE"""),"Uncle Sams Cider (04/04/2023)")</f>
        <v>Uncle Sams Cider (04/04/2023)</v>
      </c>
      <c r="H6656" s="19"/>
    </row>
    <row r="6657">
      <c r="A6657" s="9"/>
      <c r="B6657" s="15"/>
      <c r="C6657" s="9">
        <f>IFERROR(__xludf.DUMMYFUNCTION("""COMPUTED_VALUE"""),45074.4408268865)</f>
        <v>45074.44083</v>
      </c>
      <c r="D6657" s="15">
        <f>IFERROR(__xludf.DUMMYFUNCTION("""COMPUTED_VALUE"""),1.009)</f>
        <v>1.009</v>
      </c>
      <c r="E6657" s="16">
        <f>IFERROR(__xludf.DUMMYFUNCTION("""COMPUTED_VALUE"""),65.0)</f>
        <v>65</v>
      </c>
      <c r="F6657" s="19" t="str">
        <f>IFERROR(__xludf.DUMMYFUNCTION("""COMPUTED_VALUE"""),"BLUE")</f>
        <v>BLUE</v>
      </c>
      <c r="G6657" s="20" t="str">
        <f>IFERROR(__xludf.DUMMYFUNCTION("""COMPUTED_VALUE"""),"Uncle Sams Cider (04/04/2023)")</f>
        <v>Uncle Sams Cider (04/04/2023)</v>
      </c>
      <c r="H6657" s="19"/>
    </row>
    <row r="6658">
      <c r="A6658" s="9"/>
      <c r="B6658" s="15"/>
      <c r="C6658" s="9">
        <f>IFERROR(__xludf.DUMMYFUNCTION("""COMPUTED_VALUE"""),45074.4304052662)</f>
        <v>45074.43041</v>
      </c>
      <c r="D6658" s="15">
        <f>IFERROR(__xludf.DUMMYFUNCTION("""COMPUTED_VALUE"""),1.009)</f>
        <v>1.009</v>
      </c>
      <c r="E6658" s="16">
        <f>IFERROR(__xludf.DUMMYFUNCTION("""COMPUTED_VALUE"""),65.0)</f>
        <v>65</v>
      </c>
      <c r="F6658" s="19" t="str">
        <f>IFERROR(__xludf.DUMMYFUNCTION("""COMPUTED_VALUE"""),"BLUE")</f>
        <v>BLUE</v>
      </c>
      <c r="G6658" s="20" t="str">
        <f>IFERROR(__xludf.DUMMYFUNCTION("""COMPUTED_VALUE"""),"Uncle Sams Cider (04/04/2023)")</f>
        <v>Uncle Sams Cider (04/04/2023)</v>
      </c>
      <c r="H6658" s="19"/>
    </row>
    <row r="6659">
      <c r="A6659" s="9"/>
      <c r="B6659" s="15"/>
      <c r="C6659" s="9">
        <f>IFERROR(__xludf.DUMMYFUNCTION("""COMPUTED_VALUE"""),45074.419961331)</f>
        <v>45074.41996</v>
      </c>
      <c r="D6659" s="15">
        <f>IFERROR(__xludf.DUMMYFUNCTION("""COMPUTED_VALUE"""),1.009)</f>
        <v>1.009</v>
      </c>
      <c r="E6659" s="16">
        <f>IFERROR(__xludf.DUMMYFUNCTION("""COMPUTED_VALUE"""),65.0)</f>
        <v>65</v>
      </c>
      <c r="F6659" s="19" t="str">
        <f>IFERROR(__xludf.DUMMYFUNCTION("""COMPUTED_VALUE"""),"BLUE")</f>
        <v>BLUE</v>
      </c>
      <c r="G6659" s="20" t="str">
        <f>IFERROR(__xludf.DUMMYFUNCTION("""COMPUTED_VALUE"""),"Uncle Sams Cider (04/04/2023)")</f>
        <v>Uncle Sams Cider (04/04/2023)</v>
      </c>
      <c r="H6659" s="19"/>
    </row>
    <row r="6660">
      <c r="A6660" s="9"/>
      <c r="B6660" s="15"/>
      <c r="C6660" s="9">
        <f>IFERROR(__xludf.DUMMYFUNCTION("""COMPUTED_VALUE"""),45074.4095411805)</f>
        <v>45074.40954</v>
      </c>
      <c r="D6660" s="15">
        <f>IFERROR(__xludf.DUMMYFUNCTION("""COMPUTED_VALUE"""),1.009)</f>
        <v>1.009</v>
      </c>
      <c r="E6660" s="16">
        <f>IFERROR(__xludf.DUMMYFUNCTION("""COMPUTED_VALUE"""),65.0)</f>
        <v>65</v>
      </c>
      <c r="F6660" s="19" t="str">
        <f>IFERROR(__xludf.DUMMYFUNCTION("""COMPUTED_VALUE"""),"BLUE")</f>
        <v>BLUE</v>
      </c>
      <c r="G6660" s="20" t="str">
        <f>IFERROR(__xludf.DUMMYFUNCTION("""COMPUTED_VALUE"""),"Uncle Sams Cider (04/04/2023)")</f>
        <v>Uncle Sams Cider (04/04/2023)</v>
      </c>
      <c r="H6660" s="19"/>
    </row>
    <row r="6661">
      <c r="A6661" s="9"/>
      <c r="B6661" s="15"/>
      <c r="C6661" s="9">
        <f>IFERROR(__xludf.DUMMYFUNCTION("""COMPUTED_VALUE"""),45074.3991184953)</f>
        <v>45074.39912</v>
      </c>
      <c r="D6661" s="15">
        <f>IFERROR(__xludf.DUMMYFUNCTION("""COMPUTED_VALUE"""),1.009)</f>
        <v>1.009</v>
      </c>
      <c r="E6661" s="16">
        <f>IFERROR(__xludf.DUMMYFUNCTION("""COMPUTED_VALUE"""),65.0)</f>
        <v>65</v>
      </c>
      <c r="F6661" s="19" t="str">
        <f>IFERROR(__xludf.DUMMYFUNCTION("""COMPUTED_VALUE"""),"BLUE")</f>
        <v>BLUE</v>
      </c>
      <c r="G6661" s="20" t="str">
        <f>IFERROR(__xludf.DUMMYFUNCTION("""COMPUTED_VALUE"""),"Uncle Sams Cider (04/04/2023)")</f>
        <v>Uncle Sams Cider (04/04/2023)</v>
      </c>
      <c r="H6661" s="19"/>
    </row>
    <row r="6662">
      <c r="A6662" s="9"/>
      <c r="B6662" s="15"/>
      <c r="C6662" s="9">
        <f>IFERROR(__xludf.DUMMYFUNCTION("""COMPUTED_VALUE"""),45074.3886983912)</f>
        <v>45074.3887</v>
      </c>
      <c r="D6662" s="15">
        <f>IFERROR(__xludf.DUMMYFUNCTION("""COMPUTED_VALUE"""),1.008)</f>
        <v>1.008</v>
      </c>
      <c r="E6662" s="16">
        <f>IFERROR(__xludf.DUMMYFUNCTION("""COMPUTED_VALUE"""),65.0)</f>
        <v>65</v>
      </c>
      <c r="F6662" s="19" t="str">
        <f>IFERROR(__xludf.DUMMYFUNCTION("""COMPUTED_VALUE"""),"BLUE")</f>
        <v>BLUE</v>
      </c>
      <c r="G6662" s="20" t="str">
        <f>IFERROR(__xludf.DUMMYFUNCTION("""COMPUTED_VALUE"""),"Uncle Sams Cider (04/04/2023)")</f>
        <v>Uncle Sams Cider (04/04/2023)</v>
      </c>
      <c r="H6662" s="19"/>
    </row>
    <row r="6663">
      <c r="A6663" s="9"/>
      <c r="B6663" s="15"/>
      <c r="C6663" s="9">
        <f>IFERROR(__xludf.DUMMYFUNCTION("""COMPUTED_VALUE"""),45074.3782678472)</f>
        <v>45074.37827</v>
      </c>
      <c r="D6663" s="15">
        <f>IFERROR(__xludf.DUMMYFUNCTION("""COMPUTED_VALUE"""),1.009)</f>
        <v>1.009</v>
      </c>
      <c r="E6663" s="16">
        <f>IFERROR(__xludf.DUMMYFUNCTION("""COMPUTED_VALUE"""),65.0)</f>
        <v>65</v>
      </c>
      <c r="F6663" s="19" t="str">
        <f>IFERROR(__xludf.DUMMYFUNCTION("""COMPUTED_VALUE"""),"BLUE")</f>
        <v>BLUE</v>
      </c>
      <c r="G6663" s="20" t="str">
        <f>IFERROR(__xludf.DUMMYFUNCTION("""COMPUTED_VALUE"""),"Uncle Sams Cider (04/04/2023)")</f>
        <v>Uncle Sams Cider (04/04/2023)</v>
      </c>
      <c r="H6663" s="19"/>
    </row>
    <row r="6664">
      <c r="A6664" s="9"/>
      <c r="B6664" s="15"/>
      <c r="C6664" s="9">
        <f>IFERROR(__xludf.DUMMYFUNCTION("""COMPUTED_VALUE"""),45074.3678462615)</f>
        <v>45074.36785</v>
      </c>
      <c r="D6664" s="15">
        <f>IFERROR(__xludf.DUMMYFUNCTION("""COMPUTED_VALUE"""),1.009)</f>
        <v>1.009</v>
      </c>
      <c r="E6664" s="16">
        <f>IFERROR(__xludf.DUMMYFUNCTION("""COMPUTED_VALUE"""),65.0)</f>
        <v>65</v>
      </c>
      <c r="F6664" s="19" t="str">
        <f>IFERROR(__xludf.DUMMYFUNCTION("""COMPUTED_VALUE"""),"BLUE")</f>
        <v>BLUE</v>
      </c>
      <c r="G6664" s="20" t="str">
        <f>IFERROR(__xludf.DUMMYFUNCTION("""COMPUTED_VALUE"""),"Uncle Sams Cider (04/04/2023)")</f>
        <v>Uncle Sams Cider (04/04/2023)</v>
      </c>
      <c r="H6664" s="19"/>
    </row>
    <row r="6665">
      <c r="A6665" s="9"/>
      <c r="B6665" s="15"/>
      <c r="C6665" s="9">
        <f>IFERROR(__xludf.DUMMYFUNCTION("""COMPUTED_VALUE"""),45074.3574254861)</f>
        <v>45074.35743</v>
      </c>
      <c r="D6665" s="15">
        <f>IFERROR(__xludf.DUMMYFUNCTION("""COMPUTED_VALUE"""),1.008)</f>
        <v>1.008</v>
      </c>
      <c r="E6665" s="16">
        <f>IFERROR(__xludf.DUMMYFUNCTION("""COMPUTED_VALUE"""),65.0)</f>
        <v>65</v>
      </c>
      <c r="F6665" s="19" t="str">
        <f>IFERROR(__xludf.DUMMYFUNCTION("""COMPUTED_VALUE"""),"BLUE")</f>
        <v>BLUE</v>
      </c>
      <c r="G6665" s="20" t="str">
        <f>IFERROR(__xludf.DUMMYFUNCTION("""COMPUTED_VALUE"""),"Uncle Sams Cider (04/04/2023)")</f>
        <v>Uncle Sams Cider (04/04/2023)</v>
      </c>
      <c r="H6665" s="19"/>
    </row>
    <row r="6666">
      <c r="A6666" s="9"/>
      <c r="B6666" s="15"/>
      <c r="C6666" s="9">
        <f>IFERROR(__xludf.DUMMYFUNCTION("""COMPUTED_VALUE"""),45074.3470047222)</f>
        <v>45074.347</v>
      </c>
      <c r="D6666" s="15">
        <f>IFERROR(__xludf.DUMMYFUNCTION("""COMPUTED_VALUE"""),1.008)</f>
        <v>1.008</v>
      </c>
      <c r="E6666" s="16">
        <f>IFERROR(__xludf.DUMMYFUNCTION("""COMPUTED_VALUE"""),65.0)</f>
        <v>65</v>
      </c>
      <c r="F6666" s="19" t="str">
        <f>IFERROR(__xludf.DUMMYFUNCTION("""COMPUTED_VALUE"""),"BLUE")</f>
        <v>BLUE</v>
      </c>
      <c r="G6666" s="20" t="str">
        <f>IFERROR(__xludf.DUMMYFUNCTION("""COMPUTED_VALUE"""),"Uncle Sams Cider (04/04/2023)")</f>
        <v>Uncle Sams Cider (04/04/2023)</v>
      </c>
      <c r="H6666" s="19"/>
    </row>
    <row r="6667">
      <c r="A6667" s="9"/>
      <c r="B6667" s="15"/>
      <c r="C6667" s="9">
        <f>IFERROR(__xludf.DUMMYFUNCTION("""COMPUTED_VALUE"""),45074.3365605555)</f>
        <v>45074.33656</v>
      </c>
      <c r="D6667" s="15">
        <f>IFERROR(__xludf.DUMMYFUNCTION("""COMPUTED_VALUE"""),1.009)</f>
        <v>1.009</v>
      </c>
      <c r="E6667" s="16">
        <f>IFERROR(__xludf.DUMMYFUNCTION("""COMPUTED_VALUE"""),65.0)</f>
        <v>65</v>
      </c>
      <c r="F6667" s="19" t="str">
        <f>IFERROR(__xludf.DUMMYFUNCTION("""COMPUTED_VALUE"""),"BLUE")</f>
        <v>BLUE</v>
      </c>
      <c r="G6667" s="20" t="str">
        <f>IFERROR(__xludf.DUMMYFUNCTION("""COMPUTED_VALUE"""),"Uncle Sams Cider (04/04/2023)")</f>
        <v>Uncle Sams Cider (04/04/2023)</v>
      </c>
      <c r="H6667" s="19"/>
    </row>
    <row r="6668">
      <c r="A6668" s="9"/>
      <c r="B6668" s="15"/>
      <c r="C6668" s="9">
        <f>IFERROR(__xludf.DUMMYFUNCTION("""COMPUTED_VALUE"""),45074.3261288657)</f>
        <v>45074.32613</v>
      </c>
      <c r="D6668" s="15">
        <f>IFERROR(__xludf.DUMMYFUNCTION("""COMPUTED_VALUE"""),1.008)</f>
        <v>1.008</v>
      </c>
      <c r="E6668" s="16">
        <f>IFERROR(__xludf.DUMMYFUNCTION("""COMPUTED_VALUE"""),65.0)</f>
        <v>65</v>
      </c>
      <c r="F6668" s="19" t="str">
        <f>IFERROR(__xludf.DUMMYFUNCTION("""COMPUTED_VALUE"""),"BLUE")</f>
        <v>BLUE</v>
      </c>
      <c r="G6668" s="20" t="str">
        <f>IFERROR(__xludf.DUMMYFUNCTION("""COMPUTED_VALUE"""),"Uncle Sams Cider (04/04/2023)")</f>
        <v>Uncle Sams Cider (04/04/2023)</v>
      </c>
      <c r="H6668" s="19"/>
    </row>
    <row r="6669">
      <c r="A6669" s="9"/>
      <c r="B6669" s="15"/>
      <c r="C6669" s="9">
        <f>IFERROR(__xludf.DUMMYFUNCTION("""COMPUTED_VALUE"""),45074.3157078703)</f>
        <v>45074.31571</v>
      </c>
      <c r="D6669" s="15">
        <f>IFERROR(__xludf.DUMMYFUNCTION("""COMPUTED_VALUE"""),1.009)</f>
        <v>1.009</v>
      </c>
      <c r="E6669" s="16">
        <f>IFERROR(__xludf.DUMMYFUNCTION("""COMPUTED_VALUE"""),65.0)</f>
        <v>65</v>
      </c>
      <c r="F6669" s="19" t="str">
        <f>IFERROR(__xludf.DUMMYFUNCTION("""COMPUTED_VALUE"""),"BLUE")</f>
        <v>BLUE</v>
      </c>
      <c r="G6669" s="20" t="str">
        <f>IFERROR(__xludf.DUMMYFUNCTION("""COMPUTED_VALUE"""),"Uncle Sams Cider (04/04/2023)")</f>
        <v>Uncle Sams Cider (04/04/2023)</v>
      </c>
      <c r="H6669" s="19"/>
    </row>
    <row r="6670">
      <c r="A6670" s="9"/>
      <c r="B6670" s="15"/>
      <c r="C6670" s="9">
        <f>IFERROR(__xludf.DUMMYFUNCTION("""COMPUTED_VALUE"""),45074.3052845601)</f>
        <v>45074.30528</v>
      </c>
      <c r="D6670" s="15">
        <f>IFERROR(__xludf.DUMMYFUNCTION("""COMPUTED_VALUE"""),1.009)</f>
        <v>1.009</v>
      </c>
      <c r="E6670" s="16">
        <f>IFERROR(__xludf.DUMMYFUNCTION("""COMPUTED_VALUE"""),65.0)</f>
        <v>65</v>
      </c>
      <c r="F6670" s="19" t="str">
        <f>IFERROR(__xludf.DUMMYFUNCTION("""COMPUTED_VALUE"""),"BLUE")</f>
        <v>BLUE</v>
      </c>
      <c r="G6670" s="20" t="str">
        <f>IFERROR(__xludf.DUMMYFUNCTION("""COMPUTED_VALUE"""),"Uncle Sams Cider (04/04/2023)")</f>
        <v>Uncle Sams Cider (04/04/2023)</v>
      </c>
      <c r="H6670" s="19"/>
    </row>
    <row r="6671">
      <c r="A6671" s="9"/>
      <c r="B6671" s="15"/>
      <c r="C6671" s="9">
        <f>IFERROR(__xludf.DUMMYFUNCTION("""COMPUTED_VALUE"""),45074.294863287)</f>
        <v>45074.29486</v>
      </c>
      <c r="D6671" s="15">
        <f>IFERROR(__xludf.DUMMYFUNCTION("""COMPUTED_VALUE"""),1.009)</f>
        <v>1.009</v>
      </c>
      <c r="E6671" s="16">
        <f>IFERROR(__xludf.DUMMYFUNCTION("""COMPUTED_VALUE"""),65.0)</f>
        <v>65</v>
      </c>
      <c r="F6671" s="19" t="str">
        <f>IFERROR(__xludf.DUMMYFUNCTION("""COMPUTED_VALUE"""),"BLUE")</f>
        <v>BLUE</v>
      </c>
      <c r="G6671" s="20" t="str">
        <f>IFERROR(__xludf.DUMMYFUNCTION("""COMPUTED_VALUE"""),"Uncle Sams Cider (04/04/2023)")</f>
        <v>Uncle Sams Cider (04/04/2023)</v>
      </c>
      <c r="H6671" s="19"/>
    </row>
    <row r="6672">
      <c r="A6672" s="9"/>
      <c r="B6672" s="15"/>
      <c r="C6672" s="9">
        <f>IFERROR(__xludf.DUMMYFUNCTION("""COMPUTED_VALUE"""),45074.2844304398)</f>
        <v>45074.28443</v>
      </c>
      <c r="D6672" s="15">
        <f>IFERROR(__xludf.DUMMYFUNCTION("""COMPUTED_VALUE"""),1.009)</f>
        <v>1.009</v>
      </c>
      <c r="E6672" s="16">
        <f>IFERROR(__xludf.DUMMYFUNCTION("""COMPUTED_VALUE"""),65.0)</f>
        <v>65</v>
      </c>
      <c r="F6672" s="19" t="str">
        <f>IFERROR(__xludf.DUMMYFUNCTION("""COMPUTED_VALUE"""),"BLUE")</f>
        <v>BLUE</v>
      </c>
      <c r="G6672" s="20" t="str">
        <f>IFERROR(__xludf.DUMMYFUNCTION("""COMPUTED_VALUE"""),"Uncle Sams Cider (04/04/2023)")</f>
        <v>Uncle Sams Cider (04/04/2023)</v>
      </c>
      <c r="H6672" s="19"/>
    </row>
    <row r="6673">
      <c r="A6673" s="9"/>
      <c r="B6673" s="15"/>
      <c r="C6673" s="9">
        <f>IFERROR(__xludf.DUMMYFUNCTION("""COMPUTED_VALUE"""),45074.2740103935)</f>
        <v>45074.27401</v>
      </c>
      <c r="D6673" s="15">
        <f>IFERROR(__xludf.DUMMYFUNCTION("""COMPUTED_VALUE"""),1.009)</f>
        <v>1.009</v>
      </c>
      <c r="E6673" s="16">
        <f>IFERROR(__xludf.DUMMYFUNCTION("""COMPUTED_VALUE"""),65.0)</f>
        <v>65</v>
      </c>
      <c r="F6673" s="19" t="str">
        <f>IFERROR(__xludf.DUMMYFUNCTION("""COMPUTED_VALUE"""),"BLUE")</f>
        <v>BLUE</v>
      </c>
      <c r="G6673" s="20" t="str">
        <f>IFERROR(__xludf.DUMMYFUNCTION("""COMPUTED_VALUE"""),"Uncle Sams Cider (04/04/2023)")</f>
        <v>Uncle Sams Cider (04/04/2023)</v>
      </c>
      <c r="H6673" s="19"/>
    </row>
    <row r="6674">
      <c r="A6674" s="9"/>
      <c r="B6674" s="15"/>
      <c r="C6674" s="9">
        <f>IFERROR(__xludf.DUMMYFUNCTION("""COMPUTED_VALUE"""),45074.2635885532)</f>
        <v>45074.26359</v>
      </c>
      <c r="D6674" s="15">
        <f>IFERROR(__xludf.DUMMYFUNCTION("""COMPUTED_VALUE"""),1.009)</f>
        <v>1.009</v>
      </c>
      <c r="E6674" s="16">
        <f>IFERROR(__xludf.DUMMYFUNCTION("""COMPUTED_VALUE"""),65.0)</f>
        <v>65</v>
      </c>
      <c r="F6674" s="19" t="str">
        <f>IFERROR(__xludf.DUMMYFUNCTION("""COMPUTED_VALUE"""),"BLUE")</f>
        <v>BLUE</v>
      </c>
      <c r="G6674" s="20" t="str">
        <f>IFERROR(__xludf.DUMMYFUNCTION("""COMPUTED_VALUE"""),"Uncle Sams Cider (04/04/2023)")</f>
        <v>Uncle Sams Cider (04/04/2023)</v>
      </c>
      <c r="H6674" s="19"/>
    </row>
    <row r="6675">
      <c r="A6675" s="9"/>
      <c r="B6675" s="15"/>
      <c r="C6675" s="9">
        <f>IFERROR(__xludf.DUMMYFUNCTION("""COMPUTED_VALUE"""),45074.2531659259)</f>
        <v>45074.25317</v>
      </c>
      <c r="D6675" s="15">
        <f>IFERROR(__xludf.DUMMYFUNCTION("""COMPUTED_VALUE"""),1.009)</f>
        <v>1.009</v>
      </c>
      <c r="E6675" s="16">
        <f>IFERROR(__xludf.DUMMYFUNCTION("""COMPUTED_VALUE"""),65.0)</f>
        <v>65</v>
      </c>
      <c r="F6675" s="19" t="str">
        <f>IFERROR(__xludf.DUMMYFUNCTION("""COMPUTED_VALUE"""),"BLUE")</f>
        <v>BLUE</v>
      </c>
      <c r="G6675" s="20" t="str">
        <f>IFERROR(__xludf.DUMMYFUNCTION("""COMPUTED_VALUE"""),"Uncle Sams Cider (04/04/2023)")</f>
        <v>Uncle Sams Cider (04/04/2023)</v>
      </c>
      <c r="H6675" s="19"/>
    </row>
    <row r="6676">
      <c r="A6676" s="9"/>
      <c r="B6676" s="15"/>
      <c r="C6676" s="9">
        <f>IFERROR(__xludf.DUMMYFUNCTION("""COMPUTED_VALUE"""),45074.2427437152)</f>
        <v>45074.24274</v>
      </c>
      <c r="D6676" s="15">
        <f>IFERROR(__xludf.DUMMYFUNCTION("""COMPUTED_VALUE"""),1.009)</f>
        <v>1.009</v>
      </c>
      <c r="E6676" s="16">
        <f>IFERROR(__xludf.DUMMYFUNCTION("""COMPUTED_VALUE"""),65.0)</f>
        <v>65</v>
      </c>
      <c r="F6676" s="19" t="str">
        <f>IFERROR(__xludf.DUMMYFUNCTION("""COMPUTED_VALUE"""),"BLUE")</f>
        <v>BLUE</v>
      </c>
      <c r="G6676" s="20" t="str">
        <f>IFERROR(__xludf.DUMMYFUNCTION("""COMPUTED_VALUE"""),"Uncle Sams Cider (04/04/2023)")</f>
        <v>Uncle Sams Cider (04/04/2023)</v>
      </c>
      <c r="H6676" s="19"/>
    </row>
    <row r="6677">
      <c r="A6677" s="9"/>
      <c r="B6677" s="15"/>
      <c r="C6677" s="9">
        <f>IFERROR(__xludf.DUMMYFUNCTION("""COMPUTED_VALUE"""),45074.2323207638)</f>
        <v>45074.23232</v>
      </c>
      <c r="D6677" s="15">
        <f>IFERROR(__xludf.DUMMYFUNCTION("""COMPUTED_VALUE"""),1.009)</f>
        <v>1.009</v>
      </c>
      <c r="E6677" s="16">
        <f>IFERROR(__xludf.DUMMYFUNCTION("""COMPUTED_VALUE"""),65.0)</f>
        <v>65</v>
      </c>
      <c r="F6677" s="19" t="str">
        <f>IFERROR(__xludf.DUMMYFUNCTION("""COMPUTED_VALUE"""),"BLUE")</f>
        <v>BLUE</v>
      </c>
      <c r="G6677" s="20" t="str">
        <f>IFERROR(__xludf.DUMMYFUNCTION("""COMPUTED_VALUE"""),"Uncle Sams Cider (04/04/2023)")</f>
        <v>Uncle Sams Cider (04/04/2023)</v>
      </c>
      <c r="H6677" s="19"/>
    </row>
    <row r="6678">
      <c r="A6678" s="9"/>
      <c r="B6678" s="15"/>
      <c r="C6678" s="9">
        <f>IFERROR(__xludf.DUMMYFUNCTION("""COMPUTED_VALUE"""),45074.2218767708)</f>
        <v>45074.22188</v>
      </c>
      <c r="D6678" s="15">
        <f>IFERROR(__xludf.DUMMYFUNCTION("""COMPUTED_VALUE"""),1.009)</f>
        <v>1.009</v>
      </c>
      <c r="E6678" s="16">
        <f>IFERROR(__xludf.DUMMYFUNCTION("""COMPUTED_VALUE"""),65.0)</f>
        <v>65</v>
      </c>
      <c r="F6678" s="19" t="str">
        <f>IFERROR(__xludf.DUMMYFUNCTION("""COMPUTED_VALUE"""),"BLUE")</f>
        <v>BLUE</v>
      </c>
      <c r="G6678" s="20" t="str">
        <f>IFERROR(__xludf.DUMMYFUNCTION("""COMPUTED_VALUE"""),"Uncle Sams Cider (04/04/2023)")</f>
        <v>Uncle Sams Cider (04/04/2023)</v>
      </c>
      <c r="H6678" s="19"/>
    </row>
    <row r="6679">
      <c r="A6679" s="9"/>
      <c r="B6679" s="15"/>
      <c r="C6679" s="9">
        <f>IFERROR(__xludf.DUMMYFUNCTION("""COMPUTED_VALUE"""),45074.2114570138)</f>
        <v>45074.21146</v>
      </c>
      <c r="D6679" s="15">
        <f>IFERROR(__xludf.DUMMYFUNCTION("""COMPUTED_VALUE"""),1.009)</f>
        <v>1.009</v>
      </c>
      <c r="E6679" s="16">
        <f>IFERROR(__xludf.DUMMYFUNCTION("""COMPUTED_VALUE"""),65.0)</f>
        <v>65</v>
      </c>
      <c r="F6679" s="19" t="str">
        <f>IFERROR(__xludf.DUMMYFUNCTION("""COMPUTED_VALUE"""),"BLUE")</f>
        <v>BLUE</v>
      </c>
      <c r="G6679" s="20" t="str">
        <f>IFERROR(__xludf.DUMMYFUNCTION("""COMPUTED_VALUE"""),"Uncle Sams Cider (04/04/2023)")</f>
        <v>Uncle Sams Cider (04/04/2023)</v>
      </c>
      <c r="H6679" s="19"/>
    </row>
    <row r="6680">
      <c r="A6680" s="9"/>
      <c r="B6680" s="15"/>
      <c r="C6680" s="9">
        <f>IFERROR(__xludf.DUMMYFUNCTION("""COMPUTED_VALUE"""),45074.2010135416)</f>
        <v>45074.20101</v>
      </c>
      <c r="D6680" s="15">
        <f>IFERROR(__xludf.DUMMYFUNCTION("""COMPUTED_VALUE"""),1.009)</f>
        <v>1.009</v>
      </c>
      <c r="E6680" s="16">
        <f>IFERROR(__xludf.DUMMYFUNCTION("""COMPUTED_VALUE"""),65.0)</f>
        <v>65</v>
      </c>
      <c r="F6680" s="19" t="str">
        <f>IFERROR(__xludf.DUMMYFUNCTION("""COMPUTED_VALUE"""),"BLUE")</f>
        <v>BLUE</v>
      </c>
      <c r="G6680" s="20" t="str">
        <f>IFERROR(__xludf.DUMMYFUNCTION("""COMPUTED_VALUE"""),"Uncle Sams Cider (04/04/2023)")</f>
        <v>Uncle Sams Cider (04/04/2023)</v>
      </c>
      <c r="H6680" s="19"/>
    </row>
    <row r="6681">
      <c r="A6681" s="9"/>
      <c r="B6681" s="15"/>
      <c r="C6681" s="9">
        <f>IFERROR(__xludf.DUMMYFUNCTION("""COMPUTED_VALUE"""),45074.1905923263)</f>
        <v>45074.19059</v>
      </c>
      <c r="D6681" s="15">
        <f>IFERROR(__xludf.DUMMYFUNCTION("""COMPUTED_VALUE"""),1.009)</f>
        <v>1.009</v>
      </c>
      <c r="E6681" s="16">
        <f>IFERROR(__xludf.DUMMYFUNCTION("""COMPUTED_VALUE"""),65.0)</f>
        <v>65</v>
      </c>
      <c r="F6681" s="19" t="str">
        <f>IFERROR(__xludf.DUMMYFUNCTION("""COMPUTED_VALUE"""),"BLUE")</f>
        <v>BLUE</v>
      </c>
      <c r="G6681" s="20" t="str">
        <f>IFERROR(__xludf.DUMMYFUNCTION("""COMPUTED_VALUE"""),"Uncle Sams Cider (04/04/2023)")</f>
        <v>Uncle Sams Cider (04/04/2023)</v>
      </c>
      <c r="H6681" s="19"/>
    </row>
    <row r="6682">
      <c r="A6682" s="9"/>
      <c r="B6682" s="15"/>
      <c r="C6682" s="9">
        <f>IFERROR(__xludf.DUMMYFUNCTION("""COMPUTED_VALUE"""),45074.1801604629)</f>
        <v>45074.18016</v>
      </c>
      <c r="D6682" s="15">
        <f>IFERROR(__xludf.DUMMYFUNCTION("""COMPUTED_VALUE"""),1.009)</f>
        <v>1.009</v>
      </c>
      <c r="E6682" s="16">
        <f>IFERROR(__xludf.DUMMYFUNCTION("""COMPUTED_VALUE"""),65.0)</f>
        <v>65</v>
      </c>
      <c r="F6682" s="19" t="str">
        <f>IFERROR(__xludf.DUMMYFUNCTION("""COMPUTED_VALUE"""),"BLUE")</f>
        <v>BLUE</v>
      </c>
      <c r="G6682" s="20" t="str">
        <f>IFERROR(__xludf.DUMMYFUNCTION("""COMPUTED_VALUE"""),"Uncle Sams Cider (04/04/2023)")</f>
        <v>Uncle Sams Cider (04/04/2023)</v>
      </c>
      <c r="H6682" s="19"/>
    </row>
    <row r="6683">
      <c r="A6683" s="9"/>
      <c r="B6683" s="15"/>
      <c r="C6683" s="9">
        <f>IFERROR(__xludf.DUMMYFUNCTION("""COMPUTED_VALUE"""),45074.1697371412)</f>
        <v>45074.16974</v>
      </c>
      <c r="D6683" s="15">
        <f>IFERROR(__xludf.DUMMYFUNCTION("""COMPUTED_VALUE"""),1.008)</f>
        <v>1.008</v>
      </c>
      <c r="E6683" s="16">
        <f>IFERROR(__xludf.DUMMYFUNCTION("""COMPUTED_VALUE"""),65.0)</f>
        <v>65</v>
      </c>
      <c r="F6683" s="19" t="str">
        <f>IFERROR(__xludf.DUMMYFUNCTION("""COMPUTED_VALUE"""),"BLUE")</f>
        <v>BLUE</v>
      </c>
      <c r="G6683" s="20" t="str">
        <f>IFERROR(__xludf.DUMMYFUNCTION("""COMPUTED_VALUE"""),"Uncle Sams Cider (04/04/2023)")</f>
        <v>Uncle Sams Cider (04/04/2023)</v>
      </c>
      <c r="H6683" s="19"/>
    </row>
    <row r="6684">
      <c r="A6684" s="9"/>
      <c r="B6684" s="15"/>
      <c r="C6684" s="9">
        <f>IFERROR(__xludf.DUMMYFUNCTION("""COMPUTED_VALUE"""),45074.1593170717)</f>
        <v>45074.15932</v>
      </c>
      <c r="D6684" s="15">
        <f>IFERROR(__xludf.DUMMYFUNCTION("""COMPUTED_VALUE"""),1.008)</f>
        <v>1.008</v>
      </c>
      <c r="E6684" s="16">
        <f>IFERROR(__xludf.DUMMYFUNCTION("""COMPUTED_VALUE"""),65.0)</f>
        <v>65</v>
      </c>
      <c r="F6684" s="19" t="str">
        <f>IFERROR(__xludf.DUMMYFUNCTION("""COMPUTED_VALUE"""),"BLUE")</f>
        <v>BLUE</v>
      </c>
      <c r="G6684" s="20" t="str">
        <f>IFERROR(__xludf.DUMMYFUNCTION("""COMPUTED_VALUE"""),"Uncle Sams Cider (04/04/2023)")</f>
        <v>Uncle Sams Cider (04/04/2023)</v>
      </c>
      <c r="H6684" s="19"/>
    </row>
    <row r="6685">
      <c r="A6685" s="9"/>
      <c r="B6685" s="15"/>
      <c r="C6685" s="9">
        <f>IFERROR(__xludf.DUMMYFUNCTION("""COMPUTED_VALUE"""),45074.1488980092)</f>
        <v>45074.1489</v>
      </c>
      <c r="D6685" s="15">
        <f>IFERROR(__xludf.DUMMYFUNCTION("""COMPUTED_VALUE"""),1.009)</f>
        <v>1.009</v>
      </c>
      <c r="E6685" s="16">
        <f>IFERROR(__xludf.DUMMYFUNCTION("""COMPUTED_VALUE"""),65.0)</f>
        <v>65</v>
      </c>
      <c r="F6685" s="19" t="str">
        <f>IFERROR(__xludf.DUMMYFUNCTION("""COMPUTED_VALUE"""),"BLUE")</f>
        <v>BLUE</v>
      </c>
      <c r="G6685" s="20" t="str">
        <f>IFERROR(__xludf.DUMMYFUNCTION("""COMPUTED_VALUE"""),"Uncle Sams Cider (04/04/2023)")</f>
        <v>Uncle Sams Cider (04/04/2023)</v>
      </c>
      <c r="H6685" s="19"/>
    </row>
    <row r="6686">
      <c r="A6686" s="9"/>
      <c r="B6686" s="15"/>
      <c r="C6686" s="9">
        <f>IFERROR(__xludf.DUMMYFUNCTION("""COMPUTED_VALUE"""),45074.138475625)</f>
        <v>45074.13848</v>
      </c>
      <c r="D6686" s="15">
        <f>IFERROR(__xludf.DUMMYFUNCTION("""COMPUTED_VALUE"""),1.009)</f>
        <v>1.009</v>
      </c>
      <c r="E6686" s="16">
        <f>IFERROR(__xludf.DUMMYFUNCTION("""COMPUTED_VALUE"""),65.0)</f>
        <v>65</v>
      </c>
      <c r="F6686" s="19" t="str">
        <f>IFERROR(__xludf.DUMMYFUNCTION("""COMPUTED_VALUE"""),"BLUE")</f>
        <v>BLUE</v>
      </c>
      <c r="G6686" s="20" t="str">
        <f>IFERROR(__xludf.DUMMYFUNCTION("""COMPUTED_VALUE"""),"Uncle Sams Cider (04/04/2023)")</f>
        <v>Uncle Sams Cider (04/04/2023)</v>
      </c>
      <c r="H6686" s="19"/>
    </row>
    <row r="6687">
      <c r="A6687" s="9"/>
      <c r="B6687" s="15"/>
      <c r="C6687" s="9">
        <f>IFERROR(__xludf.DUMMYFUNCTION("""COMPUTED_VALUE"""),45074.1280542708)</f>
        <v>45074.12805</v>
      </c>
      <c r="D6687" s="15">
        <f>IFERROR(__xludf.DUMMYFUNCTION("""COMPUTED_VALUE"""),1.008)</f>
        <v>1.008</v>
      </c>
      <c r="E6687" s="16">
        <f>IFERROR(__xludf.DUMMYFUNCTION("""COMPUTED_VALUE"""),65.0)</f>
        <v>65</v>
      </c>
      <c r="F6687" s="19" t="str">
        <f>IFERROR(__xludf.DUMMYFUNCTION("""COMPUTED_VALUE"""),"BLUE")</f>
        <v>BLUE</v>
      </c>
      <c r="G6687" s="20" t="str">
        <f>IFERROR(__xludf.DUMMYFUNCTION("""COMPUTED_VALUE"""),"Uncle Sams Cider (04/04/2023)")</f>
        <v>Uncle Sams Cider (04/04/2023)</v>
      </c>
      <c r="H6687" s="19"/>
    </row>
    <row r="6688">
      <c r="A6688" s="9"/>
      <c r="B6688" s="15"/>
      <c r="C6688" s="9">
        <f>IFERROR(__xludf.DUMMYFUNCTION("""COMPUTED_VALUE"""),45074.1176341319)</f>
        <v>45074.11763</v>
      </c>
      <c r="D6688" s="15">
        <f>IFERROR(__xludf.DUMMYFUNCTION("""COMPUTED_VALUE"""),1.009)</f>
        <v>1.009</v>
      </c>
      <c r="E6688" s="16">
        <f>IFERROR(__xludf.DUMMYFUNCTION("""COMPUTED_VALUE"""),65.0)</f>
        <v>65</v>
      </c>
      <c r="F6688" s="19" t="str">
        <f>IFERROR(__xludf.DUMMYFUNCTION("""COMPUTED_VALUE"""),"BLUE")</f>
        <v>BLUE</v>
      </c>
      <c r="G6688" s="20" t="str">
        <f>IFERROR(__xludf.DUMMYFUNCTION("""COMPUTED_VALUE"""),"Uncle Sams Cider (04/04/2023)")</f>
        <v>Uncle Sams Cider (04/04/2023)</v>
      </c>
      <c r="H6688" s="19"/>
    </row>
    <row r="6689">
      <c r="A6689" s="9"/>
      <c r="B6689" s="15"/>
      <c r="C6689" s="9">
        <f>IFERROR(__xludf.DUMMYFUNCTION("""COMPUTED_VALUE"""),45074.1072139814)</f>
        <v>45074.10721</v>
      </c>
      <c r="D6689" s="15">
        <f>IFERROR(__xludf.DUMMYFUNCTION("""COMPUTED_VALUE"""),1.009)</f>
        <v>1.009</v>
      </c>
      <c r="E6689" s="16">
        <f>IFERROR(__xludf.DUMMYFUNCTION("""COMPUTED_VALUE"""),65.0)</f>
        <v>65</v>
      </c>
      <c r="F6689" s="19" t="str">
        <f>IFERROR(__xludf.DUMMYFUNCTION("""COMPUTED_VALUE"""),"BLUE")</f>
        <v>BLUE</v>
      </c>
      <c r="G6689" s="20" t="str">
        <f>IFERROR(__xludf.DUMMYFUNCTION("""COMPUTED_VALUE"""),"Uncle Sams Cider (04/04/2023)")</f>
        <v>Uncle Sams Cider (04/04/2023)</v>
      </c>
      <c r="H6689" s="19"/>
    </row>
    <row r="6690">
      <c r="A6690" s="9"/>
      <c r="B6690" s="15"/>
      <c r="C6690" s="9">
        <f>IFERROR(__xludf.DUMMYFUNCTION("""COMPUTED_VALUE"""),45074.0967927777)</f>
        <v>45074.09679</v>
      </c>
      <c r="D6690" s="15">
        <f>IFERROR(__xludf.DUMMYFUNCTION("""COMPUTED_VALUE"""),1.009)</f>
        <v>1.009</v>
      </c>
      <c r="E6690" s="16">
        <f>IFERROR(__xludf.DUMMYFUNCTION("""COMPUTED_VALUE"""),65.0)</f>
        <v>65</v>
      </c>
      <c r="F6690" s="19" t="str">
        <f>IFERROR(__xludf.DUMMYFUNCTION("""COMPUTED_VALUE"""),"BLUE")</f>
        <v>BLUE</v>
      </c>
      <c r="G6690" s="20" t="str">
        <f>IFERROR(__xludf.DUMMYFUNCTION("""COMPUTED_VALUE"""),"Uncle Sams Cider (04/04/2023)")</f>
        <v>Uncle Sams Cider (04/04/2023)</v>
      </c>
      <c r="H6690" s="19"/>
    </row>
    <row r="6691">
      <c r="A6691" s="9"/>
      <c r="B6691" s="15"/>
      <c r="C6691" s="9">
        <f>IFERROR(__xludf.DUMMYFUNCTION("""COMPUTED_VALUE"""),45074.0863718287)</f>
        <v>45074.08637</v>
      </c>
      <c r="D6691" s="15">
        <f>IFERROR(__xludf.DUMMYFUNCTION("""COMPUTED_VALUE"""),1.009)</f>
        <v>1.009</v>
      </c>
      <c r="E6691" s="16">
        <f>IFERROR(__xludf.DUMMYFUNCTION("""COMPUTED_VALUE"""),65.0)</f>
        <v>65</v>
      </c>
      <c r="F6691" s="19" t="str">
        <f>IFERROR(__xludf.DUMMYFUNCTION("""COMPUTED_VALUE"""),"BLUE")</f>
        <v>BLUE</v>
      </c>
      <c r="G6691" s="20" t="str">
        <f>IFERROR(__xludf.DUMMYFUNCTION("""COMPUTED_VALUE"""),"Uncle Sams Cider (04/04/2023)")</f>
        <v>Uncle Sams Cider (04/04/2023)</v>
      </c>
      <c r="H6691" s="19"/>
    </row>
    <row r="6692">
      <c r="A6692" s="9"/>
      <c r="B6692" s="15"/>
      <c r="C6692" s="9">
        <f>IFERROR(__xludf.DUMMYFUNCTION("""COMPUTED_VALUE"""),45074.0759474768)</f>
        <v>45074.07595</v>
      </c>
      <c r="D6692" s="15">
        <f>IFERROR(__xludf.DUMMYFUNCTION("""COMPUTED_VALUE"""),1.009)</f>
        <v>1.009</v>
      </c>
      <c r="E6692" s="16">
        <f>IFERROR(__xludf.DUMMYFUNCTION("""COMPUTED_VALUE"""),65.0)</f>
        <v>65</v>
      </c>
      <c r="F6692" s="19" t="str">
        <f>IFERROR(__xludf.DUMMYFUNCTION("""COMPUTED_VALUE"""),"BLUE")</f>
        <v>BLUE</v>
      </c>
      <c r="G6692" s="20" t="str">
        <f>IFERROR(__xludf.DUMMYFUNCTION("""COMPUTED_VALUE"""),"Uncle Sams Cider (04/04/2023)")</f>
        <v>Uncle Sams Cider (04/04/2023)</v>
      </c>
      <c r="H6692" s="19"/>
    </row>
    <row r="6693">
      <c r="A6693" s="9"/>
      <c r="B6693" s="15"/>
      <c r="C6693" s="9">
        <f>IFERROR(__xludf.DUMMYFUNCTION("""COMPUTED_VALUE"""),45074.0655244791)</f>
        <v>45074.06552</v>
      </c>
      <c r="D6693" s="15">
        <f>IFERROR(__xludf.DUMMYFUNCTION("""COMPUTED_VALUE"""),1.009)</f>
        <v>1.009</v>
      </c>
      <c r="E6693" s="16">
        <f>IFERROR(__xludf.DUMMYFUNCTION("""COMPUTED_VALUE"""),65.0)</f>
        <v>65</v>
      </c>
      <c r="F6693" s="19" t="str">
        <f>IFERROR(__xludf.DUMMYFUNCTION("""COMPUTED_VALUE"""),"BLUE")</f>
        <v>BLUE</v>
      </c>
      <c r="G6693" s="20" t="str">
        <f>IFERROR(__xludf.DUMMYFUNCTION("""COMPUTED_VALUE"""),"Uncle Sams Cider (04/04/2023)")</f>
        <v>Uncle Sams Cider (04/04/2023)</v>
      </c>
      <c r="H6693" s="19"/>
    </row>
    <row r="6694">
      <c r="A6694" s="9"/>
      <c r="B6694" s="15"/>
      <c r="C6694" s="9">
        <f>IFERROR(__xludf.DUMMYFUNCTION("""COMPUTED_VALUE"""),45074.0551047106)</f>
        <v>45074.0551</v>
      </c>
      <c r="D6694" s="15">
        <f>IFERROR(__xludf.DUMMYFUNCTION("""COMPUTED_VALUE"""),1.009)</f>
        <v>1.009</v>
      </c>
      <c r="E6694" s="16">
        <f>IFERROR(__xludf.DUMMYFUNCTION("""COMPUTED_VALUE"""),65.0)</f>
        <v>65</v>
      </c>
      <c r="F6694" s="19" t="str">
        <f>IFERROR(__xludf.DUMMYFUNCTION("""COMPUTED_VALUE"""),"BLUE")</f>
        <v>BLUE</v>
      </c>
      <c r="G6694" s="20" t="str">
        <f>IFERROR(__xludf.DUMMYFUNCTION("""COMPUTED_VALUE"""),"Uncle Sams Cider (04/04/2023)")</f>
        <v>Uncle Sams Cider (04/04/2023)</v>
      </c>
      <c r="H6694" s="19"/>
    </row>
    <row r="6695">
      <c r="A6695" s="9"/>
      <c r="B6695" s="15"/>
      <c r="C6695" s="9">
        <f>IFERROR(__xludf.DUMMYFUNCTION("""COMPUTED_VALUE"""),45074.0446834838)</f>
        <v>45074.04468</v>
      </c>
      <c r="D6695" s="15">
        <f>IFERROR(__xludf.DUMMYFUNCTION("""COMPUTED_VALUE"""),1.009)</f>
        <v>1.009</v>
      </c>
      <c r="E6695" s="16">
        <f>IFERROR(__xludf.DUMMYFUNCTION("""COMPUTED_VALUE"""),65.0)</f>
        <v>65</v>
      </c>
      <c r="F6695" s="19" t="str">
        <f>IFERROR(__xludf.DUMMYFUNCTION("""COMPUTED_VALUE"""),"BLUE")</f>
        <v>BLUE</v>
      </c>
      <c r="G6695" s="20" t="str">
        <f>IFERROR(__xludf.DUMMYFUNCTION("""COMPUTED_VALUE"""),"Uncle Sams Cider (04/04/2023)")</f>
        <v>Uncle Sams Cider (04/04/2023)</v>
      </c>
      <c r="H6695" s="19"/>
    </row>
    <row r="6696">
      <c r="A6696" s="9"/>
      <c r="B6696" s="15"/>
      <c r="C6696" s="9">
        <f>IFERROR(__xludf.DUMMYFUNCTION("""COMPUTED_VALUE"""),45074.0342631944)</f>
        <v>45074.03426</v>
      </c>
      <c r="D6696" s="15">
        <f>IFERROR(__xludf.DUMMYFUNCTION("""COMPUTED_VALUE"""),1.009)</f>
        <v>1.009</v>
      </c>
      <c r="E6696" s="16">
        <f>IFERROR(__xludf.DUMMYFUNCTION("""COMPUTED_VALUE"""),65.0)</f>
        <v>65</v>
      </c>
      <c r="F6696" s="19" t="str">
        <f>IFERROR(__xludf.DUMMYFUNCTION("""COMPUTED_VALUE"""),"BLUE")</f>
        <v>BLUE</v>
      </c>
      <c r="G6696" s="20" t="str">
        <f>IFERROR(__xludf.DUMMYFUNCTION("""COMPUTED_VALUE"""),"Uncle Sams Cider (04/04/2023)")</f>
        <v>Uncle Sams Cider (04/04/2023)</v>
      </c>
      <c r="H6696" s="19"/>
    </row>
    <row r="6697">
      <c r="A6697" s="9"/>
      <c r="B6697" s="15"/>
      <c r="C6697" s="9">
        <f>IFERROR(__xludf.DUMMYFUNCTION("""COMPUTED_VALUE"""),45074.0238437731)</f>
        <v>45074.02384</v>
      </c>
      <c r="D6697" s="15">
        <f>IFERROR(__xludf.DUMMYFUNCTION("""COMPUTED_VALUE"""),1.009)</f>
        <v>1.009</v>
      </c>
      <c r="E6697" s="16">
        <f>IFERROR(__xludf.DUMMYFUNCTION("""COMPUTED_VALUE"""),65.0)</f>
        <v>65</v>
      </c>
      <c r="F6697" s="19" t="str">
        <f>IFERROR(__xludf.DUMMYFUNCTION("""COMPUTED_VALUE"""),"BLUE")</f>
        <v>BLUE</v>
      </c>
      <c r="G6697" s="20" t="str">
        <f>IFERROR(__xludf.DUMMYFUNCTION("""COMPUTED_VALUE"""),"Uncle Sams Cider (04/04/2023)")</f>
        <v>Uncle Sams Cider (04/04/2023)</v>
      </c>
      <c r="H6697" s="19"/>
    </row>
    <row r="6698">
      <c r="A6698" s="9"/>
      <c r="B6698" s="15"/>
      <c r="C6698" s="9">
        <f>IFERROR(__xludf.DUMMYFUNCTION("""COMPUTED_VALUE"""),45074.013422824)</f>
        <v>45074.01342</v>
      </c>
      <c r="D6698" s="15">
        <f>IFERROR(__xludf.DUMMYFUNCTION("""COMPUTED_VALUE"""),1.009)</f>
        <v>1.009</v>
      </c>
      <c r="E6698" s="16">
        <f>IFERROR(__xludf.DUMMYFUNCTION("""COMPUTED_VALUE"""),65.0)</f>
        <v>65</v>
      </c>
      <c r="F6698" s="19" t="str">
        <f>IFERROR(__xludf.DUMMYFUNCTION("""COMPUTED_VALUE"""),"BLUE")</f>
        <v>BLUE</v>
      </c>
      <c r="G6698" s="20" t="str">
        <f>IFERROR(__xludf.DUMMYFUNCTION("""COMPUTED_VALUE"""),"Uncle Sams Cider (04/04/2023)")</f>
        <v>Uncle Sams Cider (04/04/2023)</v>
      </c>
      <c r="H6698" s="19"/>
    </row>
    <row r="6699">
      <c r="A6699" s="9"/>
      <c r="B6699" s="15"/>
      <c r="C6699" s="9">
        <f>IFERROR(__xludf.DUMMYFUNCTION("""COMPUTED_VALUE"""),45074.0029891435)</f>
        <v>45074.00299</v>
      </c>
      <c r="D6699" s="15">
        <f>IFERROR(__xludf.DUMMYFUNCTION("""COMPUTED_VALUE"""),1.009)</f>
        <v>1.009</v>
      </c>
      <c r="E6699" s="16">
        <f>IFERROR(__xludf.DUMMYFUNCTION("""COMPUTED_VALUE"""),65.0)</f>
        <v>65</v>
      </c>
      <c r="F6699" s="19" t="str">
        <f>IFERROR(__xludf.DUMMYFUNCTION("""COMPUTED_VALUE"""),"BLUE")</f>
        <v>BLUE</v>
      </c>
      <c r="G6699" s="20" t="str">
        <f>IFERROR(__xludf.DUMMYFUNCTION("""COMPUTED_VALUE"""),"Uncle Sams Cider (04/04/2023)")</f>
        <v>Uncle Sams Cider (04/04/2023)</v>
      </c>
      <c r="H6699" s="19"/>
    </row>
    <row r="6700">
      <c r="A6700" s="9"/>
      <c r="B6700" s="15"/>
      <c r="C6700" s="9">
        <f>IFERROR(__xludf.DUMMYFUNCTION("""COMPUTED_VALUE"""),45073.9925674884)</f>
        <v>45073.99257</v>
      </c>
      <c r="D6700" s="15">
        <f>IFERROR(__xludf.DUMMYFUNCTION("""COMPUTED_VALUE"""),1.009)</f>
        <v>1.009</v>
      </c>
      <c r="E6700" s="16">
        <f>IFERROR(__xludf.DUMMYFUNCTION("""COMPUTED_VALUE"""),65.0)</f>
        <v>65</v>
      </c>
      <c r="F6700" s="19" t="str">
        <f>IFERROR(__xludf.DUMMYFUNCTION("""COMPUTED_VALUE"""),"BLUE")</f>
        <v>BLUE</v>
      </c>
      <c r="G6700" s="20" t="str">
        <f>IFERROR(__xludf.DUMMYFUNCTION("""COMPUTED_VALUE"""),"Uncle Sams Cider (04/04/2023)")</f>
        <v>Uncle Sams Cider (04/04/2023)</v>
      </c>
      <c r="H6700" s="19"/>
    </row>
    <row r="6701">
      <c r="A6701" s="9"/>
      <c r="B6701" s="15"/>
      <c r="C6701" s="9">
        <f>IFERROR(__xludf.DUMMYFUNCTION("""COMPUTED_VALUE"""),45073.982135625)</f>
        <v>45073.98214</v>
      </c>
      <c r="D6701" s="15">
        <f>IFERROR(__xludf.DUMMYFUNCTION("""COMPUTED_VALUE"""),1.009)</f>
        <v>1.009</v>
      </c>
      <c r="E6701" s="16">
        <f>IFERROR(__xludf.DUMMYFUNCTION("""COMPUTED_VALUE"""),65.0)</f>
        <v>65</v>
      </c>
      <c r="F6701" s="19" t="str">
        <f>IFERROR(__xludf.DUMMYFUNCTION("""COMPUTED_VALUE"""),"BLUE")</f>
        <v>BLUE</v>
      </c>
      <c r="G6701" s="20" t="str">
        <f>IFERROR(__xludf.DUMMYFUNCTION("""COMPUTED_VALUE"""),"Uncle Sams Cider (04/04/2023)")</f>
        <v>Uncle Sams Cider (04/04/2023)</v>
      </c>
      <c r="H6701" s="19"/>
    </row>
    <row r="6702">
      <c r="A6702" s="9"/>
      <c r="B6702" s="15"/>
      <c r="C6702" s="9">
        <f>IFERROR(__xludf.DUMMYFUNCTION("""COMPUTED_VALUE"""),45073.9717148495)</f>
        <v>45073.97171</v>
      </c>
      <c r="D6702" s="15">
        <f>IFERROR(__xludf.DUMMYFUNCTION("""COMPUTED_VALUE"""),1.009)</f>
        <v>1.009</v>
      </c>
      <c r="E6702" s="16">
        <f>IFERROR(__xludf.DUMMYFUNCTION("""COMPUTED_VALUE"""),65.0)</f>
        <v>65</v>
      </c>
      <c r="F6702" s="19" t="str">
        <f>IFERROR(__xludf.DUMMYFUNCTION("""COMPUTED_VALUE"""),"BLUE")</f>
        <v>BLUE</v>
      </c>
      <c r="G6702" s="20" t="str">
        <f>IFERROR(__xludf.DUMMYFUNCTION("""COMPUTED_VALUE"""),"Uncle Sams Cider (04/04/2023)")</f>
        <v>Uncle Sams Cider (04/04/2023)</v>
      </c>
      <c r="H6702" s="19"/>
    </row>
    <row r="6703">
      <c r="A6703" s="9"/>
      <c r="B6703" s="15"/>
      <c r="C6703" s="9">
        <f>IFERROR(__xludf.DUMMYFUNCTION("""COMPUTED_VALUE"""),45073.9612931481)</f>
        <v>45073.96129</v>
      </c>
      <c r="D6703" s="15">
        <f>IFERROR(__xludf.DUMMYFUNCTION("""COMPUTED_VALUE"""),1.009)</f>
        <v>1.009</v>
      </c>
      <c r="E6703" s="16">
        <f>IFERROR(__xludf.DUMMYFUNCTION("""COMPUTED_VALUE"""),65.0)</f>
        <v>65</v>
      </c>
      <c r="F6703" s="19" t="str">
        <f>IFERROR(__xludf.DUMMYFUNCTION("""COMPUTED_VALUE"""),"BLUE")</f>
        <v>BLUE</v>
      </c>
      <c r="G6703" s="20" t="str">
        <f>IFERROR(__xludf.DUMMYFUNCTION("""COMPUTED_VALUE"""),"Uncle Sams Cider (04/04/2023)")</f>
        <v>Uncle Sams Cider (04/04/2023)</v>
      </c>
      <c r="H6703" s="19"/>
    </row>
    <row r="6704">
      <c r="A6704" s="9"/>
      <c r="B6704" s="15"/>
      <c r="C6704" s="9">
        <f>IFERROR(__xludf.DUMMYFUNCTION("""COMPUTED_VALUE"""),45073.9508618402)</f>
        <v>45073.95086</v>
      </c>
      <c r="D6704" s="15">
        <f>IFERROR(__xludf.DUMMYFUNCTION("""COMPUTED_VALUE"""),1.009)</f>
        <v>1.009</v>
      </c>
      <c r="E6704" s="16">
        <f>IFERROR(__xludf.DUMMYFUNCTION("""COMPUTED_VALUE"""),65.0)</f>
        <v>65</v>
      </c>
      <c r="F6704" s="19" t="str">
        <f>IFERROR(__xludf.DUMMYFUNCTION("""COMPUTED_VALUE"""),"BLUE")</f>
        <v>BLUE</v>
      </c>
      <c r="G6704" s="20" t="str">
        <f>IFERROR(__xludf.DUMMYFUNCTION("""COMPUTED_VALUE"""),"Uncle Sams Cider (04/04/2023)")</f>
        <v>Uncle Sams Cider (04/04/2023)</v>
      </c>
      <c r="H6704" s="19"/>
    </row>
    <row r="6705">
      <c r="A6705" s="9"/>
      <c r="B6705" s="15"/>
      <c r="C6705" s="9">
        <f>IFERROR(__xludf.DUMMYFUNCTION("""COMPUTED_VALUE"""),45073.9404188657)</f>
        <v>45073.94042</v>
      </c>
      <c r="D6705" s="15">
        <f>IFERROR(__xludf.DUMMYFUNCTION("""COMPUTED_VALUE"""),1.009)</f>
        <v>1.009</v>
      </c>
      <c r="E6705" s="16">
        <f>IFERROR(__xludf.DUMMYFUNCTION("""COMPUTED_VALUE"""),65.0)</f>
        <v>65</v>
      </c>
      <c r="F6705" s="19" t="str">
        <f>IFERROR(__xludf.DUMMYFUNCTION("""COMPUTED_VALUE"""),"BLUE")</f>
        <v>BLUE</v>
      </c>
      <c r="G6705" s="20" t="str">
        <f>IFERROR(__xludf.DUMMYFUNCTION("""COMPUTED_VALUE"""),"Uncle Sams Cider (04/04/2023)")</f>
        <v>Uncle Sams Cider (04/04/2023)</v>
      </c>
      <c r="H6705" s="19"/>
    </row>
    <row r="6706">
      <c r="A6706" s="9"/>
      <c r="B6706" s="15"/>
      <c r="C6706" s="9">
        <f>IFERROR(__xludf.DUMMYFUNCTION("""COMPUTED_VALUE"""),45073.929987199)</f>
        <v>45073.92999</v>
      </c>
      <c r="D6706" s="15">
        <f>IFERROR(__xludf.DUMMYFUNCTION("""COMPUTED_VALUE"""),1.009)</f>
        <v>1.009</v>
      </c>
      <c r="E6706" s="16">
        <f>IFERROR(__xludf.DUMMYFUNCTION("""COMPUTED_VALUE"""),65.0)</f>
        <v>65</v>
      </c>
      <c r="F6706" s="19" t="str">
        <f>IFERROR(__xludf.DUMMYFUNCTION("""COMPUTED_VALUE"""),"BLUE")</f>
        <v>BLUE</v>
      </c>
      <c r="G6706" s="20" t="str">
        <f>IFERROR(__xludf.DUMMYFUNCTION("""COMPUTED_VALUE"""),"Uncle Sams Cider (04/04/2023)")</f>
        <v>Uncle Sams Cider (04/04/2023)</v>
      </c>
      <c r="H6706" s="19"/>
    </row>
    <row r="6707">
      <c r="A6707" s="9"/>
      <c r="B6707" s="15"/>
      <c r="C6707" s="9">
        <f>IFERROR(__xludf.DUMMYFUNCTION("""COMPUTED_VALUE"""),45073.9195648958)</f>
        <v>45073.91956</v>
      </c>
      <c r="D6707" s="15">
        <f>IFERROR(__xludf.DUMMYFUNCTION("""COMPUTED_VALUE"""),1.009)</f>
        <v>1.009</v>
      </c>
      <c r="E6707" s="16">
        <f>IFERROR(__xludf.DUMMYFUNCTION("""COMPUTED_VALUE"""),65.0)</f>
        <v>65</v>
      </c>
      <c r="F6707" s="19" t="str">
        <f>IFERROR(__xludf.DUMMYFUNCTION("""COMPUTED_VALUE"""),"BLUE")</f>
        <v>BLUE</v>
      </c>
      <c r="G6707" s="20" t="str">
        <f>IFERROR(__xludf.DUMMYFUNCTION("""COMPUTED_VALUE"""),"Uncle Sams Cider (04/04/2023)")</f>
        <v>Uncle Sams Cider (04/04/2023)</v>
      </c>
      <c r="H6707" s="19"/>
    </row>
    <row r="6708">
      <c r="A6708" s="9"/>
      <c r="B6708" s="15"/>
      <c r="C6708" s="9">
        <f>IFERROR(__xludf.DUMMYFUNCTION("""COMPUTED_VALUE"""),45073.9091432291)</f>
        <v>45073.90914</v>
      </c>
      <c r="D6708" s="15">
        <f>IFERROR(__xludf.DUMMYFUNCTION("""COMPUTED_VALUE"""),1.009)</f>
        <v>1.009</v>
      </c>
      <c r="E6708" s="16">
        <f>IFERROR(__xludf.DUMMYFUNCTION("""COMPUTED_VALUE"""),65.0)</f>
        <v>65</v>
      </c>
      <c r="F6708" s="19" t="str">
        <f>IFERROR(__xludf.DUMMYFUNCTION("""COMPUTED_VALUE"""),"BLUE")</f>
        <v>BLUE</v>
      </c>
      <c r="G6708" s="20" t="str">
        <f>IFERROR(__xludf.DUMMYFUNCTION("""COMPUTED_VALUE"""),"Uncle Sams Cider (04/04/2023)")</f>
        <v>Uncle Sams Cider (04/04/2023)</v>
      </c>
      <c r="H6708" s="19"/>
    </row>
    <row r="6709">
      <c r="A6709" s="9"/>
      <c r="B6709" s="15"/>
      <c r="C6709" s="9">
        <f>IFERROR(__xludf.DUMMYFUNCTION("""COMPUTED_VALUE"""),45073.8987204282)</f>
        <v>45073.89872</v>
      </c>
      <c r="D6709" s="15">
        <f>IFERROR(__xludf.DUMMYFUNCTION("""COMPUTED_VALUE"""),1.009)</f>
        <v>1.009</v>
      </c>
      <c r="E6709" s="16">
        <f>IFERROR(__xludf.DUMMYFUNCTION("""COMPUTED_VALUE"""),65.0)</f>
        <v>65</v>
      </c>
      <c r="F6709" s="19" t="str">
        <f>IFERROR(__xludf.DUMMYFUNCTION("""COMPUTED_VALUE"""),"BLUE")</f>
        <v>BLUE</v>
      </c>
      <c r="G6709" s="20" t="str">
        <f>IFERROR(__xludf.DUMMYFUNCTION("""COMPUTED_VALUE"""),"Uncle Sams Cider (04/04/2023)")</f>
        <v>Uncle Sams Cider (04/04/2023)</v>
      </c>
      <c r="H6709" s="19"/>
    </row>
    <row r="6710">
      <c r="A6710" s="9"/>
      <c r="B6710" s="15"/>
      <c r="C6710" s="9">
        <f>IFERROR(__xludf.DUMMYFUNCTION("""COMPUTED_VALUE"""),45073.8883001157)</f>
        <v>45073.8883</v>
      </c>
      <c r="D6710" s="15">
        <f>IFERROR(__xludf.DUMMYFUNCTION("""COMPUTED_VALUE"""),1.009)</f>
        <v>1.009</v>
      </c>
      <c r="E6710" s="16">
        <f>IFERROR(__xludf.DUMMYFUNCTION("""COMPUTED_VALUE"""),65.0)</f>
        <v>65</v>
      </c>
      <c r="F6710" s="19" t="str">
        <f>IFERROR(__xludf.DUMMYFUNCTION("""COMPUTED_VALUE"""),"BLUE")</f>
        <v>BLUE</v>
      </c>
      <c r="G6710" s="20" t="str">
        <f>IFERROR(__xludf.DUMMYFUNCTION("""COMPUTED_VALUE"""),"Uncle Sams Cider (04/04/2023)")</f>
        <v>Uncle Sams Cider (04/04/2023)</v>
      </c>
      <c r="H6710" s="19"/>
    </row>
    <row r="6711">
      <c r="A6711" s="9"/>
      <c r="B6711" s="15"/>
      <c r="C6711" s="9">
        <f>IFERROR(__xludf.DUMMYFUNCTION("""COMPUTED_VALUE"""),45073.8674473148)</f>
        <v>45073.86745</v>
      </c>
      <c r="D6711" s="15">
        <f>IFERROR(__xludf.DUMMYFUNCTION("""COMPUTED_VALUE"""),1.009)</f>
        <v>1.009</v>
      </c>
      <c r="E6711" s="16">
        <f>IFERROR(__xludf.DUMMYFUNCTION("""COMPUTED_VALUE"""),65.0)</f>
        <v>65</v>
      </c>
      <c r="F6711" s="19" t="str">
        <f>IFERROR(__xludf.DUMMYFUNCTION("""COMPUTED_VALUE"""),"BLUE")</f>
        <v>BLUE</v>
      </c>
      <c r="G6711" s="20" t="str">
        <f>IFERROR(__xludf.DUMMYFUNCTION("""COMPUTED_VALUE"""),"Uncle Sams Cider (04/04/2023)")</f>
        <v>Uncle Sams Cider (04/04/2023)</v>
      </c>
      <c r="H6711" s="19"/>
    </row>
    <row r="6712">
      <c r="A6712" s="9"/>
      <c r="B6712" s="15"/>
      <c r="C6712" s="9">
        <f>IFERROR(__xludf.DUMMYFUNCTION("""COMPUTED_VALUE"""),45073.8570236574)</f>
        <v>45073.85702</v>
      </c>
      <c r="D6712" s="15">
        <f>IFERROR(__xludf.DUMMYFUNCTION("""COMPUTED_VALUE"""),1.009)</f>
        <v>1.009</v>
      </c>
      <c r="E6712" s="16">
        <f>IFERROR(__xludf.DUMMYFUNCTION("""COMPUTED_VALUE"""),65.0)</f>
        <v>65</v>
      </c>
      <c r="F6712" s="19" t="str">
        <f>IFERROR(__xludf.DUMMYFUNCTION("""COMPUTED_VALUE"""),"BLUE")</f>
        <v>BLUE</v>
      </c>
      <c r="G6712" s="20" t="str">
        <f>IFERROR(__xludf.DUMMYFUNCTION("""COMPUTED_VALUE"""),"Uncle Sams Cider (04/04/2023)")</f>
        <v>Uncle Sams Cider (04/04/2023)</v>
      </c>
      <c r="H6712" s="19"/>
    </row>
    <row r="6713">
      <c r="A6713" s="9"/>
      <c r="B6713" s="15"/>
      <c r="C6713" s="9">
        <f>IFERROR(__xludf.DUMMYFUNCTION("""COMPUTED_VALUE"""),45073.8466010069)</f>
        <v>45073.8466</v>
      </c>
      <c r="D6713" s="15">
        <f>IFERROR(__xludf.DUMMYFUNCTION("""COMPUTED_VALUE"""),1.009)</f>
        <v>1.009</v>
      </c>
      <c r="E6713" s="16">
        <f>IFERROR(__xludf.DUMMYFUNCTION("""COMPUTED_VALUE"""),65.0)</f>
        <v>65</v>
      </c>
      <c r="F6713" s="19" t="str">
        <f>IFERROR(__xludf.DUMMYFUNCTION("""COMPUTED_VALUE"""),"BLUE")</f>
        <v>BLUE</v>
      </c>
      <c r="G6713" s="20" t="str">
        <f>IFERROR(__xludf.DUMMYFUNCTION("""COMPUTED_VALUE"""),"Uncle Sams Cider (04/04/2023)")</f>
        <v>Uncle Sams Cider (04/04/2023)</v>
      </c>
      <c r="H6713" s="19"/>
    </row>
    <row r="6714">
      <c r="A6714" s="9"/>
      <c r="B6714" s="15"/>
      <c r="C6714" s="9">
        <f>IFERROR(__xludf.DUMMYFUNCTION("""COMPUTED_VALUE"""),45073.8361809027)</f>
        <v>45073.83618</v>
      </c>
      <c r="D6714" s="15">
        <f>IFERROR(__xludf.DUMMYFUNCTION("""COMPUTED_VALUE"""),1.009)</f>
        <v>1.009</v>
      </c>
      <c r="E6714" s="16">
        <f>IFERROR(__xludf.DUMMYFUNCTION("""COMPUTED_VALUE"""),65.0)</f>
        <v>65</v>
      </c>
      <c r="F6714" s="19" t="str">
        <f>IFERROR(__xludf.DUMMYFUNCTION("""COMPUTED_VALUE"""),"BLUE")</f>
        <v>BLUE</v>
      </c>
      <c r="G6714" s="20" t="str">
        <f>IFERROR(__xludf.DUMMYFUNCTION("""COMPUTED_VALUE"""),"Uncle Sams Cider (04/04/2023)")</f>
        <v>Uncle Sams Cider (04/04/2023)</v>
      </c>
      <c r="H6714" s="19"/>
    </row>
    <row r="6715">
      <c r="A6715" s="9"/>
      <c r="B6715" s="15"/>
      <c r="C6715" s="9">
        <f>IFERROR(__xludf.DUMMYFUNCTION("""COMPUTED_VALUE"""),45073.8257604861)</f>
        <v>45073.82576</v>
      </c>
      <c r="D6715" s="15">
        <f>IFERROR(__xludf.DUMMYFUNCTION("""COMPUTED_VALUE"""),1.009)</f>
        <v>1.009</v>
      </c>
      <c r="E6715" s="16">
        <f>IFERROR(__xludf.DUMMYFUNCTION("""COMPUTED_VALUE"""),65.0)</f>
        <v>65</v>
      </c>
      <c r="F6715" s="19" t="str">
        <f>IFERROR(__xludf.DUMMYFUNCTION("""COMPUTED_VALUE"""),"BLUE")</f>
        <v>BLUE</v>
      </c>
      <c r="G6715" s="20" t="str">
        <f>IFERROR(__xludf.DUMMYFUNCTION("""COMPUTED_VALUE"""),"Uncle Sams Cider (04/04/2023)")</f>
        <v>Uncle Sams Cider (04/04/2023)</v>
      </c>
      <c r="H6715" s="19"/>
    </row>
    <row r="6716">
      <c r="A6716" s="9"/>
      <c r="B6716" s="15"/>
      <c r="C6716" s="9">
        <f>IFERROR(__xludf.DUMMYFUNCTION("""COMPUTED_VALUE"""),45073.8153385185)</f>
        <v>45073.81534</v>
      </c>
      <c r="D6716" s="15">
        <f>IFERROR(__xludf.DUMMYFUNCTION("""COMPUTED_VALUE"""),1.009)</f>
        <v>1.009</v>
      </c>
      <c r="E6716" s="16">
        <f>IFERROR(__xludf.DUMMYFUNCTION("""COMPUTED_VALUE"""),65.0)</f>
        <v>65</v>
      </c>
      <c r="F6716" s="19" t="str">
        <f>IFERROR(__xludf.DUMMYFUNCTION("""COMPUTED_VALUE"""),"BLUE")</f>
        <v>BLUE</v>
      </c>
      <c r="G6716" s="20" t="str">
        <f>IFERROR(__xludf.DUMMYFUNCTION("""COMPUTED_VALUE"""),"Uncle Sams Cider (04/04/2023)")</f>
        <v>Uncle Sams Cider (04/04/2023)</v>
      </c>
      <c r="H6716" s="19"/>
    </row>
    <row r="6717">
      <c r="A6717" s="9"/>
      <c r="B6717" s="15"/>
      <c r="C6717" s="9">
        <f>IFERROR(__xludf.DUMMYFUNCTION("""COMPUTED_VALUE"""),45073.804915868)</f>
        <v>45073.80492</v>
      </c>
      <c r="D6717" s="15">
        <f>IFERROR(__xludf.DUMMYFUNCTION("""COMPUTED_VALUE"""),1.009)</f>
        <v>1.009</v>
      </c>
      <c r="E6717" s="16">
        <f>IFERROR(__xludf.DUMMYFUNCTION("""COMPUTED_VALUE"""),65.0)</f>
        <v>65</v>
      </c>
      <c r="F6717" s="19" t="str">
        <f>IFERROR(__xludf.DUMMYFUNCTION("""COMPUTED_VALUE"""),"BLUE")</f>
        <v>BLUE</v>
      </c>
      <c r="G6717" s="20" t="str">
        <f>IFERROR(__xludf.DUMMYFUNCTION("""COMPUTED_VALUE"""),"Uncle Sams Cider (04/04/2023)")</f>
        <v>Uncle Sams Cider (04/04/2023)</v>
      </c>
      <c r="H6717" s="19"/>
    </row>
    <row r="6718">
      <c r="A6718" s="9"/>
      <c r="B6718" s="15"/>
      <c r="C6718" s="9">
        <f>IFERROR(__xludf.DUMMYFUNCTION("""COMPUTED_VALUE"""),45073.7944959606)</f>
        <v>45073.7945</v>
      </c>
      <c r="D6718" s="15">
        <f>IFERROR(__xludf.DUMMYFUNCTION("""COMPUTED_VALUE"""),1.009)</f>
        <v>1.009</v>
      </c>
      <c r="E6718" s="16">
        <f>IFERROR(__xludf.DUMMYFUNCTION("""COMPUTED_VALUE"""),65.0)</f>
        <v>65</v>
      </c>
      <c r="F6718" s="19" t="str">
        <f>IFERROR(__xludf.DUMMYFUNCTION("""COMPUTED_VALUE"""),"BLUE")</f>
        <v>BLUE</v>
      </c>
      <c r="G6718" s="20" t="str">
        <f>IFERROR(__xludf.DUMMYFUNCTION("""COMPUTED_VALUE"""),"Uncle Sams Cider (04/04/2023)")</f>
        <v>Uncle Sams Cider (04/04/2023)</v>
      </c>
      <c r="H6718" s="19"/>
    </row>
    <row r="6719">
      <c r="A6719" s="9"/>
      <c r="B6719" s="15"/>
      <c r="C6719" s="9">
        <f>IFERROR(__xludf.DUMMYFUNCTION("""COMPUTED_VALUE"""),45073.7840756365)</f>
        <v>45073.78408</v>
      </c>
      <c r="D6719" s="15">
        <f>IFERROR(__xludf.DUMMYFUNCTION("""COMPUTED_VALUE"""),1.009)</f>
        <v>1.009</v>
      </c>
      <c r="E6719" s="16">
        <f>IFERROR(__xludf.DUMMYFUNCTION("""COMPUTED_VALUE"""),65.0)</f>
        <v>65</v>
      </c>
      <c r="F6719" s="19" t="str">
        <f>IFERROR(__xludf.DUMMYFUNCTION("""COMPUTED_VALUE"""),"BLUE")</f>
        <v>BLUE</v>
      </c>
      <c r="G6719" s="20" t="str">
        <f>IFERROR(__xludf.DUMMYFUNCTION("""COMPUTED_VALUE"""),"Uncle Sams Cider (04/04/2023)")</f>
        <v>Uncle Sams Cider (04/04/2023)</v>
      </c>
      <c r="H6719" s="19"/>
    </row>
    <row r="6720">
      <c r="A6720" s="9"/>
      <c r="B6720" s="15"/>
      <c r="C6720" s="9">
        <f>IFERROR(__xludf.DUMMYFUNCTION("""COMPUTED_VALUE"""),45073.7736543634)</f>
        <v>45073.77365</v>
      </c>
      <c r="D6720" s="15">
        <f>IFERROR(__xludf.DUMMYFUNCTION("""COMPUTED_VALUE"""),1.009)</f>
        <v>1.009</v>
      </c>
      <c r="E6720" s="16">
        <f>IFERROR(__xludf.DUMMYFUNCTION("""COMPUTED_VALUE"""),65.0)</f>
        <v>65</v>
      </c>
      <c r="F6720" s="19" t="str">
        <f>IFERROR(__xludf.DUMMYFUNCTION("""COMPUTED_VALUE"""),"BLUE")</f>
        <v>BLUE</v>
      </c>
      <c r="G6720" s="20" t="str">
        <f>IFERROR(__xludf.DUMMYFUNCTION("""COMPUTED_VALUE"""),"Uncle Sams Cider (04/04/2023)")</f>
        <v>Uncle Sams Cider (04/04/2023)</v>
      </c>
      <c r="H6720" s="19"/>
    </row>
    <row r="6721">
      <c r="A6721" s="9"/>
      <c r="B6721" s="15"/>
      <c r="C6721" s="9">
        <f>IFERROR(__xludf.DUMMYFUNCTION("""COMPUTED_VALUE"""),45073.7632330092)</f>
        <v>45073.76323</v>
      </c>
      <c r="D6721" s="15">
        <f>IFERROR(__xludf.DUMMYFUNCTION("""COMPUTED_VALUE"""),1.009)</f>
        <v>1.009</v>
      </c>
      <c r="E6721" s="16">
        <f>IFERROR(__xludf.DUMMYFUNCTION("""COMPUTED_VALUE"""),65.0)</f>
        <v>65</v>
      </c>
      <c r="F6721" s="19" t="str">
        <f>IFERROR(__xludf.DUMMYFUNCTION("""COMPUTED_VALUE"""),"BLUE")</f>
        <v>BLUE</v>
      </c>
      <c r="G6721" s="20" t="str">
        <f>IFERROR(__xludf.DUMMYFUNCTION("""COMPUTED_VALUE"""),"Uncle Sams Cider (04/04/2023)")</f>
        <v>Uncle Sams Cider (04/04/2023)</v>
      </c>
      <c r="H6721" s="19"/>
    </row>
    <row r="6722">
      <c r="A6722" s="9"/>
      <c r="B6722" s="15"/>
      <c r="C6722" s="9">
        <f>IFERROR(__xludf.DUMMYFUNCTION("""COMPUTED_VALUE"""),45073.752812037)</f>
        <v>45073.75281</v>
      </c>
      <c r="D6722" s="15">
        <f>IFERROR(__xludf.DUMMYFUNCTION("""COMPUTED_VALUE"""),1.009)</f>
        <v>1.009</v>
      </c>
      <c r="E6722" s="16">
        <f>IFERROR(__xludf.DUMMYFUNCTION("""COMPUTED_VALUE"""),65.0)</f>
        <v>65</v>
      </c>
      <c r="F6722" s="19" t="str">
        <f>IFERROR(__xludf.DUMMYFUNCTION("""COMPUTED_VALUE"""),"BLUE")</f>
        <v>BLUE</v>
      </c>
      <c r="G6722" s="20" t="str">
        <f>IFERROR(__xludf.DUMMYFUNCTION("""COMPUTED_VALUE"""),"Uncle Sams Cider (04/04/2023)")</f>
        <v>Uncle Sams Cider (04/04/2023)</v>
      </c>
      <c r="H6722" s="19"/>
    </row>
    <row r="6723">
      <c r="A6723" s="9"/>
      <c r="B6723" s="15"/>
      <c r="C6723" s="9">
        <f>IFERROR(__xludf.DUMMYFUNCTION("""COMPUTED_VALUE"""),45073.7423790393)</f>
        <v>45073.74238</v>
      </c>
      <c r="D6723" s="15">
        <f>IFERROR(__xludf.DUMMYFUNCTION("""COMPUTED_VALUE"""),1.009)</f>
        <v>1.009</v>
      </c>
      <c r="E6723" s="16">
        <f>IFERROR(__xludf.DUMMYFUNCTION("""COMPUTED_VALUE"""),65.0)</f>
        <v>65</v>
      </c>
      <c r="F6723" s="19" t="str">
        <f>IFERROR(__xludf.DUMMYFUNCTION("""COMPUTED_VALUE"""),"BLUE")</f>
        <v>BLUE</v>
      </c>
      <c r="G6723" s="20" t="str">
        <f>IFERROR(__xludf.DUMMYFUNCTION("""COMPUTED_VALUE"""),"Uncle Sams Cider (04/04/2023)")</f>
        <v>Uncle Sams Cider (04/04/2023)</v>
      </c>
      <c r="H6723" s="19"/>
    </row>
    <row r="6724">
      <c r="A6724" s="9"/>
      <c r="B6724" s="15"/>
      <c r="C6724" s="9">
        <f>IFERROR(__xludf.DUMMYFUNCTION("""COMPUTED_VALUE"""),45073.7319467245)</f>
        <v>45073.73195</v>
      </c>
      <c r="D6724" s="15">
        <f>IFERROR(__xludf.DUMMYFUNCTION("""COMPUTED_VALUE"""),1.009)</f>
        <v>1.009</v>
      </c>
      <c r="E6724" s="16">
        <f>IFERROR(__xludf.DUMMYFUNCTION("""COMPUTED_VALUE"""),65.0)</f>
        <v>65</v>
      </c>
      <c r="F6724" s="19" t="str">
        <f>IFERROR(__xludf.DUMMYFUNCTION("""COMPUTED_VALUE"""),"BLUE")</f>
        <v>BLUE</v>
      </c>
      <c r="G6724" s="20" t="str">
        <f>IFERROR(__xludf.DUMMYFUNCTION("""COMPUTED_VALUE"""),"Uncle Sams Cider (04/04/2023)")</f>
        <v>Uncle Sams Cider (04/04/2023)</v>
      </c>
      <c r="H6724" s="19"/>
    </row>
    <row r="6725">
      <c r="A6725" s="9"/>
      <c r="B6725" s="15"/>
      <c r="C6725" s="9">
        <f>IFERROR(__xludf.DUMMYFUNCTION("""COMPUTED_VALUE"""),45073.7215241435)</f>
        <v>45073.72152</v>
      </c>
      <c r="D6725" s="15">
        <f>IFERROR(__xludf.DUMMYFUNCTION("""COMPUTED_VALUE"""),1.009)</f>
        <v>1.009</v>
      </c>
      <c r="E6725" s="16">
        <f>IFERROR(__xludf.DUMMYFUNCTION("""COMPUTED_VALUE"""),65.0)</f>
        <v>65</v>
      </c>
      <c r="F6725" s="19" t="str">
        <f>IFERROR(__xludf.DUMMYFUNCTION("""COMPUTED_VALUE"""),"BLUE")</f>
        <v>BLUE</v>
      </c>
      <c r="G6725" s="20" t="str">
        <f>IFERROR(__xludf.DUMMYFUNCTION("""COMPUTED_VALUE"""),"Uncle Sams Cider (04/04/2023)")</f>
        <v>Uncle Sams Cider (04/04/2023)</v>
      </c>
      <c r="H6725" s="19"/>
    </row>
    <row r="6726">
      <c r="A6726" s="9"/>
      <c r="B6726" s="15"/>
      <c r="C6726" s="9">
        <f>IFERROR(__xludf.DUMMYFUNCTION("""COMPUTED_VALUE"""),45073.71110478)</f>
        <v>45073.7111</v>
      </c>
      <c r="D6726" s="15">
        <f>IFERROR(__xludf.DUMMYFUNCTION("""COMPUTED_VALUE"""),1.009)</f>
        <v>1.009</v>
      </c>
      <c r="E6726" s="16">
        <f>IFERROR(__xludf.DUMMYFUNCTION("""COMPUTED_VALUE"""),65.0)</f>
        <v>65</v>
      </c>
      <c r="F6726" s="19" t="str">
        <f>IFERROR(__xludf.DUMMYFUNCTION("""COMPUTED_VALUE"""),"BLUE")</f>
        <v>BLUE</v>
      </c>
      <c r="G6726" s="20" t="str">
        <f>IFERROR(__xludf.DUMMYFUNCTION("""COMPUTED_VALUE"""),"Uncle Sams Cider (04/04/2023)")</f>
        <v>Uncle Sams Cider (04/04/2023)</v>
      </c>
      <c r="H6726" s="19"/>
    </row>
    <row r="6727">
      <c r="A6727" s="9"/>
      <c r="B6727" s="15"/>
      <c r="C6727" s="9">
        <f>IFERROR(__xludf.DUMMYFUNCTION("""COMPUTED_VALUE"""),45073.7006829745)</f>
        <v>45073.70068</v>
      </c>
      <c r="D6727" s="15">
        <f>IFERROR(__xludf.DUMMYFUNCTION("""COMPUTED_VALUE"""),1.009)</f>
        <v>1.009</v>
      </c>
      <c r="E6727" s="16">
        <f>IFERROR(__xludf.DUMMYFUNCTION("""COMPUTED_VALUE"""),65.0)</f>
        <v>65</v>
      </c>
      <c r="F6727" s="19" t="str">
        <f>IFERROR(__xludf.DUMMYFUNCTION("""COMPUTED_VALUE"""),"BLUE")</f>
        <v>BLUE</v>
      </c>
      <c r="G6727" s="20" t="str">
        <f>IFERROR(__xludf.DUMMYFUNCTION("""COMPUTED_VALUE"""),"Uncle Sams Cider (04/04/2023)")</f>
        <v>Uncle Sams Cider (04/04/2023)</v>
      </c>
      <c r="H6727" s="19"/>
    </row>
    <row r="6728">
      <c r="A6728" s="9"/>
      <c r="B6728" s="15"/>
      <c r="C6728" s="9">
        <f>IFERROR(__xludf.DUMMYFUNCTION("""COMPUTED_VALUE"""),45073.6902617245)</f>
        <v>45073.69026</v>
      </c>
      <c r="D6728" s="15">
        <f>IFERROR(__xludf.DUMMYFUNCTION("""COMPUTED_VALUE"""),1.009)</f>
        <v>1.009</v>
      </c>
      <c r="E6728" s="16">
        <f>IFERROR(__xludf.DUMMYFUNCTION("""COMPUTED_VALUE"""),65.0)</f>
        <v>65</v>
      </c>
      <c r="F6728" s="19" t="str">
        <f>IFERROR(__xludf.DUMMYFUNCTION("""COMPUTED_VALUE"""),"BLUE")</f>
        <v>BLUE</v>
      </c>
      <c r="G6728" s="20" t="str">
        <f>IFERROR(__xludf.DUMMYFUNCTION("""COMPUTED_VALUE"""),"Uncle Sams Cider (04/04/2023)")</f>
        <v>Uncle Sams Cider (04/04/2023)</v>
      </c>
      <c r="H6728" s="19"/>
    </row>
    <row r="6729">
      <c r="A6729" s="9"/>
      <c r="B6729" s="15"/>
      <c r="C6729" s="9">
        <f>IFERROR(__xludf.DUMMYFUNCTION("""COMPUTED_VALUE"""),45073.6798426157)</f>
        <v>45073.67984</v>
      </c>
      <c r="D6729" s="15">
        <f>IFERROR(__xludf.DUMMYFUNCTION("""COMPUTED_VALUE"""),1.009)</f>
        <v>1.009</v>
      </c>
      <c r="E6729" s="16">
        <f>IFERROR(__xludf.DUMMYFUNCTION("""COMPUTED_VALUE"""),65.0)</f>
        <v>65</v>
      </c>
      <c r="F6729" s="19" t="str">
        <f>IFERROR(__xludf.DUMMYFUNCTION("""COMPUTED_VALUE"""),"BLUE")</f>
        <v>BLUE</v>
      </c>
      <c r="G6729" s="20" t="str">
        <f>IFERROR(__xludf.DUMMYFUNCTION("""COMPUTED_VALUE"""),"Uncle Sams Cider (04/04/2023)")</f>
        <v>Uncle Sams Cider (04/04/2023)</v>
      </c>
      <c r="H6729" s="19"/>
    </row>
    <row r="6730">
      <c r="A6730" s="9"/>
      <c r="B6730" s="15"/>
      <c r="C6730" s="9">
        <f>IFERROR(__xludf.DUMMYFUNCTION("""COMPUTED_VALUE"""),45073.6694235995)</f>
        <v>45073.66942</v>
      </c>
      <c r="D6730" s="15">
        <f>IFERROR(__xludf.DUMMYFUNCTION("""COMPUTED_VALUE"""),1.009)</f>
        <v>1.009</v>
      </c>
      <c r="E6730" s="16">
        <f>IFERROR(__xludf.DUMMYFUNCTION("""COMPUTED_VALUE"""),65.0)</f>
        <v>65</v>
      </c>
      <c r="F6730" s="19" t="str">
        <f>IFERROR(__xludf.DUMMYFUNCTION("""COMPUTED_VALUE"""),"BLUE")</f>
        <v>BLUE</v>
      </c>
      <c r="G6730" s="20" t="str">
        <f>IFERROR(__xludf.DUMMYFUNCTION("""COMPUTED_VALUE"""),"Uncle Sams Cider (04/04/2023)")</f>
        <v>Uncle Sams Cider (04/04/2023)</v>
      </c>
      <c r="H6730" s="19"/>
    </row>
    <row r="6731">
      <c r="A6731" s="9"/>
      <c r="B6731" s="15"/>
      <c r="C6731" s="9">
        <f>IFERROR(__xludf.DUMMYFUNCTION("""COMPUTED_VALUE"""),45073.6590031481)</f>
        <v>45073.659</v>
      </c>
      <c r="D6731" s="15">
        <f>IFERROR(__xludf.DUMMYFUNCTION("""COMPUTED_VALUE"""),1.009)</f>
        <v>1.009</v>
      </c>
      <c r="E6731" s="16">
        <f>IFERROR(__xludf.DUMMYFUNCTION("""COMPUTED_VALUE"""),65.0)</f>
        <v>65</v>
      </c>
      <c r="F6731" s="19" t="str">
        <f>IFERROR(__xludf.DUMMYFUNCTION("""COMPUTED_VALUE"""),"BLUE")</f>
        <v>BLUE</v>
      </c>
      <c r="G6731" s="20" t="str">
        <f>IFERROR(__xludf.DUMMYFUNCTION("""COMPUTED_VALUE"""),"Uncle Sams Cider (04/04/2023)")</f>
        <v>Uncle Sams Cider (04/04/2023)</v>
      </c>
      <c r="H6731" s="19"/>
    </row>
    <row r="6732">
      <c r="A6732" s="9"/>
      <c r="B6732" s="15"/>
      <c r="C6732" s="9">
        <f>IFERROR(__xludf.DUMMYFUNCTION("""COMPUTED_VALUE"""),45073.6485824884)</f>
        <v>45073.64858</v>
      </c>
      <c r="D6732" s="15">
        <f>IFERROR(__xludf.DUMMYFUNCTION("""COMPUTED_VALUE"""),1.009)</f>
        <v>1.009</v>
      </c>
      <c r="E6732" s="16">
        <f>IFERROR(__xludf.DUMMYFUNCTION("""COMPUTED_VALUE"""),65.0)</f>
        <v>65</v>
      </c>
      <c r="F6732" s="19" t="str">
        <f>IFERROR(__xludf.DUMMYFUNCTION("""COMPUTED_VALUE"""),"BLUE")</f>
        <v>BLUE</v>
      </c>
      <c r="G6732" s="20" t="str">
        <f>IFERROR(__xludf.DUMMYFUNCTION("""COMPUTED_VALUE"""),"Uncle Sams Cider (04/04/2023)")</f>
        <v>Uncle Sams Cider (04/04/2023)</v>
      </c>
      <c r="H6732" s="19"/>
    </row>
    <row r="6733">
      <c r="A6733" s="9"/>
      <c r="B6733" s="15"/>
      <c r="C6733" s="9">
        <f>IFERROR(__xludf.DUMMYFUNCTION("""COMPUTED_VALUE"""),45073.6381624189)</f>
        <v>45073.63816</v>
      </c>
      <c r="D6733" s="15">
        <f>IFERROR(__xludf.DUMMYFUNCTION("""COMPUTED_VALUE"""),1.009)</f>
        <v>1.009</v>
      </c>
      <c r="E6733" s="16">
        <f>IFERROR(__xludf.DUMMYFUNCTION("""COMPUTED_VALUE"""),65.0)</f>
        <v>65</v>
      </c>
      <c r="F6733" s="19" t="str">
        <f>IFERROR(__xludf.DUMMYFUNCTION("""COMPUTED_VALUE"""),"BLUE")</f>
        <v>BLUE</v>
      </c>
      <c r="G6733" s="20" t="str">
        <f>IFERROR(__xludf.DUMMYFUNCTION("""COMPUTED_VALUE"""),"Uncle Sams Cider (04/04/2023)")</f>
        <v>Uncle Sams Cider (04/04/2023)</v>
      </c>
      <c r="H6733" s="19"/>
    </row>
    <row r="6734">
      <c r="A6734" s="9"/>
      <c r="B6734" s="15"/>
      <c r="C6734" s="9">
        <f>IFERROR(__xludf.DUMMYFUNCTION("""COMPUTED_VALUE"""),45073.6277413657)</f>
        <v>45073.62774</v>
      </c>
      <c r="D6734" s="15">
        <f>IFERROR(__xludf.DUMMYFUNCTION("""COMPUTED_VALUE"""),1.009)</f>
        <v>1.009</v>
      </c>
      <c r="E6734" s="16">
        <f>IFERROR(__xludf.DUMMYFUNCTION("""COMPUTED_VALUE"""),65.0)</f>
        <v>65</v>
      </c>
      <c r="F6734" s="19" t="str">
        <f>IFERROR(__xludf.DUMMYFUNCTION("""COMPUTED_VALUE"""),"BLUE")</f>
        <v>BLUE</v>
      </c>
      <c r="G6734" s="20" t="str">
        <f>IFERROR(__xludf.DUMMYFUNCTION("""COMPUTED_VALUE"""),"Uncle Sams Cider (04/04/2023)")</f>
        <v>Uncle Sams Cider (04/04/2023)</v>
      </c>
      <c r="H6734" s="19"/>
    </row>
    <row r="6735">
      <c r="A6735" s="9"/>
      <c r="B6735" s="15"/>
      <c r="C6735" s="9">
        <f>IFERROR(__xludf.DUMMYFUNCTION("""COMPUTED_VALUE"""),45073.6173205902)</f>
        <v>45073.61732</v>
      </c>
      <c r="D6735" s="15">
        <f>IFERROR(__xludf.DUMMYFUNCTION("""COMPUTED_VALUE"""),1.009)</f>
        <v>1.009</v>
      </c>
      <c r="E6735" s="16">
        <f>IFERROR(__xludf.DUMMYFUNCTION("""COMPUTED_VALUE"""),65.0)</f>
        <v>65</v>
      </c>
      <c r="F6735" s="19" t="str">
        <f>IFERROR(__xludf.DUMMYFUNCTION("""COMPUTED_VALUE"""),"BLUE")</f>
        <v>BLUE</v>
      </c>
      <c r="G6735" s="20" t="str">
        <f>IFERROR(__xludf.DUMMYFUNCTION("""COMPUTED_VALUE"""),"Uncle Sams Cider (04/04/2023)")</f>
        <v>Uncle Sams Cider (04/04/2023)</v>
      </c>
      <c r="H6735" s="19"/>
    </row>
    <row r="6736">
      <c r="A6736" s="9"/>
      <c r="B6736" s="15"/>
      <c r="C6736" s="9">
        <f>IFERROR(__xludf.DUMMYFUNCTION("""COMPUTED_VALUE"""),45073.6069009606)</f>
        <v>45073.6069</v>
      </c>
      <c r="D6736" s="15">
        <f>IFERROR(__xludf.DUMMYFUNCTION("""COMPUTED_VALUE"""),1.009)</f>
        <v>1.009</v>
      </c>
      <c r="E6736" s="16">
        <f>IFERROR(__xludf.DUMMYFUNCTION("""COMPUTED_VALUE"""),65.0)</f>
        <v>65</v>
      </c>
      <c r="F6736" s="19" t="str">
        <f>IFERROR(__xludf.DUMMYFUNCTION("""COMPUTED_VALUE"""),"BLUE")</f>
        <v>BLUE</v>
      </c>
      <c r="G6736" s="20" t="str">
        <f>IFERROR(__xludf.DUMMYFUNCTION("""COMPUTED_VALUE"""),"Uncle Sams Cider (04/04/2023)")</f>
        <v>Uncle Sams Cider (04/04/2023)</v>
      </c>
      <c r="H6736" s="19"/>
    </row>
    <row r="6737">
      <c r="A6737" s="9"/>
      <c r="B6737" s="15"/>
      <c r="C6737" s="9">
        <f>IFERROR(__xludf.DUMMYFUNCTION("""COMPUTED_VALUE"""),45073.5964437963)</f>
        <v>45073.59644</v>
      </c>
      <c r="D6737" s="15">
        <f>IFERROR(__xludf.DUMMYFUNCTION("""COMPUTED_VALUE"""),1.009)</f>
        <v>1.009</v>
      </c>
      <c r="E6737" s="16">
        <f>IFERROR(__xludf.DUMMYFUNCTION("""COMPUTED_VALUE"""),65.0)</f>
        <v>65</v>
      </c>
      <c r="F6737" s="19" t="str">
        <f>IFERROR(__xludf.DUMMYFUNCTION("""COMPUTED_VALUE"""),"BLUE")</f>
        <v>BLUE</v>
      </c>
      <c r="G6737" s="20" t="str">
        <f>IFERROR(__xludf.DUMMYFUNCTION("""COMPUTED_VALUE"""),"Uncle Sams Cider (04/04/2023)")</f>
        <v>Uncle Sams Cider (04/04/2023)</v>
      </c>
      <c r="H6737" s="19"/>
    </row>
    <row r="6738">
      <c r="A6738" s="9"/>
      <c r="B6738" s="15"/>
      <c r="C6738" s="9">
        <f>IFERROR(__xludf.DUMMYFUNCTION("""COMPUTED_VALUE"""),45073.586023125)</f>
        <v>45073.58602</v>
      </c>
      <c r="D6738" s="15">
        <f>IFERROR(__xludf.DUMMYFUNCTION("""COMPUTED_VALUE"""),1.009)</f>
        <v>1.009</v>
      </c>
      <c r="E6738" s="16">
        <f>IFERROR(__xludf.DUMMYFUNCTION("""COMPUTED_VALUE"""),65.0)</f>
        <v>65</v>
      </c>
      <c r="F6738" s="19" t="str">
        <f>IFERROR(__xludf.DUMMYFUNCTION("""COMPUTED_VALUE"""),"BLUE")</f>
        <v>BLUE</v>
      </c>
      <c r="G6738" s="20" t="str">
        <f>IFERROR(__xludf.DUMMYFUNCTION("""COMPUTED_VALUE"""),"Uncle Sams Cider (04/04/2023)")</f>
        <v>Uncle Sams Cider (04/04/2023)</v>
      </c>
      <c r="H6738" s="19"/>
    </row>
    <row r="6739">
      <c r="A6739" s="9"/>
      <c r="B6739" s="15"/>
      <c r="C6739" s="9">
        <f>IFERROR(__xludf.DUMMYFUNCTION("""COMPUTED_VALUE"""),45073.5756007407)</f>
        <v>45073.5756</v>
      </c>
      <c r="D6739" s="15">
        <f>IFERROR(__xludf.DUMMYFUNCTION("""COMPUTED_VALUE"""),1.009)</f>
        <v>1.009</v>
      </c>
      <c r="E6739" s="16">
        <f>IFERROR(__xludf.DUMMYFUNCTION("""COMPUTED_VALUE"""),65.0)</f>
        <v>65</v>
      </c>
      <c r="F6739" s="19" t="str">
        <f>IFERROR(__xludf.DUMMYFUNCTION("""COMPUTED_VALUE"""),"BLUE")</f>
        <v>BLUE</v>
      </c>
      <c r="G6739" s="20" t="str">
        <f>IFERROR(__xludf.DUMMYFUNCTION("""COMPUTED_VALUE"""),"Uncle Sams Cider (04/04/2023)")</f>
        <v>Uncle Sams Cider (04/04/2023)</v>
      </c>
      <c r="H6739" s="19"/>
    </row>
    <row r="6740">
      <c r="A6740" s="9"/>
      <c r="B6740" s="15"/>
      <c r="C6740" s="9">
        <f>IFERROR(__xludf.DUMMYFUNCTION("""COMPUTED_VALUE"""),45073.5651805092)</f>
        <v>45073.56518</v>
      </c>
      <c r="D6740" s="15">
        <f>IFERROR(__xludf.DUMMYFUNCTION("""COMPUTED_VALUE"""),1.009)</f>
        <v>1.009</v>
      </c>
      <c r="E6740" s="16">
        <f>IFERROR(__xludf.DUMMYFUNCTION("""COMPUTED_VALUE"""),65.0)</f>
        <v>65</v>
      </c>
      <c r="F6740" s="19" t="str">
        <f>IFERROR(__xludf.DUMMYFUNCTION("""COMPUTED_VALUE"""),"BLUE")</f>
        <v>BLUE</v>
      </c>
      <c r="G6740" s="20" t="str">
        <f>IFERROR(__xludf.DUMMYFUNCTION("""COMPUTED_VALUE"""),"Uncle Sams Cider (04/04/2023)")</f>
        <v>Uncle Sams Cider (04/04/2023)</v>
      </c>
      <c r="H6740" s="19"/>
    </row>
    <row r="6741">
      <c r="A6741" s="9"/>
      <c r="B6741" s="15"/>
      <c r="C6741" s="9">
        <f>IFERROR(__xludf.DUMMYFUNCTION("""COMPUTED_VALUE"""),45073.5547598726)</f>
        <v>45073.55476</v>
      </c>
      <c r="D6741" s="15">
        <f>IFERROR(__xludf.DUMMYFUNCTION("""COMPUTED_VALUE"""),1.009)</f>
        <v>1.009</v>
      </c>
      <c r="E6741" s="16">
        <f>IFERROR(__xludf.DUMMYFUNCTION("""COMPUTED_VALUE"""),65.0)</f>
        <v>65</v>
      </c>
      <c r="F6741" s="19" t="str">
        <f>IFERROR(__xludf.DUMMYFUNCTION("""COMPUTED_VALUE"""),"BLUE")</f>
        <v>BLUE</v>
      </c>
      <c r="G6741" s="20" t="str">
        <f>IFERROR(__xludf.DUMMYFUNCTION("""COMPUTED_VALUE"""),"Uncle Sams Cider (04/04/2023)")</f>
        <v>Uncle Sams Cider (04/04/2023)</v>
      </c>
      <c r="H6741" s="19"/>
    </row>
    <row r="6742">
      <c r="A6742" s="9"/>
      <c r="B6742" s="15"/>
      <c r="C6742" s="9">
        <f>IFERROR(__xludf.DUMMYFUNCTION("""COMPUTED_VALUE"""),45073.5443391203)</f>
        <v>45073.54434</v>
      </c>
      <c r="D6742" s="15">
        <f>IFERROR(__xludf.DUMMYFUNCTION("""COMPUTED_VALUE"""),1.009)</f>
        <v>1.009</v>
      </c>
      <c r="E6742" s="16">
        <f>IFERROR(__xludf.DUMMYFUNCTION("""COMPUTED_VALUE"""),65.0)</f>
        <v>65</v>
      </c>
      <c r="F6742" s="19" t="str">
        <f>IFERROR(__xludf.DUMMYFUNCTION("""COMPUTED_VALUE"""),"BLUE")</f>
        <v>BLUE</v>
      </c>
      <c r="G6742" s="20" t="str">
        <f>IFERROR(__xludf.DUMMYFUNCTION("""COMPUTED_VALUE"""),"Uncle Sams Cider (04/04/2023)")</f>
        <v>Uncle Sams Cider (04/04/2023)</v>
      </c>
      <c r="H6742" s="19"/>
    </row>
    <row r="6743">
      <c r="A6743" s="9"/>
      <c r="B6743" s="15"/>
      <c r="C6743" s="9">
        <f>IFERROR(__xludf.DUMMYFUNCTION("""COMPUTED_VALUE"""),45073.5339190856)</f>
        <v>45073.53392</v>
      </c>
      <c r="D6743" s="15">
        <f>IFERROR(__xludf.DUMMYFUNCTION("""COMPUTED_VALUE"""),1.009)</f>
        <v>1.009</v>
      </c>
      <c r="E6743" s="16">
        <f>IFERROR(__xludf.DUMMYFUNCTION("""COMPUTED_VALUE"""),65.0)</f>
        <v>65</v>
      </c>
      <c r="F6743" s="19" t="str">
        <f>IFERROR(__xludf.DUMMYFUNCTION("""COMPUTED_VALUE"""),"BLUE")</f>
        <v>BLUE</v>
      </c>
      <c r="G6743" s="20" t="str">
        <f>IFERROR(__xludf.DUMMYFUNCTION("""COMPUTED_VALUE"""),"Uncle Sams Cider (04/04/2023)")</f>
        <v>Uncle Sams Cider (04/04/2023)</v>
      </c>
      <c r="H6743" s="19"/>
    </row>
    <row r="6744">
      <c r="A6744" s="9"/>
      <c r="B6744" s="15"/>
      <c r="C6744" s="9">
        <f>IFERROR(__xludf.DUMMYFUNCTION("""COMPUTED_VALUE"""),45073.5234976851)</f>
        <v>45073.5235</v>
      </c>
      <c r="D6744" s="15">
        <f>IFERROR(__xludf.DUMMYFUNCTION("""COMPUTED_VALUE"""),1.009)</f>
        <v>1.009</v>
      </c>
      <c r="E6744" s="16">
        <f>IFERROR(__xludf.DUMMYFUNCTION("""COMPUTED_VALUE"""),65.0)</f>
        <v>65</v>
      </c>
      <c r="F6744" s="19" t="str">
        <f>IFERROR(__xludf.DUMMYFUNCTION("""COMPUTED_VALUE"""),"BLUE")</f>
        <v>BLUE</v>
      </c>
      <c r="G6744" s="20" t="str">
        <f>IFERROR(__xludf.DUMMYFUNCTION("""COMPUTED_VALUE"""),"Uncle Sams Cider (04/04/2023)")</f>
        <v>Uncle Sams Cider (04/04/2023)</v>
      </c>
      <c r="H6744" s="19"/>
    </row>
    <row r="6745">
      <c r="A6745" s="9"/>
      <c r="B6745" s="15"/>
      <c r="C6745" s="9">
        <f>IFERROR(__xludf.DUMMYFUNCTION("""COMPUTED_VALUE"""),45073.5130757523)</f>
        <v>45073.51308</v>
      </c>
      <c r="D6745" s="15">
        <f>IFERROR(__xludf.DUMMYFUNCTION("""COMPUTED_VALUE"""),1.009)</f>
        <v>1.009</v>
      </c>
      <c r="E6745" s="16">
        <f>IFERROR(__xludf.DUMMYFUNCTION("""COMPUTED_VALUE"""),65.0)</f>
        <v>65</v>
      </c>
      <c r="F6745" s="19" t="str">
        <f>IFERROR(__xludf.DUMMYFUNCTION("""COMPUTED_VALUE"""),"BLUE")</f>
        <v>BLUE</v>
      </c>
      <c r="G6745" s="20" t="str">
        <f>IFERROR(__xludf.DUMMYFUNCTION("""COMPUTED_VALUE"""),"Uncle Sams Cider (04/04/2023)")</f>
        <v>Uncle Sams Cider (04/04/2023)</v>
      </c>
      <c r="H6745" s="19"/>
    </row>
    <row r="6746">
      <c r="A6746" s="9"/>
      <c r="B6746" s="15"/>
      <c r="C6746" s="9">
        <f>IFERROR(__xludf.DUMMYFUNCTION("""COMPUTED_VALUE"""),45073.5026295486)</f>
        <v>45073.50263</v>
      </c>
      <c r="D6746" s="15">
        <f>IFERROR(__xludf.DUMMYFUNCTION("""COMPUTED_VALUE"""),1.009)</f>
        <v>1.009</v>
      </c>
      <c r="E6746" s="16">
        <f>IFERROR(__xludf.DUMMYFUNCTION("""COMPUTED_VALUE"""),65.0)</f>
        <v>65</v>
      </c>
      <c r="F6746" s="19" t="str">
        <f>IFERROR(__xludf.DUMMYFUNCTION("""COMPUTED_VALUE"""),"BLUE")</f>
        <v>BLUE</v>
      </c>
      <c r="G6746" s="20" t="str">
        <f>IFERROR(__xludf.DUMMYFUNCTION("""COMPUTED_VALUE"""),"Uncle Sams Cider (04/04/2023)")</f>
        <v>Uncle Sams Cider (04/04/2023)</v>
      </c>
      <c r="H6746" s="19"/>
    </row>
    <row r="6747">
      <c r="A6747" s="9"/>
      <c r="B6747" s="15"/>
      <c r="C6747" s="9">
        <f>IFERROR(__xludf.DUMMYFUNCTION("""COMPUTED_VALUE"""),45073.4922098032)</f>
        <v>45073.49221</v>
      </c>
      <c r="D6747" s="15">
        <f>IFERROR(__xludf.DUMMYFUNCTION("""COMPUTED_VALUE"""),1.009)</f>
        <v>1.009</v>
      </c>
      <c r="E6747" s="16">
        <f>IFERROR(__xludf.DUMMYFUNCTION("""COMPUTED_VALUE"""),65.0)</f>
        <v>65</v>
      </c>
      <c r="F6747" s="19" t="str">
        <f>IFERROR(__xludf.DUMMYFUNCTION("""COMPUTED_VALUE"""),"BLUE")</f>
        <v>BLUE</v>
      </c>
      <c r="G6747" s="20" t="str">
        <f>IFERROR(__xludf.DUMMYFUNCTION("""COMPUTED_VALUE"""),"Uncle Sams Cider (04/04/2023)")</f>
        <v>Uncle Sams Cider (04/04/2023)</v>
      </c>
      <c r="H6747" s="19"/>
    </row>
    <row r="6748">
      <c r="A6748" s="9"/>
      <c r="B6748" s="15"/>
      <c r="C6748" s="9">
        <f>IFERROR(__xludf.DUMMYFUNCTION("""COMPUTED_VALUE"""),45073.481789699)</f>
        <v>45073.48179</v>
      </c>
      <c r="D6748" s="15">
        <f>IFERROR(__xludf.DUMMYFUNCTION("""COMPUTED_VALUE"""),1.009)</f>
        <v>1.009</v>
      </c>
      <c r="E6748" s="16">
        <f>IFERROR(__xludf.DUMMYFUNCTION("""COMPUTED_VALUE"""),65.0)</f>
        <v>65</v>
      </c>
      <c r="F6748" s="19" t="str">
        <f>IFERROR(__xludf.DUMMYFUNCTION("""COMPUTED_VALUE"""),"BLUE")</f>
        <v>BLUE</v>
      </c>
      <c r="G6748" s="20" t="str">
        <f>IFERROR(__xludf.DUMMYFUNCTION("""COMPUTED_VALUE"""),"Uncle Sams Cider (04/04/2023)")</f>
        <v>Uncle Sams Cider (04/04/2023)</v>
      </c>
      <c r="H6748" s="19"/>
    </row>
    <row r="6749">
      <c r="A6749" s="9"/>
      <c r="B6749" s="15"/>
      <c r="C6749" s="9">
        <f>IFERROR(__xludf.DUMMYFUNCTION("""COMPUTED_VALUE"""),45073.4713558796)</f>
        <v>45073.47136</v>
      </c>
      <c r="D6749" s="15">
        <f>IFERROR(__xludf.DUMMYFUNCTION("""COMPUTED_VALUE"""),1.009)</f>
        <v>1.009</v>
      </c>
      <c r="E6749" s="16">
        <f>IFERROR(__xludf.DUMMYFUNCTION("""COMPUTED_VALUE"""),65.0)</f>
        <v>65</v>
      </c>
      <c r="F6749" s="19" t="str">
        <f>IFERROR(__xludf.DUMMYFUNCTION("""COMPUTED_VALUE"""),"BLUE")</f>
        <v>BLUE</v>
      </c>
      <c r="G6749" s="20" t="str">
        <f>IFERROR(__xludf.DUMMYFUNCTION("""COMPUTED_VALUE"""),"Uncle Sams Cider (04/04/2023)")</f>
        <v>Uncle Sams Cider (04/04/2023)</v>
      </c>
      <c r="H6749" s="19"/>
    </row>
    <row r="6750">
      <c r="A6750" s="9"/>
      <c r="B6750" s="15"/>
      <c r="C6750" s="9">
        <f>IFERROR(__xludf.DUMMYFUNCTION("""COMPUTED_VALUE"""),45073.4609348379)</f>
        <v>45073.46093</v>
      </c>
      <c r="D6750" s="15">
        <f>IFERROR(__xludf.DUMMYFUNCTION("""COMPUTED_VALUE"""),1.009)</f>
        <v>1.009</v>
      </c>
      <c r="E6750" s="16">
        <f>IFERROR(__xludf.DUMMYFUNCTION("""COMPUTED_VALUE"""),65.0)</f>
        <v>65</v>
      </c>
      <c r="F6750" s="19" t="str">
        <f>IFERROR(__xludf.DUMMYFUNCTION("""COMPUTED_VALUE"""),"BLUE")</f>
        <v>BLUE</v>
      </c>
      <c r="G6750" s="20" t="str">
        <f>IFERROR(__xludf.DUMMYFUNCTION("""COMPUTED_VALUE"""),"Uncle Sams Cider (04/04/2023)")</f>
        <v>Uncle Sams Cider (04/04/2023)</v>
      </c>
      <c r="H6750" s="19"/>
    </row>
    <row r="6751">
      <c r="A6751" s="9"/>
      <c r="B6751" s="15"/>
      <c r="C6751" s="9">
        <f>IFERROR(__xludf.DUMMYFUNCTION("""COMPUTED_VALUE"""),45073.4505140277)</f>
        <v>45073.45051</v>
      </c>
      <c r="D6751" s="15">
        <f>IFERROR(__xludf.DUMMYFUNCTION("""COMPUTED_VALUE"""),1.009)</f>
        <v>1.009</v>
      </c>
      <c r="E6751" s="16">
        <f>IFERROR(__xludf.DUMMYFUNCTION("""COMPUTED_VALUE"""),65.0)</f>
        <v>65</v>
      </c>
      <c r="F6751" s="19" t="str">
        <f>IFERROR(__xludf.DUMMYFUNCTION("""COMPUTED_VALUE"""),"BLUE")</f>
        <v>BLUE</v>
      </c>
      <c r="G6751" s="20" t="str">
        <f>IFERROR(__xludf.DUMMYFUNCTION("""COMPUTED_VALUE"""),"Uncle Sams Cider (04/04/2023)")</f>
        <v>Uncle Sams Cider (04/04/2023)</v>
      </c>
      <c r="H6751" s="19"/>
    </row>
    <row r="6752">
      <c r="A6752" s="9"/>
      <c r="B6752" s="15"/>
      <c r="C6752" s="9">
        <f>IFERROR(__xludf.DUMMYFUNCTION("""COMPUTED_VALUE"""),45073.4400938426)</f>
        <v>45073.44009</v>
      </c>
      <c r="D6752" s="15">
        <f>IFERROR(__xludf.DUMMYFUNCTION("""COMPUTED_VALUE"""),1.009)</f>
        <v>1.009</v>
      </c>
      <c r="E6752" s="16">
        <f>IFERROR(__xludf.DUMMYFUNCTION("""COMPUTED_VALUE"""),65.0)</f>
        <v>65</v>
      </c>
      <c r="F6752" s="19" t="str">
        <f>IFERROR(__xludf.DUMMYFUNCTION("""COMPUTED_VALUE"""),"BLUE")</f>
        <v>BLUE</v>
      </c>
      <c r="G6752" s="20" t="str">
        <f>IFERROR(__xludf.DUMMYFUNCTION("""COMPUTED_VALUE"""),"Uncle Sams Cider (04/04/2023)")</f>
        <v>Uncle Sams Cider (04/04/2023)</v>
      </c>
      <c r="H6752" s="19"/>
    </row>
    <row r="6753">
      <c r="A6753" s="9"/>
      <c r="B6753" s="15"/>
      <c r="C6753" s="9">
        <f>IFERROR(__xludf.DUMMYFUNCTION("""COMPUTED_VALUE"""),45073.4296747453)</f>
        <v>45073.42967</v>
      </c>
      <c r="D6753" s="15">
        <f>IFERROR(__xludf.DUMMYFUNCTION("""COMPUTED_VALUE"""),1.009)</f>
        <v>1.009</v>
      </c>
      <c r="E6753" s="16">
        <f>IFERROR(__xludf.DUMMYFUNCTION("""COMPUTED_VALUE"""),65.0)</f>
        <v>65</v>
      </c>
      <c r="F6753" s="19" t="str">
        <f>IFERROR(__xludf.DUMMYFUNCTION("""COMPUTED_VALUE"""),"BLUE")</f>
        <v>BLUE</v>
      </c>
      <c r="G6753" s="20" t="str">
        <f>IFERROR(__xludf.DUMMYFUNCTION("""COMPUTED_VALUE"""),"Uncle Sams Cider (04/04/2023)")</f>
        <v>Uncle Sams Cider (04/04/2023)</v>
      </c>
      <c r="H6753" s="19"/>
    </row>
    <row r="6754">
      <c r="A6754" s="9"/>
      <c r="B6754" s="15"/>
      <c r="C6754" s="9">
        <f>IFERROR(__xludf.DUMMYFUNCTION("""COMPUTED_VALUE"""),45073.4192541319)</f>
        <v>45073.41925</v>
      </c>
      <c r="D6754" s="15">
        <f>IFERROR(__xludf.DUMMYFUNCTION("""COMPUTED_VALUE"""),1.009)</f>
        <v>1.009</v>
      </c>
      <c r="E6754" s="16">
        <f>IFERROR(__xludf.DUMMYFUNCTION("""COMPUTED_VALUE"""),65.0)</f>
        <v>65</v>
      </c>
      <c r="F6754" s="19" t="str">
        <f>IFERROR(__xludf.DUMMYFUNCTION("""COMPUTED_VALUE"""),"BLUE")</f>
        <v>BLUE</v>
      </c>
      <c r="G6754" s="20" t="str">
        <f>IFERROR(__xludf.DUMMYFUNCTION("""COMPUTED_VALUE"""),"Uncle Sams Cider (04/04/2023)")</f>
        <v>Uncle Sams Cider (04/04/2023)</v>
      </c>
      <c r="H6754" s="19"/>
    </row>
    <row r="6755">
      <c r="A6755" s="9"/>
      <c r="B6755" s="15"/>
      <c r="C6755" s="9">
        <f>IFERROR(__xludf.DUMMYFUNCTION("""COMPUTED_VALUE"""),45073.408832118)</f>
        <v>45073.40883</v>
      </c>
      <c r="D6755" s="15">
        <f>IFERROR(__xludf.DUMMYFUNCTION("""COMPUTED_VALUE"""),1.009)</f>
        <v>1.009</v>
      </c>
      <c r="E6755" s="16">
        <f>IFERROR(__xludf.DUMMYFUNCTION("""COMPUTED_VALUE"""),65.0)</f>
        <v>65</v>
      </c>
      <c r="F6755" s="19" t="str">
        <f>IFERROR(__xludf.DUMMYFUNCTION("""COMPUTED_VALUE"""),"BLUE")</f>
        <v>BLUE</v>
      </c>
      <c r="G6755" s="20" t="str">
        <f>IFERROR(__xludf.DUMMYFUNCTION("""COMPUTED_VALUE"""),"Uncle Sams Cider (04/04/2023)")</f>
        <v>Uncle Sams Cider (04/04/2023)</v>
      </c>
      <c r="H6755" s="19"/>
    </row>
    <row r="6756">
      <c r="A6756" s="9"/>
      <c r="B6756" s="15"/>
      <c r="C6756" s="9">
        <f>IFERROR(__xludf.DUMMYFUNCTION("""COMPUTED_VALUE"""),45073.3983874074)</f>
        <v>45073.39839</v>
      </c>
      <c r="D6756" s="15">
        <f>IFERROR(__xludf.DUMMYFUNCTION("""COMPUTED_VALUE"""),1.009)</f>
        <v>1.009</v>
      </c>
      <c r="E6756" s="16">
        <f>IFERROR(__xludf.DUMMYFUNCTION("""COMPUTED_VALUE"""),65.0)</f>
        <v>65</v>
      </c>
      <c r="F6756" s="19" t="str">
        <f>IFERROR(__xludf.DUMMYFUNCTION("""COMPUTED_VALUE"""),"BLUE")</f>
        <v>BLUE</v>
      </c>
      <c r="G6756" s="20" t="str">
        <f>IFERROR(__xludf.DUMMYFUNCTION("""COMPUTED_VALUE"""),"Uncle Sams Cider (04/04/2023)")</f>
        <v>Uncle Sams Cider (04/04/2023)</v>
      </c>
      <c r="H6756" s="19"/>
    </row>
    <row r="6757">
      <c r="A6757" s="9"/>
      <c r="B6757" s="15"/>
      <c r="C6757" s="9">
        <f>IFERROR(__xludf.DUMMYFUNCTION("""COMPUTED_VALUE"""),45073.3879666551)</f>
        <v>45073.38797</v>
      </c>
      <c r="D6757" s="15">
        <f>IFERROR(__xludf.DUMMYFUNCTION("""COMPUTED_VALUE"""),1.009)</f>
        <v>1.009</v>
      </c>
      <c r="E6757" s="16">
        <f>IFERROR(__xludf.DUMMYFUNCTION("""COMPUTED_VALUE"""),65.0)</f>
        <v>65</v>
      </c>
      <c r="F6757" s="19" t="str">
        <f>IFERROR(__xludf.DUMMYFUNCTION("""COMPUTED_VALUE"""),"BLUE")</f>
        <v>BLUE</v>
      </c>
      <c r="G6757" s="20" t="str">
        <f>IFERROR(__xludf.DUMMYFUNCTION("""COMPUTED_VALUE"""),"Uncle Sams Cider (04/04/2023)")</f>
        <v>Uncle Sams Cider (04/04/2023)</v>
      </c>
      <c r="H6757" s="19"/>
    </row>
    <row r="6758">
      <c r="A6758" s="9"/>
      <c r="B6758" s="15"/>
      <c r="C6758" s="9">
        <f>IFERROR(__xludf.DUMMYFUNCTION("""COMPUTED_VALUE"""),45073.3775452083)</f>
        <v>45073.37755</v>
      </c>
      <c r="D6758" s="15">
        <f>IFERROR(__xludf.DUMMYFUNCTION("""COMPUTED_VALUE"""),1.009)</f>
        <v>1.009</v>
      </c>
      <c r="E6758" s="16">
        <f>IFERROR(__xludf.DUMMYFUNCTION("""COMPUTED_VALUE"""),65.0)</f>
        <v>65</v>
      </c>
      <c r="F6758" s="19" t="str">
        <f>IFERROR(__xludf.DUMMYFUNCTION("""COMPUTED_VALUE"""),"BLUE")</f>
        <v>BLUE</v>
      </c>
      <c r="G6758" s="20" t="str">
        <f>IFERROR(__xludf.DUMMYFUNCTION("""COMPUTED_VALUE"""),"Uncle Sams Cider (04/04/2023)")</f>
        <v>Uncle Sams Cider (04/04/2023)</v>
      </c>
      <c r="H6758" s="19"/>
    </row>
    <row r="6759">
      <c r="A6759" s="9"/>
      <c r="B6759" s="15"/>
      <c r="C6759" s="9">
        <f>IFERROR(__xludf.DUMMYFUNCTION("""COMPUTED_VALUE"""),45073.3671241551)</f>
        <v>45073.36712</v>
      </c>
      <c r="D6759" s="15">
        <f>IFERROR(__xludf.DUMMYFUNCTION("""COMPUTED_VALUE"""),1.009)</f>
        <v>1.009</v>
      </c>
      <c r="E6759" s="16">
        <f>IFERROR(__xludf.DUMMYFUNCTION("""COMPUTED_VALUE"""),65.0)</f>
        <v>65</v>
      </c>
      <c r="F6759" s="19" t="str">
        <f>IFERROR(__xludf.DUMMYFUNCTION("""COMPUTED_VALUE"""),"BLUE")</f>
        <v>BLUE</v>
      </c>
      <c r="G6759" s="20" t="str">
        <f>IFERROR(__xludf.DUMMYFUNCTION("""COMPUTED_VALUE"""),"Uncle Sams Cider (04/04/2023)")</f>
        <v>Uncle Sams Cider (04/04/2023)</v>
      </c>
      <c r="H6759" s="19"/>
    </row>
    <row r="6760">
      <c r="A6760" s="9"/>
      <c r="B6760" s="15"/>
      <c r="C6760" s="9">
        <f>IFERROR(__xludf.DUMMYFUNCTION("""COMPUTED_VALUE"""),45073.3567030787)</f>
        <v>45073.3567</v>
      </c>
      <c r="D6760" s="15">
        <f>IFERROR(__xludf.DUMMYFUNCTION("""COMPUTED_VALUE"""),1.009)</f>
        <v>1.009</v>
      </c>
      <c r="E6760" s="16">
        <f>IFERROR(__xludf.DUMMYFUNCTION("""COMPUTED_VALUE"""),65.0)</f>
        <v>65</v>
      </c>
      <c r="F6760" s="19" t="str">
        <f>IFERROR(__xludf.DUMMYFUNCTION("""COMPUTED_VALUE"""),"BLUE")</f>
        <v>BLUE</v>
      </c>
      <c r="G6760" s="20" t="str">
        <f>IFERROR(__xludf.DUMMYFUNCTION("""COMPUTED_VALUE"""),"Uncle Sams Cider (04/04/2023)")</f>
        <v>Uncle Sams Cider (04/04/2023)</v>
      </c>
      <c r="H6760" s="19"/>
    </row>
    <row r="6761">
      <c r="A6761" s="9"/>
      <c r="B6761" s="15"/>
      <c r="C6761" s="9">
        <f>IFERROR(__xludf.DUMMYFUNCTION("""COMPUTED_VALUE"""),45073.3462694791)</f>
        <v>45073.34627</v>
      </c>
      <c r="D6761" s="15">
        <f>IFERROR(__xludf.DUMMYFUNCTION("""COMPUTED_VALUE"""),1.009)</f>
        <v>1.009</v>
      </c>
      <c r="E6761" s="16">
        <f>IFERROR(__xludf.DUMMYFUNCTION("""COMPUTED_VALUE"""),65.0)</f>
        <v>65</v>
      </c>
      <c r="F6761" s="19" t="str">
        <f>IFERROR(__xludf.DUMMYFUNCTION("""COMPUTED_VALUE"""),"BLUE")</f>
        <v>BLUE</v>
      </c>
      <c r="G6761" s="20" t="str">
        <f>IFERROR(__xludf.DUMMYFUNCTION("""COMPUTED_VALUE"""),"Uncle Sams Cider (04/04/2023)")</f>
        <v>Uncle Sams Cider (04/04/2023)</v>
      </c>
      <c r="H6761" s="19"/>
    </row>
    <row r="6762">
      <c r="A6762" s="9"/>
      <c r="B6762" s="15"/>
      <c r="C6762" s="9">
        <f>IFERROR(__xludf.DUMMYFUNCTION("""COMPUTED_VALUE"""),45073.3358359259)</f>
        <v>45073.33584</v>
      </c>
      <c r="D6762" s="15">
        <f>IFERROR(__xludf.DUMMYFUNCTION("""COMPUTED_VALUE"""),1.009)</f>
        <v>1.009</v>
      </c>
      <c r="E6762" s="16">
        <f>IFERROR(__xludf.DUMMYFUNCTION("""COMPUTED_VALUE"""),65.0)</f>
        <v>65</v>
      </c>
      <c r="F6762" s="19" t="str">
        <f>IFERROR(__xludf.DUMMYFUNCTION("""COMPUTED_VALUE"""),"BLUE")</f>
        <v>BLUE</v>
      </c>
      <c r="G6762" s="20" t="str">
        <f>IFERROR(__xludf.DUMMYFUNCTION("""COMPUTED_VALUE"""),"Uncle Sams Cider (04/04/2023)")</f>
        <v>Uncle Sams Cider (04/04/2023)</v>
      </c>
      <c r="H6762" s="19"/>
    </row>
    <row r="6763">
      <c r="A6763" s="9"/>
      <c r="B6763" s="15"/>
      <c r="C6763" s="9">
        <f>IFERROR(__xludf.DUMMYFUNCTION("""COMPUTED_VALUE"""),45073.3254143518)</f>
        <v>45073.32541</v>
      </c>
      <c r="D6763" s="15">
        <f>IFERROR(__xludf.DUMMYFUNCTION("""COMPUTED_VALUE"""),1.009)</f>
        <v>1.009</v>
      </c>
      <c r="E6763" s="16">
        <f>IFERROR(__xludf.DUMMYFUNCTION("""COMPUTED_VALUE"""),65.0)</f>
        <v>65</v>
      </c>
      <c r="F6763" s="19" t="str">
        <f>IFERROR(__xludf.DUMMYFUNCTION("""COMPUTED_VALUE"""),"BLUE")</f>
        <v>BLUE</v>
      </c>
      <c r="G6763" s="20" t="str">
        <f>IFERROR(__xludf.DUMMYFUNCTION("""COMPUTED_VALUE"""),"Uncle Sams Cider (04/04/2023)")</f>
        <v>Uncle Sams Cider (04/04/2023)</v>
      </c>
      <c r="H6763" s="19"/>
    </row>
    <row r="6764">
      <c r="A6764" s="9"/>
      <c r="B6764" s="15"/>
      <c r="C6764" s="9">
        <f>IFERROR(__xludf.DUMMYFUNCTION("""COMPUTED_VALUE"""),45073.3149932638)</f>
        <v>45073.31499</v>
      </c>
      <c r="D6764" s="15">
        <f>IFERROR(__xludf.DUMMYFUNCTION("""COMPUTED_VALUE"""),1.009)</f>
        <v>1.009</v>
      </c>
      <c r="E6764" s="16">
        <f>IFERROR(__xludf.DUMMYFUNCTION("""COMPUTED_VALUE"""),65.0)</f>
        <v>65</v>
      </c>
      <c r="F6764" s="19" t="str">
        <f>IFERROR(__xludf.DUMMYFUNCTION("""COMPUTED_VALUE"""),"BLUE")</f>
        <v>BLUE</v>
      </c>
      <c r="G6764" s="20" t="str">
        <f>IFERROR(__xludf.DUMMYFUNCTION("""COMPUTED_VALUE"""),"Uncle Sams Cider (04/04/2023)")</f>
        <v>Uncle Sams Cider (04/04/2023)</v>
      </c>
      <c r="H6764" s="19"/>
    </row>
    <row r="6765">
      <c r="A6765" s="9"/>
      <c r="B6765" s="15"/>
      <c r="C6765" s="9">
        <f>IFERROR(__xludf.DUMMYFUNCTION("""COMPUTED_VALUE"""),45073.3045727083)</f>
        <v>45073.30457</v>
      </c>
      <c r="D6765" s="15">
        <f>IFERROR(__xludf.DUMMYFUNCTION("""COMPUTED_VALUE"""),1.009)</f>
        <v>1.009</v>
      </c>
      <c r="E6765" s="16">
        <f>IFERROR(__xludf.DUMMYFUNCTION("""COMPUTED_VALUE"""),65.0)</f>
        <v>65</v>
      </c>
      <c r="F6765" s="19" t="str">
        <f>IFERROR(__xludf.DUMMYFUNCTION("""COMPUTED_VALUE"""),"BLUE")</f>
        <v>BLUE</v>
      </c>
      <c r="G6765" s="20" t="str">
        <f>IFERROR(__xludf.DUMMYFUNCTION("""COMPUTED_VALUE"""),"Uncle Sams Cider (04/04/2023)")</f>
        <v>Uncle Sams Cider (04/04/2023)</v>
      </c>
      <c r="H6765" s="19"/>
    </row>
    <row r="6766">
      <c r="A6766" s="9"/>
      <c r="B6766" s="15"/>
      <c r="C6766" s="9">
        <f>IFERROR(__xludf.DUMMYFUNCTION("""COMPUTED_VALUE"""),45073.2941527083)</f>
        <v>45073.29415</v>
      </c>
      <c r="D6766" s="15">
        <f>IFERROR(__xludf.DUMMYFUNCTION("""COMPUTED_VALUE"""),1.009)</f>
        <v>1.009</v>
      </c>
      <c r="E6766" s="16">
        <f>IFERROR(__xludf.DUMMYFUNCTION("""COMPUTED_VALUE"""),65.0)</f>
        <v>65</v>
      </c>
      <c r="F6766" s="19" t="str">
        <f>IFERROR(__xludf.DUMMYFUNCTION("""COMPUTED_VALUE"""),"BLUE")</f>
        <v>BLUE</v>
      </c>
      <c r="G6766" s="20" t="str">
        <f>IFERROR(__xludf.DUMMYFUNCTION("""COMPUTED_VALUE"""),"Uncle Sams Cider (04/04/2023)")</f>
        <v>Uncle Sams Cider (04/04/2023)</v>
      </c>
      <c r="H6766" s="19"/>
    </row>
    <row r="6767">
      <c r="A6767" s="9"/>
      <c r="B6767" s="15"/>
      <c r="C6767" s="9">
        <f>IFERROR(__xludf.DUMMYFUNCTION("""COMPUTED_VALUE"""),45073.2837314814)</f>
        <v>45073.28373</v>
      </c>
      <c r="D6767" s="15">
        <f>IFERROR(__xludf.DUMMYFUNCTION("""COMPUTED_VALUE"""),1.009)</f>
        <v>1.009</v>
      </c>
      <c r="E6767" s="16">
        <f>IFERROR(__xludf.DUMMYFUNCTION("""COMPUTED_VALUE"""),65.0)</f>
        <v>65</v>
      </c>
      <c r="F6767" s="19" t="str">
        <f>IFERROR(__xludf.DUMMYFUNCTION("""COMPUTED_VALUE"""),"BLUE")</f>
        <v>BLUE</v>
      </c>
      <c r="G6767" s="20" t="str">
        <f>IFERROR(__xludf.DUMMYFUNCTION("""COMPUTED_VALUE"""),"Uncle Sams Cider (04/04/2023)")</f>
        <v>Uncle Sams Cider (04/04/2023)</v>
      </c>
      <c r="H6767" s="19"/>
    </row>
    <row r="6768">
      <c r="A6768" s="9"/>
      <c r="B6768" s="15"/>
      <c r="C6768" s="9">
        <f>IFERROR(__xludf.DUMMYFUNCTION("""COMPUTED_VALUE"""),45073.2733003356)</f>
        <v>45073.2733</v>
      </c>
      <c r="D6768" s="15">
        <f>IFERROR(__xludf.DUMMYFUNCTION("""COMPUTED_VALUE"""),1.009)</f>
        <v>1.009</v>
      </c>
      <c r="E6768" s="16">
        <f>IFERROR(__xludf.DUMMYFUNCTION("""COMPUTED_VALUE"""),65.0)</f>
        <v>65</v>
      </c>
      <c r="F6768" s="19" t="str">
        <f>IFERROR(__xludf.DUMMYFUNCTION("""COMPUTED_VALUE"""),"BLUE")</f>
        <v>BLUE</v>
      </c>
      <c r="G6768" s="20" t="str">
        <f>IFERROR(__xludf.DUMMYFUNCTION("""COMPUTED_VALUE"""),"Uncle Sams Cider (04/04/2023)")</f>
        <v>Uncle Sams Cider (04/04/2023)</v>
      </c>
      <c r="H6768" s="19"/>
    </row>
    <row r="6769">
      <c r="A6769" s="9"/>
      <c r="B6769" s="15"/>
      <c r="C6769" s="9">
        <f>IFERROR(__xludf.DUMMYFUNCTION("""COMPUTED_VALUE"""),45073.2628672916)</f>
        <v>45073.26287</v>
      </c>
      <c r="D6769" s="15">
        <f>IFERROR(__xludf.DUMMYFUNCTION("""COMPUTED_VALUE"""),1.009)</f>
        <v>1.009</v>
      </c>
      <c r="E6769" s="16">
        <f>IFERROR(__xludf.DUMMYFUNCTION("""COMPUTED_VALUE"""),65.0)</f>
        <v>65</v>
      </c>
      <c r="F6769" s="19" t="str">
        <f>IFERROR(__xludf.DUMMYFUNCTION("""COMPUTED_VALUE"""),"BLUE")</f>
        <v>BLUE</v>
      </c>
      <c r="G6769" s="20" t="str">
        <f>IFERROR(__xludf.DUMMYFUNCTION("""COMPUTED_VALUE"""),"Uncle Sams Cider (04/04/2023)")</f>
        <v>Uncle Sams Cider (04/04/2023)</v>
      </c>
      <c r="H6769" s="19"/>
    </row>
    <row r="6770">
      <c r="A6770" s="9"/>
      <c r="B6770" s="15"/>
      <c r="C6770" s="9">
        <f>IFERROR(__xludf.DUMMYFUNCTION("""COMPUTED_VALUE"""),45073.2524353588)</f>
        <v>45073.25244</v>
      </c>
      <c r="D6770" s="15">
        <f>IFERROR(__xludf.DUMMYFUNCTION("""COMPUTED_VALUE"""),1.009)</f>
        <v>1.009</v>
      </c>
      <c r="E6770" s="16">
        <f>IFERROR(__xludf.DUMMYFUNCTION("""COMPUTED_VALUE"""),65.0)</f>
        <v>65</v>
      </c>
      <c r="F6770" s="19" t="str">
        <f>IFERROR(__xludf.DUMMYFUNCTION("""COMPUTED_VALUE"""),"BLUE")</f>
        <v>BLUE</v>
      </c>
      <c r="G6770" s="20" t="str">
        <f>IFERROR(__xludf.DUMMYFUNCTION("""COMPUTED_VALUE"""),"Uncle Sams Cider (04/04/2023)")</f>
        <v>Uncle Sams Cider (04/04/2023)</v>
      </c>
      <c r="H6770" s="19"/>
    </row>
    <row r="6771">
      <c r="A6771" s="9"/>
      <c r="B6771" s="15"/>
      <c r="C6771" s="9">
        <f>IFERROR(__xludf.DUMMYFUNCTION("""COMPUTED_VALUE"""),45073.2420141435)</f>
        <v>45073.24201</v>
      </c>
      <c r="D6771" s="15">
        <f>IFERROR(__xludf.DUMMYFUNCTION("""COMPUTED_VALUE"""),1.009)</f>
        <v>1.009</v>
      </c>
      <c r="E6771" s="16">
        <f>IFERROR(__xludf.DUMMYFUNCTION("""COMPUTED_VALUE"""),65.0)</f>
        <v>65</v>
      </c>
      <c r="F6771" s="19" t="str">
        <f>IFERROR(__xludf.DUMMYFUNCTION("""COMPUTED_VALUE"""),"BLUE")</f>
        <v>BLUE</v>
      </c>
      <c r="G6771" s="20" t="str">
        <f>IFERROR(__xludf.DUMMYFUNCTION("""COMPUTED_VALUE"""),"Uncle Sams Cider (04/04/2023)")</f>
        <v>Uncle Sams Cider (04/04/2023)</v>
      </c>
      <c r="H6771" s="19"/>
    </row>
    <row r="6772">
      <c r="A6772" s="9"/>
      <c r="B6772" s="15"/>
      <c r="C6772" s="9">
        <f>IFERROR(__xludf.DUMMYFUNCTION("""COMPUTED_VALUE"""),45073.2315924074)</f>
        <v>45073.23159</v>
      </c>
      <c r="D6772" s="15">
        <f>IFERROR(__xludf.DUMMYFUNCTION("""COMPUTED_VALUE"""),1.009)</f>
        <v>1.009</v>
      </c>
      <c r="E6772" s="16">
        <f>IFERROR(__xludf.DUMMYFUNCTION("""COMPUTED_VALUE"""),65.0)</f>
        <v>65</v>
      </c>
      <c r="F6772" s="19" t="str">
        <f>IFERROR(__xludf.DUMMYFUNCTION("""COMPUTED_VALUE"""),"BLUE")</f>
        <v>BLUE</v>
      </c>
      <c r="G6772" s="20" t="str">
        <f>IFERROR(__xludf.DUMMYFUNCTION("""COMPUTED_VALUE"""),"Uncle Sams Cider (04/04/2023)")</f>
        <v>Uncle Sams Cider (04/04/2023)</v>
      </c>
      <c r="H6772" s="19"/>
    </row>
    <row r="6773">
      <c r="A6773" s="9"/>
      <c r="B6773" s="15"/>
      <c r="C6773" s="9">
        <f>IFERROR(__xludf.DUMMYFUNCTION("""COMPUTED_VALUE"""),45073.2211722685)</f>
        <v>45073.22117</v>
      </c>
      <c r="D6773" s="15">
        <f>IFERROR(__xludf.DUMMYFUNCTION("""COMPUTED_VALUE"""),1.009)</f>
        <v>1.009</v>
      </c>
      <c r="E6773" s="16">
        <f>IFERROR(__xludf.DUMMYFUNCTION("""COMPUTED_VALUE"""),65.0)</f>
        <v>65</v>
      </c>
      <c r="F6773" s="19" t="str">
        <f>IFERROR(__xludf.DUMMYFUNCTION("""COMPUTED_VALUE"""),"BLUE")</f>
        <v>BLUE</v>
      </c>
      <c r="G6773" s="20" t="str">
        <f>IFERROR(__xludf.DUMMYFUNCTION("""COMPUTED_VALUE"""),"Uncle Sams Cider (04/04/2023)")</f>
        <v>Uncle Sams Cider (04/04/2023)</v>
      </c>
      <c r="H6773" s="19"/>
    </row>
    <row r="6774">
      <c r="A6774" s="9"/>
      <c r="B6774" s="15"/>
      <c r="C6774" s="9">
        <f>IFERROR(__xludf.DUMMYFUNCTION("""COMPUTED_VALUE"""),45073.2107499421)</f>
        <v>45073.21075</v>
      </c>
      <c r="D6774" s="15">
        <f>IFERROR(__xludf.DUMMYFUNCTION("""COMPUTED_VALUE"""),1.009)</f>
        <v>1.009</v>
      </c>
      <c r="E6774" s="16">
        <f>IFERROR(__xludf.DUMMYFUNCTION("""COMPUTED_VALUE"""),65.0)</f>
        <v>65</v>
      </c>
      <c r="F6774" s="19" t="str">
        <f>IFERROR(__xludf.DUMMYFUNCTION("""COMPUTED_VALUE"""),"BLUE")</f>
        <v>BLUE</v>
      </c>
      <c r="G6774" s="20" t="str">
        <f>IFERROR(__xludf.DUMMYFUNCTION("""COMPUTED_VALUE"""),"Uncle Sams Cider (04/04/2023)")</f>
        <v>Uncle Sams Cider (04/04/2023)</v>
      </c>
      <c r="H6774" s="19"/>
    </row>
    <row r="6775">
      <c r="A6775" s="9"/>
      <c r="B6775" s="15"/>
      <c r="C6775" s="9">
        <f>IFERROR(__xludf.DUMMYFUNCTION("""COMPUTED_VALUE"""),45073.200330081)</f>
        <v>45073.20033</v>
      </c>
      <c r="D6775" s="15">
        <f>IFERROR(__xludf.DUMMYFUNCTION("""COMPUTED_VALUE"""),1.009)</f>
        <v>1.009</v>
      </c>
      <c r="E6775" s="16">
        <f>IFERROR(__xludf.DUMMYFUNCTION("""COMPUTED_VALUE"""),65.0)</f>
        <v>65</v>
      </c>
      <c r="F6775" s="19" t="str">
        <f>IFERROR(__xludf.DUMMYFUNCTION("""COMPUTED_VALUE"""),"BLUE")</f>
        <v>BLUE</v>
      </c>
      <c r="G6775" s="20" t="str">
        <f>IFERROR(__xludf.DUMMYFUNCTION("""COMPUTED_VALUE"""),"Uncle Sams Cider (04/04/2023)")</f>
        <v>Uncle Sams Cider (04/04/2023)</v>
      </c>
      <c r="H6775" s="19"/>
    </row>
    <row r="6776">
      <c r="A6776" s="9"/>
      <c r="B6776" s="15"/>
      <c r="C6776" s="9">
        <f>IFERROR(__xludf.DUMMYFUNCTION("""COMPUTED_VALUE"""),45073.189910162)</f>
        <v>45073.18991</v>
      </c>
      <c r="D6776" s="15">
        <f>IFERROR(__xludf.DUMMYFUNCTION("""COMPUTED_VALUE"""),1.009)</f>
        <v>1.009</v>
      </c>
      <c r="E6776" s="16">
        <f>IFERROR(__xludf.DUMMYFUNCTION("""COMPUTED_VALUE"""),65.0)</f>
        <v>65</v>
      </c>
      <c r="F6776" s="19" t="str">
        <f>IFERROR(__xludf.DUMMYFUNCTION("""COMPUTED_VALUE"""),"BLUE")</f>
        <v>BLUE</v>
      </c>
      <c r="G6776" s="20" t="str">
        <f>IFERROR(__xludf.DUMMYFUNCTION("""COMPUTED_VALUE"""),"Uncle Sams Cider (04/04/2023)")</f>
        <v>Uncle Sams Cider (04/04/2023)</v>
      </c>
      <c r="H6776" s="19"/>
    </row>
    <row r="6777">
      <c r="A6777" s="9"/>
      <c r="B6777" s="15"/>
      <c r="C6777" s="9">
        <f>IFERROR(__xludf.DUMMYFUNCTION("""COMPUTED_VALUE"""),45073.1794904745)</f>
        <v>45073.17949</v>
      </c>
      <c r="D6777" s="15">
        <f>IFERROR(__xludf.DUMMYFUNCTION("""COMPUTED_VALUE"""),1.009)</f>
        <v>1.009</v>
      </c>
      <c r="E6777" s="16">
        <f>IFERROR(__xludf.DUMMYFUNCTION("""COMPUTED_VALUE"""),65.0)</f>
        <v>65</v>
      </c>
      <c r="F6777" s="19" t="str">
        <f>IFERROR(__xludf.DUMMYFUNCTION("""COMPUTED_VALUE"""),"BLUE")</f>
        <v>BLUE</v>
      </c>
      <c r="G6777" s="20" t="str">
        <f>IFERROR(__xludf.DUMMYFUNCTION("""COMPUTED_VALUE"""),"Uncle Sams Cider (04/04/2023)")</f>
        <v>Uncle Sams Cider (04/04/2023)</v>
      </c>
      <c r="H6777" s="19"/>
    </row>
    <row r="6778">
      <c r="A6778" s="9"/>
      <c r="B6778" s="15"/>
      <c r="C6778" s="9">
        <f>IFERROR(__xludf.DUMMYFUNCTION("""COMPUTED_VALUE"""),45073.1690688773)</f>
        <v>45073.16907</v>
      </c>
      <c r="D6778" s="15">
        <f>IFERROR(__xludf.DUMMYFUNCTION("""COMPUTED_VALUE"""),1.009)</f>
        <v>1.009</v>
      </c>
      <c r="E6778" s="16">
        <f>IFERROR(__xludf.DUMMYFUNCTION("""COMPUTED_VALUE"""),65.0)</f>
        <v>65</v>
      </c>
      <c r="F6778" s="19" t="str">
        <f>IFERROR(__xludf.DUMMYFUNCTION("""COMPUTED_VALUE"""),"BLUE")</f>
        <v>BLUE</v>
      </c>
      <c r="G6778" s="20" t="str">
        <f>IFERROR(__xludf.DUMMYFUNCTION("""COMPUTED_VALUE"""),"Uncle Sams Cider (04/04/2023)")</f>
        <v>Uncle Sams Cider (04/04/2023)</v>
      </c>
      <c r="H6778" s="19"/>
    </row>
    <row r="6779">
      <c r="A6779" s="9"/>
      <c r="B6779" s="15"/>
      <c r="C6779" s="9">
        <f>IFERROR(__xludf.DUMMYFUNCTION("""COMPUTED_VALUE"""),45073.1586497685)</f>
        <v>45073.15865</v>
      </c>
      <c r="D6779" s="15">
        <f>IFERROR(__xludf.DUMMYFUNCTION("""COMPUTED_VALUE"""),1.009)</f>
        <v>1.009</v>
      </c>
      <c r="E6779" s="16">
        <f>IFERROR(__xludf.DUMMYFUNCTION("""COMPUTED_VALUE"""),65.0)</f>
        <v>65</v>
      </c>
      <c r="F6779" s="19" t="str">
        <f>IFERROR(__xludf.DUMMYFUNCTION("""COMPUTED_VALUE"""),"BLUE")</f>
        <v>BLUE</v>
      </c>
      <c r="G6779" s="20" t="str">
        <f>IFERROR(__xludf.DUMMYFUNCTION("""COMPUTED_VALUE"""),"Uncle Sams Cider (04/04/2023)")</f>
        <v>Uncle Sams Cider (04/04/2023)</v>
      </c>
      <c r="H6779" s="19"/>
    </row>
    <row r="6780">
      <c r="A6780" s="9"/>
      <c r="B6780" s="15"/>
      <c r="C6780" s="9">
        <f>IFERROR(__xludf.DUMMYFUNCTION("""COMPUTED_VALUE"""),45073.148228993)</f>
        <v>45073.14823</v>
      </c>
      <c r="D6780" s="15">
        <f>IFERROR(__xludf.DUMMYFUNCTION("""COMPUTED_VALUE"""),1.009)</f>
        <v>1.009</v>
      </c>
      <c r="E6780" s="16">
        <f>IFERROR(__xludf.DUMMYFUNCTION("""COMPUTED_VALUE"""),65.0)</f>
        <v>65</v>
      </c>
      <c r="F6780" s="19" t="str">
        <f>IFERROR(__xludf.DUMMYFUNCTION("""COMPUTED_VALUE"""),"BLUE")</f>
        <v>BLUE</v>
      </c>
      <c r="G6780" s="20" t="str">
        <f>IFERROR(__xludf.DUMMYFUNCTION("""COMPUTED_VALUE"""),"Uncle Sams Cider (04/04/2023)")</f>
        <v>Uncle Sams Cider (04/04/2023)</v>
      </c>
      <c r="H6780" s="19"/>
    </row>
    <row r="6781">
      <c r="A6781" s="9"/>
      <c r="B6781" s="15"/>
      <c r="C6781" s="9">
        <f>IFERROR(__xludf.DUMMYFUNCTION("""COMPUTED_VALUE"""),45073.1378074652)</f>
        <v>45073.13781</v>
      </c>
      <c r="D6781" s="15">
        <f>IFERROR(__xludf.DUMMYFUNCTION("""COMPUTED_VALUE"""),1.009)</f>
        <v>1.009</v>
      </c>
      <c r="E6781" s="16">
        <f>IFERROR(__xludf.DUMMYFUNCTION("""COMPUTED_VALUE"""),65.0)</f>
        <v>65</v>
      </c>
      <c r="F6781" s="19" t="str">
        <f>IFERROR(__xludf.DUMMYFUNCTION("""COMPUTED_VALUE"""),"BLUE")</f>
        <v>BLUE</v>
      </c>
      <c r="G6781" s="20" t="str">
        <f>IFERROR(__xludf.DUMMYFUNCTION("""COMPUTED_VALUE"""),"Uncle Sams Cider (04/04/2023)")</f>
        <v>Uncle Sams Cider (04/04/2023)</v>
      </c>
      <c r="H6781" s="19"/>
    </row>
    <row r="6782">
      <c r="A6782" s="9"/>
      <c r="B6782" s="15"/>
      <c r="C6782" s="9">
        <f>IFERROR(__xludf.DUMMYFUNCTION("""COMPUTED_VALUE"""),45073.1273860185)</f>
        <v>45073.12739</v>
      </c>
      <c r="D6782" s="15">
        <f>IFERROR(__xludf.DUMMYFUNCTION("""COMPUTED_VALUE"""),1.009)</f>
        <v>1.009</v>
      </c>
      <c r="E6782" s="16">
        <f>IFERROR(__xludf.DUMMYFUNCTION("""COMPUTED_VALUE"""),65.0)</f>
        <v>65</v>
      </c>
      <c r="F6782" s="19" t="str">
        <f>IFERROR(__xludf.DUMMYFUNCTION("""COMPUTED_VALUE"""),"BLUE")</f>
        <v>BLUE</v>
      </c>
      <c r="G6782" s="20" t="str">
        <f>IFERROR(__xludf.DUMMYFUNCTION("""COMPUTED_VALUE"""),"Uncle Sams Cider (04/04/2023)")</f>
        <v>Uncle Sams Cider (04/04/2023)</v>
      </c>
      <c r="H6782" s="19"/>
    </row>
    <row r="6783">
      <c r="A6783" s="9"/>
      <c r="B6783" s="15"/>
      <c r="C6783" s="9">
        <f>IFERROR(__xludf.DUMMYFUNCTION("""COMPUTED_VALUE"""),45073.1169656712)</f>
        <v>45073.11697</v>
      </c>
      <c r="D6783" s="15">
        <f>IFERROR(__xludf.DUMMYFUNCTION("""COMPUTED_VALUE"""),1.009)</f>
        <v>1.009</v>
      </c>
      <c r="E6783" s="16">
        <f>IFERROR(__xludf.DUMMYFUNCTION("""COMPUTED_VALUE"""),65.0)</f>
        <v>65</v>
      </c>
      <c r="F6783" s="19" t="str">
        <f>IFERROR(__xludf.DUMMYFUNCTION("""COMPUTED_VALUE"""),"BLUE")</f>
        <v>BLUE</v>
      </c>
      <c r="G6783" s="20" t="str">
        <f>IFERROR(__xludf.DUMMYFUNCTION("""COMPUTED_VALUE"""),"Uncle Sams Cider (04/04/2023)")</f>
        <v>Uncle Sams Cider (04/04/2023)</v>
      </c>
      <c r="H6783" s="19"/>
    </row>
    <row r="6784">
      <c r="A6784" s="9"/>
      <c r="B6784" s="15"/>
      <c r="C6784" s="9">
        <f>IFERROR(__xludf.DUMMYFUNCTION("""COMPUTED_VALUE"""),45073.1065444676)</f>
        <v>45073.10654</v>
      </c>
      <c r="D6784" s="15">
        <f>IFERROR(__xludf.DUMMYFUNCTION("""COMPUTED_VALUE"""),1.009)</f>
        <v>1.009</v>
      </c>
      <c r="E6784" s="16">
        <f>IFERROR(__xludf.DUMMYFUNCTION("""COMPUTED_VALUE"""),65.0)</f>
        <v>65</v>
      </c>
      <c r="F6784" s="19" t="str">
        <f>IFERROR(__xludf.DUMMYFUNCTION("""COMPUTED_VALUE"""),"BLUE")</f>
        <v>BLUE</v>
      </c>
      <c r="G6784" s="20" t="str">
        <f>IFERROR(__xludf.DUMMYFUNCTION("""COMPUTED_VALUE"""),"Uncle Sams Cider (04/04/2023)")</f>
        <v>Uncle Sams Cider (04/04/2023)</v>
      </c>
      <c r="H6784" s="19"/>
    </row>
    <row r="6785">
      <c r="A6785" s="9"/>
      <c r="B6785" s="15"/>
      <c r="C6785" s="9">
        <f>IFERROR(__xludf.DUMMYFUNCTION("""COMPUTED_VALUE"""),45073.0961247106)</f>
        <v>45073.09612</v>
      </c>
      <c r="D6785" s="15">
        <f>IFERROR(__xludf.DUMMYFUNCTION("""COMPUTED_VALUE"""),1.009)</f>
        <v>1.009</v>
      </c>
      <c r="E6785" s="16">
        <f>IFERROR(__xludf.DUMMYFUNCTION("""COMPUTED_VALUE"""),65.0)</f>
        <v>65</v>
      </c>
      <c r="F6785" s="19" t="str">
        <f>IFERROR(__xludf.DUMMYFUNCTION("""COMPUTED_VALUE"""),"BLUE")</f>
        <v>BLUE</v>
      </c>
      <c r="G6785" s="20" t="str">
        <f>IFERROR(__xludf.DUMMYFUNCTION("""COMPUTED_VALUE"""),"Uncle Sams Cider (04/04/2023)")</f>
        <v>Uncle Sams Cider (04/04/2023)</v>
      </c>
      <c r="H6785" s="19"/>
    </row>
    <row r="6786">
      <c r="A6786" s="9"/>
      <c r="B6786" s="15"/>
      <c r="C6786" s="9">
        <f>IFERROR(__xludf.DUMMYFUNCTION("""COMPUTED_VALUE"""),45073.0857023148)</f>
        <v>45073.0857</v>
      </c>
      <c r="D6786" s="15">
        <f>IFERROR(__xludf.DUMMYFUNCTION("""COMPUTED_VALUE"""),1.009)</f>
        <v>1.009</v>
      </c>
      <c r="E6786" s="16">
        <f>IFERROR(__xludf.DUMMYFUNCTION("""COMPUTED_VALUE"""),65.0)</f>
        <v>65</v>
      </c>
      <c r="F6786" s="19" t="str">
        <f>IFERROR(__xludf.DUMMYFUNCTION("""COMPUTED_VALUE"""),"BLUE")</f>
        <v>BLUE</v>
      </c>
      <c r="G6786" s="20" t="str">
        <f>IFERROR(__xludf.DUMMYFUNCTION("""COMPUTED_VALUE"""),"Uncle Sams Cider (04/04/2023)")</f>
        <v>Uncle Sams Cider (04/04/2023)</v>
      </c>
      <c r="H6786" s="19"/>
    </row>
    <row r="6787">
      <c r="A6787" s="9"/>
      <c r="B6787" s="15"/>
      <c r="C6787" s="9">
        <f>IFERROR(__xludf.DUMMYFUNCTION("""COMPUTED_VALUE"""),45073.0752805555)</f>
        <v>45073.07528</v>
      </c>
      <c r="D6787" s="15">
        <f>IFERROR(__xludf.DUMMYFUNCTION("""COMPUTED_VALUE"""),1.009)</f>
        <v>1.009</v>
      </c>
      <c r="E6787" s="16">
        <f>IFERROR(__xludf.DUMMYFUNCTION("""COMPUTED_VALUE"""),65.0)</f>
        <v>65</v>
      </c>
      <c r="F6787" s="19" t="str">
        <f>IFERROR(__xludf.DUMMYFUNCTION("""COMPUTED_VALUE"""),"BLUE")</f>
        <v>BLUE</v>
      </c>
      <c r="G6787" s="20" t="str">
        <f>IFERROR(__xludf.DUMMYFUNCTION("""COMPUTED_VALUE"""),"Uncle Sams Cider (04/04/2023)")</f>
        <v>Uncle Sams Cider (04/04/2023)</v>
      </c>
      <c r="H6787" s="19"/>
    </row>
    <row r="6788">
      <c r="A6788" s="9"/>
      <c r="B6788" s="15"/>
      <c r="C6788" s="9">
        <f>IFERROR(__xludf.DUMMYFUNCTION("""COMPUTED_VALUE"""),45073.0648597569)</f>
        <v>45073.06486</v>
      </c>
      <c r="D6788" s="15">
        <f>IFERROR(__xludf.DUMMYFUNCTION("""COMPUTED_VALUE"""),1.009)</f>
        <v>1.009</v>
      </c>
      <c r="E6788" s="16">
        <f>IFERROR(__xludf.DUMMYFUNCTION("""COMPUTED_VALUE"""),65.0)</f>
        <v>65</v>
      </c>
      <c r="F6788" s="19" t="str">
        <f>IFERROR(__xludf.DUMMYFUNCTION("""COMPUTED_VALUE"""),"BLUE")</f>
        <v>BLUE</v>
      </c>
      <c r="G6788" s="20" t="str">
        <f>IFERROR(__xludf.DUMMYFUNCTION("""COMPUTED_VALUE"""),"Uncle Sams Cider (04/04/2023)")</f>
        <v>Uncle Sams Cider (04/04/2023)</v>
      </c>
      <c r="H6788" s="19"/>
    </row>
    <row r="6789">
      <c r="A6789" s="9"/>
      <c r="B6789" s="15"/>
      <c r="C6789" s="9">
        <f>IFERROR(__xludf.DUMMYFUNCTION("""COMPUTED_VALUE"""),45073.0544392708)</f>
        <v>45073.05444</v>
      </c>
      <c r="D6789" s="15">
        <f>IFERROR(__xludf.DUMMYFUNCTION("""COMPUTED_VALUE"""),1.009)</f>
        <v>1.009</v>
      </c>
      <c r="E6789" s="16">
        <f>IFERROR(__xludf.DUMMYFUNCTION("""COMPUTED_VALUE"""),65.0)</f>
        <v>65</v>
      </c>
      <c r="F6789" s="19" t="str">
        <f>IFERROR(__xludf.DUMMYFUNCTION("""COMPUTED_VALUE"""),"BLUE")</f>
        <v>BLUE</v>
      </c>
      <c r="G6789" s="20" t="str">
        <f>IFERROR(__xludf.DUMMYFUNCTION("""COMPUTED_VALUE"""),"Uncle Sams Cider (04/04/2023)")</f>
        <v>Uncle Sams Cider (04/04/2023)</v>
      </c>
      <c r="H6789" s="19"/>
    </row>
    <row r="6790">
      <c r="A6790" s="9"/>
      <c r="B6790" s="15"/>
      <c r="C6790" s="9">
        <f>IFERROR(__xludf.DUMMYFUNCTION("""COMPUTED_VALUE"""),45073.0440064351)</f>
        <v>45073.04401</v>
      </c>
      <c r="D6790" s="15">
        <f>IFERROR(__xludf.DUMMYFUNCTION("""COMPUTED_VALUE"""),1.009)</f>
        <v>1.009</v>
      </c>
      <c r="E6790" s="16">
        <f>IFERROR(__xludf.DUMMYFUNCTION("""COMPUTED_VALUE"""),65.0)</f>
        <v>65</v>
      </c>
      <c r="F6790" s="19" t="str">
        <f>IFERROR(__xludf.DUMMYFUNCTION("""COMPUTED_VALUE"""),"BLUE")</f>
        <v>BLUE</v>
      </c>
      <c r="G6790" s="20" t="str">
        <f>IFERROR(__xludf.DUMMYFUNCTION("""COMPUTED_VALUE"""),"Uncle Sams Cider (04/04/2023)")</f>
        <v>Uncle Sams Cider (04/04/2023)</v>
      </c>
      <c r="H6790" s="19"/>
    </row>
    <row r="6791">
      <c r="A6791" s="9"/>
      <c r="B6791" s="15"/>
      <c r="C6791" s="9">
        <f>IFERROR(__xludf.DUMMYFUNCTION("""COMPUTED_VALUE"""),45073.033585162)</f>
        <v>45073.03359</v>
      </c>
      <c r="D6791" s="15">
        <f>IFERROR(__xludf.DUMMYFUNCTION("""COMPUTED_VALUE"""),1.009)</f>
        <v>1.009</v>
      </c>
      <c r="E6791" s="16">
        <f>IFERROR(__xludf.DUMMYFUNCTION("""COMPUTED_VALUE"""),65.0)</f>
        <v>65</v>
      </c>
      <c r="F6791" s="19" t="str">
        <f>IFERROR(__xludf.DUMMYFUNCTION("""COMPUTED_VALUE"""),"BLUE")</f>
        <v>BLUE</v>
      </c>
      <c r="G6791" s="20" t="str">
        <f>IFERROR(__xludf.DUMMYFUNCTION("""COMPUTED_VALUE"""),"Uncle Sams Cider (04/04/2023)")</f>
        <v>Uncle Sams Cider (04/04/2023)</v>
      </c>
      <c r="H6791" s="19"/>
    </row>
    <row r="6792">
      <c r="A6792" s="9"/>
      <c r="B6792" s="15"/>
      <c r="C6792" s="9">
        <f>IFERROR(__xludf.DUMMYFUNCTION("""COMPUTED_VALUE"""),45073.0231615046)</f>
        <v>45073.02316</v>
      </c>
      <c r="D6792" s="15">
        <f>IFERROR(__xludf.DUMMYFUNCTION("""COMPUTED_VALUE"""),1.009)</f>
        <v>1.009</v>
      </c>
      <c r="E6792" s="16">
        <f>IFERROR(__xludf.DUMMYFUNCTION("""COMPUTED_VALUE"""),65.0)</f>
        <v>65</v>
      </c>
      <c r="F6792" s="19" t="str">
        <f>IFERROR(__xludf.DUMMYFUNCTION("""COMPUTED_VALUE"""),"BLUE")</f>
        <v>BLUE</v>
      </c>
      <c r="G6792" s="20" t="str">
        <f>IFERROR(__xludf.DUMMYFUNCTION("""COMPUTED_VALUE"""),"Uncle Sams Cider (04/04/2023)")</f>
        <v>Uncle Sams Cider (04/04/2023)</v>
      </c>
      <c r="H6792" s="19"/>
    </row>
    <row r="6793">
      <c r="A6793" s="9"/>
      <c r="B6793" s="15"/>
      <c r="C6793" s="9">
        <f>IFERROR(__xludf.DUMMYFUNCTION("""COMPUTED_VALUE"""),45073.012740706)</f>
        <v>45073.01274</v>
      </c>
      <c r="D6793" s="15">
        <f>IFERROR(__xludf.DUMMYFUNCTION("""COMPUTED_VALUE"""),1.009)</f>
        <v>1.009</v>
      </c>
      <c r="E6793" s="16">
        <f>IFERROR(__xludf.DUMMYFUNCTION("""COMPUTED_VALUE"""),65.0)</f>
        <v>65</v>
      </c>
      <c r="F6793" s="19" t="str">
        <f>IFERROR(__xludf.DUMMYFUNCTION("""COMPUTED_VALUE"""),"BLUE")</f>
        <v>BLUE</v>
      </c>
      <c r="G6793" s="20" t="str">
        <f>IFERROR(__xludf.DUMMYFUNCTION("""COMPUTED_VALUE"""),"Uncle Sams Cider (04/04/2023)")</f>
        <v>Uncle Sams Cider (04/04/2023)</v>
      </c>
      <c r="H6793" s="19"/>
    </row>
    <row r="6794">
      <c r="A6794" s="9"/>
      <c r="B6794" s="15"/>
      <c r="C6794" s="9">
        <f>IFERROR(__xludf.DUMMYFUNCTION("""COMPUTED_VALUE"""),45073.0023203009)</f>
        <v>45073.00232</v>
      </c>
      <c r="D6794" s="15">
        <f>IFERROR(__xludf.DUMMYFUNCTION("""COMPUTED_VALUE"""),1.009)</f>
        <v>1.009</v>
      </c>
      <c r="E6794" s="16">
        <f>IFERROR(__xludf.DUMMYFUNCTION("""COMPUTED_VALUE"""),65.0)</f>
        <v>65</v>
      </c>
      <c r="F6794" s="19" t="str">
        <f>IFERROR(__xludf.DUMMYFUNCTION("""COMPUTED_VALUE"""),"BLUE")</f>
        <v>BLUE</v>
      </c>
      <c r="G6794" s="20" t="str">
        <f>IFERROR(__xludf.DUMMYFUNCTION("""COMPUTED_VALUE"""),"Uncle Sams Cider (04/04/2023)")</f>
        <v>Uncle Sams Cider (04/04/2023)</v>
      </c>
      <c r="H6794" s="19"/>
    </row>
    <row r="6795">
      <c r="A6795" s="9"/>
      <c r="B6795" s="15"/>
      <c r="C6795" s="9">
        <f>IFERROR(__xludf.DUMMYFUNCTION("""COMPUTED_VALUE"""),45072.9918970138)</f>
        <v>45072.9919</v>
      </c>
      <c r="D6795" s="15">
        <f>IFERROR(__xludf.DUMMYFUNCTION("""COMPUTED_VALUE"""),1.009)</f>
        <v>1.009</v>
      </c>
      <c r="E6795" s="16">
        <f>IFERROR(__xludf.DUMMYFUNCTION("""COMPUTED_VALUE"""),65.0)</f>
        <v>65</v>
      </c>
      <c r="F6795" s="19" t="str">
        <f>IFERROR(__xludf.DUMMYFUNCTION("""COMPUTED_VALUE"""),"BLUE")</f>
        <v>BLUE</v>
      </c>
      <c r="G6795" s="20" t="str">
        <f>IFERROR(__xludf.DUMMYFUNCTION("""COMPUTED_VALUE"""),"Uncle Sams Cider (04/04/2023)")</f>
        <v>Uncle Sams Cider (04/04/2023)</v>
      </c>
      <c r="H6795" s="19"/>
    </row>
    <row r="6796">
      <c r="A6796" s="9"/>
      <c r="B6796" s="15"/>
      <c r="C6796" s="9">
        <f>IFERROR(__xludf.DUMMYFUNCTION("""COMPUTED_VALUE"""),45072.9814631828)</f>
        <v>45072.98146</v>
      </c>
      <c r="D6796" s="15">
        <f>IFERROR(__xludf.DUMMYFUNCTION("""COMPUTED_VALUE"""),1.009)</f>
        <v>1.009</v>
      </c>
      <c r="E6796" s="16">
        <f>IFERROR(__xludf.DUMMYFUNCTION("""COMPUTED_VALUE"""),65.0)</f>
        <v>65</v>
      </c>
      <c r="F6796" s="19" t="str">
        <f>IFERROR(__xludf.DUMMYFUNCTION("""COMPUTED_VALUE"""),"BLUE")</f>
        <v>BLUE</v>
      </c>
      <c r="G6796" s="20" t="str">
        <f>IFERROR(__xludf.DUMMYFUNCTION("""COMPUTED_VALUE"""),"Uncle Sams Cider (04/04/2023)")</f>
        <v>Uncle Sams Cider (04/04/2023)</v>
      </c>
      <c r="H6796" s="19"/>
    </row>
    <row r="6797">
      <c r="A6797" s="9"/>
      <c r="B6797" s="15"/>
      <c r="C6797" s="9">
        <f>IFERROR(__xludf.DUMMYFUNCTION("""COMPUTED_VALUE"""),45072.9710314699)</f>
        <v>45072.97103</v>
      </c>
      <c r="D6797" s="15">
        <f>IFERROR(__xludf.DUMMYFUNCTION("""COMPUTED_VALUE"""),1.009)</f>
        <v>1.009</v>
      </c>
      <c r="E6797" s="16">
        <f>IFERROR(__xludf.DUMMYFUNCTION("""COMPUTED_VALUE"""),65.0)</f>
        <v>65</v>
      </c>
      <c r="F6797" s="19" t="str">
        <f>IFERROR(__xludf.DUMMYFUNCTION("""COMPUTED_VALUE"""),"BLUE")</f>
        <v>BLUE</v>
      </c>
      <c r="G6797" s="20" t="str">
        <f>IFERROR(__xludf.DUMMYFUNCTION("""COMPUTED_VALUE"""),"Uncle Sams Cider (04/04/2023)")</f>
        <v>Uncle Sams Cider (04/04/2023)</v>
      </c>
      <c r="H6797" s="19"/>
    </row>
    <row r="6798">
      <c r="A6798" s="9"/>
      <c r="B6798" s="15"/>
      <c r="C6798" s="9">
        <f>IFERROR(__xludf.DUMMYFUNCTION("""COMPUTED_VALUE"""),45072.9605866319)</f>
        <v>45072.96059</v>
      </c>
      <c r="D6798" s="15">
        <f>IFERROR(__xludf.DUMMYFUNCTION("""COMPUTED_VALUE"""),1.009)</f>
        <v>1.009</v>
      </c>
      <c r="E6798" s="16">
        <f>IFERROR(__xludf.DUMMYFUNCTION("""COMPUTED_VALUE"""),65.0)</f>
        <v>65</v>
      </c>
      <c r="F6798" s="19" t="str">
        <f>IFERROR(__xludf.DUMMYFUNCTION("""COMPUTED_VALUE"""),"BLUE")</f>
        <v>BLUE</v>
      </c>
      <c r="G6798" s="20" t="str">
        <f>IFERROR(__xludf.DUMMYFUNCTION("""COMPUTED_VALUE"""),"Uncle Sams Cider (04/04/2023)")</f>
        <v>Uncle Sams Cider (04/04/2023)</v>
      </c>
      <c r="H6798" s="19"/>
    </row>
    <row r="6799">
      <c r="A6799" s="9"/>
      <c r="B6799" s="15"/>
      <c r="C6799" s="9">
        <f>IFERROR(__xludf.DUMMYFUNCTION("""COMPUTED_VALUE"""),45072.9501667592)</f>
        <v>45072.95017</v>
      </c>
      <c r="D6799" s="15">
        <f>IFERROR(__xludf.DUMMYFUNCTION("""COMPUTED_VALUE"""),1.009)</f>
        <v>1.009</v>
      </c>
      <c r="E6799" s="16">
        <f>IFERROR(__xludf.DUMMYFUNCTION("""COMPUTED_VALUE"""),65.0)</f>
        <v>65</v>
      </c>
      <c r="F6799" s="19" t="str">
        <f>IFERROR(__xludf.DUMMYFUNCTION("""COMPUTED_VALUE"""),"BLUE")</f>
        <v>BLUE</v>
      </c>
      <c r="G6799" s="20" t="str">
        <f>IFERROR(__xludf.DUMMYFUNCTION("""COMPUTED_VALUE"""),"Uncle Sams Cider (04/04/2023)")</f>
        <v>Uncle Sams Cider (04/04/2023)</v>
      </c>
      <c r="H6799" s="19"/>
    </row>
    <row r="6800">
      <c r="A6800" s="9"/>
      <c r="B6800" s="15"/>
      <c r="C6800" s="9">
        <f>IFERROR(__xludf.DUMMYFUNCTION("""COMPUTED_VALUE"""),45072.9397112268)</f>
        <v>45072.93971</v>
      </c>
      <c r="D6800" s="15">
        <f>IFERROR(__xludf.DUMMYFUNCTION("""COMPUTED_VALUE"""),1.009)</f>
        <v>1.009</v>
      </c>
      <c r="E6800" s="16">
        <f>IFERROR(__xludf.DUMMYFUNCTION("""COMPUTED_VALUE"""),65.0)</f>
        <v>65</v>
      </c>
      <c r="F6800" s="19" t="str">
        <f>IFERROR(__xludf.DUMMYFUNCTION("""COMPUTED_VALUE"""),"BLUE")</f>
        <v>BLUE</v>
      </c>
      <c r="G6800" s="20" t="str">
        <f>IFERROR(__xludf.DUMMYFUNCTION("""COMPUTED_VALUE"""),"Uncle Sams Cider (04/04/2023)")</f>
        <v>Uncle Sams Cider (04/04/2023)</v>
      </c>
      <c r="H6800" s="19"/>
    </row>
    <row r="6801">
      <c r="A6801" s="9"/>
      <c r="B6801" s="15"/>
      <c r="C6801" s="9">
        <f>IFERROR(__xludf.DUMMYFUNCTION("""COMPUTED_VALUE"""),45072.9292781713)</f>
        <v>45072.92928</v>
      </c>
      <c r="D6801" s="15">
        <f>IFERROR(__xludf.DUMMYFUNCTION("""COMPUTED_VALUE"""),1.009)</f>
        <v>1.009</v>
      </c>
      <c r="E6801" s="16">
        <f>IFERROR(__xludf.DUMMYFUNCTION("""COMPUTED_VALUE"""),65.0)</f>
        <v>65</v>
      </c>
      <c r="F6801" s="19" t="str">
        <f>IFERROR(__xludf.DUMMYFUNCTION("""COMPUTED_VALUE"""),"BLUE")</f>
        <v>BLUE</v>
      </c>
      <c r="G6801" s="20" t="str">
        <f>IFERROR(__xludf.DUMMYFUNCTION("""COMPUTED_VALUE"""),"Uncle Sams Cider (04/04/2023)")</f>
        <v>Uncle Sams Cider (04/04/2023)</v>
      </c>
      <c r="H6801" s="19"/>
    </row>
    <row r="6802">
      <c r="A6802" s="9"/>
      <c r="B6802" s="15"/>
      <c r="C6802" s="9">
        <f>IFERROR(__xludf.DUMMYFUNCTION("""COMPUTED_VALUE"""),45072.9188558564)</f>
        <v>45072.91886</v>
      </c>
      <c r="D6802" s="15">
        <f>IFERROR(__xludf.DUMMYFUNCTION("""COMPUTED_VALUE"""),1.009)</f>
        <v>1.009</v>
      </c>
      <c r="E6802" s="16">
        <f>IFERROR(__xludf.DUMMYFUNCTION("""COMPUTED_VALUE"""),65.0)</f>
        <v>65</v>
      </c>
      <c r="F6802" s="19" t="str">
        <f>IFERROR(__xludf.DUMMYFUNCTION("""COMPUTED_VALUE"""),"BLUE")</f>
        <v>BLUE</v>
      </c>
      <c r="G6802" s="20" t="str">
        <f>IFERROR(__xludf.DUMMYFUNCTION("""COMPUTED_VALUE"""),"Uncle Sams Cider (04/04/2023)")</f>
        <v>Uncle Sams Cider (04/04/2023)</v>
      </c>
      <c r="H6802" s="19"/>
    </row>
    <row r="6803">
      <c r="A6803" s="9"/>
      <c r="B6803" s="15"/>
      <c r="C6803" s="9">
        <f>IFERROR(__xludf.DUMMYFUNCTION("""COMPUTED_VALUE"""),45072.9084357638)</f>
        <v>45072.90844</v>
      </c>
      <c r="D6803" s="15">
        <f>IFERROR(__xludf.DUMMYFUNCTION("""COMPUTED_VALUE"""),1.009)</f>
        <v>1.009</v>
      </c>
      <c r="E6803" s="16">
        <f>IFERROR(__xludf.DUMMYFUNCTION("""COMPUTED_VALUE"""),65.0)</f>
        <v>65</v>
      </c>
      <c r="F6803" s="19" t="str">
        <f>IFERROR(__xludf.DUMMYFUNCTION("""COMPUTED_VALUE"""),"BLUE")</f>
        <v>BLUE</v>
      </c>
      <c r="G6803" s="20" t="str">
        <f>IFERROR(__xludf.DUMMYFUNCTION("""COMPUTED_VALUE"""),"Uncle Sams Cider (04/04/2023)")</f>
        <v>Uncle Sams Cider (04/04/2023)</v>
      </c>
      <c r="H6803" s="19"/>
    </row>
    <row r="6804">
      <c r="A6804" s="9"/>
      <c r="B6804" s="15"/>
      <c r="C6804" s="9">
        <f>IFERROR(__xludf.DUMMYFUNCTION("""COMPUTED_VALUE"""),45072.8980148495)</f>
        <v>45072.89801</v>
      </c>
      <c r="D6804" s="15">
        <f>IFERROR(__xludf.DUMMYFUNCTION("""COMPUTED_VALUE"""),1.009)</f>
        <v>1.009</v>
      </c>
      <c r="E6804" s="16">
        <f>IFERROR(__xludf.DUMMYFUNCTION("""COMPUTED_VALUE"""),65.0)</f>
        <v>65</v>
      </c>
      <c r="F6804" s="19" t="str">
        <f>IFERROR(__xludf.DUMMYFUNCTION("""COMPUTED_VALUE"""),"BLUE")</f>
        <v>BLUE</v>
      </c>
      <c r="G6804" s="20" t="str">
        <f>IFERROR(__xludf.DUMMYFUNCTION("""COMPUTED_VALUE"""),"Uncle Sams Cider (04/04/2023)")</f>
        <v>Uncle Sams Cider (04/04/2023)</v>
      </c>
      <c r="H6804" s="19"/>
    </row>
    <row r="6805">
      <c r="A6805" s="9"/>
      <c r="B6805" s="15"/>
      <c r="C6805" s="9">
        <f>IFERROR(__xludf.DUMMYFUNCTION("""COMPUTED_VALUE"""),45072.8875823495)</f>
        <v>45072.88758</v>
      </c>
      <c r="D6805" s="15">
        <f>IFERROR(__xludf.DUMMYFUNCTION("""COMPUTED_VALUE"""),1.009)</f>
        <v>1.009</v>
      </c>
      <c r="E6805" s="16">
        <f>IFERROR(__xludf.DUMMYFUNCTION("""COMPUTED_VALUE"""),65.0)</f>
        <v>65</v>
      </c>
      <c r="F6805" s="19" t="str">
        <f>IFERROR(__xludf.DUMMYFUNCTION("""COMPUTED_VALUE"""),"BLUE")</f>
        <v>BLUE</v>
      </c>
      <c r="G6805" s="20" t="str">
        <f>IFERROR(__xludf.DUMMYFUNCTION("""COMPUTED_VALUE"""),"Uncle Sams Cider (04/04/2023)")</f>
        <v>Uncle Sams Cider (04/04/2023)</v>
      </c>
      <c r="H6805" s="19"/>
    </row>
    <row r="6806">
      <c r="A6806" s="9"/>
      <c r="B6806" s="15"/>
      <c r="C6806" s="9">
        <f>IFERROR(__xludf.DUMMYFUNCTION("""COMPUTED_VALUE"""),45072.8771613888)</f>
        <v>45072.87716</v>
      </c>
      <c r="D6806" s="15">
        <f>IFERROR(__xludf.DUMMYFUNCTION("""COMPUTED_VALUE"""),1.009)</f>
        <v>1.009</v>
      </c>
      <c r="E6806" s="16">
        <f>IFERROR(__xludf.DUMMYFUNCTION("""COMPUTED_VALUE"""),65.0)</f>
        <v>65</v>
      </c>
      <c r="F6806" s="19" t="str">
        <f>IFERROR(__xludf.DUMMYFUNCTION("""COMPUTED_VALUE"""),"BLUE")</f>
        <v>BLUE</v>
      </c>
      <c r="G6806" s="20" t="str">
        <f>IFERROR(__xludf.DUMMYFUNCTION("""COMPUTED_VALUE"""),"Uncle Sams Cider (04/04/2023)")</f>
        <v>Uncle Sams Cider (04/04/2023)</v>
      </c>
      <c r="H6806" s="19"/>
    </row>
    <row r="6807">
      <c r="A6807" s="9"/>
      <c r="B6807" s="15"/>
      <c r="C6807" s="9">
        <f>IFERROR(__xludf.DUMMYFUNCTION("""COMPUTED_VALUE"""),45072.8667282291)</f>
        <v>45072.86673</v>
      </c>
      <c r="D6807" s="15">
        <f>IFERROR(__xludf.DUMMYFUNCTION("""COMPUTED_VALUE"""),1.009)</f>
        <v>1.009</v>
      </c>
      <c r="E6807" s="16">
        <f>IFERROR(__xludf.DUMMYFUNCTION("""COMPUTED_VALUE"""),65.0)</f>
        <v>65</v>
      </c>
      <c r="F6807" s="19" t="str">
        <f>IFERROR(__xludf.DUMMYFUNCTION("""COMPUTED_VALUE"""),"BLUE")</f>
        <v>BLUE</v>
      </c>
      <c r="G6807" s="20" t="str">
        <f>IFERROR(__xludf.DUMMYFUNCTION("""COMPUTED_VALUE"""),"Uncle Sams Cider (04/04/2023)")</f>
        <v>Uncle Sams Cider (04/04/2023)</v>
      </c>
      <c r="H6807" s="19"/>
    </row>
    <row r="6808">
      <c r="A6808" s="9"/>
      <c r="B6808" s="15"/>
      <c r="C6808" s="9">
        <f>IFERROR(__xludf.DUMMYFUNCTION("""COMPUTED_VALUE"""),45072.8563067939)</f>
        <v>45072.85631</v>
      </c>
      <c r="D6808" s="15">
        <f>IFERROR(__xludf.DUMMYFUNCTION("""COMPUTED_VALUE"""),1.009)</f>
        <v>1.009</v>
      </c>
      <c r="E6808" s="16">
        <f>IFERROR(__xludf.DUMMYFUNCTION("""COMPUTED_VALUE"""),65.0)</f>
        <v>65</v>
      </c>
      <c r="F6808" s="19" t="str">
        <f>IFERROR(__xludf.DUMMYFUNCTION("""COMPUTED_VALUE"""),"BLUE")</f>
        <v>BLUE</v>
      </c>
      <c r="G6808" s="20" t="str">
        <f>IFERROR(__xludf.DUMMYFUNCTION("""COMPUTED_VALUE"""),"Uncle Sams Cider (04/04/2023)")</f>
        <v>Uncle Sams Cider (04/04/2023)</v>
      </c>
      <c r="H6808" s="19"/>
    </row>
    <row r="6809">
      <c r="A6809" s="9"/>
      <c r="B6809" s="15"/>
      <c r="C6809" s="9">
        <f>IFERROR(__xludf.DUMMYFUNCTION("""COMPUTED_VALUE"""),45072.8458854166)</f>
        <v>45072.84589</v>
      </c>
      <c r="D6809" s="15">
        <f>IFERROR(__xludf.DUMMYFUNCTION("""COMPUTED_VALUE"""),1.009)</f>
        <v>1.009</v>
      </c>
      <c r="E6809" s="16">
        <f>IFERROR(__xludf.DUMMYFUNCTION("""COMPUTED_VALUE"""),65.0)</f>
        <v>65</v>
      </c>
      <c r="F6809" s="19" t="str">
        <f>IFERROR(__xludf.DUMMYFUNCTION("""COMPUTED_VALUE"""),"BLUE")</f>
        <v>BLUE</v>
      </c>
      <c r="G6809" s="20" t="str">
        <f>IFERROR(__xludf.DUMMYFUNCTION("""COMPUTED_VALUE"""),"Uncle Sams Cider (04/04/2023)")</f>
        <v>Uncle Sams Cider (04/04/2023)</v>
      </c>
      <c r="H6809" s="19"/>
    </row>
    <row r="6810">
      <c r="A6810" s="9"/>
      <c r="B6810" s="15"/>
      <c r="C6810" s="9">
        <f>IFERROR(__xludf.DUMMYFUNCTION("""COMPUTED_VALUE"""),45072.8354628935)</f>
        <v>45072.83546</v>
      </c>
      <c r="D6810" s="15">
        <f>IFERROR(__xludf.DUMMYFUNCTION("""COMPUTED_VALUE"""),1.009)</f>
        <v>1.009</v>
      </c>
      <c r="E6810" s="16">
        <f>IFERROR(__xludf.DUMMYFUNCTION("""COMPUTED_VALUE"""),65.0)</f>
        <v>65</v>
      </c>
      <c r="F6810" s="19" t="str">
        <f>IFERROR(__xludf.DUMMYFUNCTION("""COMPUTED_VALUE"""),"BLUE")</f>
        <v>BLUE</v>
      </c>
      <c r="G6810" s="20" t="str">
        <f>IFERROR(__xludf.DUMMYFUNCTION("""COMPUTED_VALUE"""),"Uncle Sams Cider (04/04/2023)")</f>
        <v>Uncle Sams Cider (04/04/2023)</v>
      </c>
      <c r="H6810" s="19"/>
    </row>
    <row r="6811">
      <c r="A6811" s="9"/>
      <c r="B6811" s="15"/>
      <c r="C6811" s="9">
        <f>IFERROR(__xludf.DUMMYFUNCTION("""COMPUTED_VALUE"""),45072.8250413425)</f>
        <v>45072.82504</v>
      </c>
      <c r="D6811" s="15">
        <f>IFERROR(__xludf.DUMMYFUNCTION("""COMPUTED_VALUE"""),1.009)</f>
        <v>1.009</v>
      </c>
      <c r="E6811" s="16">
        <f>IFERROR(__xludf.DUMMYFUNCTION("""COMPUTED_VALUE"""),65.0)</f>
        <v>65</v>
      </c>
      <c r="F6811" s="19" t="str">
        <f>IFERROR(__xludf.DUMMYFUNCTION("""COMPUTED_VALUE"""),"BLUE")</f>
        <v>BLUE</v>
      </c>
      <c r="G6811" s="20" t="str">
        <f>IFERROR(__xludf.DUMMYFUNCTION("""COMPUTED_VALUE"""),"Uncle Sams Cider (04/04/2023)")</f>
        <v>Uncle Sams Cider (04/04/2023)</v>
      </c>
      <c r="H6811" s="19"/>
    </row>
    <row r="6812">
      <c r="A6812" s="9"/>
      <c r="B6812" s="15"/>
      <c r="C6812" s="9">
        <f>IFERROR(__xludf.DUMMYFUNCTION("""COMPUTED_VALUE"""),45072.8146185879)</f>
        <v>45072.81462</v>
      </c>
      <c r="D6812" s="15">
        <f>IFERROR(__xludf.DUMMYFUNCTION("""COMPUTED_VALUE"""),1.009)</f>
        <v>1.009</v>
      </c>
      <c r="E6812" s="16">
        <f>IFERROR(__xludf.DUMMYFUNCTION("""COMPUTED_VALUE"""),65.0)</f>
        <v>65</v>
      </c>
      <c r="F6812" s="19" t="str">
        <f>IFERROR(__xludf.DUMMYFUNCTION("""COMPUTED_VALUE"""),"BLUE")</f>
        <v>BLUE</v>
      </c>
      <c r="G6812" s="20" t="str">
        <f>IFERROR(__xludf.DUMMYFUNCTION("""COMPUTED_VALUE"""),"Uncle Sams Cider (04/04/2023)")</f>
        <v>Uncle Sams Cider (04/04/2023)</v>
      </c>
      <c r="H6812" s="19"/>
    </row>
    <row r="6813">
      <c r="A6813" s="9"/>
      <c r="B6813" s="15"/>
      <c r="C6813" s="9">
        <f>IFERROR(__xludf.DUMMYFUNCTION("""COMPUTED_VALUE"""),45072.8041982176)</f>
        <v>45072.8042</v>
      </c>
      <c r="D6813" s="15">
        <f>IFERROR(__xludf.DUMMYFUNCTION("""COMPUTED_VALUE"""),1.009)</f>
        <v>1.009</v>
      </c>
      <c r="E6813" s="16">
        <f>IFERROR(__xludf.DUMMYFUNCTION("""COMPUTED_VALUE"""),65.0)</f>
        <v>65</v>
      </c>
      <c r="F6813" s="19" t="str">
        <f>IFERROR(__xludf.DUMMYFUNCTION("""COMPUTED_VALUE"""),"BLUE")</f>
        <v>BLUE</v>
      </c>
      <c r="G6813" s="20" t="str">
        <f>IFERROR(__xludf.DUMMYFUNCTION("""COMPUTED_VALUE"""),"Uncle Sams Cider (04/04/2023)")</f>
        <v>Uncle Sams Cider (04/04/2023)</v>
      </c>
      <c r="H6813" s="19"/>
    </row>
    <row r="6814">
      <c r="A6814" s="9"/>
      <c r="B6814" s="15"/>
      <c r="C6814" s="9">
        <f>IFERROR(__xludf.DUMMYFUNCTION("""COMPUTED_VALUE"""),45072.7937765625)</f>
        <v>45072.79378</v>
      </c>
      <c r="D6814" s="15">
        <f>IFERROR(__xludf.DUMMYFUNCTION("""COMPUTED_VALUE"""),1.009)</f>
        <v>1.009</v>
      </c>
      <c r="E6814" s="16">
        <f>IFERROR(__xludf.DUMMYFUNCTION("""COMPUTED_VALUE"""),65.0)</f>
        <v>65</v>
      </c>
      <c r="F6814" s="19" t="str">
        <f>IFERROR(__xludf.DUMMYFUNCTION("""COMPUTED_VALUE"""),"BLUE")</f>
        <v>BLUE</v>
      </c>
      <c r="G6814" s="20" t="str">
        <f>IFERROR(__xludf.DUMMYFUNCTION("""COMPUTED_VALUE"""),"Uncle Sams Cider (04/04/2023)")</f>
        <v>Uncle Sams Cider (04/04/2023)</v>
      </c>
      <c r="H6814" s="19"/>
    </row>
    <row r="6815">
      <c r="A6815" s="9"/>
      <c r="B6815" s="15"/>
      <c r="C6815" s="9">
        <f>IFERROR(__xludf.DUMMYFUNCTION("""COMPUTED_VALUE"""),45072.7833564236)</f>
        <v>45072.78336</v>
      </c>
      <c r="D6815" s="15">
        <f>IFERROR(__xludf.DUMMYFUNCTION("""COMPUTED_VALUE"""),1.009)</f>
        <v>1.009</v>
      </c>
      <c r="E6815" s="16">
        <f>IFERROR(__xludf.DUMMYFUNCTION("""COMPUTED_VALUE"""),65.0)</f>
        <v>65</v>
      </c>
      <c r="F6815" s="19" t="str">
        <f>IFERROR(__xludf.DUMMYFUNCTION("""COMPUTED_VALUE"""),"BLUE")</f>
        <v>BLUE</v>
      </c>
      <c r="G6815" s="20" t="str">
        <f>IFERROR(__xludf.DUMMYFUNCTION("""COMPUTED_VALUE"""),"Uncle Sams Cider (04/04/2023)")</f>
        <v>Uncle Sams Cider (04/04/2023)</v>
      </c>
      <c r="H6815" s="19"/>
    </row>
    <row r="6816">
      <c r="A6816" s="9"/>
      <c r="B6816" s="15"/>
      <c r="C6816" s="9">
        <f>IFERROR(__xludf.DUMMYFUNCTION("""COMPUTED_VALUE"""),45072.7729352314)</f>
        <v>45072.77294</v>
      </c>
      <c r="D6816" s="15">
        <f>IFERROR(__xludf.DUMMYFUNCTION("""COMPUTED_VALUE"""),1.009)</f>
        <v>1.009</v>
      </c>
      <c r="E6816" s="16">
        <f>IFERROR(__xludf.DUMMYFUNCTION("""COMPUTED_VALUE"""),65.0)</f>
        <v>65</v>
      </c>
      <c r="F6816" s="19" t="str">
        <f>IFERROR(__xludf.DUMMYFUNCTION("""COMPUTED_VALUE"""),"BLUE")</f>
        <v>BLUE</v>
      </c>
      <c r="G6816" s="20" t="str">
        <f>IFERROR(__xludf.DUMMYFUNCTION("""COMPUTED_VALUE"""),"Uncle Sams Cider (04/04/2023)")</f>
        <v>Uncle Sams Cider (04/04/2023)</v>
      </c>
      <c r="H6816" s="19"/>
    </row>
    <row r="6817">
      <c r="A6817" s="9"/>
      <c r="B6817" s="15"/>
      <c r="C6817" s="9">
        <f>IFERROR(__xludf.DUMMYFUNCTION("""COMPUTED_VALUE"""),45072.7625129976)</f>
        <v>45072.76251</v>
      </c>
      <c r="D6817" s="15">
        <f>IFERROR(__xludf.DUMMYFUNCTION("""COMPUTED_VALUE"""),1.009)</f>
        <v>1.009</v>
      </c>
      <c r="E6817" s="16">
        <f>IFERROR(__xludf.DUMMYFUNCTION("""COMPUTED_VALUE"""),65.0)</f>
        <v>65</v>
      </c>
      <c r="F6817" s="19" t="str">
        <f>IFERROR(__xludf.DUMMYFUNCTION("""COMPUTED_VALUE"""),"BLUE")</f>
        <v>BLUE</v>
      </c>
      <c r="G6817" s="20" t="str">
        <f>IFERROR(__xludf.DUMMYFUNCTION("""COMPUTED_VALUE"""),"Uncle Sams Cider (04/04/2023)")</f>
        <v>Uncle Sams Cider (04/04/2023)</v>
      </c>
      <c r="H6817" s="19"/>
    </row>
    <row r="6818">
      <c r="A6818" s="9"/>
      <c r="B6818" s="15"/>
      <c r="C6818" s="9">
        <f>IFERROR(__xludf.DUMMYFUNCTION("""COMPUTED_VALUE"""),45072.7520919328)</f>
        <v>45072.75209</v>
      </c>
      <c r="D6818" s="15">
        <f>IFERROR(__xludf.DUMMYFUNCTION("""COMPUTED_VALUE"""),1.009)</f>
        <v>1.009</v>
      </c>
      <c r="E6818" s="16">
        <f>IFERROR(__xludf.DUMMYFUNCTION("""COMPUTED_VALUE"""),65.0)</f>
        <v>65</v>
      </c>
      <c r="F6818" s="19" t="str">
        <f>IFERROR(__xludf.DUMMYFUNCTION("""COMPUTED_VALUE"""),"BLUE")</f>
        <v>BLUE</v>
      </c>
      <c r="G6818" s="20" t="str">
        <f>IFERROR(__xludf.DUMMYFUNCTION("""COMPUTED_VALUE"""),"Uncle Sams Cider (04/04/2023)")</f>
        <v>Uncle Sams Cider (04/04/2023)</v>
      </c>
      <c r="H6818" s="19"/>
    </row>
    <row r="6819">
      <c r="A6819" s="9"/>
      <c r="B6819" s="15"/>
      <c r="C6819" s="9">
        <f>IFERROR(__xludf.DUMMYFUNCTION("""COMPUTED_VALUE"""),45072.7416451388)</f>
        <v>45072.74165</v>
      </c>
      <c r="D6819" s="15">
        <f>IFERROR(__xludf.DUMMYFUNCTION("""COMPUTED_VALUE"""),1.009)</f>
        <v>1.009</v>
      </c>
      <c r="E6819" s="16">
        <f>IFERROR(__xludf.DUMMYFUNCTION("""COMPUTED_VALUE"""),65.0)</f>
        <v>65</v>
      </c>
      <c r="F6819" s="19" t="str">
        <f>IFERROR(__xludf.DUMMYFUNCTION("""COMPUTED_VALUE"""),"BLUE")</f>
        <v>BLUE</v>
      </c>
      <c r="G6819" s="20" t="str">
        <f>IFERROR(__xludf.DUMMYFUNCTION("""COMPUTED_VALUE"""),"Uncle Sams Cider (04/04/2023)")</f>
        <v>Uncle Sams Cider (04/04/2023)</v>
      </c>
      <c r="H6819" s="19"/>
    </row>
    <row r="6820">
      <c r="A6820" s="9"/>
      <c r="B6820" s="15"/>
      <c r="C6820" s="9">
        <f>IFERROR(__xludf.DUMMYFUNCTION("""COMPUTED_VALUE"""),45072.7312240162)</f>
        <v>45072.73122</v>
      </c>
      <c r="D6820" s="15">
        <f>IFERROR(__xludf.DUMMYFUNCTION("""COMPUTED_VALUE"""),1.009)</f>
        <v>1.009</v>
      </c>
      <c r="E6820" s="16">
        <f>IFERROR(__xludf.DUMMYFUNCTION("""COMPUTED_VALUE"""),65.0)</f>
        <v>65</v>
      </c>
      <c r="F6820" s="19" t="str">
        <f>IFERROR(__xludf.DUMMYFUNCTION("""COMPUTED_VALUE"""),"BLUE")</f>
        <v>BLUE</v>
      </c>
      <c r="G6820" s="20" t="str">
        <f>IFERROR(__xludf.DUMMYFUNCTION("""COMPUTED_VALUE"""),"Uncle Sams Cider (04/04/2023)")</f>
        <v>Uncle Sams Cider (04/04/2023)</v>
      </c>
      <c r="H6820" s="19"/>
    </row>
    <row r="6821">
      <c r="A6821" s="9"/>
      <c r="B6821" s="15"/>
      <c r="C6821" s="9">
        <f>IFERROR(__xludf.DUMMYFUNCTION("""COMPUTED_VALUE"""),45072.7208022569)</f>
        <v>45072.7208</v>
      </c>
      <c r="D6821" s="15">
        <f>IFERROR(__xludf.DUMMYFUNCTION("""COMPUTED_VALUE"""),1.009)</f>
        <v>1.009</v>
      </c>
      <c r="E6821" s="16">
        <f>IFERROR(__xludf.DUMMYFUNCTION("""COMPUTED_VALUE"""),65.0)</f>
        <v>65</v>
      </c>
      <c r="F6821" s="19" t="str">
        <f>IFERROR(__xludf.DUMMYFUNCTION("""COMPUTED_VALUE"""),"BLUE")</f>
        <v>BLUE</v>
      </c>
      <c r="G6821" s="20" t="str">
        <f>IFERROR(__xludf.DUMMYFUNCTION("""COMPUTED_VALUE"""),"Uncle Sams Cider (04/04/2023)")</f>
        <v>Uncle Sams Cider (04/04/2023)</v>
      </c>
      <c r="H6821" s="19"/>
    </row>
    <row r="6822">
      <c r="A6822" s="9"/>
      <c r="B6822" s="15"/>
      <c r="C6822" s="9">
        <f>IFERROR(__xludf.DUMMYFUNCTION("""COMPUTED_VALUE"""),45072.7103815509)</f>
        <v>45072.71038</v>
      </c>
      <c r="D6822" s="15">
        <f>IFERROR(__xludf.DUMMYFUNCTION("""COMPUTED_VALUE"""),1.009)</f>
        <v>1.009</v>
      </c>
      <c r="E6822" s="16">
        <f>IFERROR(__xludf.DUMMYFUNCTION("""COMPUTED_VALUE"""),65.0)</f>
        <v>65</v>
      </c>
      <c r="F6822" s="19" t="str">
        <f>IFERROR(__xludf.DUMMYFUNCTION("""COMPUTED_VALUE"""),"BLUE")</f>
        <v>BLUE</v>
      </c>
      <c r="G6822" s="20" t="str">
        <f>IFERROR(__xludf.DUMMYFUNCTION("""COMPUTED_VALUE"""),"Uncle Sams Cider (04/04/2023)")</f>
        <v>Uncle Sams Cider (04/04/2023)</v>
      </c>
      <c r="H6822" s="19"/>
    </row>
    <row r="6823">
      <c r="A6823" s="9"/>
      <c r="B6823" s="15"/>
      <c r="C6823" s="9">
        <f>IFERROR(__xludf.DUMMYFUNCTION("""COMPUTED_VALUE"""),45072.699961574)</f>
        <v>45072.69996</v>
      </c>
      <c r="D6823" s="15">
        <f>IFERROR(__xludf.DUMMYFUNCTION("""COMPUTED_VALUE"""),1.009)</f>
        <v>1.009</v>
      </c>
      <c r="E6823" s="16">
        <f>IFERROR(__xludf.DUMMYFUNCTION("""COMPUTED_VALUE"""),65.0)</f>
        <v>65</v>
      </c>
      <c r="F6823" s="19" t="str">
        <f>IFERROR(__xludf.DUMMYFUNCTION("""COMPUTED_VALUE"""),"BLUE")</f>
        <v>BLUE</v>
      </c>
      <c r="G6823" s="20" t="str">
        <f>IFERROR(__xludf.DUMMYFUNCTION("""COMPUTED_VALUE"""),"Uncle Sams Cider (04/04/2023)")</f>
        <v>Uncle Sams Cider (04/04/2023)</v>
      </c>
      <c r="H6823" s="19"/>
    </row>
    <row r="6824">
      <c r="A6824" s="9"/>
      <c r="B6824" s="15"/>
      <c r="C6824" s="9">
        <f>IFERROR(__xludf.DUMMYFUNCTION("""COMPUTED_VALUE"""),45072.689539618)</f>
        <v>45072.68954</v>
      </c>
      <c r="D6824" s="15">
        <f>IFERROR(__xludf.DUMMYFUNCTION("""COMPUTED_VALUE"""),1.009)</f>
        <v>1.009</v>
      </c>
      <c r="E6824" s="16">
        <f>IFERROR(__xludf.DUMMYFUNCTION("""COMPUTED_VALUE"""),65.0)</f>
        <v>65</v>
      </c>
      <c r="F6824" s="19" t="str">
        <f>IFERROR(__xludf.DUMMYFUNCTION("""COMPUTED_VALUE"""),"BLUE")</f>
        <v>BLUE</v>
      </c>
      <c r="G6824" s="20" t="str">
        <f>IFERROR(__xludf.DUMMYFUNCTION("""COMPUTED_VALUE"""),"Uncle Sams Cider (04/04/2023)")</f>
        <v>Uncle Sams Cider (04/04/2023)</v>
      </c>
      <c r="H6824" s="19"/>
    </row>
    <row r="6825">
      <c r="A6825" s="9"/>
      <c r="B6825" s="15"/>
      <c r="C6825" s="9">
        <f>IFERROR(__xludf.DUMMYFUNCTION("""COMPUTED_VALUE"""),45072.6791078935)</f>
        <v>45072.67911</v>
      </c>
      <c r="D6825" s="15">
        <f>IFERROR(__xludf.DUMMYFUNCTION("""COMPUTED_VALUE"""),1.009)</f>
        <v>1.009</v>
      </c>
      <c r="E6825" s="16">
        <f>IFERROR(__xludf.DUMMYFUNCTION("""COMPUTED_VALUE"""),65.0)</f>
        <v>65</v>
      </c>
      <c r="F6825" s="19" t="str">
        <f>IFERROR(__xludf.DUMMYFUNCTION("""COMPUTED_VALUE"""),"BLUE")</f>
        <v>BLUE</v>
      </c>
      <c r="G6825" s="20" t="str">
        <f>IFERROR(__xludf.DUMMYFUNCTION("""COMPUTED_VALUE"""),"Uncle Sams Cider (04/04/2023)")</f>
        <v>Uncle Sams Cider (04/04/2023)</v>
      </c>
      <c r="H6825" s="19"/>
    </row>
    <row r="6826">
      <c r="A6826" s="9"/>
      <c r="B6826" s="15"/>
      <c r="C6826" s="9">
        <f>IFERROR(__xludf.DUMMYFUNCTION("""COMPUTED_VALUE"""),45072.6686622569)</f>
        <v>45072.66866</v>
      </c>
      <c r="D6826" s="15">
        <f>IFERROR(__xludf.DUMMYFUNCTION("""COMPUTED_VALUE"""),1.009)</f>
        <v>1.009</v>
      </c>
      <c r="E6826" s="16">
        <f>IFERROR(__xludf.DUMMYFUNCTION("""COMPUTED_VALUE"""),65.0)</f>
        <v>65</v>
      </c>
      <c r="F6826" s="19" t="str">
        <f>IFERROR(__xludf.DUMMYFUNCTION("""COMPUTED_VALUE"""),"BLUE")</f>
        <v>BLUE</v>
      </c>
      <c r="G6826" s="20" t="str">
        <f>IFERROR(__xludf.DUMMYFUNCTION("""COMPUTED_VALUE"""),"Uncle Sams Cider (04/04/2023)")</f>
        <v>Uncle Sams Cider (04/04/2023)</v>
      </c>
      <c r="H6826" s="19"/>
    </row>
    <row r="6827">
      <c r="A6827" s="9"/>
      <c r="B6827" s="15"/>
      <c r="C6827" s="9">
        <f>IFERROR(__xludf.DUMMYFUNCTION("""COMPUTED_VALUE"""),45072.658231493)</f>
        <v>45072.65823</v>
      </c>
      <c r="D6827" s="15">
        <f>IFERROR(__xludf.DUMMYFUNCTION("""COMPUTED_VALUE"""),1.009)</f>
        <v>1.009</v>
      </c>
      <c r="E6827" s="16">
        <f>IFERROR(__xludf.DUMMYFUNCTION("""COMPUTED_VALUE"""),65.0)</f>
        <v>65</v>
      </c>
      <c r="F6827" s="19" t="str">
        <f>IFERROR(__xludf.DUMMYFUNCTION("""COMPUTED_VALUE"""),"BLUE")</f>
        <v>BLUE</v>
      </c>
      <c r="G6827" s="20" t="str">
        <f>IFERROR(__xludf.DUMMYFUNCTION("""COMPUTED_VALUE"""),"Uncle Sams Cider (04/04/2023)")</f>
        <v>Uncle Sams Cider (04/04/2023)</v>
      </c>
      <c r="H6827" s="19"/>
    </row>
    <row r="6828">
      <c r="A6828" s="9"/>
      <c r="B6828" s="15"/>
      <c r="C6828" s="9">
        <f>IFERROR(__xludf.DUMMYFUNCTION("""COMPUTED_VALUE"""),45072.6477994213)</f>
        <v>45072.6478</v>
      </c>
      <c r="D6828" s="15">
        <f>IFERROR(__xludf.DUMMYFUNCTION("""COMPUTED_VALUE"""),1.009)</f>
        <v>1.009</v>
      </c>
      <c r="E6828" s="16">
        <f>IFERROR(__xludf.DUMMYFUNCTION("""COMPUTED_VALUE"""),65.0)</f>
        <v>65</v>
      </c>
      <c r="F6828" s="19" t="str">
        <f>IFERROR(__xludf.DUMMYFUNCTION("""COMPUTED_VALUE"""),"BLUE")</f>
        <v>BLUE</v>
      </c>
      <c r="G6828" s="20" t="str">
        <f>IFERROR(__xludf.DUMMYFUNCTION("""COMPUTED_VALUE"""),"Uncle Sams Cider (04/04/2023)")</f>
        <v>Uncle Sams Cider (04/04/2023)</v>
      </c>
      <c r="H6828" s="19"/>
    </row>
    <row r="6829">
      <c r="A6829" s="9"/>
      <c r="B6829" s="15"/>
      <c r="C6829" s="9">
        <f>IFERROR(__xludf.DUMMYFUNCTION("""COMPUTED_VALUE"""),45072.6373675)</f>
        <v>45072.63737</v>
      </c>
      <c r="D6829" s="15">
        <f>IFERROR(__xludf.DUMMYFUNCTION("""COMPUTED_VALUE"""),1.009)</f>
        <v>1.009</v>
      </c>
      <c r="E6829" s="16">
        <f>IFERROR(__xludf.DUMMYFUNCTION("""COMPUTED_VALUE"""),65.0)</f>
        <v>65</v>
      </c>
      <c r="F6829" s="19" t="str">
        <f>IFERROR(__xludf.DUMMYFUNCTION("""COMPUTED_VALUE"""),"BLUE")</f>
        <v>BLUE</v>
      </c>
      <c r="G6829" s="20" t="str">
        <f>IFERROR(__xludf.DUMMYFUNCTION("""COMPUTED_VALUE"""),"Uncle Sams Cider (04/04/2023)")</f>
        <v>Uncle Sams Cider (04/04/2023)</v>
      </c>
      <c r="H6829" s="19"/>
    </row>
    <row r="6830">
      <c r="A6830" s="9"/>
      <c r="B6830" s="15"/>
      <c r="C6830" s="9">
        <f>IFERROR(__xludf.DUMMYFUNCTION("""COMPUTED_VALUE"""),45072.6269450231)</f>
        <v>45072.62695</v>
      </c>
      <c r="D6830" s="15">
        <f>IFERROR(__xludf.DUMMYFUNCTION("""COMPUTED_VALUE"""),1.009)</f>
        <v>1.009</v>
      </c>
      <c r="E6830" s="16">
        <f>IFERROR(__xludf.DUMMYFUNCTION("""COMPUTED_VALUE"""),65.0)</f>
        <v>65</v>
      </c>
      <c r="F6830" s="19" t="str">
        <f>IFERROR(__xludf.DUMMYFUNCTION("""COMPUTED_VALUE"""),"BLUE")</f>
        <v>BLUE</v>
      </c>
      <c r="G6830" s="20" t="str">
        <f>IFERROR(__xludf.DUMMYFUNCTION("""COMPUTED_VALUE"""),"Uncle Sams Cider (04/04/2023)")</f>
        <v>Uncle Sams Cider (04/04/2023)</v>
      </c>
      <c r="H6830" s="19"/>
    </row>
    <row r="6831">
      <c r="A6831" s="9"/>
      <c r="B6831" s="15"/>
      <c r="C6831" s="9">
        <f>IFERROR(__xludf.DUMMYFUNCTION("""COMPUTED_VALUE"""),45072.6165129513)</f>
        <v>45072.61651</v>
      </c>
      <c r="D6831" s="15">
        <f>IFERROR(__xludf.DUMMYFUNCTION("""COMPUTED_VALUE"""),1.009)</f>
        <v>1.009</v>
      </c>
      <c r="E6831" s="16">
        <f>IFERROR(__xludf.DUMMYFUNCTION("""COMPUTED_VALUE"""),65.0)</f>
        <v>65</v>
      </c>
      <c r="F6831" s="19" t="str">
        <f>IFERROR(__xludf.DUMMYFUNCTION("""COMPUTED_VALUE"""),"BLUE")</f>
        <v>BLUE</v>
      </c>
      <c r="G6831" s="20" t="str">
        <f>IFERROR(__xludf.DUMMYFUNCTION("""COMPUTED_VALUE"""),"Uncle Sams Cider (04/04/2023)")</f>
        <v>Uncle Sams Cider (04/04/2023)</v>
      </c>
      <c r="H6831" s="19"/>
    </row>
    <row r="6832">
      <c r="A6832" s="9"/>
      <c r="B6832" s="15"/>
      <c r="C6832" s="9">
        <f>IFERROR(__xludf.DUMMYFUNCTION("""COMPUTED_VALUE"""),45072.6060896296)</f>
        <v>45072.60609</v>
      </c>
      <c r="D6832" s="15">
        <f>IFERROR(__xludf.DUMMYFUNCTION("""COMPUTED_VALUE"""),1.009)</f>
        <v>1.009</v>
      </c>
      <c r="E6832" s="16">
        <f>IFERROR(__xludf.DUMMYFUNCTION("""COMPUTED_VALUE"""),65.0)</f>
        <v>65</v>
      </c>
      <c r="F6832" s="19" t="str">
        <f>IFERROR(__xludf.DUMMYFUNCTION("""COMPUTED_VALUE"""),"BLUE")</f>
        <v>BLUE</v>
      </c>
      <c r="G6832" s="20" t="str">
        <f>IFERROR(__xludf.DUMMYFUNCTION("""COMPUTED_VALUE"""),"Uncle Sams Cider (04/04/2023)")</f>
        <v>Uncle Sams Cider (04/04/2023)</v>
      </c>
      <c r="H6832" s="19"/>
    </row>
    <row r="6833">
      <c r="A6833" s="9"/>
      <c r="B6833" s="15"/>
      <c r="C6833" s="9">
        <f>IFERROR(__xludf.DUMMYFUNCTION("""COMPUTED_VALUE"""),45072.5956680092)</f>
        <v>45072.59567</v>
      </c>
      <c r="D6833" s="15">
        <f>IFERROR(__xludf.DUMMYFUNCTION("""COMPUTED_VALUE"""),1.009)</f>
        <v>1.009</v>
      </c>
      <c r="E6833" s="16">
        <f>IFERROR(__xludf.DUMMYFUNCTION("""COMPUTED_VALUE"""),65.0)</f>
        <v>65</v>
      </c>
      <c r="F6833" s="19" t="str">
        <f>IFERROR(__xludf.DUMMYFUNCTION("""COMPUTED_VALUE"""),"BLUE")</f>
        <v>BLUE</v>
      </c>
      <c r="G6833" s="20" t="str">
        <f>IFERROR(__xludf.DUMMYFUNCTION("""COMPUTED_VALUE"""),"Uncle Sams Cider (04/04/2023)")</f>
        <v>Uncle Sams Cider (04/04/2023)</v>
      </c>
      <c r="H6833" s="19"/>
    </row>
    <row r="6834">
      <c r="A6834" s="9"/>
      <c r="B6834" s="15"/>
      <c r="C6834" s="9">
        <f>IFERROR(__xludf.DUMMYFUNCTION("""COMPUTED_VALUE"""),45072.5852463773)</f>
        <v>45072.58525</v>
      </c>
      <c r="D6834" s="15">
        <f>IFERROR(__xludf.DUMMYFUNCTION("""COMPUTED_VALUE"""),1.009)</f>
        <v>1.009</v>
      </c>
      <c r="E6834" s="16">
        <f>IFERROR(__xludf.DUMMYFUNCTION("""COMPUTED_VALUE"""),65.0)</f>
        <v>65</v>
      </c>
      <c r="F6834" s="19" t="str">
        <f>IFERROR(__xludf.DUMMYFUNCTION("""COMPUTED_VALUE"""),"BLUE")</f>
        <v>BLUE</v>
      </c>
      <c r="G6834" s="20" t="str">
        <f>IFERROR(__xludf.DUMMYFUNCTION("""COMPUTED_VALUE"""),"Uncle Sams Cider (04/04/2023)")</f>
        <v>Uncle Sams Cider (04/04/2023)</v>
      </c>
      <c r="H6834" s="19"/>
    </row>
    <row r="6835">
      <c r="A6835" s="9"/>
      <c r="B6835" s="15"/>
      <c r="C6835" s="9">
        <f>IFERROR(__xludf.DUMMYFUNCTION("""COMPUTED_VALUE"""),45072.5748265277)</f>
        <v>45072.57483</v>
      </c>
      <c r="D6835" s="15">
        <f>IFERROR(__xludf.DUMMYFUNCTION("""COMPUTED_VALUE"""),1.009)</f>
        <v>1.009</v>
      </c>
      <c r="E6835" s="16">
        <f>IFERROR(__xludf.DUMMYFUNCTION("""COMPUTED_VALUE"""),65.0)</f>
        <v>65</v>
      </c>
      <c r="F6835" s="19" t="str">
        <f>IFERROR(__xludf.DUMMYFUNCTION("""COMPUTED_VALUE"""),"BLUE")</f>
        <v>BLUE</v>
      </c>
      <c r="G6835" s="20" t="str">
        <f>IFERROR(__xludf.DUMMYFUNCTION("""COMPUTED_VALUE"""),"Uncle Sams Cider (04/04/2023)")</f>
        <v>Uncle Sams Cider (04/04/2023)</v>
      </c>
      <c r="H6835" s="19"/>
    </row>
    <row r="6836">
      <c r="A6836" s="9"/>
      <c r="B6836" s="15"/>
      <c r="C6836" s="9">
        <f>IFERROR(__xludf.DUMMYFUNCTION("""COMPUTED_VALUE"""),45072.5644035185)</f>
        <v>45072.5644</v>
      </c>
      <c r="D6836" s="15">
        <f>IFERROR(__xludf.DUMMYFUNCTION("""COMPUTED_VALUE"""),1.009)</f>
        <v>1.009</v>
      </c>
      <c r="E6836" s="16">
        <f>IFERROR(__xludf.DUMMYFUNCTION("""COMPUTED_VALUE"""),65.0)</f>
        <v>65</v>
      </c>
      <c r="F6836" s="19" t="str">
        <f>IFERROR(__xludf.DUMMYFUNCTION("""COMPUTED_VALUE"""),"BLUE")</f>
        <v>BLUE</v>
      </c>
      <c r="G6836" s="20" t="str">
        <f>IFERROR(__xludf.DUMMYFUNCTION("""COMPUTED_VALUE"""),"Uncle Sams Cider (04/04/2023)")</f>
        <v>Uncle Sams Cider (04/04/2023)</v>
      </c>
      <c r="H6836" s="19"/>
    </row>
    <row r="6837">
      <c r="A6837" s="9"/>
      <c r="B6837" s="15"/>
      <c r="C6837" s="9">
        <f>IFERROR(__xludf.DUMMYFUNCTION("""COMPUTED_VALUE"""),45072.5539815856)</f>
        <v>45072.55398</v>
      </c>
      <c r="D6837" s="15">
        <f>IFERROR(__xludf.DUMMYFUNCTION("""COMPUTED_VALUE"""),1.009)</f>
        <v>1.009</v>
      </c>
      <c r="E6837" s="16">
        <f>IFERROR(__xludf.DUMMYFUNCTION("""COMPUTED_VALUE"""),65.0)</f>
        <v>65</v>
      </c>
      <c r="F6837" s="19" t="str">
        <f>IFERROR(__xludf.DUMMYFUNCTION("""COMPUTED_VALUE"""),"BLUE")</f>
        <v>BLUE</v>
      </c>
      <c r="G6837" s="20" t="str">
        <f>IFERROR(__xludf.DUMMYFUNCTION("""COMPUTED_VALUE"""),"Uncle Sams Cider (04/04/2023)")</f>
        <v>Uncle Sams Cider (04/04/2023)</v>
      </c>
      <c r="H6837" s="19"/>
    </row>
    <row r="6838">
      <c r="A6838" s="9"/>
      <c r="B6838" s="15"/>
      <c r="C6838" s="9">
        <f>IFERROR(__xludf.DUMMYFUNCTION("""COMPUTED_VALUE"""),45072.5435492476)</f>
        <v>45072.54355</v>
      </c>
      <c r="D6838" s="15">
        <f>IFERROR(__xludf.DUMMYFUNCTION("""COMPUTED_VALUE"""),1.009)</f>
        <v>1.009</v>
      </c>
      <c r="E6838" s="16">
        <f>IFERROR(__xludf.DUMMYFUNCTION("""COMPUTED_VALUE"""),65.0)</f>
        <v>65</v>
      </c>
      <c r="F6838" s="19" t="str">
        <f>IFERROR(__xludf.DUMMYFUNCTION("""COMPUTED_VALUE"""),"BLUE")</f>
        <v>BLUE</v>
      </c>
      <c r="G6838" s="20" t="str">
        <f>IFERROR(__xludf.DUMMYFUNCTION("""COMPUTED_VALUE"""),"Uncle Sams Cider (04/04/2023)")</f>
        <v>Uncle Sams Cider (04/04/2023)</v>
      </c>
      <c r="H6838" s="19"/>
    </row>
    <row r="6839">
      <c r="A6839" s="9"/>
      <c r="B6839" s="15"/>
      <c r="C6839" s="9">
        <f>IFERROR(__xludf.DUMMYFUNCTION("""COMPUTED_VALUE"""),45072.5331275694)</f>
        <v>45072.53313</v>
      </c>
      <c r="D6839" s="15">
        <f>IFERROR(__xludf.DUMMYFUNCTION("""COMPUTED_VALUE"""),1.009)</f>
        <v>1.009</v>
      </c>
      <c r="E6839" s="16">
        <f>IFERROR(__xludf.DUMMYFUNCTION("""COMPUTED_VALUE"""),65.0)</f>
        <v>65</v>
      </c>
      <c r="F6839" s="19" t="str">
        <f>IFERROR(__xludf.DUMMYFUNCTION("""COMPUTED_VALUE"""),"BLUE")</f>
        <v>BLUE</v>
      </c>
      <c r="G6839" s="20" t="str">
        <f>IFERROR(__xludf.DUMMYFUNCTION("""COMPUTED_VALUE"""),"Uncle Sams Cider (04/04/2023)")</f>
        <v>Uncle Sams Cider (04/04/2023)</v>
      </c>
      <c r="H6839" s="19"/>
    </row>
    <row r="6840">
      <c r="A6840" s="9"/>
      <c r="B6840" s="15"/>
      <c r="C6840" s="9">
        <f>IFERROR(__xludf.DUMMYFUNCTION("""COMPUTED_VALUE"""),45072.5227059838)</f>
        <v>45072.52271</v>
      </c>
      <c r="D6840" s="15">
        <f>IFERROR(__xludf.DUMMYFUNCTION("""COMPUTED_VALUE"""),1.009)</f>
        <v>1.009</v>
      </c>
      <c r="E6840" s="16">
        <f>IFERROR(__xludf.DUMMYFUNCTION("""COMPUTED_VALUE"""),65.0)</f>
        <v>65</v>
      </c>
      <c r="F6840" s="19" t="str">
        <f>IFERROR(__xludf.DUMMYFUNCTION("""COMPUTED_VALUE"""),"BLUE")</f>
        <v>BLUE</v>
      </c>
      <c r="G6840" s="20" t="str">
        <f>IFERROR(__xludf.DUMMYFUNCTION("""COMPUTED_VALUE"""),"Uncle Sams Cider (04/04/2023)")</f>
        <v>Uncle Sams Cider (04/04/2023)</v>
      </c>
      <c r="H6840" s="19"/>
    </row>
    <row r="6841">
      <c r="A6841" s="9"/>
      <c r="B6841" s="15"/>
      <c r="C6841" s="9">
        <f>IFERROR(__xludf.DUMMYFUNCTION("""COMPUTED_VALUE"""),45072.5122840277)</f>
        <v>45072.51228</v>
      </c>
      <c r="D6841" s="15">
        <f>IFERROR(__xludf.DUMMYFUNCTION("""COMPUTED_VALUE"""),1.009)</f>
        <v>1.009</v>
      </c>
      <c r="E6841" s="16">
        <f>IFERROR(__xludf.DUMMYFUNCTION("""COMPUTED_VALUE"""),65.0)</f>
        <v>65</v>
      </c>
      <c r="F6841" s="19" t="str">
        <f>IFERROR(__xludf.DUMMYFUNCTION("""COMPUTED_VALUE"""),"BLUE")</f>
        <v>BLUE</v>
      </c>
      <c r="G6841" s="20" t="str">
        <f>IFERROR(__xludf.DUMMYFUNCTION("""COMPUTED_VALUE"""),"Uncle Sams Cider (04/04/2023)")</f>
        <v>Uncle Sams Cider (04/04/2023)</v>
      </c>
      <c r="H6841" s="19"/>
    </row>
    <row r="6842">
      <c r="A6842" s="9"/>
      <c r="B6842" s="15"/>
      <c r="C6842" s="9">
        <f>IFERROR(__xludf.DUMMYFUNCTION("""COMPUTED_VALUE"""),45072.5018642129)</f>
        <v>45072.50186</v>
      </c>
      <c r="D6842" s="15">
        <f>IFERROR(__xludf.DUMMYFUNCTION("""COMPUTED_VALUE"""),1.009)</f>
        <v>1.009</v>
      </c>
      <c r="E6842" s="16">
        <f>IFERROR(__xludf.DUMMYFUNCTION("""COMPUTED_VALUE"""),65.0)</f>
        <v>65</v>
      </c>
      <c r="F6842" s="19" t="str">
        <f>IFERROR(__xludf.DUMMYFUNCTION("""COMPUTED_VALUE"""),"BLUE")</f>
        <v>BLUE</v>
      </c>
      <c r="G6842" s="20" t="str">
        <f>IFERROR(__xludf.DUMMYFUNCTION("""COMPUTED_VALUE"""),"Uncle Sams Cider (04/04/2023)")</f>
        <v>Uncle Sams Cider (04/04/2023)</v>
      </c>
      <c r="H6842" s="19"/>
    </row>
    <row r="6843">
      <c r="A6843" s="9"/>
      <c r="B6843" s="15"/>
      <c r="C6843" s="9">
        <f>IFERROR(__xludf.DUMMYFUNCTION("""COMPUTED_VALUE"""),45072.4914334606)</f>
        <v>45072.49143</v>
      </c>
      <c r="D6843" s="15">
        <f>IFERROR(__xludf.DUMMYFUNCTION("""COMPUTED_VALUE"""),1.009)</f>
        <v>1.009</v>
      </c>
      <c r="E6843" s="16">
        <f>IFERROR(__xludf.DUMMYFUNCTION("""COMPUTED_VALUE"""),65.0)</f>
        <v>65</v>
      </c>
      <c r="F6843" s="19" t="str">
        <f>IFERROR(__xludf.DUMMYFUNCTION("""COMPUTED_VALUE"""),"BLUE")</f>
        <v>BLUE</v>
      </c>
      <c r="G6843" s="20" t="str">
        <f>IFERROR(__xludf.DUMMYFUNCTION("""COMPUTED_VALUE"""),"Uncle Sams Cider (04/04/2023)")</f>
        <v>Uncle Sams Cider (04/04/2023)</v>
      </c>
      <c r="H6843" s="19"/>
    </row>
    <row r="6844">
      <c r="A6844" s="9"/>
      <c r="B6844" s="15"/>
      <c r="C6844" s="9">
        <f>IFERROR(__xludf.DUMMYFUNCTION("""COMPUTED_VALUE"""),45072.4810018055)</f>
        <v>45072.481</v>
      </c>
      <c r="D6844" s="15">
        <f>IFERROR(__xludf.DUMMYFUNCTION("""COMPUTED_VALUE"""),1.009)</f>
        <v>1.009</v>
      </c>
      <c r="E6844" s="16">
        <f>IFERROR(__xludf.DUMMYFUNCTION("""COMPUTED_VALUE"""),65.0)</f>
        <v>65</v>
      </c>
      <c r="F6844" s="19" t="str">
        <f>IFERROR(__xludf.DUMMYFUNCTION("""COMPUTED_VALUE"""),"BLUE")</f>
        <v>BLUE</v>
      </c>
      <c r="G6844" s="20" t="str">
        <f>IFERROR(__xludf.DUMMYFUNCTION("""COMPUTED_VALUE"""),"Uncle Sams Cider (04/04/2023)")</f>
        <v>Uncle Sams Cider (04/04/2023)</v>
      </c>
      <c r="H6844" s="19"/>
    </row>
    <row r="6845">
      <c r="A6845" s="9"/>
      <c r="B6845" s="15"/>
      <c r="C6845" s="9">
        <f>IFERROR(__xludf.DUMMYFUNCTION("""COMPUTED_VALUE"""),45072.4705802893)</f>
        <v>45072.47058</v>
      </c>
      <c r="D6845" s="15">
        <f>IFERROR(__xludf.DUMMYFUNCTION("""COMPUTED_VALUE"""),1.009)</f>
        <v>1.009</v>
      </c>
      <c r="E6845" s="16">
        <f>IFERROR(__xludf.DUMMYFUNCTION("""COMPUTED_VALUE"""),65.0)</f>
        <v>65</v>
      </c>
      <c r="F6845" s="19" t="str">
        <f>IFERROR(__xludf.DUMMYFUNCTION("""COMPUTED_VALUE"""),"BLUE")</f>
        <v>BLUE</v>
      </c>
      <c r="G6845" s="20" t="str">
        <f>IFERROR(__xludf.DUMMYFUNCTION("""COMPUTED_VALUE"""),"Uncle Sams Cider (04/04/2023)")</f>
        <v>Uncle Sams Cider (04/04/2023)</v>
      </c>
      <c r="H6845" s="19"/>
    </row>
    <row r="6846">
      <c r="A6846" s="9"/>
      <c r="B6846" s="15"/>
      <c r="C6846" s="9">
        <f>IFERROR(__xludf.DUMMYFUNCTION("""COMPUTED_VALUE"""),45072.4601584027)</f>
        <v>45072.46016</v>
      </c>
      <c r="D6846" s="15">
        <f>IFERROR(__xludf.DUMMYFUNCTION("""COMPUTED_VALUE"""),1.009)</f>
        <v>1.009</v>
      </c>
      <c r="E6846" s="16">
        <f>IFERROR(__xludf.DUMMYFUNCTION("""COMPUTED_VALUE"""),65.0)</f>
        <v>65</v>
      </c>
      <c r="F6846" s="19" t="str">
        <f>IFERROR(__xludf.DUMMYFUNCTION("""COMPUTED_VALUE"""),"BLUE")</f>
        <v>BLUE</v>
      </c>
      <c r="G6846" s="20" t="str">
        <f>IFERROR(__xludf.DUMMYFUNCTION("""COMPUTED_VALUE"""),"Uncle Sams Cider (04/04/2023)")</f>
        <v>Uncle Sams Cider (04/04/2023)</v>
      </c>
      <c r="H6846" s="19"/>
    </row>
    <row r="6847">
      <c r="A6847" s="9"/>
      <c r="B6847" s="15"/>
      <c r="C6847" s="9">
        <f>IFERROR(__xludf.DUMMYFUNCTION("""COMPUTED_VALUE"""),45072.449737118)</f>
        <v>45072.44974</v>
      </c>
      <c r="D6847" s="15">
        <f>IFERROR(__xludf.DUMMYFUNCTION("""COMPUTED_VALUE"""),1.009)</f>
        <v>1.009</v>
      </c>
      <c r="E6847" s="16">
        <f>IFERROR(__xludf.DUMMYFUNCTION("""COMPUTED_VALUE"""),65.0)</f>
        <v>65</v>
      </c>
      <c r="F6847" s="19" t="str">
        <f>IFERROR(__xludf.DUMMYFUNCTION("""COMPUTED_VALUE"""),"BLUE")</f>
        <v>BLUE</v>
      </c>
      <c r="G6847" s="20" t="str">
        <f>IFERROR(__xludf.DUMMYFUNCTION("""COMPUTED_VALUE"""),"Uncle Sams Cider (04/04/2023)")</f>
        <v>Uncle Sams Cider (04/04/2023)</v>
      </c>
      <c r="H6847" s="19"/>
    </row>
    <row r="6848">
      <c r="A6848" s="9"/>
      <c r="B6848" s="15"/>
      <c r="C6848" s="9">
        <f>IFERROR(__xludf.DUMMYFUNCTION("""COMPUTED_VALUE"""),45072.4393145254)</f>
        <v>45072.43931</v>
      </c>
      <c r="D6848" s="15">
        <f>IFERROR(__xludf.DUMMYFUNCTION("""COMPUTED_VALUE"""),1.009)</f>
        <v>1.009</v>
      </c>
      <c r="E6848" s="16">
        <f>IFERROR(__xludf.DUMMYFUNCTION("""COMPUTED_VALUE"""),65.0)</f>
        <v>65</v>
      </c>
      <c r="F6848" s="19" t="str">
        <f>IFERROR(__xludf.DUMMYFUNCTION("""COMPUTED_VALUE"""),"BLUE")</f>
        <v>BLUE</v>
      </c>
      <c r="G6848" s="20" t="str">
        <f>IFERROR(__xludf.DUMMYFUNCTION("""COMPUTED_VALUE"""),"Uncle Sams Cider (04/04/2023)")</f>
        <v>Uncle Sams Cider (04/04/2023)</v>
      </c>
      <c r="H6848" s="19"/>
    </row>
    <row r="6849">
      <c r="A6849" s="9"/>
      <c r="B6849" s="15"/>
      <c r="C6849" s="9">
        <f>IFERROR(__xludf.DUMMYFUNCTION("""COMPUTED_VALUE"""),45072.4288930787)</f>
        <v>45072.42889</v>
      </c>
      <c r="D6849" s="15">
        <f>IFERROR(__xludf.DUMMYFUNCTION("""COMPUTED_VALUE"""),1.009)</f>
        <v>1.009</v>
      </c>
      <c r="E6849" s="16">
        <f>IFERROR(__xludf.DUMMYFUNCTION("""COMPUTED_VALUE"""),65.0)</f>
        <v>65</v>
      </c>
      <c r="F6849" s="19" t="str">
        <f>IFERROR(__xludf.DUMMYFUNCTION("""COMPUTED_VALUE"""),"BLUE")</f>
        <v>BLUE</v>
      </c>
      <c r="G6849" s="20" t="str">
        <f>IFERROR(__xludf.DUMMYFUNCTION("""COMPUTED_VALUE"""),"Uncle Sams Cider (04/04/2023)")</f>
        <v>Uncle Sams Cider (04/04/2023)</v>
      </c>
      <c r="H6849" s="19"/>
    </row>
    <row r="6850">
      <c r="A6850" s="9"/>
      <c r="B6850" s="15"/>
      <c r="C6850" s="9">
        <f>IFERROR(__xludf.DUMMYFUNCTION("""COMPUTED_VALUE"""),45072.4184709259)</f>
        <v>45072.41847</v>
      </c>
      <c r="D6850" s="15">
        <f>IFERROR(__xludf.DUMMYFUNCTION("""COMPUTED_VALUE"""),1.009)</f>
        <v>1.009</v>
      </c>
      <c r="E6850" s="16">
        <f>IFERROR(__xludf.DUMMYFUNCTION("""COMPUTED_VALUE"""),65.0)</f>
        <v>65</v>
      </c>
      <c r="F6850" s="19" t="str">
        <f>IFERROR(__xludf.DUMMYFUNCTION("""COMPUTED_VALUE"""),"BLUE")</f>
        <v>BLUE</v>
      </c>
      <c r="G6850" s="20" t="str">
        <f>IFERROR(__xludf.DUMMYFUNCTION("""COMPUTED_VALUE"""),"Uncle Sams Cider (04/04/2023)")</f>
        <v>Uncle Sams Cider (04/04/2023)</v>
      </c>
      <c r="H6850" s="19"/>
    </row>
    <row r="6851">
      <c r="A6851" s="9"/>
      <c r="B6851" s="15"/>
      <c r="C6851" s="9">
        <f>IFERROR(__xludf.DUMMYFUNCTION("""COMPUTED_VALUE"""),45072.4080506134)</f>
        <v>45072.40805</v>
      </c>
      <c r="D6851" s="15">
        <f>IFERROR(__xludf.DUMMYFUNCTION("""COMPUTED_VALUE"""),1.009)</f>
        <v>1.009</v>
      </c>
      <c r="E6851" s="16">
        <f>IFERROR(__xludf.DUMMYFUNCTION("""COMPUTED_VALUE"""),65.0)</f>
        <v>65</v>
      </c>
      <c r="F6851" s="19" t="str">
        <f>IFERROR(__xludf.DUMMYFUNCTION("""COMPUTED_VALUE"""),"BLUE")</f>
        <v>BLUE</v>
      </c>
      <c r="G6851" s="20" t="str">
        <f>IFERROR(__xludf.DUMMYFUNCTION("""COMPUTED_VALUE"""),"Uncle Sams Cider (04/04/2023)")</f>
        <v>Uncle Sams Cider (04/04/2023)</v>
      </c>
      <c r="H6851" s="19"/>
    </row>
    <row r="6852">
      <c r="A6852" s="9"/>
      <c r="B6852" s="15"/>
      <c r="C6852" s="9">
        <f>IFERROR(__xludf.DUMMYFUNCTION("""COMPUTED_VALUE"""),45072.3976291088)</f>
        <v>45072.39763</v>
      </c>
      <c r="D6852" s="15">
        <f>IFERROR(__xludf.DUMMYFUNCTION("""COMPUTED_VALUE"""),1.009)</f>
        <v>1.009</v>
      </c>
      <c r="E6852" s="16">
        <f>IFERROR(__xludf.DUMMYFUNCTION("""COMPUTED_VALUE"""),65.0)</f>
        <v>65</v>
      </c>
      <c r="F6852" s="19" t="str">
        <f>IFERROR(__xludf.DUMMYFUNCTION("""COMPUTED_VALUE"""),"BLUE")</f>
        <v>BLUE</v>
      </c>
      <c r="G6852" s="20" t="str">
        <f>IFERROR(__xludf.DUMMYFUNCTION("""COMPUTED_VALUE"""),"Uncle Sams Cider (04/04/2023)")</f>
        <v>Uncle Sams Cider (04/04/2023)</v>
      </c>
      <c r="H6852" s="19"/>
    </row>
    <row r="6853">
      <c r="A6853" s="9"/>
      <c r="B6853" s="15"/>
      <c r="C6853" s="9">
        <f>IFERROR(__xludf.DUMMYFUNCTION("""COMPUTED_VALUE"""),45072.3872076736)</f>
        <v>45072.38721</v>
      </c>
      <c r="D6853" s="15">
        <f>IFERROR(__xludf.DUMMYFUNCTION("""COMPUTED_VALUE"""),1.009)</f>
        <v>1.009</v>
      </c>
      <c r="E6853" s="16">
        <f>IFERROR(__xludf.DUMMYFUNCTION("""COMPUTED_VALUE"""),65.0)</f>
        <v>65</v>
      </c>
      <c r="F6853" s="19" t="str">
        <f>IFERROR(__xludf.DUMMYFUNCTION("""COMPUTED_VALUE"""),"BLUE")</f>
        <v>BLUE</v>
      </c>
      <c r="G6853" s="20" t="str">
        <f>IFERROR(__xludf.DUMMYFUNCTION("""COMPUTED_VALUE"""),"Uncle Sams Cider (04/04/2023)")</f>
        <v>Uncle Sams Cider (04/04/2023)</v>
      </c>
      <c r="H6853" s="19"/>
    </row>
    <row r="6854">
      <c r="A6854" s="9"/>
      <c r="B6854" s="15"/>
      <c r="C6854" s="9">
        <f>IFERROR(__xludf.DUMMYFUNCTION("""COMPUTED_VALUE"""),45072.3767848263)</f>
        <v>45072.37678</v>
      </c>
      <c r="D6854" s="15">
        <f>IFERROR(__xludf.DUMMYFUNCTION("""COMPUTED_VALUE"""),1.009)</f>
        <v>1.009</v>
      </c>
      <c r="E6854" s="16">
        <f>IFERROR(__xludf.DUMMYFUNCTION("""COMPUTED_VALUE"""),65.0)</f>
        <v>65</v>
      </c>
      <c r="F6854" s="19" t="str">
        <f>IFERROR(__xludf.DUMMYFUNCTION("""COMPUTED_VALUE"""),"BLUE")</f>
        <v>BLUE</v>
      </c>
      <c r="G6854" s="20" t="str">
        <f>IFERROR(__xludf.DUMMYFUNCTION("""COMPUTED_VALUE"""),"Uncle Sams Cider (04/04/2023)")</f>
        <v>Uncle Sams Cider (04/04/2023)</v>
      </c>
      <c r="H6854" s="19"/>
    </row>
    <row r="6855">
      <c r="A6855" s="9"/>
      <c r="B6855" s="15"/>
      <c r="C6855" s="9">
        <f>IFERROR(__xludf.DUMMYFUNCTION("""COMPUTED_VALUE"""),45072.3663635185)</f>
        <v>45072.36636</v>
      </c>
      <c r="D6855" s="15">
        <f>IFERROR(__xludf.DUMMYFUNCTION("""COMPUTED_VALUE"""),1.009)</f>
        <v>1.009</v>
      </c>
      <c r="E6855" s="16">
        <f>IFERROR(__xludf.DUMMYFUNCTION("""COMPUTED_VALUE"""),65.0)</f>
        <v>65</v>
      </c>
      <c r="F6855" s="19" t="str">
        <f>IFERROR(__xludf.DUMMYFUNCTION("""COMPUTED_VALUE"""),"BLUE")</f>
        <v>BLUE</v>
      </c>
      <c r="G6855" s="20" t="str">
        <f>IFERROR(__xludf.DUMMYFUNCTION("""COMPUTED_VALUE"""),"Uncle Sams Cider (04/04/2023)")</f>
        <v>Uncle Sams Cider (04/04/2023)</v>
      </c>
      <c r="H6855" s="19"/>
    </row>
    <row r="6856">
      <c r="A6856" s="9"/>
      <c r="B6856" s="15"/>
      <c r="C6856" s="9">
        <f>IFERROR(__xludf.DUMMYFUNCTION("""COMPUTED_VALUE"""),45072.3559417592)</f>
        <v>45072.35594</v>
      </c>
      <c r="D6856" s="15">
        <f>IFERROR(__xludf.DUMMYFUNCTION("""COMPUTED_VALUE"""),1.009)</f>
        <v>1.009</v>
      </c>
      <c r="E6856" s="16">
        <f>IFERROR(__xludf.DUMMYFUNCTION("""COMPUTED_VALUE"""),65.0)</f>
        <v>65</v>
      </c>
      <c r="F6856" s="19" t="str">
        <f>IFERROR(__xludf.DUMMYFUNCTION("""COMPUTED_VALUE"""),"BLUE")</f>
        <v>BLUE</v>
      </c>
      <c r="G6856" s="20" t="str">
        <f>IFERROR(__xludf.DUMMYFUNCTION("""COMPUTED_VALUE"""),"Uncle Sams Cider (04/04/2023)")</f>
        <v>Uncle Sams Cider (04/04/2023)</v>
      </c>
      <c r="H6856" s="19"/>
    </row>
    <row r="6857">
      <c r="A6857" s="9"/>
      <c r="B6857" s="15"/>
      <c r="C6857" s="9">
        <f>IFERROR(__xludf.DUMMYFUNCTION("""COMPUTED_VALUE"""),45072.345509456)</f>
        <v>45072.34551</v>
      </c>
      <c r="D6857" s="15">
        <f>IFERROR(__xludf.DUMMYFUNCTION("""COMPUTED_VALUE"""),1.009)</f>
        <v>1.009</v>
      </c>
      <c r="E6857" s="16">
        <f>IFERROR(__xludf.DUMMYFUNCTION("""COMPUTED_VALUE"""),65.0)</f>
        <v>65</v>
      </c>
      <c r="F6857" s="19" t="str">
        <f>IFERROR(__xludf.DUMMYFUNCTION("""COMPUTED_VALUE"""),"BLUE")</f>
        <v>BLUE</v>
      </c>
      <c r="G6857" s="20" t="str">
        <f>IFERROR(__xludf.DUMMYFUNCTION("""COMPUTED_VALUE"""),"Uncle Sams Cider (04/04/2023)")</f>
        <v>Uncle Sams Cider (04/04/2023)</v>
      </c>
      <c r="H6857" s="19"/>
    </row>
    <row r="6858">
      <c r="A6858" s="9"/>
      <c r="B6858" s="15"/>
      <c r="C6858" s="9">
        <f>IFERROR(__xludf.DUMMYFUNCTION("""COMPUTED_VALUE"""),45072.3350879861)</f>
        <v>45072.33509</v>
      </c>
      <c r="D6858" s="15">
        <f>IFERROR(__xludf.DUMMYFUNCTION("""COMPUTED_VALUE"""),1.009)</f>
        <v>1.009</v>
      </c>
      <c r="E6858" s="16">
        <f>IFERROR(__xludf.DUMMYFUNCTION("""COMPUTED_VALUE"""),65.0)</f>
        <v>65</v>
      </c>
      <c r="F6858" s="19" t="str">
        <f>IFERROR(__xludf.DUMMYFUNCTION("""COMPUTED_VALUE"""),"BLUE")</f>
        <v>BLUE</v>
      </c>
      <c r="G6858" s="20" t="str">
        <f>IFERROR(__xludf.DUMMYFUNCTION("""COMPUTED_VALUE"""),"Uncle Sams Cider (04/04/2023)")</f>
        <v>Uncle Sams Cider (04/04/2023)</v>
      </c>
      <c r="H6858" s="19"/>
    </row>
    <row r="6859">
      <c r="A6859" s="9"/>
      <c r="B6859" s="15"/>
      <c r="C6859" s="9">
        <f>IFERROR(__xludf.DUMMYFUNCTION("""COMPUTED_VALUE"""),45072.3246543865)</f>
        <v>45072.32465</v>
      </c>
      <c r="D6859" s="15">
        <f>IFERROR(__xludf.DUMMYFUNCTION("""COMPUTED_VALUE"""),1.009)</f>
        <v>1.009</v>
      </c>
      <c r="E6859" s="16">
        <f>IFERROR(__xludf.DUMMYFUNCTION("""COMPUTED_VALUE"""),65.0)</f>
        <v>65</v>
      </c>
      <c r="F6859" s="19" t="str">
        <f>IFERROR(__xludf.DUMMYFUNCTION("""COMPUTED_VALUE"""),"BLUE")</f>
        <v>BLUE</v>
      </c>
      <c r="G6859" s="20" t="str">
        <f>IFERROR(__xludf.DUMMYFUNCTION("""COMPUTED_VALUE"""),"Uncle Sams Cider (04/04/2023)")</f>
        <v>Uncle Sams Cider (04/04/2023)</v>
      </c>
      <c r="H6859" s="19"/>
    </row>
    <row r="6860">
      <c r="A6860" s="9"/>
      <c r="B6860" s="15"/>
      <c r="C6860" s="9">
        <f>IFERROR(__xludf.DUMMYFUNCTION("""COMPUTED_VALUE"""),45072.3142331481)</f>
        <v>45072.31423</v>
      </c>
      <c r="D6860" s="15">
        <f>IFERROR(__xludf.DUMMYFUNCTION("""COMPUTED_VALUE"""),1.009)</f>
        <v>1.009</v>
      </c>
      <c r="E6860" s="16">
        <f>IFERROR(__xludf.DUMMYFUNCTION("""COMPUTED_VALUE"""),65.0)</f>
        <v>65</v>
      </c>
      <c r="F6860" s="19" t="str">
        <f>IFERROR(__xludf.DUMMYFUNCTION("""COMPUTED_VALUE"""),"BLUE")</f>
        <v>BLUE</v>
      </c>
      <c r="G6860" s="20" t="str">
        <f>IFERROR(__xludf.DUMMYFUNCTION("""COMPUTED_VALUE"""),"Uncle Sams Cider (04/04/2023)")</f>
        <v>Uncle Sams Cider (04/04/2023)</v>
      </c>
      <c r="H6860" s="19"/>
    </row>
    <row r="6861">
      <c r="A6861" s="9"/>
      <c r="B6861" s="15"/>
      <c r="C6861" s="9">
        <f>IFERROR(__xludf.DUMMYFUNCTION("""COMPUTED_VALUE"""),45072.30381103)</f>
        <v>45072.30381</v>
      </c>
      <c r="D6861" s="15">
        <f>IFERROR(__xludf.DUMMYFUNCTION("""COMPUTED_VALUE"""),1.009)</f>
        <v>1.009</v>
      </c>
      <c r="E6861" s="16">
        <f>IFERROR(__xludf.DUMMYFUNCTION("""COMPUTED_VALUE"""),65.0)</f>
        <v>65</v>
      </c>
      <c r="F6861" s="19" t="str">
        <f>IFERROR(__xludf.DUMMYFUNCTION("""COMPUTED_VALUE"""),"BLUE")</f>
        <v>BLUE</v>
      </c>
      <c r="G6861" s="20" t="str">
        <f>IFERROR(__xludf.DUMMYFUNCTION("""COMPUTED_VALUE"""),"Uncle Sams Cider (04/04/2023)")</f>
        <v>Uncle Sams Cider (04/04/2023)</v>
      </c>
      <c r="H6861" s="19"/>
    </row>
    <row r="6862">
      <c r="A6862" s="9"/>
      <c r="B6862" s="15"/>
      <c r="C6862" s="9">
        <f>IFERROR(__xludf.DUMMYFUNCTION("""COMPUTED_VALUE"""),45072.2933897685)</f>
        <v>45072.29339</v>
      </c>
      <c r="D6862" s="15">
        <f>IFERROR(__xludf.DUMMYFUNCTION("""COMPUTED_VALUE"""),1.009)</f>
        <v>1.009</v>
      </c>
      <c r="E6862" s="16">
        <f>IFERROR(__xludf.DUMMYFUNCTION("""COMPUTED_VALUE"""),65.0)</f>
        <v>65</v>
      </c>
      <c r="F6862" s="19" t="str">
        <f>IFERROR(__xludf.DUMMYFUNCTION("""COMPUTED_VALUE"""),"BLUE")</f>
        <v>BLUE</v>
      </c>
      <c r="G6862" s="20" t="str">
        <f>IFERROR(__xludf.DUMMYFUNCTION("""COMPUTED_VALUE"""),"Uncle Sams Cider (04/04/2023)")</f>
        <v>Uncle Sams Cider (04/04/2023)</v>
      </c>
      <c r="H6862" s="19"/>
    </row>
    <row r="6863">
      <c r="A6863" s="9"/>
      <c r="B6863" s="15"/>
      <c r="C6863" s="9">
        <f>IFERROR(__xludf.DUMMYFUNCTION("""COMPUTED_VALUE"""),45072.2829703819)</f>
        <v>45072.28297</v>
      </c>
      <c r="D6863" s="15">
        <f>IFERROR(__xludf.DUMMYFUNCTION("""COMPUTED_VALUE"""),1.009)</f>
        <v>1.009</v>
      </c>
      <c r="E6863" s="16">
        <f>IFERROR(__xludf.DUMMYFUNCTION("""COMPUTED_VALUE"""),65.0)</f>
        <v>65</v>
      </c>
      <c r="F6863" s="19" t="str">
        <f>IFERROR(__xludf.DUMMYFUNCTION("""COMPUTED_VALUE"""),"BLUE")</f>
        <v>BLUE</v>
      </c>
      <c r="G6863" s="20" t="str">
        <f>IFERROR(__xludf.DUMMYFUNCTION("""COMPUTED_VALUE"""),"Uncle Sams Cider (04/04/2023)")</f>
        <v>Uncle Sams Cider (04/04/2023)</v>
      </c>
      <c r="H6863" s="19"/>
    </row>
    <row r="6864">
      <c r="A6864" s="9"/>
      <c r="B6864" s="15"/>
      <c r="C6864" s="9">
        <f>IFERROR(__xludf.DUMMYFUNCTION("""COMPUTED_VALUE"""),45072.2725487152)</f>
        <v>45072.27255</v>
      </c>
      <c r="D6864" s="15">
        <f>IFERROR(__xludf.DUMMYFUNCTION("""COMPUTED_VALUE"""),1.009)</f>
        <v>1.009</v>
      </c>
      <c r="E6864" s="16">
        <f>IFERROR(__xludf.DUMMYFUNCTION("""COMPUTED_VALUE"""),65.0)</f>
        <v>65</v>
      </c>
      <c r="F6864" s="19" t="str">
        <f>IFERROR(__xludf.DUMMYFUNCTION("""COMPUTED_VALUE"""),"BLUE")</f>
        <v>BLUE</v>
      </c>
      <c r="G6864" s="20" t="str">
        <f>IFERROR(__xludf.DUMMYFUNCTION("""COMPUTED_VALUE"""),"Uncle Sams Cider (04/04/2023)")</f>
        <v>Uncle Sams Cider (04/04/2023)</v>
      </c>
      <c r="H6864" s="19"/>
    </row>
    <row r="6865">
      <c r="A6865" s="9"/>
      <c r="B6865" s="15"/>
      <c r="C6865" s="9">
        <f>IFERROR(__xludf.DUMMYFUNCTION("""COMPUTED_VALUE"""),45072.2621299074)</f>
        <v>45072.26213</v>
      </c>
      <c r="D6865" s="15">
        <f>IFERROR(__xludf.DUMMYFUNCTION("""COMPUTED_VALUE"""),1.009)</f>
        <v>1.009</v>
      </c>
      <c r="E6865" s="16">
        <f>IFERROR(__xludf.DUMMYFUNCTION("""COMPUTED_VALUE"""),65.0)</f>
        <v>65</v>
      </c>
      <c r="F6865" s="19" t="str">
        <f>IFERROR(__xludf.DUMMYFUNCTION("""COMPUTED_VALUE"""),"BLUE")</f>
        <v>BLUE</v>
      </c>
      <c r="G6865" s="20" t="str">
        <f>IFERROR(__xludf.DUMMYFUNCTION("""COMPUTED_VALUE"""),"Uncle Sams Cider (04/04/2023)")</f>
        <v>Uncle Sams Cider (04/04/2023)</v>
      </c>
      <c r="H6865" s="19"/>
    </row>
    <row r="6866">
      <c r="A6866" s="9"/>
      <c r="B6866" s="15"/>
      <c r="C6866" s="9">
        <f>IFERROR(__xludf.DUMMYFUNCTION("""COMPUTED_VALUE"""),45072.2517090046)</f>
        <v>45072.25171</v>
      </c>
      <c r="D6866" s="15">
        <f>IFERROR(__xludf.DUMMYFUNCTION("""COMPUTED_VALUE"""),1.009)</f>
        <v>1.009</v>
      </c>
      <c r="E6866" s="16">
        <f>IFERROR(__xludf.DUMMYFUNCTION("""COMPUTED_VALUE"""),65.0)</f>
        <v>65</v>
      </c>
      <c r="F6866" s="19" t="str">
        <f>IFERROR(__xludf.DUMMYFUNCTION("""COMPUTED_VALUE"""),"BLUE")</f>
        <v>BLUE</v>
      </c>
      <c r="G6866" s="20" t="str">
        <f>IFERROR(__xludf.DUMMYFUNCTION("""COMPUTED_VALUE"""),"Uncle Sams Cider (04/04/2023)")</f>
        <v>Uncle Sams Cider (04/04/2023)</v>
      </c>
      <c r="H6866" s="19"/>
    </row>
    <row r="6867">
      <c r="A6867" s="9"/>
      <c r="B6867" s="15"/>
      <c r="C6867" s="9">
        <f>IFERROR(__xludf.DUMMYFUNCTION("""COMPUTED_VALUE"""),45072.2412884953)</f>
        <v>45072.24129</v>
      </c>
      <c r="D6867" s="15">
        <f>IFERROR(__xludf.DUMMYFUNCTION("""COMPUTED_VALUE"""),1.01)</f>
        <v>1.01</v>
      </c>
      <c r="E6867" s="16">
        <f>IFERROR(__xludf.DUMMYFUNCTION("""COMPUTED_VALUE"""),65.0)</f>
        <v>65</v>
      </c>
      <c r="F6867" s="19" t="str">
        <f>IFERROR(__xludf.DUMMYFUNCTION("""COMPUTED_VALUE"""),"BLUE")</f>
        <v>BLUE</v>
      </c>
      <c r="G6867" s="20" t="str">
        <f>IFERROR(__xludf.DUMMYFUNCTION("""COMPUTED_VALUE"""),"Uncle Sams Cider (04/04/2023)")</f>
        <v>Uncle Sams Cider (04/04/2023)</v>
      </c>
      <c r="H6867" s="19"/>
    </row>
    <row r="6868">
      <c r="A6868" s="9"/>
      <c r="B6868" s="15"/>
      <c r="C6868" s="9">
        <f>IFERROR(__xludf.DUMMYFUNCTION("""COMPUTED_VALUE"""),45072.2308679861)</f>
        <v>45072.23087</v>
      </c>
      <c r="D6868" s="15">
        <f>IFERROR(__xludf.DUMMYFUNCTION("""COMPUTED_VALUE"""),1.009)</f>
        <v>1.009</v>
      </c>
      <c r="E6868" s="16">
        <f>IFERROR(__xludf.DUMMYFUNCTION("""COMPUTED_VALUE"""),65.0)</f>
        <v>65</v>
      </c>
      <c r="F6868" s="19" t="str">
        <f>IFERROR(__xludf.DUMMYFUNCTION("""COMPUTED_VALUE"""),"BLUE")</f>
        <v>BLUE</v>
      </c>
      <c r="G6868" s="20" t="str">
        <f>IFERROR(__xludf.DUMMYFUNCTION("""COMPUTED_VALUE"""),"Uncle Sams Cider (04/04/2023)")</f>
        <v>Uncle Sams Cider (04/04/2023)</v>
      </c>
      <c r="H6868" s="19"/>
    </row>
    <row r="6869">
      <c r="A6869" s="9"/>
      <c r="B6869" s="15"/>
      <c r="C6869" s="9">
        <f>IFERROR(__xludf.DUMMYFUNCTION("""COMPUTED_VALUE"""),45072.2204445717)</f>
        <v>45072.22044</v>
      </c>
      <c r="D6869" s="15">
        <f>IFERROR(__xludf.DUMMYFUNCTION("""COMPUTED_VALUE"""),1.01)</f>
        <v>1.01</v>
      </c>
      <c r="E6869" s="16">
        <f>IFERROR(__xludf.DUMMYFUNCTION("""COMPUTED_VALUE"""),65.0)</f>
        <v>65</v>
      </c>
      <c r="F6869" s="19" t="str">
        <f>IFERROR(__xludf.DUMMYFUNCTION("""COMPUTED_VALUE"""),"BLUE")</f>
        <v>BLUE</v>
      </c>
      <c r="G6869" s="20" t="str">
        <f>IFERROR(__xludf.DUMMYFUNCTION("""COMPUTED_VALUE"""),"Uncle Sams Cider (04/04/2023)")</f>
        <v>Uncle Sams Cider (04/04/2023)</v>
      </c>
      <c r="H6869" s="19"/>
    </row>
    <row r="6870">
      <c r="A6870" s="9"/>
      <c r="B6870" s="15"/>
      <c r="C6870" s="9">
        <f>IFERROR(__xludf.DUMMYFUNCTION("""COMPUTED_VALUE"""),45072.2100134375)</f>
        <v>45072.21001</v>
      </c>
      <c r="D6870" s="15">
        <f>IFERROR(__xludf.DUMMYFUNCTION("""COMPUTED_VALUE"""),1.009)</f>
        <v>1.009</v>
      </c>
      <c r="E6870" s="16">
        <f>IFERROR(__xludf.DUMMYFUNCTION("""COMPUTED_VALUE"""),65.0)</f>
        <v>65</v>
      </c>
      <c r="F6870" s="19" t="str">
        <f>IFERROR(__xludf.DUMMYFUNCTION("""COMPUTED_VALUE"""),"BLUE")</f>
        <v>BLUE</v>
      </c>
      <c r="G6870" s="20" t="str">
        <f>IFERROR(__xludf.DUMMYFUNCTION("""COMPUTED_VALUE"""),"Uncle Sams Cider (04/04/2023)")</f>
        <v>Uncle Sams Cider (04/04/2023)</v>
      </c>
      <c r="H6870" s="19"/>
    </row>
    <row r="6871">
      <c r="A6871" s="9"/>
      <c r="B6871" s="15"/>
      <c r="C6871" s="9">
        <f>IFERROR(__xludf.DUMMYFUNCTION("""COMPUTED_VALUE"""),45072.1995928703)</f>
        <v>45072.19959</v>
      </c>
      <c r="D6871" s="15">
        <f>IFERROR(__xludf.DUMMYFUNCTION("""COMPUTED_VALUE"""),1.01)</f>
        <v>1.01</v>
      </c>
      <c r="E6871" s="16">
        <f>IFERROR(__xludf.DUMMYFUNCTION("""COMPUTED_VALUE"""),65.0)</f>
        <v>65</v>
      </c>
      <c r="F6871" s="19" t="str">
        <f>IFERROR(__xludf.DUMMYFUNCTION("""COMPUTED_VALUE"""),"BLUE")</f>
        <v>BLUE</v>
      </c>
      <c r="G6871" s="20" t="str">
        <f>IFERROR(__xludf.DUMMYFUNCTION("""COMPUTED_VALUE"""),"Uncle Sams Cider (04/04/2023)")</f>
        <v>Uncle Sams Cider (04/04/2023)</v>
      </c>
      <c r="H6871" s="19"/>
    </row>
    <row r="6872">
      <c r="A6872" s="9"/>
      <c r="B6872" s="15"/>
      <c r="C6872" s="9">
        <f>IFERROR(__xludf.DUMMYFUNCTION("""COMPUTED_VALUE"""),45072.1891713541)</f>
        <v>45072.18917</v>
      </c>
      <c r="D6872" s="15">
        <f>IFERROR(__xludf.DUMMYFUNCTION("""COMPUTED_VALUE"""),1.009)</f>
        <v>1.009</v>
      </c>
      <c r="E6872" s="16">
        <f>IFERROR(__xludf.DUMMYFUNCTION("""COMPUTED_VALUE"""),65.0)</f>
        <v>65</v>
      </c>
      <c r="F6872" s="19" t="str">
        <f>IFERROR(__xludf.DUMMYFUNCTION("""COMPUTED_VALUE"""),"BLUE")</f>
        <v>BLUE</v>
      </c>
      <c r="G6872" s="20" t="str">
        <f>IFERROR(__xludf.DUMMYFUNCTION("""COMPUTED_VALUE"""),"Uncle Sams Cider (04/04/2023)")</f>
        <v>Uncle Sams Cider (04/04/2023)</v>
      </c>
      <c r="H6872" s="19"/>
    </row>
    <row r="6873">
      <c r="A6873" s="9"/>
      <c r="B6873" s="15"/>
      <c r="C6873" s="9">
        <f>IFERROR(__xludf.DUMMYFUNCTION("""COMPUTED_VALUE"""),45072.1787391088)</f>
        <v>45072.17874</v>
      </c>
      <c r="D6873" s="15">
        <f>IFERROR(__xludf.DUMMYFUNCTION("""COMPUTED_VALUE"""),1.01)</f>
        <v>1.01</v>
      </c>
      <c r="E6873" s="16">
        <f>IFERROR(__xludf.DUMMYFUNCTION("""COMPUTED_VALUE"""),65.0)</f>
        <v>65</v>
      </c>
      <c r="F6873" s="19" t="str">
        <f>IFERROR(__xludf.DUMMYFUNCTION("""COMPUTED_VALUE"""),"BLUE")</f>
        <v>BLUE</v>
      </c>
      <c r="G6873" s="20" t="str">
        <f>IFERROR(__xludf.DUMMYFUNCTION("""COMPUTED_VALUE"""),"Uncle Sams Cider (04/04/2023)")</f>
        <v>Uncle Sams Cider (04/04/2023)</v>
      </c>
      <c r="H6873" s="19"/>
    </row>
    <row r="6874">
      <c r="A6874" s="9"/>
      <c r="B6874" s="15"/>
      <c r="C6874" s="9">
        <f>IFERROR(__xludf.DUMMYFUNCTION("""COMPUTED_VALUE"""),45072.1683186226)</f>
        <v>45072.16832</v>
      </c>
      <c r="D6874" s="15">
        <f>IFERROR(__xludf.DUMMYFUNCTION("""COMPUTED_VALUE"""),1.009)</f>
        <v>1.009</v>
      </c>
      <c r="E6874" s="16">
        <f>IFERROR(__xludf.DUMMYFUNCTION("""COMPUTED_VALUE"""),65.0)</f>
        <v>65</v>
      </c>
      <c r="F6874" s="19" t="str">
        <f>IFERROR(__xludf.DUMMYFUNCTION("""COMPUTED_VALUE"""),"BLUE")</f>
        <v>BLUE</v>
      </c>
      <c r="G6874" s="20" t="str">
        <f>IFERROR(__xludf.DUMMYFUNCTION("""COMPUTED_VALUE"""),"Uncle Sams Cider (04/04/2023)")</f>
        <v>Uncle Sams Cider (04/04/2023)</v>
      </c>
      <c r="H6874" s="19"/>
    </row>
    <row r="6875">
      <c r="A6875" s="9"/>
      <c r="B6875" s="15"/>
      <c r="C6875" s="9">
        <f>IFERROR(__xludf.DUMMYFUNCTION("""COMPUTED_VALUE"""),45072.15789603)</f>
        <v>45072.1579</v>
      </c>
      <c r="D6875" s="15">
        <f>IFERROR(__xludf.DUMMYFUNCTION("""COMPUTED_VALUE"""),1.009)</f>
        <v>1.009</v>
      </c>
      <c r="E6875" s="16">
        <f>IFERROR(__xludf.DUMMYFUNCTION("""COMPUTED_VALUE"""),65.0)</f>
        <v>65</v>
      </c>
      <c r="F6875" s="19" t="str">
        <f>IFERROR(__xludf.DUMMYFUNCTION("""COMPUTED_VALUE"""),"BLUE")</f>
        <v>BLUE</v>
      </c>
      <c r="G6875" s="20" t="str">
        <f>IFERROR(__xludf.DUMMYFUNCTION("""COMPUTED_VALUE"""),"Uncle Sams Cider (04/04/2023)")</f>
        <v>Uncle Sams Cider (04/04/2023)</v>
      </c>
      <c r="H6875" s="19"/>
    </row>
    <row r="6876">
      <c r="A6876" s="9"/>
      <c r="B6876" s="15"/>
      <c r="C6876" s="9">
        <f>IFERROR(__xludf.DUMMYFUNCTION("""COMPUTED_VALUE"""),45072.1474624305)</f>
        <v>45072.14746</v>
      </c>
      <c r="D6876" s="15">
        <f>IFERROR(__xludf.DUMMYFUNCTION("""COMPUTED_VALUE"""),1.009)</f>
        <v>1.009</v>
      </c>
      <c r="E6876" s="16">
        <f>IFERROR(__xludf.DUMMYFUNCTION("""COMPUTED_VALUE"""),65.0)</f>
        <v>65</v>
      </c>
      <c r="F6876" s="19" t="str">
        <f>IFERROR(__xludf.DUMMYFUNCTION("""COMPUTED_VALUE"""),"BLUE")</f>
        <v>BLUE</v>
      </c>
      <c r="G6876" s="20" t="str">
        <f>IFERROR(__xludf.DUMMYFUNCTION("""COMPUTED_VALUE"""),"Uncle Sams Cider (04/04/2023)")</f>
        <v>Uncle Sams Cider (04/04/2023)</v>
      </c>
      <c r="H6876" s="19"/>
    </row>
    <row r="6877">
      <c r="A6877" s="9"/>
      <c r="B6877" s="15"/>
      <c r="C6877" s="9">
        <f>IFERROR(__xludf.DUMMYFUNCTION("""COMPUTED_VALUE"""),45072.1370289004)</f>
        <v>45072.13703</v>
      </c>
      <c r="D6877" s="15">
        <f>IFERROR(__xludf.DUMMYFUNCTION("""COMPUTED_VALUE"""),1.01)</f>
        <v>1.01</v>
      </c>
      <c r="E6877" s="16">
        <f>IFERROR(__xludf.DUMMYFUNCTION("""COMPUTED_VALUE"""),65.0)</f>
        <v>65</v>
      </c>
      <c r="F6877" s="19" t="str">
        <f>IFERROR(__xludf.DUMMYFUNCTION("""COMPUTED_VALUE"""),"BLUE")</f>
        <v>BLUE</v>
      </c>
      <c r="G6877" s="20" t="str">
        <f>IFERROR(__xludf.DUMMYFUNCTION("""COMPUTED_VALUE"""),"Uncle Sams Cider (04/04/2023)")</f>
        <v>Uncle Sams Cider (04/04/2023)</v>
      </c>
      <c r="H6877" s="19"/>
    </row>
    <row r="6878">
      <c r="A6878" s="9"/>
      <c r="B6878" s="15"/>
      <c r="C6878" s="9">
        <f>IFERROR(__xludf.DUMMYFUNCTION("""COMPUTED_VALUE"""),45072.1266089467)</f>
        <v>45072.12661</v>
      </c>
      <c r="D6878" s="15">
        <f>IFERROR(__xludf.DUMMYFUNCTION("""COMPUTED_VALUE"""),1.009)</f>
        <v>1.009</v>
      </c>
      <c r="E6878" s="16">
        <f>IFERROR(__xludf.DUMMYFUNCTION("""COMPUTED_VALUE"""),65.0)</f>
        <v>65</v>
      </c>
      <c r="F6878" s="19" t="str">
        <f>IFERROR(__xludf.DUMMYFUNCTION("""COMPUTED_VALUE"""),"BLUE")</f>
        <v>BLUE</v>
      </c>
      <c r="G6878" s="20" t="str">
        <f>IFERROR(__xludf.DUMMYFUNCTION("""COMPUTED_VALUE"""),"Uncle Sams Cider (04/04/2023)")</f>
        <v>Uncle Sams Cider (04/04/2023)</v>
      </c>
      <c r="H6878" s="19"/>
    </row>
    <row r="6879">
      <c r="A6879" s="9"/>
      <c r="B6879" s="15"/>
      <c r="C6879" s="9">
        <f>IFERROR(__xludf.DUMMYFUNCTION("""COMPUTED_VALUE"""),45072.1161875115)</f>
        <v>45072.11619</v>
      </c>
      <c r="D6879" s="15">
        <f>IFERROR(__xludf.DUMMYFUNCTION("""COMPUTED_VALUE"""),1.01)</f>
        <v>1.01</v>
      </c>
      <c r="E6879" s="16">
        <f>IFERROR(__xludf.DUMMYFUNCTION("""COMPUTED_VALUE"""),65.0)</f>
        <v>65</v>
      </c>
      <c r="F6879" s="19" t="str">
        <f>IFERROR(__xludf.DUMMYFUNCTION("""COMPUTED_VALUE"""),"BLUE")</f>
        <v>BLUE</v>
      </c>
      <c r="G6879" s="20" t="str">
        <f>IFERROR(__xludf.DUMMYFUNCTION("""COMPUTED_VALUE"""),"Uncle Sams Cider (04/04/2023)")</f>
        <v>Uncle Sams Cider (04/04/2023)</v>
      </c>
      <c r="H6879" s="19"/>
    </row>
    <row r="6880">
      <c r="A6880" s="9"/>
      <c r="B6880" s="15"/>
      <c r="C6880" s="9">
        <f>IFERROR(__xludf.DUMMYFUNCTION("""COMPUTED_VALUE"""),45072.1057664699)</f>
        <v>45072.10577</v>
      </c>
      <c r="D6880" s="15">
        <f>IFERROR(__xludf.DUMMYFUNCTION("""COMPUTED_VALUE"""),1.01)</f>
        <v>1.01</v>
      </c>
      <c r="E6880" s="16">
        <f>IFERROR(__xludf.DUMMYFUNCTION("""COMPUTED_VALUE"""),65.0)</f>
        <v>65</v>
      </c>
      <c r="F6880" s="19" t="str">
        <f>IFERROR(__xludf.DUMMYFUNCTION("""COMPUTED_VALUE"""),"BLUE")</f>
        <v>BLUE</v>
      </c>
      <c r="G6880" s="20" t="str">
        <f>IFERROR(__xludf.DUMMYFUNCTION("""COMPUTED_VALUE"""),"Uncle Sams Cider (04/04/2023)")</f>
        <v>Uncle Sams Cider (04/04/2023)</v>
      </c>
      <c r="H6880" s="19"/>
    </row>
    <row r="6881">
      <c r="A6881" s="9"/>
      <c r="B6881" s="15"/>
      <c r="C6881" s="9">
        <f>IFERROR(__xludf.DUMMYFUNCTION("""COMPUTED_VALUE"""),45072.0953233449)</f>
        <v>45072.09532</v>
      </c>
      <c r="D6881" s="15">
        <f>IFERROR(__xludf.DUMMYFUNCTION("""COMPUTED_VALUE"""),1.01)</f>
        <v>1.01</v>
      </c>
      <c r="E6881" s="16">
        <f>IFERROR(__xludf.DUMMYFUNCTION("""COMPUTED_VALUE"""),65.0)</f>
        <v>65</v>
      </c>
      <c r="F6881" s="19" t="str">
        <f>IFERROR(__xludf.DUMMYFUNCTION("""COMPUTED_VALUE"""),"BLUE")</f>
        <v>BLUE</v>
      </c>
      <c r="G6881" s="20" t="str">
        <f>IFERROR(__xludf.DUMMYFUNCTION("""COMPUTED_VALUE"""),"Uncle Sams Cider (04/04/2023)")</f>
        <v>Uncle Sams Cider (04/04/2023)</v>
      </c>
      <c r="H6881" s="19"/>
    </row>
    <row r="6882">
      <c r="A6882" s="9"/>
      <c r="B6882" s="15"/>
      <c r="C6882" s="9">
        <f>IFERROR(__xludf.DUMMYFUNCTION("""COMPUTED_VALUE"""),45072.084900868)</f>
        <v>45072.0849</v>
      </c>
      <c r="D6882" s="15">
        <f>IFERROR(__xludf.DUMMYFUNCTION("""COMPUTED_VALUE"""),1.009)</f>
        <v>1.009</v>
      </c>
      <c r="E6882" s="16">
        <f>IFERROR(__xludf.DUMMYFUNCTION("""COMPUTED_VALUE"""),65.0)</f>
        <v>65</v>
      </c>
      <c r="F6882" s="19" t="str">
        <f>IFERROR(__xludf.DUMMYFUNCTION("""COMPUTED_VALUE"""),"BLUE")</f>
        <v>BLUE</v>
      </c>
      <c r="G6882" s="20" t="str">
        <f>IFERROR(__xludf.DUMMYFUNCTION("""COMPUTED_VALUE"""),"Uncle Sams Cider (04/04/2023)")</f>
        <v>Uncle Sams Cider (04/04/2023)</v>
      </c>
      <c r="H6882" s="19"/>
    </row>
    <row r="6883">
      <c r="A6883" s="9"/>
      <c r="B6883" s="15"/>
      <c r="C6883" s="9">
        <f>IFERROR(__xludf.DUMMYFUNCTION("""COMPUTED_VALUE"""),45072.074455787)</f>
        <v>45072.07446</v>
      </c>
      <c r="D6883" s="15">
        <f>IFERROR(__xludf.DUMMYFUNCTION("""COMPUTED_VALUE"""),1.01)</f>
        <v>1.01</v>
      </c>
      <c r="E6883" s="16">
        <f>IFERROR(__xludf.DUMMYFUNCTION("""COMPUTED_VALUE"""),65.0)</f>
        <v>65</v>
      </c>
      <c r="F6883" s="19" t="str">
        <f>IFERROR(__xludf.DUMMYFUNCTION("""COMPUTED_VALUE"""),"BLUE")</f>
        <v>BLUE</v>
      </c>
      <c r="G6883" s="20" t="str">
        <f>IFERROR(__xludf.DUMMYFUNCTION("""COMPUTED_VALUE"""),"Uncle Sams Cider (04/04/2023)")</f>
        <v>Uncle Sams Cider (04/04/2023)</v>
      </c>
      <c r="H6883" s="19"/>
    </row>
    <row r="6884">
      <c r="A6884" s="9"/>
      <c r="B6884" s="15"/>
      <c r="C6884" s="9">
        <f>IFERROR(__xludf.DUMMYFUNCTION("""COMPUTED_VALUE"""),45072.0640214699)</f>
        <v>45072.06402</v>
      </c>
      <c r="D6884" s="15">
        <f>IFERROR(__xludf.DUMMYFUNCTION("""COMPUTED_VALUE"""),1.009)</f>
        <v>1.009</v>
      </c>
      <c r="E6884" s="16">
        <f>IFERROR(__xludf.DUMMYFUNCTION("""COMPUTED_VALUE"""),65.0)</f>
        <v>65</v>
      </c>
      <c r="F6884" s="19" t="str">
        <f>IFERROR(__xludf.DUMMYFUNCTION("""COMPUTED_VALUE"""),"BLUE")</f>
        <v>BLUE</v>
      </c>
      <c r="G6884" s="20" t="str">
        <f>IFERROR(__xludf.DUMMYFUNCTION("""COMPUTED_VALUE"""),"Uncle Sams Cider (04/04/2023)")</f>
        <v>Uncle Sams Cider (04/04/2023)</v>
      </c>
      <c r="H6884" s="19"/>
    </row>
    <row r="6885">
      <c r="A6885" s="9"/>
      <c r="B6885" s="15"/>
      <c r="C6885" s="9">
        <f>IFERROR(__xludf.DUMMYFUNCTION("""COMPUTED_VALUE"""),45072.0536015972)</f>
        <v>45072.0536</v>
      </c>
      <c r="D6885" s="15">
        <f>IFERROR(__xludf.DUMMYFUNCTION("""COMPUTED_VALUE"""),1.009)</f>
        <v>1.009</v>
      </c>
      <c r="E6885" s="16">
        <f>IFERROR(__xludf.DUMMYFUNCTION("""COMPUTED_VALUE"""),65.0)</f>
        <v>65</v>
      </c>
      <c r="F6885" s="19" t="str">
        <f>IFERROR(__xludf.DUMMYFUNCTION("""COMPUTED_VALUE"""),"BLUE")</f>
        <v>BLUE</v>
      </c>
      <c r="G6885" s="20" t="str">
        <f>IFERROR(__xludf.DUMMYFUNCTION("""COMPUTED_VALUE"""),"Uncle Sams Cider (04/04/2023)")</f>
        <v>Uncle Sams Cider (04/04/2023)</v>
      </c>
      <c r="H6885" s="19"/>
    </row>
    <row r="6886">
      <c r="A6886" s="9"/>
      <c r="B6886" s="15"/>
      <c r="C6886" s="9">
        <f>IFERROR(__xludf.DUMMYFUNCTION("""COMPUTED_VALUE"""),45072.0431811921)</f>
        <v>45072.04318</v>
      </c>
      <c r="D6886" s="15">
        <f>IFERROR(__xludf.DUMMYFUNCTION("""COMPUTED_VALUE"""),1.009)</f>
        <v>1.009</v>
      </c>
      <c r="E6886" s="16">
        <f>IFERROR(__xludf.DUMMYFUNCTION("""COMPUTED_VALUE"""),65.0)</f>
        <v>65</v>
      </c>
      <c r="F6886" s="19" t="str">
        <f>IFERROR(__xludf.DUMMYFUNCTION("""COMPUTED_VALUE"""),"BLUE")</f>
        <v>BLUE</v>
      </c>
      <c r="G6886" s="20" t="str">
        <f>IFERROR(__xludf.DUMMYFUNCTION("""COMPUTED_VALUE"""),"Uncle Sams Cider (04/04/2023)")</f>
        <v>Uncle Sams Cider (04/04/2023)</v>
      </c>
      <c r="H6886" s="19"/>
    </row>
    <row r="6887">
      <c r="A6887" s="9"/>
      <c r="B6887" s="15"/>
      <c r="C6887" s="9">
        <f>IFERROR(__xludf.DUMMYFUNCTION("""COMPUTED_VALUE"""),45072.0327479051)</f>
        <v>45072.03275</v>
      </c>
      <c r="D6887" s="15">
        <f>IFERROR(__xludf.DUMMYFUNCTION("""COMPUTED_VALUE"""),1.009)</f>
        <v>1.009</v>
      </c>
      <c r="E6887" s="16">
        <f>IFERROR(__xludf.DUMMYFUNCTION("""COMPUTED_VALUE"""),65.0)</f>
        <v>65</v>
      </c>
      <c r="F6887" s="19" t="str">
        <f>IFERROR(__xludf.DUMMYFUNCTION("""COMPUTED_VALUE"""),"BLUE")</f>
        <v>BLUE</v>
      </c>
      <c r="G6887" s="20" t="str">
        <f>IFERROR(__xludf.DUMMYFUNCTION("""COMPUTED_VALUE"""),"Uncle Sams Cider (04/04/2023)")</f>
        <v>Uncle Sams Cider (04/04/2023)</v>
      </c>
      <c r="H6887" s="19"/>
    </row>
    <row r="6888">
      <c r="A6888" s="9"/>
      <c r="B6888" s="15"/>
      <c r="C6888" s="9">
        <f>IFERROR(__xludf.DUMMYFUNCTION("""COMPUTED_VALUE"""),45072.0223255555)</f>
        <v>45072.02233</v>
      </c>
      <c r="D6888" s="15">
        <f>IFERROR(__xludf.DUMMYFUNCTION("""COMPUTED_VALUE"""),1.009)</f>
        <v>1.009</v>
      </c>
      <c r="E6888" s="16">
        <f>IFERROR(__xludf.DUMMYFUNCTION("""COMPUTED_VALUE"""),65.0)</f>
        <v>65</v>
      </c>
      <c r="F6888" s="19" t="str">
        <f>IFERROR(__xludf.DUMMYFUNCTION("""COMPUTED_VALUE"""),"BLUE")</f>
        <v>BLUE</v>
      </c>
      <c r="G6888" s="20" t="str">
        <f>IFERROR(__xludf.DUMMYFUNCTION("""COMPUTED_VALUE"""),"Uncle Sams Cider (04/04/2023)")</f>
        <v>Uncle Sams Cider (04/04/2023)</v>
      </c>
      <c r="H6888" s="19"/>
    </row>
    <row r="6889">
      <c r="A6889" s="9"/>
      <c r="B6889" s="15"/>
      <c r="C6889" s="9">
        <f>IFERROR(__xludf.DUMMYFUNCTION("""COMPUTED_VALUE"""),45072.0119048148)</f>
        <v>45072.0119</v>
      </c>
      <c r="D6889" s="15">
        <f>IFERROR(__xludf.DUMMYFUNCTION("""COMPUTED_VALUE"""),1.01)</f>
        <v>1.01</v>
      </c>
      <c r="E6889" s="16">
        <f>IFERROR(__xludf.DUMMYFUNCTION("""COMPUTED_VALUE"""),65.0)</f>
        <v>65</v>
      </c>
      <c r="F6889" s="19" t="str">
        <f>IFERROR(__xludf.DUMMYFUNCTION("""COMPUTED_VALUE"""),"BLUE")</f>
        <v>BLUE</v>
      </c>
      <c r="G6889" s="20" t="str">
        <f>IFERROR(__xludf.DUMMYFUNCTION("""COMPUTED_VALUE"""),"Uncle Sams Cider (04/04/2023)")</f>
        <v>Uncle Sams Cider (04/04/2023)</v>
      </c>
      <c r="H6889" s="19"/>
    </row>
    <row r="6890">
      <c r="A6890" s="9"/>
      <c r="B6890" s="15"/>
      <c r="C6890" s="9">
        <f>IFERROR(__xludf.DUMMYFUNCTION("""COMPUTED_VALUE"""),45072.0014833449)</f>
        <v>45072.00148</v>
      </c>
      <c r="D6890" s="15">
        <f>IFERROR(__xludf.DUMMYFUNCTION("""COMPUTED_VALUE"""),1.009)</f>
        <v>1.009</v>
      </c>
      <c r="E6890" s="16">
        <f>IFERROR(__xludf.DUMMYFUNCTION("""COMPUTED_VALUE"""),65.0)</f>
        <v>65</v>
      </c>
      <c r="F6890" s="19" t="str">
        <f>IFERROR(__xludf.DUMMYFUNCTION("""COMPUTED_VALUE"""),"BLUE")</f>
        <v>BLUE</v>
      </c>
      <c r="G6890" s="20" t="str">
        <f>IFERROR(__xludf.DUMMYFUNCTION("""COMPUTED_VALUE"""),"Uncle Sams Cider (04/04/2023)")</f>
        <v>Uncle Sams Cider (04/04/2023)</v>
      </c>
      <c r="H6890" s="19"/>
    </row>
    <row r="6891">
      <c r="A6891" s="9"/>
      <c r="B6891" s="15"/>
      <c r="C6891" s="9">
        <f>IFERROR(__xludf.DUMMYFUNCTION("""COMPUTED_VALUE"""),45071.9910639236)</f>
        <v>45071.99106</v>
      </c>
      <c r="D6891" s="15">
        <f>IFERROR(__xludf.DUMMYFUNCTION("""COMPUTED_VALUE"""),1.009)</f>
        <v>1.009</v>
      </c>
      <c r="E6891" s="16">
        <f>IFERROR(__xludf.DUMMYFUNCTION("""COMPUTED_VALUE"""),65.0)</f>
        <v>65</v>
      </c>
      <c r="F6891" s="19" t="str">
        <f>IFERROR(__xludf.DUMMYFUNCTION("""COMPUTED_VALUE"""),"BLUE")</f>
        <v>BLUE</v>
      </c>
      <c r="G6891" s="20" t="str">
        <f>IFERROR(__xludf.DUMMYFUNCTION("""COMPUTED_VALUE"""),"Uncle Sams Cider (04/04/2023)")</f>
        <v>Uncle Sams Cider (04/04/2023)</v>
      </c>
      <c r="H6891" s="19"/>
    </row>
    <row r="6892">
      <c r="A6892" s="9"/>
      <c r="B6892" s="15"/>
      <c r="C6892" s="9">
        <f>IFERROR(__xludf.DUMMYFUNCTION("""COMPUTED_VALUE"""),45071.9806449652)</f>
        <v>45071.98064</v>
      </c>
      <c r="D6892" s="15">
        <f>IFERROR(__xludf.DUMMYFUNCTION("""COMPUTED_VALUE"""),1.009)</f>
        <v>1.009</v>
      </c>
      <c r="E6892" s="16">
        <f>IFERROR(__xludf.DUMMYFUNCTION("""COMPUTED_VALUE"""),65.0)</f>
        <v>65</v>
      </c>
      <c r="F6892" s="19" t="str">
        <f>IFERROR(__xludf.DUMMYFUNCTION("""COMPUTED_VALUE"""),"BLUE")</f>
        <v>BLUE</v>
      </c>
      <c r="G6892" s="20" t="str">
        <f>IFERROR(__xludf.DUMMYFUNCTION("""COMPUTED_VALUE"""),"Uncle Sams Cider (04/04/2023)")</f>
        <v>Uncle Sams Cider (04/04/2023)</v>
      </c>
      <c r="H6892" s="19"/>
    </row>
    <row r="6893">
      <c r="A6893" s="9"/>
      <c r="B6893" s="15"/>
      <c r="C6893" s="9">
        <f>IFERROR(__xludf.DUMMYFUNCTION("""COMPUTED_VALUE"""),45071.9702234375)</f>
        <v>45071.97022</v>
      </c>
      <c r="D6893" s="15">
        <f>IFERROR(__xludf.DUMMYFUNCTION("""COMPUTED_VALUE"""),1.009)</f>
        <v>1.009</v>
      </c>
      <c r="E6893" s="16">
        <f>IFERROR(__xludf.DUMMYFUNCTION("""COMPUTED_VALUE"""),65.0)</f>
        <v>65</v>
      </c>
      <c r="F6893" s="19" t="str">
        <f>IFERROR(__xludf.DUMMYFUNCTION("""COMPUTED_VALUE"""),"BLUE")</f>
        <v>BLUE</v>
      </c>
      <c r="G6893" s="20" t="str">
        <f>IFERROR(__xludf.DUMMYFUNCTION("""COMPUTED_VALUE"""),"Uncle Sams Cider (04/04/2023)")</f>
        <v>Uncle Sams Cider (04/04/2023)</v>
      </c>
      <c r="H6893" s="19"/>
    </row>
    <row r="6894">
      <c r="A6894" s="9"/>
      <c r="B6894" s="15"/>
      <c r="C6894" s="9">
        <f>IFERROR(__xludf.DUMMYFUNCTION("""COMPUTED_VALUE"""),45071.9597908912)</f>
        <v>45071.95979</v>
      </c>
      <c r="D6894" s="15">
        <f>IFERROR(__xludf.DUMMYFUNCTION("""COMPUTED_VALUE"""),1.01)</f>
        <v>1.01</v>
      </c>
      <c r="E6894" s="16">
        <f>IFERROR(__xludf.DUMMYFUNCTION("""COMPUTED_VALUE"""),65.0)</f>
        <v>65</v>
      </c>
      <c r="F6894" s="19" t="str">
        <f>IFERROR(__xludf.DUMMYFUNCTION("""COMPUTED_VALUE"""),"BLUE")</f>
        <v>BLUE</v>
      </c>
      <c r="G6894" s="20" t="str">
        <f>IFERROR(__xludf.DUMMYFUNCTION("""COMPUTED_VALUE"""),"Uncle Sams Cider (04/04/2023)")</f>
        <v>Uncle Sams Cider (04/04/2023)</v>
      </c>
      <c r="H6894" s="19"/>
    </row>
    <row r="6895">
      <c r="A6895" s="9"/>
      <c r="B6895" s="15"/>
      <c r="C6895" s="9">
        <f>IFERROR(__xludf.DUMMYFUNCTION("""COMPUTED_VALUE"""),45071.9493572685)</f>
        <v>45071.94936</v>
      </c>
      <c r="D6895" s="15">
        <f>IFERROR(__xludf.DUMMYFUNCTION("""COMPUTED_VALUE"""),1.01)</f>
        <v>1.01</v>
      </c>
      <c r="E6895" s="16">
        <f>IFERROR(__xludf.DUMMYFUNCTION("""COMPUTED_VALUE"""),65.0)</f>
        <v>65</v>
      </c>
      <c r="F6895" s="19" t="str">
        <f>IFERROR(__xludf.DUMMYFUNCTION("""COMPUTED_VALUE"""),"BLUE")</f>
        <v>BLUE</v>
      </c>
      <c r="G6895" s="20" t="str">
        <f>IFERROR(__xludf.DUMMYFUNCTION("""COMPUTED_VALUE"""),"Uncle Sams Cider (04/04/2023)")</f>
        <v>Uncle Sams Cider (04/04/2023)</v>
      </c>
      <c r="H6895" s="19"/>
    </row>
    <row r="6896">
      <c r="A6896" s="9"/>
      <c r="B6896" s="15"/>
      <c r="C6896" s="9">
        <f>IFERROR(__xludf.DUMMYFUNCTION("""COMPUTED_VALUE"""),45071.938936493)</f>
        <v>45071.93894</v>
      </c>
      <c r="D6896" s="15">
        <f>IFERROR(__xludf.DUMMYFUNCTION("""COMPUTED_VALUE"""),1.01)</f>
        <v>1.01</v>
      </c>
      <c r="E6896" s="16">
        <f>IFERROR(__xludf.DUMMYFUNCTION("""COMPUTED_VALUE"""),65.0)</f>
        <v>65</v>
      </c>
      <c r="F6896" s="19" t="str">
        <f>IFERROR(__xludf.DUMMYFUNCTION("""COMPUTED_VALUE"""),"BLUE")</f>
        <v>BLUE</v>
      </c>
      <c r="G6896" s="20" t="str">
        <f>IFERROR(__xludf.DUMMYFUNCTION("""COMPUTED_VALUE"""),"Uncle Sams Cider (04/04/2023)")</f>
        <v>Uncle Sams Cider (04/04/2023)</v>
      </c>
      <c r="H6896" s="19"/>
    </row>
    <row r="6897">
      <c r="A6897" s="9"/>
      <c r="B6897" s="15"/>
      <c r="C6897" s="9">
        <f>IFERROR(__xludf.DUMMYFUNCTION("""COMPUTED_VALUE"""),45071.9285152083)</f>
        <v>45071.92852</v>
      </c>
      <c r="D6897" s="15">
        <f>IFERROR(__xludf.DUMMYFUNCTION("""COMPUTED_VALUE"""),1.01)</f>
        <v>1.01</v>
      </c>
      <c r="E6897" s="16">
        <f>IFERROR(__xludf.DUMMYFUNCTION("""COMPUTED_VALUE"""),65.0)</f>
        <v>65</v>
      </c>
      <c r="F6897" s="19" t="str">
        <f>IFERROR(__xludf.DUMMYFUNCTION("""COMPUTED_VALUE"""),"BLUE")</f>
        <v>BLUE</v>
      </c>
      <c r="G6897" s="20" t="str">
        <f>IFERROR(__xludf.DUMMYFUNCTION("""COMPUTED_VALUE"""),"Uncle Sams Cider (04/04/2023)")</f>
        <v>Uncle Sams Cider (04/04/2023)</v>
      </c>
      <c r="H6897" s="19"/>
    </row>
    <row r="6898">
      <c r="A6898" s="9"/>
      <c r="B6898" s="15"/>
      <c r="C6898" s="9">
        <f>IFERROR(__xludf.DUMMYFUNCTION("""COMPUTED_VALUE"""),45071.9180927662)</f>
        <v>45071.91809</v>
      </c>
      <c r="D6898" s="15">
        <f>IFERROR(__xludf.DUMMYFUNCTION("""COMPUTED_VALUE"""),1.009)</f>
        <v>1.009</v>
      </c>
      <c r="E6898" s="16">
        <f>IFERROR(__xludf.DUMMYFUNCTION("""COMPUTED_VALUE"""),65.0)</f>
        <v>65</v>
      </c>
      <c r="F6898" s="19" t="str">
        <f>IFERROR(__xludf.DUMMYFUNCTION("""COMPUTED_VALUE"""),"BLUE")</f>
        <v>BLUE</v>
      </c>
      <c r="G6898" s="20" t="str">
        <f>IFERROR(__xludf.DUMMYFUNCTION("""COMPUTED_VALUE"""),"Uncle Sams Cider (04/04/2023)")</f>
        <v>Uncle Sams Cider (04/04/2023)</v>
      </c>
      <c r="H6898" s="19"/>
    </row>
    <row r="6899">
      <c r="A6899" s="9"/>
      <c r="B6899" s="15"/>
      <c r="C6899" s="9">
        <f>IFERROR(__xludf.DUMMYFUNCTION("""COMPUTED_VALUE"""),45071.9076703819)</f>
        <v>45071.90767</v>
      </c>
      <c r="D6899" s="15">
        <f>IFERROR(__xludf.DUMMYFUNCTION("""COMPUTED_VALUE"""),1.01)</f>
        <v>1.01</v>
      </c>
      <c r="E6899" s="16">
        <f>IFERROR(__xludf.DUMMYFUNCTION("""COMPUTED_VALUE"""),65.0)</f>
        <v>65</v>
      </c>
      <c r="F6899" s="19" t="str">
        <f>IFERROR(__xludf.DUMMYFUNCTION("""COMPUTED_VALUE"""),"BLUE")</f>
        <v>BLUE</v>
      </c>
      <c r="G6899" s="20" t="str">
        <f>IFERROR(__xludf.DUMMYFUNCTION("""COMPUTED_VALUE"""),"Uncle Sams Cider (04/04/2023)")</f>
        <v>Uncle Sams Cider (04/04/2023)</v>
      </c>
      <c r="H6899" s="19"/>
    </row>
    <row r="6900">
      <c r="A6900" s="9"/>
      <c r="B6900" s="15"/>
      <c r="C6900" s="9">
        <f>IFERROR(__xludf.DUMMYFUNCTION("""COMPUTED_VALUE"""),45071.8972494328)</f>
        <v>45071.89725</v>
      </c>
      <c r="D6900" s="15">
        <f>IFERROR(__xludf.DUMMYFUNCTION("""COMPUTED_VALUE"""),1.01)</f>
        <v>1.01</v>
      </c>
      <c r="E6900" s="16">
        <f>IFERROR(__xludf.DUMMYFUNCTION("""COMPUTED_VALUE"""),65.0)</f>
        <v>65</v>
      </c>
      <c r="F6900" s="19" t="str">
        <f>IFERROR(__xludf.DUMMYFUNCTION("""COMPUTED_VALUE"""),"BLUE")</f>
        <v>BLUE</v>
      </c>
      <c r="G6900" s="20" t="str">
        <f>IFERROR(__xludf.DUMMYFUNCTION("""COMPUTED_VALUE"""),"Uncle Sams Cider (04/04/2023)")</f>
        <v>Uncle Sams Cider (04/04/2023)</v>
      </c>
      <c r="H6900" s="19"/>
    </row>
    <row r="6901">
      <c r="A6901" s="9"/>
      <c r="B6901" s="15"/>
      <c r="C6901" s="9">
        <f>IFERROR(__xludf.DUMMYFUNCTION("""COMPUTED_VALUE"""),45071.8868154629)</f>
        <v>45071.88682</v>
      </c>
      <c r="D6901" s="15">
        <f>IFERROR(__xludf.DUMMYFUNCTION("""COMPUTED_VALUE"""),1.01)</f>
        <v>1.01</v>
      </c>
      <c r="E6901" s="16">
        <f>IFERROR(__xludf.DUMMYFUNCTION("""COMPUTED_VALUE"""),65.0)</f>
        <v>65</v>
      </c>
      <c r="F6901" s="19" t="str">
        <f>IFERROR(__xludf.DUMMYFUNCTION("""COMPUTED_VALUE"""),"BLUE")</f>
        <v>BLUE</v>
      </c>
      <c r="G6901" s="20" t="str">
        <f>IFERROR(__xludf.DUMMYFUNCTION("""COMPUTED_VALUE"""),"Uncle Sams Cider (04/04/2023)")</f>
        <v>Uncle Sams Cider (04/04/2023)</v>
      </c>
      <c r="H6901" s="19"/>
    </row>
    <row r="6902">
      <c r="A6902" s="9"/>
      <c r="B6902" s="15"/>
      <c r="C6902" s="9">
        <f>IFERROR(__xludf.DUMMYFUNCTION("""COMPUTED_VALUE"""),45071.8763848958)</f>
        <v>45071.87638</v>
      </c>
      <c r="D6902" s="15">
        <f>IFERROR(__xludf.DUMMYFUNCTION("""COMPUTED_VALUE"""),1.01)</f>
        <v>1.01</v>
      </c>
      <c r="E6902" s="16">
        <f>IFERROR(__xludf.DUMMYFUNCTION("""COMPUTED_VALUE"""),65.0)</f>
        <v>65</v>
      </c>
      <c r="F6902" s="19" t="str">
        <f>IFERROR(__xludf.DUMMYFUNCTION("""COMPUTED_VALUE"""),"BLUE")</f>
        <v>BLUE</v>
      </c>
      <c r="G6902" s="20" t="str">
        <f>IFERROR(__xludf.DUMMYFUNCTION("""COMPUTED_VALUE"""),"Uncle Sams Cider (04/04/2023)")</f>
        <v>Uncle Sams Cider (04/04/2023)</v>
      </c>
      <c r="H6902" s="19"/>
    </row>
    <row r="6903">
      <c r="A6903" s="9"/>
      <c r="B6903" s="15"/>
      <c r="C6903" s="9">
        <f>IFERROR(__xludf.DUMMYFUNCTION("""COMPUTED_VALUE"""),45071.8659632986)</f>
        <v>45071.86596</v>
      </c>
      <c r="D6903" s="15">
        <f>IFERROR(__xludf.DUMMYFUNCTION("""COMPUTED_VALUE"""),1.01)</f>
        <v>1.01</v>
      </c>
      <c r="E6903" s="16">
        <f>IFERROR(__xludf.DUMMYFUNCTION("""COMPUTED_VALUE"""),65.0)</f>
        <v>65</v>
      </c>
      <c r="F6903" s="19" t="str">
        <f>IFERROR(__xludf.DUMMYFUNCTION("""COMPUTED_VALUE"""),"BLUE")</f>
        <v>BLUE</v>
      </c>
      <c r="G6903" s="20" t="str">
        <f>IFERROR(__xludf.DUMMYFUNCTION("""COMPUTED_VALUE"""),"Uncle Sams Cider (04/04/2023)")</f>
        <v>Uncle Sams Cider (04/04/2023)</v>
      </c>
      <c r="H6903" s="19"/>
    </row>
    <row r="6904">
      <c r="A6904" s="9"/>
      <c r="B6904" s="15"/>
      <c r="C6904" s="9">
        <f>IFERROR(__xludf.DUMMYFUNCTION("""COMPUTED_VALUE"""),45071.8555298958)</f>
        <v>45071.85553</v>
      </c>
      <c r="D6904" s="15">
        <f>IFERROR(__xludf.DUMMYFUNCTION("""COMPUTED_VALUE"""),1.01)</f>
        <v>1.01</v>
      </c>
      <c r="E6904" s="16">
        <f>IFERROR(__xludf.DUMMYFUNCTION("""COMPUTED_VALUE"""),65.0)</f>
        <v>65</v>
      </c>
      <c r="F6904" s="19" t="str">
        <f>IFERROR(__xludf.DUMMYFUNCTION("""COMPUTED_VALUE"""),"BLUE")</f>
        <v>BLUE</v>
      </c>
      <c r="G6904" s="20" t="str">
        <f>IFERROR(__xludf.DUMMYFUNCTION("""COMPUTED_VALUE"""),"Uncle Sams Cider (04/04/2023)")</f>
        <v>Uncle Sams Cider (04/04/2023)</v>
      </c>
      <c r="H6904" s="19"/>
    </row>
    <row r="6905">
      <c r="A6905" s="9"/>
      <c r="B6905" s="15"/>
      <c r="C6905" s="9">
        <f>IFERROR(__xludf.DUMMYFUNCTION("""COMPUTED_VALUE"""),45071.8346775578)</f>
        <v>45071.83468</v>
      </c>
      <c r="D6905" s="15">
        <f>IFERROR(__xludf.DUMMYFUNCTION("""COMPUTED_VALUE"""),1.01)</f>
        <v>1.01</v>
      </c>
      <c r="E6905" s="16">
        <f>IFERROR(__xludf.DUMMYFUNCTION("""COMPUTED_VALUE"""),65.0)</f>
        <v>65</v>
      </c>
      <c r="F6905" s="19" t="str">
        <f>IFERROR(__xludf.DUMMYFUNCTION("""COMPUTED_VALUE"""),"BLUE")</f>
        <v>BLUE</v>
      </c>
      <c r="G6905" s="20" t="str">
        <f>IFERROR(__xludf.DUMMYFUNCTION("""COMPUTED_VALUE"""),"Uncle Sams Cider (04/04/2023)")</f>
        <v>Uncle Sams Cider (04/04/2023)</v>
      </c>
      <c r="H6905" s="19"/>
    </row>
    <row r="6906">
      <c r="A6906" s="9"/>
      <c r="B6906" s="15"/>
      <c r="C6906" s="9">
        <f>IFERROR(__xludf.DUMMYFUNCTION("""COMPUTED_VALUE"""),45071.8242458564)</f>
        <v>45071.82425</v>
      </c>
      <c r="D6906" s="15">
        <f>IFERROR(__xludf.DUMMYFUNCTION("""COMPUTED_VALUE"""),1.01)</f>
        <v>1.01</v>
      </c>
      <c r="E6906" s="16">
        <f>IFERROR(__xludf.DUMMYFUNCTION("""COMPUTED_VALUE"""),65.0)</f>
        <v>65</v>
      </c>
      <c r="F6906" s="19" t="str">
        <f>IFERROR(__xludf.DUMMYFUNCTION("""COMPUTED_VALUE"""),"BLUE")</f>
        <v>BLUE</v>
      </c>
      <c r="G6906" s="20" t="str">
        <f>IFERROR(__xludf.DUMMYFUNCTION("""COMPUTED_VALUE"""),"Uncle Sams Cider (04/04/2023)")</f>
        <v>Uncle Sams Cider (04/04/2023)</v>
      </c>
      <c r="H6906" s="19"/>
    </row>
    <row r="6907">
      <c r="A6907" s="9"/>
      <c r="B6907" s="15"/>
      <c r="C6907" s="9">
        <f>IFERROR(__xludf.DUMMYFUNCTION("""COMPUTED_VALUE"""),45071.8138234143)</f>
        <v>45071.81382</v>
      </c>
      <c r="D6907" s="15">
        <f>IFERROR(__xludf.DUMMYFUNCTION("""COMPUTED_VALUE"""),1.009)</f>
        <v>1.009</v>
      </c>
      <c r="E6907" s="16">
        <f>IFERROR(__xludf.DUMMYFUNCTION("""COMPUTED_VALUE"""),65.0)</f>
        <v>65</v>
      </c>
      <c r="F6907" s="19" t="str">
        <f>IFERROR(__xludf.DUMMYFUNCTION("""COMPUTED_VALUE"""),"BLUE")</f>
        <v>BLUE</v>
      </c>
      <c r="G6907" s="20" t="str">
        <f>IFERROR(__xludf.DUMMYFUNCTION("""COMPUTED_VALUE"""),"Uncle Sams Cider (04/04/2023)")</f>
        <v>Uncle Sams Cider (04/04/2023)</v>
      </c>
      <c r="H6907" s="19"/>
    </row>
    <row r="6908">
      <c r="A6908" s="9"/>
      <c r="B6908" s="15"/>
      <c r="C6908" s="9">
        <f>IFERROR(__xludf.DUMMYFUNCTION("""COMPUTED_VALUE"""),45071.8034027777)</f>
        <v>45071.8034</v>
      </c>
      <c r="D6908" s="15">
        <f>IFERROR(__xludf.DUMMYFUNCTION("""COMPUTED_VALUE"""),1.01)</f>
        <v>1.01</v>
      </c>
      <c r="E6908" s="16">
        <f>IFERROR(__xludf.DUMMYFUNCTION("""COMPUTED_VALUE"""),65.0)</f>
        <v>65</v>
      </c>
      <c r="F6908" s="19" t="str">
        <f>IFERROR(__xludf.DUMMYFUNCTION("""COMPUTED_VALUE"""),"BLUE")</f>
        <v>BLUE</v>
      </c>
      <c r="G6908" s="20" t="str">
        <f>IFERROR(__xludf.DUMMYFUNCTION("""COMPUTED_VALUE"""),"Uncle Sams Cider (04/04/2023)")</f>
        <v>Uncle Sams Cider (04/04/2023)</v>
      </c>
      <c r="H6908" s="19"/>
    </row>
    <row r="6909">
      <c r="A6909" s="9"/>
      <c r="B6909" s="15"/>
      <c r="C6909" s="9">
        <f>IFERROR(__xludf.DUMMYFUNCTION("""COMPUTED_VALUE"""),45071.7929806249)</f>
        <v>45071.79298</v>
      </c>
      <c r="D6909" s="15">
        <f>IFERROR(__xludf.DUMMYFUNCTION("""COMPUTED_VALUE"""),1.009)</f>
        <v>1.009</v>
      </c>
      <c r="E6909" s="16">
        <f>IFERROR(__xludf.DUMMYFUNCTION("""COMPUTED_VALUE"""),65.0)</f>
        <v>65</v>
      </c>
      <c r="F6909" s="19" t="str">
        <f>IFERROR(__xludf.DUMMYFUNCTION("""COMPUTED_VALUE"""),"BLUE")</f>
        <v>BLUE</v>
      </c>
      <c r="G6909" s="20" t="str">
        <f>IFERROR(__xludf.DUMMYFUNCTION("""COMPUTED_VALUE"""),"Uncle Sams Cider (04/04/2023)")</f>
        <v>Uncle Sams Cider (04/04/2023)</v>
      </c>
      <c r="H6909" s="19"/>
    </row>
    <row r="6910">
      <c r="A6910" s="9"/>
      <c r="B6910" s="15"/>
      <c r="C6910" s="9">
        <f>IFERROR(__xludf.DUMMYFUNCTION("""COMPUTED_VALUE"""),45071.7825601273)</f>
        <v>45071.78256</v>
      </c>
      <c r="D6910" s="15">
        <f>IFERROR(__xludf.DUMMYFUNCTION("""COMPUTED_VALUE"""),1.009)</f>
        <v>1.009</v>
      </c>
      <c r="E6910" s="16">
        <f>IFERROR(__xludf.DUMMYFUNCTION("""COMPUTED_VALUE"""),65.0)</f>
        <v>65</v>
      </c>
      <c r="F6910" s="19" t="str">
        <f>IFERROR(__xludf.DUMMYFUNCTION("""COMPUTED_VALUE"""),"BLUE")</f>
        <v>BLUE</v>
      </c>
      <c r="G6910" s="20" t="str">
        <f>IFERROR(__xludf.DUMMYFUNCTION("""COMPUTED_VALUE"""),"Uncle Sams Cider (04/04/2023)")</f>
        <v>Uncle Sams Cider (04/04/2023)</v>
      </c>
      <c r="H6910" s="19"/>
    </row>
    <row r="6911">
      <c r="A6911" s="9"/>
      <c r="B6911" s="15"/>
      <c r="C6911" s="9">
        <f>IFERROR(__xludf.DUMMYFUNCTION("""COMPUTED_VALUE"""),45071.7721390856)</f>
        <v>45071.77214</v>
      </c>
      <c r="D6911" s="15">
        <f>IFERROR(__xludf.DUMMYFUNCTION("""COMPUTED_VALUE"""),1.01)</f>
        <v>1.01</v>
      </c>
      <c r="E6911" s="16">
        <f>IFERROR(__xludf.DUMMYFUNCTION("""COMPUTED_VALUE"""),65.0)</f>
        <v>65</v>
      </c>
      <c r="F6911" s="19" t="str">
        <f>IFERROR(__xludf.DUMMYFUNCTION("""COMPUTED_VALUE"""),"BLUE")</f>
        <v>BLUE</v>
      </c>
      <c r="G6911" s="20" t="str">
        <f>IFERROR(__xludf.DUMMYFUNCTION("""COMPUTED_VALUE"""),"Uncle Sams Cider (04/04/2023)")</f>
        <v>Uncle Sams Cider (04/04/2023)</v>
      </c>
      <c r="H6911" s="19"/>
    </row>
    <row r="6912">
      <c r="A6912" s="9"/>
      <c r="B6912" s="15"/>
      <c r="C6912" s="9">
        <f>IFERROR(__xludf.DUMMYFUNCTION("""COMPUTED_VALUE"""),45071.7617059838)</f>
        <v>45071.76171</v>
      </c>
      <c r="D6912" s="15">
        <f>IFERROR(__xludf.DUMMYFUNCTION("""COMPUTED_VALUE"""),1.01)</f>
        <v>1.01</v>
      </c>
      <c r="E6912" s="16">
        <f>IFERROR(__xludf.DUMMYFUNCTION("""COMPUTED_VALUE"""),65.0)</f>
        <v>65</v>
      </c>
      <c r="F6912" s="19" t="str">
        <f>IFERROR(__xludf.DUMMYFUNCTION("""COMPUTED_VALUE"""),"BLUE")</f>
        <v>BLUE</v>
      </c>
      <c r="G6912" s="20" t="str">
        <f>IFERROR(__xludf.DUMMYFUNCTION("""COMPUTED_VALUE"""),"Uncle Sams Cider (04/04/2023)")</f>
        <v>Uncle Sams Cider (04/04/2023)</v>
      </c>
      <c r="H6912" s="19"/>
    </row>
    <row r="6913">
      <c r="A6913" s="9"/>
      <c r="B6913" s="15"/>
      <c r="C6913" s="9">
        <f>IFERROR(__xludf.DUMMYFUNCTION("""COMPUTED_VALUE"""),45071.7512853356)</f>
        <v>45071.75129</v>
      </c>
      <c r="D6913" s="15">
        <f>IFERROR(__xludf.DUMMYFUNCTION("""COMPUTED_VALUE"""),1.01)</f>
        <v>1.01</v>
      </c>
      <c r="E6913" s="16">
        <f>IFERROR(__xludf.DUMMYFUNCTION("""COMPUTED_VALUE"""),65.0)</f>
        <v>65</v>
      </c>
      <c r="F6913" s="19" t="str">
        <f>IFERROR(__xludf.DUMMYFUNCTION("""COMPUTED_VALUE"""),"BLUE")</f>
        <v>BLUE</v>
      </c>
      <c r="G6913" s="20" t="str">
        <f>IFERROR(__xludf.DUMMYFUNCTION("""COMPUTED_VALUE"""),"Uncle Sams Cider (04/04/2023)")</f>
        <v>Uncle Sams Cider (04/04/2023)</v>
      </c>
      <c r="H6913" s="19"/>
    </row>
    <row r="6914">
      <c r="A6914" s="9"/>
      <c r="B6914" s="15"/>
      <c r="C6914" s="9">
        <f>IFERROR(__xludf.DUMMYFUNCTION("""COMPUTED_VALUE"""),45071.7408613541)</f>
        <v>45071.74086</v>
      </c>
      <c r="D6914" s="15">
        <f>IFERROR(__xludf.DUMMYFUNCTION("""COMPUTED_VALUE"""),1.009)</f>
        <v>1.009</v>
      </c>
      <c r="E6914" s="16">
        <f>IFERROR(__xludf.DUMMYFUNCTION("""COMPUTED_VALUE"""),65.0)</f>
        <v>65</v>
      </c>
      <c r="F6914" s="19" t="str">
        <f>IFERROR(__xludf.DUMMYFUNCTION("""COMPUTED_VALUE"""),"BLUE")</f>
        <v>BLUE</v>
      </c>
      <c r="G6914" s="20" t="str">
        <f>IFERROR(__xludf.DUMMYFUNCTION("""COMPUTED_VALUE"""),"Uncle Sams Cider (04/04/2023)")</f>
        <v>Uncle Sams Cider (04/04/2023)</v>
      </c>
      <c r="H6914" s="19"/>
    </row>
    <row r="6915">
      <c r="A6915" s="9"/>
      <c r="B6915" s="15"/>
      <c r="C6915" s="9">
        <f>IFERROR(__xludf.DUMMYFUNCTION("""COMPUTED_VALUE"""),45071.7304392939)</f>
        <v>45071.73044</v>
      </c>
      <c r="D6915" s="15">
        <f>IFERROR(__xludf.DUMMYFUNCTION("""COMPUTED_VALUE"""),1.01)</f>
        <v>1.01</v>
      </c>
      <c r="E6915" s="16">
        <f>IFERROR(__xludf.DUMMYFUNCTION("""COMPUTED_VALUE"""),65.0)</f>
        <v>65</v>
      </c>
      <c r="F6915" s="19" t="str">
        <f>IFERROR(__xludf.DUMMYFUNCTION("""COMPUTED_VALUE"""),"BLUE")</f>
        <v>BLUE</v>
      </c>
      <c r="G6915" s="20" t="str">
        <f>IFERROR(__xludf.DUMMYFUNCTION("""COMPUTED_VALUE"""),"Uncle Sams Cider (04/04/2023)")</f>
        <v>Uncle Sams Cider (04/04/2023)</v>
      </c>
      <c r="H6915" s="19"/>
    </row>
    <row r="6916">
      <c r="A6916" s="9"/>
      <c r="B6916" s="15"/>
      <c r="C6916" s="9">
        <f>IFERROR(__xludf.DUMMYFUNCTION("""COMPUTED_VALUE"""),45071.7200178356)</f>
        <v>45071.72002</v>
      </c>
      <c r="D6916" s="15">
        <f>IFERROR(__xludf.DUMMYFUNCTION("""COMPUTED_VALUE"""),1.01)</f>
        <v>1.01</v>
      </c>
      <c r="E6916" s="16">
        <f>IFERROR(__xludf.DUMMYFUNCTION("""COMPUTED_VALUE"""),65.0)</f>
        <v>65</v>
      </c>
      <c r="F6916" s="19" t="str">
        <f>IFERROR(__xludf.DUMMYFUNCTION("""COMPUTED_VALUE"""),"BLUE")</f>
        <v>BLUE</v>
      </c>
      <c r="G6916" s="20" t="str">
        <f>IFERROR(__xludf.DUMMYFUNCTION("""COMPUTED_VALUE"""),"Uncle Sams Cider (04/04/2023)")</f>
        <v>Uncle Sams Cider (04/04/2023)</v>
      </c>
      <c r="H6916" s="19"/>
    </row>
    <row r="6917">
      <c r="A6917" s="9"/>
      <c r="B6917" s="15"/>
      <c r="C6917" s="9">
        <f>IFERROR(__xludf.DUMMYFUNCTION("""COMPUTED_VALUE"""),45071.7095961574)</f>
        <v>45071.7096</v>
      </c>
      <c r="D6917" s="15">
        <f>IFERROR(__xludf.DUMMYFUNCTION("""COMPUTED_VALUE"""),1.01)</f>
        <v>1.01</v>
      </c>
      <c r="E6917" s="16">
        <f>IFERROR(__xludf.DUMMYFUNCTION("""COMPUTED_VALUE"""),65.0)</f>
        <v>65</v>
      </c>
      <c r="F6917" s="19" t="str">
        <f>IFERROR(__xludf.DUMMYFUNCTION("""COMPUTED_VALUE"""),"BLUE")</f>
        <v>BLUE</v>
      </c>
      <c r="G6917" s="20" t="str">
        <f>IFERROR(__xludf.DUMMYFUNCTION("""COMPUTED_VALUE"""),"Uncle Sams Cider (04/04/2023)")</f>
        <v>Uncle Sams Cider (04/04/2023)</v>
      </c>
      <c r="H6917" s="19"/>
    </row>
    <row r="6918">
      <c r="A6918" s="9"/>
      <c r="B6918" s="15"/>
      <c r="C6918" s="9">
        <f>IFERROR(__xludf.DUMMYFUNCTION("""COMPUTED_VALUE"""),45071.6991763426)</f>
        <v>45071.69918</v>
      </c>
      <c r="D6918" s="15">
        <f>IFERROR(__xludf.DUMMYFUNCTION("""COMPUTED_VALUE"""),1.01)</f>
        <v>1.01</v>
      </c>
      <c r="E6918" s="16">
        <f>IFERROR(__xludf.DUMMYFUNCTION("""COMPUTED_VALUE"""),65.0)</f>
        <v>65</v>
      </c>
      <c r="F6918" s="19" t="str">
        <f>IFERROR(__xludf.DUMMYFUNCTION("""COMPUTED_VALUE"""),"BLUE")</f>
        <v>BLUE</v>
      </c>
      <c r="G6918" s="20" t="str">
        <f>IFERROR(__xludf.DUMMYFUNCTION("""COMPUTED_VALUE"""),"Uncle Sams Cider (04/04/2023)")</f>
        <v>Uncle Sams Cider (04/04/2023)</v>
      </c>
      <c r="H6918" s="19"/>
    </row>
    <row r="6919">
      <c r="A6919" s="9"/>
      <c r="B6919" s="15"/>
      <c r="C6919" s="9">
        <f>IFERROR(__xludf.DUMMYFUNCTION("""COMPUTED_VALUE"""),45071.6887426157)</f>
        <v>45071.68874</v>
      </c>
      <c r="D6919" s="15">
        <f>IFERROR(__xludf.DUMMYFUNCTION("""COMPUTED_VALUE"""),1.01)</f>
        <v>1.01</v>
      </c>
      <c r="E6919" s="16">
        <f>IFERROR(__xludf.DUMMYFUNCTION("""COMPUTED_VALUE"""),65.0)</f>
        <v>65</v>
      </c>
      <c r="F6919" s="19" t="str">
        <f>IFERROR(__xludf.DUMMYFUNCTION("""COMPUTED_VALUE"""),"BLUE")</f>
        <v>BLUE</v>
      </c>
      <c r="G6919" s="20" t="str">
        <f>IFERROR(__xludf.DUMMYFUNCTION("""COMPUTED_VALUE"""),"Uncle Sams Cider (04/04/2023)")</f>
        <v>Uncle Sams Cider (04/04/2023)</v>
      </c>
      <c r="H6919" s="19"/>
    </row>
    <row r="6920">
      <c r="A6920" s="9"/>
      <c r="B6920" s="15"/>
      <c r="C6920" s="9">
        <f>IFERROR(__xludf.DUMMYFUNCTION("""COMPUTED_VALUE"""),45071.6783108564)</f>
        <v>45071.67831</v>
      </c>
      <c r="D6920" s="15">
        <f>IFERROR(__xludf.DUMMYFUNCTION("""COMPUTED_VALUE"""),1.01)</f>
        <v>1.01</v>
      </c>
      <c r="E6920" s="16">
        <f>IFERROR(__xludf.DUMMYFUNCTION("""COMPUTED_VALUE"""),65.0)</f>
        <v>65</v>
      </c>
      <c r="F6920" s="19" t="str">
        <f>IFERROR(__xludf.DUMMYFUNCTION("""COMPUTED_VALUE"""),"BLUE")</f>
        <v>BLUE</v>
      </c>
      <c r="G6920" s="20" t="str">
        <f>IFERROR(__xludf.DUMMYFUNCTION("""COMPUTED_VALUE"""),"Uncle Sams Cider (04/04/2023)")</f>
        <v>Uncle Sams Cider (04/04/2023)</v>
      </c>
      <c r="H6920" s="19"/>
    </row>
    <row r="6921">
      <c r="A6921" s="9"/>
      <c r="B6921" s="15"/>
      <c r="C6921" s="9">
        <f>IFERROR(__xludf.DUMMYFUNCTION("""COMPUTED_VALUE"""),45071.6678650926)</f>
        <v>45071.66787</v>
      </c>
      <c r="D6921" s="15">
        <f>IFERROR(__xludf.DUMMYFUNCTION("""COMPUTED_VALUE"""),1.01)</f>
        <v>1.01</v>
      </c>
      <c r="E6921" s="16">
        <f>IFERROR(__xludf.DUMMYFUNCTION("""COMPUTED_VALUE"""),65.0)</f>
        <v>65</v>
      </c>
      <c r="F6921" s="19" t="str">
        <f>IFERROR(__xludf.DUMMYFUNCTION("""COMPUTED_VALUE"""),"BLUE")</f>
        <v>BLUE</v>
      </c>
      <c r="G6921" s="20" t="str">
        <f>IFERROR(__xludf.DUMMYFUNCTION("""COMPUTED_VALUE"""),"Uncle Sams Cider (04/04/2023)")</f>
        <v>Uncle Sams Cider (04/04/2023)</v>
      </c>
      <c r="H6921" s="19"/>
    </row>
    <row r="6922">
      <c r="A6922" s="9"/>
      <c r="B6922" s="15"/>
      <c r="C6922" s="9">
        <f>IFERROR(__xludf.DUMMYFUNCTION("""COMPUTED_VALUE"""),45071.6574427893)</f>
        <v>45071.65744</v>
      </c>
      <c r="D6922" s="15">
        <f>IFERROR(__xludf.DUMMYFUNCTION("""COMPUTED_VALUE"""),1.01)</f>
        <v>1.01</v>
      </c>
      <c r="E6922" s="16">
        <f>IFERROR(__xludf.DUMMYFUNCTION("""COMPUTED_VALUE"""),65.0)</f>
        <v>65</v>
      </c>
      <c r="F6922" s="19" t="str">
        <f>IFERROR(__xludf.DUMMYFUNCTION("""COMPUTED_VALUE"""),"BLUE")</f>
        <v>BLUE</v>
      </c>
      <c r="G6922" s="20" t="str">
        <f>IFERROR(__xludf.DUMMYFUNCTION("""COMPUTED_VALUE"""),"Uncle Sams Cider (04/04/2023)")</f>
        <v>Uncle Sams Cider (04/04/2023)</v>
      </c>
      <c r="H6922" s="19"/>
    </row>
    <row r="6923">
      <c r="A6923" s="9"/>
      <c r="B6923" s="15"/>
      <c r="C6923" s="9">
        <f>IFERROR(__xludf.DUMMYFUNCTION("""COMPUTED_VALUE"""),45071.6470214699)</f>
        <v>45071.64702</v>
      </c>
      <c r="D6923" s="15">
        <f>IFERROR(__xludf.DUMMYFUNCTION("""COMPUTED_VALUE"""),1.01)</f>
        <v>1.01</v>
      </c>
      <c r="E6923" s="16">
        <f>IFERROR(__xludf.DUMMYFUNCTION("""COMPUTED_VALUE"""),65.0)</f>
        <v>65</v>
      </c>
      <c r="F6923" s="19" t="str">
        <f>IFERROR(__xludf.DUMMYFUNCTION("""COMPUTED_VALUE"""),"BLUE")</f>
        <v>BLUE</v>
      </c>
      <c r="G6923" s="20" t="str">
        <f>IFERROR(__xludf.DUMMYFUNCTION("""COMPUTED_VALUE"""),"Uncle Sams Cider (04/04/2023)")</f>
        <v>Uncle Sams Cider (04/04/2023)</v>
      </c>
      <c r="H6923" s="19"/>
    </row>
    <row r="6924">
      <c r="A6924" s="9"/>
      <c r="B6924" s="15"/>
      <c r="C6924" s="9">
        <f>IFERROR(__xludf.DUMMYFUNCTION("""COMPUTED_VALUE"""),45071.6365984722)</f>
        <v>45071.6366</v>
      </c>
      <c r="D6924" s="15">
        <f>IFERROR(__xludf.DUMMYFUNCTION("""COMPUTED_VALUE"""),1.01)</f>
        <v>1.01</v>
      </c>
      <c r="E6924" s="16">
        <f>IFERROR(__xludf.DUMMYFUNCTION("""COMPUTED_VALUE"""),65.0)</f>
        <v>65</v>
      </c>
      <c r="F6924" s="19" t="str">
        <f>IFERROR(__xludf.DUMMYFUNCTION("""COMPUTED_VALUE"""),"BLUE")</f>
        <v>BLUE</v>
      </c>
      <c r="G6924" s="20" t="str">
        <f>IFERROR(__xludf.DUMMYFUNCTION("""COMPUTED_VALUE"""),"Uncle Sams Cider (04/04/2023)")</f>
        <v>Uncle Sams Cider (04/04/2023)</v>
      </c>
      <c r="H6924" s="19"/>
    </row>
    <row r="6925">
      <c r="A6925" s="9"/>
      <c r="B6925" s="15"/>
      <c r="C6925" s="9">
        <f>IFERROR(__xludf.DUMMYFUNCTION("""COMPUTED_VALUE"""),45071.6261771759)</f>
        <v>45071.62618</v>
      </c>
      <c r="D6925" s="15">
        <f>IFERROR(__xludf.DUMMYFUNCTION("""COMPUTED_VALUE"""),1.01)</f>
        <v>1.01</v>
      </c>
      <c r="E6925" s="16">
        <f>IFERROR(__xludf.DUMMYFUNCTION("""COMPUTED_VALUE"""),65.0)</f>
        <v>65</v>
      </c>
      <c r="F6925" s="19" t="str">
        <f>IFERROR(__xludf.DUMMYFUNCTION("""COMPUTED_VALUE"""),"BLUE")</f>
        <v>BLUE</v>
      </c>
      <c r="G6925" s="20" t="str">
        <f>IFERROR(__xludf.DUMMYFUNCTION("""COMPUTED_VALUE"""),"Uncle Sams Cider (04/04/2023)")</f>
        <v>Uncle Sams Cider (04/04/2023)</v>
      </c>
      <c r="H6925" s="19"/>
    </row>
    <row r="6926">
      <c r="A6926" s="9"/>
      <c r="B6926" s="15"/>
      <c r="C6926" s="9">
        <f>IFERROR(__xludf.DUMMYFUNCTION("""COMPUTED_VALUE"""),45071.615755324)</f>
        <v>45071.61576</v>
      </c>
      <c r="D6926" s="15">
        <f>IFERROR(__xludf.DUMMYFUNCTION("""COMPUTED_VALUE"""),1.01)</f>
        <v>1.01</v>
      </c>
      <c r="E6926" s="16">
        <f>IFERROR(__xludf.DUMMYFUNCTION("""COMPUTED_VALUE"""),65.0)</f>
        <v>65</v>
      </c>
      <c r="F6926" s="19" t="str">
        <f>IFERROR(__xludf.DUMMYFUNCTION("""COMPUTED_VALUE"""),"BLUE")</f>
        <v>BLUE</v>
      </c>
      <c r="G6926" s="20" t="str">
        <f>IFERROR(__xludf.DUMMYFUNCTION("""COMPUTED_VALUE"""),"Uncle Sams Cider (04/04/2023)")</f>
        <v>Uncle Sams Cider (04/04/2023)</v>
      </c>
      <c r="H6926" s="19"/>
    </row>
    <row r="6927">
      <c r="A6927" s="9"/>
      <c r="B6927" s="15"/>
      <c r="C6927" s="9">
        <f>IFERROR(__xludf.DUMMYFUNCTION("""COMPUTED_VALUE"""),45071.6053336226)</f>
        <v>45071.60533</v>
      </c>
      <c r="D6927" s="15">
        <f>IFERROR(__xludf.DUMMYFUNCTION("""COMPUTED_VALUE"""),1.01)</f>
        <v>1.01</v>
      </c>
      <c r="E6927" s="16">
        <f>IFERROR(__xludf.DUMMYFUNCTION("""COMPUTED_VALUE"""),65.0)</f>
        <v>65</v>
      </c>
      <c r="F6927" s="19" t="str">
        <f>IFERROR(__xludf.DUMMYFUNCTION("""COMPUTED_VALUE"""),"BLUE")</f>
        <v>BLUE</v>
      </c>
      <c r="G6927" s="20" t="str">
        <f>IFERROR(__xludf.DUMMYFUNCTION("""COMPUTED_VALUE"""),"Uncle Sams Cider (04/04/2023)")</f>
        <v>Uncle Sams Cider (04/04/2023)</v>
      </c>
      <c r="H6927" s="19"/>
    </row>
    <row r="6928">
      <c r="A6928" s="9"/>
      <c r="B6928" s="15"/>
      <c r="C6928" s="9">
        <f>IFERROR(__xludf.DUMMYFUNCTION("""COMPUTED_VALUE"""),45071.5949119791)</f>
        <v>45071.59491</v>
      </c>
      <c r="D6928" s="15">
        <f>IFERROR(__xludf.DUMMYFUNCTION("""COMPUTED_VALUE"""),1.01)</f>
        <v>1.01</v>
      </c>
      <c r="E6928" s="16">
        <f>IFERROR(__xludf.DUMMYFUNCTION("""COMPUTED_VALUE"""),65.0)</f>
        <v>65</v>
      </c>
      <c r="F6928" s="19" t="str">
        <f>IFERROR(__xludf.DUMMYFUNCTION("""COMPUTED_VALUE"""),"BLUE")</f>
        <v>BLUE</v>
      </c>
      <c r="G6928" s="20" t="str">
        <f>IFERROR(__xludf.DUMMYFUNCTION("""COMPUTED_VALUE"""),"Uncle Sams Cider (04/04/2023)")</f>
        <v>Uncle Sams Cider (04/04/2023)</v>
      </c>
      <c r="H6928" s="19"/>
    </row>
    <row r="6929">
      <c r="A6929" s="9"/>
      <c r="B6929" s="15"/>
      <c r="C6929" s="9">
        <f>IFERROR(__xludf.DUMMYFUNCTION("""COMPUTED_VALUE"""),45071.5844909375)</f>
        <v>45071.58449</v>
      </c>
      <c r="D6929" s="15">
        <f>IFERROR(__xludf.DUMMYFUNCTION("""COMPUTED_VALUE"""),1.01)</f>
        <v>1.01</v>
      </c>
      <c r="E6929" s="16">
        <f>IFERROR(__xludf.DUMMYFUNCTION("""COMPUTED_VALUE"""),65.0)</f>
        <v>65</v>
      </c>
      <c r="F6929" s="19" t="str">
        <f>IFERROR(__xludf.DUMMYFUNCTION("""COMPUTED_VALUE"""),"BLUE")</f>
        <v>BLUE</v>
      </c>
      <c r="G6929" s="20" t="str">
        <f>IFERROR(__xludf.DUMMYFUNCTION("""COMPUTED_VALUE"""),"Uncle Sams Cider (04/04/2023)")</f>
        <v>Uncle Sams Cider (04/04/2023)</v>
      </c>
      <c r="H6929" s="19"/>
    </row>
    <row r="6930">
      <c r="A6930" s="9"/>
      <c r="B6930" s="15"/>
      <c r="C6930" s="9">
        <f>IFERROR(__xludf.DUMMYFUNCTION("""COMPUTED_VALUE"""),45071.574070625)</f>
        <v>45071.57407</v>
      </c>
      <c r="D6930" s="15">
        <f>IFERROR(__xludf.DUMMYFUNCTION("""COMPUTED_VALUE"""),1.01)</f>
        <v>1.01</v>
      </c>
      <c r="E6930" s="16">
        <f>IFERROR(__xludf.DUMMYFUNCTION("""COMPUTED_VALUE"""),65.0)</f>
        <v>65</v>
      </c>
      <c r="F6930" s="19" t="str">
        <f>IFERROR(__xludf.DUMMYFUNCTION("""COMPUTED_VALUE"""),"BLUE")</f>
        <v>BLUE</v>
      </c>
      <c r="G6930" s="20" t="str">
        <f>IFERROR(__xludf.DUMMYFUNCTION("""COMPUTED_VALUE"""),"Uncle Sams Cider (04/04/2023)")</f>
        <v>Uncle Sams Cider (04/04/2023)</v>
      </c>
      <c r="H6930" s="19"/>
    </row>
    <row r="6931">
      <c r="A6931" s="9"/>
      <c r="B6931" s="15"/>
      <c r="C6931" s="9">
        <f>IFERROR(__xludf.DUMMYFUNCTION("""COMPUTED_VALUE"""),45071.5636487615)</f>
        <v>45071.56365</v>
      </c>
      <c r="D6931" s="15">
        <f>IFERROR(__xludf.DUMMYFUNCTION("""COMPUTED_VALUE"""),1.01)</f>
        <v>1.01</v>
      </c>
      <c r="E6931" s="16">
        <f>IFERROR(__xludf.DUMMYFUNCTION("""COMPUTED_VALUE"""),65.0)</f>
        <v>65</v>
      </c>
      <c r="F6931" s="19" t="str">
        <f>IFERROR(__xludf.DUMMYFUNCTION("""COMPUTED_VALUE"""),"BLUE")</f>
        <v>BLUE</v>
      </c>
      <c r="G6931" s="20" t="str">
        <f>IFERROR(__xludf.DUMMYFUNCTION("""COMPUTED_VALUE"""),"Uncle Sams Cider (04/04/2023)")</f>
        <v>Uncle Sams Cider (04/04/2023)</v>
      </c>
      <c r="H6931" s="19"/>
    </row>
    <row r="6932">
      <c r="A6932" s="9"/>
      <c r="B6932" s="15"/>
      <c r="C6932" s="9">
        <f>IFERROR(__xludf.DUMMYFUNCTION("""COMPUTED_VALUE"""),45071.5532298495)</f>
        <v>45071.55323</v>
      </c>
      <c r="D6932" s="15">
        <f>IFERROR(__xludf.DUMMYFUNCTION("""COMPUTED_VALUE"""),1.01)</f>
        <v>1.01</v>
      </c>
      <c r="E6932" s="16">
        <f>IFERROR(__xludf.DUMMYFUNCTION("""COMPUTED_VALUE"""),65.0)</f>
        <v>65</v>
      </c>
      <c r="F6932" s="19" t="str">
        <f>IFERROR(__xludf.DUMMYFUNCTION("""COMPUTED_VALUE"""),"BLUE")</f>
        <v>BLUE</v>
      </c>
      <c r="G6932" s="20" t="str">
        <f>IFERROR(__xludf.DUMMYFUNCTION("""COMPUTED_VALUE"""),"Uncle Sams Cider (04/04/2023)")</f>
        <v>Uncle Sams Cider (04/04/2023)</v>
      </c>
      <c r="H6932" s="19"/>
    </row>
    <row r="6933">
      <c r="A6933" s="9"/>
      <c r="B6933" s="15"/>
      <c r="C6933" s="9">
        <f>IFERROR(__xludf.DUMMYFUNCTION("""COMPUTED_VALUE"""),45071.5428074768)</f>
        <v>45071.54281</v>
      </c>
      <c r="D6933" s="15">
        <f>IFERROR(__xludf.DUMMYFUNCTION("""COMPUTED_VALUE"""),1.01)</f>
        <v>1.01</v>
      </c>
      <c r="E6933" s="16">
        <f>IFERROR(__xludf.DUMMYFUNCTION("""COMPUTED_VALUE"""),65.0)</f>
        <v>65</v>
      </c>
      <c r="F6933" s="19" t="str">
        <f>IFERROR(__xludf.DUMMYFUNCTION("""COMPUTED_VALUE"""),"BLUE")</f>
        <v>BLUE</v>
      </c>
      <c r="G6933" s="20" t="str">
        <f>IFERROR(__xludf.DUMMYFUNCTION("""COMPUTED_VALUE"""),"Uncle Sams Cider (04/04/2023)")</f>
        <v>Uncle Sams Cider (04/04/2023)</v>
      </c>
      <c r="H6933" s="19"/>
    </row>
    <row r="6934">
      <c r="A6934" s="9"/>
      <c r="B6934" s="15"/>
      <c r="C6934" s="9">
        <f>IFERROR(__xludf.DUMMYFUNCTION("""COMPUTED_VALUE"""),45071.5323747338)</f>
        <v>45071.53237</v>
      </c>
      <c r="D6934" s="15">
        <f>IFERROR(__xludf.DUMMYFUNCTION("""COMPUTED_VALUE"""),1.009)</f>
        <v>1.009</v>
      </c>
      <c r="E6934" s="16">
        <f>IFERROR(__xludf.DUMMYFUNCTION("""COMPUTED_VALUE"""),65.0)</f>
        <v>65</v>
      </c>
      <c r="F6934" s="19" t="str">
        <f>IFERROR(__xludf.DUMMYFUNCTION("""COMPUTED_VALUE"""),"BLUE")</f>
        <v>BLUE</v>
      </c>
      <c r="G6934" s="20" t="str">
        <f>IFERROR(__xludf.DUMMYFUNCTION("""COMPUTED_VALUE"""),"Uncle Sams Cider (04/04/2023)")</f>
        <v>Uncle Sams Cider (04/04/2023)</v>
      </c>
      <c r="H6934" s="19"/>
    </row>
    <row r="6935">
      <c r="A6935" s="9"/>
      <c r="B6935" s="15"/>
      <c r="C6935" s="9">
        <f>IFERROR(__xludf.DUMMYFUNCTION("""COMPUTED_VALUE"""),45071.5219524305)</f>
        <v>45071.52195</v>
      </c>
      <c r="D6935" s="15">
        <f>IFERROR(__xludf.DUMMYFUNCTION("""COMPUTED_VALUE"""),1.009)</f>
        <v>1.009</v>
      </c>
      <c r="E6935" s="16">
        <f>IFERROR(__xludf.DUMMYFUNCTION("""COMPUTED_VALUE"""),65.0)</f>
        <v>65</v>
      </c>
      <c r="F6935" s="19" t="str">
        <f>IFERROR(__xludf.DUMMYFUNCTION("""COMPUTED_VALUE"""),"BLUE")</f>
        <v>BLUE</v>
      </c>
      <c r="G6935" s="20" t="str">
        <f>IFERROR(__xludf.DUMMYFUNCTION("""COMPUTED_VALUE"""),"Uncle Sams Cider (04/04/2023)")</f>
        <v>Uncle Sams Cider (04/04/2023)</v>
      </c>
      <c r="H6935" s="19"/>
    </row>
    <row r="6936">
      <c r="A6936" s="9"/>
      <c r="B6936" s="15"/>
      <c r="C6936" s="9">
        <f>IFERROR(__xludf.DUMMYFUNCTION("""COMPUTED_VALUE"""),45071.5115322685)</f>
        <v>45071.51153</v>
      </c>
      <c r="D6936" s="15">
        <f>IFERROR(__xludf.DUMMYFUNCTION("""COMPUTED_VALUE"""),1.01)</f>
        <v>1.01</v>
      </c>
      <c r="E6936" s="16">
        <f>IFERROR(__xludf.DUMMYFUNCTION("""COMPUTED_VALUE"""),65.0)</f>
        <v>65</v>
      </c>
      <c r="F6936" s="19" t="str">
        <f>IFERROR(__xludf.DUMMYFUNCTION("""COMPUTED_VALUE"""),"BLUE")</f>
        <v>BLUE</v>
      </c>
      <c r="G6936" s="20" t="str">
        <f>IFERROR(__xludf.DUMMYFUNCTION("""COMPUTED_VALUE"""),"Uncle Sams Cider (04/04/2023)")</f>
        <v>Uncle Sams Cider (04/04/2023)</v>
      </c>
      <c r="H6936" s="19"/>
    </row>
    <row r="6937">
      <c r="A6937" s="9"/>
      <c r="B6937" s="15"/>
      <c r="C6937" s="9">
        <f>IFERROR(__xludf.DUMMYFUNCTION("""COMPUTED_VALUE"""),45071.5011110185)</f>
        <v>45071.50111</v>
      </c>
      <c r="D6937" s="15">
        <f>IFERROR(__xludf.DUMMYFUNCTION("""COMPUTED_VALUE"""),1.01)</f>
        <v>1.01</v>
      </c>
      <c r="E6937" s="16">
        <f>IFERROR(__xludf.DUMMYFUNCTION("""COMPUTED_VALUE"""),65.0)</f>
        <v>65</v>
      </c>
      <c r="F6937" s="19" t="str">
        <f>IFERROR(__xludf.DUMMYFUNCTION("""COMPUTED_VALUE"""),"BLUE")</f>
        <v>BLUE</v>
      </c>
      <c r="G6937" s="20" t="str">
        <f>IFERROR(__xludf.DUMMYFUNCTION("""COMPUTED_VALUE"""),"Uncle Sams Cider (04/04/2023)")</f>
        <v>Uncle Sams Cider (04/04/2023)</v>
      </c>
      <c r="H6937" s="19"/>
    </row>
    <row r="6938">
      <c r="A6938" s="9"/>
      <c r="B6938" s="15"/>
      <c r="C6938" s="9">
        <f>IFERROR(__xludf.DUMMYFUNCTION("""COMPUTED_VALUE"""),45071.490690243)</f>
        <v>45071.49069</v>
      </c>
      <c r="D6938" s="15">
        <f>IFERROR(__xludf.DUMMYFUNCTION("""COMPUTED_VALUE"""),1.01)</f>
        <v>1.01</v>
      </c>
      <c r="E6938" s="16">
        <f>IFERROR(__xludf.DUMMYFUNCTION("""COMPUTED_VALUE"""),65.0)</f>
        <v>65</v>
      </c>
      <c r="F6938" s="19" t="str">
        <f>IFERROR(__xludf.DUMMYFUNCTION("""COMPUTED_VALUE"""),"BLUE")</f>
        <v>BLUE</v>
      </c>
      <c r="G6938" s="20" t="str">
        <f>IFERROR(__xludf.DUMMYFUNCTION("""COMPUTED_VALUE"""),"Uncle Sams Cider (04/04/2023)")</f>
        <v>Uncle Sams Cider (04/04/2023)</v>
      </c>
      <c r="H6938" s="19"/>
    </row>
    <row r="6939">
      <c r="A6939" s="9"/>
      <c r="B6939" s="15"/>
      <c r="C6939" s="9">
        <f>IFERROR(__xludf.DUMMYFUNCTION("""COMPUTED_VALUE"""),45071.480269074)</f>
        <v>45071.48027</v>
      </c>
      <c r="D6939" s="15">
        <f>IFERROR(__xludf.DUMMYFUNCTION("""COMPUTED_VALUE"""),1.01)</f>
        <v>1.01</v>
      </c>
      <c r="E6939" s="16">
        <f>IFERROR(__xludf.DUMMYFUNCTION("""COMPUTED_VALUE"""),65.0)</f>
        <v>65</v>
      </c>
      <c r="F6939" s="19" t="str">
        <f>IFERROR(__xludf.DUMMYFUNCTION("""COMPUTED_VALUE"""),"BLUE")</f>
        <v>BLUE</v>
      </c>
      <c r="G6939" s="20" t="str">
        <f>IFERROR(__xludf.DUMMYFUNCTION("""COMPUTED_VALUE"""),"Uncle Sams Cider (04/04/2023)")</f>
        <v>Uncle Sams Cider (04/04/2023)</v>
      </c>
      <c r="H6939" s="19"/>
    </row>
    <row r="6940">
      <c r="A6940" s="9"/>
      <c r="B6940" s="15"/>
      <c r="C6940" s="9">
        <f>IFERROR(__xludf.DUMMYFUNCTION("""COMPUTED_VALUE"""),45071.469847662)</f>
        <v>45071.46985</v>
      </c>
      <c r="D6940" s="15">
        <f>IFERROR(__xludf.DUMMYFUNCTION("""COMPUTED_VALUE"""),1.01)</f>
        <v>1.01</v>
      </c>
      <c r="E6940" s="16">
        <f>IFERROR(__xludf.DUMMYFUNCTION("""COMPUTED_VALUE"""),65.0)</f>
        <v>65</v>
      </c>
      <c r="F6940" s="19" t="str">
        <f>IFERROR(__xludf.DUMMYFUNCTION("""COMPUTED_VALUE"""),"BLUE")</f>
        <v>BLUE</v>
      </c>
      <c r="G6940" s="20" t="str">
        <f>IFERROR(__xludf.DUMMYFUNCTION("""COMPUTED_VALUE"""),"Uncle Sams Cider (04/04/2023)")</f>
        <v>Uncle Sams Cider (04/04/2023)</v>
      </c>
      <c r="H6940" s="19"/>
    </row>
    <row r="6941">
      <c r="A6941" s="9"/>
      <c r="B6941" s="15"/>
      <c r="C6941" s="9">
        <f>IFERROR(__xludf.DUMMYFUNCTION("""COMPUTED_VALUE"""),45071.4594269791)</f>
        <v>45071.45943</v>
      </c>
      <c r="D6941" s="15">
        <f>IFERROR(__xludf.DUMMYFUNCTION("""COMPUTED_VALUE"""),1.01)</f>
        <v>1.01</v>
      </c>
      <c r="E6941" s="16">
        <f>IFERROR(__xludf.DUMMYFUNCTION("""COMPUTED_VALUE"""),65.0)</f>
        <v>65</v>
      </c>
      <c r="F6941" s="19" t="str">
        <f>IFERROR(__xludf.DUMMYFUNCTION("""COMPUTED_VALUE"""),"BLUE")</f>
        <v>BLUE</v>
      </c>
      <c r="G6941" s="20" t="str">
        <f>IFERROR(__xludf.DUMMYFUNCTION("""COMPUTED_VALUE"""),"Uncle Sams Cider (04/04/2023)")</f>
        <v>Uncle Sams Cider (04/04/2023)</v>
      </c>
      <c r="H6941" s="19"/>
    </row>
    <row r="6942">
      <c r="A6942" s="9"/>
      <c r="B6942" s="15"/>
      <c r="C6942" s="9">
        <f>IFERROR(__xludf.DUMMYFUNCTION("""COMPUTED_VALUE"""),45071.4490055208)</f>
        <v>45071.44901</v>
      </c>
      <c r="D6942" s="15">
        <f>IFERROR(__xludf.DUMMYFUNCTION("""COMPUTED_VALUE"""),1.009)</f>
        <v>1.009</v>
      </c>
      <c r="E6942" s="16">
        <f>IFERROR(__xludf.DUMMYFUNCTION("""COMPUTED_VALUE"""),65.0)</f>
        <v>65</v>
      </c>
      <c r="F6942" s="19" t="str">
        <f>IFERROR(__xludf.DUMMYFUNCTION("""COMPUTED_VALUE"""),"BLUE")</f>
        <v>BLUE</v>
      </c>
      <c r="G6942" s="20" t="str">
        <f>IFERROR(__xludf.DUMMYFUNCTION("""COMPUTED_VALUE"""),"Uncle Sams Cider (04/04/2023)")</f>
        <v>Uncle Sams Cider (04/04/2023)</v>
      </c>
      <c r="H6942" s="19"/>
    </row>
    <row r="6943">
      <c r="A6943" s="9"/>
      <c r="B6943" s="15"/>
      <c r="C6943" s="9">
        <f>IFERROR(__xludf.DUMMYFUNCTION("""COMPUTED_VALUE"""),45071.438583287)</f>
        <v>45071.43858</v>
      </c>
      <c r="D6943" s="15">
        <f>IFERROR(__xludf.DUMMYFUNCTION("""COMPUTED_VALUE"""),1.01)</f>
        <v>1.01</v>
      </c>
      <c r="E6943" s="16">
        <f>IFERROR(__xludf.DUMMYFUNCTION("""COMPUTED_VALUE"""),65.0)</f>
        <v>65</v>
      </c>
      <c r="F6943" s="19" t="str">
        <f>IFERROR(__xludf.DUMMYFUNCTION("""COMPUTED_VALUE"""),"BLUE")</f>
        <v>BLUE</v>
      </c>
      <c r="G6943" s="20" t="str">
        <f>IFERROR(__xludf.DUMMYFUNCTION("""COMPUTED_VALUE"""),"Uncle Sams Cider (04/04/2023)")</f>
        <v>Uncle Sams Cider (04/04/2023)</v>
      </c>
      <c r="H6943" s="19"/>
    </row>
    <row r="6944">
      <c r="A6944" s="9"/>
      <c r="B6944" s="15"/>
      <c r="C6944" s="9">
        <f>IFERROR(__xludf.DUMMYFUNCTION("""COMPUTED_VALUE"""),45071.4281626157)</f>
        <v>45071.42816</v>
      </c>
      <c r="D6944" s="15">
        <f>IFERROR(__xludf.DUMMYFUNCTION("""COMPUTED_VALUE"""),1.01)</f>
        <v>1.01</v>
      </c>
      <c r="E6944" s="16">
        <f>IFERROR(__xludf.DUMMYFUNCTION("""COMPUTED_VALUE"""),65.0)</f>
        <v>65</v>
      </c>
      <c r="F6944" s="19" t="str">
        <f>IFERROR(__xludf.DUMMYFUNCTION("""COMPUTED_VALUE"""),"BLUE")</f>
        <v>BLUE</v>
      </c>
      <c r="G6944" s="20" t="str">
        <f>IFERROR(__xludf.DUMMYFUNCTION("""COMPUTED_VALUE"""),"Uncle Sams Cider (04/04/2023)")</f>
        <v>Uncle Sams Cider (04/04/2023)</v>
      </c>
      <c r="H6944" s="19"/>
    </row>
    <row r="6945">
      <c r="A6945" s="9"/>
      <c r="B6945" s="15"/>
      <c r="C6945" s="9">
        <f>IFERROR(__xludf.DUMMYFUNCTION("""COMPUTED_VALUE"""),45071.4177416898)</f>
        <v>45071.41774</v>
      </c>
      <c r="D6945" s="15">
        <f>IFERROR(__xludf.DUMMYFUNCTION("""COMPUTED_VALUE"""),1.01)</f>
        <v>1.01</v>
      </c>
      <c r="E6945" s="16">
        <f>IFERROR(__xludf.DUMMYFUNCTION("""COMPUTED_VALUE"""),65.0)</f>
        <v>65</v>
      </c>
      <c r="F6945" s="19" t="str">
        <f>IFERROR(__xludf.DUMMYFUNCTION("""COMPUTED_VALUE"""),"BLUE")</f>
        <v>BLUE</v>
      </c>
      <c r="G6945" s="20" t="str">
        <f>IFERROR(__xludf.DUMMYFUNCTION("""COMPUTED_VALUE"""),"Uncle Sams Cider (04/04/2023)")</f>
        <v>Uncle Sams Cider (04/04/2023)</v>
      </c>
      <c r="H6945" s="19"/>
    </row>
    <row r="6946">
      <c r="A6946" s="9"/>
      <c r="B6946" s="15"/>
      <c r="C6946" s="9">
        <f>IFERROR(__xludf.DUMMYFUNCTION("""COMPUTED_VALUE"""),45071.4073209606)</f>
        <v>45071.40732</v>
      </c>
      <c r="D6946" s="15">
        <f>IFERROR(__xludf.DUMMYFUNCTION("""COMPUTED_VALUE"""),1.01)</f>
        <v>1.01</v>
      </c>
      <c r="E6946" s="16">
        <f>IFERROR(__xludf.DUMMYFUNCTION("""COMPUTED_VALUE"""),65.0)</f>
        <v>65</v>
      </c>
      <c r="F6946" s="19" t="str">
        <f>IFERROR(__xludf.DUMMYFUNCTION("""COMPUTED_VALUE"""),"BLUE")</f>
        <v>BLUE</v>
      </c>
      <c r="G6946" s="20" t="str">
        <f>IFERROR(__xludf.DUMMYFUNCTION("""COMPUTED_VALUE"""),"Uncle Sams Cider (04/04/2023)")</f>
        <v>Uncle Sams Cider (04/04/2023)</v>
      </c>
      <c r="H6946" s="19"/>
    </row>
    <row r="6947">
      <c r="A6947" s="9"/>
      <c r="B6947" s="15"/>
      <c r="C6947" s="9">
        <f>IFERROR(__xludf.DUMMYFUNCTION("""COMPUTED_VALUE"""),45071.3968640509)</f>
        <v>45071.39686</v>
      </c>
      <c r="D6947" s="15">
        <f>IFERROR(__xludf.DUMMYFUNCTION("""COMPUTED_VALUE"""),1.01)</f>
        <v>1.01</v>
      </c>
      <c r="E6947" s="16">
        <f>IFERROR(__xludf.DUMMYFUNCTION("""COMPUTED_VALUE"""),65.0)</f>
        <v>65</v>
      </c>
      <c r="F6947" s="19" t="str">
        <f>IFERROR(__xludf.DUMMYFUNCTION("""COMPUTED_VALUE"""),"BLUE")</f>
        <v>BLUE</v>
      </c>
      <c r="G6947" s="20" t="str">
        <f>IFERROR(__xludf.DUMMYFUNCTION("""COMPUTED_VALUE"""),"Uncle Sams Cider (04/04/2023)")</f>
        <v>Uncle Sams Cider (04/04/2023)</v>
      </c>
      <c r="H6947" s="19"/>
    </row>
    <row r="6948">
      <c r="A6948" s="9"/>
      <c r="B6948" s="15"/>
      <c r="C6948" s="9">
        <f>IFERROR(__xludf.DUMMYFUNCTION("""COMPUTED_VALUE"""),45071.3864448611)</f>
        <v>45071.38644</v>
      </c>
      <c r="D6948" s="15">
        <f>IFERROR(__xludf.DUMMYFUNCTION("""COMPUTED_VALUE"""),1.01)</f>
        <v>1.01</v>
      </c>
      <c r="E6948" s="16">
        <f>IFERROR(__xludf.DUMMYFUNCTION("""COMPUTED_VALUE"""),65.0)</f>
        <v>65</v>
      </c>
      <c r="F6948" s="19" t="str">
        <f>IFERROR(__xludf.DUMMYFUNCTION("""COMPUTED_VALUE"""),"BLUE")</f>
        <v>BLUE</v>
      </c>
      <c r="G6948" s="20" t="str">
        <f>IFERROR(__xludf.DUMMYFUNCTION("""COMPUTED_VALUE"""),"Uncle Sams Cider (04/04/2023)")</f>
        <v>Uncle Sams Cider (04/04/2023)</v>
      </c>
      <c r="H6948" s="19"/>
    </row>
    <row r="6949">
      <c r="A6949" s="9"/>
      <c r="B6949" s="15"/>
      <c r="C6949" s="9">
        <f>IFERROR(__xludf.DUMMYFUNCTION("""COMPUTED_VALUE"""),45071.3760245023)</f>
        <v>45071.37602</v>
      </c>
      <c r="D6949" s="15">
        <f>IFERROR(__xludf.DUMMYFUNCTION("""COMPUTED_VALUE"""),1.01)</f>
        <v>1.01</v>
      </c>
      <c r="E6949" s="16">
        <f>IFERROR(__xludf.DUMMYFUNCTION("""COMPUTED_VALUE"""),65.0)</f>
        <v>65</v>
      </c>
      <c r="F6949" s="19" t="str">
        <f>IFERROR(__xludf.DUMMYFUNCTION("""COMPUTED_VALUE"""),"BLUE")</f>
        <v>BLUE</v>
      </c>
      <c r="G6949" s="20" t="str">
        <f>IFERROR(__xludf.DUMMYFUNCTION("""COMPUTED_VALUE"""),"Uncle Sams Cider (04/04/2023)")</f>
        <v>Uncle Sams Cider (04/04/2023)</v>
      </c>
      <c r="H6949" s="19"/>
    </row>
    <row r="6950">
      <c r="A6950" s="9"/>
      <c r="B6950" s="15"/>
      <c r="C6950" s="9">
        <f>IFERROR(__xludf.DUMMYFUNCTION("""COMPUTED_VALUE"""),45071.3656034259)</f>
        <v>45071.3656</v>
      </c>
      <c r="D6950" s="15">
        <f>IFERROR(__xludf.DUMMYFUNCTION("""COMPUTED_VALUE"""),1.01)</f>
        <v>1.01</v>
      </c>
      <c r="E6950" s="16">
        <f>IFERROR(__xludf.DUMMYFUNCTION("""COMPUTED_VALUE"""),65.0)</f>
        <v>65</v>
      </c>
      <c r="F6950" s="19" t="str">
        <f>IFERROR(__xludf.DUMMYFUNCTION("""COMPUTED_VALUE"""),"BLUE")</f>
        <v>BLUE</v>
      </c>
      <c r="G6950" s="20" t="str">
        <f>IFERROR(__xludf.DUMMYFUNCTION("""COMPUTED_VALUE"""),"Uncle Sams Cider (04/04/2023)")</f>
        <v>Uncle Sams Cider (04/04/2023)</v>
      </c>
      <c r="H6950" s="19"/>
    </row>
    <row r="6951">
      <c r="A6951" s="9"/>
      <c r="B6951" s="15"/>
      <c r="C6951" s="9">
        <f>IFERROR(__xludf.DUMMYFUNCTION("""COMPUTED_VALUE"""),45071.3447477314)</f>
        <v>45071.34475</v>
      </c>
      <c r="D6951" s="15">
        <f>IFERROR(__xludf.DUMMYFUNCTION("""COMPUTED_VALUE"""),1.01)</f>
        <v>1.01</v>
      </c>
      <c r="E6951" s="16">
        <f>IFERROR(__xludf.DUMMYFUNCTION("""COMPUTED_VALUE"""),65.0)</f>
        <v>65</v>
      </c>
      <c r="F6951" s="19" t="str">
        <f>IFERROR(__xludf.DUMMYFUNCTION("""COMPUTED_VALUE"""),"BLUE")</f>
        <v>BLUE</v>
      </c>
      <c r="G6951" s="20" t="str">
        <f>IFERROR(__xludf.DUMMYFUNCTION("""COMPUTED_VALUE"""),"Uncle Sams Cider (04/04/2023)")</f>
        <v>Uncle Sams Cider (04/04/2023)</v>
      </c>
      <c r="H6951" s="19"/>
    </row>
    <row r="6952">
      <c r="A6952" s="9"/>
      <c r="B6952" s="15"/>
      <c r="C6952" s="9">
        <f>IFERROR(__xludf.DUMMYFUNCTION("""COMPUTED_VALUE"""),45071.3343264236)</f>
        <v>45071.33433</v>
      </c>
      <c r="D6952" s="15">
        <f>IFERROR(__xludf.DUMMYFUNCTION("""COMPUTED_VALUE"""),1.01)</f>
        <v>1.01</v>
      </c>
      <c r="E6952" s="16">
        <f>IFERROR(__xludf.DUMMYFUNCTION("""COMPUTED_VALUE"""),65.0)</f>
        <v>65</v>
      </c>
      <c r="F6952" s="19" t="str">
        <f>IFERROR(__xludf.DUMMYFUNCTION("""COMPUTED_VALUE"""),"BLUE")</f>
        <v>BLUE</v>
      </c>
      <c r="G6952" s="20" t="str">
        <f>IFERROR(__xludf.DUMMYFUNCTION("""COMPUTED_VALUE"""),"Uncle Sams Cider (04/04/2023)")</f>
        <v>Uncle Sams Cider (04/04/2023)</v>
      </c>
      <c r="H6952" s="19"/>
    </row>
    <row r="6953">
      <c r="A6953" s="9"/>
      <c r="B6953" s="15"/>
      <c r="C6953" s="9">
        <f>IFERROR(__xludf.DUMMYFUNCTION("""COMPUTED_VALUE"""),45071.3239062615)</f>
        <v>45071.32391</v>
      </c>
      <c r="D6953" s="15">
        <f>IFERROR(__xludf.DUMMYFUNCTION("""COMPUTED_VALUE"""),1.01)</f>
        <v>1.01</v>
      </c>
      <c r="E6953" s="16">
        <f>IFERROR(__xludf.DUMMYFUNCTION("""COMPUTED_VALUE"""),65.0)</f>
        <v>65</v>
      </c>
      <c r="F6953" s="19" t="str">
        <f>IFERROR(__xludf.DUMMYFUNCTION("""COMPUTED_VALUE"""),"BLUE")</f>
        <v>BLUE</v>
      </c>
      <c r="G6953" s="20" t="str">
        <f>IFERROR(__xludf.DUMMYFUNCTION("""COMPUTED_VALUE"""),"Uncle Sams Cider (04/04/2023)")</f>
        <v>Uncle Sams Cider (04/04/2023)</v>
      </c>
      <c r="H6953" s="19"/>
    </row>
    <row r="6954">
      <c r="A6954" s="9"/>
      <c r="B6954" s="15"/>
      <c r="C6954" s="9">
        <f>IFERROR(__xludf.DUMMYFUNCTION("""COMPUTED_VALUE"""),45071.3134869444)</f>
        <v>45071.31349</v>
      </c>
      <c r="D6954" s="15">
        <f>IFERROR(__xludf.DUMMYFUNCTION("""COMPUTED_VALUE"""),1.01)</f>
        <v>1.01</v>
      </c>
      <c r="E6954" s="16">
        <f>IFERROR(__xludf.DUMMYFUNCTION("""COMPUTED_VALUE"""),65.0)</f>
        <v>65</v>
      </c>
      <c r="F6954" s="19" t="str">
        <f>IFERROR(__xludf.DUMMYFUNCTION("""COMPUTED_VALUE"""),"BLUE")</f>
        <v>BLUE</v>
      </c>
      <c r="G6954" s="20" t="str">
        <f>IFERROR(__xludf.DUMMYFUNCTION("""COMPUTED_VALUE"""),"Uncle Sams Cider (04/04/2023)")</f>
        <v>Uncle Sams Cider (04/04/2023)</v>
      </c>
      <c r="H6954" s="19"/>
    </row>
    <row r="6955">
      <c r="A6955" s="9"/>
      <c r="B6955" s="15"/>
      <c r="C6955" s="9">
        <f>IFERROR(__xludf.DUMMYFUNCTION("""COMPUTED_VALUE"""),45071.3030663078)</f>
        <v>45071.30307</v>
      </c>
      <c r="D6955" s="15">
        <f>IFERROR(__xludf.DUMMYFUNCTION("""COMPUTED_VALUE"""),1.01)</f>
        <v>1.01</v>
      </c>
      <c r="E6955" s="16">
        <f>IFERROR(__xludf.DUMMYFUNCTION("""COMPUTED_VALUE"""),65.0)</f>
        <v>65</v>
      </c>
      <c r="F6955" s="19" t="str">
        <f>IFERROR(__xludf.DUMMYFUNCTION("""COMPUTED_VALUE"""),"BLUE")</f>
        <v>BLUE</v>
      </c>
      <c r="G6955" s="20" t="str">
        <f>IFERROR(__xludf.DUMMYFUNCTION("""COMPUTED_VALUE"""),"Uncle Sams Cider (04/04/2023)")</f>
        <v>Uncle Sams Cider (04/04/2023)</v>
      </c>
      <c r="H6955" s="19"/>
    </row>
    <row r="6956">
      <c r="A6956" s="9"/>
      <c r="B6956" s="15"/>
      <c r="C6956" s="9">
        <f>IFERROR(__xludf.DUMMYFUNCTION("""COMPUTED_VALUE"""),45071.2926461111)</f>
        <v>45071.29265</v>
      </c>
      <c r="D6956" s="15">
        <f>IFERROR(__xludf.DUMMYFUNCTION("""COMPUTED_VALUE"""),1.01)</f>
        <v>1.01</v>
      </c>
      <c r="E6956" s="16">
        <f>IFERROR(__xludf.DUMMYFUNCTION("""COMPUTED_VALUE"""),65.0)</f>
        <v>65</v>
      </c>
      <c r="F6956" s="19" t="str">
        <f>IFERROR(__xludf.DUMMYFUNCTION("""COMPUTED_VALUE"""),"BLUE")</f>
        <v>BLUE</v>
      </c>
      <c r="G6956" s="20" t="str">
        <f>IFERROR(__xludf.DUMMYFUNCTION("""COMPUTED_VALUE"""),"Uncle Sams Cider (04/04/2023)")</f>
        <v>Uncle Sams Cider (04/04/2023)</v>
      </c>
      <c r="H6956" s="19"/>
    </row>
    <row r="6957">
      <c r="A6957" s="9"/>
      <c r="B6957" s="15"/>
      <c r="C6957" s="9">
        <f>IFERROR(__xludf.DUMMYFUNCTION("""COMPUTED_VALUE"""),45071.2822258796)</f>
        <v>45071.28223</v>
      </c>
      <c r="D6957" s="15">
        <f>IFERROR(__xludf.DUMMYFUNCTION("""COMPUTED_VALUE"""),1.01)</f>
        <v>1.01</v>
      </c>
      <c r="E6957" s="16">
        <f>IFERROR(__xludf.DUMMYFUNCTION("""COMPUTED_VALUE"""),65.0)</f>
        <v>65</v>
      </c>
      <c r="F6957" s="19" t="str">
        <f>IFERROR(__xludf.DUMMYFUNCTION("""COMPUTED_VALUE"""),"BLUE")</f>
        <v>BLUE</v>
      </c>
      <c r="G6957" s="20" t="str">
        <f>IFERROR(__xludf.DUMMYFUNCTION("""COMPUTED_VALUE"""),"Uncle Sams Cider (04/04/2023)")</f>
        <v>Uncle Sams Cider (04/04/2023)</v>
      </c>
      <c r="H6957" s="19"/>
    </row>
    <row r="6958">
      <c r="A6958" s="9"/>
      <c r="B6958" s="15"/>
      <c r="C6958" s="9">
        <f>IFERROR(__xludf.DUMMYFUNCTION("""COMPUTED_VALUE"""),45071.2718044791)</f>
        <v>45071.2718</v>
      </c>
      <c r="D6958" s="15">
        <f>IFERROR(__xludf.DUMMYFUNCTION("""COMPUTED_VALUE"""),1.01)</f>
        <v>1.01</v>
      </c>
      <c r="E6958" s="16">
        <f>IFERROR(__xludf.DUMMYFUNCTION("""COMPUTED_VALUE"""),65.0)</f>
        <v>65</v>
      </c>
      <c r="F6958" s="19" t="str">
        <f>IFERROR(__xludf.DUMMYFUNCTION("""COMPUTED_VALUE"""),"BLUE")</f>
        <v>BLUE</v>
      </c>
      <c r="G6958" s="20" t="str">
        <f>IFERROR(__xludf.DUMMYFUNCTION("""COMPUTED_VALUE"""),"Uncle Sams Cider (04/04/2023)")</f>
        <v>Uncle Sams Cider (04/04/2023)</v>
      </c>
      <c r="H6958" s="19"/>
    </row>
    <row r="6959">
      <c r="A6959" s="9"/>
      <c r="B6959" s="15"/>
      <c r="C6959" s="9">
        <f>IFERROR(__xludf.DUMMYFUNCTION("""COMPUTED_VALUE"""),45071.2613712615)</f>
        <v>45071.26137</v>
      </c>
      <c r="D6959" s="15">
        <f>IFERROR(__xludf.DUMMYFUNCTION("""COMPUTED_VALUE"""),1.01)</f>
        <v>1.01</v>
      </c>
      <c r="E6959" s="16">
        <f>IFERROR(__xludf.DUMMYFUNCTION("""COMPUTED_VALUE"""),65.0)</f>
        <v>65</v>
      </c>
      <c r="F6959" s="19" t="str">
        <f>IFERROR(__xludf.DUMMYFUNCTION("""COMPUTED_VALUE"""),"BLUE")</f>
        <v>BLUE</v>
      </c>
      <c r="G6959" s="20" t="str">
        <f>IFERROR(__xludf.DUMMYFUNCTION("""COMPUTED_VALUE"""),"Uncle Sams Cider (04/04/2023)")</f>
        <v>Uncle Sams Cider (04/04/2023)</v>
      </c>
      <c r="H6959" s="19"/>
    </row>
    <row r="6960">
      <c r="A6960" s="9"/>
      <c r="B6960" s="15"/>
      <c r="C6960" s="9">
        <f>IFERROR(__xludf.DUMMYFUNCTION("""COMPUTED_VALUE"""),45071.2509392245)</f>
        <v>45071.25094</v>
      </c>
      <c r="D6960" s="15">
        <f>IFERROR(__xludf.DUMMYFUNCTION("""COMPUTED_VALUE"""),1.01)</f>
        <v>1.01</v>
      </c>
      <c r="E6960" s="16">
        <f>IFERROR(__xludf.DUMMYFUNCTION("""COMPUTED_VALUE"""),65.0)</f>
        <v>65</v>
      </c>
      <c r="F6960" s="19" t="str">
        <f>IFERROR(__xludf.DUMMYFUNCTION("""COMPUTED_VALUE"""),"BLUE")</f>
        <v>BLUE</v>
      </c>
      <c r="G6960" s="20" t="str">
        <f>IFERROR(__xludf.DUMMYFUNCTION("""COMPUTED_VALUE"""),"Uncle Sams Cider (04/04/2023)")</f>
        <v>Uncle Sams Cider (04/04/2023)</v>
      </c>
      <c r="H6960" s="19"/>
    </row>
    <row r="6961">
      <c r="A6961" s="9"/>
      <c r="B6961" s="15"/>
      <c r="C6961" s="9">
        <f>IFERROR(__xludf.DUMMYFUNCTION("""COMPUTED_VALUE"""),45071.2405194444)</f>
        <v>45071.24052</v>
      </c>
      <c r="D6961" s="15">
        <f>IFERROR(__xludf.DUMMYFUNCTION("""COMPUTED_VALUE"""),1.01)</f>
        <v>1.01</v>
      </c>
      <c r="E6961" s="16">
        <f>IFERROR(__xludf.DUMMYFUNCTION("""COMPUTED_VALUE"""),65.0)</f>
        <v>65</v>
      </c>
      <c r="F6961" s="19" t="str">
        <f>IFERROR(__xludf.DUMMYFUNCTION("""COMPUTED_VALUE"""),"BLUE")</f>
        <v>BLUE</v>
      </c>
      <c r="G6961" s="20" t="str">
        <f>IFERROR(__xludf.DUMMYFUNCTION("""COMPUTED_VALUE"""),"Uncle Sams Cider (04/04/2023)")</f>
        <v>Uncle Sams Cider (04/04/2023)</v>
      </c>
      <c r="H6961" s="19"/>
    </row>
    <row r="6962">
      <c r="A6962" s="9"/>
      <c r="B6962" s="15"/>
      <c r="C6962" s="9">
        <f>IFERROR(__xludf.DUMMYFUNCTION("""COMPUTED_VALUE"""),45071.23009875)</f>
        <v>45071.2301</v>
      </c>
      <c r="D6962" s="15">
        <f>IFERROR(__xludf.DUMMYFUNCTION("""COMPUTED_VALUE"""),1.01)</f>
        <v>1.01</v>
      </c>
      <c r="E6962" s="16">
        <f>IFERROR(__xludf.DUMMYFUNCTION("""COMPUTED_VALUE"""),65.0)</f>
        <v>65</v>
      </c>
      <c r="F6962" s="19" t="str">
        <f>IFERROR(__xludf.DUMMYFUNCTION("""COMPUTED_VALUE"""),"BLUE")</f>
        <v>BLUE</v>
      </c>
      <c r="G6962" s="20" t="str">
        <f>IFERROR(__xludf.DUMMYFUNCTION("""COMPUTED_VALUE"""),"Uncle Sams Cider (04/04/2023)")</f>
        <v>Uncle Sams Cider (04/04/2023)</v>
      </c>
      <c r="H6962" s="19"/>
    </row>
    <row r="6963">
      <c r="A6963" s="9"/>
      <c r="B6963" s="15"/>
      <c r="C6963" s="9">
        <f>IFERROR(__xludf.DUMMYFUNCTION("""COMPUTED_VALUE"""),45071.2092531018)</f>
        <v>45071.20925</v>
      </c>
      <c r="D6963" s="15">
        <f>IFERROR(__xludf.DUMMYFUNCTION("""COMPUTED_VALUE"""),1.01)</f>
        <v>1.01</v>
      </c>
      <c r="E6963" s="16">
        <f>IFERROR(__xludf.DUMMYFUNCTION("""COMPUTED_VALUE"""),65.0)</f>
        <v>65</v>
      </c>
      <c r="F6963" s="19" t="str">
        <f>IFERROR(__xludf.DUMMYFUNCTION("""COMPUTED_VALUE"""),"BLUE")</f>
        <v>BLUE</v>
      </c>
      <c r="G6963" s="20" t="str">
        <f>IFERROR(__xludf.DUMMYFUNCTION("""COMPUTED_VALUE"""),"Uncle Sams Cider (04/04/2023)")</f>
        <v>Uncle Sams Cider (04/04/2023)</v>
      </c>
      <c r="H6963" s="19"/>
    </row>
    <row r="6964">
      <c r="A6964" s="9"/>
      <c r="B6964" s="15"/>
      <c r="C6964" s="9">
        <f>IFERROR(__xludf.DUMMYFUNCTION("""COMPUTED_VALUE"""),45071.1988327893)</f>
        <v>45071.19883</v>
      </c>
      <c r="D6964" s="15">
        <f>IFERROR(__xludf.DUMMYFUNCTION("""COMPUTED_VALUE"""),1.01)</f>
        <v>1.01</v>
      </c>
      <c r="E6964" s="16">
        <f>IFERROR(__xludf.DUMMYFUNCTION("""COMPUTED_VALUE"""),65.0)</f>
        <v>65</v>
      </c>
      <c r="F6964" s="19" t="str">
        <f>IFERROR(__xludf.DUMMYFUNCTION("""COMPUTED_VALUE"""),"BLUE")</f>
        <v>BLUE</v>
      </c>
      <c r="G6964" s="20" t="str">
        <f>IFERROR(__xludf.DUMMYFUNCTION("""COMPUTED_VALUE"""),"Uncle Sams Cider (04/04/2023)")</f>
        <v>Uncle Sams Cider (04/04/2023)</v>
      </c>
      <c r="H6964" s="19"/>
    </row>
    <row r="6965">
      <c r="A6965" s="9"/>
      <c r="B6965" s="15"/>
      <c r="C6965" s="9">
        <f>IFERROR(__xludf.DUMMYFUNCTION("""COMPUTED_VALUE"""),45071.1884110416)</f>
        <v>45071.18841</v>
      </c>
      <c r="D6965" s="15">
        <f>IFERROR(__xludf.DUMMYFUNCTION("""COMPUTED_VALUE"""),1.01)</f>
        <v>1.01</v>
      </c>
      <c r="E6965" s="16">
        <f>IFERROR(__xludf.DUMMYFUNCTION("""COMPUTED_VALUE"""),65.0)</f>
        <v>65</v>
      </c>
      <c r="F6965" s="19" t="str">
        <f>IFERROR(__xludf.DUMMYFUNCTION("""COMPUTED_VALUE"""),"BLUE")</f>
        <v>BLUE</v>
      </c>
      <c r="G6965" s="20" t="str">
        <f>IFERROR(__xludf.DUMMYFUNCTION("""COMPUTED_VALUE"""),"Uncle Sams Cider (04/04/2023)")</f>
        <v>Uncle Sams Cider (04/04/2023)</v>
      </c>
      <c r="H6965" s="19"/>
    </row>
    <row r="6966">
      <c r="A6966" s="9"/>
      <c r="B6966" s="15"/>
      <c r="C6966" s="9">
        <f>IFERROR(__xludf.DUMMYFUNCTION("""COMPUTED_VALUE"""),45071.1779914699)</f>
        <v>45071.17799</v>
      </c>
      <c r="D6966" s="15">
        <f>IFERROR(__xludf.DUMMYFUNCTION("""COMPUTED_VALUE"""),1.01)</f>
        <v>1.01</v>
      </c>
      <c r="E6966" s="16">
        <f>IFERROR(__xludf.DUMMYFUNCTION("""COMPUTED_VALUE"""),65.0)</f>
        <v>65</v>
      </c>
      <c r="F6966" s="19" t="str">
        <f>IFERROR(__xludf.DUMMYFUNCTION("""COMPUTED_VALUE"""),"BLUE")</f>
        <v>BLUE</v>
      </c>
      <c r="G6966" s="20" t="str">
        <f>IFERROR(__xludf.DUMMYFUNCTION("""COMPUTED_VALUE"""),"Uncle Sams Cider (04/04/2023)")</f>
        <v>Uncle Sams Cider (04/04/2023)</v>
      </c>
      <c r="H6966" s="19"/>
    </row>
    <row r="6967">
      <c r="A6967" s="9"/>
      <c r="B6967" s="15"/>
      <c r="C6967" s="9">
        <f>IFERROR(__xludf.DUMMYFUNCTION("""COMPUTED_VALUE"""),45071.1675703819)</f>
        <v>45071.16757</v>
      </c>
      <c r="D6967" s="15">
        <f>IFERROR(__xludf.DUMMYFUNCTION("""COMPUTED_VALUE"""),1.01)</f>
        <v>1.01</v>
      </c>
      <c r="E6967" s="16">
        <f>IFERROR(__xludf.DUMMYFUNCTION("""COMPUTED_VALUE"""),65.0)</f>
        <v>65</v>
      </c>
      <c r="F6967" s="19" t="str">
        <f>IFERROR(__xludf.DUMMYFUNCTION("""COMPUTED_VALUE"""),"BLUE")</f>
        <v>BLUE</v>
      </c>
      <c r="G6967" s="20" t="str">
        <f>IFERROR(__xludf.DUMMYFUNCTION("""COMPUTED_VALUE"""),"Uncle Sams Cider (04/04/2023)")</f>
        <v>Uncle Sams Cider (04/04/2023)</v>
      </c>
      <c r="H6967" s="19"/>
    </row>
    <row r="6968">
      <c r="A6968" s="9"/>
      <c r="B6968" s="15"/>
      <c r="C6968" s="9">
        <f>IFERROR(__xludf.DUMMYFUNCTION("""COMPUTED_VALUE"""),45071.1571493865)</f>
        <v>45071.15715</v>
      </c>
      <c r="D6968" s="15">
        <f>IFERROR(__xludf.DUMMYFUNCTION("""COMPUTED_VALUE"""),1.01)</f>
        <v>1.01</v>
      </c>
      <c r="E6968" s="16">
        <f>IFERROR(__xludf.DUMMYFUNCTION("""COMPUTED_VALUE"""),65.0)</f>
        <v>65</v>
      </c>
      <c r="F6968" s="19" t="str">
        <f>IFERROR(__xludf.DUMMYFUNCTION("""COMPUTED_VALUE"""),"BLUE")</f>
        <v>BLUE</v>
      </c>
      <c r="G6968" s="20" t="str">
        <f>IFERROR(__xludf.DUMMYFUNCTION("""COMPUTED_VALUE"""),"Uncle Sams Cider (04/04/2023)")</f>
        <v>Uncle Sams Cider (04/04/2023)</v>
      </c>
      <c r="H6968" s="19"/>
    </row>
    <row r="6969">
      <c r="A6969" s="9"/>
      <c r="B6969" s="15"/>
      <c r="C6969" s="9">
        <f>IFERROR(__xludf.DUMMYFUNCTION("""COMPUTED_VALUE"""),45071.1467291666)</f>
        <v>45071.14673</v>
      </c>
      <c r="D6969" s="15">
        <f>IFERROR(__xludf.DUMMYFUNCTION("""COMPUTED_VALUE"""),1.01)</f>
        <v>1.01</v>
      </c>
      <c r="E6969" s="16">
        <f>IFERROR(__xludf.DUMMYFUNCTION("""COMPUTED_VALUE"""),65.0)</f>
        <v>65</v>
      </c>
      <c r="F6969" s="19" t="str">
        <f>IFERROR(__xludf.DUMMYFUNCTION("""COMPUTED_VALUE"""),"BLUE")</f>
        <v>BLUE</v>
      </c>
      <c r="G6969" s="20" t="str">
        <f>IFERROR(__xludf.DUMMYFUNCTION("""COMPUTED_VALUE"""),"Uncle Sams Cider (04/04/2023)")</f>
        <v>Uncle Sams Cider (04/04/2023)</v>
      </c>
      <c r="H6969" s="19"/>
    </row>
    <row r="6970">
      <c r="A6970" s="9"/>
      <c r="B6970" s="15"/>
      <c r="C6970" s="9">
        <f>IFERROR(__xludf.DUMMYFUNCTION("""COMPUTED_VALUE"""),45071.1363104282)</f>
        <v>45071.13631</v>
      </c>
      <c r="D6970" s="15">
        <f>IFERROR(__xludf.DUMMYFUNCTION("""COMPUTED_VALUE"""),1.01)</f>
        <v>1.01</v>
      </c>
      <c r="E6970" s="16">
        <f>IFERROR(__xludf.DUMMYFUNCTION("""COMPUTED_VALUE"""),65.0)</f>
        <v>65</v>
      </c>
      <c r="F6970" s="19" t="str">
        <f>IFERROR(__xludf.DUMMYFUNCTION("""COMPUTED_VALUE"""),"BLUE")</f>
        <v>BLUE</v>
      </c>
      <c r="G6970" s="20" t="str">
        <f>IFERROR(__xludf.DUMMYFUNCTION("""COMPUTED_VALUE"""),"Uncle Sams Cider (04/04/2023)")</f>
        <v>Uncle Sams Cider (04/04/2023)</v>
      </c>
      <c r="H6970" s="19"/>
    </row>
    <row r="6971">
      <c r="A6971" s="9"/>
      <c r="B6971" s="15"/>
      <c r="C6971" s="9">
        <f>IFERROR(__xludf.DUMMYFUNCTION("""COMPUTED_VALUE"""),45071.125888912)</f>
        <v>45071.12589</v>
      </c>
      <c r="D6971" s="15">
        <f>IFERROR(__xludf.DUMMYFUNCTION("""COMPUTED_VALUE"""),1.01)</f>
        <v>1.01</v>
      </c>
      <c r="E6971" s="16">
        <f>IFERROR(__xludf.DUMMYFUNCTION("""COMPUTED_VALUE"""),65.0)</f>
        <v>65</v>
      </c>
      <c r="F6971" s="19" t="str">
        <f>IFERROR(__xludf.DUMMYFUNCTION("""COMPUTED_VALUE"""),"BLUE")</f>
        <v>BLUE</v>
      </c>
      <c r="G6971" s="20" t="str">
        <f>IFERROR(__xludf.DUMMYFUNCTION("""COMPUTED_VALUE"""),"Uncle Sams Cider (04/04/2023)")</f>
        <v>Uncle Sams Cider (04/04/2023)</v>
      </c>
      <c r="H6971" s="19"/>
    </row>
    <row r="6972">
      <c r="A6972" s="9"/>
      <c r="B6972" s="15"/>
      <c r="C6972" s="9">
        <f>IFERROR(__xludf.DUMMYFUNCTION("""COMPUTED_VALUE"""),45071.1154684953)</f>
        <v>45071.11547</v>
      </c>
      <c r="D6972" s="15">
        <f>IFERROR(__xludf.DUMMYFUNCTION("""COMPUTED_VALUE"""),1.01)</f>
        <v>1.01</v>
      </c>
      <c r="E6972" s="16">
        <f>IFERROR(__xludf.DUMMYFUNCTION("""COMPUTED_VALUE"""),65.0)</f>
        <v>65</v>
      </c>
      <c r="F6972" s="19" t="str">
        <f>IFERROR(__xludf.DUMMYFUNCTION("""COMPUTED_VALUE"""),"BLUE")</f>
        <v>BLUE</v>
      </c>
      <c r="G6972" s="20" t="str">
        <f>IFERROR(__xludf.DUMMYFUNCTION("""COMPUTED_VALUE"""),"Uncle Sams Cider (04/04/2023)")</f>
        <v>Uncle Sams Cider (04/04/2023)</v>
      </c>
      <c r="H6972" s="19"/>
    </row>
    <row r="6973">
      <c r="A6973" s="9"/>
      <c r="B6973" s="15"/>
      <c r="C6973" s="9">
        <f>IFERROR(__xludf.DUMMYFUNCTION("""COMPUTED_VALUE"""),45071.1050477893)</f>
        <v>45071.10505</v>
      </c>
      <c r="D6973" s="15">
        <f>IFERROR(__xludf.DUMMYFUNCTION("""COMPUTED_VALUE"""),1.01)</f>
        <v>1.01</v>
      </c>
      <c r="E6973" s="16">
        <f>IFERROR(__xludf.DUMMYFUNCTION("""COMPUTED_VALUE"""),65.0)</f>
        <v>65</v>
      </c>
      <c r="F6973" s="19" t="str">
        <f>IFERROR(__xludf.DUMMYFUNCTION("""COMPUTED_VALUE"""),"BLUE")</f>
        <v>BLUE</v>
      </c>
      <c r="G6973" s="20" t="str">
        <f>IFERROR(__xludf.DUMMYFUNCTION("""COMPUTED_VALUE"""),"Uncle Sams Cider (04/04/2023)")</f>
        <v>Uncle Sams Cider (04/04/2023)</v>
      </c>
      <c r="H6973" s="19"/>
    </row>
    <row r="6974">
      <c r="A6974" s="9"/>
      <c r="B6974" s="15"/>
      <c r="C6974" s="9">
        <f>IFERROR(__xludf.DUMMYFUNCTION("""COMPUTED_VALUE"""),45071.0946267245)</f>
        <v>45071.09463</v>
      </c>
      <c r="D6974" s="15">
        <f>IFERROR(__xludf.DUMMYFUNCTION("""COMPUTED_VALUE"""),1.01)</f>
        <v>1.01</v>
      </c>
      <c r="E6974" s="16">
        <f>IFERROR(__xludf.DUMMYFUNCTION("""COMPUTED_VALUE"""),65.0)</f>
        <v>65</v>
      </c>
      <c r="F6974" s="19" t="str">
        <f>IFERROR(__xludf.DUMMYFUNCTION("""COMPUTED_VALUE"""),"BLUE")</f>
        <v>BLUE</v>
      </c>
      <c r="G6974" s="20" t="str">
        <f>IFERROR(__xludf.DUMMYFUNCTION("""COMPUTED_VALUE"""),"Uncle Sams Cider (04/04/2023)")</f>
        <v>Uncle Sams Cider (04/04/2023)</v>
      </c>
      <c r="H6974" s="19"/>
    </row>
    <row r="6975">
      <c r="A6975" s="9"/>
      <c r="B6975" s="15"/>
      <c r="C6975" s="9">
        <f>IFERROR(__xludf.DUMMYFUNCTION("""COMPUTED_VALUE"""),45071.0842061921)</f>
        <v>45071.08421</v>
      </c>
      <c r="D6975" s="15">
        <f>IFERROR(__xludf.DUMMYFUNCTION("""COMPUTED_VALUE"""),1.01)</f>
        <v>1.01</v>
      </c>
      <c r="E6975" s="16">
        <f>IFERROR(__xludf.DUMMYFUNCTION("""COMPUTED_VALUE"""),65.0)</f>
        <v>65</v>
      </c>
      <c r="F6975" s="19" t="str">
        <f>IFERROR(__xludf.DUMMYFUNCTION("""COMPUTED_VALUE"""),"BLUE")</f>
        <v>BLUE</v>
      </c>
      <c r="G6975" s="20" t="str">
        <f>IFERROR(__xludf.DUMMYFUNCTION("""COMPUTED_VALUE"""),"Uncle Sams Cider (04/04/2023)")</f>
        <v>Uncle Sams Cider (04/04/2023)</v>
      </c>
      <c r="H6975" s="19"/>
    </row>
    <row r="6976">
      <c r="A6976" s="9"/>
      <c r="B6976" s="15"/>
      <c r="C6976" s="9">
        <f>IFERROR(__xludf.DUMMYFUNCTION("""COMPUTED_VALUE"""),45071.0737847685)</f>
        <v>45071.07378</v>
      </c>
      <c r="D6976" s="15">
        <f>IFERROR(__xludf.DUMMYFUNCTION("""COMPUTED_VALUE"""),1.01)</f>
        <v>1.01</v>
      </c>
      <c r="E6976" s="16">
        <f>IFERROR(__xludf.DUMMYFUNCTION("""COMPUTED_VALUE"""),65.0)</f>
        <v>65</v>
      </c>
      <c r="F6976" s="19" t="str">
        <f>IFERROR(__xludf.DUMMYFUNCTION("""COMPUTED_VALUE"""),"BLUE")</f>
        <v>BLUE</v>
      </c>
      <c r="G6976" s="20" t="str">
        <f>IFERROR(__xludf.DUMMYFUNCTION("""COMPUTED_VALUE"""),"Uncle Sams Cider (04/04/2023)")</f>
        <v>Uncle Sams Cider (04/04/2023)</v>
      </c>
      <c r="H6976" s="19"/>
    </row>
    <row r="6977">
      <c r="A6977" s="9"/>
      <c r="B6977" s="15"/>
      <c r="C6977" s="9">
        <f>IFERROR(__xludf.DUMMYFUNCTION("""COMPUTED_VALUE"""),45071.0633644444)</f>
        <v>45071.06336</v>
      </c>
      <c r="D6977" s="15">
        <f>IFERROR(__xludf.DUMMYFUNCTION("""COMPUTED_VALUE"""),1.01)</f>
        <v>1.01</v>
      </c>
      <c r="E6977" s="16">
        <f>IFERROR(__xludf.DUMMYFUNCTION("""COMPUTED_VALUE"""),65.0)</f>
        <v>65</v>
      </c>
      <c r="F6977" s="19" t="str">
        <f>IFERROR(__xludf.DUMMYFUNCTION("""COMPUTED_VALUE"""),"BLUE")</f>
        <v>BLUE</v>
      </c>
      <c r="G6977" s="20" t="str">
        <f>IFERROR(__xludf.DUMMYFUNCTION("""COMPUTED_VALUE"""),"Uncle Sams Cider (04/04/2023)")</f>
        <v>Uncle Sams Cider (04/04/2023)</v>
      </c>
      <c r="H6977" s="19"/>
    </row>
    <row r="6978">
      <c r="A6978" s="9"/>
      <c r="B6978" s="15"/>
      <c r="C6978" s="9">
        <f>IFERROR(__xludf.DUMMYFUNCTION("""COMPUTED_VALUE"""),45071.0529314236)</f>
        <v>45071.05293</v>
      </c>
      <c r="D6978" s="15">
        <f>IFERROR(__xludf.DUMMYFUNCTION("""COMPUTED_VALUE"""),1.01)</f>
        <v>1.01</v>
      </c>
      <c r="E6978" s="16">
        <f>IFERROR(__xludf.DUMMYFUNCTION("""COMPUTED_VALUE"""),65.0)</f>
        <v>65</v>
      </c>
      <c r="F6978" s="19" t="str">
        <f>IFERROR(__xludf.DUMMYFUNCTION("""COMPUTED_VALUE"""),"BLUE")</f>
        <v>BLUE</v>
      </c>
      <c r="G6978" s="20" t="str">
        <f>IFERROR(__xludf.DUMMYFUNCTION("""COMPUTED_VALUE"""),"Uncle Sams Cider (04/04/2023)")</f>
        <v>Uncle Sams Cider (04/04/2023)</v>
      </c>
      <c r="H6978" s="19"/>
    </row>
    <row r="6979">
      <c r="A6979" s="9"/>
      <c r="B6979" s="15"/>
      <c r="C6979" s="9">
        <f>IFERROR(__xludf.DUMMYFUNCTION("""COMPUTED_VALUE"""),45071.0425106134)</f>
        <v>45071.04251</v>
      </c>
      <c r="D6979" s="15">
        <f>IFERROR(__xludf.DUMMYFUNCTION("""COMPUTED_VALUE"""),1.01)</f>
        <v>1.01</v>
      </c>
      <c r="E6979" s="16">
        <f>IFERROR(__xludf.DUMMYFUNCTION("""COMPUTED_VALUE"""),65.0)</f>
        <v>65</v>
      </c>
      <c r="F6979" s="19" t="str">
        <f>IFERROR(__xludf.DUMMYFUNCTION("""COMPUTED_VALUE"""),"BLUE")</f>
        <v>BLUE</v>
      </c>
      <c r="G6979" s="20" t="str">
        <f>IFERROR(__xludf.DUMMYFUNCTION("""COMPUTED_VALUE"""),"Uncle Sams Cider (04/04/2023)")</f>
        <v>Uncle Sams Cider (04/04/2023)</v>
      </c>
      <c r="H6979" s="19"/>
    </row>
    <row r="6980">
      <c r="A6980" s="9"/>
      <c r="B6980" s="15"/>
      <c r="C6980" s="9">
        <f>IFERROR(__xludf.DUMMYFUNCTION("""COMPUTED_VALUE"""),45071.0320873495)</f>
        <v>45071.03209</v>
      </c>
      <c r="D6980" s="15">
        <f>IFERROR(__xludf.DUMMYFUNCTION("""COMPUTED_VALUE"""),1.01)</f>
        <v>1.01</v>
      </c>
      <c r="E6980" s="16">
        <f>IFERROR(__xludf.DUMMYFUNCTION("""COMPUTED_VALUE"""),65.0)</f>
        <v>65</v>
      </c>
      <c r="F6980" s="19" t="str">
        <f>IFERROR(__xludf.DUMMYFUNCTION("""COMPUTED_VALUE"""),"BLUE")</f>
        <v>BLUE</v>
      </c>
      <c r="G6980" s="20" t="str">
        <f>IFERROR(__xludf.DUMMYFUNCTION("""COMPUTED_VALUE"""),"Uncle Sams Cider (04/04/2023)")</f>
        <v>Uncle Sams Cider (04/04/2023)</v>
      </c>
      <c r="H6980" s="19"/>
    </row>
    <row r="6981">
      <c r="A6981" s="9"/>
      <c r="B6981" s="15"/>
      <c r="C6981" s="9">
        <f>IFERROR(__xludf.DUMMYFUNCTION("""COMPUTED_VALUE"""),45071.0216642592)</f>
        <v>45071.02166</v>
      </c>
      <c r="D6981" s="15">
        <f>IFERROR(__xludf.DUMMYFUNCTION("""COMPUTED_VALUE"""),1.01)</f>
        <v>1.01</v>
      </c>
      <c r="E6981" s="16">
        <f>IFERROR(__xludf.DUMMYFUNCTION("""COMPUTED_VALUE"""),65.0)</f>
        <v>65</v>
      </c>
      <c r="F6981" s="19" t="str">
        <f>IFERROR(__xludf.DUMMYFUNCTION("""COMPUTED_VALUE"""),"BLUE")</f>
        <v>BLUE</v>
      </c>
      <c r="G6981" s="20" t="str">
        <f>IFERROR(__xludf.DUMMYFUNCTION("""COMPUTED_VALUE"""),"Uncle Sams Cider (04/04/2023)")</f>
        <v>Uncle Sams Cider (04/04/2023)</v>
      </c>
      <c r="H6981" s="19"/>
    </row>
    <row r="6982">
      <c r="A6982" s="9"/>
      <c r="B6982" s="15"/>
      <c r="C6982" s="9">
        <f>IFERROR(__xludf.DUMMYFUNCTION("""COMPUTED_VALUE"""),45071.0112424074)</f>
        <v>45071.01124</v>
      </c>
      <c r="D6982" s="15">
        <f>IFERROR(__xludf.DUMMYFUNCTION("""COMPUTED_VALUE"""),1.01)</f>
        <v>1.01</v>
      </c>
      <c r="E6982" s="16">
        <f>IFERROR(__xludf.DUMMYFUNCTION("""COMPUTED_VALUE"""),65.0)</f>
        <v>65</v>
      </c>
      <c r="F6982" s="19" t="str">
        <f>IFERROR(__xludf.DUMMYFUNCTION("""COMPUTED_VALUE"""),"BLUE")</f>
        <v>BLUE</v>
      </c>
      <c r="G6982" s="20" t="str">
        <f>IFERROR(__xludf.DUMMYFUNCTION("""COMPUTED_VALUE"""),"Uncle Sams Cider (04/04/2023)")</f>
        <v>Uncle Sams Cider (04/04/2023)</v>
      </c>
      <c r="H6982" s="19"/>
    </row>
    <row r="6983">
      <c r="A6983" s="9"/>
      <c r="B6983" s="15"/>
      <c r="C6983" s="9">
        <f>IFERROR(__xludf.DUMMYFUNCTION("""COMPUTED_VALUE"""),45071.0008213426)</f>
        <v>45071.00082</v>
      </c>
      <c r="D6983" s="15">
        <f>IFERROR(__xludf.DUMMYFUNCTION("""COMPUTED_VALUE"""),1.01)</f>
        <v>1.01</v>
      </c>
      <c r="E6983" s="16">
        <f>IFERROR(__xludf.DUMMYFUNCTION("""COMPUTED_VALUE"""),65.0)</f>
        <v>65</v>
      </c>
      <c r="F6983" s="19" t="str">
        <f>IFERROR(__xludf.DUMMYFUNCTION("""COMPUTED_VALUE"""),"BLUE")</f>
        <v>BLUE</v>
      </c>
      <c r="G6983" s="20" t="str">
        <f>IFERROR(__xludf.DUMMYFUNCTION("""COMPUTED_VALUE"""),"Uncle Sams Cider (04/04/2023)")</f>
        <v>Uncle Sams Cider (04/04/2023)</v>
      </c>
      <c r="H6983" s="19"/>
    </row>
    <row r="6984">
      <c r="A6984" s="9"/>
      <c r="B6984" s="15"/>
      <c r="C6984" s="9">
        <f>IFERROR(__xludf.DUMMYFUNCTION("""COMPUTED_VALUE"""),45070.9903767361)</f>
        <v>45070.99038</v>
      </c>
      <c r="D6984" s="15">
        <f>IFERROR(__xludf.DUMMYFUNCTION("""COMPUTED_VALUE"""),1.01)</f>
        <v>1.01</v>
      </c>
      <c r="E6984" s="16">
        <f>IFERROR(__xludf.DUMMYFUNCTION("""COMPUTED_VALUE"""),65.0)</f>
        <v>65</v>
      </c>
      <c r="F6984" s="19" t="str">
        <f>IFERROR(__xludf.DUMMYFUNCTION("""COMPUTED_VALUE"""),"BLUE")</f>
        <v>BLUE</v>
      </c>
      <c r="G6984" s="20" t="str">
        <f>IFERROR(__xludf.DUMMYFUNCTION("""COMPUTED_VALUE"""),"Uncle Sams Cider (04/04/2023)")</f>
        <v>Uncle Sams Cider (04/04/2023)</v>
      </c>
      <c r="H6984" s="19"/>
    </row>
    <row r="6985">
      <c r="A6985" s="9"/>
      <c r="B6985" s="15"/>
      <c r="C6985" s="9">
        <f>IFERROR(__xludf.DUMMYFUNCTION("""COMPUTED_VALUE"""),45070.9695359375)</f>
        <v>45070.96954</v>
      </c>
      <c r="D6985" s="15">
        <f>IFERROR(__xludf.DUMMYFUNCTION("""COMPUTED_VALUE"""),1.01)</f>
        <v>1.01</v>
      </c>
      <c r="E6985" s="16">
        <f>IFERROR(__xludf.DUMMYFUNCTION("""COMPUTED_VALUE"""),65.0)</f>
        <v>65</v>
      </c>
      <c r="F6985" s="19" t="str">
        <f>IFERROR(__xludf.DUMMYFUNCTION("""COMPUTED_VALUE"""),"BLUE")</f>
        <v>BLUE</v>
      </c>
      <c r="G6985" s="20" t="str">
        <f>IFERROR(__xludf.DUMMYFUNCTION("""COMPUTED_VALUE"""),"Uncle Sams Cider (04/04/2023)")</f>
        <v>Uncle Sams Cider (04/04/2023)</v>
      </c>
      <c r="H6985" s="19"/>
    </row>
    <row r="6986">
      <c r="A6986" s="9"/>
      <c r="B6986" s="15"/>
      <c r="C6986" s="9">
        <f>IFERROR(__xludf.DUMMYFUNCTION("""COMPUTED_VALUE"""),45070.9591148148)</f>
        <v>45070.95911</v>
      </c>
      <c r="D6986" s="15">
        <f>IFERROR(__xludf.DUMMYFUNCTION("""COMPUTED_VALUE"""),1.01)</f>
        <v>1.01</v>
      </c>
      <c r="E6986" s="16">
        <f>IFERROR(__xludf.DUMMYFUNCTION("""COMPUTED_VALUE"""),65.0)</f>
        <v>65</v>
      </c>
      <c r="F6986" s="19" t="str">
        <f>IFERROR(__xludf.DUMMYFUNCTION("""COMPUTED_VALUE"""),"BLUE")</f>
        <v>BLUE</v>
      </c>
      <c r="G6986" s="20" t="str">
        <f>IFERROR(__xludf.DUMMYFUNCTION("""COMPUTED_VALUE"""),"Uncle Sams Cider (04/04/2023)")</f>
        <v>Uncle Sams Cider (04/04/2023)</v>
      </c>
      <c r="H6986" s="19"/>
    </row>
    <row r="6987">
      <c r="A6987" s="9"/>
      <c r="B6987" s="15"/>
      <c r="C6987" s="9">
        <f>IFERROR(__xludf.DUMMYFUNCTION("""COMPUTED_VALUE"""),45070.9486830787)</f>
        <v>45070.94868</v>
      </c>
      <c r="D6987" s="15">
        <f>IFERROR(__xludf.DUMMYFUNCTION("""COMPUTED_VALUE"""),1.01)</f>
        <v>1.01</v>
      </c>
      <c r="E6987" s="16">
        <f>IFERROR(__xludf.DUMMYFUNCTION("""COMPUTED_VALUE"""),65.0)</f>
        <v>65</v>
      </c>
      <c r="F6987" s="19" t="str">
        <f>IFERROR(__xludf.DUMMYFUNCTION("""COMPUTED_VALUE"""),"BLUE")</f>
        <v>BLUE</v>
      </c>
      <c r="G6987" s="20" t="str">
        <f>IFERROR(__xludf.DUMMYFUNCTION("""COMPUTED_VALUE"""),"Uncle Sams Cider (04/04/2023)")</f>
        <v>Uncle Sams Cider (04/04/2023)</v>
      </c>
      <c r="H6987" s="19"/>
    </row>
    <row r="6988">
      <c r="A6988" s="9"/>
      <c r="B6988" s="15"/>
      <c r="C6988" s="9">
        <f>IFERROR(__xludf.DUMMYFUNCTION("""COMPUTED_VALUE"""),45070.9382510069)</f>
        <v>45070.93825</v>
      </c>
      <c r="D6988" s="15">
        <f>IFERROR(__xludf.DUMMYFUNCTION("""COMPUTED_VALUE"""),1.01)</f>
        <v>1.01</v>
      </c>
      <c r="E6988" s="16">
        <f>IFERROR(__xludf.DUMMYFUNCTION("""COMPUTED_VALUE"""),65.0)</f>
        <v>65</v>
      </c>
      <c r="F6988" s="19" t="str">
        <f>IFERROR(__xludf.DUMMYFUNCTION("""COMPUTED_VALUE"""),"BLUE")</f>
        <v>BLUE</v>
      </c>
      <c r="G6988" s="20" t="str">
        <f>IFERROR(__xludf.DUMMYFUNCTION("""COMPUTED_VALUE"""),"Uncle Sams Cider (04/04/2023)")</f>
        <v>Uncle Sams Cider (04/04/2023)</v>
      </c>
      <c r="H6988" s="19"/>
    </row>
    <row r="6989">
      <c r="A6989" s="9"/>
      <c r="B6989" s="15"/>
      <c r="C6989" s="9">
        <f>IFERROR(__xludf.DUMMYFUNCTION("""COMPUTED_VALUE"""),45070.9278188888)</f>
        <v>45070.92782</v>
      </c>
      <c r="D6989" s="15">
        <f>IFERROR(__xludf.DUMMYFUNCTION("""COMPUTED_VALUE"""),1.01)</f>
        <v>1.01</v>
      </c>
      <c r="E6989" s="16">
        <f>IFERROR(__xludf.DUMMYFUNCTION("""COMPUTED_VALUE"""),65.0)</f>
        <v>65</v>
      </c>
      <c r="F6989" s="19" t="str">
        <f>IFERROR(__xludf.DUMMYFUNCTION("""COMPUTED_VALUE"""),"BLUE")</f>
        <v>BLUE</v>
      </c>
      <c r="G6989" s="20" t="str">
        <f>IFERROR(__xludf.DUMMYFUNCTION("""COMPUTED_VALUE"""),"Uncle Sams Cider (04/04/2023)")</f>
        <v>Uncle Sams Cider (04/04/2023)</v>
      </c>
      <c r="H6989" s="19"/>
    </row>
    <row r="6990">
      <c r="A6990" s="9"/>
      <c r="B6990" s="15"/>
      <c r="C6990" s="9">
        <f>IFERROR(__xludf.DUMMYFUNCTION("""COMPUTED_VALUE"""),45070.9173862963)</f>
        <v>45070.91739</v>
      </c>
      <c r="D6990" s="15">
        <f>IFERROR(__xludf.DUMMYFUNCTION("""COMPUTED_VALUE"""),1.01)</f>
        <v>1.01</v>
      </c>
      <c r="E6990" s="16">
        <f>IFERROR(__xludf.DUMMYFUNCTION("""COMPUTED_VALUE"""),65.0)</f>
        <v>65</v>
      </c>
      <c r="F6990" s="19" t="str">
        <f>IFERROR(__xludf.DUMMYFUNCTION("""COMPUTED_VALUE"""),"BLUE")</f>
        <v>BLUE</v>
      </c>
      <c r="G6990" s="20" t="str">
        <f>IFERROR(__xludf.DUMMYFUNCTION("""COMPUTED_VALUE"""),"Uncle Sams Cider (04/04/2023)")</f>
        <v>Uncle Sams Cider (04/04/2023)</v>
      </c>
      <c r="H6990" s="19"/>
    </row>
    <row r="6991">
      <c r="A6991" s="9"/>
      <c r="B6991" s="15"/>
      <c r="C6991" s="9">
        <f>IFERROR(__xludf.DUMMYFUNCTION("""COMPUTED_VALUE"""),45070.9069658912)</f>
        <v>45070.90697</v>
      </c>
      <c r="D6991" s="15">
        <f>IFERROR(__xludf.DUMMYFUNCTION("""COMPUTED_VALUE"""),1.01)</f>
        <v>1.01</v>
      </c>
      <c r="E6991" s="16">
        <f>IFERROR(__xludf.DUMMYFUNCTION("""COMPUTED_VALUE"""),65.0)</f>
        <v>65</v>
      </c>
      <c r="F6991" s="19" t="str">
        <f>IFERROR(__xludf.DUMMYFUNCTION("""COMPUTED_VALUE"""),"BLUE")</f>
        <v>BLUE</v>
      </c>
      <c r="G6991" s="20" t="str">
        <f>IFERROR(__xludf.DUMMYFUNCTION("""COMPUTED_VALUE"""),"Uncle Sams Cider (04/04/2023)")</f>
        <v>Uncle Sams Cider (04/04/2023)</v>
      </c>
      <c r="H6991" s="19"/>
    </row>
    <row r="6992">
      <c r="A6992" s="9"/>
      <c r="B6992" s="15"/>
      <c r="C6992" s="9">
        <f>IFERROR(__xludf.DUMMYFUNCTION("""COMPUTED_VALUE"""),45070.8965434837)</f>
        <v>45070.89654</v>
      </c>
      <c r="D6992" s="15">
        <f>IFERROR(__xludf.DUMMYFUNCTION("""COMPUTED_VALUE"""),1.01)</f>
        <v>1.01</v>
      </c>
      <c r="E6992" s="16">
        <f>IFERROR(__xludf.DUMMYFUNCTION("""COMPUTED_VALUE"""),65.0)</f>
        <v>65</v>
      </c>
      <c r="F6992" s="19" t="str">
        <f>IFERROR(__xludf.DUMMYFUNCTION("""COMPUTED_VALUE"""),"BLUE")</f>
        <v>BLUE</v>
      </c>
      <c r="G6992" s="20" t="str">
        <f>IFERROR(__xludf.DUMMYFUNCTION("""COMPUTED_VALUE"""),"Uncle Sams Cider (04/04/2023)")</f>
        <v>Uncle Sams Cider (04/04/2023)</v>
      </c>
      <c r="H6992" s="19"/>
    </row>
    <row r="6993">
      <c r="A6993" s="9"/>
      <c r="B6993" s="15"/>
      <c r="C6993" s="9">
        <f>IFERROR(__xludf.DUMMYFUNCTION("""COMPUTED_VALUE"""),45070.8861111458)</f>
        <v>45070.88611</v>
      </c>
      <c r="D6993" s="15">
        <f>IFERROR(__xludf.DUMMYFUNCTION("""COMPUTED_VALUE"""),1.01)</f>
        <v>1.01</v>
      </c>
      <c r="E6993" s="16">
        <f>IFERROR(__xludf.DUMMYFUNCTION("""COMPUTED_VALUE"""),65.0)</f>
        <v>65</v>
      </c>
      <c r="F6993" s="19" t="str">
        <f>IFERROR(__xludf.DUMMYFUNCTION("""COMPUTED_VALUE"""),"BLUE")</f>
        <v>BLUE</v>
      </c>
      <c r="G6993" s="20" t="str">
        <f>IFERROR(__xludf.DUMMYFUNCTION("""COMPUTED_VALUE"""),"Uncle Sams Cider (04/04/2023)")</f>
        <v>Uncle Sams Cider (04/04/2023)</v>
      </c>
      <c r="H6993" s="19"/>
    </row>
    <row r="6994">
      <c r="A6994" s="9"/>
      <c r="B6994" s="15"/>
      <c r="C6994" s="9">
        <f>IFERROR(__xludf.DUMMYFUNCTION("""COMPUTED_VALUE"""),45070.8756787037)</f>
        <v>45070.87568</v>
      </c>
      <c r="D6994" s="15">
        <f>IFERROR(__xludf.DUMMYFUNCTION("""COMPUTED_VALUE"""),1.01)</f>
        <v>1.01</v>
      </c>
      <c r="E6994" s="16">
        <f>IFERROR(__xludf.DUMMYFUNCTION("""COMPUTED_VALUE"""),65.0)</f>
        <v>65</v>
      </c>
      <c r="F6994" s="19" t="str">
        <f>IFERROR(__xludf.DUMMYFUNCTION("""COMPUTED_VALUE"""),"BLUE")</f>
        <v>BLUE</v>
      </c>
      <c r="G6994" s="20" t="str">
        <f>IFERROR(__xludf.DUMMYFUNCTION("""COMPUTED_VALUE"""),"Uncle Sams Cider (04/04/2023)")</f>
        <v>Uncle Sams Cider (04/04/2023)</v>
      </c>
      <c r="H6994" s="19"/>
    </row>
    <row r="6995">
      <c r="A6995" s="9"/>
      <c r="B6995" s="15"/>
      <c r="C6995" s="9">
        <f>IFERROR(__xludf.DUMMYFUNCTION("""COMPUTED_VALUE"""),45070.8652575)</f>
        <v>45070.86526</v>
      </c>
      <c r="D6995" s="15">
        <f>IFERROR(__xludf.DUMMYFUNCTION("""COMPUTED_VALUE"""),1.01)</f>
        <v>1.01</v>
      </c>
      <c r="E6995" s="16">
        <f>IFERROR(__xludf.DUMMYFUNCTION("""COMPUTED_VALUE"""),65.0)</f>
        <v>65</v>
      </c>
      <c r="F6995" s="19" t="str">
        <f>IFERROR(__xludf.DUMMYFUNCTION("""COMPUTED_VALUE"""),"BLUE")</f>
        <v>BLUE</v>
      </c>
      <c r="G6995" s="20" t="str">
        <f>IFERROR(__xludf.DUMMYFUNCTION("""COMPUTED_VALUE"""),"Uncle Sams Cider (04/04/2023)")</f>
        <v>Uncle Sams Cider (04/04/2023)</v>
      </c>
      <c r="H6995" s="19"/>
    </row>
    <row r="6996">
      <c r="A6996" s="9"/>
      <c r="B6996" s="15"/>
      <c r="C6996" s="9">
        <f>IFERROR(__xludf.DUMMYFUNCTION("""COMPUTED_VALUE"""),45070.854837662)</f>
        <v>45070.85484</v>
      </c>
      <c r="D6996" s="15">
        <f>IFERROR(__xludf.DUMMYFUNCTION("""COMPUTED_VALUE"""),1.01)</f>
        <v>1.01</v>
      </c>
      <c r="E6996" s="16">
        <f>IFERROR(__xludf.DUMMYFUNCTION("""COMPUTED_VALUE"""),65.0)</f>
        <v>65</v>
      </c>
      <c r="F6996" s="19" t="str">
        <f>IFERROR(__xludf.DUMMYFUNCTION("""COMPUTED_VALUE"""),"BLUE")</f>
        <v>BLUE</v>
      </c>
      <c r="G6996" s="20" t="str">
        <f>IFERROR(__xludf.DUMMYFUNCTION("""COMPUTED_VALUE"""),"Uncle Sams Cider (04/04/2023)")</f>
        <v>Uncle Sams Cider (04/04/2023)</v>
      </c>
      <c r="H6996" s="19"/>
    </row>
    <row r="6997">
      <c r="A6997" s="9"/>
      <c r="B6997" s="15"/>
      <c r="C6997" s="9">
        <f>IFERROR(__xludf.DUMMYFUNCTION("""COMPUTED_VALUE"""),45070.8339960995)</f>
        <v>45070.834</v>
      </c>
      <c r="D6997" s="15">
        <f>IFERROR(__xludf.DUMMYFUNCTION("""COMPUTED_VALUE"""),1.01)</f>
        <v>1.01</v>
      </c>
      <c r="E6997" s="16">
        <f>IFERROR(__xludf.DUMMYFUNCTION("""COMPUTED_VALUE"""),65.0)</f>
        <v>65</v>
      </c>
      <c r="F6997" s="19" t="str">
        <f>IFERROR(__xludf.DUMMYFUNCTION("""COMPUTED_VALUE"""),"BLUE")</f>
        <v>BLUE</v>
      </c>
      <c r="G6997" s="20" t="str">
        <f>IFERROR(__xludf.DUMMYFUNCTION("""COMPUTED_VALUE"""),"Uncle Sams Cider (04/04/2023)")</f>
        <v>Uncle Sams Cider (04/04/2023)</v>
      </c>
      <c r="H6997" s="19"/>
    </row>
    <row r="6998">
      <c r="A6998" s="9"/>
      <c r="B6998" s="15"/>
      <c r="C6998" s="9">
        <f>IFERROR(__xludf.DUMMYFUNCTION("""COMPUTED_VALUE"""),45070.8235746875)</f>
        <v>45070.82357</v>
      </c>
      <c r="D6998" s="15">
        <f>IFERROR(__xludf.DUMMYFUNCTION("""COMPUTED_VALUE"""),1.01)</f>
        <v>1.01</v>
      </c>
      <c r="E6998" s="16">
        <f>IFERROR(__xludf.DUMMYFUNCTION("""COMPUTED_VALUE"""),65.0)</f>
        <v>65</v>
      </c>
      <c r="F6998" s="19" t="str">
        <f>IFERROR(__xludf.DUMMYFUNCTION("""COMPUTED_VALUE"""),"BLUE")</f>
        <v>BLUE</v>
      </c>
      <c r="G6998" s="20" t="str">
        <f>IFERROR(__xludf.DUMMYFUNCTION("""COMPUTED_VALUE"""),"Uncle Sams Cider (04/04/2023)")</f>
        <v>Uncle Sams Cider (04/04/2023)</v>
      </c>
      <c r="H6998" s="19"/>
    </row>
    <row r="6999">
      <c r="A6999" s="9"/>
      <c r="B6999" s="15"/>
      <c r="C6999" s="9">
        <f>IFERROR(__xludf.DUMMYFUNCTION("""COMPUTED_VALUE"""),45070.8027325694)</f>
        <v>45070.80273</v>
      </c>
      <c r="D6999" s="15">
        <f>IFERROR(__xludf.DUMMYFUNCTION("""COMPUTED_VALUE"""),1.01)</f>
        <v>1.01</v>
      </c>
      <c r="E6999" s="16">
        <f>IFERROR(__xludf.DUMMYFUNCTION("""COMPUTED_VALUE"""),65.0)</f>
        <v>65</v>
      </c>
      <c r="F6999" s="19" t="str">
        <f>IFERROR(__xludf.DUMMYFUNCTION("""COMPUTED_VALUE"""),"BLUE")</f>
        <v>BLUE</v>
      </c>
      <c r="G6999" s="20" t="str">
        <f>IFERROR(__xludf.DUMMYFUNCTION("""COMPUTED_VALUE"""),"Uncle Sams Cider (04/04/2023)")</f>
        <v>Uncle Sams Cider (04/04/2023)</v>
      </c>
      <c r="H6999" s="19"/>
    </row>
    <row r="7000">
      <c r="A7000" s="9"/>
      <c r="B7000" s="15"/>
      <c r="C7000" s="9">
        <f>IFERROR(__xludf.DUMMYFUNCTION("""COMPUTED_VALUE"""),45070.7818660648)</f>
        <v>45070.78187</v>
      </c>
      <c r="D7000" s="15">
        <f>IFERROR(__xludf.DUMMYFUNCTION("""COMPUTED_VALUE"""),1.01)</f>
        <v>1.01</v>
      </c>
      <c r="E7000" s="16">
        <f>IFERROR(__xludf.DUMMYFUNCTION("""COMPUTED_VALUE"""),65.0)</f>
        <v>65</v>
      </c>
      <c r="F7000" s="19" t="str">
        <f>IFERROR(__xludf.DUMMYFUNCTION("""COMPUTED_VALUE"""),"BLUE")</f>
        <v>BLUE</v>
      </c>
      <c r="G7000" s="20" t="str">
        <f>IFERROR(__xludf.DUMMYFUNCTION("""COMPUTED_VALUE"""),"Uncle Sams Cider (04/04/2023)")</f>
        <v>Uncle Sams Cider (04/04/2023)</v>
      </c>
      <c r="H7000" s="19"/>
    </row>
    <row r="7001">
      <c r="A7001" s="9"/>
      <c r="B7001" s="15"/>
      <c r="C7001" s="9">
        <f>IFERROR(__xludf.DUMMYFUNCTION("""COMPUTED_VALUE"""),45070.7714452083)</f>
        <v>45070.77145</v>
      </c>
      <c r="D7001" s="15">
        <f>IFERROR(__xludf.DUMMYFUNCTION("""COMPUTED_VALUE"""),1.01)</f>
        <v>1.01</v>
      </c>
      <c r="E7001" s="16">
        <f>IFERROR(__xludf.DUMMYFUNCTION("""COMPUTED_VALUE"""),65.0)</f>
        <v>65</v>
      </c>
      <c r="F7001" s="19" t="str">
        <f>IFERROR(__xludf.DUMMYFUNCTION("""COMPUTED_VALUE"""),"BLUE")</f>
        <v>BLUE</v>
      </c>
      <c r="G7001" s="20" t="str">
        <f>IFERROR(__xludf.DUMMYFUNCTION("""COMPUTED_VALUE"""),"Uncle Sams Cider (04/04/2023)")</f>
        <v>Uncle Sams Cider (04/04/2023)</v>
      </c>
      <c r="H7001" s="19"/>
    </row>
    <row r="7002">
      <c r="A7002" s="9"/>
      <c r="B7002" s="15"/>
      <c r="C7002" s="9">
        <f>IFERROR(__xludf.DUMMYFUNCTION("""COMPUTED_VALUE"""),45070.7610250694)</f>
        <v>45070.76103</v>
      </c>
      <c r="D7002" s="15">
        <f>IFERROR(__xludf.DUMMYFUNCTION("""COMPUTED_VALUE"""),1.01)</f>
        <v>1.01</v>
      </c>
      <c r="E7002" s="16">
        <f>IFERROR(__xludf.DUMMYFUNCTION("""COMPUTED_VALUE"""),65.0)</f>
        <v>65</v>
      </c>
      <c r="F7002" s="19" t="str">
        <f>IFERROR(__xludf.DUMMYFUNCTION("""COMPUTED_VALUE"""),"BLUE")</f>
        <v>BLUE</v>
      </c>
      <c r="G7002" s="20" t="str">
        <f>IFERROR(__xludf.DUMMYFUNCTION("""COMPUTED_VALUE"""),"Uncle Sams Cider (04/04/2023)")</f>
        <v>Uncle Sams Cider (04/04/2023)</v>
      </c>
      <c r="H7002" s="19"/>
    </row>
    <row r="7003">
      <c r="A7003" s="9"/>
      <c r="B7003" s="15"/>
      <c r="C7003" s="9">
        <f>IFERROR(__xludf.DUMMYFUNCTION("""COMPUTED_VALUE"""),45070.7506027546)</f>
        <v>45070.7506</v>
      </c>
      <c r="D7003" s="15">
        <f>IFERROR(__xludf.DUMMYFUNCTION("""COMPUTED_VALUE"""),1.01)</f>
        <v>1.01</v>
      </c>
      <c r="E7003" s="16">
        <f>IFERROR(__xludf.DUMMYFUNCTION("""COMPUTED_VALUE"""),65.0)</f>
        <v>65</v>
      </c>
      <c r="F7003" s="19" t="str">
        <f>IFERROR(__xludf.DUMMYFUNCTION("""COMPUTED_VALUE"""),"BLUE")</f>
        <v>BLUE</v>
      </c>
      <c r="G7003" s="20" t="str">
        <f>IFERROR(__xludf.DUMMYFUNCTION("""COMPUTED_VALUE"""),"Uncle Sams Cider (04/04/2023)")</f>
        <v>Uncle Sams Cider (04/04/2023)</v>
      </c>
      <c r="H7003" s="19"/>
    </row>
    <row r="7004">
      <c r="A7004" s="9"/>
      <c r="B7004" s="15"/>
      <c r="C7004" s="9">
        <f>IFERROR(__xludf.DUMMYFUNCTION("""COMPUTED_VALUE"""),45070.7401830324)</f>
        <v>45070.74018</v>
      </c>
      <c r="D7004" s="15">
        <f>IFERROR(__xludf.DUMMYFUNCTION("""COMPUTED_VALUE"""),1.01)</f>
        <v>1.01</v>
      </c>
      <c r="E7004" s="16">
        <f>IFERROR(__xludf.DUMMYFUNCTION("""COMPUTED_VALUE"""),65.0)</f>
        <v>65</v>
      </c>
      <c r="F7004" s="19" t="str">
        <f>IFERROR(__xludf.DUMMYFUNCTION("""COMPUTED_VALUE"""),"BLUE")</f>
        <v>BLUE</v>
      </c>
      <c r="G7004" s="20" t="str">
        <f>IFERROR(__xludf.DUMMYFUNCTION("""COMPUTED_VALUE"""),"Uncle Sams Cider (04/04/2023)")</f>
        <v>Uncle Sams Cider (04/04/2023)</v>
      </c>
      <c r="H7004" s="19"/>
    </row>
    <row r="7005">
      <c r="A7005" s="9"/>
      <c r="B7005" s="15"/>
      <c r="C7005" s="9">
        <f>IFERROR(__xludf.DUMMYFUNCTION("""COMPUTED_VALUE"""),45070.7297372222)</f>
        <v>45070.72974</v>
      </c>
      <c r="D7005" s="15">
        <f>IFERROR(__xludf.DUMMYFUNCTION("""COMPUTED_VALUE"""),1.01)</f>
        <v>1.01</v>
      </c>
      <c r="E7005" s="16">
        <f>IFERROR(__xludf.DUMMYFUNCTION("""COMPUTED_VALUE"""),65.0)</f>
        <v>65</v>
      </c>
      <c r="F7005" s="19" t="str">
        <f>IFERROR(__xludf.DUMMYFUNCTION("""COMPUTED_VALUE"""),"BLUE")</f>
        <v>BLUE</v>
      </c>
      <c r="G7005" s="20" t="str">
        <f>IFERROR(__xludf.DUMMYFUNCTION("""COMPUTED_VALUE"""),"Uncle Sams Cider (04/04/2023)")</f>
        <v>Uncle Sams Cider (04/04/2023)</v>
      </c>
      <c r="H7005" s="19"/>
    </row>
    <row r="7006">
      <c r="A7006" s="9"/>
      <c r="B7006" s="15"/>
      <c r="C7006" s="9">
        <f>IFERROR(__xludf.DUMMYFUNCTION("""COMPUTED_VALUE"""),45070.7193155671)</f>
        <v>45070.71932</v>
      </c>
      <c r="D7006" s="15">
        <f>IFERROR(__xludf.DUMMYFUNCTION("""COMPUTED_VALUE"""),1.01)</f>
        <v>1.01</v>
      </c>
      <c r="E7006" s="16">
        <f>IFERROR(__xludf.DUMMYFUNCTION("""COMPUTED_VALUE"""),65.0)</f>
        <v>65</v>
      </c>
      <c r="F7006" s="19" t="str">
        <f>IFERROR(__xludf.DUMMYFUNCTION("""COMPUTED_VALUE"""),"BLUE")</f>
        <v>BLUE</v>
      </c>
      <c r="G7006" s="20" t="str">
        <f>IFERROR(__xludf.DUMMYFUNCTION("""COMPUTED_VALUE"""),"Uncle Sams Cider (04/04/2023)")</f>
        <v>Uncle Sams Cider (04/04/2023)</v>
      </c>
      <c r="H7006" s="19"/>
    </row>
    <row r="7007">
      <c r="A7007" s="9"/>
      <c r="B7007" s="15"/>
      <c r="C7007" s="9">
        <f>IFERROR(__xludf.DUMMYFUNCTION("""COMPUTED_VALUE"""),45070.7088939004)</f>
        <v>45070.70889</v>
      </c>
      <c r="D7007" s="15">
        <f>IFERROR(__xludf.DUMMYFUNCTION("""COMPUTED_VALUE"""),1.01)</f>
        <v>1.01</v>
      </c>
      <c r="E7007" s="16">
        <f>IFERROR(__xludf.DUMMYFUNCTION("""COMPUTED_VALUE"""),65.0)</f>
        <v>65</v>
      </c>
      <c r="F7007" s="19" t="str">
        <f>IFERROR(__xludf.DUMMYFUNCTION("""COMPUTED_VALUE"""),"BLUE")</f>
        <v>BLUE</v>
      </c>
      <c r="G7007" s="20" t="str">
        <f>IFERROR(__xludf.DUMMYFUNCTION("""COMPUTED_VALUE"""),"Uncle Sams Cider (04/04/2023)")</f>
        <v>Uncle Sams Cider (04/04/2023)</v>
      </c>
      <c r="H7007" s="19"/>
    </row>
    <row r="7008">
      <c r="A7008" s="9"/>
      <c r="B7008" s="15"/>
      <c r="C7008" s="9">
        <f>IFERROR(__xludf.DUMMYFUNCTION("""COMPUTED_VALUE"""),45070.6984602546)</f>
        <v>45070.69846</v>
      </c>
      <c r="D7008" s="15">
        <f>IFERROR(__xludf.DUMMYFUNCTION("""COMPUTED_VALUE"""),1.01)</f>
        <v>1.01</v>
      </c>
      <c r="E7008" s="16">
        <f>IFERROR(__xludf.DUMMYFUNCTION("""COMPUTED_VALUE"""),65.0)</f>
        <v>65</v>
      </c>
      <c r="F7008" s="19" t="str">
        <f>IFERROR(__xludf.DUMMYFUNCTION("""COMPUTED_VALUE"""),"BLUE")</f>
        <v>BLUE</v>
      </c>
      <c r="G7008" s="20" t="str">
        <f>IFERROR(__xludf.DUMMYFUNCTION("""COMPUTED_VALUE"""),"Uncle Sams Cider (04/04/2023)")</f>
        <v>Uncle Sams Cider (04/04/2023)</v>
      </c>
      <c r="H7008" s="19"/>
    </row>
    <row r="7009">
      <c r="A7009" s="9"/>
      <c r="B7009" s="15"/>
      <c r="C7009" s="9">
        <f>IFERROR(__xludf.DUMMYFUNCTION("""COMPUTED_VALUE"""),45070.6880389467)</f>
        <v>45070.68804</v>
      </c>
      <c r="D7009" s="15">
        <f>IFERROR(__xludf.DUMMYFUNCTION("""COMPUTED_VALUE"""),1.01)</f>
        <v>1.01</v>
      </c>
      <c r="E7009" s="16">
        <f>IFERROR(__xludf.DUMMYFUNCTION("""COMPUTED_VALUE"""),65.0)</f>
        <v>65</v>
      </c>
      <c r="F7009" s="19" t="str">
        <f>IFERROR(__xludf.DUMMYFUNCTION("""COMPUTED_VALUE"""),"BLUE")</f>
        <v>BLUE</v>
      </c>
      <c r="G7009" s="20" t="str">
        <f>IFERROR(__xludf.DUMMYFUNCTION("""COMPUTED_VALUE"""),"Uncle Sams Cider (04/04/2023)")</f>
        <v>Uncle Sams Cider (04/04/2023)</v>
      </c>
      <c r="H7009" s="19"/>
    </row>
    <row r="7010">
      <c r="A7010" s="9"/>
      <c r="B7010" s="15"/>
      <c r="C7010" s="9">
        <f>IFERROR(__xludf.DUMMYFUNCTION("""COMPUTED_VALUE"""),45070.6776170949)</f>
        <v>45070.67762</v>
      </c>
      <c r="D7010" s="15">
        <f>IFERROR(__xludf.DUMMYFUNCTION("""COMPUTED_VALUE"""),1.01)</f>
        <v>1.01</v>
      </c>
      <c r="E7010" s="16">
        <f>IFERROR(__xludf.DUMMYFUNCTION("""COMPUTED_VALUE"""),65.0)</f>
        <v>65</v>
      </c>
      <c r="F7010" s="19" t="str">
        <f>IFERROR(__xludf.DUMMYFUNCTION("""COMPUTED_VALUE"""),"BLUE")</f>
        <v>BLUE</v>
      </c>
      <c r="G7010" s="20" t="str">
        <f>IFERROR(__xludf.DUMMYFUNCTION("""COMPUTED_VALUE"""),"Uncle Sams Cider (04/04/2023)")</f>
        <v>Uncle Sams Cider (04/04/2023)</v>
      </c>
      <c r="H7010" s="19"/>
    </row>
    <row r="7011">
      <c r="A7011" s="9"/>
      <c r="B7011" s="15"/>
      <c r="C7011" s="9">
        <f>IFERROR(__xludf.DUMMYFUNCTION("""COMPUTED_VALUE"""),45070.6671952893)</f>
        <v>45070.6672</v>
      </c>
      <c r="D7011" s="15">
        <f>IFERROR(__xludf.DUMMYFUNCTION("""COMPUTED_VALUE"""),1.01)</f>
        <v>1.01</v>
      </c>
      <c r="E7011" s="16">
        <f>IFERROR(__xludf.DUMMYFUNCTION("""COMPUTED_VALUE"""),65.0)</f>
        <v>65</v>
      </c>
      <c r="F7011" s="19" t="str">
        <f>IFERROR(__xludf.DUMMYFUNCTION("""COMPUTED_VALUE"""),"BLUE")</f>
        <v>BLUE</v>
      </c>
      <c r="G7011" s="20" t="str">
        <f>IFERROR(__xludf.DUMMYFUNCTION("""COMPUTED_VALUE"""),"Uncle Sams Cider (04/04/2023)")</f>
        <v>Uncle Sams Cider (04/04/2023)</v>
      </c>
      <c r="H7011" s="19"/>
    </row>
    <row r="7012">
      <c r="A7012" s="9"/>
      <c r="B7012" s="15"/>
      <c r="C7012" s="9">
        <f>IFERROR(__xludf.DUMMYFUNCTION("""COMPUTED_VALUE"""),45070.6567629629)</f>
        <v>45070.65676</v>
      </c>
      <c r="D7012" s="15">
        <f>IFERROR(__xludf.DUMMYFUNCTION("""COMPUTED_VALUE"""),1.01)</f>
        <v>1.01</v>
      </c>
      <c r="E7012" s="16">
        <f>IFERROR(__xludf.DUMMYFUNCTION("""COMPUTED_VALUE"""),65.0)</f>
        <v>65</v>
      </c>
      <c r="F7012" s="19" t="str">
        <f>IFERROR(__xludf.DUMMYFUNCTION("""COMPUTED_VALUE"""),"BLUE")</f>
        <v>BLUE</v>
      </c>
      <c r="G7012" s="20" t="str">
        <f>IFERROR(__xludf.DUMMYFUNCTION("""COMPUTED_VALUE"""),"Uncle Sams Cider (04/04/2023)")</f>
        <v>Uncle Sams Cider (04/04/2023)</v>
      </c>
      <c r="H7012" s="19"/>
    </row>
    <row r="7013">
      <c r="A7013" s="9"/>
      <c r="B7013" s="15"/>
      <c r="C7013" s="9">
        <f>IFERROR(__xludf.DUMMYFUNCTION("""COMPUTED_VALUE"""),45070.6463404745)</f>
        <v>45070.64634</v>
      </c>
      <c r="D7013" s="15">
        <f>IFERROR(__xludf.DUMMYFUNCTION("""COMPUTED_VALUE"""),1.01)</f>
        <v>1.01</v>
      </c>
      <c r="E7013" s="16">
        <f>IFERROR(__xludf.DUMMYFUNCTION("""COMPUTED_VALUE"""),65.0)</f>
        <v>65</v>
      </c>
      <c r="F7013" s="19" t="str">
        <f>IFERROR(__xludf.DUMMYFUNCTION("""COMPUTED_VALUE"""),"BLUE")</f>
        <v>BLUE</v>
      </c>
      <c r="G7013" s="20" t="str">
        <f>IFERROR(__xludf.DUMMYFUNCTION("""COMPUTED_VALUE"""),"Uncle Sams Cider (04/04/2023)")</f>
        <v>Uncle Sams Cider (04/04/2023)</v>
      </c>
      <c r="H7013" s="19"/>
    </row>
    <row r="7014">
      <c r="A7014" s="9"/>
      <c r="B7014" s="15"/>
      <c r="C7014" s="9">
        <f>IFERROR(__xludf.DUMMYFUNCTION("""COMPUTED_VALUE"""),45070.6359211689)</f>
        <v>45070.63592</v>
      </c>
      <c r="D7014" s="15">
        <f>IFERROR(__xludf.DUMMYFUNCTION("""COMPUTED_VALUE"""),1.01)</f>
        <v>1.01</v>
      </c>
      <c r="E7014" s="16">
        <f>IFERROR(__xludf.DUMMYFUNCTION("""COMPUTED_VALUE"""),65.0)</f>
        <v>65</v>
      </c>
      <c r="F7014" s="19" t="str">
        <f>IFERROR(__xludf.DUMMYFUNCTION("""COMPUTED_VALUE"""),"BLUE")</f>
        <v>BLUE</v>
      </c>
      <c r="G7014" s="20" t="str">
        <f>IFERROR(__xludf.DUMMYFUNCTION("""COMPUTED_VALUE"""),"Uncle Sams Cider (04/04/2023)")</f>
        <v>Uncle Sams Cider (04/04/2023)</v>
      </c>
      <c r="H7014" s="19"/>
    </row>
    <row r="7015">
      <c r="A7015" s="9"/>
      <c r="B7015" s="15"/>
      <c r="C7015" s="9">
        <f>IFERROR(__xludf.DUMMYFUNCTION("""COMPUTED_VALUE"""),45070.6254983449)</f>
        <v>45070.6255</v>
      </c>
      <c r="D7015" s="15">
        <f>IFERROR(__xludf.DUMMYFUNCTION("""COMPUTED_VALUE"""),1.01)</f>
        <v>1.01</v>
      </c>
      <c r="E7015" s="16">
        <f>IFERROR(__xludf.DUMMYFUNCTION("""COMPUTED_VALUE"""),65.0)</f>
        <v>65</v>
      </c>
      <c r="F7015" s="19" t="str">
        <f>IFERROR(__xludf.DUMMYFUNCTION("""COMPUTED_VALUE"""),"BLUE")</f>
        <v>BLUE</v>
      </c>
      <c r="G7015" s="20" t="str">
        <f>IFERROR(__xludf.DUMMYFUNCTION("""COMPUTED_VALUE"""),"Uncle Sams Cider (04/04/2023)")</f>
        <v>Uncle Sams Cider (04/04/2023)</v>
      </c>
      <c r="H7015" s="19"/>
    </row>
    <row r="7016">
      <c r="A7016" s="9"/>
      <c r="B7016" s="15"/>
      <c r="C7016" s="9">
        <f>IFERROR(__xludf.DUMMYFUNCTION("""COMPUTED_VALUE"""),45070.6150773032)</f>
        <v>45070.61508</v>
      </c>
      <c r="D7016" s="15">
        <f>IFERROR(__xludf.DUMMYFUNCTION("""COMPUTED_VALUE"""),1.01)</f>
        <v>1.01</v>
      </c>
      <c r="E7016" s="16">
        <f>IFERROR(__xludf.DUMMYFUNCTION("""COMPUTED_VALUE"""),65.0)</f>
        <v>65</v>
      </c>
      <c r="F7016" s="19" t="str">
        <f>IFERROR(__xludf.DUMMYFUNCTION("""COMPUTED_VALUE"""),"BLUE")</f>
        <v>BLUE</v>
      </c>
      <c r="G7016" s="20" t="str">
        <f>IFERROR(__xludf.DUMMYFUNCTION("""COMPUTED_VALUE"""),"Uncle Sams Cider (04/04/2023)")</f>
        <v>Uncle Sams Cider (04/04/2023)</v>
      </c>
      <c r="H7016" s="19"/>
    </row>
    <row r="7017">
      <c r="A7017" s="9"/>
      <c r="B7017" s="15"/>
      <c r="C7017" s="9">
        <f>IFERROR(__xludf.DUMMYFUNCTION("""COMPUTED_VALUE"""),45070.604657037)</f>
        <v>45070.60466</v>
      </c>
      <c r="D7017" s="15">
        <f>IFERROR(__xludf.DUMMYFUNCTION("""COMPUTED_VALUE"""),1.01)</f>
        <v>1.01</v>
      </c>
      <c r="E7017" s="16">
        <f>IFERROR(__xludf.DUMMYFUNCTION("""COMPUTED_VALUE"""),65.0)</f>
        <v>65</v>
      </c>
      <c r="F7017" s="19" t="str">
        <f>IFERROR(__xludf.DUMMYFUNCTION("""COMPUTED_VALUE"""),"BLUE")</f>
        <v>BLUE</v>
      </c>
      <c r="G7017" s="20" t="str">
        <f>IFERROR(__xludf.DUMMYFUNCTION("""COMPUTED_VALUE"""),"Uncle Sams Cider (04/04/2023)")</f>
        <v>Uncle Sams Cider (04/04/2023)</v>
      </c>
      <c r="H7017" s="19"/>
    </row>
    <row r="7018">
      <c r="A7018" s="9"/>
      <c r="B7018" s="15"/>
      <c r="C7018" s="9">
        <f>IFERROR(__xludf.DUMMYFUNCTION("""COMPUTED_VALUE"""),45070.5942345023)</f>
        <v>45070.59423</v>
      </c>
      <c r="D7018" s="15">
        <f>IFERROR(__xludf.DUMMYFUNCTION("""COMPUTED_VALUE"""),1.01)</f>
        <v>1.01</v>
      </c>
      <c r="E7018" s="16">
        <f>IFERROR(__xludf.DUMMYFUNCTION("""COMPUTED_VALUE"""),65.0)</f>
        <v>65</v>
      </c>
      <c r="F7018" s="19" t="str">
        <f>IFERROR(__xludf.DUMMYFUNCTION("""COMPUTED_VALUE"""),"BLUE")</f>
        <v>BLUE</v>
      </c>
      <c r="G7018" s="20" t="str">
        <f>IFERROR(__xludf.DUMMYFUNCTION("""COMPUTED_VALUE"""),"Uncle Sams Cider (04/04/2023)")</f>
        <v>Uncle Sams Cider (04/04/2023)</v>
      </c>
      <c r="H7018" s="19"/>
    </row>
    <row r="7019">
      <c r="A7019" s="9"/>
      <c r="B7019" s="15"/>
      <c r="C7019" s="9">
        <f>IFERROR(__xludf.DUMMYFUNCTION("""COMPUTED_VALUE"""),45070.5838147916)</f>
        <v>45070.58381</v>
      </c>
      <c r="D7019" s="15">
        <f>IFERROR(__xludf.DUMMYFUNCTION("""COMPUTED_VALUE"""),1.01)</f>
        <v>1.01</v>
      </c>
      <c r="E7019" s="16">
        <f>IFERROR(__xludf.DUMMYFUNCTION("""COMPUTED_VALUE"""),65.0)</f>
        <v>65</v>
      </c>
      <c r="F7019" s="19" t="str">
        <f>IFERROR(__xludf.DUMMYFUNCTION("""COMPUTED_VALUE"""),"BLUE")</f>
        <v>BLUE</v>
      </c>
      <c r="G7019" s="20" t="str">
        <f>IFERROR(__xludf.DUMMYFUNCTION("""COMPUTED_VALUE"""),"Uncle Sams Cider (04/04/2023)")</f>
        <v>Uncle Sams Cider (04/04/2023)</v>
      </c>
      <c r="H7019" s="19"/>
    </row>
    <row r="7020">
      <c r="A7020" s="9"/>
      <c r="B7020" s="15"/>
      <c r="C7020" s="9">
        <f>IFERROR(__xludf.DUMMYFUNCTION("""COMPUTED_VALUE"""),45070.5733934259)</f>
        <v>45070.57339</v>
      </c>
      <c r="D7020" s="15">
        <f>IFERROR(__xludf.DUMMYFUNCTION("""COMPUTED_VALUE"""),1.01)</f>
        <v>1.01</v>
      </c>
      <c r="E7020" s="16">
        <f>IFERROR(__xludf.DUMMYFUNCTION("""COMPUTED_VALUE"""),65.0)</f>
        <v>65</v>
      </c>
      <c r="F7020" s="19" t="str">
        <f>IFERROR(__xludf.DUMMYFUNCTION("""COMPUTED_VALUE"""),"BLUE")</f>
        <v>BLUE</v>
      </c>
      <c r="G7020" s="20" t="str">
        <f>IFERROR(__xludf.DUMMYFUNCTION("""COMPUTED_VALUE"""),"Uncle Sams Cider (04/04/2023)")</f>
        <v>Uncle Sams Cider (04/04/2023)</v>
      </c>
      <c r="H7020" s="19"/>
    </row>
    <row r="7021">
      <c r="A7021" s="9"/>
      <c r="B7021" s="15"/>
      <c r="C7021" s="9">
        <f>IFERROR(__xludf.DUMMYFUNCTION("""COMPUTED_VALUE"""),45070.5629490046)</f>
        <v>45070.56295</v>
      </c>
      <c r="D7021" s="15">
        <f>IFERROR(__xludf.DUMMYFUNCTION("""COMPUTED_VALUE"""),1.01)</f>
        <v>1.01</v>
      </c>
      <c r="E7021" s="16">
        <f>IFERROR(__xludf.DUMMYFUNCTION("""COMPUTED_VALUE"""),65.0)</f>
        <v>65</v>
      </c>
      <c r="F7021" s="19" t="str">
        <f>IFERROR(__xludf.DUMMYFUNCTION("""COMPUTED_VALUE"""),"BLUE")</f>
        <v>BLUE</v>
      </c>
      <c r="G7021" s="20" t="str">
        <f>IFERROR(__xludf.DUMMYFUNCTION("""COMPUTED_VALUE"""),"Uncle Sams Cider (04/04/2023)")</f>
        <v>Uncle Sams Cider (04/04/2023)</v>
      </c>
      <c r="H7021" s="19"/>
    </row>
    <row r="7022">
      <c r="A7022" s="9"/>
      <c r="B7022" s="15"/>
      <c r="C7022" s="9">
        <f>IFERROR(__xludf.DUMMYFUNCTION("""COMPUTED_VALUE"""),45070.5525270254)</f>
        <v>45070.55253</v>
      </c>
      <c r="D7022" s="15">
        <f>IFERROR(__xludf.DUMMYFUNCTION("""COMPUTED_VALUE"""),1.01)</f>
        <v>1.01</v>
      </c>
      <c r="E7022" s="16">
        <f>IFERROR(__xludf.DUMMYFUNCTION("""COMPUTED_VALUE"""),65.0)</f>
        <v>65</v>
      </c>
      <c r="F7022" s="19" t="str">
        <f>IFERROR(__xludf.DUMMYFUNCTION("""COMPUTED_VALUE"""),"BLUE")</f>
        <v>BLUE</v>
      </c>
      <c r="G7022" s="20" t="str">
        <f>IFERROR(__xludf.DUMMYFUNCTION("""COMPUTED_VALUE"""),"Uncle Sams Cider (04/04/2023)")</f>
        <v>Uncle Sams Cider (04/04/2023)</v>
      </c>
      <c r="H7022" s="19"/>
    </row>
    <row r="7023">
      <c r="A7023" s="9"/>
      <c r="B7023" s="15"/>
      <c r="C7023" s="9">
        <f>IFERROR(__xludf.DUMMYFUNCTION("""COMPUTED_VALUE"""),45070.5421072916)</f>
        <v>45070.54211</v>
      </c>
      <c r="D7023" s="15">
        <f>IFERROR(__xludf.DUMMYFUNCTION("""COMPUTED_VALUE"""),1.01)</f>
        <v>1.01</v>
      </c>
      <c r="E7023" s="16">
        <f>IFERROR(__xludf.DUMMYFUNCTION("""COMPUTED_VALUE"""),65.0)</f>
        <v>65</v>
      </c>
      <c r="F7023" s="19" t="str">
        <f>IFERROR(__xludf.DUMMYFUNCTION("""COMPUTED_VALUE"""),"BLUE")</f>
        <v>BLUE</v>
      </c>
      <c r="G7023" s="20" t="str">
        <f>IFERROR(__xludf.DUMMYFUNCTION("""COMPUTED_VALUE"""),"Uncle Sams Cider (04/04/2023)")</f>
        <v>Uncle Sams Cider (04/04/2023)</v>
      </c>
      <c r="H7023" s="19"/>
    </row>
    <row r="7024">
      <c r="A7024" s="9"/>
      <c r="B7024" s="15"/>
      <c r="C7024" s="9">
        <f>IFERROR(__xludf.DUMMYFUNCTION("""COMPUTED_VALUE"""),45070.5316860185)</f>
        <v>45070.53169</v>
      </c>
      <c r="D7024" s="15">
        <f>IFERROR(__xludf.DUMMYFUNCTION("""COMPUTED_VALUE"""),1.01)</f>
        <v>1.01</v>
      </c>
      <c r="E7024" s="16">
        <f>IFERROR(__xludf.DUMMYFUNCTION("""COMPUTED_VALUE"""),65.0)</f>
        <v>65</v>
      </c>
      <c r="F7024" s="19" t="str">
        <f>IFERROR(__xludf.DUMMYFUNCTION("""COMPUTED_VALUE"""),"BLUE")</f>
        <v>BLUE</v>
      </c>
      <c r="G7024" s="20" t="str">
        <f>IFERROR(__xludf.DUMMYFUNCTION("""COMPUTED_VALUE"""),"Uncle Sams Cider (04/04/2023)")</f>
        <v>Uncle Sams Cider (04/04/2023)</v>
      </c>
      <c r="H7024" s="19"/>
    </row>
    <row r="7025">
      <c r="A7025" s="9"/>
      <c r="B7025" s="15"/>
      <c r="C7025" s="9">
        <f>IFERROR(__xludf.DUMMYFUNCTION("""COMPUTED_VALUE"""),45070.5212657754)</f>
        <v>45070.52127</v>
      </c>
      <c r="D7025" s="15">
        <f>IFERROR(__xludf.DUMMYFUNCTION("""COMPUTED_VALUE"""),1.01)</f>
        <v>1.01</v>
      </c>
      <c r="E7025" s="16">
        <f>IFERROR(__xludf.DUMMYFUNCTION("""COMPUTED_VALUE"""),65.0)</f>
        <v>65</v>
      </c>
      <c r="F7025" s="19" t="str">
        <f>IFERROR(__xludf.DUMMYFUNCTION("""COMPUTED_VALUE"""),"BLUE")</f>
        <v>BLUE</v>
      </c>
      <c r="G7025" s="20" t="str">
        <f>IFERROR(__xludf.DUMMYFUNCTION("""COMPUTED_VALUE"""),"Uncle Sams Cider (04/04/2023)")</f>
        <v>Uncle Sams Cider (04/04/2023)</v>
      </c>
      <c r="H7025" s="19"/>
    </row>
    <row r="7026">
      <c r="A7026" s="9"/>
      <c r="B7026" s="15"/>
      <c r="C7026" s="9">
        <f>IFERROR(__xludf.DUMMYFUNCTION("""COMPUTED_VALUE"""),45070.5108332523)</f>
        <v>45070.51083</v>
      </c>
      <c r="D7026" s="15">
        <f>IFERROR(__xludf.DUMMYFUNCTION("""COMPUTED_VALUE"""),1.01)</f>
        <v>1.01</v>
      </c>
      <c r="E7026" s="16">
        <f>IFERROR(__xludf.DUMMYFUNCTION("""COMPUTED_VALUE"""),65.0)</f>
        <v>65</v>
      </c>
      <c r="F7026" s="19" t="str">
        <f>IFERROR(__xludf.DUMMYFUNCTION("""COMPUTED_VALUE"""),"BLUE")</f>
        <v>BLUE</v>
      </c>
      <c r="G7026" s="20" t="str">
        <f>IFERROR(__xludf.DUMMYFUNCTION("""COMPUTED_VALUE"""),"Uncle Sams Cider (04/04/2023)")</f>
        <v>Uncle Sams Cider (04/04/2023)</v>
      </c>
      <c r="H7026" s="19"/>
    </row>
    <row r="7027">
      <c r="A7027" s="9"/>
      <c r="B7027" s="15"/>
      <c r="C7027" s="9">
        <f>IFERROR(__xludf.DUMMYFUNCTION("""COMPUTED_VALUE"""),45070.5004012268)</f>
        <v>45070.5004</v>
      </c>
      <c r="D7027" s="15">
        <f>IFERROR(__xludf.DUMMYFUNCTION("""COMPUTED_VALUE"""),1.01)</f>
        <v>1.01</v>
      </c>
      <c r="E7027" s="16">
        <f>IFERROR(__xludf.DUMMYFUNCTION("""COMPUTED_VALUE"""),65.0)</f>
        <v>65</v>
      </c>
      <c r="F7027" s="19" t="str">
        <f>IFERROR(__xludf.DUMMYFUNCTION("""COMPUTED_VALUE"""),"BLUE")</f>
        <v>BLUE</v>
      </c>
      <c r="G7027" s="20" t="str">
        <f>IFERROR(__xludf.DUMMYFUNCTION("""COMPUTED_VALUE"""),"Uncle Sams Cider (04/04/2023)")</f>
        <v>Uncle Sams Cider (04/04/2023)</v>
      </c>
      <c r="H7027" s="19"/>
    </row>
    <row r="7028">
      <c r="A7028" s="9"/>
      <c r="B7028" s="15"/>
      <c r="C7028" s="9">
        <f>IFERROR(__xludf.DUMMYFUNCTION("""COMPUTED_VALUE"""),45070.4899810069)</f>
        <v>45070.48998</v>
      </c>
      <c r="D7028" s="15">
        <f>IFERROR(__xludf.DUMMYFUNCTION("""COMPUTED_VALUE"""),1.01)</f>
        <v>1.01</v>
      </c>
      <c r="E7028" s="16">
        <f>IFERROR(__xludf.DUMMYFUNCTION("""COMPUTED_VALUE"""),65.0)</f>
        <v>65</v>
      </c>
      <c r="F7028" s="19" t="str">
        <f>IFERROR(__xludf.DUMMYFUNCTION("""COMPUTED_VALUE"""),"BLUE")</f>
        <v>BLUE</v>
      </c>
      <c r="G7028" s="20" t="str">
        <f>IFERROR(__xludf.DUMMYFUNCTION("""COMPUTED_VALUE"""),"Uncle Sams Cider (04/04/2023)")</f>
        <v>Uncle Sams Cider (04/04/2023)</v>
      </c>
      <c r="H7028" s="19"/>
    </row>
    <row r="7029">
      <c r="A7029" s="9"/>
      <c r="B7029" s="15"/>
      <c r="C7029" s="9">
        <f>IFERROR(__xludf.DUMMYFUNCTION("""COMPUTED_VALUE"""),45070.4795589467)</f>
        <v>45070.47956</v>
      </c>
      <c r="D7029" s="15">
        <f>IFERROR(__xludf.DUMMYFUNCTION("""COMPUTED_VALUE"""),1.01)</f>
        <v>1.01</v>
      </c>
      <c r="E7029" s="16">
        <f>IFERROR(__xludf.DUMMYFUNCTION("""COMPUTED_VALUE"""),65.0)</f>
        <v>65</v>
      </c>
      <c r="F7029" s="19" t="str">
        <f>IFERROR(__xludf.DUMMYFUNCTION("""COMPUTED_VALUE"""),"BLUE")</f>
        <v>BLUE</v>
      </c>
      <c r="G7029" s="20" t="str">
        <f>IFERROR(__xludf.DUMMYFUNCTION("""COMPUTED_VALUE"""),"Uncle Sams Cider (04/04/2023)")</f>
        <v>Uncle Sams Cider (04/04/2023)</v>
      </c>
      <c r="H7029" s="19"/>
    </row>
    <row r="7030">
      <c r="A7030" s="9"/>
      <c r="B7030" s="15"/>
      <c r="C7030" s="9">
        <f>IFERROR(__xludf.DUMMYFUNCTION("""COMPUTED_VALUE"""),45070.4691374652)</f>
        <v>45070.46914</v>
      </c>
      <c r="D7030" s="15">
        <f>IFERROR(__xludf.DUMMYFUNCTION("""COMPUTED_VALUE"""),1.01)</f>
        <v>1.01</v>
      </c>
      <c r="E7030" s="16">
        <f>IFERROR(__xludf.DUMMYFUNCTION("""COMPUTED_VALUE"""),65.0)</f>
        <v>65</v>
      </c>
      <c r="F7030" s="19" t="str">
        <f>IFERROR(__xludf.DUMMYFUNCTION("""COMPUTED_VALUE"""),"BLUE")</f>
        <v>BLUE</v>
      </c>
      <c r="G7030" s="20" t="str">
        <f>IFERROR(__xludf.DUMMYFUNCTION("""COMPUTED_VALUE"""),"Uncle Sams Cider (04/04/2023)")</f>
        <v>Uncle Sams Cider (04/04/2023)</v>
      </c>
      <c r="H7030" s="19"/>
    </row>
    <row r="7031">
      <c r="A7031" s="9"/>
      <c r="B7031" s="15"/>
      <c r="C7031" s="9">
        <f>IFERROR(__xludf.DUMMYFUNCTION("""COMPUTED_VALUE"""),45070.4587170486)</f>
        <v>45070.45872</v>
      </c>
      <c r="D7031" s="15">
        <f>IFERROR(__xludf.DUMMYFUNCTION("""COMPUTED_VALUE"""),1.01)</f>
        <v>1.01</v>
      </c>
      <c r="E7031" s="16">
        <f>IFERROR(__xludf.DUMMYFUNCTION("""COMPUTED_VALUE"""),65.0)</f>
        <v>65</v>
      </c>
      <c r="F7031" s="19" t="str">
        <f>IFERROR(__xludf.DUMMYFUNCTION("""COMPUTED_VALUE"""),"BLUE")</f>
        <v>BLUE</v>
      </c>
      <c r="G7031" s="20" t="str">
        <f>IFERROR(__xludf.DUMMYFUNCTION("""COMPUTED_VALUE"""),"Uncle Sams Cider (04/04/2023)")</f>
        <v>Uncle Sams Cider (04/04/2023)</v>
      </c>
      <c r="H7031" s="19"/>
    </row>
    <row r="7032">
      <c r="A7032" s="9"/>
      <c r="B7032" s="15"/>
      <c r="C7032" s="9">
        <f>IFERROR(__xludf.DUMMYFUNCTION("""COMPUTED_VALUE"""),45070.448295324)</f>
        <v>45070.4483</v>
      </c>
      <c r="D7032" s="15">
        <f>IFERROR(__xludf.DUMMYFUNCTION("""COMPUTED_VALUE"""),1.01)</f>
        <v>1.01</v>
      </c>
      <c r="E7032" s="16">
        <f>IFERROR(__xludf.DUMMYFUNCTION("""COMPUTED_VALUE"""),65.0)</f>
        <v>65</v>
      </c>
      <c r="F7032" s="19" t="str">
        <f>IFERROR(__xludf.DUMMYFUNCTION("""COMPUTED_VALUE"""),"BLUE")</f>
        <v>BLUE</v>
      </c>
      <c r="G7032" s="20" t="str">
        <f>IFERROR(__xludf.DUMMYFUNCTION("""COMPUTED_VALUE"""),"Uncle Sams Cider (04/04/2023)")</f>
        <v>Uncle Sams Cider (04/04/2023)</v>
      </c>
      <c r="H7032" s="19"/>
    </row>
    <row r="7033">
      <c r="A7033" s="9"/>
      <c r="B7033" s="15"/>
      <c r="C7033" s="9">
        <f>IFERROR(__xludf.DUMMYFUNCTION("""COMPUTED_VALUE"""),45070.4378625)</f>
        <v>45070.43786</v>
      </c>
      <c r="D7033" s="15">
        <f>IFERROR(__xludf.DUMMYFUNCTION("""COMPUTED_VALUE"""),1.01)</f>
        <v>1.01</v>
      </c>
      <c r="E7033" s="16">
        <f>IFERROR(__xludf.DUMMYFUNCTION("""COMPUTED_VALUE"""),65.0)</f>
        <v>65</v>
      </c>
      <c r="F7033" s="19" t="str">
        <f>IFERROR(__xludf.DUMMYFUNCTION("""COMPUTED_VALUE"""),"BLUE")</f>
        <v>BLUE</v>
      </c>
      <c r="G7033" s="20" t="str">
        <f>IFERROR(__xludf.DUMMYFUNCTION("""COMPUTED_VALUE"""),"Uncle Sams Cider (04/04/2023)")</f>
        <v>Uncle Sams Cider (04/04/2023)</v>
      </c>
      <c r="H7033" s="19"/>
    </row>
    <row r="7034">
      <c r="A7034" s="9"/>
      <c r="B7034" s="15"/>
      <c r="C7034" s="9">
        <f>IFERROR(__xludf.DUMMYFUNCTION("""COMPUTED_VALUE"""),45070.4274415277)</f>
        <v>45070.42744</v>
      </c>
      <c r="D7034" s="15">
        <f>IFERROR(__xludf.DUMMYFUNCTION("""COMPUTED_VALUE"""),1.01)</f>
        <v>1.01</v>
      </c>
      <c r="E7034" s="16">
        <f>IFERROR(__xludf.DUMMYFUNCTION("""COMPUTED_VALUE"""),65.0)</f>
        <v>65</v>
      </c>
      <c r="F7034" s="19" t="str">
        <f>IFERROR(__xludf.DUMMYFUNCTION("""COMPUTED_VALUE"""),"BLUE")</f>
        <v>BLUE</v>
      </c>
      <c r="G7034" s="20" t="str">
        <f>IFERROR(__xludf.DUMMYFUNCTION("""COMPUTED_VALUE"""),"Uncle Sams Cider (04/04/2023)")</f>
        <v>Uncle Sams Cider (04/04/2023)</v>
      </c>
      <c r="H7034" s="19"/>
    </row>
    <row r="7035">
      <c r="A7035" s="9"/>
      <c r="B7035" s="15"/>
      <c r="C7035" s="9">
        <f>IFERROR(__xludf.DUMMYFUNCTION("""COMPUTED_VALUE"""),45070.416998206)</f>
        <v>45070.417</v>
      </c>
      <c r="D7035" s="15">
        <f>IFERROR(__xludf.DUMMYFUNCTION("""COMPUTED_VALUE"""),1.01)</f>
        <v>1.01</v>
      </c>
      <c r="E7035" s="16">
        <f>IFERROR(__xludf.DUMMYFUNCTION("""COMPUTED_VALUE"""),65.0)</f>
        <v>65</v>
      </c>
      <c r="F7035" s="19" t="str">
        <f>IFERROR(__xludf.DUMMYFUNCTION("""COMPUTED_VALUE"""),"BLUE")</f>
        <v>BLUE</v>
      </c>
      <c r="G7035" s="20" t="str">
        <f>IFERROR(__xludf.DUMMYFUNCTION("""COMPUTED_VALUE"""),"Uncle Sams Cider (04/04/2023)")</f>
        <v>Uncle Sams Cider (04/04/2023)</v>
      </c>
      <c r="H7035" s="19"/>
    </row>
    <row r="7036">
      <c r="A7036" s="9"/>
      <c r="B7036" s="15"/>
      <c r="C7036" s="9">
        <f>IFERROR(__xludf.DUMMYFUNCTION("""COMPUTED_VALUE"""),45070.4065660069)</f>
        <v>45070.40657</v>
      </c>
      <c r="D7036" s="15">
        <f>IFERROR(__xludf.DUMMYFUNCTION("""COMPUTED_VALUE"""),1.01)</f>
        <v>1.01</v>
      </c>
      <c r="E7036" s="16">
        <f>IFERROR(__xludf.DUMMYFUNCTION("""COMPUTED_VALUE"""),65.0)</f>
        <v>65</v>
      </c>
      <c r="F7036" s="19" t="str">
        <f>IFERROR(__xludf.DUMMYFUNCTION("""COMPUTED_VALUE"""),"BLUE")</f>
        <v>BLUE</v>
      </c>
      <c r="G7036" s="20" t="str">
        <f>IFERROR(__xludf.DUMMYFUNCTION("""COMPUTED_VALUE"""),"Uncle Sams Cider (04/04/2023)")</f>
        <v>Uncle Sams Cider (04/04/2023)</v>
      </c>
      <c r="H7036" s="19"/>
    </row>
    <row r="7037">
      <c r="A7037" s="9"/>
      <c r="B7037" s="15"/>
      <c r="C7037" s="9">
        <f>IFERROR(__xludf.DUMMYFUNCTION("""COMPUTED_VALUE"""),45070.3961444907)</f>
        <v>45070.39614</v>
      </c>
      <c r="D7037" s="15">
        <f>IFERROR(__xludf.DUMMYFUNCTION("""COMPUTED_VALUE"""),1.01)</f>
        <v>1.01</v>
      </c>
      <c r="E7037" s="16">
        <f>IFERROR(__xludf.DUMMYFUNCTION("""COMPUTED_VALUE"""),65.0)</f>
        <v>65</v>
      </c>
      <c r="F7037" s="19" t="str">
        <f>IFERROR(__xludf.DUMMYFUNCTION("""COMPUTED_VALUE"""),"BLUE")</f>
        <v>BLUE</v>
      </c>
      <c r="G7037" s="20" t="str">
        <f>IFERROR(__xludf.DUMMYFUNCTION("""COMPUTED_VALUE"""),"Uncle Sams Cider (04/04/2023)")</f>
        <v>Uncle Sams Cider (04/04/2023)</v>
      </c>
      <c r="H7037" s="19"/>
    </row>
    <row r="7038">
      <c r="A7038" s="9"/>
      <c r="B7038" s="15"/>
      <c r="C7038" s="9">
        <f>IFERROR(__xludf.DUMMYFUNCTION("""COMPUTED_VALUE"""),45070.3857124537)</f>
        <v>45070.38571</v>
      </c>
      <c r="D7038" s="15">
        <f>IFERROR(__xludf.DUMMYFUNCTION("""COMPUTED_VALUE"""),1.01)</f>
        <v>1.01</v>
      </c>
      <c r="E7038" s="16">
        <f>IFERROR(__xludf.DUMMYFUNCTION("""COMPUTED_VALUE"""),65.0)</f>
        <v>65</v>
      </c>
      <c r="F7038" s="19" t="str">
        <f>IFERROR(__xludf.DUMMYFUNCTION("""COMPUTED_VALUE"""),"BLUE")</f>
        <v>BLUE</v>
      </c>
      <c r="G7038" s="20" t="str">
        <f>IFERROR(__xludf.DUMMYFUNCTION("""COMPUTED_VALUE"""),"Uncle Sams Cider (04/04/2023)")</f>
        <v>Uncle Sams Cider (04/04/2023)</v>
      </c>
      <c r="H7038" s="19"/>
    </row>
    <row r="7039">
      <c r="A7039" s="9"/>
      <c r="B7039" s="15"/>
      <c r="C7039" s="9">
        <f>IFERROR(__xludf.DUMMYFUNCTION("""COMPUTED_VALUE"""),45070.3752919328)</f>
        <v>45070.37529</v>
      </c>
      <c r="D7039" s="15">
        <f>IFERROR(__xludf.DUMMYFUNCTION("""COMPUTED_VALUE"""),1.01)</f>
        <v>1.01</v>
      </c>
      <c r="E7039" s="16">
        <f>IFERROR(__xludf.DUMMYFUNCTION("""COMPUTED_VALUE"""),65.0)</f>
        <v>65</v>
      </c>
      <c r="F7039" s="19" t="str">
        <f>IFERROR(__xludf.DUMMYFUNCTION("""COMPUTED_VALUE"""),"BLUE")</f>
        <v>BLUE</v>
      </c>
      <c r="G7039" s="20" t="str">
        <f>IFERROR(__xludf.DUMMYFUNCTION("""COMPUTED_VALUE"""),"Uncle Sams Cider (04/04/2023)")</f>
        <v>Uncle Sams Cider (04/04/2023)</v>
      </c>
      <c r="H7039" s="19"/>
    </row>
    <row r="7040">
      <c r="A7040" s="9"/>
      <c r="B7040" s="15"/>
      <c r="C7040" s="9">
        <f>IFERROR(__xludf.DUMMYFUNCTION("""COMPUTED_VALUE"""),45070.3648590277)</f>
        <v>45070.36486</v>
      </c>
      <c r="D7040" s="15">
        <f>IFERROR(__xludf.DUMMYFUNCTION("""COMPUTED_VALUE"""),1.01)</f>
        <v>1.01</v>
      </c>
      <c r="E7040" s="16">
        <f>IFERROR(__xludf.DUMMYFUNCTION("""COMPUTED_VALUE"""),65.0)</f>
        <v>65</v>
      </c>
      <c r="F7040" s="19" t="str">
        <f>IFERROR(__xludf.DUMMYFUNCTION("""COMPUTED_VALUE"""),"BLUE")</f>
        <v>BLUE</v>
      </c>
      <c r="G7040" s="20" t="str">
        <f>IFERROR(__xludf.DUMMYFUNCTION("""COMPUTED_VALUE"""),"Uncle Sams Cider (04/04/2023)")</f>
        <v>Uncle Sams Cider (04/04/2023)</v>
      </c>
      <c r="H7040" s="19"/>
    </row>
    <row r="7041">
      <c r="A7041" s="9"/>
      <c r="B7041" s="15"/>
      <c r="C7041" s="9">
        <f>IFERROR(__xludf.DUMMYFUNCTION("""COMPUTED_VALUE"""),45070.3544257407)</f>
        <v>45070.35443</v>
      </c>
      <c r="D7041" s="15">
        <f>IFERROR(__xludf.DUMMYFUNCTION("""COMPUTED_VALUE"""),1.01)</f>
        <v>1.01</v>
      </c>
      <c r="E7041" s="16">
        <f>IFERROR(__xludf.DUMMYFUNCTION("""COMPUTED_VALUE"""),65.0)</f>
        <v>65</v>
      </c>
      <c r="F7041" s="19" t="str">
        <f>IFERROR(__xludf.DUMMYFUNCTION("""COMPUTED_VALUE"""),"BLUE")</f>
        <v>BLUE</v>
      </c>
      <c r="G7041" s="20" t="str">
        <f>IFERROR(__xludf.DUMMYFUNCTION("""COMPUTED_VALUE"""),"Uncle Sams Cider (04/04/2023)")</f>
        <v>Uncle Sams Cider (04/04/2023)</v>
      </c>
      <c r="H7041" s="19"/>
    </row>
    <row r="7042">
      <c r="A7042" s="9"/>
      <c r="B7042" s="15"/>
      <c r="C7042" s="9">
        <f>IFERROR(__xludf.DUMMYFUNCTION("""COMPUTED_VALUE"""),45070.3440043055)</f>
        <v>45070.344</v>
      </c>
      <c r="D7042" s="15">
        <f>IFERROR(__xludf.DUMMYFUNCTION("""COMPUTED_VALUE"""),1.01)</f>
        <v>1.01</v>
      </c>
      <c r="E7042" s="16">
        <f>IFERROR(__xludf.DUMMYFUNCTION("""COMPUTED_VALUE"""),65.0)</f>
        <v>65</v>
      </c>
      <c r="F7042" s="19" t="str">
        <f>IFERROR(__xludf.DUMMYFUNCTION("""COMPUTED_VALUE"""),"BLUE")</f>
        <v>BLUE</v>
      </c>
      <c r="G7042" s="20" t="str">
        <f>IFERROR(__xludf.DUMMYFUNCTION("""COMPUTED_VALUE"""),"Uncle Sams Cider (04/04/2023)")</f>
        <v>Uncle Sams Cider (04/04/2023)</v>
      </c>
      <c r="H7042" s="19"/>
    </row>
    <row r="7043">
      <c r="A7043" s="9"/>
      <c r="B7043" s="15"/>
      <c r="C7043" s="9">
        <f>IFERROR(__xludf.DUMMYFUNCTION("""COMPUTED_VALUE"""),45070.3127174421)</f>
        <v>45070.31272</v>
      </c>
      <c r="D7043" s="15">
        <f>IFERROR(__xludf.DUMMYFUNCTION("""COMPUTED_VALUE"""),1.01)</f>
        <v>1.01</v>
      </c>
      <c r="E7043" s="16">
        <f>IFERROR(__xludf.DUMMYFUNCTION("""COMPUTED_VALUE"""),65.0)</f>
        <v>65</v>
      </c>
      <c r="F7043" s="19" t="str">
        <f>IFERROR(__xludf.DUMMYFUNCTION("""COMPUTED_VALUE"""),"BLUE")</f>
        <v>BLUE</v>
      </c>
      <c r="G7043" s="20" t="str">
        <f>IFERROR(__xludf.DUMMYFUNCTION("""COMPUTED_VALUE"""),"Uncle Sams Cider (04/04/2023)")</f>
        <v>Uncle Sams Cider (04/04/2023)</v>
      </c>
      <c r="H7043" s="19"/>
    </row>
    <row r="7044">
      <c r="A7044" s="9"/>
      <c r="B7044" s="15"/>
      <c r="C7044" s="9">
        <f>IFERROR(__xludf.DUMMYFUNCTION("""COMPUTED_VALUE"""),45070.3022723495)</f>
        <v>45070.30227</v>
      </c>
      <c r="D7044" s="15">
        <f>IFERROR(__xludf.DUMMYFUNCTION("""COMPUTED_VALUE"""),1.01)</f>
        <v>1.01</v>
      </c>
      <c r="E7044" s="16">
        <f>IFERROR(__xludf.DUMMYFUNCTION("""COMPUTED_VALUE"""),65.0)</f>
        <v>65</v>
      </c>
      <c r="F7044" s="19" t="str">
        <f>IFERROR(__xludf.DUMMYFUNCTION("""COMPUTED_VALUE"""),"BLUE")</f>
        <v>BLUE</v>
      </c>
      <c r="G7044" s="20" t="str">
        <f>IFERROR(__xludf.DUMMYFUNCTION("""COMPUTED_VALUE"""),"Uncle Sams Cider (04/04/2023)")</f>
        <v>Uncle Sams Cider (04/04/2023)</v>
      </c>
      <c r="H7044" s="19"/>
    </row>
    <row r="7045">
      <c r="A7045" s="9"/>
      <c r="B7045" s="15"/>
      <c r="C7045" s="9">
        <f>IFERROR(__xludf.DUMMYFUNCTION("""COMPUTED_VALUE"""),45070.2918523611)</f>
        <v>45070.29185</v>
      </c>
      <c r="D7045" s="15">
        <f>IFERROR(__xludf.DUMMYFUNCTION("""COMPUTED_VALUE"""),1.01)</f>
        <v>1.01</v>
      </c>
      <c r="E7045" s="16">
        <f>IFERROR(__xludf.DUMMYFUNCTION("""COMPUTED_VALUE"""),65.0)</f>
        <v>65</v>
      </c>
      <c r="F7045" s="19" t="str">
        <f>IFERROR(__xludf.DUMMYFUNCTION("""COMPUTED_VALUE"""),"BLUE")</f>
        <v>BLUE</v>
      </c>
      <c r="G7045" s="20" t="str">
        <f>IFERROR(__xludf.DUMMYFUNCTION("""COMPUTED_VALUE"""),"Uncle Sams Cider (04/04/2023)")</f>
        <v>Uncle Sams Cider (04/04/2023)</v>
      </c>
      <c r="H7045" s="19"/>
    </row>
    <row r="7046">
      <c r="A7046" s="9"/>
      <c r="B7046" s="15"/>
      <c r="C7046" s="9">
        <f>IFERROR(__xludf.DUMMYFUNCTION("""COMPUTED_VALUE"""),45070.2814311111)</f>
        <v>45070.28143</v>
      </c>
      <c r="D7046" s="15">
        <f>IFERROR(__xludf.DUMMYFUNCTION("""COMPUTED_VALUE"""),1.01)</f>
        <v>1.01</v>
      </c>
      <c r="E7046" s="16">
        <f>IFERROR(__xludf.DUMMYFUNCTION("""COMPUTED_VALUE"""),65.0)</f>
        <v>65</v>
      </c>
      <c r="F7046" s="19" t="str">
        <f>IFERROR(__xludf.DUMMYFUNCTION("""COMPUTED_VALUE"""),"BLUE")</f>
        <v>BLUE</v>
      </c>
      <c r="G7046" s="20" t="str">
        <f>IFERROR(__xludf.DUMMYFUNCTION("""COMPUTED_VALUE"""),"Uncle Sams Cider (04/04/2023)")</f>
        <v>Uncle Sams Cider (04/04/2023)</v>
      </c>
      <c r="H7046" s="19"/>
    </row>
    <row r="7047">
      <c r="A7047" s="9"/>
      <c r="B7047" s="15"/>
      <c r="C7047" s="9">
        <f>IFERROR(__xludf.DUMMYFUNCTION("""COMPUTED_VALUE"""),45070.2710093518)</f>
        <v>45070.27101</v>
      </c>
      <c r="D7047" s="15">
        <f>IFERROR(__xludf.DUMMYFUNCTION("""COMPUTED_VALUE"""),1.01)</f>
        <v>1.01</v>
      </c>
      <c r="E7047" s="16">
        <f>IFERROR(__xludf.DUMMYFUNCTION("""COMPUTED_VALUE"""),65.0)</f>
        <v>65</v>
      </c>
      <c r="F7047" s="19" t="str">
        <f>IFERROR(__xludf.DUMMYFUNCTION("""COMPUTED_VALUE"""),"BLUE")</f>
        <v>BLUE</v>
      </c>
      <c r="G7047" s="20" t="str">
        <f>IFERROR(__xludf.DUMMYFUNCTION("""COMPUTED_VALUE"""),"Uncle Sams Cider (04/04/2023)")</f>
        <v>Uncle Sams Cider (04/04/2023)</v>
      </c>
      <c r="H7047" s="19"/>
    </row>
    <row r="7048">
      <c r="A7048" s="9"/>
      <c r="B7048" s="15"/>
      <c r="C7048" s="9">
        <f>IFERROR(__xludf.DUMMYFUNCTION("""COMPUTED_VALUE"""),45070.2605887037)</f>
        <v>45070.26059</v>
      </c>
      <c r="D7048" s="15">
        <f>IFERROR(__xludf.DUMMYFUNCTION("""COMPUTED_VALUE"""),1.01)</f>
        <v>1.01</v>
      </c>
      <c r="E7048" s="16">
        <f>IFERROR(__xludf.DUMMYFUNCTION("""COMPUTED_VALUE"""),65.0)</f>
        <v>65</v>
      </c>
      <c r="F7048" s="19" t="str">
        <f>IFERROR(__xludf.DUMMYFUNCTION("""COMPUTED_VALUE"""),"BLUE")</f>
        <v>BLUE</v>
      </c>
      <c r="G7048" s="20" t="str">
        <f>IFERROR(__xludf.DUMMYFUNCTION("""COMPUTED_VALUE"""),"Uncle Sams Cider (04/04/2023)")</f>
        <v>Uncle Sams Cider (04/04/2023)</v>
      </c>
      <c r="H7048" s="19"/>
    </row>
    <row r="7049">
      <c r="A7049" s="9"/>
      <c r="B7049" s="15"/>
      <c r="C7049" s="9">
        <f>IFERROR(__xludf.DUMMYFUNCTION("""COMPUTED_VALUE"""),45070.2501680439)</f>
        <v>45070.25017</v>
      </c>
      <c r="D7049" s="15">
        <f>IFERROR(__xludf.DUMMYFUNCTION("""COMPUTED_VALUE"""),1.01)</f>
        <v>1.01</v>
      </c>
      <c r="E7049" s="16">
        <f>IFERROR(__xludf.DUMMYFUNCTION("""COMPUTED_VALUE"""),65.0)</f>
        <v>65</v>
      </c>
      <c r="F7049" s="19" t="str">
        <f>IFERROR(__xludf.DUMMYFUNCTION("""COMPUTED_VALUE"""),"BLUE")</f>
        <v>BLUE</v>
      </c>
      <c r="G7049" s="20" t="str">
        <f>IFERROR(__xludf.DUMMYFUNCTION("""COMPUTED_VALUE"""),"Uncle Sams Cider (04/04/2023)")</f>
        <v>Uncle Sams Cider (04/04/2023)</v>
      </c>
      <c r="H7049" s="19"/>
    </row>
    <row r="7050">
      <c r="A7050" s="9"/>
      <c r="B7050" s="15"/>
      <c r="C7050" s="9">
        <f>IFERROR(__xludf.DUMMYFUNCTION("""COMPUTED_VALUE"""),45070.2397489699)</f>
        <v>45070.23975</v>
      </c>
      <c r="D7050" s="15">
        <f>IFERROR(__xludf.DUMMYFUNCTION("""COMPUTED_VALUE"""),1.01)</f>
        <v>1.01</v>
      </c>
      <c r="E7050" s="16">
        <f>IFERROR(__xludf.DUMMYFUNCTION("""COMPUTED_VALUE"""),65.0)</f>
        <v>65</v>
      </c>
      <c r="F7050" s="19" t="str">
        <f>IFERROR(__xludf.DUMMYFUNCTION("""COMPUTED_VALUE"""),"BLUE")</f>
        <v>BLUE</v>
      </c>
      <c r="G7050" s="20" t="str">
        <f>IFERROR(__xludf.DUMMYFUNCTION("""COMPUTED_VALUE"""),"Uncle Sams Cider (04/04/2023)")</f>
        <v>Uncle Sams Cider (04/04/2023)</v>
      </c>
      <c r="H7050" s="19"/>
    </row>
    <row r="7051">
      <c r="A7051" s="9"/>
      <c r="B7051" s="15"/>
      <c r="C7051" s="9">
        <f>IFERROR(__xludf.DUMMYFUNCTION("""COMPUTED_VALUE"""),45070.2293267013)</f>
        <v>45070.22933</v>
      </c>
      <c r="D7051" s="15">
        <f>IFERROR(__xludf.DUMMYFUNCTION("""COMPUTED_VALUE"""),1.01)</f>
        <v>1.01</v>
      </c>
      <c r="E7051" s="16">
        <f>IFERROR(__xludf.DUMMYFUNCTION("""COMPUTED_VALUE"""),65.0)</f>
        <v>65</v>
      </c>
      <c r="F7051" s="19" t="str">
        <f>IFERROR(__xludf.DUMMYFUNCTION("""COMPUTED_VALUE"""),"BLUE")</f>
        <v>BLUE</v>
      </c>
      <c r="G7051" s="20" t="str">
        <f>IFERROR(__xludf.DUMMYFUNCTION("""COMPUTED_VALUE"""),"Uncle Sams Cider (04/04/2023)")</f>
        <v>Uncle Sams Cider (04/04/2023)</v>
      </c>
      <c r="H7051" s="19"/>
    </row>
    <row r="7052">
      <c r="A7052" s="9"/>
      <c r="B7052" s="15"/>
      <c r="C7052" s="9">
        <f>IFERROR(__xludf.DUMMYFUNCTION("""COMPUTED_VALUE"""),45070.2189049768)</f>
        <v>45070.2189</v>
      </c>
      <c r="D7052" s="15">
        <f>IFERROR(__xludf.DUMMYFUNCTION("""COMPUTED_VALUE"""),1.01)</f>
        <v>1.01</v>
      </c>
      <c r="E7052" s="16">
        <f>IFERROR(__xludf.DUMMYFUNCTION("""COMPUTED_VALUE"""),65.0)</f>
        <v>65</v>
      </c>
      <c r="F7052" s="19" t="str">
        <f>IFERROR(__xludf.DUMMYFUNCTION("""COMPUTED_VALUE"""),"BLUE")</f>
        <v>BLUE</v>
      </c>
      <c r="G7052" s="20" t="str">
        <f>IFERROR(__xludf.DUMMYFUNCTION("""COMPUTED_VALUE"""),"Uncle Sams Cider (04/04/2023)")</f>
        <v>Uncle Sams Cider (04/04/2023)</v>
      </c>
      <c r="H7052" s="19"/>
    </row>
    <row r="7053">
      <c r="A7053" s="9"/>
      <c r="B7053" s="15"/>
      <c r="C7053" s="9">
        <f>IFERROR(__xludf.DUMMYFUNCTION("""COMPUTED_VALUE"""),45070.2084502314)</f>
        <v>45070.20845</v>
      </c>
      <c r="D7053" s="15">
        <f>IFERROR(__xludf.DUMMYFUNCTION("""COMPUTED_VALUE"""),1.01)</f>
        <v>1.01</v>
      </c>
      <c r="E7053" s="16">
        <f>IFERROR(__xludf.DUMMYFUNCTION("""COMPUTED_VALUE"""),65.0)</f>
        <v>65</v>
      </c>
      <c r="F7053" s="19" t="str">
        <f>IFERROR(__xludf.DUMMYFUNCTION("""COMPUTED_VALUE"""),"BLUE")</f>
        <v>BLUE</v>
      </c>
      <c r="G7053" s="20" t="str">
        <f>IFERROR(__xludf.DUMMYFUNCTION("""COMPUTED_VALUE"""),"Uncle Sams Cider (04/04/2023)")</f>
        <v>Uncle Sams Cider (04/04/2023)</v>
      </c>
      <c r="H7053" s="19"/>
    </row>
    <row r="7054">
      <c r="A7054" s="9"/>
      <c r="B7054" s="15"/>
      <c r="C7054" s="9">
        <f>IFERROR(__xludf.DUMMYFUNCTION("""COMPUTED_VALUE"""),45070.1980066666)</f>
        <v>45070.19801</v>
      </c>
      <c r="D7054" s="15">
        <f>IFERROR(__xludf.DUMMYFUNCTION("""COMPUTED_VALUE"""),1.01)</f>
        <v>1.01</v>
      </c>
      <c r="E7054" s="16">
        <f>IFERROR(__xludf.DUMMYFUNCTION("""COMPUTED_VALUE"""),65.0)</f>
        <v>65</v>
      </c>
      <c r="F7054" s="19" t="str">
        <f>IFERROR(__xludf.DUMMYFUNCTION("""COMPUTED_VALUE"""),"BLUE")</f>
        <v>BLUE</v>
      </c>
      <c r="G7054" s="20" t="str">
        <f>IFERROR(__xludf.DUMMYFUNCTION("""COMPUTED_VALUE"""),"Uncle Sams Cider (04/04/2023)")</f>
        <v>Uncle Sams Cider (04/04/2023)</v>
      </c>
      <c r="H7054" s="19"/>
    </row>
    <row r="7055">
      <c r="A7055" s="9"/>
      <c r="B7055" s="15"/>
      <c r="C7055" s="9">
        <f>IFERROR(__xludf.DUMMYFUNCTION("""COMPUTED_VALUE"""),45070.1875865625)</f>
        <v>45070.18759</v>
      </c>
      <c r="D7055" s="15">
        <f>IFERROR(__xludf.DUMMYFUNCTION("""COMPUTED_VALUE"""),1.01)</f>
        <v>1.01</v>
      </c>
      <c r="E7055" s="16">
        <f>IFERROR(__xludf.DUMMYFUNCTION("""COMPUTED_VALUE"""),65.0)</f>
        <v>65</v>
      </c>
      <c r="F7055" s="19" t="str">
        <f>IFERROR(__xludf.DUMMYFUNCTION("""COMPUTED_VALUE"""),"BLUE")</f>
        <v>BLUE</v>
      </c>
      <c r="G7055" s="20" t="str">
        <f>IFERROR(__xludf.DUMMYFUNCTION("""COMPUTED_VALUE"""),"Uncle Sams Cider (04/04/2023)")</f>
        <v>Uncle Sams Cider (04/04/2023)</v>
      </c>
      <c r="H7055" s="19"/>
    </row>
    <row r="7056">
      <c r="A7056" s="9"/>
      <c r="B7056" s="15"/>
      <c r="C7056" s="9">
        <f>IFERROR(__xludf.DUMMYFUNCTION("""COMPUTED_VALUE"""),45070.1771655208)</f>
        <v>45070.17717</v>
      </c>
      <c r="D7056" s="15">
        <f>IFERROR(__xludf.DUMMYFUNCTION("""COMPUTED_VALUE"""),1.011)</f>
        <v>1.011</v>
      </c>
      <c r="E7056" s="16">
        <f>IFERROR(__xludf.DUMMYFUNCTION("""COMPUTED_VALUE"""),65.0)</f>
        <v>65</v>
      </c>
      <c r="F7056" s="19" t="str">
        <f>IFERROR(__xludf.DUMMYFUNCTION("""COMPUTED_VALUE"""),"BLUE")</f>
        <v>BLUE</v>
      </c>
      <c r="G7056" s="20" t="str">
        <f>IFERROR(__xludf.DUMMYFUNCTION("""COMPUTED_VALUE"""),"Uncle Sams Cider (04/04/2023)")</f>
        <v>Uncle Sams Cider (04/04/2023)</v>
      </c>
      <c r="H7056" s="19"/>
    </row>
    <row r="7057">
      <c r="A7057" s="9"/>
      <c r="B7057" s="15"/>
      <c r="C7057" s="9">
        <f>IFERROR(__xludf.DUMMYFUNCTION("""COMPUTED_VALUE"""),45070.1563140046)</f>
        <v>45070.15631</v>
      </c>
      <c r="D7057" s="15">
        <f>IFERROR(__xludf.DUMMYFUNCTION("""COMPUTED_VALUE"""),1.01)</f>
        <v>1.01</v>
      </c>
      <c r="E7057" s="16">
        <f>IFERROR(__xludf.DUMMYFUNCTION("""COMPUTED_VALUE"""),65.0)</f>
        <v>65</v>
      </c>
      <c r="F7057" s="19" t="str">
        <f>IFERROR(__xludf.DUMMYFUNCTION("""COMPUTED_VALUE"""),"BLUE")</f>
        <v>BLUE</v>
      </c>
      <c r="G7057" s="20" t="str">
        <f>IFERROR(__xludf.DUMMYFUNCTION("""COMPUTED_VALUE"""),"Uncle Sams Cider (04/04/2023)")</f>
        <v>Uncle Sams Cider (04/04/2023)</v>
      </c>
      <c r="H7057" s="19"/>
    </row>
    <row r="7058">
      <c r="A7058" s="9"/>
      <c r="B7058" s="15"/>
      <c r="C7058" s="9">
        <f>IFERROR(__xludf.DUMMYFUNCTION("""COMPUTED_VALUE"""),45070.1458929514)</f>
        <v>45070.14589</v>
      </c>
      <c r="D7058" s="15">
        <f>IFERROR(__xludf.DUMMYFUNCTION("""COMPUTED_VALUE"""),1.01)</f>
        <v>1.01</v>
      </c>
      <c r="E7058" s="16">
        <f>IFERROR(__xludf.DUMMYFUNCTION("""COMPUTED_VALUE"""),65.0)</f>
        <v>65</v>
      </c>
      <c r="F7058" s="19" t="str">
        <f>IFERROR(__xludf.DUMMYFUNCTION("""COMPUTED_VALUE"""),"BLUE")</f>
        <v>BLUE</v>
      </c>
      <c r="G7058" s="20" t="str">
        <f>IFERROR(__xludf.DUMMYFUNCTION("""COMPUTED_VALUE"""),"Uncle Sams Cider (04/04/2023)")</f>
        <v>Uncle Sams Cider (04/04/2023)</v>
      </c>
      <c r="H7058" s="19"/>
    </row>
    <row r="7059">
      <c r="A7059" s="9"/>
      <c r="B7059" s="15"/>
      <c r="C7059" s="9">
        <f>IFERROR(__xludf.DUMMYFUNCTION("""COMPUTED_VALUE"""),45070.1354728935)</f>
        <v>45070.13547</v>
      </c>
      <c r="D7059" s="15">
        <f>IFERROR(__xludf.DUMMYFUNCTION("""COMPUTED_VALUE"""),1.01)</f>
        <v>1.01</v>
      </c>
      <c r="E7059" s="16">
        <f>IFERROR(__xludf.DUMMYFUNCTION("""COMPUTED_VALUE"""),65.0)</f>
        <v>65</v>
      </c>
      <c r="F7059" s="19" t="str">
        <f>IFERROR(__xludf.DUMMYFUNCTION("""COMPUTED_VALUE"""),"BLUE")</f>
        <v>BLUE</v>
      </c>
      <c r="G7059" s="20" t="str">
        <f>IFERROR(__xludf.DUMMYFUNCTION("""COMPUTED_VALUE"""),"Uncle Sams Cider (04/04/2023)")</f>
        <v>Uncle Sams Cider (04/04/2023)</v>
      </c>
      <c r="H7059" s="19"/>
    </row>
    <row r="7060">
      <c r="A7060" s="9"/>
      <c r="B7060" s="15"/>
      <c r="C7060" s="9">
        <f>IFERROR(__xludf.DUMMYFUNCTION("""COMPUTED_VALUE"""),45070.1250508101)</f>
        <v>45070.12505</v>
      </c>
      <c r="D7060" s="15">
        <f>IFERROR(__xludf.DUMMYFUNCTION("""COMPUTED_VALUE"""),1.01)</f>
        <v>1.01</v>
      </c>
      <c r="E7060" s="16">
        <f>IFERROR(__xludf.DUMMYFUNCTION("""COMPUTED_VALUE"""),65.0)</f>
        <v>65</v>
      </c>
      <c r="F7060" s="19" t="str">
        <f>IFERROR(__xludf.DUMMYFUNCTION("""COMPUTED_VALUE"""),"BLUE")</f>
        <v>BLUE</v>
      </c>
      <c r="G7060" s="20" t="str">
        <f>IFERROR(__xludf.DUMMYFUNCTION("""COMPUTED_VALUE"""),"Uncle Sams Cider (04/04/2023)")</f>
        <v>Uncle Sams Cider (04/04/2023)</v>
      </c>
      <c r="H7060" s="19"/>
    </row>
    <row r="7061">
      <c r="A7061" s="9"/>
      <c r="B7061" s="15"/>
      <c r="C7061" s="9">
        <f>IFERROR(__xludf.DUMMYFUNCTION("""COMPUTED_VALUE"""),45070.1146305671)</f>
        <v>45070.11463</v>
      </c>
      <c r="D7061" s="15">
        <f>IFERROR(__xludf.DUMMYFUNCTION("""COMPUTED_VALUE"""),1.01)</f>
        <v>1.01</v>
      </c>
      <c r="E7061" s="16">
        <f>IFERROR(__xludf.DUMMYFUNCTION("""COMPUTED_VALUE"""),65.0)</f>
        <v>65</v>
      </c>
      <c r="F7061" s="19" t="str">
        <f>IFERROR(__xludf.DUMMYFUNCTION("""COMPUTED_VALUE"""),"BLUE")</f>
        <v>BLUE</v>
      </c>
      <c r="G7061" s="20" t="str">
        <f>IFERROR(__xludf.DUMMYFUNCTION("""COMPUTED_VALUE"""),"Uncle Sams Cider (04/04/2023)")</f>
        <v>Uncle Sams Cider (04/04/2023)</v>
      </c>
      <c r="H7061" s="19"/>
    </row>
    <row r="7062">
      <c r="A7062" s="9"/>
      <c r="B7062" s="15"/>
      <c r="C7062" s="9">
        <f>IFERROR(__xludf.DUMMYFUNCTION("""COMPUTED_VALUE"""),45070.1042094675)</f>
        <v>45070.10421</v>
      </c>
      <c r="D7062" s="15">
        <f>IFERROR(__xludf.DUMMYFUNCTION("""COMPUTED_VALUE"""),1.01)</f>
        <v>1.01</v>
      </c>
      <c r="E7062" s="16">
        <f>IFERROR(__xludf.DUMMYFUNCTION("""COMPUTED_VALUE"""),65.0)</f>
        <v>65</v>
      </c>
      <c r="F7062" s="19" t="str">
        <f>IFERROR(__xludf.DUMMYFUNCTION("""COMPUTED_VALUE"""),"BLUE")</f>
        <v>BLUE</v>
      </c>
      <c r="G7062" s="20" t="str">
        <f>IFERROR(__xludf.DUMMYFUNCTION("""COMPUTED_VALUE"""),"Uncle Sams Cider (04/04/2023)")</f>
        <v>Uncle Sams Cider (04/04/2023)</v>
      </c>
      <c r="H7062" s="19"/>
    </row>
    <row r="7063">
      <c r="A7063" s="9"/>
      <c r="B7063" s="15"/>
      <c r="C7063" s="9">
        <f>IFERROR(__xludf.DUMMYFUNCTION("""COMPUTED_VALUE"""),45070.0937762847)</f>
        <v>45070.09378</v>
      </c>
      <c r="D7063" s="15">
        <f>IFERROR(__xludf.DUMMYFUNCTION("""COMPUTED_VALUE"""),1.01)</f>
        <v>1.01</v>
      </c>
      <c r="E7063" s="16">
        <f>IFERROR(__xludf.DUMMYFUNCTION("""COMPUTED_VALUE"""),65.0)</f>
        <v>65</v>
      </c>
      <c r="F7063" s="19" t="str">
        <f>IFERROR(__xludf.DUMMYFUNCTION("""COMPUTED_VALUE"""),"BLUE")</f>
        <v>BLUE</v>
      </c>
      <c r="G7063" s="20" t="str">
        <f>IFERROR(__xludf.DUMMYFUNCTION("""COMPUTED_VALUE"""),"Uncle Sams Cider (04/04/2023)")</f>
        <v>Uncle Sams Cider (04/04/2023)</v>
      </c>
      <c r="H7063" s="19"/>
    </row>
    <row r="7064">
      <c r="A7064" s="9"/>
      <c r="B7064" s="15"/>
      <c r="C7064" s="9">
        <f>IFERROR(__xludf.DUMMYFUNCTION("""COMPUTED_VALUE"""),45070.0729218634)</f>
        <v>45070.07292</v>
      </c>
      <c r="D7064" s="15">
        <f>IFERROR(__xludf.DUMMYFUNCTION("""COMPUTED_VALUE"""),1.01)</f>
        <v>1.01</v>
      </c>
      <c r="E7064" s="16">
        <f>IFERROR(__xludf.DUMMYFUNCTION("""COMPUTED_VALUE"""),65.0)</f>
        <v>65</v>
      </c>
      <c r="F7064" s="19" t="str">
        <f>IFERROR(__xludf.DUMMYFUNCTION("""COMPUTED_VALUE"""),"BLUE")</f>
        <v>BLUE</v>
      </c>
      <c r="G7064" s="20" t="str">
        <f>IFERROR(__xludf.DUMMYFUNCTION("""COMPUTED_VALUE"""),"Uncle Sams Cider (04/04/2023)")</f>
        <v>Uncle Sams Cider (04/04/2023)</v>
      </c>
      <c r="H7064" s="19"/>
    </row>
    <row r="7065">
      <c r="A7065" s="9"/>
      <c r="B7065" s="15"/>
      <c r="C7065" s="9">
        <f>IFERROR(__xludf.DUMMYFUNCTION("""COMPUTED_VALUE"""),45070.0625017939)</f>
        <v>45070.0625</v>
      </c>
      <c r="D7065" s="15">
        <f>IFERROR(__xludf.DUMMYFUNCTION("""COMPUTED_VALUE"""),1.01)</f>
        <v>1.01</v>
      </c>
      <c r="E7065" s="16">
        <f>IFERROR(__xludf.DUMMYFUNCTION("""COMPUTED_VALUE"""),65.0)</f>
        <v>65</v>
      </c>
      <c r="F7065" s="19" t="str">
        <f>IFERROR(__xludf.DUMMYFUNCTION("""COMPUTED_VALUE"""),"BLUE")</f>
        <v>BLUE</v>
      </c>
      <c r="G7065" s="20" t="str">
        <f>IFERROR(__xludf.DUMMYFUNCTION("""COMPUTED_VALUE"""),"Uncle Sams Cider (04/04/2023)")</f>
        <v>Uncle Sams Cider (04/04/2023)</v>
      </c>
      <c r="H7065" s="19"/>
    </row>
    <row r="7066">
      <c r="A7066" s="9"/>
      <c r="B7066" s="15"/>
      <c r="C7066" s="9">
        <f>IFERROR(__xludf.DUMMYFUNCTION("""COMPUTED_VALUE"""),45070.0520702777)</f>
        <v>45070.05207</v>
      </c>
      <c r="D7066" s="15">
        <f>IFERROR(__xludf.DUMMYFUNCTION("""COMPUTED_VALUE"""),1.01)</f>
        <v>1.01</v>
      </c>
      <c r="E7066" s="16">
        <f>IFERROR(__xludf.DUMMYFUNCTION("""COMPUTED_VALUE"""),65.0)</f>
        <v>65</v>
      </c>
      <c r="F7066" s="19" t="str">
        <f>IFERROR(__xludf.DUMMYFUNCTION("""COMPUTED_VALUE"""),"BLUE")</f>
        <v>BLUE</v>
      </c>
      <c r="G7066" s="20" t="str">
        <f>IFERROR(__xludf.DUMMYFUNCTION("""COMPUTED_VALUE"""),"Uncle Sams Cider (04/04/2023)")</f>
        <v>Uncle Sams Cider (04/04/2023)</v>
      </c>
      <c r="H7066" s="19"/>
    </row>
    <row r="7067">
      <c r="A7067" s="9"/>
      <c r="B7067" s="15"/>
      <c r="C7067" s="9">
        <f>IFERROR(__xludf.DUMMYFUNCTION("""COMPUTED_VALUE"""),45070.0416504861)</f>
        <v>45070.04165</v>
      </c>
      <c r="D7067" s="15">
        <f>IFERROR(__xludf.DUMMYFUNCTION("""COMPUTED_VALUE"""),1.01)</f>
        <v>1.01</v>
      </c>
      <c r="E7067" s="16">
        <f>IFERROR(__xludf.DUMMYFUNCTION("""COMPUTED_VALUE"""),65.0)</f>
        <v>65</v>
      </c>
      <c r="F7067" s="19" t="str">
        <f>IFERROR(__xludf.DUMMYFUNCTION("""COMPUTED_VALUE"""),"BLUE")</f>
        <v>BLUE</v>
      </c>
      <c r="G7067" s="20" t="str">
        <f>IFERROR(__xludf.DUMMYFUNCTION("""COMPUTED_VALUE"""),"Uncle Sams Cider (04/04/2023)")</f>
        <v>Uncle Sams Cider (04/04/2023)</v>
      </c>
      <c r="H7067" s="19"/>
    </row>
    <row r="7068">
      <c r="A7068" s="9"/>
      <c r="B7068" s="15"/>
      <c r="C7068" s="9">
        <f>IFERROR(__xludf.DUMMYFUNCTION("""COMPUTED_VALUE"""),45070.0312165393)</f>
        <v>45070.03122</v>
      </c>
      <c r="D7068" s="15">
        <f>IFERROR(__xludf.DUMMYFUNCTION("""COMPUTED_VALUE"""),1.01)</f>
        <v>1.01</v>
      </c>
      <c r="E7068" s="16">
        <f>IFERROR(__xludf.DUMMYFUNCTION("""COMPUTED_VALUE"""),65.0)</f>
        <v>65</v>
      </c>
      <c r="F7068" s="19" t="str">
        <f>IFERROR(__xludf.DUMMYFUNCTION("""COMPUTED_VALUE"""),"BLUE")</f>
        <v>BLUE</v>
      </c>
      <c r="G7068" s="20" t="str">
        <f>IFERROR(__xludf.DUMMYFUNCTION("""COMPUTED_VALUE"""),"Uncle Sams Cider (04/04/2023)")</f>
        <v>Uncle Sams Cider (04/04/2023)</v>
      </c>
      <c r="H7068" s="19"/>
    </row>
    <row r="7069">
      <c r="A7069" s="9"/>
      <c r="B7069" s="15"/>
      <c r="C7069" s="9">
        <f>IFERROR(__xludf.DUMMYFUNCTION("""COMPUTED_VALUE"""),45070.0207849421)</f>
        <v>45070.02078</v>
      </c>
      <c r="D7069" s="15">
        <f>IFERROR(__xludf.DUMMYFUNCTION("""COMPUTED_VALUE"""),1.01)</f>
        <v>1.01</v>
      </c>
      <c r="E7069" s="16">
        <f>IFERROR(__xludf.DUMMYFUNCTION("""COMPUTED_VALUE"""),65.0)</f>
        <v>65</v>
      </c>
      <c r="F7069" s="19" t="str">
        <f>IFERROR(__xludf.DUMMYFUNCTION("""COMPUTED_VALUE"""),"BLUE")</f>
        <v>BLUE</v>
      </c>
      <c r="G7069" s="20" t="str">
        <f>IFERROR(__xludf.DUMMYFUNCTION("""COMPUTED_VALUE"""),"Uncle Sams Cider (04/04/2023)")</f>
        <v>Uncle Sams Cider (04/04/2023)</v>
      </c>
      <c r="H7069" s="19"/>
    </row>
    <row r="7070">
      <c r="A7070" s="9"/>
      <c r="B7070" s="15"/>
      <c r="C7070" s="9">
        <f>IFERROR(__xludf.DUMMYFUNCTION("""COMPUTED_VALUE"""),45070.0103642824)</f>
        <v>45070.01036</v>
      </c>
      <c r="D7070" s="15">
        <f>IFERROR(__xludf.DUMMYFUNCTION("""COMPUTED_VALUE"""),1.01)</f>
        <v>1.01</v>
      </c>
      <c r="E7070" s="16">
        <f>IFERROR(__xludf.DUMMYFUNCTION("""COMPUTED_VALUE"""),65.0)</f>
        <v>65</v>
      </c>
      <c r="F7070" s="19" t="str">
        <f>IFERROR(__xludf.DUMMYFUNCTION("""COMPUTED_VALUE"""),"BLUE")</f>
        <v>BLUE</v>
      </c>
      <c r="G7070" s="20" t="str">
        <f>IFERROR(__xludf.DUMMYFUNCTION("""COMPUTED_VALUE"""),"Uncle Sams Cider (04/04/2023)")</f>
        <v>Uncle Sams Cider (04/04/2023)</v>
      </c>
      <c r="H7070" s="19"/>
    </row>
    <row r="7071">
      <c r="A7071" s="9"/>
      <c r="B7071" s="15"/>
      <c r="C7071" s="9">
        <f>IFERROR(__xludf.DUMMYFUNCTION("""COMPUTED_VALUE"""),45069.9999318981)</f>
        <v>45069.99993</v>
      </c>
      <c r="D7071" s="15">
        <f>IFERROR(__xludf.DUMMYFUNCTION("""COMPUTED_VALUE"""),1.01)</f>
        <v>1.01</v>
      </c>
      <c r="E7071" s="16">
        <f>IFERROR(__xludf.DUMMYFUNCTION("""COMPUTED_VALUE"""),65.0)</f>
        <v>65</v>
      </c>
      <c r="F7071" s="19" t="str">
        <f>IFERROR(__xludf.DUMMYFUNCTION("""COMPUTED_VALUE"""),"BLUE")</f>
        <v>BLUE</v>
      </c>
      <c r="G7071" s="20" t="str">
        <f>IFERROR(__xludf.DUMMYFUNCTION("""COMPUTED_VALUE"""),"Uncle Sams Cider (04/04/2023)")</f>
        <v>Uncle Sams Cider (04/04/2023)</v>
      </c>
      <c r="H7071" s="19"/>
    </row>
    <row r="7072">
      <c r="A7072" s="9"/>
      <c r="B7072" s="15"/>
      <c r="C7072" s="9">
        <f>IFERROR(__xludf.DUMMYFUNCTION("""COMPUTED_VALUE"""),45069.9894985879)</f>
        <v>45069.9895</v>
      </c>
      <c r="D7072" s="15">
        <f>IFERROR(__xludf.DUMMYFUNCTION("""COMPUTED_VALUE"""),1.011)</f>
        <v>1.011</v>
      </c>
      <c r="E7072" s="16">
        <f>IFERROR(__xludf.DUMMYFUNCTION("""COMPUTED_VALUE"""),65.0)</f>
        <v>65</v>
      </c>
      <c r="F7072" s="19" t="str">
        <f>IFERROR(__xludf.DUMMYFUNCTION("""COMPUTED_VALUE"""),"BLUE")</f>
        <v>BLUE</v>
      </c>
      <c r="G7072" s="20" t="str">
        <f>IFERROR(__xludf.DUMMYFUNCTION("""COMPUTED_VALUE"""),"Uncle Sams Cider (04/04/2023)")</f>
        <v>Uncle Sams Cider (04/04/2023)</v>
      </c>
      <c r="H7072" s="19"/>
    </row>
    <row r="7073">
      <c r="A7073" s="9"/>
      <c r="B7073" s="15"/>
      <c r="C7073" s="9">
        <f>IFERROR(__xludf.DUMMYFUNCTION("""COMPUTED_VALUE"""),45069.9790769676)</f>
        <v>45069.97908</v>
      </c>
      <c r="D7073" s="15">
        <f>IFERROR(__xludf.DUMMYFUNCTION("""COMPUTED_VALUE"""),1.011)</f>
        <v>1.011</v>
      </c>
      <c r="E7073" s="16">
        <f>IFERROR(__xludf.DUMMYFUNCTION("""COMPUTED_VALUE"""),65.0)</f>
        <v>65</v>
      </c>
      <c r="F7073" s="19" t="str">
        <f>IFERROR(__xludf.DUMMYFUNCTION("""COMPUTED_VALUE"""),"BLUE")</f>
        <v>BLUE</v>
      </c>
      <c r="G7073" s="20" t="str">
        <f>IFERROR(__xludf.DUMMYFUNCTION("""COMPUTED_VALUE"""),"Uncle Sams Cider (04/04/2023)")</f>
        <v>Uncle Sams Cider (04/04/2023)</v>
      </c>
      <c r="H7073" s="19"/>
    </row>
    <row r="7074">
      <c r="A7074" s="9"/>
      <c r="B7074" s="15"/>
      <c r="C7074" s="9">
        <f>IFERROR(__xludf.DUMMYFUNCTION("""COMPUTED_VALUE"""),45069.9686561458)</f>
        <v>45069.96866</v>
      </c>
      <c r="D7074" s="15">
        <f>IFERROR(__xludf.DUMMYFUNCTION("""COMPUTED_VALUE"""),1.011)</f>
        <v>1.011</v>
      </c>
      <c r="E7074" s="16">
        <f>IFERROR(__xludf.DUMMYFUNCTION("""COMPUTED_VALUE"""),65.0)</f>
        <v>65</v>
      </c>
      <c r="F7074" s="19" t="str">
        <f>IFERROR(__xludf.DUMMYFUNCTION("""COMPUTED_VALUE"""),"BLUE")</f>
        <v>BLUE</v>
      </c>
      <c r="G7074" s="20" t="str">
        <f>IFERROR(__xludf.DUMMYFUNCTION("""COMPUTED_VALUE"""),"Uncle Sams Cider (04/04/2023)")</f>
        <v>Uncle Sams Cider (04/04/2023)</v>
      </c>
      <c r="H7074" s="19"/>
    </row>
    <row r="7075">
      <c r="A7075" s="9"/>
      <c r="B7075" s="15"/>
      <c r="C7075" s="9">
        <f>IFERROR(__xludf.DUMMYFUNCTION("""COMPUTED_VALUE"""),45069.9582353009)</f>
        <v>45069.95824</v>
      </c>
      <c r="D7075" s="15">
        <f>IFERROR(__xludf.DUMMYFUNCTION("""COMPUTED_VALUE"""),1.011)</f>
        <v>1.011</v>
      </c>
      <c r="E7075" s="16">
        <f>IFERROR(__xludf.DUMMYFUNCTION("""COMPUTED_VALUE"""),65.0)</f>
        <v>65</v>
      </c>
      <c r="F7075" s="19" t="str">
        <f>IFERROR(__xludf.DUMMYFUNCTION("""COMPUTED_VALUE"""),"BLUE")</f>
        <v>BLUE</v>
      </c>
      <c r="G7075" s="20" t="str">
        <f>IFERROR(__xludf.DUMMYFUNCTION("""COMPUTED_VALUE"""),"Uncle Sams Cider (04/04/2023)")</f>
        <v>Uncle Sams Cider (04/04/2023)</v>
      </c>
      <c r="H7075" s="19"/>
    </row>
    <row r="7076">
      <c r="A7076" s="9"/>
      <c r="B7076" s="15"/>
      <c r="C7076" s="9">
        <f>IFERROR(__xludf.DUMMYFUNCTION("""COMPUTED_VALUE"""),45069.9478152662)</f>
        <v>45069.94782</v>
      </c>
      <c r="D7076" s="15">
        <f>IFERROR(__xludf.DUMMYFUNCTION("""COMPUTED_VALUE"""),1.011)</f>
        <v>1.011</v>
      </c>
      <c r="E7076" s="16">
        <f>IFERROR(__xludf.DUMMYFUNCTION("""COMPUTED_VALUE"""),65.0)</f>
        <v>65</v>
      </c>
      <c r="F7076" s="19" t="str">
        <f>IFERROR(__xludf.DUMMYFUNCTION("""COMPUTED_VALUE"""),"BLUE")</f>
        <v>BLUE</v>
      </c>
      <c r="G7076" s="20" t="str">
        <f>IFERROR(__xludf.DUMMYFUNCTION("""COMPUTED_VALUE"""),"Uncle Sams Cider (04/04/2023)")</f>
        <v>Uncle Sams Cider (04/04/2023)</v>
      </c>
      <c r="H7076" s="19"/>
    </row>
    <row r="7077">
      <c r="A7077" s="9"/>
      <c r="B7077" s="15"/>
      <c r="C7077" s="9">
        <f>IFERROR(__xludf.DUMMYFUNCTION("""COMPUTED_VALUE"""),45069.9373936111)</f>
        <v>45069.93739</v>
      </c>
      <c r="D7077" s="15">
        <f>IFERROR(__xludf.DUMMYFUNCTION("""COMPUTED_VALUE"""),1.01)</f>
        <v>1.01</v>
      </c>
      <c r="E7077" s="16">
        <f>IFERROR(__xludf.DUMMYFUNCTION("""COMPUTED_VALUE"""),65.0)</f>
        <v>65</v>
      </c>
      <c r="F7077" s="19" t="str">
        <f>IFERROR(__xludf.DUMMYFUNCTION("""COMPUTED_VALUE"""),"BLUE")</f>
        <v>BLUE</v>
      </c>
      <c r="G7077" s="20" t="str">
        <f>IFERROR(__xludf.DUMMYFUNCTION("""COMPUTED_VALUE"""),"Uncle Sams Cider (04/04/2023)")</f>
        <v>Uncle Sams Cider (04/04/2023)</v>
      </c>
      <c r="H7077" s="19"/>
    </row>
    <row r="7078">
      <c r="A7078" s="9"/>
      <c r="B7078" s="15"/>
      <c r="C7078" s="9">
        <f>IFERROR(__xludf.DUMMYFUNCTION("""COMPUTED_VALUE"""),45069.9269705902)</f>
        <v>45069.92697</v>
      </c>
      <c r="D7078" s="15">
        <f>IFERROR(__xludf.DUMMYFUNCTION("""COMPUTED_VALUE"""),1.011)</f>
        <v>1.011</v>
      </c>
      <c r="E7078" s="16">
        <f>IFERROR(__xludf.DUMMYFUNCTION("""COMPUTED_VALUE"""),65.0)</f>
        <v>65</v>
      </c>
      <c r="F7078" s="19" t="str">
        <f>IFERROR(__xludf.DUMMYFUNCTION("""COMPUTED_VALUE"""),"BLUE")</f>
        <v>BLUE</v>
      </c>
      <c r="G7078" s="20" t="str">
        <f>IFERROR(__xludf.DUMMYFUNCTION("""COMPUTED_VALUE"""),"Uncle Sams Cider (04/04/2023)")</f>
        <v>Uncle Sams Cider (04/04/2023)</v>
      </c>
      <c r="H7078" s="19"/>
    </row>
    <row r="7079">
      <c r="A7079" s="9"/>
      <c r="B7079" s="15"/>
      <c r="C7079" s="9">
        <f>IFERROR(__xludf.DUMMYFUNCTION("""COMPUTED_VALUE"""),45069.9165484606)</f>
        <v>45069.91655</v>
      </c>
      <c r="D7079" s="15">
        <f>IFERROR(__xludf.DUMMYFUNCTION("""COMPUTED_VALUE"""),1.011)</f>
        <v>1.011</v>
      </c>
      <c r="E7079" s="16">
        <f>IFERROR(__xludf.DUMMYFUNCTION("""COMPUTED_VALUE"""),65.0)</f>
        <v>65</v>
      </c>
      <c r="F7079" s="19" t="str">
        <f>IFERROR(__xludf.DUMMYFUNCTION("""COMPUTED_VALUE"""),"BLUE")</f>
        <v>BLUE</v>
      </c>
      <c r="G7079" s="20" t="str">
        <f>IFERROR(__xludf.DUMMYFUNCTION("""COMPUTED_VALUE"""),"Uncle Sams Cider (04/04/2023)")</f>
        <v>Uncle Sams Cider (04/04/2023)</v>
      </c>
      <c r="H7079" s="19"/>
    </row>
    <row r="7080">
      <c r="A7080" s="9"/>
      <c r="B7080" s="15"/>
      <c r="C7080" s="9">
        <f>IFERROR(__xludf.DUMMYFUNCTION("""COMPUTED_VALUE"""),45069.9061276273)</f>
        <v>45069.90613</v>
      </c>
      <c r="D7080" s="15">
        <f>IFERROR(__xludf.DUMMYFUNCTION("""COMPUTED_VALUE"""),1.011)</f>
        <v>1.011</v>
      </c>
      <c r="E7080" s="16">
        <f>IFERROR(__xludf.DUMMYFUNCTION("""COMPUTED_VALUE"""),65.0)</f>
        <v>65</v>
      </c>
      <c r="F7080" s="19" t="str">
        <f>IFERROR(__xludf.DUMMYFUNCTION("""COMPUTED_VALUE"""),"BLUE")</f>
        <v>BLUE</v>
      </c>
      <c r="G7080" s="20" t="str">
        <f>IFERROR(__xludf.DUMMYFUNCTION("""COMPUTED_VALUE"""),"Uncle Sams Cider (04/04/2023)")</f>
        <v>Uncle Sams Cider (04/04/2023)</v>
      </c>
      <c r="H7080" s="19"/>
    </row>
    <row r="7081">
      <c r="A7081" s="9"/>
      <c r="B7081" s="15"/>
      <c r="C7081" s="9">
        <f>IFERROR(__xludf.DUMMYFUNCTION("""COMPUTED_VALUE"""),45069.895706574)</f>
        <v>45069.89571</v>
      </c>
      <c r="D7081" s="15">
        <f>IFERROR(__xludf.DUMMYFUNCTION("""COMPUTED_VALUE"""),1.01)</f>
        <v>1.01</v>
      </c>
      <c r="E7081" s="16">
        <f>IFERROR(__xludf.DUMMYFUNCTION("""COMPUTED_VALUE"""),65.0)</f>
        <v>65</v>
      </c>
      <c r="F7081" s="19" t="str">
        <f>IFERROR(__xludf.DUMMYFUNCTION("""COMPUTED_VALUE"""),"BLUE")</f>
        <v>BLUE</v>
      </c>
      <c r="G7081" s="20" t="str">
        <f>IFERROR(__xludf.DUMMYFUNCTION("""COMPUTED_VALUE"""),"Uncle Sams Cider (04/04/2023)")</f>
        <v>Uncle Sams Cider (04/04/2023)</v>
      </c>
      <c r="H7081" s="19"/>
    </row>
    <row r="7082">
      <c r="A7082" s="9"/>
      <c r="B7082" s="15"/>
      <c r="C7082" s="9">
        <f>IFERROR(__xludf.DUMMYFUNCTION("""COMPUTED_VALUE"""),45069.864442118)</f>
        <v>45069.86444</v>
      </c>
      <c r="D7082" s="15">
        <f>IFERROR(__xludf.DUMMYFUNCTION("""COMPUTED_VALUE"""),1.01)</f>
        <v>1.01</v>
      </c>
      <c r="E7082" s="16">
        <f>IFERROR(__xludf.DUMMYFUNCTION("""COMPUTED_VALUE"""),65.0)</f>
        <v>65</v>
      </c>
      <c r="F7082" s="19" t="str">
        <f>IFERROR(__xludf.DUMMYFUNCTION("""COMPUTED_VALUE"""),"BLUE")</f>
        <v>BLUE</v>
      </c>
      <c r="G7082" s="20" t="str">
        <f>IFERROR(__xludf.DUMMYFUNCTION("""COMPUTED_VALUE"""),"Uncle Sams Cider (04/04/2023)")</f>
        <v>Uncle Sams Cider (04/04/2023)</v>
      </c>
      <c r="H7082" s="19"/>
    </row>
    <row r="7083">
      <c r="A7083" s="9"/>
      <c r="B7083" s="15"/>
      <c r="C7083" s="9">
        <f>IFERROR(__xludf.DUMMYFUNCTION("""COMPUTED_VALUE"""),45069.8540202314)</f>
        <v>45069.85402</v>
      </c>
      <c r="D7083" s="15">
        <f>IFERROR(__xludf.DUMMYFUNCTION("""COMPUTED_VALUE"""),1.011)</f>
        <v>1.011</v>
      </c>
      <c r="E7083" s="16">
        <f>IFERROR(__xludf.DUMMYFUNCTION("""COMPUTED_VALUE"""),65.0)</f>
        <v>65</v>
      </c>
      <c r="F7083" s="19" t="str">
        <f>IFERROR(__xludf.DUMMYFUNCTION("""COMPUTED_VALUE"""),"BLUE")</f>
        <v>BLUE</v>
      </c>
      <c r="G7083" s="20" t="str">
        <f>IFERROR(__xludf.DUMMYFUNCTION("""COMPUTED_VALUE"""),"Uncle Sams Cider (04/04/2023)")</f>
        <v>Uncle Sams Cider (04/04/2023)</v>
      </c>
      <c r="H7083" s="19"/>
    </row>
    <row r="7084">
      <c r="A7084" s="9"/>
      <c r="B7084" s="15"/>
      <c r="C7084" s="9">
        <f>IFERROR(__xludf.DUMMYFUNCTION("""COMPUTED_VALUE"""),45069.8435992939)</f>
        <v>45069.8436</v>
      </c>
      <c r="D7084" s="15">
        <f>IFERROR(__xludf.DUMMYFUNCTION("""COMPUTED_VALUE"""),1.01)</f>
        <v>1.01</v>
      </c>
      <c r="E7084" s="16">
        <f>IFERROR(__xludf.DUMMYFUNCTION("""COMPUTED_VALUE"""),65.0)</f>
        <v>65</v>
      </c>
      <c r="F7084" s="19" t="str">
        <f>IFERROR(__xludf.DUMMYFUNCTION("""COMPUTED_VALUE"""),"BLUE")</f>
        <v>BLUE</v>
      </c>
      <c r="G7084" s="20" t="str">
        <f>IFERROR(__xludf.DUMMYFUNCTION("""COMPUTED_VALUE"""),"Uncle Sams Cider (04/04/2023)")</f>
        <v>Uncle Sams Cider (04/04/2023)</v>
      </c>
      <c r="H7084" s="19"/>
    </row>
    <row r="7085">
      <c r="A7085" s="9"/>
      <c r="B7085" s="15"/>
      <c r="C7085" s="9">
        <f>IFERROR(__xludf.DUMMYFUNCTION("""COMPUTED_VALUE"""),45069.8331794444)</f>
        <v>45069.83318</v>
      </c>
      <c r="D7085" s="15">
        <f>IFERROR(__xludf.DUMMYFUNCTION("""COMPUTED_VALUE"""),1.01)</f>
        <v>1.01</v>
      </c>
      <c r="E7085" s="16">
        <f>IFERROR(__xludf.DUMMYFUNCTION("""COMPUTED_VALUE"""),65.0)</f>
        <v>65</v>
      </c>
      <c r="F7085" s="19" t="str">
        <f>IFERROR(__xludf.DUMMYFUNCTION("""COMPUTED_VALUE"""),"BLUE")</f>
        <v>BLUE</v>
      </c>
      <c r="G7085" s="20" t="str">
        <f>IFERROR(__xludf.DUMMYFUNCTION("""COMPUTED_VALUE"""),"Uncle Sams Cider (04/04/2023)")</f>
        <v>Uncle Sams Cider (04/04/2023)</v>
      </c>
      <c r="H7085" s="19"/>
    </row>
    <row r="7086">
      <c r="A7086" s="9"/>
      <c r="B7086" s="15"/>
      <c r="C7086" s="9">
        <f>IFERROR(__xludf.DUMMYFUNCTION("""COMPUTED_VALUE"""),45069.8227587963)</f>
        <v>45069.82276</v>
      </c>
      <c r="D7086" s="15">
        <f>IFERROR(__xludf.DUMMYFUNCTION("""COMPUTED_VALUE"""),1.011)</f>
        <v>1.011</v>
      </c>
      <c r="E7086" s="16">
        <f>IFERROR(__xludf.DUMMYFUNCTION("""COMPUTED_VALUE"""),65.0)</f>
        <v>65</v>
      </c>
      <c r="F7086" s="19" t="str">
        <f>IFERROR(__xludf.DUMMYFUNCTION("""COMPUTED_VALUE"""),"BLUE")</f>
        <v>BLUE</v>
      </c>
      <c r="G7086" s="20" t="str">
        <f>IFERROR(__xludf.DUMMYFUNCTION("""COMPUTED_VALUE"""),"Uncle Sams Cider (04/04/2023)")</f>
        <v>Uncle Sams Cider (04/04/2023)</v>
      </c>
      <c r="H7086" s="19"/>
    </row>
    <row r="7087">
      <c r="A7087" s="9"/>
      <c r="B7087" s="15"/>
      <c r="C7087" s="9">
        <f>IFERROR(__xludf.DUMMYFUNCTION("""COMPUTED_VALUE"""),45069.8123374421)</f>
        <v>45069.81234</v>
      </c>
      <c r="D7087" s="15">
        <f>IFERROR(__xludf.DUMMYFUNCTION("""COMPUTED_VALUE"""),1.01)</f>
        <v>1.01</v>
      </c>
      <c r="E7087" s="16">
        <f>IFERROR(__xludf.DUMMYFUNCTION("""COMPUTED_VALUE"""),65.0)</f>
        <v>65</v>
      </c>
      <c r="F7087" s="19" t="str">
        <f>IFERROR(__xludf.DUMMYFUNCTION("""COMPUTED_VALUE"""),"BLUE")</f>
        <v>BLUE</v>
      </c>
      <c r="G7087" s="20" t="str">
        <f>IFERROR(__xludf.DUMMYFUNCTION("""COMPUTED_VALUE"""),"Uncle Sams Cider (04/04/2023)")</f>
        <v>Uncle Sams Cider (04/04/2023)</v>
      </c>
      <c r="H7087" s="19"/>
    </row>
    <row r="7088">
      <c r="A7088" s="9"/>
      <c r="B7088" s="15"/>
      <c r="C7088" s="9">
        <f>IFERROR(__xludf.DUMMYFUNCTION("""COMPUTED_VALUE"""),45069.8019165393)</f>
        <v>45069.80192</v>
      </c>
      <c r="D7088" s="15">
        <f>IFERROR(__xludf.DUMMYFUNCTION("""COMPUTED_VALUE"""),1.011)</f>
        <v>1.011</v>
      </c>
      <c r="E7088" s="16">
        <f>IFERROR(__xludf.DUMMYFUNCTION("""COMPUTED_VALUE"""),65.0)</f>
        <v>65</v>
      </c>
      <c r="F7088" s="19" t="str">
        <f>IFERROR(__xludf.DUMMYFUNCTION("""COMPUTED_VALUE"""),"BLUE")</f>
        <v>BLUE</v>
      </c>
      <c r="G7088" s="20" t="str">
        <f>IFERROR(__xludf.DUMMYFUNCTION("""COMPUTED_VALUE"""),"Uncle Sams Cider (04/04/2023)")</f>
        <v>Uncle Sams Cider (04/04/2023)</v>
      </c>
      <c r="H7088" s="19"/>
    </row>
    <row r="7089">
      <c r="A7089" s="9"/>
      <c r="B7089" s="15"/>
      <c r="C7089" s="9">
        <f>IFERROR(__xludf.DUMMYFUNCTION("""COMPUTED_VALUE"""),45069.7914716898)</f>
        <v>45069.79147</v>
      </c>
      <c r="D7089" s="15">
        <f>IFERROR(__xludf.DUMMYFUNCTION("""COMPUTED_VALUE"""),1.01)</f>
        <v>1.01</v>
      </c>
      <c r="E7089" s="16">
        <f>IFERROR(__xludf.DUMMYFUNCTION("""COMPUTED_VALUE"""),65.0)</f>
        <v>65</v>
      </c>
      <c r="F7089" s="19" t="str">
        <f>IFERROR(__xludf.DUMMYFUNCTION("""COMPUTED_VALUE"""),"BLUE")</f>
        <v>BLUE</v>
      </c>
      <c r="G7089" s="20" t="str">
        <f>IFERROR(__xludf.DUMMYFUNCTION("""COMPUTED_VALUE"""),"Uncle Sams Cider (04/04/2023)")</f>
        <v>Uncle Sams Cider (04/04/2023)</v>
      </c>
      <c r="H7089" s="19"/>
    </row>
    <row r="7090">
      <c r="A7090" s="9"/>
      <c r="B7090" s="15"/>
      <c r="C7090" s="9">
        <f>IFERROR(__xludf.DUMMYFUNCTION("""COMPUTED_VALUE"""),45069.781050625)</f>
        <v>45069.78105</v>
      </c>
      <c r="D7090" s="15">
        <f>IFERROR(__xludf.DUMMYFUNCTION("""COMPUTED_VALUE"""),1.01)</f>
        <v>1.01</v>
      </c>
      <c r="E7090" s="16">
        <f>IFERROR(__xludf.DUMMYFUNCTION("""COMPUTED_VALUE"""),65.0)</f>
        <v>65</v>
      </c>
      <c r="F7090" s="19" t="str">
        <f>IFERROR(__xludf.DUMMYFUNCTION("""COMPUTED_VALUE"""),"BLUE")</f>
        <v>BLUE</v>
      </c>
      <c r="G7090" s="20" t="str">
        <f>IFERROR(__xludf.DUMMYFUNCTION("""COMPUTED_VALUE"""),"Uncle Sams Cider (04/04/2023)")</f>
        <v>Uncle Sams Cider (04/04/2023)</v>
      </c>
      <c r="H7090" s="19"/>
    </row>
    <row r="7091">
      <c r="A7091" s="9"/>
      <c r="B7091" s="15"/>
      <c r="C7091" s="9">
        <f>IFERROR(__xludf.DUMMYFUNCTION("""COMPUTED_VALUE"""),45069.7706299652)</f>
        <v>45069.77063</v>
      </c>
      <c r="D7091" s="15">
        <f>IFERROR(__xludf.DUMMYFUNCTION("""COMPUTED_VALUE"""),1.011)</f>
        <v>1.011</v>
      </c>
      <c r="E7091" s="16">
        <f>IFERROR(__xludf.DUMMYFUNCTION("""COMPUTED_VALUE"""),65.0)</f>
        <v>65</v>
      </c>
      <c r="F7091" s="19" t="str">
        <f>IFERROR(__xludf.DUMMYFUNCTION("""COMPUTED_VALUE"""),"BLUE")</f>
        <v>BLUE</v>
      </c>
      <c r="G7091" s="20" t="str">
        <f>IFERROR(__xludf.DUMMYFUNCTION("""COMPUTED_VALUE"""),"Uncle Sams Cider (04/04/2023)")</f>
        <v>Uncle Sams Cider (04/04/2023)</v>
      </c>
      <c r="H7091" s="19"/>
    </row>
    <row r="7092">
      <c r="A7092" s="9"/>
      <c r="B7092" s="15"/>
      <c r="C7092" s="9">
        <f>IFERROR(__xludf.DUMMYFUNCTION("""COMPUTED_VALUE"""),45069.7602090277)</f>
        <v>45069.76021</v>
      </c>
      <c r="D7092" s="15">
        <f>IFERROR(__xludf.DUMMYFUNCTION("""COMPUTED_VALUE"""),1.01)</f>
        <v>1.01</v>
      </c>
      <c r="E7092" s="16">
        <f>IFERROR(__xludf.DUMMYFUNCTION("""COMPUTED_VALUE"""),65.0)</f>
        <v>65</v>
      </c>
      <c r="F7092" s="19" t="str">
        <f>IFERROR(__xludf.DUMMYFUNCTION("""COMPUTED_VALUE"""),"BLUE")</f>
        <v>BLUE</v>
      </c>
      <c r="G7092" s="20" t="str">
        <f>IFERROR(__xludf.DUMMYFUNCTION("""COMPUTED_VALUE"""),"Uncle Sams Cider (04/04/2023)")</f>
        <v>Uncle Sams Cider (04/04/2023)</v>
      </c>
      <c r="H7092" s="19"/>
    </row>
    <row r="7093">
      <c r="A7093" s="9"/>
      <c r="B7093" s="15"/>
      <c r="C7093" s="9">
        <f>IFERROR(__xludf.DUMMYFUNCTION("""COMPUTED_VALUE"""),45069.7497763078)</f>
        <v>45069.74978</v>
      </c>
      <c r="D7093" s="15">
        <f>IFERROR(__xludf.DUMMYFUNCTION("""COMPUTED_VALUE"""),1.01)</f>
        <v>1.01</v>
      </c>
      <c r="E7093" s="16">
        <f>IFERROR(__xludf.DUMMYFUNCTION("""COMPUTED_VALUE"""),65.0)</f>
        <v>65</v>
      </c>
      <c r="F7093" s="19" t="str">
        <f>IFERROR(__xludf.DUMMYFUNCTION("""COMPUTED_VALUE"""),"BLUE")</f>
        <v>BLUE</v>
      </c>
      <c r="G7093" s="20" t="str">
        <f>IFERROR(__xludf.DUMMYFUNCTION("""COMPUTED_VALUE"""),"Uncle Sams Cider (04/04/2023)")</f>
        <v>Uncle Sams Cider (04/04/2023)</v>
      </c>
      <c r="H7093" s="19"/>
    </row>
    <row r="7094">
      <c r="A7094" s="9"/>
      <c r="B7094" s="15"/>
      <c r="C7094" s="9">
        <f>IFERROR(__xludf.DUMMYFUNCTION("""COMPUTED_VALUE"""),45069.7393547338)</f>
        <v>45069.73935</v>
      </c>
      <c r="D7094" s="15">
        <f>IFERROR(__xludf.DUMMYFUNCTION("""COMPUTED_VALUE"""),1.011)</f>
        <v>1.011</v>
      </c>
      <c r="E7094" s="16">
        <f>IFERROR(__xludf.DUMMYFUNCTION("""COMPUTED_VALUE"""),65.0)</f>
        <v>65</v>
      </c>
      <c r="F7094" s="19" t="str">
        <f>IFERROR(__xludf.DUMMYFUNCTION("""COMPUTED_VALUE"""),"BLUE")</f>
        <v>BLUE</v>
      </c>
      <c r="G7094" s="20" t="str">
        <f>IFERROR(__xludf.DUMMYFUNCTION("""COMPUTED_VALUE"""),"Uncle Sams Cider (04/04/2023)")</f>
        <v>Uncle Sams Cider (04/04/2023)</v>
      </c>
      <c r="H7094" s="19"/>
    </row>
    <row r="7095">
      <c r="A7095" s="9"/>
      <c r="B7095" s="15"/>
      <c r="C7095" s="9">
        <f>IFERROR(__xludf.DUMMYFUNCTION("""COMPUTED_VALUE"""),45069.7289319791)</f>
        <v>45069.72893</v>
      </c>
      <c r="D7095" s="15">
        <f>IFERROR(__xludf.DUMMYFUNCTION("""COMPUTED_VALUE"""),1.01)</f>
        <v>1.01</v>
      </c>
      <c r="E7095" s="16">
        <f>IFERROR(__xludf.DUMMYFUNCTION("""COMPUTED_VALUE"""),65.0)</f>
        <v>65</v>
      </c>
      <c r="F7095" s="19" t="str">
        <f>IFERROR(__xludf.DUMMYFUNCTION("""COMPUTED_VALUE"""),"BLUE")</f>
        <v>BLUE</v>
      </c>
      <c r="G7095" s="20" t="str">
        <f>IFERROR(__xludf.DUMMYFUNCTION("""COMPUTED_VALUE"""),"Uncle Sams Cider (04/04/2023)")</f>
        <v>Uncle Sams Cider (04/04/2023)</v>
      </c>
      <c r="H7095" s="19"/>
    </row>
    <row r="7096">
      <c r="A7096" s="9"/>
      <c r="B7096" s="15"/>
      <c r="C7096" s="9">
        <f>IFERROR(__xludf.DUMMYFUNCTION("""COMPUTED_VALUE"""),45069.7184882523)</f>
        <v>45069.71849</v>
      </c>
      <c r="D7096" s="15">
        <f>IFERROR(__xludf.DUMMYFUNCTION("""COMPUTED_VALUE"""),1.011)</f>
        <v>1.011</v>
      </c>
      <c r="E7096" s="16">
        <f>IFERROR(__xludf.DUMMYFUNCTION("""COMPUTED_VALUE"""),65.0)</f>
        <v>65</v>
      </c>
      <c r="F7096" s="19" t="str">
        <f>IFERROR(__xludf.DUMMYFUNCTION("""COMPUTED_VALUE"""),"BLUE")</f>
        <v>BLUE</v>
      </c>
      <c r="G7096" s="20" t="str">
        <f>IFERROR(__xludf.DUMMYFUNCTION("""COMPUTED_VALUE"""),"Uncle Sams Cider (04/04/2023)")</f>
        <v>Uncle Sams Cider (04/04/2023)</v>
      </c>
      <c r="H7096" s="19"/>
    </row>
    <row r="7097">
      <c r="A7097" s="9"/>
      <c r="B7097" s="15"/>
      <c r="C7097" s="9">
        <f>IFERROR(__xludf.DUMMYFUNCTION("""COMPUTED_VALUE"""),45069.7080673379)</f>
        <v>45069.70807</v>
      </c>
      <c r="D7097" s="15">
        <f>IFERROR(__xludf.DUMMYFUNCTION("""COMPUTED_VALUE"""),1.011)</f>
        <v>1.011</v>
      </c>
      <c r="E7097" s="16">
        <f>IFERROR(__xludf.DUMMYFUNCTION("""COMPUTED_VALUE"""),65.0)</f>
        <v>65</v>
      </c>
      <c r="F7097" s="19" t="str">
        <f>IFERROR(__xludf.DUMMYFUNCTION("""COMPUTED_VALUE"""),"BLUE")</f>
        <v>BLUE</v>
      </c>
      <c r="G7097" s="20" t="str">
        <f>IFERROR(__xludf.DUMMYFUNCTION("""COMPUTED_VALUE"""),"Uncle Sams Cider (04/04/2023)")</f>
        <v>Uncle Sams Cider (04/04/2023)</v>
      </c>
      <c r="H7097" s="19"/>
    </row>
    <row r="7098">
      <c r="A7098" s="9"/>
      <c r="B7098" s="15"/>
      <c r="C7098" s="9">
        <f>IFERROR(__xludf.DUMMYFUNCTION("""COMPUTED_VALUE"""),45069.6976456134)</f>
        <v>45069.69765</v>
      </c>
      <c r="D7098" s="15">
        <f>IFERROR(__xludf.DUMMYFUNCTION("""COMPUTED_VALUE"""),1.011)</f>
        <v>1.011</v>
      </c>
      <c r="E7098" s="16">
        <f>IFERROR(__xludf.DUMMYFUNCTION("""COMPUTED_VALUE"""),65.0)</f>
        <v>65</v>
      </c>
      <c r="F7098" s="19" t="str">
        <f>IFERROR(__xludf.DUMMYFUNCTION("""COMPUTED_VALUE"""),"BLUE")</f>
        <v>BLUE</v>
      </c>
      <c r="G7098" s="20" t="str">
        <f>IFERROR(__xludf.DUMMYFUNCTION("""COMPUTED_VALUE"""),"Uncle Sams Cider (04/04/2023)")</f>
        <v>Uncle Sams Cider (04/04/2023)</v>
      </c>
      <c r="H7098" s="19"/>
    </row>
    <row r="7099">
      <c r="A7099" s="9"/>
      <c r="B7099" s="15"/>
      <c r="C7099" s="9">
        <f>IFERROR(__xludf.DUMMYFUNCTION("""COMPUTED_VALUE"""),45069.6872250231)</f>
        <v>45069.68723</v>
      </c>
      <c r="D7099" s="15">
        <f>IFERROR(__xludf.DUMMYFUNCTION("""COMPUTED_VALUE"""),1.011)</f>
        <v>1.011</v>
      </c>
      <c r="E7099" s="16">
        <f>IFERROR(__xludf.DUMMYFUNCTION("""COMPUTED_VALUE"""),65.0)</f>
        <v>65</v>
      </c>
      <c r="F7099" s="19" t="str">
        <f>IFERROR(__xludf.DUMMYFUNCTION("""COMPUTED_VALUE"""),"BLUE")</f>
        <v>BLUE</v>
      </c>
      <c r="G7099" s="20" t="str">
        <f>IFERROR(__xludf.DUMMYFUNCTION("""COMPUTED_VALUE"""),"Uncle Sams Cider (04/04/2023)")</f>
        <v>Uncle Sams Cider (04/04/2023)</v>
      </c>
      <c r="H7099" s="19"/>
    </row>
    <row r="7100">
      <c r="A7100" s="9"/>
      <c r="B7100" s="15"/>
      <c r="C7100" s="9">
        <f>IFERROR(__xludf.DUMMYFUNCTION("""COMPUTED_VALUE"""),45069.6768035995)</f>
        <v>45069.6768</v>
      </c>
      <c r="D7100" s="15">
        <f>IFERROR(__xludf.DUMMYFUNCTION("""COMPUTED_VALUE"""),1.01)</f>
        <v>1.01</v>
      </c>
      <c r="E7100" s="16">
        <f>IFERROR(__xludf.DUMMYFUNCTION("""COMPUTED_VALUE"""),65.0)</f>
        <v>65</v>
      </c>
      <c r="F7100" s="19" t="str">
        <f>IFERROR(__xludf.DUMMYFUNCTION("""COMPUTED_VALUE"""),"BLUE")</f>
        <v>BLUE</v>
      </c>
      <c r="G7100" s="20" t="str">
        <f>IFERROR(__xludf.DUMMYFUNCTION("""COMPUTED_VALUE"""),"Uncle Sams Cider (04/04/2023)")</f>
        <v>Uncle Sams Cider (04/04/2023)</v>
      </c>
      <c r="H7100" s="19"/>
    </row>
    <row r="7101">
      <c r="A7101" s="9"/>
      <c r="B7101" s="15"/>
      <c r="C7101" s="9">
        <f>IFERROR(__xludf.DUMMYFUNCTION("""COMPUTED_VALUE"""),45069.6663832986)</f>
        <v>45069.66638</v>
      </c>
      <c r="D7101" s="15">
        <f>IFERROR(__xludf.DUMMYFUNCTION("""COMPUTED_VALUE"""),1.01)</f>
        <v>1.01</v>
      </c>
      <c r="E7101" s="16">
        <f>IFERROR(__xludf.DUMMYFUNCTION("""COMPUTED_VALUE"""),65.0)</f>
        <v>65</v>
      </c>
      <c r="F7101" s="19" t="str">
        <f>IFERROR(__xludf.DUMMYFUNCTION("""COMPUTED_VALUE"""),"BLUE")</f>
        <v>BLUE</v>
      </c>
      <c r="G7101" s="20" t="str">
        <f>IFERROR(__xludf.DUMMYFUNCTION("""COMPUTED_VALUE"""),"Uncle Sams Cider (04/04/2023)")</f>
        <v>Uncle Sams Cider (04/04/2023)</v>
      </c>
      <c r="H7101" s="19"/>
    </row>
    <row r="7102">
      <c r="A7102" s="9"/>
      <c r="B7102" s="15"/>
      <c r="C7102" s="9">
        <f>IFERROR(__xludf.DUMMYFUNCTION("""COMPUTED_VALUE"""),45069.6559629513)</f>
        <v>45069.65596</v>
      </c>
      <c r="D7102" s="15">
        <f>IFERROR(__xludf.DUMMYFUNCTION("""COMPUTED_VALUE"""),1.011)</f>
        <v>1.011</v>
      </c>
      <c r="E7102" s="16">
        <f>IFERROR(__xludf.DUMMYFUNCTION("""COMPUTED_VALUE"""),65.0)</f>
        <v>65</v>
      </c>
      <c r="F7102" s="19" t="str">
        <f>IFERROR(__xludf.DUMMYFUNCTION("""COMPUTED_VALUE"""),"BLUE")</f>
        <v>BLUE</v>
      </c>
      <c r="G7102" s="20" t="str">
        <f>IFERROR(__xludf.DUMMYFUNCTION("""COMPUTED_VALUE"""),"Uncle Sams Cider (04/04/2023)")</f>
        <v>Uncle Sams Cider (04/04/2023)</v>
      </c>
      <c r="H7102" s="19"/>
    </row>
    <row r="7103">
      <c r="A7103" s="9"/>
      <c r="B7103" s="15"/>
      <c r="C7103" s="9">
        <f>IFERROR(__xludf.DUMMYFUNCTION("""COMPUTED_VALUE"""),45069.6455304745)</f>
        <v>45069.64553</v>
      </c>
      <c r="D7103" s="15">
        <f>IFERROR(__xludf.DUMMYFUNCTION("""COMPUTED_VALUE"""),1.011)</f>
        <v>1.011</v>
      </c>
      <c r="E7103" s="16">
        <f>IFERROR(__xludf.DUMMYFUNCTION("""COMPUTED_VALUE"""),65.0)</f>
        <v>65</v>
      </c>
      <c r="F7103" s="19" t="str">
        <f>IFERROR(__xludf.DUMMYFUNCTION("""COMPUTED_VALUE"""),"BLUE")</f>
        <v>BLUE</v>
      </c>
      <c r="G7103" s="20" t="str">
        <f>IFERROR(__xludf.DUMMYFUNCTION("""COMPUTED_VALUE"""),"Uncle Sams Cider (04/04/2023)")</f>
        <v>Uncle Sams Cider (04/04/2023)</v>
      </c>
      <c r="H7103" s="19"/>
    </row>
    <row r="7104">
      <c r="A7104" s="9"/>
      <c r="B7104" s="15"/>
      <c r="C7104" s="9">
        <f>IFERROR(__xludf.DUMMYFUNCTION("""COMPUTED_VALUE"""),45069.6350978472)</f>
        <v>45069.6351</v>
      </c>
      <c r="D7104" s="15">
        <f>IFERROR(__xludf.DUMMYFUNCTION("""COMPUTED_VALUE"""),1.011)</f>
        <v>1.011</v>
      </c>
      <c r="E7104" s="16">
        <f>IFERROR(__xludf.DUMMYFUNCTION("""COMPUTED_VALUE"""),65.0)</f>
        <v>65</v>
      </c>
      <c r="F7104" s="19" t="str">
        <f>IFERROR(__xludf.DUMMYFUNCTION("""COMPUTED_VALUE"""),"BLUE")</f>
        <v>BLUE</v>
      </c>
      <c r="G7104" s="20" t="str">
        <f>IFERROR(__xludf.DUMMYFUNCTION("""COMPUTED_VALUE"""),"Uncle Sams Cider (04/04/2023)")</f>
        <v>Uncle Sams Cider (04/04/2023)</v>
      </c>
      <c r="H7104" s="19"/>
    </row>
    <row r="7105">
      <c r="A7105" s="9"/>
      <c r="B7105" s="15"/>
      <c r="C7105" s="9">
        <f>IFERROR(__xludf.DUMMYFUNCTION("""COMPUTED_VALUE"""),45069.6246766666)</f>
        <v>45069.62468</v>
      </c>
      <c r="D7105" s="15">
        <f>IFERROR(__xludf.DUMMYFUNCTION("""COMPUTED_VALUE"""),1.011)</f>
        <v>1.011</v>
      </c>
      <c r="E7105" s="16">
        <f>IFERROR(__xludf.DUMMYFUNCTION("""COMPUTED_VALUE"""),65.0)</f>
        <v>65</v>
      </c>
      <c r="F7105" s="19" t="str">
        <f>IFERROR(__xludf.DUMMYFUNCTION("""COMPUTED_VALUE"""),"BLUE")</f>
        <v>BLUE</v>
      </c>
      <c r="G7105" s="20" t="str">
        <f>IFERROR(__xludf.DUMMYFUNCTION("""COMPUTED_VALUE"""),"Uncle Sams Cider (04/04/2023)")</f>
        <v>Uncle Sams Cider (04/04/2023)</v>
      </c>
      <c r="H7105" s="19"/>
    </row>
    <row r="7106">
      <c r="A7106" s="9"/>
      <c r="B7106" s="15"/>
      <c r="C7106" s="9">
        <f>IFERROR(__xludf.DUMMYFUNCTION("""COMPUTED_VALUE"""),45069.6142540162)</f>
        <v>45069.61425</v>
      </c>
      <c r="D7106" s="15">
        <f>IFERROR(__xludf.DUMMYFUNCTION("""COMPUTED_VALUE"""),1.01)</f>
        <v>1.01</v>
      </c>
      <c r="E7106" s="16">
        <f>IFERROR(__xludf.DUMMYFUNCTION("""COMPUTED_VALUE"""),65.0)</f>
        <v>65</v>
      </c>
      <c r="F7106" s="19" t="str">
        <f>IFERROR(__xludf.DUMMYFUNCTION("""COMPUTED_VALUE"""),"BLUE")</f>
        <v>BLUE</v>
      </c>
      <c r="G7106" s="20" t="str">
        <f>IFERROR(__xludf.DUMMYFUNCTION("""COMPUTED_VALUE"""),"Uncle Sams Cider (04/04/2023)")</f>
        <v>Uncle Sams Cider (04/04/2023)</v>
      </c>
      <c r="H7106" s="19"/>
    </row>
    <row r="7107">
      <c r="A7107" s="9"/>
      <c r="B7107" s="15"/>
      <c r="C7107" s="9">
        <f>IFERROR(__xludf.DUMMYFUNCTION("""COMPUTED_VALUE"""),45069.6038311342)</f>
        <v>45069.60383</v>
      </c>
      <c r="D7107" s="15">
        <f>IFERROR(__xludf.DUMMYFUNCTION("""COMPUTED_VALUE"""),1.011)</f>
        <v>1.011</v>
      </c>
      <c r="E7107" s="16">
        <f>IFERROR(__xludf.DUMMYFUNCTION("""COMPUTED_VALUE"""),65.0)</f>
        <v>65</v>
      </c>
      <c r="F7107" s="19" t="str">
        <f>IFERROR(__xludf.DUMMYFUNCTION("""COMPUTED_VALUE"""),"BLUE")</f>
        <v>BLUE</v>
      </c>
      <c r="G7107" s="20" t="str">
        <f>IFERROR(__xludf.DUMMYFUNCTION("""COMPUTED_VALUE"""),"Uncle Sams Cider (04/04/2023)")</f>
        <v>Uncle Sams Cider (04/04/2023)</v>
      </c>
      <c r="H7107" s="19"/>
    </row>
    <row r="7108">
      <c r="A7108" s="9"/>
      <c r="B7108" s="15"/>
      <c r="C7108" s="9">
        <f>IFERROR(__xludf.DUMMYFUNCTION("""COMPUTED_VALUE"""),45069.5933978703)</f>
        <v>45069.5934</v>
      </c>
      <c r="D7108" s="15">
        <f>IFERROR(__xludf.DUMMYFUNCTION("""COMPUTED_VALUE"""),1.011)</f>
        <v>1.011</v>
      </c>
      <c r="E7108" s="16">
        <f>IFERROR(__xludf.DUMMYFUNCTION("""COMPUTED_VALUE"""),65.0)</f>
        <v>65</v>
      </c>
      <c r="F7108" s="19" t="str">
        <f>IFERROR(__xludf.DUMMYFUNCTION("""COMPUTED_VALUE"""),"BLUE")</f>
        <v>BLUE</v>
      </c>
      <c r="G7108" s="20" t="str">
        <f>IFERROR(__xludf.DUMMYFUNCTION("""COMPUTED_VALUE"""),"Uncle Sams Cider (04/04/2023)")</f>
        <v>Uncle Sams Cider (04/04/2023)</v>
      </c>
      <c r="H7108" s="19"/>
    </row>
    <row r="7109">
      <c r="A7109" s="9"/>
      <c r="B7109" s="15"/>
      <c r="C7109" s="9">
        <f>IFERROR(__xludf.DUMMYFUNCTION("""COMPUTED_VALUE"""),45069.5829533333)</f>
        <v>45069.58295</v>
      </c>
      <c r="D7109" s="15">
        <f>IFERROR(__xludf.DUMMYFUNCTION("""COMPUTED_VALUE"""),1.011)</f>
        <v>1.011</v>
      </c>
      <c r="E7109" s="16">
        <f>IFERROR(__xludf.DUMMYFUNCTION("""COMPUTED_VALUE"""),65.0)</f>
        <v>65</v>
      </c>
      <c r="F7109" s="19" t="str">
        <f>IFERROR(__xludf.DUMMYFUNCTION("""COMPUTED_VALUE"""),"BLUE")</f>
        <v>BLUE</v>
      </c>
      <c r="G7109" s="20" t="str">
        <f>IFERROR(__xludf.DUMMYFUNCTION("""COMPUTED_VALUE"""),"Uncle Sams Cider (04/04/2023)")</f>
        <v>Uncle Sams Cider (04/04/2023)</v>
      </c>
      <c r="H7109" s="19"/>
    </row>
    <row r="7110">
      <c r="A7110" s="9"/>
      <c r="B7110" s="15"/>
      <c r="C7110" s="9">
        <f>IFERROR(__xludf.DUMMYFUNCTION("""COMPUTED_VALUE"""),45069.5725313078)</f>
        <v>45069.57253</v>
      </c>
      <c r="D7110" s="15">
        <f>IFERROR(__xludf.DUMMYFUNCTION("""COMPUTED_VALUE"""),1.011)</f>
        <v>1.011</v>
      </c>
      <c r="E7110" s="16">
        <f>IFERROR(__xludf.DUMMYFUNCTION("""COMPUTED_VALUE"""),65.0)</f>
        <v>65</v>
      </c>
      <c r="F7110" s="19" t="str">
        <f>IFERROR(__xludf.DUMMYFUNCTION("""COMPUTED_VALUE"""),"BLUE")</f>
        <v>BLUE</v>
      </c>
      <c r="G7110" s="20" t="str">
        <f>IFERROR(__xludf.DUMMYFUNCTION("""COMPUTED_VALUE"""),"Uncle Sams Cider (04/04/2023)")</f>
        <v>Uncle Sams Cider (04/04/2023)</v>
      </c>
      <c r="H7110" s="19"/>
    </row>
    <row r="7111">
      <c r="A7111" s="9"/>
      <c r="B7111" s="15"/>
      <c r="C7111" s="9">
        <f>IFERROR(__xludf.DUMMYFUNCTION("""COMPUTED_VALUE"""),45069.5516765625)</f>
        <v>45069.55168</v>
      </c>
      <c r="D7111" s="15">
        <f>IFERROR(__xludf.DUMMYFUNCTION("""COMPUTED_VALUE"""),1.011)</f>
        <v>1.011</v>
      </c>
      <c r="E7111" s="16">
        <f>IFERROR(__xludf.DUMMYFUNCTION("""COMPUTED_VALUE"""),65.0)</f>
        <v>65</v>
      </c>
      <c r="F7111" s="19" t="str">
        <f>IFERROR(__xludf.DUMMYFUNCTION("""COMPUTED_VALUE"""),"BLUE")</f>
        <v>BLUE</v>
      </c>
      <c r="G7111" s="20" t="str">
        <f>IFERROR(__xludf.DUMMYFUNCTION("""COMPUTED_VALUE"""),"Uncle Sams Cider (04/04/2023)")</f>
        <v>Uncle Sams Cider (04/04/2023)</v>
      </c>
      <c r="H7111" s="19"/>
    </row>
    <row r="7112">
      <c r="A7112" s="9"/>
      <c r="B7112" s="15"/>
      <c r="C7112" s="9">
        <f>IFERROR(__xludf.DUMMYFUNCTION("""COMPUTED_VALUE"""),45069.5412544676)</f>
        <v>45069.54125</v>
      </c>
      <c r="D7112" s="15">
        <f>IFERROR(__xludf.DUMMYFUNCTION("""COMPUTED_VALUE"""),1.011)</f>
        <v>1.011</v>
      </c>
      <c r="E7112" s="16">
        <f>IFERROR(__xludf.DUMMYFUNCTION("""COMPUTED_VALUE"""),65.0)</f>
        <v>65</v>
      </c>
      <c r="F7112" s="19" t="str">
        <f>IFERROR(__xludf.DUMMYFUNCTION("""COMPUTED_VALUE"""),"BLUE")</f>
        <v>BLUE</v>
      </c>
      <c r="G7112" s="20" t="str">
        <f>IFERROR(__xludf.DUMMYFUNCTION("""COMPUTED_VALUE"""),"Uncle Sams Cider (04/04/2023)")</f>
        <v>Uncle Sams Cider (04/04/2023)</v>
      </c>
      <c r="H7112" s="19"/>
    </row>
    <row r="7113">
      <c r="A7113" s="9"/>
      <c r="B7113" s="15"/>
      <c r="C7113" s="9">
        <f>IFERROR(__xludf.DUMMYFUNCTION("""COMPUTED_VALUE"""),45069.5308344097)</f>
        <v>45069.53083</v>
      </c>
      <c r="D7113" s="15">
        <f>IFERROR(__xludf.DUMMYFUNCTION("""COMPUTED_VALUE"""),1.01)</f>
        <v>1.01</v>
      </c>
      <c r="E7113" s="16">
        <f>IFERROR(__xludf.DUMMYFUNCTION("""COMPUTED_VALUE"""),65.0)</f>
        <v>65</v>
      </c>
      <c r="F7113" s="19" t="str">
        <f>IFERROR(__xludf.DUMMYFUNCTION("""COMPUTED_VALUE"""),"BLUE")</f>
        <v>BLUE</v>
      </c>
      <c r="G7113" s="20" t="str">
        <f>IFERROR(__xludf.DUMMYFUNCTION("""COMPUTED_VALUE"""),"Uncle Sams Cider (04/04/2023)")</f>
        <v>Uncle Sams Cider (04/04/2023)</v>
      </c>
      <c r="H7113" s="19"/>
    </row>
    <row r="7114">
      <c r="A7114" s="9"/>
      <c r="B7114" s="15"/>
      <c r="C7114" s="9">
        <f>IFERROR(__xludf.DUMMYFUNCTION("""COMPUTED_VALUE"""),45069.5204016782)</f>
        <v>45069.5204</v>
      </c>
      <c r="D7114" s="15">
        <f>IFERROR(__xludf.DUMMYFUNCTION("""COMPUTED_VALUE"""),1.011)</f>
        <v>1.011</v>
      </c>
      <c r="E7114" s="16">
        <f>IFERROR(__xludf.DUMMYFUNCTION("""COMPUTED_VALUE"""),65.0)</f>
        <v>65</v>
      </c>
      <c r="F7114" s="19" t="str">
        <f>IFERROR(__xludf.DUMMYFUNCTION("""COMPUTED_VALUE"""),"BLUE")</f>
        <v>BLUE</v>
      </c>
      <c r="G7114" s="20" t="str">
        <f>IFERROR(__xludf.DUMMYFUNCTION("""COMPUTED_VALUE"""),"Uncle Sams Cider (04/04/2023)")</f>
        <v>Uncle Sams Cider (04/04/2023)</v>
      </c>
      <c r="H7114" s="19"/>
    </row>
    <row r="7115">
      <c r="A7115" s="9"/>
      <c r="B7115" s="15"/>
      <c r="C7115" s="9">
        <f>IFERROR(__xludf.DUMMYFUNCTION("""COMPUTED_VALUE"""),45069.50998103)</f>
        <v>45069.50998</v>
      </c>
      <c r="D7115" s="15">
        <f>IFERROR(__xludf.DUMMYFUNCTION("""COMPUTED_VALUE"""),1.011)</f>
        <v>1.011</v>
      </c>
      <c r="E7115" s="16">
        <f>IFERROR(__xludf.DUMMYFUNCTION("""COMPUTED_VALUE"""),65.0)</f>
        <v>65</v>
      </c>
      <c r="F7115" s="19" t="str">
        <f>IFERROR(__xludf.DUMMYFUNCTION("""COMPUTED_VALUE"""),"BLUE")</f>
        <v>BLUE</v>
      </c>
      <c r="G7115" s="20" t="str">
        <f>IFERROR(__xludf.DUMMYFUNCTION("""COMPUTED_VALUE"""),"Uncle Sams Cider (04/04/2023)")</f>
        <v>Uncle Sams Cider (04/04/2023)</v>
      </c>
      <c r="H7115" s="19"/>
    </row>
    <row r="7116">
      <c r="A7116" s="9"/>
      <c r="B7116" s="15"/>
      <c r="C7116" s="9">
        <f>IFERROR(__xludf.DUMMYFUNCTION("""COMPUTED_VALUE"""),45069.4995614467)</f>
        <v>45069.49956</v>
      </c>
      <c r="D7116" s="15">
        <f>IFERROR(__xludf.DUMMYFUNCTION("""COMPUTED_VALUE"""),1.011)</f>
        <v>1.011</v>
      </c>
      <c r="E7116" s="16">
        <f>IFERROR(__xludf.DUMMYFUNCTION("""COMPUTED_VALUE"""),65.0)</f>
        <v>65</v>
      </c>
      <c r="F7116" s="19" t="str">
        <f>IFERROR(__xludf.DUMMYFUNCTION("""COMPUTED_VALUE"""),"BLUE")</f>
        <v>BLUE</v>
      </c>
      <c r="G7116" s="20" t="str">
        <f>IFERROR(__xludf.DUMMYFUNCTION("""COMPUTED_VALUE"""),"Uncle Sams Cider (04/04/2023)")</f>
        <v>Uncle Sams Cider (04/04/2023)</v>
      </c>
      <c r="H7116" s="19"/>
    </row>
    <row r="7117">
      <c r="A7117" s="9"/>
      <c r="B7117" s="15"/>
      <c r="C7117" s="9">
        <f>IFERROR(__xludf.DUMMYFUNCTION("""COMPUTED_VALUE"""),45069.4891388194)</f>
        <v>45069.48914</v>
      </c>
      <c r="D7117" s="15">
        <f>IFERROR(__xludf.DUMMYFUNCTION("""COMPUTED_VALUE"""),1.011)</f>
        <v>1.011</v>
      </c>
      <c r="E7117" s="16">
        <f>IFERROR(__xludf.DUMMYFUNCTION("""COMPUTED_VALUE"""),65.0)</f>
        <v>65</v>
      </c>
      <c r="F7117" s="19" t="str">
        <f>IFERROR(__xludf.DUMMYFUNCTION("""COMPUTED_VALUE"""),"BLUE")</f>
        <v>BLUE</v>
      </c>
      <c r="G7117" s="20" t="str">
        <f>IFERROR(__xludf.DUMMYFUNCTION("""COMPUTED_VALUE"""),"Uncle Sams Cider (04/04/2023)")</f>
        <v>Uncle Sams Cider (04/04/2023)</v>
      </c>
      <c r="H7117" s="19"/>
    </row>
    <row r="7118">
      <c r="A7118" s="9"/>
      <c r="B7118" s="15"/>
      <c r="C7118" s="9">
        <f>IFERROR(__xludf.DUMMYFUNCTION("""COMPUTED_VALUE"""),45069.4787172569)</f>
        <v>45069.47872</v>
      </c>
      <c r="D7118" s="15">
        <f>IFERROR(__xludf.DUMMYFUNCTION("""COMPUTED_VALUE"""),1.011)</f>
        <v>1.011</v>
      </c>
      <c r="E7118" s="16">
        <f>IFERROR(__xludf.DUMMYFUNCTION("""COMPUTED_VALUE"""),65.0)</f>
        <v>65</v>
      </c>
      <c r="F7118" s="19" t="str">
        <f>IFERROR(__xludf.DUMMYFUNCTION("""COMPUTED_VALUE"""),"BLUE")</f>
        <v>BLUE</v>
      </c>
      <c r="G7118" s="20" t="str">
        <f>IFERROR(__xludf.DUMMYFUNCTION("""COMPUTED_VALUE"""),"Uncle Sams Cider (04/04/2023)")</f>
        <v>Uncle Sams Cider (04/04/2023)</v>
      </c>
      <c r="H7118" s="19"/>
    </row>
    <row r="7119">
      <c r="A7119" s="9"/>
      <c r="B7119" s="15"/>
      <c r="C7119" s="9">
        <f>IFERROR(__xludf.DUMMYFUNCTION("""COMPUTED_VALUE"""),45069.4682833217)</f>
        <v>45069.46828</v>
      </c>
      <c r="D7119" s="15">
        <f>IFERROR(__xludf.DUMMYFUNCTION("""COMPUTED_VALUE"""),1.011)</f>
        <v>1.011</v>
      </c>
      <c r="E7119" s="16">
        <f>IFERROR(__xludf.DUMMYFUNCTION("""COMPUTED_VALUE"""),65.0)</f>
        <v>65</v>
      </c>
      <c r="F7119" s="19" t="str">
        <f>IFERROR(__xludf.DUMMYFUNCTION("""COMPUTED_VALUE"""),"BLUE")</f>
        <v>BLUE</v>
      </c>
      <c r="G7119" s="20" t="str">
        <f>IFERROR(__xludf.DUMMYFUNCTION("""COMPUTED_VALUE"""),"Uncle Sams Cider (04/04/2023)")</f>
        <v>Uncle Sams Cider (04/04/2023)</v>
      </c>
      <c r="H7119" s="19"/>
    </row>
    <row r="7120">
      <c r="A7120" s="9"/>
      <c r="B7120" s="15"/>
      <c r="C7120" s="9">
        <f>IFERROR(__xludf.DUMMYFUNCTION("""COMPUTED_VALUE"""),45069.4578517592)</f>
        <v>45069.45785</v>
      </c>
      <c r="D7120" s="15">
        <f>IFERROR(__xludf.DUMMYFUNCTION("""COMPUTED_VALUE"""),1.01)</f>
        <v>1.01</v>
      </c>
      <c r="E7120" s="16">
        <f>IFERROR(__xludf.DUMMYFUNCTION("""COMPUTED_VALUE"""),65.0)</f>
        <v>65</v>
      </c>
      <c r="F7120" s="19" t="str">
        <f>IFERROR(__xludf.DUMMYFUNCTION("""COMPUTED_VALUE"""),"BLUE")</f>
        <v>BLUE</v>
      </c>
      <c r="G7120" s="20" t="str">
        <f>IFERROR(__xludf.DUMMYFUNCTION("""COMPUTED_VALUE"""),"Uncle Sams Cider (04/04/2023)")</f>
        <v>Uncle Sams Cider (04/04/2023)</v>
      </c>
      <c r="H7120" s="19"/>
    </row>
    <row r="7121">
      <c r="A7121" s="9"/>
      <c r="B7121" s="15"/>
      <c r="C7121" s="9">
        <f>IFERROR(__xludf.DUMMYFUNCTION("""COMPUTED_VALUE"""),45069.4474324884)</f>
        <v>45069.44743</v>
      </c>
      <c r="D7121" s="15">
        <f>IFERROR(__xludf.DUMMYFUNCTION("""COMPUTED_VALUE"""),1.011)</f>
        <v>1.011</v>
      </c>
      <c r="E7121" s="16">
        <f>IFERROR(__xludf.DUMMYFUNCTION("""COMPUTED_VALUE"""),65.0)</f>
        <v>65</v>
      </c>
      <c r="F7121" s="19" t="str">
        <f>IFERROR(__xludf.DUMMYFUNCTION("""COMPUTED_VALUE"""),"BLUE")</f>
        <v>BLUE</v>
      </c>
      <c r="G7121" s="20" t="str">
        <f>IFERROR(__xludf.DUMMYFUNCTION("""COMPUTED_VALUE"""),"Uncle Sams Cider (04/04/2023)")</f>
        <v>Uncle Sams Cider (04/04/2023)</v>
      </c>
      <c r="H7121" s="19"/>
    </row>
    <row r="7122">
      <c r="A7122" s="9"/>
      <c r="B7122" s="15"/>
      <c r="C7122" s="9">
        <f>IFERROR(__xludf.DUMMYFUNCTION("""COMPUTED_VALUE"""),45069.4370116782)</f>
        <v>45069.43701</v>
      </c>
      <c r="D7122" s="15">
        <f>IFERROR(__xludf.DUMMYFUNCTION("""COMPUTED_VALUE"""),1.011)</f>
        <v>1.011</v>
      </c>
      <c r="E7122" s="16">
        <f>IFERROR(__xludf.DUMMYFUNCTION("""COMPUTED_VALUE"""),65.0)</f>
        <v>65</v>
      </c>
      <c r="F7122" s="19" t="str">
        <f>IFERROR(__xludf.DUMMYFUNCTION("""COMPUTED_VALUE"""),"BLUE")</f>
        <v>BLUE</v>
      </c>
      <c r="G7122" s="20" t="str">
        <f>IFERROR(__xludf.DUMMYFUNCTION("""COMPUTED_VALUE"""),"Uncle Sams Cider (04/04/2023)")</f>
        <v>Uncle Sams Cider (04/04/2023)</v>
      </c>
      <c r="H7122" s="19"/>
    </row>
    <row r="7123">
      <c r="A7123" s="9"/>
      <c r="B7123" s="15"/>
      <c r="C7123" s="9">
        <f>IFERROR(__xludf.DUMMYFUNCTION("""COMPUTED_VALUE"""),45069.4265902314)</f>
        <v>45069.42659</v>
      </c>
      <c r="D7123" s="15">
        <f>IFERROR(__xludf.DUMMYFUNCTION("""COMPUTED_VALUE"""),1.011)</f>
        <v>1.011</v>
      </c>
      <c r="E7123" s="16">
        <f>IFERROR(__xludf.DUMMYFUNCTION("""COMPUTED_VALUE"""),65.0)</f>
        <v>65</v>
      </c>
      <c r="F7123" s="19" t="str">
        <f>IFERROR(__xludf.DUMMYFUNCTION("""COMPUTED_VALUE"""),"BLUE")</f>
        <v>BLUE</v>
      </c>
      <c r="G7123" s="20" t="str">
        <f>IFERROR(__xludf.DUMMYFUNCTION("""COMPUTED_VALUE"""),"Uncle Sams Cider (04/04/2023)")</f>
        <v>Uncle Sams Cider (04/04/2023)</v>
      </c>
      <c r="H7123" s="19"/>
    </row>
    <row r="7124">
      <c r="A7124" s="9"/>
      <c r="B7124" s="15"/>
      <c r="C7124" s="9">
        <f>IFERROR(__xludf.DUMMYFUNCTION("""COMPUTED_VALUE"""),45069.4161687847)</f>
        <v>45069.41617</v>
      </c>
      <c r="D7124" s="15">
        <f>IFERROR(__xludf.DUMMYFUNCTION("""COMPUTED_VALUE"""),1.01)</f>
        <v>1.01</v>
      </c>
      <c r="E7124" s="16">
        <f>IFERROR(__xludf.DUMMYFUNCTION("""COMPUTED_VALUE"""),65.0)</f>
        <v>65</v>
      </c>
      <c r="F7124" s="19" t="str">
        <f>IFERROR(__xludf.DUMMYFUNCTION("""COMPUTED_VALUE"""),"BLUE")</f>
        <v>BLUE</v>
      </c>
      <c r="G7124" s="20" t="str">
        <f>IFERROR(__xludf.DUMMYFUNCTION("""COMPUTED_VALUE"""),"Uncle Sams Cider (04/04/2023)")</f>
        <v>Uncle Sams Cider (04/04/2023)</v>
      </c>
      <c r="H7124" s="19"/>
    </row>
    <row r="7125">
      <c r="A7125" s="9"/>
      <c r="B7125" s="15"/>
      <c r="C7125" s="9">
        <f>IFERROR(__xludf.DUMMYFUNCTION("""COMPUTED_VALUE"""),45069.4057462847)</f>
        <v>45069.40575</v>
      </c>
      <c r="D7125" s="15">
        <f>IFERROR(__xludf.DUMMYFUNCTION("""COMPUTED_VALUE"""),1.011)</f>
        <v>1.011</v>
      </c>
      <c r="E7125" s="16">
        <f>IFERROR(__xludf.DUMMYFUNCTION("""COMPUTED_VALUE"""),65.0)</f>
        <v>65</v>
      </c>
      <c r="F7125" s="19" t="str">
        <f>IFERROR(__xludf.DUMMYFUNCTION("""COMPUTED_VALUE"""),"BLUE")</f>
        <v>BLUE</v>
      </c>
      <c r="G7125" s="20" t="str">
        <f>IFERROR(__xludf.DUMMYFUNCTION("""COMPUTED_VALUE"""),"Uncle Sams Cider (04/04/2023)")</f>
        <v>Uncle Sams Cider (04/04/2023)</v>
      </c>
      <c r="H7125" s="19"/>
    </row>
    <row r="7126">
      <c r="A7126" s="9"/>
      <c r="B7126" s="15"/>
      <c r="C7126" s="9">
        <f>IFERROR(__xludf.DUMMYFUNCTION("""COMPUTED_VALUE"""),45069.3953154976)</f>
        <v>45069.39532</v>
      </c>
      <c r="D7126" s="15">
        <f>IFERROR(__xludf.DUMMYFUNCTION("""COMPUTED_VALUE"""),1.01)</f>
        <v>1.01</v>
      </c>
      <c r="E7126" s="16">
        <f>IFERROR(__xludf.DUMMYFUNCTION("""COMPUTED_VALUE"""),65.0)</f>
        <v>65</v>
      </c>
      <c r="F7126" s="19" t="str">
        <f>IFERROR(__xludf.DUMMYFUNCTION("""COMPUTED_VALUE"""),"BLUE")</f>
        <v>BLUE</v>
      </c>
      <c r="G7126" s="20" t="str">
        <f>IFERROR(__xludf.DUMMYFUNCTION("""COMPUTED_VALUE"""),"Uncle Sams Cider (04/04/2023)")</f>
        <v>Uncle Sams Cider (04/04/2023)</v>
      </c>
      <c r="H7126" s="19"/>
    </row>
    <row r="7127">
      <c r="A7127" s="9"/>
      <c r="B7127" s="15"/>
      <c r="C7127" s="9">
        <f>IFERROR(__xludf.DUMMYFUNCTION("""COMPUTED_VALUE"""),45069.384883287)</f>
        <v>45069.38488</v>
      </c>
      <c r="D7127" s="15">
        <f>IFERROR(__xludf.DUMMYFUNCTION("""COMPUTED_VALUE"""),1.011)</f>
        <v>1.011</v>
      </c>
      <c r="E7127" s="16">
        <f>IFERROR(__xludf.DUMMYFUNCTION("""COMPUTED_VALUE"""),65.0)</f>
        <v>65</v>
      </c>
      <c r="F7127" s="19" t="str">
        <f>IFERROR(__xludf.DUMMYFUNCTION("""COMPUTED_VALUE"""),"BLUE")</f>
        <v>BLUE</v>
      </c>
      <c r="G7127" s="20" t="str">
        <f>IFERROR(__xludf.DUMMYFUNCTION("""COMPUTED_VALUE"""),"Uncle Sams Cider (04/04/2023)")</f>
        <v>Uncle Sams Cider (04/04/2023)</v>
      </c>
      <c r="H7127" s="19"/>
    </row>
    <row r="7128">
      <c r="A7128" s="9"/>
      <c r="B7128" s="15"/>
      <c r="C7128" s="9">
        <f>IFERROR(__xludf.DUMMYFUNCTION("""COMPUTED_VALUE"""),45069.3744618402)</f>
        <v>45069.37446</v>
      </c>
      <c r="D7128" s="15">
        <f>IFERROR(__xludf.DUMMYFUNCTION("""COMPUTED_VALUE"""),1.011)</f>
        <v>1.011</v>
      </c>
      <c r="E7128" s="16">
        <f>IFERROR(__xludf.DUMMYFUNCTION("""COMPUTED_VALUE"""),65.0)</f>
        <v>65</v>
      </c>
      <c r="F7128" s="19" t="str">
        <f>IFERROR(__xludf.DUMMYFUNCTION("""COMPUTED_VALUE"""),"BLUE")</f>
        <v>BLUE</v>
      </c>
      <c r="G7128" s="20" t="str">
        <f>IFERROR(__xludf.DUMMYFUNCTION("""COMPUTED_VALUE"""),"Uncle Sams Cider (04/04/2023)")</f>
        <v>Uncle Sams Cider (04/04/2023)</v>
      </c>
      <c r="H7128" s="19"/>
    </row>
    <row r="7129">
      <c r="A7129" s="9"/>
      <c r="B7129" s="15"/>
      <c r="C7129" s="9">
        <f>IFERROR(__xludf.DUMMYFUNCTION("""COMPUTED_VALUE"""),45069.3640409375)</f>
        <v>45069.36404</v>
      </c>
      <c r="D7129" s="15">
        <f>IFERROR(__xludf.DUMMYFUNCTION("""COMPUTED_VALUE"""),1.011)</f>
        <v>1.011</v>
      </c>
      <c r="E7129" s="16">
        <f>IFERROR(__xludf.DUMMYFUNCTION("""COMPUTED_VALUE"""),65.0)</f>
        <v>65</v>
      </c>
      <c r="F7129" s="19" t="str">
        <f>IFERROR(__xludf.DUMMYFUNCTION("""COMPUTED_VALUE"""),"BLUE")</f>
        <v>BLUE</v>
      </c>
      <c r="G7129" s="20" t="str">
        <f>IFERROR(__xludf.DUMMYFUNCTION("""COMPUTED_VALUE"""),"Uncle Sams Cider (04/04/2023)")</f>
        <v>Uncle Sams Cider (04/04/2023)</v>
      </c>
      <c r="H7129" s="19"/>
    </row>
    <row r="7130">
      <c r="A7130" s="9"/>
      <c r="B7130" s="15"/>
      <c r="C7130" s="9">
        <f>IFERROR(__xludf.DUMMYFUNCTION("""COMPUTED_VALUE"""),45069.3536206134)</f>
        <v>45069.35362</v>
      </c>
      <c r="D7130" s="15">
        <f>IFERROR(__xludf.DUMMYFUNCTION("""COMPUTED_VALUE"""),1.011)</f>
        <v>1.011</v>
      </c>
      <c r="E7130" s="16">
        <f>IFERROR(__xludf.DUMMYFUNCTION("""COMPUTED_VALUE"""),65.0)</f>
        <v>65</v>
      </c>
      <c r="F7130" s="19" t="str">
        <f>IFERROR(__xludf.DUMMYFUNCTION("""COMPUTED_VALUE"""),"BLUE")</f>
        <v>BLUE</v>
      </c>
      <c r="G7130" s="20" t="str">
        <f>IFERROR(__xludf.DUMMYFUNCTION("""COMPUTED_VALUE"""),"Uncle Sams Cider (04/04/2023)")</f>
        <v>Uncle Sams Cider (04/04/2023)</v>
      </c>
      <c r="H7130" s="19"/>
    </row>
    <row r="7131">
      <c r="A7131" s="9"/>
      <c r="B7131" s="15"/>
      <c r="C7131" s="9">
        <f>IFERROR(__xludf.DUMMYFUNCTION("""COMPUTED_VALUE"""),45069.3431994676)</f>
        <v>45069.3432</v>
      </c>
      <c r="D7131" s="15">
        <f>IFERROR(__xludf.DUMMYFUNCTION("""COMPUTED_VALUE"""),1.011)</f>
        <v>1.011</v>
      </c>
      <c r="E7131" s="16">
        <f>IFERROR(__xludf.DUMMYFUNCTION("""COMPUTED_VALUE"""),65.0)</f>
        <v>65</v>
      </c>
      <c r="F7131" s="19" t="str">
        <f>IFERROR(__xludf.DUMMYFUNCTION("""COMPUTED_VALUE"""),"BLUE")</f>
        <v>BLUE</v>
      </c>
      <c r="G7131" s="20" t="str">
        <f>IFERROR(__xludf.DUMMYFUNCTION("""COMPUTED_VALUE"""),"Uncle Sams Cider (04/04/2023)")</f>
        <v>Uncle Sams Cider (04/04/2023)</v>
      </c>
      <c r="H7131" s="19"/>
    </row>
    <row r="7132">
      <c r="A7132" s="9"/>
      <c r="B7132" s="15"/>
      <c r="C7132" s="9">
        <f>IFERROR(__xludf.DUMMYFUNCTION("""COMPUTED_VALUE"""),45069.3327791782)</f>
        <v>45069.33278</v>
      </c>
      <c r="D7132" s="15">
        <f>IFERROR(__xludf.DUMMYFUNCTION("""COMPUTED_VALUE"""),1.011)</f>
        <v>1.011</v>
      </c>
      <c r="E7132" s="16">
        <f>IFERROR(__xludf.DUMMYFUNCTION("""COMPUTED_VALUE"""),65.0)</f>
        <v>65</v>
      </c>
      <c r="F7132" s="19" t="str">
        <f>IFERROR(__xludf.DUMMYFUNCTION("""COMPUTED_VALUE"""),"BLUE")</f>
        <v>BLUE</v>
      </c>
      <c r="G7132" s="20" t="str">
        <f>IFERROR(__xludf.DUMMYFUNCTION("""COMPUTED_VALUE"""),"Uncle Sams Cider (04/04/2023)")</f>
        <v>Uncle Sams Cider (04/04/2023)</v>
      </c>
      <c r="H7132" s="19"/>
    </row>
    <row r="7133">
      <c r="A7133" s="9"/>
      <c r="B7133" s="15"/>
      <c r="C7133" s="9">
        <f>IFERROR(__xludf.DUMMYFUNCTION("""COMPUTED_VALUE"""),45069.3223330902)</f>
        <v>45069.32233</v>
      </c>
      <c r="D7133" s="15">
        <f>IFERROR(__xludf.DUMMYFUNCTION("""COMPUTED_VALUE"""),1.011)</f>
        <v>1.011</v>
      </c>
      <c r="E7133" s="16">
        <f>IFERROR(__xludf.DUMMYFUNCTION("""COMPUTED_VALUE"""),65.0)</f>
        <v>65</v>
      </c>
      <c r="F7133" s="19" t="str">
        <f>IFERROR(__xludf.DUMMYFUNCTION("""COMPUTED_VALUE"""),"BLUE")</f>
        <v>BLUE</v>
      </c>
      <c r="G7133" s="20" t="str">
        <f>IFERROR(__xludf.DUMMYFUNCTION("""COMPUTED_VALUE"""),"Uncle Sams Cider (04/04/2023)")</f>
        <v>Uncle Sams Cider (04/04/2023)</v>
      </c>
      <c r="H7133" s="19"/>
    </row>
    <row r="7134">
      <c r="A7134" s="9"/>
      <c r="B7134" s="15"/>
      <c r="C7134" s="9">
        <f>IFERROR(__xludf.DUMMYFUNCTION("""COMPUTED_VALUE"""),45069.311912118)</f>
        <v>45069.31191</v>
      </c>
      <c r="D7134" s="15">
        <f>IFERROR(__xludf.DUMMYFUNCTION("""COMPUTED_VALUE"""),1.01)</f>
        <v>1.01</v>
      </c>
      <c r="E7134" s="16">
        <f>IFERROR(__xludf.DUMMYFUNCTION("""COMPUTED_VALUE"""),65.0)</f>
        <v>65</v>
      </c>
      <c r="F7134" s="19" t="str">
        <f>IFERROR(__xludf.DUMMYFUNCTION("""COMPUTED_VALUE"""),"BLUE")</f>
        <v>BLUE</v>
      </c>
      <c r="G7134" s="20" t="str">
        <f>IFERROR(__xludf.DUMMYFUNCTION("""COMPUTED_VALUE"""),"Uncle Sams Cider (04/04/2023)")</f>
        <v>Uncle Sams Cider (04/04/2023)</v>
      </c>
      <c r="H7134" s="19"/>
    </row>
    <row r="7135">
      <c r="A7135" s="9"/>
      <c r="B7135" s="15"/>
      <c r="C7135" s="9">
        <f>IFERROR(__xludf.DUMMYFUNCTION("""COMPUTED_VALUE"""),45069.3014902083)</f>
        <v>45069.30149</v>
      </c>
      <c r="D7135" s="15">
        <f>IFERROR(__xludf.DUMMYFUNCTION("""COMPUTED_VALUE"""),1.011)</f>
        <v>1.011</v>
      </c>
      <c r="E7135" s="16">
        <f>IFERROR(__xludf.DUMMYFUNCTION("""COMPUTED_VALUE"""),65.0)</f>
        <v>65</v>
      </c>
      <c r="F7135" s="19" t="str">
        <f>IFERROR(__xludf.DUMMYFUNCTION("""COMPUTED_VALUE"""),"BLUE")</f>
        <v>BLUE</v>
      </c>
      <c r="G7135" s="20" t="str">
        <f>IFERROR(__xludf.DUMMYFUNCTION("""COMPUTED_VALUE"""),"Uncle Sams Cider (04/04/2023)")</f>
        <v>Uncle Sams Cider (04/04/2023)</v>
      </c>
      <c r="H7135" s="19"/>
    </row>
    <row r="7136">
      <c r="A7136" s="9"/>
      <c r="B7136" s="15"/>
      <c r="C7136" s="9">
        <f>IFERROR(__xludf.DUMMYFUNCTION("""COMPUTED_VALUE"""),45069.2910670138)</f>
        <v>45069.29107</v>
      </c>
      <c r="D7136" s="15">
        <f>IFERROR(__xludf.DUMMYFUNCTION("""COMPUTED_VALUE"""),1.011)</f>
        <v>1.011</v>
      </c>
      <c r="E7136" s="16">
        <f>IFERROR(__xludf.DUMMYFUNCTION("""COMPUTED_VALUE"""),65.0)</f>
        <v>65</v>
      </c>
      <c r="F7136" s="19" t="str">
        <f>IFERROR(__xludf.DUMMYFUNCTION("""COMPUTED_VALUE"""),"BLUE")</f>
        <v>BLUE</v>
      </c>
      <c r="G7136" s="20" t="str">
        <f>IFERROR(__xludf.DUMMYFUNCTION("""COMPUTED_VALUE"""),"Uncle Sams Cider (04/04/2023)")</f>
        <v>Uncle Sams Cider (04/04/2023)</v>
      </c>
      <c r="H7136" s="19"/>
    </row>
    <row r="7137">
      <c r="A7137" s="9"/>
      <c r="B7137" s="15"/>
      <c r="C7137" s="9">
        <f>IFERROR(__xludf.DUMMYFUNCTION("""COMPUTED_VALUE"""),45069.2806454513)</f>
        <v>45069.28065</v>
      </c>
      <c r="D7137" s="15">
        <f>IFERROR(__xludf.DUMMYFUNCTION("""COMPUTED_VALUE"""),1.011)</f>
        <v>1.011</v>
      </c>
      <c r="E7137" s="16">
        <f>IFERROR(__xludf.DUMMYFUNCTION("""COMPUTED_VALUE"""),65.0)</f>
        <v>65</v>
      </c>
      <c r="F7137" s="19" t="str">
        <f>IFERROR(__xludf.DUMMYFUNCTION("""COMPUTED_VALUE"""),"BLUE")</f>
        <v>BLUE</v>
      </c>
      <c r="G7137" s="20" t="str">
        <f>IFERROR(__xludf.DUMMYFUNCTION("""COMPUTED_VALUE"""),"Uncle Sams Cider (04/04/2023)")</f>
        <v>Uncle Sams Cider (04/04/2023)</v>
      </c>
      <c r="H7137" s="19"/>
    </row>
    <row r="7138">
      <c r="A7138" s="9"/>
      <c r="B7138" s="15"/>
      <c r="C7138" s="9">
        <f>IFERROR(__xludf.DUMMYFUNCTION("""COMPUTED_VALUE"""),45069.2702235995)</f>
        <v>45069.27022</v>
      </c>
      <c r="D7138" s="15">
        <f>IFERROR(__xludf.DUMMYFUNCTION("""COMPUTED_VALUE"""),1.011)</f>
        <v>1.011</v>
      </c>
      <c r="E7138" s="16">
        <f>IFERROR(__xludf.DUMMYFUNCTION("""COMPUTED_VALUE"""),65.0)</f>
        <v>65</v>
      </c>
      <c r="F7138" s="19" t="str">
        <f>IFERROR(__xludf.DUMMYFUNCTION("""COMPUTED_VALUE"""),"BLUE")</f>
        <v>BLUE</v>
      </c>
      <c r="G7138" s="20" t="str">
        <f>IFERROR(__xludf.DUMMYFUNCTION("""COMPUTED_VALUE"""),"Uncle Sams Cider (04/04/2023)")</f>
        <v>Uncle Sams Cider (04/04/2023)</v>
      </c>
      <c r="H7138" s="19"/>
    </row>
    <row r="7139">
      <c r="A7139" s="9"/>
      <c r="B7139" s="15"/>
      <c r="C7139" s="9">
        <f>IFERROR(__xludf.DUMMYFUNCTION("""COMPUTED_VALUE"""),45069.2598028009)</f>
        <v>45069.2598</v>
      </c>
      <c r="D7139" s="15">
        <f>IFERROR(__xludf.DUMMYFUNCTION("""COMPUTED_VALUE"""),1.011)</f>
        <v>1.011</v>
      </c>
      <c r="E7139" s="16">
        <f>IFERROR(__xludf.DUMMYFUNCTION("""COMPUTED_VALUE"""),65.0)</f>
        <v>65</v>
      </c>
      <c r="F7139" s="19" t="str">
        <f>IFERROR(__xludf.DUMMYFUNCTION("""COMPUTED_VALUE"""),"BLUE")</f>
        <v>BLUE</v>
      </c>
      <c r="G7139" s="20" t="str">
        <f>IFERROR(__xludf.DUMMYFUNCTION("""COMPUTED_VALUE"""),"Uncle Sams Cider (04/04/2023)")</f>
        <v>Uncle Sams Cider (04/04/2023)</v>
      </c>
      <c r="H7139" s="19"/>
    </row>
    <row r="7140">
      <c r="A7140" s="9"/>
      <c r="B7140" s="15"/>
      <c r="C7140" s="9">
        <f>IFERROR(__xludf.DUMMYFUNCTION("""COMPUTED_VALUE"""),45069.2493693981)</f>
        <v>45069.24937</v>
      </c>
      <c r="D7140" s="15">
        <f>IFERROR(__xludf.DUMMYFUNCTION("""COMPUTED_VALUE"""),1.011)</f>
        <v>1.011</v>
      </c>
      <c r="E7140" s="16">
        <f>IFERROR(__xludf.DUMMYFUNCTION("""COMPUTED_VALUE"""),65.0)</f>
        <v>65</v>
      </c>
      <c r="F7140" s="19" t="str">
        <f>IFERROR(__xludf.DUMMYFUNCTION("""COMPUTED_VALUE"""),"BLUE")</f>
        <v>BLUE</v>
      </c>
      <c r="G7140" s="20" t="str">
        <f>IFERROR(__xludf.DUMMYFUNCTION("""COMPUTED_VALUE"""),"Uncle Sams Cider (04/04/2023)")</f>
        <v>Uncle Sams Cider (04/04/2023)</v>
      </c>
      <c r="H7140" s="19"/>
    </row>
    <row r="7141">
      <c r="A7141" s="9"/>
      <c r="B7141" s="15"/>
      <c r="C7141" s="9">
        <f>IFERROR(__xludf.DUMMYFUNCTION("""COMPUTED_VALUE"""),45069.2389496064)</f>
        <v>45069.23895</v>
      </c>
      <c r="D7141" s="15">
        <f>IFERROR(__xludf.DUMMYFUNCTION("""COMPUTED_VALUE"""),1.011)</f>
        <v>1.011</v>
      </c>
      <c r="E7141" s="16">
        <f>IFERROR(__xludf.DUMMYFUNCTION("""COMPUTED_VALUE"""),65.0)</f>
        <v>65</v>
      </c>
      <c r="F7141" s="19" t="str">
        <f>IFERROR(__xludf.DUMMYFUNCTION("""COMPUTED_VALUE"""),"BLUE")</f>
        <v>BLUE</v>
      </c>
      <c r="G7141" s="20" t="str">
        <f>IFERROR(__xludf.DUMMYFUNCTION("""COMPUTED_VALUE"""),"Uncle Sams Cider (04/04/2023)")</f>
        <v>Uncle Sams Cider (04/04/2023)</v>
      </c>
      <c r="H7141" s="19"/>
    </row>
    <row r="7142">
      <c r="A7142" s="9"/>
      <c r="B7142" s="15"/>
      <c r="C7142" s="9">
        <f>IFERROR(__xludf.DUMMYFUNCTION("""COMPUTED_VALUE"""),45069.2285166435)</f>
        <v>45069.22852</v>
      </c>
      <c r="D7142" s="15">
        <f>IFERROR(__xludf.DUMMYFUNCTION("""COMPUTED_VALUE"""),1.011)</f>
        <v>1.011</v>
      </c>
      <c r="E7142" s="16">
        <f>IFERROR(__xludf.DUMMYFUNCTION("""COMPUTED_VALUE"""),65.0)</f>
        <v>65</v>
      </c>
      <c r="F7142" s="19" t="str">
        <f>IFERROR(__xludf.DUMMYFUNCTION("""COMPUTED_VALUE"""),"BLUE")</f>
        <v>BLUE</v>
      </c>
      <c r="G7142" s="20" t="str">
        <f>IFERROR(__xludf.DUMMYFUNCTION("""COMPUTED_VALUE"""),"Uncle Sams Cider (04/04/2023)")</f>
        <v>Uncle Sams Cider (04/04/2023)</v>
      </c>
      <c r="H7142" s="19"/>
    </row>
    <row r="7143">
      <c r="A7143" s="9"/>
      <c r="B7143" s="15"/>
      <c r="C7143" s="9">
        <f>IFERROR(__xludf.DUMMYFUNCTION("""COMPUTED_VALUE"""),45069.2180953472)</f>
        <v>45069.2181</v>
      </c>
      <c r="D7143" s="15">
        <f>IFERROR(__xludf.DUMMYFUNCTION("""COMPUTED_VALUE"""),1.011)</f>
        <v>1.011</v>
      </c>
      <c r="E7143" s="16">
        <f>IFERROR(__xludf.DUMMYFUNCTION("""COMPUTED_VALUE"""),65.0)</f>
        <v>65</v>
      </c>
      <c r="F7143" s="19" t="str">
        <f>IFERROR(__xludf.DUMMYFUNCTION("""COMPUTED_VALUE"""),"BLUE")</f>
        <v>BLUE</v>
      </c>
      <c r="G7143" s="20" t="str">
        <f>IFERROR(__xludf.DUMMYFUNCTION("""COMPUTED_VALUE"""),"Uncle Sams Cider (04/04/2023)")</f>
        <v>Uncle Sams Cider (04/04/2023)</v>
      </c>
      <c r="H7143" s="19"/>
    </row>
    <row r="7144">
      <c r="A7144" s="9"/>
      <c r="B7144" s="15"/>
      <c r="C7144" s="9">
        <f>IFERROR(__xludf.DUMMYFUNCTION("""COMPUTED_VALUE"""),45069.2076738541)</f>
        <v>45069.20767</v>
      </c>
      <c r="D7144" s="15">
        <f>IFERROR(__xludf.DUMMYFUNCTION("""COMPUTED_VALUE"""),1.011)</f>
        <v>1.011</v>
      </c>
      <c r="E7144" s="16">
        <f>IFERROR(__xludf.DUMMYFUNCTION("""COMPUTED_VALUE"""),65.0)</f>
        <v>65</v>
      </c>
      <c r="F7144" s="19" t="str">
        <f>IFERROR(__xludf.DUMMYFUNCTION("""COMPUTED_VALUE"""),"BLUE")</f>
        <v>BLUE</v>
      </c>
      <c r="G7144" s="20" t="str">
        <f>IFERROR(__xludf.DUMMYFUNCTION("""COMPUTED_VALUE"""),"Uncle Sams Cider (04/04/2023)")</f>
        <v>Uncle Sams Cider (04/04/2023)</v>
      </c>
      <c r="H7144" s="19"/>
    </row>
    <row r="7145">
      <c r="A7145" s="9"/>
      <c r="B7145" s="15"/>
      <c r="C7145" s="9">
        <f>IFERROR(__xludf.DUMMYFUNCTION("""COMPUTED_VALUE"""),45069.1972547338)</f>
        <v>45069.19725</v>
      </c>
      <c r="D7145" s="15">
        <f>IFERROR(__xludf.DUMMYFUNCTION("""COMPUTED_VALUE"""),1.011)</f>
        <v>1.011</v>
      </c>
      <c r="E7145" s="16">
        <f>IFERROR(__xludf.DUMMYFUNCTION("""COMPUTED_VALUE"""),65.0)</f>
        <v>65</v>
      </c>
      <c r="F7145" s="19" t="str">
        <f>IFERROR(__xludf.DUMMYFUNCTION("""COMPUTED_VALUE"""),"BLUE")</f>
        <v>BLUE</v>
      </c>
      <c r="G7145" s="20" t="str">
        <f>IFERROR(__xludf.DUMMYFUNCTION("""COMPUTED_VALUE"""),"Uncle Sams Cider (04/04/2023)")</f>
        <v>Uncle Sams Cider (04/04/2023)</v>
      </c>
      <c r="H7145" s="19"/>
    </row>
    <row r="7146">
      <c r="A7146" s="9"/>
      <c r="B7146" s="15"/>
      <c r="C7146" s="9">
        <f>IFERROR(__xludf.DUMMYFUNCTION("""COMPUTED_VALUE"""),45069.1868328472)</f>
        <v>45069.18683</v>
      </c>
      <c r="D7146" s="15">
        <f>IFERROR(__xludf.DUMMYFUNCTION("""COMPUTED_VALUE"""),1.011)</f>
        <v>1.011</v>
      </c>
      <c r="E7146" s="16">
        <f>IFERROR(__xludf.DUMMYFUNCTION("""COMPUTED_VALUE"""),65.0)</f>
        <v>65</v>
      </c>
      <c r="F7146" s="19" t="str">
        <f>IFERROR(__xludf.DUMMYFUNCTION("""COMPUTED_VALUE"""),"BLUE")</f>
        <v>BLUE</v>
      </c>
      <c r="G7146" s="20" t="str">
        <f>IFERROR(__xludf.DUMMYFUNCTION("""COMPUTED_VALUE"""),"Uncle Sams Cider (04/04/2023)")</f>
        <v>Uncle Sams Cider (04/04/2023)</v>
      </c>
      <c r="H7146" s="19"/>
    </row>
    <row r="7147">
      <c r="A7147" s="9"/>
      <c r="B7147" s="15"/>
      <c r="C7147" s="9">
        <f>IFERROR(__xludf.DUMMYFUNCTION("""COMPUTED_VALUE"""),45069.1764001504)</f>
        <v>45069.1764</v>
      </c>
      <c r="D7147" s="15">
        <f>IFERROR(__xludf.DUMMYFUNCTION("""COMPUTED_VALUE"""),1.011)</f>
        <v>1.011</v>
      </c>
      <c r="E7147" s="16">
        <f>IFERROR(__xludf.DUMMYFUNCTION("""COMPUTED_VALUE"""),65.0)</f>
        <v>65</v>
      </c>
      <c r="F7147" s="19" t="str">
        <f>IFERROR(__xludf.DUMMYFUNCTION("""COMPUTED_VALUE"""),"BLUE")</f>
        <v>BLUE</v>
      </c>
      <c r="G7147" s="20" t="str">
        <f>IFERROR(__xludf.DUMMYFUNCTION("""COMPUTED_VALUE"""),"Uncle Sams Cider (04/04/2023)")</f>
        <v>Uncle Sams Cider (04/04/2023)</v>
      </c>
      <c r="H7147" s="19"/>
    </row>
    <row r="7148">
      <c r="A7148" s="9"/>
      <c r="B7148" s="15"/>
      <c r="C7148" s="9">
        <f>IFERROR(__xludf.DUMMYFUNCTION("""COMPUTED_VALUE"""),45069.1659824074)</f>
        <v>45069.16598</v>
      </c>
      <c r="D7148" s="15">
        <f>IFERROR(__xludf.DUMMYFUNCTION("""COMPUTED_VALUE"""),1.011)</f>
        <v>1.011</v>
      </c>
      <c r="E7148" s="16">
        <f>IFERROR(__xludf.DUMMYFUNCTION("""COMPUTED_VALUE"""),65.0)</f>
        <v>65</v>
      </c>
      <c r="F7148" s="19" t="str">
        <f>IFERROR(__xludf.DUMMYFUNCTION("""COMPUTED_VALUE"""),"BLUE")</f>
        <v>BLUE</v>
      </c>
      <c r="G7148" s="20" t="str">
        <f>IFERROR(__xludf.DUMMYFUNCTION("""COMPUTED_VALUE"""),"Uncle Sams Cider (04/04/2023)")</f>
        <v>Uncle Sams Cider (04/04/2023)</v>
      </c>
      <c r="H7148" s="19"/>
    </row>
    <row r="7149">
      <c r="A7149" s="9"/>
      <c r="B7149" s="15"/>
      <c r="C7149" s="9">
        <f>IFERROR(__xludf.DUMMYFUNCTION("""COMPUTED_VALUE"""),45069.1555511805)</f>
        <v>45069.15555</v>
      </c>
      <c r="D7149" s="15">
        <f>IFERROR(__xludf.DUMMYFUNCTION("""COMPUTED_VALUE"""),1.011)</f>
        <v>1.011</v>
      </c>
      <c r="E7149" s="16">
        <f>IFERROR(__xludf.DUMMYFUNCTION("""COMPUTED_VALUE"""),65.0)</f>
        <v>65</v>
      </c>
      <c r="F7149" s="19" t="str">
        <f>IFERROR(__xludf.DUMMYFUNCTION("""COMPUTED_VALUE"""),"BLUE")</f>
        <v>BLUE</v>
      </c>
      <c r="G7149" s="20" t="str">
        <f>IFERROR(__xludf.DUMMYFUNCTION("""COMPUTED_VALUE"""),"Uncle Sams Cider (04/04/2023)")</f>
        <v>Uncle Sams Cider (04/04/2023)</v>
      </c>
      <c r="H7149" s="19"/>
    </row>
    <row r="7150">
      <c r="A7150" s="9"/>
      <c r="B7150" s="15"/>
      <c r="C7150" s="9">
        <f>IFERROR(__xludf.DUMMYFUNCTION("""COMPUTED_VALUE"""),45069.1450951504)</f>
        <v>45069.1451</v>
      </c>
      <c r="D7150" s="15">
        <f>IFERROR(__xludf.DUMMYFUNCTION("""COMPUTED_VALUE"""),1.011)</f>
        <v>1.011</v>
      </c>
      <c r="E7150" s="16">
        <f>IFERROR(__xludf.DUMMYFUNCTION("""COMPUTED_VALUE"""),65.0)</f>
        <v>65</v>
      </c>
      <c r="F7150" s="19" t="str">
        <f>IFERROR(__xludf.DUMMYFUNCTION("""COMPUTED_VALUE"""),"BLUE")</f>
        <v>BLUE</v>
      </c>
      <c r="G7150" s="20" t="str">
        <f>IFERROR(__xludf.DUMMYFUNCTION("""COMPUTED_VALUE"""),"Uncle Sams Cider (04/04/2023)")</f>
        <v>Uncle Sams Cider (04/04/2023)</v>
      </c>
      <c r="H7150" s="19"/>
    </row>
    <row r="7151">
      <c r="A7151" s="9"/>
      <c r="B7151" s="15"/>
      <c r="C7151" s="9">
        <f>IFERROR(__xludf.DUMMYFUNCTION("""COMPUTED_VALUE"""),45069.1346746412)</f>
        <v>45069.13467</v>
      </c>
      <c r="D7151" s="15">
        <f>IFERROR(__xludf.DUMMYFUNCTION("""COMPUTED_VALUE"""),1.011)</f>
        <v>1.011</v>
      </c>
      <c r="E7151" s="16">
        <f>IFERROR(__xludf.DUMMYFUNCTION("""COMPUTED_VALUE"""),65.0)</f>
        <v>65</v>
      </c>
      <c r="F7151" s="19" t="str">
        <f>IFERROR(__xludf.DUMMYFUNCTION("""COMPUTED_VALUE"""),"BLUE")</f>
        <v>BLUE</v>
      </c>
      <c r="G7151" s="20" t="str">
        <f>IFERROR(__xludf.DUMMYFUNCTION("""COMPUTED_VALUE"""),"Uncle Sams Cider (04/04/2023)")</f>
        <v>Uncle Sams Cider (04/04/2023)</v>
      </c>
      <c r="H7151" s="19"/>
    </row>
    <row r="7152">
      <c r="A7152" s="9"/>
      <c r="B7152" s="15"/>
      <c r="C7152" s="9">
        <f>IFERROR(__xludf.DUMMYFUNCTION("""COMPUTED_VALUE"""),45069.1242537847)</f>
        <v>45069.12425</v>
      </c>
      <c r="D7152" s="15">
        <f>IFERROR(__xludf.DUMMYFUNCTION("""COMPUTED_VALUE"""),1.011)</f>
        <v>1.011</v>
      </c>
      <c r="E7152" s="16">
        <f>IFERROR(__xludf.DUMMYFUNCTION("""COMPUTED_VALUE"""),65.0)</f>
        <v>65</v>
      </c>
      <c r="F7152" s="19" t="str">
        <f>IFERROR(__xludf.DUMMYFUNCTION("""COMPUTED_VALUE"""),"BLUE")</f>
        <v>BLUE</v>
      </c>
      <c r="G7152" s="20" t="str">
        <f>IFERROR(__xludf.DUMMYFUNCTION("""COMPUTED_VALUE"""),"Uncle Sams Cider (04/04/2023)")</f>
        <v>Uncle Sams Cider (04/04/2023)</v>
      </c>
      <c r="H7152" s="19"/>
    </row>
    <row r="7153">
      <c r="A7153" s="9"/>
      <c r="B7153" s="15"/>
      <c r="C7153" s="9">
        <f>IFERROR(__xludf.DUMMYFUNCTION("""COMPUTED_VALUE"""),45069.1138328819)</f>
        <v>45069.11383</v>
      </c>
      <c r="D7153" s="15">
        <f>IFERROR(__xludf.DUMMYFUNCTION("""COMPUTED_VALUE"""),1.011)</f>
        <v>1.011</v>
      </c>
      <c r="E7153" s="16">
        <f>IFERROR(__xludf.DUMMYFUNCTION("""COMPUTED_VALUE"""),65.0)</f>
        <v>65</v>
      </c>
      <c r="F7153" s="19" t="str">
        <f>IFERROR(__xludf.DUMMYFUNCTION("""COMPUTED_VALUE"""),"BLUE")</f>
        <v>BLUE</v>
      </c>
      <c r="G7153" s="20" t="str">
        <f>IFERROR(__xludf.DUMMYFUNCTION("""COMPUTED_VALUE"""),"Uncle Sams Cider (04/04/2023)")</f>
        <v>Uncle Sams Cider (04/04/2023)</v>
      </c>
      <c r="H7153" s="19"/>
    </row>
    <row r="7154">
      <c r="A7154" s="9"/>
      <c r="B7154" s="15"/>
      <c r="C7154" s="9">
        <f>IFERROR(__xludf.DUMMYFUNCTION("""COMPUTED_VALUE"""),45069.1034101388)</f>
        <v>45069.10341</v>
      </c>
      <c r="D7154" s="15">
        <f>IFERROR(__xludf.DUMMYFUNCTION("""COMPUTED_VALUE"""),1.011)</f>
        <v>1.011</v>
      </c>
      <c r="E7154" s="16">
        <f>IFERROR(__xludf.DUMMYFUNCTION("""COMPUTED_VALUE"""),65.0)</f>
        <v>65</v>
      </c>
      <c r="F7154" s="19" t="str">
        <f>IFERROR(__xludf.DUMMYFUNCTION("""COMPUTED_VALUE"""),"BLUE")</f>
        <v>BLUE</v>
      </c>
      <c r="G7154" s="20" t="str">
        <f>IFERROR(__xludf.DUMMYFUNCTION("""COMPUTED_VALUE"""),"Uncle Sams Cider (04/04/2023)")</f>
        <v>Uncle Sams Cider (04/04/2023)</v>
      </c>
      <c r="H7154" s="19"/>
    </row>
    <row r="7155">
      <c r="A7155" s="9"/>
      <c r="B7155" s="15"/>
      <c r="C7155" s="9">
        <f>IFERROR(__xludf.DUMMYFUNCTION("""COMPUTED_VALUE"""),45069.092965868)</f>
        <v>45069.09297</v>
      </c>
      <c r="D7155" s="15">
        <f>IFERROR(__xludf.DUMMYFUNCTION("""COMPUTED_VALUE"""),1.011)</f>
        <v>1.011</v>
      </c>
      <c r="E7155" s="16">
        <f>IFERROR(__xludf.DUMMYFUNCTION("""COMPUTED_VALUE"""),65.0)</f>
        <v>65</v>
      </c>
      <c r="F7155" s="19" t="str">
        <f>IFERROR(__xludf.DUMMYFUNCTION("""COMPUTED_VALUE"""),"BLUE")</f>
        <v>BLUE</v>
      </c>
      <c r="G7155" s="20" t="str">
        <f>IFERROR(__xludf.DUMMYFUNCTION("""COMPUTED_VALUE"""),"Uncle Sams Cider (04/04/2023)")</f>
        <v>Uncle Sams Cider (04/04/2023)</v>
      </c>
      <c r="H7155" s="19"/>
    </row>
    <row r="7156">
      <c r="A7156" s="9"/>
      <c r="B7156" s="15"/>
      <c r="C7156" s="9">
        <f>IFERROR(__xludf.DUMMYFUNCTION("""COMPUTED_VALUE"""),45069.0825434953)</f>
        <v>45069.08254</v>
      </c>
      <c r="D7156" s="15">
        <f>IFERROR(__xludf.DUMMYFUNCTION("""COMPUTED_VALUE"""),1.011)</f>
        <v>1.011</v>
      </c>
      <c r="E7156" s="16">
        <f>IFERROR(__xludf.DUMMYFUNCTION("""COMPUTED_VALUE"""),65.0)</f>
        <v>65</v>
      </c>
      <c r="F7156" s="19" t="str">
        <f>IFERROR(__xludf.DUMMYFUNCTION("""COMPUTED_VALUE"""),"BLUE")</f>
        <v>BLUE</v>
      </c>
      <c r="G7156" s="20" t="str">
        <f>IFERROR(__xludf.DUMMYFUNCTION("""COMPUTED_VALUE"""),"Uncle Sams Cider (04/04/2023)")</f>
        <v>Uncle Sams Cider (04/04/2023)</v>
      </c>
      <c r="H7156" s="19"/>
    </row>
    <row r="7157">
      <c r="A7157" s="9"/>
      <c r="B7157" s="15"/>
      <c r="C7157" s="9">
        <f>IFERROR(__xludf.DUMMYFUNCTION("""COMPUTED_VALUE"""),45069.0720987037)</f>
        <v>45069.0721</v>
      </c>
      <c r="D7157" s="15">
        <f>IFERROR(__xludf.DUMMYFUNCTION("""COMPUTED_VALUE"""),1.011)</f>
        <v>1.011</v>
      </c>
      <c r="E7157" s="16">
        <f>IFERROR(__xludf.DUMMYFUNCTION("""COMPUTED_VALUE"""),65.0)</f>
        <v>65</v>
      </c>
      <c r="F7157" s="19" t="str">
        <f>IFERROR(__xludf.DUMMYFUNCTION("""COMPUTED_VALUE"""),"BLUE")</f>
        <v>BLUE</v>
      </c>
      <c r="G7157" s="20" t="str">
        <f>IFERROR(__xludf.DUMMYFUNCTION("""COMPUTED_VALUE"""),"Uncle Sams Cider (04/04/2023)")</f>
        <v>Uncle Sams Cider (04/04/2023)</v>
      </c>
      <c r="H7157" s="19"/>
    </row>
    <row r="7158">
      <c r="A7158" s="9"/>
      <c r="B7158" s="15"/>
      <c r="C7158" s="9">
        <f>IFERROR(__xludf.DUMMYFUNCTION("""COMPUTED_VALUE"""),45069.0512546412)</f>
        <v>45069.05125</v>
      </c>
      <c r="D7158" s="15">
        <f>IFERROR(__xludf.DUMMYFUNCTION("""COMPUTED_VALUE"""),1.011)</f>
        <v>1.011</v>
      </c>
      <c r="E7158" s="16">
        <f>IFERROR(__xludf.DUMMYFUNCTION("""COMPUTED_VALUE"""),65.0)</f>
        <v>65</v>
      </c>
      <c r="F7158" s="19" t="str">
        <f>IFERROR(__xludf.DUMMYFUNCTION("""COMPUTED_VALUE"""),"BLUE")</f>
        <v>BLUE</v>
      </c>
      <c r="G7158" s="20" t="str">
        <f>IFERROR(__xludf.DUMMYFUNCTION("""COMPUTED_VALUE"""),"Uncle Sams Cider (04/04/2023)")</f>
        <v>Uncle Sams Cider (04/04/2023)</v>
      </c>
      <c r="H7158" s="19"/>
    </row>
    <row r="7159">
      <c r="A7159" s="9"/>
      <c r="B7159" s="15"/>
      <c r="C7159" s="9">
        <f>IFERROR(__xludf.DUMMYFUNCTION("""COMPUTED_VALUE"""),45069.0408321064)</f>
        <v>45069.04083</v>
      </c>
      <c r="D7159" s="15">
        <f>IFERROR(__xludf.DUMMYFUNCTION("""COMPUTED_VALUE"""),1.011)</f>
        <v>1.011</v>
      </c>
      <c r="E7159" s="16">
        <f>IFERROR(__xludf.DUMMYFUNCTION("""COMPUTED_VALUE"""),65.0)</f>
        <v>65</v>
      </c>
      <c r="F7159" s="19" t="str">
        <f>IFERROR(__xludf.DUMMYFUNCTION("""COMPUTED_VALUE"""),"BLUE")</f>
        <v>BLUE</v>
      </c>
      <c r="G7159" s="20" t="str">
        <f>IFERROR(__xludf.DUMMYFUNCTION("""COMPUTED_VALUE"""),"Uncle Sams Cider (04/04/2023)")</f>
        <v>Uncle Sams Cider (04/04/2023)</v>
      </c>
      <c r="H7159" s="19"/>
    </row>
    <row r="7160">
      <c r="A7160" s="9"/>
      <c r="B7160" s="15"/>
      <c r="C7160" s="9">
        <f>IFERROR(__xludf.DUMMYFUNCTION("""COMPUTED_VALUE"""),45069.0304109722)</f>
        <v>45069.03041</v>
      </c>
      <c r="D7160" s="15">
        <f>IFERROR(__xludf.DUMMYFUNCTION("""COMPUTED_VALUE"""),1.011)</f>
        <v>1.011</v>
      </c>
      <c r="E7160" s="16">
        <f>IFERROR(__xludf.DUMMYFUNCTION("""COMPUTED_VALUE"""),65.0)</f>
        <v>65</v>
      </c>
      <c r="F7160" s="19" t="str">
        <f>IFERROR(__xludf.DUMMYFUNCTION("""COMPUTED_VALUE"""),"BLUE")</f>
        <v>BLUE</v>
      </c>
      <c r="G7160" s="20" t="str">
        <f>IFERROR(__xludf.DUMMYFUNCTION("""COMPUTED_VALUE"""),"Uncle Sams Cider (04/04/2023)")</f>
        <v>Uncle Sams Cider (04/04/2023)</v>
      </c>
      <c r="H7160" s="19"/>
    </row>
    <row r="7161">
      <c r="A7161" s="9"/>
      <c r="B7161" s="15"/>
      <c r="C7161" s="9">
        <f>IFERROR(__xludf.DUMMYFUNCTION("""COMPUTED_VALUE"""),45069.0199789236)</f>
        <v>45069.01998</v>
      </c>
      <c r="D7161" s="15">
        <f>IFERROR(__xludf.DUMMYFUNCTION("""COMPUTED_VALUE"""),1.011)</f>
        <v>1.011</v>
      </c>
      <c r="E7161" s="16">
        <f>IFERROR(__xludf.DUMMYFUNCTION("""COMPUTED_VALUE"""),65.0)</f>
        <v>65</v>
      </c>
      <c r="F7161" s="19" t="str">
        <f>IFERROR(__xludf.DUMMYFUNCTION("""COMPUTED_VALUE"""),"BLUE")</f>
        <v>BLUE</v>
      </c>
      <c r="G7161" s="20" t="str">
        <f>IFERROR(__xludf.DUMMYFUNCTION("""COMPUTED_VALUE"""),"Uncle Sams Cider (04/04/2023)")</f>
        <v>Uncle Sams Cider (04/04/2023)</v>
      </c>
      <c r="H7161" s="19"/>
    </row>
    <row r="7162">
      <c r="A7162" s="9"/>
      <c r="B7162" s="15"/>
      <c r="C7162" s="9">
        <f>IFERROR(__xludf.DUMMYFUNCTION("""COMPUTED_VALUE"""),45069.009547199)</f>
        <v>45069.00955</v>
      </c>
      <c r="D7162" s="15">
        <f>IFERROR(__xludf.DUMMYFUNCTION("""COMPUTED_VALUE"""),1.011)</f>
        <v>1.011</v>
      </c>
      <c r="E7162" s="16">
        <f>IFERROR(__xludf.DUMMYFUNCTION("""COMPUTED_VALUE"""),65.0)</f>
        <v>65</v>
      </c>
      <c r="F7162" s="19" t="str">
        <f>IFERROR(__xludf.DUMMYFUNCTION("""COMPUTED_VALUE"""),"BLUE")</f>
        <v>BLUE</v>
      </c>
      <c r="G7162" s="20" t="str">
        <f>IFERROR(__xludf.DUMMYFUNCTION("""COMPUTED_VALUE"""),"Uncle Sams Cider (04/04/2023)")</f>
        <v>Uncle Sams Cider (04/04/2023)</v>
      </c>
      <c r="H7162" s="19"/>
    </row>
    <row r="7163">
      <c r="A7163" s="9"/>
      <c r="B7163" s="15"/>
      <c r="C7163" s="9">
        <f>IFERROR(__xludf.DUMMYFUNCTION("""COMPUTED_VALUE"""),45068.9991289814)</f>
        <v>45068.99913</v>
      </c>
      <c r="D7163" s="15">
        <f>IFERROR(__xludf.DUMMYFUNCTION("""COMPUTED_VALUE"""),1.011)</f>
        <v>1.011</v>
      </c>
      <c r="E7163" s="16">
        <f>IFERROR(__xludf.DUMMYFUNCTION("""COMPUTED_VALUE"""),65.0)</f>
        <v>65</v>
      </c>
      <c r="F7163" s="19" t="str">
        <f>IFERROR(__xludf.DUMMYFUNCTION("""COMPUTED_VALUE"""),"BLUE")</f>
        <v>BLUE</v>
      </c>
      <c r="G7163" s="20" t="str">
        <f>IFERROR(__xludf.DUMMYFUNCTION("""COMPUTED_VALUE"""),"Uncle Sams Cider (04/04/2023)")</f>
        <v>Uncle Sams Cider (04/04/2023)</v>
      </c>
      <c r="H7163" s="19"/>
    </row>
    <row r="7164">
      <c r="A7164" s="9"/>
      <c r="B7164" s="15"/>
      <c r="C7164" s="9">
        <f>IFERROR(__xludf.DUMMYFUNCTION("""COMPUTED_VALUE"""),45068.9887073032)</f>
        <v>45068.98871</v>
      </c>
      <c r="D7164" s="15">
        <f>IFERROR(__xludf.DUMMYFUNCTION("""COMPUTED_VALUE"""),1.011)</f>
        <v>1.011</v>
      </c>
      <c r="E7164" s="16">
        <f>IFERROR(__xludf.DUMMYFUNCTION("""COMPUTED_VALUE"""),65.0)</f>
        <v>65</v>
      </c>
      <c r="F7164" s="19" t="str">
        <f>IFERROR(__xludf.DUMMYFUNCTION("""COMPUTED_VALUE"""),"BLUE")</f>
        <v>BLUE</v>
      </c>
      <c r="G7164" s="20" t="str">
        <f>IFERROR(__xludf.DUMMYFUNCTION("""COMPUTED_VALUE"""),"Uncle Sams Cider (04/04/2023)")</f>
        <v>Uncle Sams Cider (04/04/2023)</v>
      </c>
      <c r="H7164" s="19"/>
    </row>
    <row r="7165">
      <c r="A7165" s="9"/>
      <c r="B7165" s="15"/>
      <c r="C7165" s="9">
        <f>IFERROR(__xludf.DUMMYFUNCTION("""COMPUTED_VALUE"""),45068.9782839467)</f>
        <v>45068.97828</v>
      </c>
      <c r="D7165" s="15">
        <f>IFERROR(__xludf.DUMMYFUNCTION("""COMPUTED_VALUE"""),1.011)</f>
        <v>1.011</v>
      </c>
      <c r="E7165" s="16">
        <f>IFERROR(__xludf.DUMMYFUNCTION("""COMPUTED_VALUE"""),65.0)</f>
        <v>65</v>
      </c>
      <c r="F7165" s="19" t="str">
        <f>IFERROR(__xludf.DUMMYFUNCTION("""COMPUTED_VALUE"""),"BLUE")</f>
        <v>BLUE</v>
      </c>
      <c r="G7165" s="20" t="str">
        <f>IFERROR(__xludf.DUMMYFUNCTION("""COMPUTED_VALUE"""),"Uncle Sams Cider (04/04/2023)")</f>
        <v>Uncle Sams Cider (04/04/2023)</v>
      </c>
      <c r="H7165" s="19"/>
    </row>
    <row r="7166">
      <c r="A7166" s="9"/>
      <c r="B7166" s="15"/>
      <c r="C7166" s="9">
        <f>IFERROR(__xludf.DUMMYFUNCTION("""COMPUTED_VALUE"""),45068.9678634722)</f>
        <v>45068.96786</v>
      </c>
      <c r="D7166" s="15">
        <f>IFERROR(__xludf.DUMMYFUNCTION("""COMPUTED_VALUE"""),1.011)</f>
        <v>1.011</v>
      </c>
      <c r="E7166" s="16">
        <f>IFERROR(__xludf.DUMMYFUNCTION("""COMPUTED_VALUE"""),65.0)</f>
        <v>65</v>
      </c>
      <c r="F7166" s="19" t="str">
        <f>IFERROR(__xludf.DUMMYFUNCTION("""COMPUTED_VALUE"""),"BLUE")</f>
        <v>BLUE</v>
      </c>
      <c r="G7166" s="20" t="str">
        <f>IFERROR(__xludf.DUMMYFUNCTION("""COMPUTED_VALUE"""),"Uncle Sams Cider (04/04/2023)")</f>
        <v>Uncle Sams Cider (04/04/2023)</v>
      </c>
      <c r="H7166" s="19"/>
    </row>
    <row r="7167">
      <c r="A7167" s="9"/>
      <c r="B7167" s="15"/>
      <c r="C7167" s="9">
        <f>IFERROR(__xludf.DUMMYFUNCTION("""COMPUTED_VALUE"""),45068.9574443171)</f>
        <v>45068.95744</v>
      </c>
      <c r="D7167" s="15">
        <f>IFERROR(__xludf.DUMMYFUNCTION("""COMPUTED_VALUE"""),1.011)</f>
        <v>1.011</v>
      </c>
      <c r="E7167" s="16">
        <f>IFERROR(__xludf.DUMMYFUNCTION("""COMPUTED_VALUE"""),65.0)</f>
        <v>65</v>
      </c>
      <c r="F7167" s="19" t="str">
        <f>IFERROR(__xludf.DUMMYFUNCTION("""COMPUTED_VALUE"""),"BLUE")</f>
        <v>BLUE</v>
      </c>
      <c r="G7167" s="20" t="str">
        <f>IFERROR(__xludf.DUMMYFUNCTION("""COMPUTED_VALUE"""),"Uncle Sams Cider (04/04/2023)")</f>
        <v>Uncle Sams Cider (04/04/2023)</v>
      </c>
      <c r="H7167" s="19"/>
    </row>
    <row r="7168">
      <c r="A7168" s="9"/>
      <c r="B7168" s="15"/>
      <c r="C7168" s="9">
        <f>IFERROR(__xludf.DUMMYFUNCTION("""COMPUTED_VALUE"""),45068.9470244328)</f>
        <v>45068.94702</v>
      </c>
      <c r="D7168" s="15">
        <f>IFERROR(__xludf.DUMMYFUNCTION("""COMPUTED_VALUE"""),1.011)</f>
        <v>1.011</v>
      </c>
      <c r="E7168" s="16">
        <f>IFERROR(__xludf.DUMMYFUNCTION("""COMPUTED_VALUE"""),65.0)</f>
        <v>65</v>
      </c>
      <c r="F7168" s="19" t="str">
        <f>IFERROR(__xludf.DUMMYFUNCTION("""COMPUTED_VALUE"""),"BLUE")</f>
        <v>BLUE</v>
      </c>
      <c r="G7168" s="20" t="str">
        <f>IFERROR(__xludf.DUMMYFUNCTION("""COMPUTED_VALUE"""),"Uncle Sams Cider (04/04/2023)")</f>
        <v>Uncle Sams Cider (04/04/2023)</v>
      </c>
      <c r="H7168" s="19"/>
    </row>
    <row r="7169">
      <c r="A7169" s="9"/>
      <c r="B7169" s="15"/>
      <c r="C7169" s="9">
        <f>IFERROR(__xludf.DUMMYFUNCTION("""COMPUTED_VALUE"""),45068.936591493)</f>
        <v>45068.93659</v>
      </c>
      <c r="D7169" s="15">
        <f>IFERROR(__xludf.DUMMYFUNCTION("""COMPUTED_VALUE"""),1.011)</f>
        <v>1.011</v>
      </c>
      <c r="E7169" s="16">
        <f>IFERROR(__xludf.DUMMYFUNCTION("""COMPUTED_VALUE"""),65.0)</f>
        <v>65</v>
      </c>
      <c r="F7169" s="19" t="str">
        <f>IFERROR(__xludf.DUMMYFUNCTION("""COMPUTED_VALUE"""),"BLUE")</f>
        <v>BLUE</v>
      </c>
      <c r="G7169" s="20" t="str">
        <f>IFERROR(__xludf.DUMMYFUNCTION("""COMPUTED_VALUE"""),"Uncle Sams Cider (04/04/2023)")</f>
        <v>Uncle Sams Cider (04/04/2023)</v>
      </c>
      <c r="H7169" s="19"/>
    </row>
    <row r="7170">
      <c r="A7170" s="9"/>
      <c r="B7170" s="15"/>
      <c r="C7170" s="9">
        <f>IFERROR(__xludf.DUMMYFUNCTION("""COMPUTED_VALUE"""),45068.9261459606)</f>
        <v>45068.92615</v>
      </c>
      <c r="D7170" s="15">
        <f>IFERROR(__xludf.DUMMYFUNCTION("""COMPUTED_VALUE"""),1.011)</f>
        <v>1.011</v>
      </c>
      <c r="E7170" s="16">
        <f>IFERROR(__xludf.DUMMYFUNCTION("""COMPUTED_VALUE"""),65.0)</f>
        <v>65</v>
      </c>
      <c r="F7170" s="19" t="str">
        <f>IFERROR(__xludf.DUMMYFUNCTION("""COMPUTED_VALUE"""),"BLUE")</f>
        <v>BLUE</v>
      </c>
      <c r="G7170" s="20" t="str">
        <f>IFERROR(__xludf.DUMMYFUNCTION("""COMPUTED_VALUE"""),"Uncle Sams Cider (04/04/2023)")</f>
        <v>Uncle Sams Cider (04/04/2023)</v>
      </c>
      <c r="H7170" s="19"/>
    </row>
    <row r="7171">
      <c r="A7171" s="9"/>
      <c r="B7171" s="15"/>
      <c r="C7171" s="9">
        <f>IFERROR(__xludf.DUMMYFUNCTION("""COMPUTED_VALUE"""),45068.9215420717)</f>
        <v>45068.92154</v>
      </c>
      <c r="D7171" s="15">
        <f>IFERROR(__xludf.DUMMYFUNCTION("""COMPUTED_VALUE"""),1.011)</f>
        <v>1.011</v>
      </c>
      <c r="E7171" s="16">
        <f>IFERROR(__xludf.DUMMYFUNCTION("""COMPUTED_VALUE"""),65.0)</f>
        <v>65</v>
      </c>
      <c r="F7171" s="19" t="str">
        <f>IFERROR(__xludf.DUMMYFUNCTION("""COMPUTED_VALUE"""),"BLUE")</f>
        <v>BLUE</v>
      </c>
      <c r="G7171" s="20" t="str">
        <f>IFERROR(__xludf.DUMMYFUNCTION("""COMPUTED_VALUE"""),"Uncle Sams Cider (04/04/2023)")</f>
        <v>Uncle Sams Cider (04/04/2023)</v>
      </c>
      <c r="H7171" s="19"/>
    </row>
    <row r="7172">
      <c r="A7172" s="9"/>
      <c r="B7172" s="15"/>
      <c r="C7172" s="9">
        <f>IFERROR(__xludf.DUMMYFUNCTION("""COMPUTED_VALUE"""),45068.911122199)</f>
        <v>45068.91112</v>
      </c>
      <c r="D7172" s="15">
        <f>IFERROR(__xludf.DUMMYFUNCTION("""COMPUTED_VALUE"""),1.011)</f>
        <v>1.011</v>
      </c>
      <c r="E7172" s="16">
        <f>IFERROR(__xludf.DUMMYFUNCTION("""COMPUTED_VALUE"""),65.0)</f>
        <v>65</v>
      </c>
      <c r="F7172" s="19" t="str">
        <f>IFERROR(__xludf.DUMMYFUNCTION("""COMPUTED_VALUE"""),"BLUE")</f>
        <v>BLUE</v>
      </c>
      <c r="G7172" s="20" t="str">
        <f>IFERROR(__xludf.DUMMYFUNCTION("""COMPUTED_VALUE"""),"Uncle Sams Cider (04/04/2023)")</f>
        <v>Uncle Sams Cider (04/04/2023)</v>
      </c>
      <c r="H7172" s="19"/>
    </row>
    <row r="7173">
      <c r="A7173" s="9"/>
      <c r="B7173" s="15"/>
      <c r="C7173" s="9">
        <f>IFERROR(__xludf.DUMMYFUNCTION("""COMPUTED_VALUE"""),45068.9091921064)</f>
        <v>45068.90919</v>
      </c>
      <c r="D7173" s="15">
        <f>IFERROR(__xludf.DUMMYFUNCTION("""COMPUTED_VALUE"""),1.011)</f>
        <v>1.011</v>
      </c>
      <c r="E7173" s="16">
        <f>IFERROR(__xludf.DUMMYFUNCTION("""COMPUTED_VALUE"""),65.0)</f>
        <v>65</v>
      </c>
      <c r="F7173" s="19" t="str">
        <f>IFERROR(__xludf.DUMMYFUNCTION("""COMPUTED_VALUE"""),"BLUE")</f>
        <v>BLUE</v>
      </c>
      <c r="G7173" s="20" t="str">
        <f>IFERROR(__xludf.DUMMYFUNCTION("""COMPUTED_VALUE"""),"Uncle Sams Cider (04/04/2023)")</f>
        <v>Uncle Sams Cider (04/04/2023)</v>
      </c>
      <c r="H7173" s="19"/>
    </row>
    <row r="7174">
      <c r="A7174" s="9"/>
      <c r="B7174" s="15"/>
      <c r="C7174" s="9">
        <f>IFERROR(__xludf.DUMMYFUNCTION("""COMPUTED_VALUE"""),45068.898772662)</f>
        <v>45068.89877</v>
      </c>
      <c r="D7174" s="15">
        <f>IFERROR(__xludf.DUMMYFUNCTION("""COMPUTED_VALUE"""),1.011)</f>
        <v>1.011</v>
      </c>
      <c r="E7174" s="16">
        <f>IFERROR(__xludf.DUMMYFUNCTION("""COMPUTED_VALUE"""),65.0)</f>
        <v>65</v>
      </c>
      <c r="F7174" s="19" t="str">
        <f>IFERROR(__xludf.DUMMYFUNCTION("""COMPUTED_VALUE"""),"BLUE")</f>
        <v>BLUE</v>
      </c>
      <c r="G7174" s="20" t="str">
        <f>IFERROR(__xludf.DUMMYFUNCTION("""COMPUTED_VALUE"""),"Uncle Sams Cider (04/04/2023)")</f>
        <v>Uncle Sams Cider (04/04/2023)</v>
      </c>
      <c r="H7174" s="19"/>
    </row>
    <row r="7175">
      <c r="A7175" s="9"/>
      <c r="B7175" s="15"/>
      <c r="C7175" s="9">
        <f>IFERROR(__xludf.DUMMYFUNCTION("""COMPUTED_VALUE"""),45068.8961351273)</f>
        <v>45068.89614</v>
      </c>
      <c r="D7175" s="15">
        <f>IFERROR(__xludf.DUMMYFUNCTION("""COMPUTED_VALUE"""),1.011)</f>
        <v>1.011</v>
      </c>
      <c r="E7175" s="16">
        <f>IFERROR(__xludf.DUMMYFUNCTION("""COMPUTED_VALUE"""),65.0)</f>
        <v>65</v>
      </c>
      <c r="F7175" s="19" t="str">
        <f>IFERROR(__xludf.DUMMYFUNCTION("""COMPUTED_VALUE"""),"BLUE")</f>
        <v>BLUE</v>
      </c>
      <c r="G7175" s="20" t="str">
        <f>IFERROR(__xludf.DUMMYFUNCTION("""COMPUTED_VALUE"""),"Uncle Sams Cider (04/04/2023)")</f>
        <v>Uncle Sams Cider (04/04/2023)</v>
      </c>
      <c r="H7175" s="19"/>
    </row>
    <row r="7176">
      <c r="A7176" s="9"/>
      <c r="B7176" s="15"/>
      <c r="C7176" s="9">
        <f>IFERROR(__xludf.DUMMYFUNCTION("""COMPUTED_VALUE"""),45068.8779292129)</f>
        <v>45068.87793</v>
      </c>
      <c r="D7176" s="15">
        <f>IFERROR(__xludf.DUMMYFUNCTION("""COMPUTED_VALUE"""),1.011)</f>
        <v>1.011</v>
      </c>
      <c r="E7176" s="16">
        <f>IFERROR(__xludf.DUMMYFUNCTION("""COMPUTED_VALUE"""),65.0)</f>
        <v>65</v>
      </c>
      <c r="F7176" s="19" t="str">
        <f>IFERROR(__xludf.DUMMYFUNCTION("""COMPUTED_VALUE"""),"BLUE")</f>
        <v>BLUE</v>
      </c>
      <c r="G7176" s="20" t="str">
        <f>IFERROR(__xludf.DUMMYFUNCTION("""COMPUTED_VALUE"""),"Uncle Sams Cider (04/04/2023)")</f>
        <v>Uncle Sams Cider (04/04/2023)</v>
      </c>
      <c r="H7176" s="19"/>
    </row>
    <row r="7177">
      <c r="A7177" s="9"/>
      <c r="B7177" s="15"/>
      <c r="C7177" s="9">
        <f>IFERROR(__xludf.DUMMYFUNCTION("""COMPUTED_VALUE"""),45068.8675077314)</f>
        <v>45068.86751</v>
      </c>
      <c r="D7177" s="15">
        <f>IFERROR(__xludf.DUMMYFUNCTION("""COMPUTED_VALUE"""),1.011)</f>
        <v>1.011</v>
      </c>
      <c r="E7177" s="16">
        <f>IFERROR(__xludf.DUMMYFUNCTION("""COMPUTED_VALUE"""),65.0)</f>
        <v>65</v>
      </c>
      <c r="F7177" s="19" t="str">
        <f>IFERROR(__xludf.DUMMYFUNCTION("""COMPUTED_VALUE"""),"BLUE")</f>
        <v>BLUE</v>
      </c>
      <c r="G7177" s="20" t="str">
        <f>IFERROR(__xludf.DUMMYFUNCTION("""COMPUTED_VALUE"""),"Uncle Sams Cider (04/04/2023)")</f>
        <v>Uncle Sams Cider (04/04/2023)</v>
      </c>
      <c r="H7177" s="19"/>
    </row>
    <row r="7178">
      <c r="A7178" s="9"/>
      <c r="B7178" s="15"/>
      <c r="C7178" s="9">
        <f>IFERROR(__xludf.DUMMYFUNCTION("""COMPUTED_VALUE"""),45068.8570858217)</f>
        <v>45068.85709</v>
      </c>
      <c r="D7178" s="15">
        <f>IFERROR(__xludf.DUMMYFUNCTION("""COMPUTED_VALUE"""),1.011)</f>
        <v>1.011</v>
      </c>
      <c r="E7178" s="16">
        <f>IFERROR(__xludf.DUMMYFUNCTION("""COMPUTED_VALUE"""),65.0)</f>
        <v>65</v>
      </c>
      <c r="F7178" s="19" t="str">
        <f>IFERROR(__xludf.DUMMYFUNCTION("""COMPUTED_VALUE"""),"BLUE")</f>
        <v>BLUE</v>
      </c>
      <c r="G7178" s="20" t="str">
        <f>IFERROR(__xludf.DUMMYFUNCTION("""COMPUTED_VALUE"""),"Uncle Sams Cider (04/04/2023)")</f>
        <v>Uncle Sams Cider (04/04/2023)</v>
      </c>
      <c r="H7178" s="19"/>
    </row>
    <row r="7179">
      <c r="A7179" s="9"/>
      <c r="B7179" s="15"/>
      <c r="C7179" s="9">
        <f>IFERROR(__xludf.DUMMYFUNCTION("""COMPUTED_VALUE"""),45068.8466641666)</f>
        <v>45068.84666</v>
      </c>
      <c r="D7179" s="15">
        <f>IFERROR(__xludf.DUMMYFUNCTION("""COMPUTED_VALUE"""),1.011)</f>
        <v>1.011</v>
      </c>
      <c r="E7179" s="16">
        <f>IFERROR(__xludf.DUMMYFUNCTION("""COMPUTED_VALUE"""),65.0)</f>
        <v>65</v>
      </c>
      <c r="F7179" s="19" t="str">
        <f>IFERROR(__xludf.DUMMYFUNCTION("""COMPUTED_VALUE"""),"BLUE")</f>
        <v>BLUE</v>
      </c>
      <c r="G7179" s="20" t="str">
        <f>IFERROR(__xludf.DUMMYFUNCTION("""COMPUTED_VALUE"""),"Uncle Sams Cider (04/04/2023)")</f>
        <v>Uncle Sams Cider (04/04/2023)</v>
      </c>
      <c r="H7179" s="19"/>
    </row>
    <row r="7180">
      <c r="A7180" s="9"/>
      <c r="B7180" s="15"/>
      <c r="C7180" s="9">
        <f>IFERROR(__xludf.DUMMYFUNCTION("""COMPUTED_VALUE"""),45068.8362414814)</f>
        <v>45068.83624</v>
      </c>
      <c r="D7180" s="15">
        <f>IFERROR(__xludf.DUMMYFUNCTION("""COMPUTED_VALUE"""),1.011)</f>
        <v>1.011</v>
      </c>
      <c r="E7180" s="16">
        <f>IFERROR(__xludf.DUMMYFUNCTION("""COMPUTED_VALUE"""),65.0)</f>
        <v>65</v>
      </c>
      <c r="F7180" s="19" t="str">
        <f>IFERROR(__xludf.DUMMYFUNCTION("""COMPUTED_VALUE"""),"BLUE")</f>
        <v>BLUE</v>
      </c>
      <c r="G7180" s="20" t="str">
        <f>IFERROR(__xludf.DUMMYFUNCTION("""COMPUTED_VALUE"""),"Uncle Sams Cider (04/04/2023)")</f>
        <v>Uncle Sams Cider (04/04/2023)</v>
      </c>
      <c r="H7180" s="19"/>
    </row>
    <row r="7181">
      <c r="A7181" s="9"/>
      <c r="B7181" s="15"/>
      <c r="C7181" s="9">
        <f>IFERROR(__xludf.DUMMYFUNCTION("""COMPUTED_VALUE"""),45068.8258213541)</f>
        <v>45068.82582</v>
      </c>
      <c r="D7181" s="15">
        <f>IFERROR(__xludf.DUMMYFUNCTION("""COMPUTED_VALUE"""),1.011)</f>
        <v>1.011</v>
      </c>
      <c r="E7181" s="16">
        <f>IFERROR(__xludf.DUMMYFUNCTION("""COMPUTED_VALUE"""),65.0)</f>
        <v>65</v>
      </c>
      <c r="F7181" s="19" t="str">
        <f>IFERROR(__xludf.DUMMYFUNCTION("""COMPUTED_VALUE"""),"BLUE")</f>
        <v>BLUE</v>
      </c>
      <c r="G7181" s="20" t="str">
        <f>IFERROR(__xludf.DUMMYFUNCTION("""COMPUTED_VALUE"""),"Uncle Sams Cider (04/04/2023)")</f>
        <v>Uncle Sams Cider (04/04/2023)</v>
      </c>
      <c r="H7181" s="19"/>
    </row>
    <row r="7182">
      <c r="A7182" s="9"/>
      <c r="B7182" s="15"/>
      <c r="C7182" s="9">
        <f>IFERROR(__xludf.DUMMYFUNCTION("""COMPUTED_VALUE"""),45068.8153872106)</f>
        <v>45068.81539</v>
      </c>
      <c r="D7182" s="15">
        <f>IFERROR(__xludf.DUMMYFUNCTION("""COMPUTED_VALUE"""),1.011)</f>
        <v>1.011</v>
      </c>
      <c r="E7182" s="16">
        <f>IFERROR(__xludf.DUMMYFUNCTION("""COMPUTED_VALUE"""),65.0)</f>
        <v>65</v>
      </c>
      <c r="F7182" s="19" t="str">
        <f>IFERROR(__xludf.DUMMYFUNCTION("""COMPUTED_VALUE"""),"BLUE")</f>
        <v>BLUE</v>
      </c>
      <c r="G7182" s="20" t="str">
        <f>IFERROR(__xludf.DUMMYFUNCTION("""COMPUTED_VALUE"""),"Uncle Sams Cider (04/04/2023)")</f>
        <v>Uncle Sams Cider (04/04/2023)</v>
      </c>
      <c r="H7182" s="19"/>
    </row>
    <row r="7183">
      <c r="A7183" s="9"/>
      <c r="B7183" s="15"/>
      <c r="C7183" s="9">
        <f>IFERROR(__xludf.DUMMYFUNCTION("""COMPUTED_VALUE"""),45068.8049662731)</f>
        <v>45068.80497</v>
      </c>
      <c r="D7183" s="15">
        <f>IFERROR(__xludf.DUMMYFUNCTION("""COMPUTED_VALUE"""),1.011)</f>
        <v>1.011</v>
      </c>
      <c r="E7183" s="16">
        <f>IFERROR(__xludf.DUMMYFUNCTION("""COMPUTED_VALUE"""),65.0)</f>
        <v>65</v>
      </c>
      <c r="F7183" s="19" t="str">
        <f>IFERROR(__xludf.DUMMYFUNCTION("""COMPUTED_VALUE"""),"BLUE")</f>
        <v>BLUE</v>
      </c>
      <c r="G7183" s="20" t="str">
        <f>IFERROR(__xludf.DUMMYFUNCTION("""COMPUTED_VALUE"""),"Uncle Sams Cider (04/04/2023)")</f>
        <v>Uncle Sams Cider (04/04/2023)</v>
      </c>
      <c r="H7183" s="19"/>
    </row>
    <row r="7184">
      <c r="A7184" s="9"/>
      <c r="B7184" s="15"/>
      <c r="C7184" s="9">
        <f>IFERROR(__xludf.DUMMYFUNCTION("""COMPUTED_VALUE"""),45068.7945475231)</f>
        <v>45068.79455</v>
      </c>
      <c r="D7184" s="15">
        <f>IFERROR(__xludf.DUMMYFUNCTION("""COMPUTED_VALUE"""),1.011)</f>
        <v>1.011</v>
      </c>
      <c r="E7184" s="16">
        <f>IFERROR(__xludf.DUMMYFUNCTION("""COMPUTED_VALUE"""),65.0)</f>
        <v>65</v>
      </c>
      <c r="F7184" s="19" t="str">
        <f>IFERROR(__xludf.DUMMYFUNCTION("""COMPUTED_VALUE"""),"BLUE")</f>
        <v>BLUE</v>
      </c>
      <c r="G7184" s="20" t="str">
        <f>IFERROR(__xludf.DUMMYFUNCTION("""COMPUTED_VALUE"""),"Uncle Sams Cider (04/04/2023)")</f>
        <v>Uncle Sams Cider (04/04/2023)</v>
      </c>
      <c r="H7184" s="19"/>
    </row>
    <row r="7185">
      <c r="A7185" s="9"/>
      <c r="B7185" s="15"/>
      <c r="C7185" s="9">
        <f>IFERROR(__xludf.DUMMYFUNCTION("""COMPUTED_VALUE"""),45068.7841260532)</f>
        <v>45068.78413</v>
      </c>
      <c r="D7185" s="15">
        <f>IFERROR(__xludf.DUMMYFUNCTION("""COMPUTED_VALUE"""),1.011)</f>
        <v>1.011</v>
      </c>
      <c r="E7185" s="16">
        <f>IFERROR(__xludf.DUMMYFUNCTION("""COMPUTED_VALUE"""),65.0)</f>
        <v>65</v>
      </c>
      <c r="F7185" s="19" t="str">
        <f>IFERROR(__xludf.DUMMYFUNCTION("""COMPUTED_VALUE"""),"BLUE")</f>
        <v>BLUE</v>
      </c>
      <c r="G7185" s="20" t="str">
        <f>IFERROR(__xludf.DUMMYFUNCTION("""COMPUTED_VALUE"""),"Uncle Sams Cider (04/04/2023)")</f>
        <v>Uncle Sams Cider (04/04/2023)</v>
      </c>
      <c r="H7185" s="19"/>
    </row>
    <row r="7186">
      <c r="A7186" s="9"/>
      <c r="B7186" s="15"/>
      <c r="C7186" s="9">
        <f>IFERROR(__xludf.DUMMYFUNCTION("""COMPUTED_VALUE"""),45068.7737044907)</f>
        <v>45068.7737</v>
      </c>
      <c r="D7186" s="15">
        <f>IFERROR(__xludf.DUMMYFUNCTION("""COMPUTED_VALUE"""),1.011)</f>
        <v>1.011</v>
      </c>
      <c r="E7186" s="16">
        <f>IFERROR(__xludf.DUMMYFUNCTION("""COMPUTED_VALUE"""),65.0)</f>
        <v>65</v>
      </c>
      <c r="F7186" s="19" t="str">
        <f>IFERROR(__xludf.DUMMYFUNCTION("""COMPUTED_VALUE"""),"BLUE")</f>
        <v>BLUE</v>
      </c>
      <c r="G7186" s="20" t="str">
        <f>IFERROR(__xludf.DUMMYFUNCTION("""COMPUTED_VALUE"""),"Uncle Sams Cider (04/04/2023)")</f>
        <v>Uncle Sams Cider (04/04/2023)</v>
      </c>
      <c r="H7186" s="19"/>
    </row>
    <row r="7187">
      <c r="A7187" s="9"/>
      <c r="B7187" s="15"/>
      <c r="C7187" s="9">
        <f>IFERROR(__xludf.DUMMYFUNCTION("""COMPUTED_VALUE"""),45068.7632709027)</f>
        <v>45068.76327</v>
      </c>
      <c r="D7187" s="15">
        <f>IFERROR(__xludf.DUMMYFUNCTION("""COMPUTED_VALUE"""),1.011)</f>
        <v>1.011</v>
      </c>
      <c r="E7187" s="16">
        <f>IFERROR(__xludf.DUMMYFUNCTION("""COMPUTED_VALUE"""),65.0)</f>
        <v>65</v>
      </c>
      <c r="F7187" s="19" t="str">
        <f>IFERROR(__xludf.DUMMYFUNCTION("""COMPUTED_VALUE"""),"BLUE")</f>
        <v>BLUE</v>
      </c>
      <c r="G7187" s="20" t="str">
        <f>IFERROR(__xludf.DUMMYFUNCTION("""COMPUTED_VALUE"""),"Uncle Sams Cider (04/04/2023)")</f>
        <v>Uncle Sams Cider (04/04/2023)</v>
      </c>
      <c r="H7187" s="19"/>
    </row>
    <row r="7188">
      <c r="A7188" s="9"/>
      <c r="B7188" s="15"/>
      <c r="C7188" s="9">
        <f>IFERROR(__xludf.DUMMYFUNCTION("""COMPUTED_VALUE"""),45068.7528498842)</f>
        <v>45068.75285</v>
      </c>
      <c r="D7188" s="15">
        <f>IFERROR(__xludf.DUMMYFUNCTION("""COMPUTED_VALUE"""),1.011)</f>
        <v>1.011</v>
      </c>
      <c r="E7188" s="16">
        <f>IFERROR(__xludf.DUMMYFUNCTION("""COMPUTED_VALUE"""),65.0)</f>
        <v>65</v>
      </c>
      <c r="F7188" s="19" t="str">
        <f>IFERROR(__xludf.DUMMYFUNCTION("""COMPUTED_VALUE"""),"BLUE")</f>
        <v>BLUE</v>
      </c>
      <c r="G7188" s="20" t="str">
        <f>IFERROR(__xludf.DUMMYFUNCTION("""COMPUTED_VALUE"""),"Uncle Sams Cider (04/04/2023)")</f>
        <v>Uncle Sams Cider (04/04/2023)</v>
      </c>
      <c r="H7188" s="19"/>
    </row>
    <row r="7189">
      <c r="A7189" s="9"/>
      <c r="B7189" s="15"/>
      <c r="C7189" s="9">
        <f>IFERROR(__xludf.DUMMYFUNCTION("""COMPUTED_VALUE"""),45068.7424281134)</f>
        <v>45068.74243</v>
      </c>
      <c r="D7189" s="15">
        <f>IFERROR(__xludf.DUMMYFUNCTION("""COMPUTED_VALUE"""),1.011)</f>
        <v>1.011</v>
      </c>
      <c r="E7189" s="16">
        <f>IFERROR(__xludf.DUMMYFUNCTION("""COMPUTED_VALUE"""),65.0)</f>
        <v>65</v>
      </c>
      <c r="F7189" s="19" t="str">
        <f>IFERROR(__xludf.DUMMYFUNCTION("""COMPUTED_VALUE"""),"BLUE")</f>
        <v>BLUE</v>
      </c>
      <c r="G7189" s="20" t="str">
        <f>IFERROR(__xludf.DUMMYFUNCTION("""COMPUTED_VALUE"""),"Uncle Sams Cider (04/04/2023)")</f>
        <v>Uncle Sams Cider (04/04/2023)</v>
      </c>
      <c r="H7189" s="19"/>
    </row>
    <row r="7190">
      <c r="A7190" s="9"/>
      <c r="B7190" s="15"/>
      <c r="C7190" s="9">
        <f>IFERROR(__xludf.DUMMYFUNCTION("""COMPUTED_VALUE"""),45068.7320072338)</f>
        <v>45068.73201</v>
      </c>
      <c r="D7190" s="15">
        <f>IFERROR(__xludf.DUMMYFUNCTION("""COMPUTED_VALUE"""),1.011)</f>
        <v>1.011</v>
      </c>
      <c r="E7190" s="16">
        <f>IFERROR(__xludf.DUMMYFUNCTION("""COMPUTED_VALUE"""),65.0)</f>
        <v>65</v>
      </c>
      <c r="F7190" s="19" t="str">
        <f>IFERROR(__xludf.DUMMYFUNCTION("""COMPUTED_VALUE"""),"BLUE")</f>
        <v>BLUE</v>
      </c>
      <c r="G7190" s="20" t="str">
        <f>IFERROR(__xludf.DUMMYFUNCTION("""COMPUTED_VALUE"""),"Uncle Sams Cider (04/04/2023)")</f>
        <v>Uncle Sams Cider (04/04/2023)</v>
      </c>
      <c r="H7190" s="19"/>
    </row>
    <row r="7191">
      <c r="A7191" s="9"/>
      <c r="B7191" s="15"/>
      <c r="C7191" s="9">
        <f>IFERROR(__xludf.DUMMYFUNCTION("""COMPUTED_VALUE"""),45068.7215758912)</f>
        <v>45068.72158</v>
      </c>
      <c r="D7191" s="15">
        <f>IFERROR(__xludf.DUMMYFUNCTION("""COMPUTED_VALUE"""),1.011)</f>
        <v>1.011</v>
      </c>
      <c r="E7191" s="16">
        <f>IFERROR(__xludf.DUMMYFUNCTION("""COMPUTED_VALUE"""),65.0)</f>
        <v>65</v>
      </c>
      <c r="F7191" s="19" t="str">
        <f>IFERROR(__xludf.DUMMYFUNCTION("""COMPUTED_VALUE"""),"BLUE")</f>
        <v>BLUE</v>
      </c>
      <c r="G7191" s="20" t="str">
        <f>IFERROR(__xludf.DUMMYFUNCTION("""COMPUTED_VALUE"""),"Uncle Sams Cider (04/04/2023)")</f>
        <v>Uncle Sams Cider (04/04/2023)</v>
      </c>
      <c r="H7191" s="19"/>
    </row>
    <row r="7192">
      <c r="A7192" s="9"/>
      <c r="B7192" s="15"/>
      <c r="C7192" s="9">
        <f>IFERROR(__xludf.DUMMYFUNCTION("""COMPUTED_VALUE"""),45068.7111563541)</f>
        <v>45068.71116</v>
      </c>
      <c r="D7192" s="15">
        <f>IFERROR(__xludf.DUMMYFUNCTION("""COMPUTED_VALUE"""),1.011)</f>
        <v>1.011</v>
      </c>
      <c r="E7192" s="16">
        <f>IFERROR(__xludf.DUMMYFUNCTION("""COMPUTED_VALUE"""),65.0)</f>
        <v>65</v>
      </c>
      <c r="F7192" s="19" t="str">
        <f>IFERROR(__xludf.DUMMYFUNCTION("""COMPUTED_VALUE"""),"BLUE")</f>
        <v>BLUE</v>
      </c>
      <c r="G7192" s="20" t="str">
        <f>IFERROR(__xludf.DUMMYFUNCTION("""COMPUTED_VALUE"""),"Uncle Sams Cider (04/04/2023)")</f>
        <v>Uncle Sams Cider (04/04/2023)</v>
      </c>
      <c r="H7192" s="19"/>
    </row>
    <row r="7193">
      <c r="A7193" s="9"/>
      <c r="B7193" s="15"/>
      <c r="C7193" s="9">
        <f>IFERROR(__xludf.DUMMYFUNCTION("""COMPUTED_VALUE"""),45068.7007347453)</f>
        <v>45068.70073</v>
      </c>
      <c r="D7193" s="15">
        <f>IFERROR(__xludf.DUMMYFUNCTION("""COMPUTED_VALUE"""),1.011)</f>
        <v>1.011</v>
      </c>
      <c r="E7193" s="16">
        <f>IFERROR(__xludf.DUMMYFUNCTION("""COMPUTED_VALUE"""),65.0)</f>
        <v>65</v>
      </c>
      <c r="F7193" s="19" t="str">
        <f>IFERROR(__xludf.DUMMYFUNCTION("""COMPUTED_VALUE"""),"BLUE")</f>
        <v>BLUE</v>
      </c>
      <c r="G7193" s="20" t="str">
        <f>IFERROR(__xludf.DUMMYFUNCTION("""COMPUTED_VALUE"""),"Uncle Sams Cider (04/04/2023)")</f>
        <v>Uncle Sams Cider (04/04/2023)</v>
      </c>
      <c r="H7193" s="19"/>
    </row>
    <row r="7194">
      <c r="A7194" s="9"/>
      <c r="B7194" s="15"/>
      <c r="C7194" s="9">
        <f>IFERROR(__xludf.DUMMYFUNCTION("""COMPUTED_VALUE"""),45068.690314618)</f>
        <v>45068.69031</v>
      </c>
      <c r="D7194" s="15">
        <f>IFERROR(__xludf.DUMMYFUNCTION("""COMPUTED_VALUE"""),1.011)</f>
        <v>1.011</v>
      </c>
      <c r="E7194" s="16">
        <f>IFERROR(__xludf.DUMMYFUNCTION("""COMPUTED_VALUE"""),65.0)</f>
        <v>65</v>
      </c>
      <c r="F7194" s="19" t="str">
        <f>IFERROR(__xludf.DUMMYFUNCTION("""COMPUTED_VALUE"""),"BLUE")</f>
        <v>BLUE</v>
      </c>
      <c r="G7194" s="20" t="str">
        <f>IFERROR(__xludf.DUMMYFUNCTION("""COMPUTED_VALUE"""),"Uncle Sams Cider (04/04/2023)")</f>
        <v>Uncle Sams Cider (04/04/2023)</v>
      </c>
      <c r="H7194" s="19"/>
    </row>
    <row r="7195">
      <c r="A7195" s="9"/>
      <c r="B7195" s="15"/>
      <c r="C7195" s="9">
        <f>IFERROR(__xludf.DUMMYFUNCTION("""COMPUTED_VALUE"""),45068.6798699305)</f>
        <v>45068.67987</v>
      </c>
      <c r="D7195" s="15">
        <f>IFERROR(__xludf.DUMMYFUNCTION("""COMPUTED_VALUE"""),1.011)</f>
        <v>1.011</v>
      </c>
      <c r="E7195" s="16">
        <f>IFERROR(__xludf.DUMMYFUNCTION("""COMPUTED_VALUE"""),65.0)</f>
        <v>65</v>
      </c>
      <c r="F7195" s="19" t="str">
        <f>IFERROR(__xludf.DUMMYFUNCTION("""COMPUTED_VALUE"""),"BLUE")</f>
        <v>BLUE</v>
      </c>
      <c r="G7195" s="20" t="str">
        <f>IFERROR(__xludf.DUMMYFUNCTION("""COMPUTED_VALUE"""),"Uncle Sams Cider (04/04/2023)")</f>
        <v>Uncle Sams Cider (04/04/2023)</v>
      </c>
      <c r="H7195" s="19"/>
    </row>
    <row r="7196">
      <c r="A7196" s="9"/>
      <c r="B7196" s="15"/>
      <c r="C7196" s="9">
        <f>IFERROR(__xludf.DUMMYFUNCTION("""COMPUTED_VALUE"""),45068.6694478703)</f>
        <v>45068.66945</v>
      </c>
      <c r="D7196" s="15">
        <f>IFERROR(__xludf.DUMMYFUNCTION("""COMPUTED_VALUE"""),1.011)</f>
        <v>1.011</v>
      </c>
      <c r="E7196" s="16">
        <f>IFERROR(__xludf.DUMMYFUNCTION("""COMPUTED_VALUE"""),65.0)</f>
        <v>65</v>
      </c>
      <c r="F7196" s="19" t="str">
        <f>IFERROR(__xludf.DUMMYFUNCTION("""COMPUTED_VALUE"""),"BLUE")</f>
        <v>BLUE</v>
      </c>
      <c r="G7196" s="20" t="str">
        <f>IFERROR(__xludf.DUMMYFUNCTION("""COMPUTED_VALUE"""),"Uncle Sams Cider (04/04/2023)")</f>
        <v>Uncle Sams Cider (04/04/2023)</v>
      </c>
      <c r="H7196" s="19"/>
    </row>
    <row r="7197">
      <c r="A7197" s="9"/>
      <c r="B7197" s="15"/>
      <c r="C7197" s="9">
        <f>IFERROR(__xludf.DUMMYFUNCTION("""COMPUTED_VALUE"""),45068.6590272569)</f>
        <v>45068.65903</v>
      </c>
      <c r="D7197" s="15">
        <f>IFERROR(__xludf.DUMMYFUNCTION("""COMPUTED_VALUE"""),1.011)</f>
        <v>1.011</v>
      </c>
      <c r="E7197" s="16">
        <f>IFERROR(__xludf.DUMMYFUNCTION("""COMPUTED_VALUE"""),65.0)</f>
        <v>65</v>
      </c>
      <c r="F7197" s="19" t="str">
        <f>IFERROR(__xludf.DUMMYFUNCTION("""COMPUTED_VALUE"""),"BLUE")</f>
        <v>BLUE</v>
      </c>
      <c r="G7197" s="20" t="str">
        <f>IFERROR(__xludf.DUMMYFUNCTION("""COMPUTED_VALUE"""),"Uncle Sams Cider (04/04/2023)")</f>
        <v>Uncle Sams Cider (04/04/2023)</v>
      </c>
      <c r="H7197" s="19"/>
    </row>
    <row r="7198">
      <c r="A7198" s="9"/>
      <c r="B7198" s="15"/>
      <c r="C7198" s="9">
        <f>IFERROR(__xludf.DUMMYFUNCTION("""COMPUTED_VALUE"""),45068.6486062152)</f>
        <v>45068.64861</v>
      </c>
      <c r="D7198" s="15">
        <f>IFERROR(__xludf.DUMMYFUNCTION("""COMPUTED_VALUE"""),1.011)</f>
        <v>1.011</v>
      </c>
      <c r="E7198" s="16">
        <f>IFERROR(__xludf.DUMMYFUNCTION("""COMPUTED_VALUE"""),65.0)</f>
        <v>65</v>
      </c>
      <c r="F7198" s="19" t="str">
        <f>IFERROR(__xludf.DUMMYFUNCTION("""COMPUTED_VALUE"""),"BLUE")</f>
        <v>BLUE</v>
      </c>
      <c r="G7198" s="20" t="str">
        <f>IFERROR(__xludf.DUMMYFUNCTION("""COMPUTED_VALUE"""),"Uncle Sams Cider (04/04/2023)")</f>
        <v>Uncle Sams Cider (04/04/2023)</v>
      </c>
      <c r="H7198" s="19"/>
    </row>
    <row r="7199">
      <c r="A7199" s="9"/>
      <c r="B7199" s="15"/>
      <c r="C7199" s="9">
        <f>IFERROR(__xludf.DUMMYFUNCTION("""COMPUTED_VALUE"""),45068.6381839236)</f>
        <v>45068.63818</v>
      </c>
      <c r="D7199" s="15">
        <f>IFERROR(__xludf.DUMMYFUNCTION("""COMPUTED_VALUE"""),1.011)</f>
        <v>1.011</v>
      </c>
      <c r="E7199" s="16">
        <f>IFERROR(__xludf.DUMMYFUNCTION("""COMPUTED_VALUE"""),65.0)</f>
        <v>65</v>
      </c>
      <c r="F7199" s="19" t="str">
        <f>IFERROR(__xludf.DUMMYFUNCTION("""COMPUTED_VALUE"""),"BLUE")</f>
        <v>BLUE</v>
      </c>
      <c r="G7199" s="20" t="str">
        <f>IFERROR(__xludf.DUMMYFUNCTION("""COMPUTED_VALUE"""),"Uncle Sams Cider (04/04/2023)")</f>
        <v>Uncle Sams Cider (04/04/2023)</v>
      </c>
      <c r="H7199" s="19"/>
    </row>
    <row r="7200">
      <c r="A7200" s="9"/>
      <c r="B7200" s="15"/>
      <c r="C7200" s="9">
        <f>IFERROR(__xludf.DUMMYFUNCTION("""COMPUTED_VALUE"""),45068.6277618634)</f>
        <v>45068.62776</v>
      </c>
      <c r="D7200" s="15">
        <f>IFERROR(__xludf.DUMMYFUNCTION("""COMPUTED_VALUE"""),1.011)</f>
        <v>1.011</v>
      </c>
      <c r="E7200" s="16">
        <f>IFERROR(__xludf.DUMMYFUNCTION("""COMPUTED_VALUE"""),65.0)</f>
        <v>65</v>
      </c>
      <c r="F7200" s="19" t="str">
        <f>IFERROR(__xludf.DUMMYFUNCTION("""COMPUTED_VALUE"""),"BLUE")</f>
        <v>BLUE</v>
      </c>
      <c r="G7200" s="20" t="str">
        <f>IFERROR(__xludf.DUMMYFUNCTION("""COMPUTED_VALUE"""),"Uncle Sams Cider (04/04/2023)")</f>
        <v>Uncle Sams Cider (04/04/2023)</v>
      </c>
      <c r="H7200" s="19"/>
    </row>
    <row r="7201">
      <c r="A7201" s="9"/>
      <c r="B7201" s="15"/>
      <c r="C7201" s="9">
        <f>IFERROR(__xludf.DUMMYFUNCTION("""COMPUTED_VALUE"""),45068.6173184838)</f>
        <v>45068.61732</v>
      </c>
      <c r="D7201" s="15">
        <f>IFERROR(__xludf.DUMMYFUNCTION("""COMPUTED_VALUE"""),1.011)</f>
        <v>1.011</v>
      </c>
      <c r="E7201" s="16">
        <f>IFERROR(__xludf.DUMMYFUNCTION("""COMPUTED_VALUE"""),65.0)</f>
        <v>65</v>
      </c>
      <c r="F7201" s="19" t="str">
        <f>IFERROR(__xludf.DUMMYFUNCTION("""COMPUTED_VALUE"""),"BLUE")</f>
        <v>BLUE</v>
      </c>
      <c r="G7201" s="20" t="str">
        <f>IFERROR(__xludf.DUMMYFUNCTION("""COMPUTED_VALUE"""),"Uncle Sams Cider (04/04/2023)")</f>
        <v>Uncle Sams Cider (04/04/2023)</v>
      </c>
      <c r="H7201" s="19"/>
    </row>
    <row r="7202">
      <c r="A7202" s="9"/>
      <c r="B7202" s="15"/>
      <c r="C7202" s="9">
        <f>IFERROR(__xludf.DUMMYFUNCTION("""COMPUTED_VALUE"""),45068.6068981134)</f>
        <v>45068.6069</v>
      </c>
      <c r="D7202" s="15">
        <f>IFERROR(__xludf.DUMMYFUNCTION("""COMPUTED_VALUE"""),1.011)</f>
        <v>1.011</v>
      </c>
      <c r="E7202" s="16">
        <f>IFERROR(__xludf.DUMMYFUNCTION("""COMPUTED_VALUE"""),65.0)</f>
        <v>65</v>
      </c>
      <c r="F7202" s="19" t="str">
        <f>IFERROR(__xludf.DUMMYFUNCTION("""COMPUTED_VALUE"""),"BLUE")</f>
        <v>BLUE</v>
      </c>
      <c r="G7202" s="20" t="str">
        <f>IFERROR(__xludf.DUMMYFUNCTION("""COMPUTED_VALUE"""),"Uncle Sams Cider (04/04/2023)")</f>
        <v>Uncle Sams Cider (04/04/2023)</v>
      </c>
      <c r="H7202" s="19"/>
    </row>
    <row r="7203">
      <c r="A7203" s="9"/>
      <c r="B7203" s="15"/>
      <c r="C7203" s="9">
        <f>IFERROR(__xludf.DUMMYFUNCTION("""COMPUTED_VALUE"""),45068.5964653703)</f>
        <v>45068.59647</v>
      </c>
      <c r="D7203" s="15">
        <f>IFERROR(__xludf.DUMMYFUNCTION("""COMPUTED_VALUE"""),1.011)</f>
        <v>1.011</v>
      </c>
      <c r="E7203" s="16">
        <f>IFERROR(__xludf.DUMMYFUNCTION("""COMPUTED_VALUE"""),65.0)</f>
        <v>65</v>
      </c>
      <c r="F7203" s="19" t="str">
        <f>IFERROR(__xludf.DUMMYFUNCTION("""COMPUTED_VALUE"""),"BLUE")</f>
        <v>BLUE</v>
      </c>
      <c r="G7203" s="20" t="str">
        <f>IFERROR(__xludf.DUMMYFUNCTION("""COMPUTED_VALUE"""),"Uncle Sams Cider (04/04/2023)")</f>
        <v>Uncle Sams Cider (04/04/2023)</v>
      </c>
      <c r="H7203" s="19"/>
    </row>
    <row r="7204">
      <c r="A7204" s="9"/>
      <c r="B7204" s="15"/>
      <c r="C7204" s="9">
        <f>IFERROR(__xludf.DUMMYFUNCTION("""COMPUTED_VALUE"""),45068.5860432638)</f>
        <v>45068.58604</v>
      </c>
      <c r="D7204" s="15">
        <f>IFERROR(__xludf.DUMMYFUNCTION("""COMPUTED_VALUE"""),1.011)</f>
        <v>1.011</v>
      </c>
      <c r="E7204" s="16">
        <f>IFERROR(__xludf.DUMMYFUNCTION("""COMPUTED_VALUE"""),65.0)</f>
        <v>65</v>
      </c>
      <c r="F7204" s="19" t="str">
        <f>IFERROR(__xludf.DUMMYFUNCTION("""COMPUTED_VALUE"""),"BLUE")</f>
        <v>BLUE</v>
      </c>
      <c r="G7204" s="20" t="str">
        <f>IFERROR(__xludf.DUMMYFUNCTION("""COMPUTED_VALUE"""),"Uncle Sams Cider (04/04/2023)")</f>
        <v>Uncle Sams Cider (04/04/2023)</v>
      </c>
      <c r="H7204" s="19"/>
    </row>
    <row r="7205">
      <c r="A7205" s="9"/>
      <c r="B7205" s="15"/>
      <c r="C7205" s="9">
        <f>IFERROR(__xludf.DUMMYFUNCTION("""COMPUTED_VALUE"""),45068.5756209606)</f>
        <v>45068.57562</v>
      </c>
      <c r="D7205" s="15">
        <f>IFERROR(__xludf.DUMMYFUNCTION("""COMPUTED_VALUE"""),1.011)</f>
        <v>1.011</v>
      </c>
      <c r="E7205" s="16">
        <f>IFERROR(__xludf.DUMMYFUNCTION("""COMPUTED_VALUE"""),65.0)</f>
        <v>65</v>
      </c>
      <c r="F7205" s="19" t="str">
        <f>IFERROR(__xludf.DUMMYFUNCTION("""COMPUTED_VALUE"""),"BLUE")</f>
        <v>BLUE</v>
      </c>
      <c r="G7205" s="20" t="str">
        <f>IFERROR(__xludf.DUMMYFUNCTION("""COMPUTED_VALUE"""),"Uncle Sams Cider (04/04/2023)")</f>
        <v>Uncle Sams Cider (04/04/2023)</v>
      </c>
      <c r="H7205" s="19"/>
    </row>
    <row r="7206">
      <c r="A7206" s="9"/>
      <c r="B7206" s="15"/>
      <c r="C7206" s="9">
        <f>IFERROR(__xludf.DUMMYFUNCTION("""COMPUTED_VALUE"""),45068.5652002083)</f>
        <v>45068.5652</v>
      </c>
      <c r="D7206" s="15">
        <f>IFERROR(__xludf.DUMMYFUNCTION("""COMPUTED_VALUE"""),1.011)</f>
        <v>1.011</v>
      </c>
      <c r="E7206" s="16">
        <f>IFERROR(__xludf.DUMMYFUNCTION("""COMPUTED_VALUE"""),65.0)</f>
        <v>65</v>
      </c>
      <c r="F7206" s="19" t="str">
        <f>IFERROR(__xludf.DUMMYFUNCTION("""COMPUTED_VALUE"""),"BLUE")</f>
        <v>BLUE</v>
      </c>
      <c r="G7206" s="20" t="str">
        <f>IFERROR(__xludf.DUMMYFUNCTION("""COMPUTED_VALUE"""),"Uncle Sams Cider (04/04/2023)")</f>
        <v>Uncle Sams Cider (04/04/2023)</v>
      </c>
      <c r="H7206" s="19"/>
    </row>
    <row r="7207">
      <c r="A7207" s="9"/>
      <c r="B7207" s="15"/>
      <c r="C7207" s="9">
        <f>IFERROR(__xludf.DUMMYFUNCTION("""COMPUTED_VALUE"""),45068.5547788078)</f>
        <v>45068.55478</v>
      </c>
      <c r="D7207" s="15">
        <f>IFERROR(__xludf.DUMMYFUNCTION("""COMPUTED_VALUE"""),1.011)</f>
        <v>1.011</v>
      </c>
      <c r="E7207" s="16">
        <f>IFERROR(__xludf.DUMMYFUNCTION("""COMPUTED_VALUE"""),65.0)</f>
        <v>65</v>
      </c>
      <c r="F7207" s="19" t="str">
        <f>IFERROR(__xludf.DUMMYFUNCTION("""COMPUTED_VALUE"""),"BLUE")</f>
        <v>BLUE</v>
      </c>
      <c r="G7207" s="20" t="str">
        <f>IFERROR(__xludf.DUMMYFUNCTION("""COMPUTED_VALUE"""),"Uncle Sams Cider (04/04/2023)")</f>
        <v>Uncle Sams Cider (04/04/2023)</v>
      </c>
      <c r="H7207" s="19"/>
    </row>
    <row r="7208">
      <c r="A7208" s="9"/>
      <c r="B7208" s="15"/>
      <c r="C7208" s="9">
        <f>IFERROR(__xludf.DUMMYFUNCTION("""COMPUTED_VALUE"""),45068.5443446875)</f>
        <v>45068.54434</v>
      </c>
      <c r="D7208" s="15">
        <f>IFERROR(__xludf.DUMMYFUNCTION("""COMPUTED_VALUE"""),1.011)</f>
        <v>1.011</v>
      </c>
      <c r="E7208" s="16">
        <f>IFERROR(__xludf.DUMMYFUNCTION("""COMPUTED_VALUE"""),65.0)</f>
        <v>65</v>
      </c>
      <c r="F7208" s="19" t="str">
        <f>IFERROR(__xludf.DUMMYFUNCTION("""COMPUTED_VALUE"""),"BLUE")</f>
        <v>BLUE</v>
      </c>
      <c r="G7208" s="20" t="str">
        <f>IFERROR(__xludf.DUMMYFUNCTION("""COMPUTED_VALUE"""),"Uncle Sams Cider (04/04/2023)")</f>
        <v>Uncle Sams Cider (04/04/2023)</v>
      </c>
      <c r="H7208" s="19"/>
    </row>
    <row r="7209">
      <c r="A7209" s="9"/>
      <c r="B7209" s="15"/>
      <c r="C7209" s="9">
        <f>IFERROR(__xludf.DUMMYFUNCTION("""COMPUTED_VALUE"""),45068.5339243981)</f>
        <v>45068.53392</v>
      </c>
      <c r="D7209" s="15">
        <f>IFERROR(__xludf.DUMMYFUNCTION("""COMPUTED_VALUE"""),1.011)</f>
        <v>1.011</v>
      </c>
      <c r="E7209" s="16">
        <f>IFERROR(__xludf.DUMMYFUNCTION("""COMPUTED_VALUE"""),65.0)</f>
        <v>65</v>
      </c>
      <c r="F7209" s="19" t="str">
        <f>IFERROR(__xludf.DUMMYFUNCTION("""COMPUTED_VALUE"""),"BLUE")</f>
        <v>BLUE</v>
      </c>
      <c r="G7209" s="20" t="str">
        <f>IFERROR(__xludf.DUMMYFUNCTION("""COMPUTED_VALUE"""),"Uncle Sams Cider (04/04/2023)")</f>
        <v>Uncle Sams Cider (04/04/2023)</v>
      </c>
      <c r="H7209" s="19"/>
    </row>
    <row r="7210">
      <c r="A7210" s="9"/>
      <c r="B7210" s="15"/>
      <c r="C7210" s="9">
        <f>IFERROR(__xludf.DUMMYFUNCTION("""COMPUTED_VALUE"""),45068.5234915393)</f>
        <v>45068.52349</v>
      </c>
      <c r="D7210" s="15">
        <f>IFERROR(__xludf.DUMMYFUNCTION("""COMPUTED_VALUE"""),1.011)</f>
        <v>1.011</v>
      </c>
      <c r="E7210" s="16">
        <f>IFERROR(__xludf.DUMMYFUNCTION("""COMPUTED_VALUE"""),65.0)</f>
        <v>65</v>
      </c>
      <c r="F7210" s="19" t="str">
        <f>IFERROR(__xludf.DUMMYFUNCTION("""COMPUTED_VALUE"""),"BLUE")</f>
        <v>BLUE</v>
      </c>
      <c r="G7210" s="20" t="str">
        <f>IFERROR(__xludf.DUMMYFUNCTION("""COMPUTED_VALUE"""),"Uncle Sams Cider (04/04/2023)")</f>
        <v>Uncle Sams Cider (04/04/2023)</v>
      </c>
      <c r="H7210" s="19"/>
    </row>
    <row r="7211">
      <c r="A7211" s="9"/>
      <c r="B7211" s="15"/>
      <c r="C7211" s="9">
        <f>IFERROR(__xludf.DUMMYFUNCTION("""COMPUTED_VALUE"""),45068.5130589583)</f>
        <v>45068.51306</v>
      </c>
      <c r="D7211" s="15">
        <f>IFERROR(__xludf.DUMMYFUNCTION("""COMPUTED_VALUE"""),1.011)</f>
        <v>1.011</v>
      </c>
      <c r="E7211" s="16">
        <f>IFERROR(__xludf.DUMMYFUNCTION("""COMPUTED_VALUE"""),65.0)</f>
        <v>65</v>
      </c>
      <c r="F7211" s="19" t="str">
        <f>IFERROR(__xludf.DUMMYFUNCTION("""COMPUTED_VALUE"""),"BLUE")</f>
        <v>BLUE</v>
      </c>
      <c r="G7211" s="20" t="str">
        <f>IFERROR(__xludf.DUMMYFUNCTION("""COMPUTED_VALUE"""),"Uncle Sams Cider (04/04/2023)")</f>
        <v>Uncle Sams Cider (04/04/2023)</v>
      </c>
      <c r="H7211" s="19"/>
    </row>
    <row r="7212">
      <c r="A7212" s="9"/>
      <c r="B7212" s="15"/>
      <c r="C7212" s="9">
        <f>IFERROR(__xludf.DUMMYFUNCTION("""COMPUTED_VALUE"""),45068.5026248264)</f>
        <v>45068.50262</v>
      </c>
      <c r="D7212" s="15">
        <f>IFERROR(__xludf.DUMMYFUNCTION("""COMPUTED_VALUE"""),1.011)</f>
        <v>1.011</v>
      </c>
      <c r="E7212" s="16">
        <f>IFERROR(__xludf.DUMMYFUNCTION("""COMPUTED_VALUE"""),65.0)</f>
        <v>65</v>
      </c>
      <c r="F7212" s="19" t="str">
        <f>IFERROR(__xludf.DUMMYFUNCTION("""COMPUTED_VALUE"""),"BLUE")</f>
        <v>BLUE</v>
      </c>
      <c r="G7212" s="20" t="str">
        <f>IFERROR(__xludf.DUMMYFUNCTION("""COMPUTED_VALUE"""),"Uncle Sams Cider (04/04/2023)")</f>
        <v>Uncle Sams Cider (04/04/2023)</v>
      </c>
      <c r="H7212" s="19"/>
    </row>
    <row r="7213">
      <c r="A7213" s="9"/>
      <c r="B7213" s="15"/>
      <c r="C7213" s="9">
        <f>IFERROR(__xludf.DUMMYFUNCTION("""COMPUTED_VALUE"""),45068.4713515625)</f>
        <v>45068.47135</v>
      </c>
      <c r="D7213" s="15">
        <f>IFERROR(__xludf.DUMMYFUNCTION("""COMPUTED_VALUE"""),1.011)</f>
        <v>1.011</v>
      </c>
      <c r="E7213" s="16">
        <f>IFERROR(__xludf.DUMMYFUNCTION("""COMPUTED_VALUE"""),65.0)</f>
        <v>65</v>
      </c>
      <c r="F7213" s="19" t="str">
        <f>IFERROR(__xludf.DUMMYFUNCTION("""COMPUTED_VALUE"""),"BLUE")</f>
        <v>BLUE</v>
      </c>
      <c r="G7213" s="20" t="str">
        <f>IFERROR(__xludf.DUMMYFUNCTION("""COMPUTED_VALUE"""),"Uncle Sams Cider (04/04/2023)")</f>
        <v>Uncle Sams Cider (04/04/2023)</v>
      </c>
      <c r="H7213" s="19"/>
    </row>
    <row r="7214">
      <c r="A7214" s="9"/>
      <c r="B7214" s="15"/>
      <c r="C7214" s="9">
        <f>IFERROR(__xludf.DUMMYFUNCTION("""COMPUTED_VALUE"""),45068.4609201851)</f>
        <v>45068.46092</v>
      </c>
      <c r="D7214" s="15">
        <f>IFERROR(__xludf.DUMMYFUNCTION("""COMPUTED_VALUE"""),1.011)</f>
        <v>1.011</v>
      </c>
      <c r="E7214" s="16">
        <f>IFERROR(__xludf.DUMMYFUNCTION("""COMPUTED_VALUE"""),65.0)</f>
        <v>65</v>
      </c>
      <c r="F7214" s="19" t="str">
        <f>IFERROR(__xludf.DUMMYFUNCTION("""COMPUTED_VALUE"""),"BLUE")</f>
        <v>BLUE</v>
      </c>
      <c r="G7214" s="20" t="str">
        <f>IFERROR(__xludf.DUMMYFUNCTION("""COMPUTED_VALUE"""),"Uncle Sams Cider (04/04/2023)")</f>
        <v>Uncle Sams Cider (04/04/2023)</v>
      </c>
      <c r="H7214" s="19"/>
    </row>
    <row r="7215">
      <c r="A7215" s="9"/>
      <c r="B7215" s="15"/>
      <c r="C7215" s="9">
        <f>IFERROR(__xludf.DUMMYFUNCTION("""COMPUTED_VALUE"""),45068.4504986805)</f>
        <v>45068.4505</v>
      </c>
      <c r="D7215" s="15">
        <f>IFERROR(__xludf.DUMMYFUNCTION("""COMPUTED_VALUE"""),1.012)</f>
        <v>1.012</v>
      </c>
      <c r="E7215" s="16">
        <f>IFERROR(__xludf.DUMMYFUNCTION("""COMPUTED_VALUE"""),65.0)</f>
        <v>65</v>
      </c>
      <c r="F7215" s="19" t="str">
        <f>IFERROR(__xludf.DUMMYFUNCTION("""COMPUTED_VALUE"""),"BLUE")</f>
        <v>BLUE</v>
      </c>
      <c r="G7215" s="20" t="str">
        <f>IFERROR(__xludf.DUMMYFUNCTION("""COMPUTED_VALUE"""),"Uncle Sams Cider (04/04/2023)")</f>
        <v>Uncle Sams Cider (04/04/2023)</v>
      </c>
      <c r="H7215" s="19"/>
    </row>
    <row r="7216">
      <c r="A7216" s="9"/>
      <c r="B7216" s="15"/>
      <c r="C7216" s="9">
        <f>IFERROR(__xludf.DUMMYFUNCTION("""COMPUTED_VALUE"""),45068.4400793865)</f>
        <v>45068.44008</v>
      </c>
      <c r="D7216" s="15">
        <f>IFERROR(__xludf.DUMMYFUNCTION("""COMPUTED_VALUE"""),1.011)</f>
        <v>1.011</v>
      </c>
      <c r="E7216" s="16">
        <f>IFERROR(__xludf.DUMMYFUNCTION("""COMPUTED_VALUE"""),65.0)</f>
        <v>65</v>
      </c>
      <c r="F7216" s="19" t="str">
        <f>IFERROR(__xludf.DUMMYFUNCTION("""COMPUTED_VALUE"""),"BLUE")</f>
        <v>BLUE</v>
      </c>
      <c r="G7216" s="20" t="str">
        <f>IFERROR(__xludf.DUMMYFUNCTION("""COMPUTED_VALUE"""),"Uncle Sams Cider (04/04/2023)")</f>
        <v>Uncle Sams Cider (04/04/2023)</v>
      </c>
      <c r="H7216" s="19"/>
    </row>
    <row r="7217">
      <c r="A7217" s="9"/>
      <c r="B7217" s="15"/>
      <c r="C7217" s="9">
        <f>IFERROR(__xludf.DUMMYFUNCTION("""COMPUTED_VALUE"""),45068.4296585301)</f>
        <v>45068.42966</v>
      </c>
      <c r="D7217" s="15">
        <f>IFERROR(__xludf.DUMMYFUNCTION("""COMPUTED_VALUE"""),1.011)</f>
        <v>1.011</v>
      </c>
      <c r="E7217" s="16">
        <f>IFERROR(__xludf.DUMMYFUNCTION("""COMPUTED_VALUE"""),65.0)</f>
        <v>65</v>
      </c>
      <c r="F7217" s="19" t="str">
        <f>IFERROR(__xludf.DUMMYFUNCTION("""COMPUTED_VALUE"""),"BLUE")</f>
        <v>BLUE</v>
      </c>
      <c r="G7217" s="20" t="str">
        <f>IFERROR(__xludf.DUMMYFUNCTION("""COMPUTED_VALUE"""),"Uncle Sams Cider (04/04/2023)")</f>
        <v>Uncle Sams Cider (04/04/2023)</v>
      </c>
      <c r="H7217" s="19"/>
    </row>
    <row r="7218">
      <c r="A7218" s="9"/>
      <c r="B7218" s="15"/>
      <c r="C7218" s="9">
        <f>IFERROR(__xludf.DUMMYFUNCTION("""COMPUTED_VALUE"""),45068.4192379513)</f>
        <v>45068.41924</v>
      </c>
      <c r="D7218" s="15">
        <f>IFERROR(__xludf.DUMMYFUNCTION("""COMPUTED_VALUE"""),1.011)</f>
        <v>1.011</v>
      </c>
      <c r="E7218" s="16">
        <f>IFERROR(__xludf.DUMMYFUNCTION("""COMPUTED_VALUE"""),65.0)</f>
        <v>65</v>
      </c>
      <c r="F7218" s="19" t="str">
        <f>IFERROR(__xludf.DUMMYFUNCTION("""COMPUTED_VALUE"""),"BLUE")</f>
        <v>BLUE</v>
      </c>
      <c r="G7218" s="20" t="str">
        <f>IFERROR(__xludf.DUMMYFUNCTION("""COMPUTED_VALUE"""),"Uncle Sams Cider (04/04/2023)")</f>
        <v>Uncle Sams Cider (04/04/2023)</v>
      </c>
      <c r="H7218" s="19"/>
    </row>
    <row r="7219">
      <c r="A7219" s="9"/>
      <c r="B7219" s="15"/>
      <c r="C7219" s="9">
        <f>IFERROR(__xludf.DUMMYFUNCTION("""COMPUTED_VALUE"""),45068.4088173842)</f>
        <v>45068.40882</v>
      </c>
      <c r="D7219" s="15">
        <f>IFERROR(__xludf.DUMMYFUNCTION("""COMPUTED_VALUE"""),1.011)</f>
        <v>1.011</v>
      </c>
      <c r="E7219" s="16">
        <f>IFERROR(__xludf.DUMMYFUNCTION("""COMPUTED_VALUE"""),65.0)</f>
        <v>65</v>
      </c>
      <c r="F7219" s="19" t="str">
        <f>IFERROR(__xludf.DUMMYFUNCTION("""COMPUTED_VALUE"""),"BLUE")</f>
        <v>BLUE</v>
      </c>
      <c r="G7219" s="20" t="str">
        <f>IFERROR(__xludf.DUMMYFUNCTION("""COMPUTED_VALUE"""),"Uncle Sams Cider (04/04/2023)")</f>
        <v>Uncle Sams Cider (04/04/2023)</v>
      </c>
      <c r="H7219" s="19"/>
    </row>
    <row r="7220">
      <c r="A7220" s="9"/>
      <c r="B7220" s="15"/>
      <c r="C7220" s="9">
        <f>IFERROR(__xludf.DUMMYFUNCTION("""COMPUTED_VALUE"""),45068.3983629282)</f>
        <v>45068.39836</v>
      </c>
      <c r="D7220" s="15">
        <f>IFERROR(__xludf.DUMMYFUNCTION("""COMPUTED_VALUE"""),1.011)</f>
        <v>1.011</v>
      </c>
      <c r="E7220" s="16">
        <f>IFERROR(__xludf.DUMMYFUNCTION("""COMPUTED_VALUE"""),65.0)</f>
        <v>65</v>
      </c>
      <c r="F7220" s="19" t="str">
        <f>IFERROR(__xludf.DUMMYFUNCTION("""COMPUTED_VALUE"""),"BLUE")</f>
        <v>BLUE</v>
      </c>
      <c r="G7220" s="20" t="str">
        <f>IFERROR(__xludf.DUMMYFUNCTION("""COMPUTED_VALUE"""),"Uncle Sams Cider (04/04/2023)")</f>
        <v>Uncle Sams Cider (04/04/2023)</v>
      </c>
      <c r="H7220" s="19"/>
    </row>
    <row r="7221">
      <c r="A7221" s="9"/>
      <c r="B7221" s="15"/>
      <c r="C7221" s="9">
        <f>IFERROR(__xludf.DUMMYFUNCTION("""COMPUTED_VALUE"""),45068.3879415046)</f>
        <v>45068.38794</v>
      </c>
      <c r="D7221" s="15">
        <f>IFERROR(__xludf.DUMMYFUNCTION("""COMPUTED_VALUE"""),1.011)</f>
        <v>1.011</v>
      </c>
      <c r="E7221" s="16">
        <f>IFERROR(__xludf.DUMMYFUNCTION("""COMPUTED_VALUE"""),65.0)</f>
        <v>65</v>
      </c>
      <c r="F7221" s="19" t="str">
        <f>IFERROR(__xludf.DUMMYFUNCTION("""COMPUTED_VALUE"""),"BLUE")</f>
        <v>BLUE</v>
      </c>
      <c r="G7221" s="20" t="str">
        <f>IFERROR(__xludf.DUMMYFUNCTION("""COMPUTED_VALUE"""),"Uncle Sams Cider (04/04/2023)")</f>
        <v>Uncle Sams Cider (04/04/2023)</v>
      </c>
      <c r="H7221" s="19"/>
    </row>
    <row r="7222">
      <c r="A7222" s="9"/>
      <c r="B7222" s="15"/>
      <c r="C7222" s="9">
        <f>IFERROR(__xludf.DUMMYFUNCTION("""COMPUTED_VALUE"""),45068.3670974074)</f>
        <v>45068.3671</v>
      </c>
      <c r="D7222" s="15">
        <f>IFERROR(__xludf.DUMMYFUNCTION("""COMPUTED_VALUE"""),1.011)</f>
        <v>1.011</v>
      </c>
      <c r="E7222" s="16">
        <f>IFERROR(__xludf.DUMMYFUNCTION("""COMPUTED_VALUE"""),65.0)</f>
        <v>65</v>
      </c>
      <c r="F7222" s="19" t="str">
        <f>IFERROR(__xludf.DUMMYFUNCTION("""COMPUTED_VALUE"""),"BLUE")</f>
        <v>BLUE</v>
      </c>
      <c r="G7222" s="20" t="str">
        <f>IFERROR(__xludf.DUMMYFUNCTION("""COMPUTED_VALUE"""),"Uncle Sams Cider (04/04/2023)")</f>
        <v>Uncle Sams Cider (04/04/2023)</v>
      </c>
      <c r="H7222" s="19"/>
    </row>
    <row r="7223">
      <c r="A7223" s="9"/>
      <c r="B7223" s="15"/>
      <c r="C7223" s="9">
        <f>IFERROR(__xludf.DUMMYFUNCTION("""COMPUTED_VALUE"""),45068.3566763773)</f>
        <v>45068.35668</v>
      </c>
      <c r="D7223" s="15">
        <f>IFERROR(__xludf.DUMMYFUNCTION("""COMPUTED_VALUE"""),1.011)</f>
        <v>1.011</v>
      </c>
      <c r="E7223" s="16">
        <f>IFERROR(__xludf.DUMMYFUNCTION("""COMPUTED_VALUE"""),65.0)</f>
        <v>65</v>
      </c>
      <c r="F7223" s="19" t="str">
        <f>IFERROR(__xludf.DUMMYFUNCTION("""COMPUTED_VALUE"""),"BLUE")</f>
        <v>BLUE</v>
      </c>
      <c r="G7223" s="20" t="str">
        <f>IFERROR(__xludf.DUMMYFUNCTION("""COMPUTED_VALUE"""),"Uncle Sams Cider (04/04/2023)")</f>
        <v>Uncle Sams Cider (04/04/2023)</v>
      </c>
      <c r="H7223" s="19"/>
    </row>
    <row r="7224">
      <c r="A7224" s="9"/>
      <c r="B7224" s="15"/>
      <c r="C7224" s="9">
        <f>IFERROR(__xludf.DUMMYFUNCTION("""COMPUTED_VALUE"""),45068.3462563773)</f>
        <v>45068.34626</v>
      </c>
      <c r="D7224" s="15">
        <f>IFERROR(__xludf.DUMMYFUNCTION("""COMPUTED_VALUE"""),1.011)</f>
        <v>1.011</v>
      </c>
      <c r="E7224" s="16">
        <f>IFERROR(__xludf.DUMMYFUNCTION("""COMPUTED_VALUE"""),65.0)</f>
        <v>65</v>
      </c>
      <c r="F7224" s="19" t="str">
        <f>IFERROR(__xludf.DUMMYFUNCTION("""COMPUTED_VALUE"""),"BLUE")</f>
        <v>BLUE</v>
      </c>
      <c r="G7224" s="20" t="str">
        <f>IFERROR(__xludf.DUMMYFUNCTION("""COMPUTED_VALUE"""),"Uncle Sams Cider (04/04/2023)")</f>
        <v>Uncle Sams Cider (04/04/2023)</v>
      </c>
      <c r="H7224" s="19"/>
    </row>
    <row r="7225">
      <c r="A7225" s="9"/>
      <c r="B7225" s="15"/>
      <c r="C7225" s="9">
        <f>IFERROR(__xludf.DUMMYFUNCTION("""COMPUTED_VALUE"""),45068.3358229282)</f>
        <v>45068.33582</v>
      </c>
      <c r="D7225" s="15">
        <f>IFERROR(__xludf.DUMMYFUNCTION("""COMPUTED_VALUE"""),1.011)</f>
        <v>1.011</v>
      </c>
      <c r="E7225" s="16">
        <f>IFERROR(__xludf.DUMMYFUNCTION("""COMPUTED_VALUE"""),65.0)</f>
        <v>65</v>
      </c>
      <c r="F7225" s="19" t="str">
        <f>IFERROR(__xludf.DUMMYFUNCTION("""COMPUTED_VALUE"""),"BLUE")</f>
        <v>BLUE</v>
      </c>
      <c r="G7225" s="20" t="str">
        <f>IFERROR(__xludf.DUMMYFUNCTION("""COMPUTED_VALUE"""),"Uncle Sams Cider (04/04/2023)")</f>
        <v>Uncle Sams Cider (04/04/2023)</v>
      </c>
      <c r="H7225" s="19"/>
    </row>
    <row r="7226">
      <c r="A7226" s="9"/>
      <c r="B7226" s="15"/>
      <c r="C7226" s="9">
        <f>IFERROR(__xludf.DUMMYFUNCTION("""COMPUTED_VALUE"""),45068.3254011805)</f>
        <v>45068.3254</v>
      </c>
      <c r="D7226" s="15">
        <f>IFERROR(__xludf.DUMMYFUNCTION("""COMPUTED_VALUE"""),1.011)</f>
        <v>1.011</v>
      </c>
      <c r="E7226" s="16">
        <f>IFERROR(__xludf.DUMMYFUNCTION("""COMPUTED_VALUE"""),65.0)</f>
        <v>65</v>
      </c>
      <c r="F7226" s="19" t="str">
        <f>IFERROR(__xludf.DUMMYFUNCTION("""COMPUTED_VALUE"""),"BLUE")</f>
        <v>BLUE</v>
      </c>
      <c r="G7226" s="20" t="str">
        <f>IFERROR(__xludf.DUMMYFUNCTION("""COMPUTED_VALUE"""),"Uncle Sams Cider (04/04/2023)")</f>
        <v>Uncle Sams Cider (04/04/2023)</v>
      </c>
      <c r="H7226" s="19"/>
    </row>
    <row r="7227">
      <c r="A7227" s="9"/>
      <c r="B7227" s="15"/>
      <c r="C7227" s="9">
        <f>IFERROR(__xludf.DUMMYFUNCTION("""COMPUTED_VALUE"""),45068.3149798379)</f>
        <v>45068.31498</v>
      </c>
      <c r="D7227" s="15">
        <f>IFERROR(__xludf.DUMMYFUNCTION("""COMPUTED_VALUE"""),1.012)</f>
        <v>1.012</v>
      </c>
      <c r="E7227" s="16">
        <f>IFERROR(__xludf.DUMMYFUNCTION("""COMPUTED_VALUE"""),65.0)</f>
        <v>65</v>
      </c>
      <c r="F7227" s="19" t="str">
        <f>IFERROR(__xludf.DUMMYFUNCTION("""COMPUTED_VALUE"""),"BLUE")</f>
        <v>BLUE</v>
      </c>
      <c r="G7227" s="20" t="str">
        <f>IFERROR(__xludf.DUMMYFUNCTION("""COMPUTED_VALUE"""),"Uncle Sams Cider (04/04/2023)")</f>
        <v>Uncle Sams Cider (04/04/2023)</v>
      </c>
      <c r="H7227" s="19"/>
    </row>
    <row r="7228">
      <c r="A7228" s="9"/>
      <c r="B7228" s="15"/>
      <c r="C7228" s="9">
        <f>IFERROR(__xludf.DUMMYFUNCTION("""COMPUTED_VALUE"""),45068.3045587037)</f>
        <v>45068.30456</v>
      </c>
      <c r="D7228" s="15">
        <f>IFERROR(__xludf.DUMMYFUNCTION("""COMPUTED_VALUE"""),1.012)</f>
        <v>1.012</v>
      </c>
      <c r="E7228" s="16">
        <f>IFERROR(__xludf.DUMMYFUNCTION("""COMPUTED_VALUE"""),65.0)</f>
        <v>65</v>
      </c>
      <c r="F7228" s="19" t="str">
        <f>IFERROR(__xludf.DUMMYFUNCTION("""COMPUTED_VALUE"""),"BLUE")</f>
        <v>BLUE</v>
      </c>
      <c r="G7228" s="20" t="str">
        <f>IFERROR(__xludf.DUMMYFUNCTION("""COMPUTED_VALUE"""),"Uncle Sams Cider (04/04/2023)")</f>
        <v>Uncle Sams Cider (04/04/2023)</v>
      </c>
      <c r="H7228" s="19"/>
    </row>
    <row r="7229">
      <c r="A7229" s="9"/>
      <c r="B7229" s="15"/>
      <c r="C7229" s="9">
        <f>IFERROR(__xludf.DUMMYFUNCTION("""COMPUTED_VALUE"""),45068.2941386574)</f>
        <v>45068.29414</v>
      </c>
      <c r="D7229" s="15">
        <f>IFERROR(__xludf.DUMMYFUNCTION("""COMPUTED_VALUE"""),1.011)</f>
        <v>1.011</v>
      </c>
      <c r="E7229" s="16">
        <f>IFERROR(__xludf.DUMMYFUNCTION("""COMPUTED_VALUE"""),65.0)</f>
        <v>65</v>
      </c>
      <c r="F7229" s="19" t="str">
        <f>IFERROR(__xludf.DUMMYFUNCTION("""COMPUTED_VALUE"""),"BLUE")</f>
        <v>BLUE</v>
      </c>
      <c r="G7229" s="20" t="str">
        <f>IFERROR(__xludf.DUMMYFUNCTION("""COMPUTED_VALUE"""),"Uncle Sams Cider (04/04/2023)")</f>
        <v>Uncle Sams Cider (04/04/2023)</v>
      </c>
      <c r="H7229" s="19"/>
    </row>
    <row r="7230">
      <c r="A7230" s="9"/>
      <c r="B7230" s="15"/>
      <c r="C7230" s="9">
        <f>IFERROR(__xludf.DUMMYFUNCTION("""COMPUTED_VALUE"""),45068.2837062152)</f>
        <v>45068.28371</v>
      </c>
      <c r="D7230" s="15">
        <f>IFERROR(__xludf.DUMMYFUNCTION("""COMPUTED_VALUE"""),1.011)</f>
        <v>1.011</v>
      </c>
      <c r="E7230" s="16">
        <f>IFERROR(__xludf.DUMMYFUNCTION("""COMPUTED_VALUE"""),65.0)</f>
        <v>65</v>
      </c>
      <c r="F7230" s="19" t="str">
        <f>IFERROR(__xludf.DUMMYFUNCTION("""COMPUTED_VALUE"""),"BLUE")</f>
        <v>BLUE</v>
      </c>
      <c r="G7230" s="20" t="str">
        <f>IFERROR(__xludf.DUMMYFUNCTION("""COMPUTED_VALUE"""),"Uncle Sams Cider (04/04/2023)")</f>
        <v>Uncle Sams Cider (04/04/2023)</v>
      </c>
      <c r="H7230" s="19"/>
    </row>
    <row r="7231">
      <c r="A7231" s="9"/>
      <c r="B7231" s="15"/>
      <c r="C7231" s="9">
        <f>IFERROR(__xludf.DUMMYFUNCTION("""COMPUTED_VALUE"""),45068.2732723842)</f>
        <v>45068.27327</v>
      </c>
      <c r="D7231" s="15">
        <f>IFERROR(__xludf.DUMMYFUNCTION("""COMPUTED_VALUE"""),1.011)</f>
        <v>1.011</v>
      </c>
      <c r="E7231" s="16">
        <f>IFERROR(__xludf.DUMMYFUNCTION("""COMPUTED_VALUE"""),65.0)</f>
        <v>65</v>
      </c>
      <c r="F7231" s="19" t="str">
        <f>IFERROR(__xludf.DUMMYFUNCTION("""COMPUTED_VALUE"""),"BLUE")</f>
        <v>BLUE</v>
      </c>
      <c r="G7231" s="20" t="str">
        <f>IFERROR(__xludf.DUMMYFUNCTION("""COMPUTED_VALUE"""),"Uncle Sams Cider (04/04/2023)")</f>
        <v>Uncle Sams Cider (04/04/2023)</v>
      </c>
      <c r="H7231" s="19"/>
    </row>
    <row r="7232">
      <c r="A7232" s="9"/>
      <c r="B7232" s="15"/>
      <c r="C7232" s="9">
        <f>IFERROR(__xludf.DUMMYFUNCTION("""COMPUTED_VALUE"""),45068.2628490625)</f>
        <v>45068.26285</v>
      </c>
      <c r="D7232" s="15">
        <f>IFERROR(__xludf.DUMMYFUNCTION("""COMPUTED_VALUE"""),1.011)</f>
        <v>1.011</v>
      </c>
      <c r="E7232" s="16">
        <f>IFERROR(__xludf.DUMMYFUNCTION("""COMPUTED_VALUE"""),65.0)</f>
        <v>65</v>
      </c>
      <c r="F7232" s="19" t="str">
        <f>IFERROR(__xludf.DUMMYFUNCTION("""COMPUTED_VALUE"""),"BLUE")</f>
        <v>BLUE</v>
      </c>
      <c r="G7232" s="20" t="str">
        <f>IFERROR(__xludf.DUMMYFUNCTION("""COMPUTED_VALUE"""),"Uncle Sams Cider (04/04/2023)")</f>
        <v>Uncle Sams Cider (04/04/2023)</v>
      </c>
      <c r="H7232" s="19"/>
    </row>
    <row r="7233">
      <c r="A7233" s="9"/>
      <c r="B7233" s="15"/>
      <c r="C7233" s="9">
        <f>IFERROR(__xludf.DUMMYFUNCTION("""COMPUTED_VALUE"""),45068.2524168402)</f>
        <v>45068.25242</v>
      </c>
      <c r="D7233" s="15">
        <f>IFERROR(__xludf.DUMMYFUNCTION("""COMPUTED_VALUE"""),1.012)</f>
        <v>1.012</v>
      </c>
      <c r="E7233" s="16">
        <f>IFERROR(__xludf.DUMMYFUNCTION("""COMPUTED_VALUE"""),65.0)</f>
        <v>65</v>
      </c>
      <c r="F7233" s="19" t="str">
        <f>IFERROR(__xludf.DUMMYFUNCTION("""COMPUTED_VALUE"""),"BLUE")</f>
        <v>BLUE</v>
      </c>
      <c r="G7233" s="20" t="str">
        <f>IFERROR(__xludf.DUMMYFUNCTION("""COMPUTED_VALUE"""),"Uncle Sams Cider (04/04/2023)")</f>
        <v>Uncle Sams Cider (04/04/2023)</v>
      </c>
      <c r="H7233" s="19"/>
    </row>
    <row r="7234">
      <c r="A7234" s="9"/>
      <c r="B7234" s="15"/>
      <c r="C7234" s="9">
        <f>IFERROR(__xludf.DUMMYFUNCTION("""COMPUTED_VALUE"""),45068.241995949)</f>
        <v>45068.242</v>
      </c>
      <c r="D7234" s="15">
        <f>IFERROR(__xludf.DUMMYFUNCTION("""COMPUTED_VALUE"""),1.011)</f>
        <v>1.011</v>
      </c>
      <c r="E7234" s="16">
        <f>IFERROR(__xludf.DUMMYFUNCTION("""COMPUTED_VALUE"""),65.0)</f>
        <v>65</v>
      </c>
      <c r="F7234" s="19" t="str">
        <f>IFERROR(__xludf.DUMMYFUNCTION("""COMPUTED_VALUE"""),"BLUE")</f>
        <v>BLUE</v>
      </c>
      <c r="G7234" s="20" t="str">
        <f>IFERROR(__xludf.DUMMYFUNCTION("""COMPUTED_VALUE"""),"Uncle Sams Cider (04/04/2023)")</f>
        <v>Uncle Sams Cider (04/04/2023)</v>
      </c>
      <c r="H7234" s="19"/>
    </row>
    <row r="7235">
      <c r="A7235" s="9"/>
      <c r="B7235" s="15"/>
      <c r="C7235" s="9">
        <f>IFERROR(__xludf.DUMMYFUNCTION("""COMPUTED_VALUE"""),45068.2315745717)</f>
        <v>45068.23157</v>
      </c>
      <c r="D7235" s="15">
        <f>IFERROR(__xludf.DUMMYFUNCTION("""COMPUTED_VALUE"""),1.012)</f>
        <v>1.012</v>
      </c>
      <c r="E7235" s="16">
        <f>IFERROR(__xludf.DUMMYFUNCTION("""COMPUTED_VALUE"""),65.0)</f>
        <v>65</v>
      </c>
      <c r="F7235" s="19" t="str">
        <f>IFERROR(__xludf.DUMMYFUNCTION("""COMPUTED_VALUE"""),"BLUE")</f>
        <v>BLUE</v>
      </c>
      <c r="G7235" s="20" t="str">
        <f>IFERROR(__xludf.DUMMYFUNCTION("""COMPUTED_VALUE"""),"Uncle Sams Cider (04/04/2023)")</f>
        <v>Uncle Sams Cider (04/04/2023)</v>
      </c>
      <c r="H7235" s="19"/>
    </row>
    <row r="7236">
      <c r="A7236" s="9"/>
      <c r="B7236" s="15"/>
      <c r="C7236" s="9">
        <f>IFERROR(__xludf.DUMMYFUNCTION("""COMPUTED_VALUE"""),45068.2211278819)</f>
        <v>45068.22113</v>
      </c>
      <c r="D7236" s="15">
        <f>IFERROR(__xludf.DUMMYFUNCTION("""COMPUTED_VALUE"""),1.011)</f>
        <v>1.011</v>
      </c>
      <c r="E7236" s="16">
        <f>IFERROR(__xludf.DUMMYFUNCTION("""COMPUTED_VALUE"""),65.0)</f>
        <v>65</v>
      </c>
      <c r="F7236" s="19" t="str">
        <f>IFERROR(__xludf.DUMMYFUNCTION("""COMPUTED_VALUE"""),"BLUE")</f>
        <v>BLUE</v>
      </c>
      <c r="G7236" s="20" t="str">
        <f>IFERROR(__xludf.DUMMYFUNCTION("""COMPUTED_VALUE"""),"Uncle Sams Cider (04/04/2023)")</f>
        <v>Uncle Sams Cider (04/04/2023)</v>
      </c>
      <c r="H7236" s="19"/>
    </row>
    <row r="7237">
      <c r="A7237" s="9"/>
      <c r="B7237" s="15"/>
      <c r="C7237" s="9">
        <f>IFERROR(__xludf.DUMMYFUNCTION("""COMPUTED_VALUE"""),45068.2107085532)</f>
        <v>45068.21071</v>
      </c>
      <c r="D7237" s="15">
        <f>IFERROR(__xludf.DUMMYFUNCTION("""COMPUTED_VALUE"""),1.011)</f>
        <v>1.011</v>
      </c>
      <c r="E7237" s="16">
        <f>IFERROR(__xludf.DUMMYFUNCTION("""COMPUTED_VALUE"""),65.0)</f>
        <v>65</v>
      </c>
      <c r="F7237" s="19" t="str">
        <f>IFERROR(__xludf.DUMMYFUNCTION("""COMPUTED_VALUE"""),"BLUE")</f>
        <v>BLUE</v>
      </c>
      <c r="G7237" s="20" t="str">
        <f>IFERROR(__xludf.DUMMYFUNCTION("""COMPUTED_VALUE"""),"Uncle Sams Cider (04/04/2023)")</f>
        <v>Uncle Sams Cider (04/04/2023)</v>
      </c>
      <c r="H7237" s="19"/>
    </row>
    <row r="7238">
      <c r="A7238" s="9"/>
      <c r="B7238" s="15"/>
      <c r="C7238" s="9">
        <f>IFERROR(__xludf.DUMMYFUNCTION("""COMPUTED_VALUE"""),45068.2002872106)</f>
        <v>45068.20029</v>
      </c>
      <c r="D7238" s="15">
        <f>IFERROR(__xludf.DUMMYFUNCTION("""COMPUTED_VALUE"""),1.012)</f>
        <v>1.012</v>
      </c>
      <c r="E7238" s="16">
        <f>IFERROR(__xludf.DUMMYFUNCTION("""COMPUTED_VALUE"""),65.0)</f>
        <v>65</v>
      </c>
      <c r="F7238" s="19" t="str">
        <f>IFERROR(__xludf.DUMMYFUNCTION("""COMPUTED_VALUE"""),"BLUE")</f>
        <v>BLUE</v>
      </c>
      <c r="G7238" s="20" t="str">
        <f>IFERROR(__xludf.DUMMYFUNCTION("""COMPUTED_VALUE"""),"Uncle Sams Cider (04/04/2023)")</f>
        <v>Uncle Sams Cider (04/04/2023)</v>
      </c>
      <c r="H7238" s="19"/>
    </row>
    <row r="7239">
      <c r="A7239" s="9"/>
      <c r="B7239" s="15"/>
      <c r="C7239" s="9">
        <f>IFERROR(__xludf.DUMMYFUNCTION("""COMPUTED_VALUE"""),45068.1898664699)</f>
        <v>45068.18987</v>
      </c>
      <c r="D7239" s="15">
        <f>IFERROR(__xludf.DUMMYFUNCTION("""COMPUTED_VALUE"""),1.012)</f>
        <v>1.012</v>
      </c>
      <c r="E7239" s="16">
        <f>IFERROR(__xludf.DUMMYFUNCTION("""COMPUTED_VALUE"""),65.0)</f>
        <v>65</v>
      </c>
      <c r="F7239" s="19" t="str">
        <f>IFERROR(__xludf.DUMMYFUNCTION("""COMPUTED_VALUE"""),"BLUE")</f>
        <v>BLUE</v>
      </c>
      <c r="G7239" s="20" t="str">
        <f>IFERROR(__xludf.DUMMYFUNCTION("""COMPUTED_VALUE"""),"Uncle Sams Cider (04/04/2023)")</f>
        <v>Uncle Sams Cider (04/04/2023)</v>
      </c>
      <c r="H7239" s="19"/>
    </row>
    <row r="7240">
      <c r="A7240" s="9"/>
      <c r="B7240" s="15"/>
      <c r="C7240" s="9">
        <f>IFERROR(__xludf.DUMMYFUNCTION("""COMPUTED_VALUE"""),45068.1794449421)</f>
        <v>45068.17944</v>
      </c>
      <c r="D7240" s="15">
        <f>IFERROR(__xludf.DUMMYFUNCTION("""COMPUTED_VALUE"""),1.012)</f>
        <v>1.012</v>
      </c>
      <c r="E7240" s="16">
        <f>IFERROR(__xludf.DUMMYFUNCTION("""COMPUTED_VALUE"""),65.0)</f>
        <v>65</v>
      </c>
      <c r="F7240" s="19" t="str">
        <f>IFERROR(__xludf.DUMMYFUNCTION("""COMPUTED_VALUE"""),"BLUE")</f>
        <v>BLUE</v>
      </c>
      <c r="G7240" s="20" t="str">
        <f>IFERROR(__xludf.DUMMYFUNCTION("""COMPUTED_VALUE"""),"Uncle Sams Cider (04/04/2023)")</f>
        <v>Uncle Sams Cider (04/04/2023)</v>
      </c>
      <c r="H7240" s="19"/>
    </row>
    <row r="7241">
      <c r="A7241" s="9"/>
      <c r="B7241" s="15"/>
      <c r="C7241" s="9">
        <f>IFERROR(__xludf.DUMMYFUNCTION("""COMPUTED_VALUE"""),45068.1690216319)</f>
        <v>45068.16902</v>
      </c>
      <c r="D7241" s="15">
        <f>IFERROR(__xludf.DUMMYFUNCTION("""COMPUTED_VALUE"""),1.011)</f>
        <v>1.011</v>
      </c>
      <c r="E7241" s="16">
        <f>IFERROR(__xludf.DUMMYFUNCTION("""COMPUTED_VALUE"""),65.0)</f>
        <v>65</v>
      </c>
      <c r="F7241" s="19" t="str">
        <f>IFERROR(__xludf.DUMMYFUNCTION("""COMPUTED_VALUE"""),"BLUE")</f>
        <v>BLUE</v>
      </c>
      <c r="G7241" s="20" t="str">
        <f>IFERROR(__xludf.DUMMYFUNCTION("""COMPUTED_VALUE"""),"Uncle Sams Cider (04/04/2023)")</f>
        <v>Uncle Sams Cider (04/04/2023)</v>
      </c>
      <c r="H7241" s="19"/>
    </row>
    <row r="7242">
      <c r="A7242" s="9"/>
      <c r="B7242" s="15"/>
      <c r="C7242" s="9">
        <f>IFERROR(__xludf.DUMMYFUNCTION("""COMPUTED_VALUE"""),45068.1585992361)</f>
        <v>45068.1586</v>
      </c>
      <c r="D7242" s="15">
        <f>IFERROR(__xludf.DUMMYFUNCTION("""COMPUTED_VALUE"""),1.011)</f>
        <v>1.011</v>
      </c>
      <c r="E7242" s="16">
        <f>IFERROR(__xludf.DUMMYFUNCTION("""COMPUTED_VALUE"""),65.0)</f>
        <v>65</v>
      </c>
      <c r="F7242" s="19" t="str">
        <f>IFERROR(__xludf.DUMMYFUNCTION("""COMPUTED_VALUE"""),"BLUE")</f>
        <v>BLUE</v>
      </c>
      <c r="G7242" s="20" t="str">
        <f>IFERROR(__xludf.DUMMYFUNCTION("""COMPUTED_VALUE"""),"Uncle Sams Cider (04/04/2023)")</f>
        <v>Uncle Sams Cider (04/04/2023)</v>
      </c>
      <c r="H7242" s="19"/>
    </row>
    <row r="7243">
      <c r="A7243" s="9"/>
      <c r="B7243" s="15"/>
      <c r="C7243" s="9">
        <f>IFERROR(__xludf.DUMMYFUNCTION("""COMPUTED_VALUE"""),45068.1481549768)</f>
        <v>45068.14815</v>
      </c>
      <c r="D7243" s="15">
        <f>IFERROR(__xludf.DUMMYFUNCTION("""COMPUTED_VALUE"""),1.011)</f>
        <v>1.011</v>
      </c>
      <c r="E7243" s="16">
        <f>IFERROR(__xludf.DUMMYFUNCTION("""COMPUTED_VALUE"""),65.0)</f>
        <v>65</v>
      </c>
      <c r="F7243" s="19" t="str">
        <f>IFERROR(__xludf.DUMMYFUNCTION("""COMPUTED_VALUE"""),"BLUE")</f>
        <v>BLUE</v>
      </c>
      <c r="G7243" s="20" t="str">
        <f>IFERROR(__xludf.DUMMYFUNCTION("""COMPUTED_VALUE"""),"Uncle Sams Cider (04/04/2023)")</f>
        <v>Uncle Sams Cider (04/04/2023)</v>
      </c>
      <c r="H7243" s="19"/>
    </row>
    <row r="7244">
      <c r="A7244" s="9"/>
      <c r="B7244" s="15"/>
      <c r="C7244" s="9">
        <f>IFERROR(__xludf.DUMMYFUNCTION("""COMPUTED_VALUE"""),45068.1377345601)</f>
        <v>45068.13773</v>
      </c>
      <c r="D7244" s="15">
        <f>IFERROR(__xludf.DUMMYFUNCTION("""COMPUTED_VALUE"""),1.011)</f>
        <v>1.011</v>
      </c>
      <c r="E7244" s="16">
        <f>IFERROR(__xludf.DUMMYFUNCTION("""COMPUTED_VALUE"""),65.0)</f>
        <v>65</v>
      </c>
      <c r="F7244" s="19" t="str">
        <f>IFERROR(__xludf.DUMMYFUNCTION("""COMPUTED_VALUE"""),"BLUE")</f>
        <v>BLUE</v>
      </c>
      <c r="G7244" s="20" t="str">
        <f>IFERROR(__xludf.DUMMYFUNCTION("""COMPUTED_VALUE"""),"Uncle Sams Cider (04/04/2023)")</f>
        <v>Uncle Sams Cider (04/04/2023)</v>
      </c>
      <c r="H7244" s="19"/>
    </row>
    <row r="7245">
      <c r="A7245" s="9"/>
      <c r="B7245" s="15"/>
      <c r="C7245" s="9">
        <f>IFERROR(__xludf.DUMMYFUNCTION("""COMPUTED_VALUE"""),45068.1273119791)</f>
        <v>45068.12731</v>
      </c>
      <c r="D7245" s="15">
        <f>IFERROR(__xludf.DUMMYFUNCTION("""COMPUTED_VALUE"""),1.012)</f>
        <v>1.012</v>
      </c>
      <c r="E7245" s="16">
        <f>IFERROR(__xludf.DUMMYFUNCTION("""COMPUTED_VALUE"""),65.0)</f>
        <v>65</v>
      </c>
      <c r="F7245" s="19" t="str">
        <f>IFERROR(__xludf.DUMMYFUNCTION("""COMPUTED_VALUE"""),"BLUE")</f>
        <v>BLUE</v>
      </c>
      <c r="G7245" s="20" t="str">
        <f>IFERROR(__xludf.DUMMYFUNCTION("""COMPUTED_VALUE"""),"Uncle Sams Cider (04/04/2023)")</f>
        <v>Uncle Sams Cider (04/04/2023)</v>
      </c>
      <c r="H7245" s="19"/>
    </row>
    <row r="7246">
      <c r="A7246" s="9"/>
      <c r="B7246" s="15"/>
      <c r="C7246" s="9">
        <f>IFERROR(__xludf.DUMMYFUNCTION("""COMPUTED_VALUE"""),45068.1168923726)</f>
        <v>45068.11689</v>
      </c>
      <c r="D7246" s="15">
        <f>IFERROR(__xludf.DUMMYFUNCTION("""COMPUTED_VALUE"""),1.011)</f>
        <v>1.011</v>
      </c>
      <c r="E7246" s="16">
        <f>IFERROR(__xludf.DUMMYFUNCTION("""COMPUTED_VALUE"""),65.0)</f>
        <v>65</v>
      </c>
      <c r="F7246" s="19" t="str">
        <f>IFERROR(__xludf.DUMMYFUNCTION("""COMPUTED_VALUE"""),"BLUE")</f>
        <v>BLUE</v>
      </c>
      <c r="G7246" s="20" t="str">
        <f>IFERROR(__xludf.DUMMYFUNCTION("""COMPUTED_VALUE"""),"Uncle Sams Cider (04/04/2023)")</f>
        <v>Uncle Sams Cider (04/04/2023)</v>
      </c>
      <c r="H7246" s="19"/>
    </row>
    <row r="7247">
      <c r="A7247" s="9"/>
      <c r="B7247" s="15"/>
      <c r="C7247" s="9">
        <f>IFERROR(__xludf.DUMMYFUNCTION("""COMPUTED_VALUE"""),45068.1064707638)</f>
        <v>45068.10647</v>
      </c>
      <c r="D7247" s="15">
        <f>IFERROR(__xludf.DUMMYFUNCTION("""COMPUTED_VALUE"""),1.012)</f>
        <v>1.012</v>
      </c>
      <c r="E7247" s="16">
        <f>IFERROR(__xludf.DUMMYFUNCTION("""COMPUTED_VALUE"""),65.0)</f>
        <v>65</v>
      </c>
      <c r="F7247" s="19" t="str">
        <f>IFERROR(__xludf.DUMMYFUNCTION("""COMPUTED_VALUE"""),"BLUE")</f>
        <v>BLUE</v>
      </c>
      <c r="G7247" s="20" t="str">
        <f>IFERROR(__xludf.DUMMYFUNCTION("""COMPUTED_VALUE"""),"Uncle Sams Cider (04/04/2023)")</f>
        <v>Uncle Sams Cider (04/04/2023)</v>
      </c>
      <c r="H7247" s="19"/>
    </row>
    <row r="7248">
      <c r="A7248" s="9"/>
      <c r="B7248" s="15"/>
      <c r="C7248" s="9">
        <f>IFERROR(__xludf.DUMMYFUNCTION("""COMPUTED_VALUE"""),45068.0960507523)</f>
        <v>45068.09605</v>
      </c>
      <c r="D7248" s="15">
        <f>IFERROR(__xludf.DUMMYFUNCTION("""COMPUTED_VALUE"""),1.011)</f>
        <v>1.011</v>
      </c>
      <c r="E7248" s="16">
        <f>IFERROR(__xludf.DUMMYFUNCTION("""COMPUTED_VALUE"""),65.0)</f>
        <v>65</v>
      </c>
      <c r="F7248" s="19" t="str">
        <f>IFERROR(__xludf.DUMMYFUNCTION("""COMPUTED_VALUE"""),"BLUE")</f>
        <v>BLUE</v>
      </c>
      <c r="G7248" s="20" t="str">
        <f>IFERROR(__xludf.DUMMYFUNCTION("""COMPUTED_VALUE"""),"Uncle Sams Cider (04/04/2023)")</f>
        <v>Uncle Sams Cider (04/04/2023)</v>
      </c>
      <c r="H7248" s="19"/>
    </row>
    <row r="7249">
      <c r="A7249" s="9"/>
      <c r="B7249" s="15"/>
      <c r="C7249" s="9">
        <f>IFERROR(__xludf.DUMMYFUNCTION("""COMPUTED_VALUE"""),45068.0856291782)</f>
        <v>45068.08563</v>
      </c>
      <c r="D7249" s="15">
        <f>IFERROR(__xludf.DUMMYFUNCTION("""COMPUTED_VALUE"""),1.011)</f>
        <v>1.011</v>
      </c>
      <c r="E7249" s="16">
        <f>IFERROR(__xludf.DUMMYFUNCTION("""COMPUTED_VALUE"""),65.0)</f>
        <v>65</v>
      </c>
      <c r="F7249" s="19" t="str">
        <f>IFERROR(__xludf.DUMMYFUNCTION("""COMPUTED_VALUE"""),"BLUE")</f>
        <v>BLUE</v>
      </c>
      <c r="G7249" s="20" t="str">
        <f>IFERROR(__xludf.DUMMYFUNCTION("""COMPUTED_VALUE"""),"Uncle Sams Cider (04/04/2023)")</f>
        <v>Uncle Sams Cider (04/04/2023)</v>
      </c>
      <c r="H7249" s="19"/>
    </row>
    <row r="7250">
      <c r="A7250" s="9"/>
      <c r="B7250" s="15"/>
      <c r="C7250" s="9">
        <f>IFERROR(__xludf.DUMMYFUNCTION("""COMPUTED_VALUE"""),45068.075207118)</f>
        <v>45068.07521</v>
      </c>
      <c r="D7250" s="15">
        <f>IFERROR(__xludf.DUMMYFUNCTION("""COMPUTED_VALUE"""),1.012)</f>
        <v>1.012</v>
      </c>
      <c r="E7250" s="16">
        <f>IFERROR(__xludf.DUMMYFUNCTION("""COMPUTED_VALUE"""),65.0)</f>
        <v>65</v>
      </c>
      <c r="F7250" s="19" t="str">
        <f>IFERROR(__xludf.DUMMYFUNCTION("""COMPUTED_VALUE"""),"BLUE")</f>
        <v>BLUE</v>
      </c>
      <c r="G7250" s="20" t="str">
        <f>IFERROR(__xludf.DUMMYFUNCTION("""COMPUTED_VALUE"""),"Uncle Sams Cider (04/04/2023)")</f>
        <v>Uncle Sams Cider (04/04/2023)</v>
      </c>
      <c r="H7250" s="19"/>
    </row>
    <row r="7251">
      <c r="A7251" s="9"/>
      <c r="B7251" s="15"/>
      <c r="C7251" s="9">
        <f>IFERROR(__xludf.DUMMYFUNCTION("""COMPUTED_VALUE"""),45068.0647755208)</f>
        <v>45068.06478</v>
      </c>
      <c r="D7251" s="15">
        <f>IFERROR(__xludf.DUMMYFUNCTION("""COMPUTED_VALUE"""),1.012)</f>
        <v>1.012</v>
      </c>
      <c r="E7251" s="16">
        <f>IFERROR(__xludf.DUMMYFUNCTION("""COMPUTED_VALUE"""),65.0)</f>
        <v>65</v>
      </c>
      <c r="F7251" s="19" t="str">
        <f>IFERROR(__xludf.DUMMYFUNCTION("""COMPUTED_VALUE"""),"BLUE")</f>
        <v>BLUE</v>
      </c>
      <c r="G7251" s="20" t="str">
        <f>IFERROR(__xludf.DUMMYFUNCTION("""COMPUTED_VALUE"""),"Uncle Sams Cider (04/04/2023)")</f>
        <v>Uncle Sams Cider (04/04/2023)</v>
      </c>
      <c r="H7251" s="19"/>
    </row>
    <row r="7252">
      <c r="A7252" s="9"/>
      <c r="B7252" s="15"/>
      <c r="C7252" s="9">
        <f>IFERROR(__xludf.DUMMYFUNCTION("""COMPUTED_VALUE"""),45068.0543537615)</f>
        <v>45068.05435</v>
      </c>
      <c r="D7252" s="15">
        <f>IFERROR(__xludf.DUMMYFUNCTION("""COMPUTED_VALUE"""),1.012)</f>
        <v>1.012</v>
      </c>
      <c r="E7252" s="16">
        <f>IFERROR(__xludf.DUMMYFUNCTION("""COMPUTED_VALUE"""),65.0)</f>
        <v>65</v>
      </c>
      <c r="F7252" s="19" t="str">
        <f>IFERROR(__xludf.DUMMYFUNCTION("""COMPUTED_VALUE"""),"BLUE")</f>
        <v>BLUE</v>
      </c>
      <c r="G7252" s="20" t="str">
        <f>IFERROR(__xludf.DUMMYFUNCTION("""COMPUTED_VALUE"""),"Uncle Sams Cider (04/04/2023)")</f>
        <v>Uncle Sams Cider (04/04/2023)</v>
      </c>
      <c r="H7252" s="19"/>
    </row>
    <row r="7253">
      <c r="A7253" s="9"/>
      <c r="B7253" s="15"/>
      <c r="C7253" s="9">
        <f>IFERROR(__xludf.DUMMYFUNCTION("""COMPUTED_VALUE"""),45068.0439203356)</f>
        <v>45068.04392</v>
      </c>
      <c r="D7253" s="15">
        <f>IFERROR(__xludf.DUMMYFUNCTION("""COMPUTED_VALUE"""),1.012)</f>
        <v>1.012</v>
      </c>
      <c r="E7253" s="16">
        <f>IFERROR(__xludf.DUMMYFUNCTION("""COMPUTED_VALUE"""),65.0)</f>
        <v>65</v>
      </c>
      <c r="F7253" s="19" t="str">
        <f>IFERROR(__xludf.DUMMYFUNCTION("""COMPUTED_VALUE"""),"BLUE")</f>
        <v>BLUE</v>
      </c>
      <c r="G7253" s="20" t="str">
        <f>IFERROR(__xludf.DUMMYFUNCTION("""COMPUTED_VALUE"""),"Uncle Sams Cider (04/04/2023)")</f>
        <v>Uncle Sams Cider (04/04/2023)</v>
      </c>
      <c r="H7253" s="19"/>
    </row>
    <row r="7254">
      <c r="A7254" s="9"/>
      <c r="B7254" s="15"/>
      <c r="C7254" s="9">
        <f>IFERROR(__xludf.DUMMYFUNCTION("""COMPUTED_VALUE"""),45068.0335004513)</f>
        <v>45068.0335</v>
      </c>
      <c r="D7254" s="15">
        <f>IFERROR(__xludf.DUMMYFUNCTION("""COMPUTED_VALUE"""),1.011)</f>
        <v>1.011</v>
      </c>
      <c r="E7254" s="16">
        <f>IFERROR(__xludf.DUMMYFUNCTION("""COMPUTED_VALUE"""),65.0)</f>
        <v>65</v>
      </c>
      <c r="F7254" s="19" t="str">
        <f>IFERROR(__xludf.DUMMYFUNCTION("""COMPUTED_VALUE"""),"BLUE")</f>
        <v>BLUE</v>
      </c>
      <c r="G7254" s="20" t="str">
        <f>IFERROR(__xludf.DUMMYFUNCTION("""COMPUTED_VALUE"""),"Uncle Sams Cider (04/04/2023)")</f>
        <v>Uncle Sams Cider (04/04/2023)</v>
      </c>
      <c r="H7254" s="19"/>
    </row>
    <row r="7255">
      <c r="A7255" s="9"/>
      <c r="B7255" s="15"/>
      <c r="C7255" s="9">
        <f>IFERROR(__xludf.DUMMYFUNCTION("""COMPUTED_VALUE"""),45068.0230798495)</f>
        <v>45068.02308</v>
      </c>
      <c r="D7255" s="15">
        <f>IFERROR(__xludf.DUMMYFUNCTION("""COMPUTED_VALUE"""),1.012)</f>
        <v>1.012</v>
      </c>
      <c r="E7255" s="16">
        <f>IFERROR(__xludf.DUMMYFUNCTION("""COMPUTED_VALUE"""),65.0)</f>
        <v>65</v>
      </c>
      <c r="F7255" s="19" t="str">
        <f>IFERROR(__xludf.DUMMYFUNCTION("""COMPUTED_VALUE"""),"BLUE")</f>
        <v>BLUE</v>
      </c>
      <c r="G7255" s="20" t="str">
        <f>IFERROR(__xludf.DUMMYFUNCTION("""COMPUTED_VALUE"""),"Uncle Sams Cider (04/04/2023)")</f>
        <v>Uncle Sams Cider (04/04/2023)</v>
      </c>
      <c r="H7255" s="19"/>
    </row>
    <row r="7256">
      <c r="A7256" s="9"/>
      <c r="B7256" s="15"/>
      <c r="C7256" s="9">
        <f>IFERROR(__xludf.DUMMYFUNCTION("""COMPUTED_VALUE"""),45068.0126563425)</f>
        <v>45068.01266</v>
      </c>
      <c r="D7256" s="15">
        <f>IFERROR(__xludf.DUMMYFUNCTION("""COMPUTED_VALUE"""),1.012)</f>
        <v>1.012</v>
      </c>
      <c r="E7256" s="16">
        <f>IFERROR(__xludf.DUMMYFUNCTION("""COMPUTED_VALUE"""),65.0)</f>
        <v>65</v>
      </c>
      <c r="F7256" s="19" t="str">
        <f>IFERROR(__xludf.DUMMYFUNCTION("""COMPUTED_VALUE"""),"BLUE")</f>
        <v>BLUE</v>
      </c>
      <c r="G7256" s="20" t="str">
        <f>IFERROR(__xludf.DUMMYFUNCTION("""COMPUTED_VALUE"""),"Uncle Sams Cider (04/04/2023)")</f>
        <v>Uncle Sams Cider (04/04/2023)</v>
      </c>
      <c r="H7256" s="19"/>
    </row>
    <row r="7257">
      <c r="A7257" s="9"/>
      <c r="B7257" s="15"/>
      <c r="C7257" s="9">
        <f>IFERROR(__xludf.DUMMYFUNCTION("""COMPUTED_VALUE"""),45068.0022339351)</f>
        <v>45068.00223</v>
      </c>
      <c r="D7257" s="15">
        <f>IFERROR(__xludf.DUMMYFUNCTION("""COMPUTED_VALUE"""),1.012)</f>
        <v>1.012</v>
      </c>
      <c r="E7257" s="16">
        <f>IFERROR(__xludf.DUMMYFUNCTION("""COMPUTED_VALUE"""),65.0)</f>
        <v>65</v>
      </c>
      <c r="F7257" s="19" t="str">
        <f>IFERROR(__xludf.DUMMYFUNCTION("""COMPUTED_VALUE"""),"BLUE")</f>
        <v>BLUE</v>
      </c>
      <c r="G7257" s="20" t="str">
        <f>IFERROR(__xludf.DUMMYFUNCTION("""COMPUTED_VALUE"""),"Uncle Sams Cider (04/04/2023)")</f>
        <v>Uncle Sams Cider (04/04/2023)</v>
      </c>
      <c r="H7257" s="19"/>
    </row>
    <row r="7258">
      <c r="A7258" s="9"/>
      <c r="B7258" s="15"/>
      <c r="C7258" s="9">
        <f>IFERROR(__xludf.DUMMYFUNCTION("""COMPUTED_VALUE"""),45067.9918100694)</f>
        <v>45067.99181</v>
      </c>
      <c r="D7258" s="15">
        <f>IFERROR(__xludf.DUMMYFUNCTION("""COMPUTED_VALUE"""),1.012)</f>
        <v>1.012</v>
      </c>
      <c r="E7258" s="16">
        <f>IFERROR(__xludf.DUMMYFUNCTION("""COMPUTED_VALUE"""),65.0)</f>
        <v>65</v>
      </c>
      <c r="F7258" s="19" t="str">
        <f>IFERROR(__xludf.DUMMYFUNCTION("""COMPUTED_VALUE"""),"BLUE")</f>
        <v>BLUE</v>
      </c>
      <c r="G7258" s="20" t="str">
        <f>IFERROR(__xludf.DUMMYFUNCTION("""COMPUTED_VALUE"""),"Uncle Sams Cider (04/04/2023)")</f>
        <v>Uncle Sams Cider (04/04/2023)</v>
      </c>
      <c r="H7258" s="19"/>
    </row>
    <row r="7259">
      <c r="A7259" s="9"/>
      <c r="B7259" s="15"/>
      <c r="C7259" s="9">
        <f>IFERROR(__xludf.DUMMYFUNCTION("""COMPUTED_VALUE"""),45067.9813886111)</f>
        <v>45067.98139</v>
      </c>
      <c r="D7259" s="15">
        <f>IFERROR(__xludf.DUMMYFUNCTION("""COMPUTED_VALUE"""),1.012)</f>
        <v>1.012</v>
      </c>
      <c r="E7259" s="16">
        <f>IFERROR(__xludf.DUMMYFUNCTION("""COMPUTED_VALUE"""),65.0)</f>
        <v>65</v>
      </c>
      <c r="F7259" s="19" t="str">
        <f>IFERROR(__xludf.DUMMYFUNCTION("""COMPUTED_VALUE"""),"BLUE")</f>
        <v>BLUE</v>
      </c>
      <c r="G7259" s="20" t="str">
        <f>IFERROR(__xludf.DUMMYFUNCTION("""COMPUTED_VALUE"""),"Uncle Sams Cider (04/04/2023)")</f>
        <v>Uncle Sams Cider (04/04/2023)</v>
      </c>
      <c r="H7259" s="19"/>
    </row>
    <row r="7260">
      <c r="A7260" s="9"/>
      <c r="B7260" s="15"/>
      <c r="C7260" s="9">
        <f>IFERROR(__xludf.DUMMYFUNCTION("""COMPUTED_VALUE"""),45067.9709674537)</f>
        <v>45067.97097</v>
      </c>
      <c r="D7260" s="15">
        <f>IFERROR(__xludf.DUMMYFUNCTION("""COMPUTED_VALUE"""),1.012)</f>
        <v>1.012</v>
      </c>
      <c r="E7260" s="16">
        <f>IFERROR(__xludf.DUMMYFUNCTION("""COMPUTED_VALUE"""),65.0)</f>
        <v>65</v>
      </c>
      <c r="F7260" s="19" t="str">
        <f>IFERROR(__xludf.DUMMYFUNCTION("""COMPUTED_VALUE"""),"BLUE")</f>
        <v>BLUE</v>
      </c>
      <c r="G7260" s="20" t="str">
        <f>IFERROR(__xludf.DUMMYFUNCTION("""COMPUTED_VALUE"""),"Uncle Sams Cider (04/04/2023)")</f>
        <v>Uncle Sams Cider (04/04/2023)</v>
      </c>
      <c r="H7260" s="19"/>
    </row>
    <row r="7261">
      <c r="A7261" s="9"/>
      <c r="B7261" s="15"/>
      <c r="C7261" s="9">
        <f>IFERROR(__xludf.DUMMYFUNCTION("""COMPUTED_VALUE"""),45067.9605358912)</f>
        <v>45067.96054</v>
      </c>
      <c r="D7261" s="15">
        <f>IFERROR(__xludf.DUMMYFUNCTION("""COMPUTED_VALUE"""),1.012)</f>
        <v>1.012</v>
      </c>
      <c r="E7261" s="16">
        <f>IFERROR(__xludf.DUMMYFUNCTION("""COMPUTED_VALUE"""),65.0)</f>
        <v>65</v>
      </c>
      <c r="F7261" s="19" t="str">
        <f>IFERROR(__xludf.DUMMYFUNCTION("""COMPUTED_VALUE"""),"BLUE")</f>
        <v>BLUE</v>
      </c>
      <c r="G7261" s="20" t="str">
        <f>IFERROR(__xludf.DUMMYFUNCTION("""COMPUTED_VALUE"""),"Uncle Sams Cider (04/04/2023)")</f>
        <v>Uncle Sams Cider (04/04/2023)</v>
      </c>
      <c r="H7261" s="19"/>
    </row>
    <row r="7262">
      <c r="A7262" s="9"/>
      <c r="B7262" s="15"/>
      <c r="C7262" s="9">
        <f>IFERROR(__xludf.DUMMYFUNCTION("""COMPUTED_VALUE"""),45067.9501050578)</f>
        <v>45067.95011</v>
      </c>
      <c r="D7262" s="15">
        <f>IFERROR(__xludf.DUMMYFUNCTION("""COMPUTED_VALUE"""),1.011)</f>
        <v>1.011</v>
      </c>
      <c r="E7262" s="16">
        <f>IFERROR(__xludf.DUMMYFUNCTION("""COMPUTED_VALUE"""),65.0)</f>
        <v>65</v>
      </c>
      <c r="F7262" s="19" t="str">
        <f>IFERROR(__xludf.DUMMYFUNCTION("""COMPUTED_VALUE"""),"BLUE")</f>
        <v>BLUE</v>
      </c>
      <c r="G7262" s="20" t="str">
        <f>IFERROR(__xludf.DUMMYFUNCTION("""COMPUTED_VALUE"""),"Uncle Sams Cider (04/04/2023)")</f>
        <v>Uncle Sams Cider (04/04/2023)</v>
      </c>
      <c r="H7262" s="19"/>
    </row>
    <row r="7263">
      <c r="A7263" s="9"/>
      <c r="B7263" s="15"/>
      <c r="C7263" s="9">
        <f>IFERROR(__xludf.DUMMYFUNCTION("""COMPUTED_VALUE"""),45067.9396828819)</f>
        <v>45067.93968</v>
      </c>
      <c r="D7263" s="15">
        <f>IFERROR(__xludf.DUMMYFUNCTION("""COMPUTED_VALUE"""),1.012)</f>
        <v>1.012</v>
      </c>
      <c r="E7263" s="16">
        <f>IFERROR(__xludf.DUMMYFUNCTION("""COMPUTED_VALUE"""),65.0)</f>
        <v>65</v>
      </c>
      <c r="F7263" s="19" t="str">
        <f>IFERROR(__xludf.DUMMYFUNCTION("""COMPUTED_VALUE"""),"BLUE")</f>
        <v>BLUE</v>
      </c>
      <c r="G7263" s="20" t="str">
        <f>IFERROR(__xludf.DUMMYFUNCTION("""COMPUTED_VALUE"""),"Uncle Sams Cider (04/04/2023)")</f>
        <v>Uncle Sams Cider (04/04/2023)</v>
      </c>
      <c r="H7263" s="19"/>
    </row>
    <row r="7264">
      <c r="A7264" s="9"/>
      <c r="B7264" s="15"/>
      <c r="C7264" s="9">
        <f>IFERROR(__xludf.DUMMYFUNCTION("""COMPUTED_VALUE"""),45067.9292491666)</f>
        <v>45067.92925</v>
      </c>
      <c r="D7264" s="15">
        <f>IFERROR(__xludf.DUMMYFUNCTION("""COMPUTED_VALUE"""),1.011)</f>
        <v>1.011</v>
      </c>
      <c r="E7264" s="16">
        <f>IFERROR(__xludf.DUMMYFUNCTION("""COMPUTED_VALUE"""),65.0)</f>
        <v>65</v>
      </c>
      <c r="F7264" s="19" t="str">
        <f>IFERROR(__xludf.DUMMYFUNCTION("""COMPUTED_VALUE"""),"BLUE")</f>
        <v>BLUE</v>
      </c>
      <c r="G7264" s="20" t="str">
        <f>IFERROR(__xludf.DUMMYFUNCTION("""COMPUTED_VALUE"""),"Uncle Sams Cider (04/04/2023)")</f>
        <v>Uncle Sams Cider (04/04/2023)</v>
      </c>
      <c r="H7264" s="19"/>
    </row>
    <row r="7265">
      <c r="A7265" s="9"/>
      <c r="B7265" s="15"/>
      <c r="C7265" s="9">
        <f>IFERROR(__xludf.DUMMYFUNCTION("""COMPUTED_VALUE"""),45067.9188277083)</f>
        <v>45067.91883</v>
      </c>
      <c r="D7265" s="15">
        <f>IFERROR(__xludf.DUMMYFUNCTION("""COMPUTED_VALUE"""),1.012)</f>
        <v>1.012</v>
      </c>
      <c r="E7265" s="16">
        <f>IFERROR(__xludf.DUMMYFUNCTION("""COMPUTED_VALUE"""),65.0)</f>
        <v>65</v>
      </c>
      <c r="F7265" s="19" t="str">
        <f>IFERROR(__xludf.DUMMYFUNCTION("""COMPUTED_VALUE"""),"BLUE")</f>
        <v>BLUE</v>
      </c>
      <c r="G7265" s="20" t="str">
        <f>IFERROR(__xludf.DUMMYFUNCTION("""COMPUTED_VALUE"""),"Uncle Sams Cider (04/04/2023)")</f>
        <v>Uncle Sams Cider (04/04/2023)</v>
      </c>
      <c r="H7265" s="19"/>
    </row>
    <row r="7266">
      <c r="A7266" s="9"/>
      <c r="B7266" s="15"/>
      <c r="C7266" s="9">
        <f>IFERROR(__xludf.DUMMYFUNCTION("""COMPUTED_VALUE"""),45067.9084063426)</f>
        <v>45067.90841</v>
      </c>
      <c r="D7266" s="15">
        <f>IFERROR(__xludf.DUMMYFUNCTION("""COMPUTED_VALUE"""),1.012)</f>
        <v>1.012</v>
      </c>
      <c r="E7266" s="16">
        <f>IFERROR(__xludf.DUMMYFUNCTION("""COMPUTED_VALUE"""),65.0)</f>
        <v>65</v>
      </c>
      <c r="F7266" s="19" t="str">
        <f>IFERROR(__xludf.DUMMYFUNCTION("""COMPUTED_VALUE"""),"BLUE")</f>
        <v>BLUE</v>
      </c>
      <c r="G7266" s="20" t="str">
        <f>IFERROR(__xludf.DUMMYFUNCTION("""COMPUTED_VALUE"""),"Uncle Sams Cider (04/04/2023)")</f>
        <v>Uncle Sams Cider (04/04/2023)</v>
      </c>
      <c r="H7266" s="19"/>
    </row>
    <row r="7267">
      <c r="A7267" s="9"/>
      <c r="B7267" s="15"/>
      <c r="C7267" s="9">
        <f>IFERROR(__xludf.DUMMYFUNCTION("""COMPUTED_VALUE"""),45067.8979733796)</f>
        <v>45067.89797</v>
      </c>
      <c r="D7267" s="15">
        <f>IFERROR(__xludf.DUMMYFUNCTION("""COMPUTED_VALUE"""),1.012)</f>
        <v>1.012</v>
      </c>
      <c r="E7267" s="16">
        <f>IFERROR(__xludf.DUMMYFUNCTION("""COMPUTED_VALUE"""),65.0)</f>
        <v>65</v>
      </c>
      <c r="F7267" s="19" t="str">
        <f>IFERROR(__xludf.DUMMYFUNCTION("""COMPUTED_VALUE"""),"BLUE")</f>
        <v>BLUE</v>
      </c>
      <c r="G7267" s="20" t="str">
        <f>IFERROR(__xludf.DUMMYFUNCTION("""COMPUTED_VALUE"""),"Uncle Sams Cider (04/04/2023)")</f>
        <v>Uncle Sams Cider (04/04/2023)</v>
      </c>
      <c r="H7267" s="19"/>
    </row>
    <row r="7268">
      <c r="A7268" s="9"/>
      <c r="B7268" s="15"/>
      <c r="C7268" s="9">
        <f>IFERROR(__xludf.DUMMYFUNCTION("""COMPUTED_VALUE"""),45067.8875522916)</f>
        <v>45067.88755</v>
      </c>
      <c r="D7268" s="15">
        <f>IFERROR(__xludf.DUMMYFUNCTION("""COMPUTED_VALUE"""),1.012)</f>
        <v>1.012</v>
      </c>
      <c r="E7268" s="16">
        <f>IFERROR(__xludf.DUMMYFUNCTION("""COMPUTED_VALUE"""),65.0)</f>
        <v>65</v>
      </c>
      <c r="F7268" s="19" t="str">
        <f>IFERROR(__xludf.DUMMYFUNCTION("""COMPUTED_VALUE"""),"BLUE")</f>
        <v>BLUE</v>
      </c>
      <c r="G7268" s="20" t="str">
        <f>IFERROR(__xludf.DUMMYFUNCTION("""COMPUTED_VALUE"""),"Uncle Sams Cider (04/04/2023)")</f>
        <v>Uncle Sams Cider (04/04/2023)</v>
      </c>
      <c r="H7268" s="19"/>
    </row>
    <row r="7269">
      <c r="A7269" s="9"/>
      <c r="B7269" s="15"/>
      <c r="C7269" s="9">
        <f>IFERROR(__xludf.DUMMYFUNCTION("""COMPUTED_VALUE"""),45067.8771330787)</f>
        <v>45067.87713</v>
      </c>
      <c r="D7269" s="15">
        <f>IFERROR(__xludf.DUMMYFUNCTION("""COMPUTED_VALUE"""),1.012)</f>
        <v>1.012</v>
      </c>
      <c r="E7269" s="16">
        <f>IFERROR(__xludf.DUMMYFUNCTION("""COMPUTED_VALUE"""),65.0)</f>
        <v>65</v>
      </c>
      <c r="F7269" s="19" t="str">
        <f>IFERROR(__xludf.DUMMYFUNCTION("""COMPUTED_VALUE"""),"BLUE")</f>
        <v>BLUE</v>
      </c>
      <c r="G7269" s="20" t="str">
        <f>IFERROR(__xludf.DUMMYFUNCTION("""COMPUTED_VALUE"""),"Uncle Sams Cider (04/04/2023)")</f>
        <v>Uncle Sams Cider (04/04/2023)</v>
      </c>
      <c r="H7269" s="19"/>
    </row>
    <row r="7270">
      <c r="A7270" s="9"/>
      <c r="B7270" s="15"/>
      <c r="C7270" s="9">
        <f>IFERROR(__xludf.DUMMYFUNCTION("""COMPUTED_VALUE"""),45067.866711412)</f>
        <v>45067.86671</v>
      </c>
      <c r="D7270" s="15">
        <f>IFERROR(__xludf.DUMMYFUNCTION("""COMPUTED_VALUE"""),1.012)</f>
        <v>1.012</v>
      </c>
      <c r="E7270" s="16">
        <f>IFERROR(__xludf.DUMMYFUNCTION("""COMPUTED_VALUE"""),65.0)</f>
        <v>65</v>
      </c>
      <c r="F7270" s="19" t="str">
        <f>IFERROR(__xludf.DUMMYFUNCTION("""COMPUTED_VALUE"""),"BLUE")</f>
        <v>BLUE</v>
      </c>
      <c r="G7270" s="20" t="str">
        <f>IFERROR(__xludf.DUMMYFUNCTION("""COMPUTED_VALUE"""),"Uncle Sams Cider (04/04/2023)")</f>
        <v>Uncle Sams Cider (04/04/2023)</v>
      </c>
      <c r="H7270" s="19"/>
    </row>
    <row r="7271">
      <c r="A7271" s="9"/>
      <c r="B7271" s="15"/>
      <c r="C7271" s="9">
        <f>IFERROR(__xludf.DUMMYFUNCTION("""COMPUTED_VALUE"""),45067.8562914583)</f>
        <v>45067.85629</v>
      </c>
      <c r="D7271" s="15">
        <f>IFERROR(__xludf.DUMMYFUNCTION("""COMPUTED_VALUE"""),1.012)</f>
        <v>1.012</v>
      </c>
      <c r="E7271" s="16">
        <f>IFERROR(__xludf.DUMMYFUNCTION("""COMPUTED_VALUE"""),65.0)</f>
        <v>65</v>
      </c>
      <c r="F7271" s="19" t="str">
        <f>IFERROR(__xludf.DUMMYFUNCTION("""COMPUTED_VALUE"""),"BLUE")</f>
        <v>BLUE</v>
      </c>
      <c r="G7271" s="20" t="str">
        <f>IFERROR(__xludf.DUMMYFUNCTION("""COMPUTED_VALUE"""),"Uncle Sams Cider (04/04/2023)")</f>
        <v>Uncle Sams Cider (04/04/2023)</v>
      </c>
      <c r="H7271" s="19"/>
    </row>
    <row r="7272">
      <c r="A7272" s="9"/>
      <c r="B7272" s="15"/>
      <c r="C7272" s="9">
        <f>IFERROR(__xludf.DUMMYFUNCTION("""COMPUTED_VALUE"""),45067.8458571759)</f>
        <v>45067.84586</v>
      </c>
      <c r="D7272" s="15">
        <f>IFERROR(__xludf.DUMMYFUNCTION("""COMPUTED_VALUE"""),1.012)</f>
        <v>1.012</v>
      </c>
      <c r="E7272" s="16">
        <f>IFERROR(__xludf.DUMMYFUNCTION("""COMPUTED_VALUE"""),65.0)</f>
        <v>65</v>
      </c>
      <c r="F7272" s="19" t="str">
        <f>IFERROR(__xludf.DUMMYFUNCTION("""COMPUTED_VALUE"""),"BLUE")</f>
        <v>BLUE</v>
      </c>
      <c r="G7272" s="20" t="str">
        <f>IFERROR(__xludf.DUMMYFUNCTION("""COMPUTED_VALUE"""),"Uncle Sams Cider (04/04/2023)")</f>
        <v>Uncle Sams Cider (04/04/2023)</v>
      </c>
      <c r="H7272" s="19"/>
    </row>
    <row r="7273">
      <c r="A7273" s="9"/>
      <c r="B7273" s="15"/>
      <c r="C7273" s="9">
        <f>IFERROR(__xludf.DUMMYFUNCTION("""COMPUTED_VALUE"""),45067.8354365393)</f>
        <v>45067.83544</v>
      </c>
      <c r="D7273" s="15">
        <f>IFERROR(__xludf.DUMMYFUNCTION("""COMPUTED_VALUE"""),1.012)</f>
        <v>1.012</v>
      </c>
      <c r="E7273" s="16">
        <f>IFERROR(__xludf.DUMMYFUNCTION("""COMPUTED_VALUE"""),65.0)</f>
        <v>65</v>
      </c>
      <c r="F7273" s="19" t="str">
        <f>IFERROR(__xludf.DUMMYFUNCTION("""COMPUTED_VALUE"""),"BLUE")</f>
        <v>BLUE</v>
      </c>
      <c r="G7273" s="20" t="str">
        <f>IFERROR(__xludf.DUMMYFUNCTION("""COMPUTED_VALUE"""),"Uncle Sams Cider (04/04/2023)")</f>
        <v>Uncle Sams Cider (04/04/2023)</v>
      </c>
      <c r="H7273" s="19"/>
    </row>
    <row r="7274">
      <c r="A7274" s="9"/>
      <c r="B7274" s="15"/>
      <c r="C7274" s="9">
        <f>IFERROR(__xludf.DUMMYFUNCTION("""COMPUTED_VALUE"""),45067.825015625)</f>
        <v>45067.82502</v>
      </c>
      <c r="D7274" s="15">
        <f>IFERROR(__xludf.DUMMYFUNCTION("""COMPUTED_VALUE"""),1.012)</f>
        <v>1.012</v>
      </c>
      <c r="E7274" s="16">
        <f>IFERROR(__xludf.DUMMYFUNCTION("""COMPUTED_VALUE"""),65.0)</f>
        <v>65</v>
      </c>
      <c r="F7274" s="19" t="str">
        <f>IFERROR(__xludf.DUMMYFUNCTION("""COMPUTED_VALUE"""),"BLUE")</f>
        <v>BLUE</v>
      </c>
      <c r="G7274" s="20" t="str">
        <f>IFERROR(__xludf.DUMMYFUNCTION("""COMPUTED_VALUE"""),"Uncle Sams Cider (04/04/2023)")</f>
        <v>Uncle Sams Cider (04/04/2023)</v>
      </c>
      <c r="H7274" s="19"/>
    </row>
    <row r="7275">
      <c r="A7275" s="9"/>
      <c r="B7275" s="15"/>
      <c r="C7275" s="9">
        <f>IFERROR(__xludf.DUMMYFUNCTION("""COMPUTED_VALUE"""),45067.8145932407)</f>
        <v>45067.81459</v>
      </c>
      <c r="D7275" s="15">
        <f>IFERROR(__xludf.DUMMYFUNCTION("""COMPUTED_VALUE"""),1.012)</f>
        <v>1.012</v>
      </c>
      <c r="E7275" s="16">
        <f>IFERROR(__xludf.DUMMYFUNCTION("""COMPUTED_VALUE"""),65.0)</f>
        <v>65</v>
      </c>
      <c r="F7275" s="19" t="str">
        <f>IFERROR(__xludf.DUMMYFUNCTION("""COMPUTED_VALUE"""),"BLUE")</f>
        <v>BLUE</v>
      </c>
      <c r="G7275" s="20" t="str">
        <f>IFERROR(__xludf.DUMMYFUNCTION("""COMPUTED_VALUE"""),"Uncle Sams Cider (04/04/2023)")</f>
        <v>Uncle Sams Cider (04/04/2023)</v>
      </c>
      <c r="H7275" s="19"/>
    </row>
    <row r="7276">
      <c r="A7276" s="9"/>
      <c r="B7276" s="15"/>
      <c r="C7276" s="9">
        <f>IFERROR(__xludf.DUMMYFUNCTION("""COMPUTED_VALUE"""),45067.8041600926)</f>
        <v>45067.80416</v>
      </c>
      <c r="D7276" s="15">
        <f>IFERROR(__xludf.DUMMYFUNCTION("""COMPUTED_VALUE"""),1.012)</f>
        <v>1.012</v>
      </c>
      <c r="E7276" s="16">
        <f>IFERROR(__xludf.DUMMYFUNCTION("""COMPUTED_VALUE"""),65.0)</f>
        <v>65</v>
      </c>
      <c r="F7276" s="19" t="str">
        <f>IFERROR(__xludf.DUMMYFUNCTION("""COMPUTED_VALUE"""),"BLUE")</f>
        <v>BLUE</v>
      </c>
      <c r="G7276" s="20" t="str">
        <f>IFERROR(__xludf.DUMMYFUNCTION("""COMPUTED_VALUE"""),"Uncle Sams Cider (04/04/2023)")</f>
        <v>Uncle Sams Cider (04/04/2023)</v>
      </c>
      <c r="H7276" s="19"/>
    </row>
    <row r="7277">
      <c r="A7277" s="9"/>
      <c r="B7277" s="15"/>
      <c r="C7277" s="9">
        <f>IFERROR(__xludf.DUMMYFUNCTION("""COMPUTED_VALUE"""),45067.7937403472)</f>
        <v>45067.79374</v>
      </c>
      <c r="D7277" s="15">
        <f>IFERROR(__xludf.DUMMYFUNCTION("""COMPUTED_VALUE"""),1.012)</f>
        <v>1.012</v>
      </c>
      <c r="E7277" s="16">
        <f>IFERROR(__xludf.DUMMYFUNCTION("""COMPUTED_VALUE"""),65.0)</f>
        <v>65</v>
      </c>
      <c r="F7277" s="19" t="str">
        <f>IFERROR(__xludf.DUMMYFUNCTION("""COMPUTED_VALUE"""),"BLUE")</f>
        <v>BLUE</v>
      </c>
      <c r="G7277" s="20" t="str">
        <f>IFERROR(__xludf.DUMMYFUNCTION("""COMPUTED_VALUE"""),"Uncle Sams Cider (04/04/2023)")</f>
        <v>Uncle Sams Cider (04/04/2023)</v>
      </c>
      <c r="H7277" s="19"/>
    </row>
    <row r="7278">
      <c r="A7278" s="9"/>
      <c r="B7278" s="15"/>
      <c r="C7278" s="9">
        <f>IFERROR(__xludf.DUMMYFUNCTION("""COMPUTED_VALUE"""),45067.7833190046)</f>
        <v>45067.78332</v>
      </c>
      <c r="D7278" s="15">
        <f>IFERROR(__xludf.DUMMYFUNCTION("""COMPUTED_VALUE"""),1.012)</f>
        <v>1.012</v>
      </c>
      <c r="E7278" s="16">
        <f>IFERROR(__xludf.DUMMYFUNCTION("""COMPUTED_VALUE"""),65.0)</f>
        <v>65</v>
      </c>
      <c r="F7278" s="19" t="str">
        <f>IFERROR(__xludf.DUMMYFUNCTION("""COMPUTED_VALUE"""),"BLUE")</f>
        <v>BLUE</v>
      </c>
      <c r="G7278" s="20" t="str">
        <f>IFERROR(__xludf.DUMMYFUNCTION("""COMPUTED_VALUE"""),"Uncle Sams Cider (04/04/2023)")</f>
        <v>Uncle Sams Cider (04/04/2023)</v>
      </c>
      <c r="H7278" s="19"/>
    </row>
    <row r="7279">
      <c r="A7279" s="9"/>
      <c r="B7279" s="15"/>
      <c r="C7279" s="9">
        <f>IFERROR(__xludf.DUMMYFUNCTION("""COMPUTED_VALUE"""),45067.7728977893)</f>
        <v>45067.7729</v>
      </c>
      <c r="D7279" s="15">
        <f>IFERROR(__xludf.DUMMYFUNCTION("""COMPUTED_VALUE"""),1.012)</f>
        <v>1.012</v>
      </c>
      <c r="E7279" s="16">
        <f>IFERROR(__xludf.DUMMYFUNCTION("""COMPUTED_VALUE"""),65.0)</f>
        <v>65</v>
      </c>
      <c r="F7279" s="19" t="str">
        <f>IFERROR(__xludf.DUMMYFUNCTION("""COMPUTED_VALUE"""),"BLUE")</f>
        <v>BLUE</v>
      </c>
      <c r="G7279" s="20" t="str">
        <f>IFERROR(__xludf.DUMMYFUNCTION("""COMPUTED_VALUE"""),"Uncle Sams Cider (04/04/2023)")</f>
        <v>Uncle Sams Cider (04/04/2023)</v>
      </c>
      <c r="H7279" s="19"/>
    </row>
    <row r="7280">
      <c r="A7280" s="9"/>
      <c r="B7280" s="15"/>
      <c r="C7280" s="9">
        <f>IFERROR(__xludf.DUMMYFUNCTION("""COMPUTED_VALUE"""),45067.7624777199)</f>
        <v>45067.76248</v>
      </c>
      <c r="D7280" s="15">
        <f>IFERROR(__xludf.DUMMYFUNCTION("""COMPUTED_VALUE"""),1.012)</f>
        <v>1.012</v>
      </c>
      <c r="E7280" s="16">
        <f>IFERROR(__xludf.DUMMYFUNCTION("""COMPUTED_VALUE"""),65.0)</f>
        <v>65</v>
      </c>
      <c r="F7280" s="19" t="str">
        <f>IFERROR(__xludf.DUMMYFUNCTION("""COMPUTED_VALUE"""),"BLUE")</f>
        <v>BLUE</v>
      </c>
      <c r="G7280" s="20" t="str">
        <f>IFERROR(__xludf.DUMMYFUNCTION("""COMPUTED_VALUE"""),"Uncle Sams Cider (04/04/2023)")</f>
        <v>Uncle Sams Cider (04/04/2023)</v>
      </c>
      <c r="H7280" s="19"/>
    </row>
    <row r="7281">
      <c r="A7281" s="9"/>
      <c r="B7281" s="15"/>
      <c r="C7281" s="9">
        <f>IFERROR(__xludf.DUMMYFUNCTION("""COMPUTED_VALUE"""),45067.7520574074)</f>
        <v>45067.75206</v>
      </c>
      <c r="D7281" s="15">
        <f>IFERROR(__xludf.DUMMYFUNCTION("""COMPUTED_VALUE"""),1.012)</f>
        <v>1.012</v>
      </c>
      <c r="E7281" s="16">
        <f>IFERROR(__xludf.DUMMYFUNCTION("""COMPUTED_VALUE"""),65.0)</f>
        <v>65</v>
      </c>
      <c r="F7281" s="19" t="str">
        <f>IFERROR(__xludf.DUMMYFUNCTION("""COMPUTED_VALUE"""),"BLUE")</f>
        <v>BLUE</v>
      </c>
      <c r="G7281" s="20" t="str">
        <f>IFERROR(__xludf.DUMMYFUNCTION("""COMPUTED_VALUE"""),"Uncle Sams Cider (04/04/2023)")</f>
        <v>Uncle Sams Cider (04/04/2023)</v>
      </c>
      <c r="H7281" s="19"/>
    </row>
    <row r="7282">
      <c r="A7282" s="9"/>
      <c r="B7282" s="15"/>
      <c r="C7282" s="9">
        <f>IFERROR(__xludf.DUMMYFUNCTION("""COMPUTED_VALUE"""),45067.7416365393)</f>
        <v>45067.74164</v>
      </c>
      <c r="D7282" s="15">
        <f>IFERROR(__xludf.DUMMYFUNCTION("""COMPUTED_VALUE"""),1.012)</f>
        <v>1.012</v>
      </c>
      <c r="E7282" s="16">
        <f>IFERROR(__xludf.DUMMYFUNCTION("""COMPUTED_VALUE"""),65.0)</f>
        <v>65</v>
      </c>
      <c r="F7282" s="19" t="str">
        <f>IFERROR(__xludf.DUMMYFUNCTION("""COMPUTED_VALUE"""),"BLUE")</f>
        <v>BLUE</v>
      </c>
      <c r="G7282" s="20" t="str">
        <f>IFERROR(__xludf.DUMMYFUNCTION("""COMPUTED_VALUE"""),"Uncle Sams Cider (04/04/2023)")</f>
        <v>Uncle Sams Cider (04/04/2023)</v>
      </c>
      <c r="H7282" s="19"/>
    </row>
    <row r="7283">
      <c r="A7283" s="9"/>
      <c r="B7283" s="15"/>
      <c r="C7283" s="9">
        <f>IFERROR(__xludf.DUMMYFUNCTION("""COMPUTED_VALUE"""),45067.73120478)</f>
        <v>45067.7312</v>
      </c>
      <c r="D7283" s="15">
        <f>IFERROR(__xludf.DUMMYFUNCTION("""COMPUTED_VALUE"""),1.012)</f>
        <v>1.012</v>
      </c>
      <c r="E7283" s="16">
        <f>IFERROR(__xludf.DUMMYFUNCTION("""COMPUTED_VALUE"""),65.0)</f>
        <v>65</v>
      </c>
      <c r="F7283" s="19" t="str">
        <f>IFERROR(__xludf.DUMMYFUNCTION("""COMPUTED_VALUE"""),"BLUE")</f>
        <v>BLUE</v>
      </c>
      <c r="G7283" s="20" t="str">
        <f>IFERROR(__xludf.DUMMYFUNCTION("""COMPUTED_VALUE"""),"Uncle Sams Cider (04/04/2023)")</f>
        <v>Uncle Sams Cider (04/04/2023)</v>
      </c>
      <c r="H7283" s="19"/>
    </row>
    <row r="7284">
      <c r="A7284" s="9"/>
      <c r="B7284" s="15"/>
      <c r="C7284" s="9">
        <f>IFERROR(__xludf.DUMMYFUNCTION("""COMPUTED_VALUE"""),45067.7207835185)</f>
        <v>45067.72078</v>
      </c>
      <c r="D7284" s="15">
        <f>IFERROR(__xludf.DUMMYFUNCTION("""COMPUTED_VALUE"""),1.012)</f>
        <v>1.012</v>
      </c>
      <c r="E7284" s="16">
        <f>IFERROR(__xludf.DUMMYFUNCTION("""COMPUTED_VALUE"""),65.0)</f>
        <v>65</v>
      </c>
      <c r="F7284" s="19" t="str">
        <f>IFERROR(__xludf.DUMMYFUNCTION("""COMPUTED_VALUE"""),"BLUE")</f>
        <v>BLUE</v>
      </c>
      <c r="G7284" s="20" t="str">
        <f>IFERROR(__xludf.DUMMYFUNCTION("""COMPUTED_VALUE"""),"Uncle Sams Cider (04/04/2023)")</f>
        <v>Uncle Sams Cider (04/04/2023)</v>
      </c>
      <c r="H7284" s="19"/>
    </row>
    <row r="7285">
      <c r="A7285" s="9"/>
      <c r="B7285" s="15"/>
      <c r="C7285" s="9">
        <f>IFERROR(__xludf.DUMMYFUNCTION("""COMPUTED_VALUE"""),45067.7103619907)</f>
        <v>45067.71036</v>
      </c>
      <c r="D7285" s="15">
        <f>IFERROR(__xludf.DUMMYFUNCTION("""COMPUTED_VALUE"""),1.012)</f>
        <v>1.012</v>
      </c>
      <c r="E7285" s="16">
        <f>IFERROR(__xludf.DUMMYFUNCTION("""COMPUTED_VALUE"""),65.0)</f>
        <v>65</v>
      </c>
      <c r="F7285" s="19" t="str">
        <f>IFERROR(__xludf.DUMMYFUNCTION("""COMPUTED_VALUE"""),"BLUE")</f>
        <v>BLUE</v>
      </c>
      <c r="G7285" s="20" t="str">
        <f>IFERROR(__xludf.DUMMYFUNCTION("""COMPUTED_VALUE"""),"Uncle Sams Cider (04/04/2023)")</f>
        <v>Uncle Sams Cider (04/04/2023)</v>
      </c>
      <c r="H7285" s="19"/>
    </row>
    <row r="7286">
      <c r="A7286" s="9"/>
      <c r="B7286" s="15"/>
      <c r="C7286" s="9">
        <f>IFERROR(__xludf.DUMMYFUNCTION("""COMPUTED_VALUE"""),45067.6999409953)</f>
        <v>45067.69994</v>
      </c>
      <c r="D7286" s="15">
        <f>IFERROR(__xludf.DUMMYFUNCTION("""COMPUTED_VALUE"""),1.012)</f>
        <v>1.012</v>
      </c>
      <c r="E7286" s="16">
        <f>IFERROR(__xludf.DUMMYFUNCTION("""COMPUTED_VALUE"""),65.0)</f>
        <v>65</v>
      </c>
      <c r="F7286" s="19" t="str">
        <f>IFERROR(__xludf.DUMMYFUNCTION("""COMPUTED_VALUE"""),"BLUE")</f>
        <v>BLUE</v>
      </c>
      <c r="G7286" s="20" t="str">
        <f>IFERROR(__xludf.DUMMYFUNCTION("""COMPUTED_VALUE"""),"Uncle Sams Cider (04/04/2023)")</f>
        <v>Uncle Sams Cider (04/04/2023)</v>
      </c>
      <c r="H7286" s="19"/>
    </row>
    <row r="7287">
      <c r="A7287" s="9"/>
      <c r="B7287" s="15"/>
      <c r="C7287" s="9">
        <f>IFERROR(__xludf.DUMMYFUNCTION("""COMPUTED_VALUE"""),45067.6895199652)</f>
        <v>45067.68952</v>
      </c>
      <c r="D7287" s="15">
        <f>IFERROR(__xludf.DUMMYFUNCTION("""COMPUTED_VALUE"""),1.012)</f>
        <v>1.012</v>
      </c>
      <c r="E7287" s="16">
        <f>IFERROR(__xludf.DUMMYFUNCTION("""COMPUTED_VALUE"""),65.0)</f>
        <v>65</v>
      </c>
      <c r="F7287" s="19" t="str">
        <f>IFERROR(__xludf.DUMMYFUNCTION("""COMPUTED_VALUE"""),"BLUE")</f>
        <v>BLUE</v>
      </c>
      <c r="G7287" s="20" t="str">
        <f>IFERROR(__xludf.DUMMYFUNCTION("""COMPUTED_VALUE"""),"Uncle Sams Cider (04/04/2023)")</f>
        <v>Uncle Sams Cider (04/04/2023)</v>
      </c>
      <c r="H7287" s="19"/>
    </row>
    <row r="7288">
      <c r="A7288" s="9"/>
      <c r="B7288" s="15"/>
      <c r="C7288" s="9">
        <f>IFERROR(__xludf.DUMMYFUNCTION("""COMPUTED_VALUE"""),45067.6790874189)</f>
        <v>45067.67909</v>
      </c>
      <c r="D7288" s="15">
        <f>IFERROR(__xludf.DUMMYFUNCTION("""COMPUTED_VALUE"""),1.012)</f>
        <v>1.012</v>
      </c>
      <c r="E7288" s="16">
        <f>IFERROR(__xludf.DUMMYFUNCTION("""COMPUTED_VALUE"""),65.0)</f>
        <v>65</v>
      </c>
      <c r="F7288" s="19" t="str">
        <f>IFERROR(__xludf.DUMMYFUNCTION("""COMPUTED_VALUE"""),"BLUE")</f>
        <v>BLUE</v>
      </c>
      <c r="G7288" s="20" t="str">
        <f>IFERROR(__xludf.DUMMYFUNCTION("""COMPUTED_VALUE"""),"Uncle Sams Cider (04/04/2023)")</f>
        <v>Uncle Sams Cider (04/04/2023)</v>
      </c>
      <c r="H7288" s="19"/>
    </row>
    <row r="7289">
      <c r="A7289" s="9"/>
      <c r="B7289" s="15"/>
      <c r="C7289" s="9">
        <f>IFERROR(__xludf.DUMMYFUNCTION("""COMPUTED_VALUE"""),45067.6686651273)</f>
        <v>45067.66867</v>
      </c>
      <c r="D7289" s="15">
        <f>IFERROR(__xludf.DUMMYFUNCTION("""COMPUTED_VALUE"""),1.012)</f>
        <v>1.012</v>
      </c>
      <c r="E7289" s="16">
        <f>IFERROR(__xludf.DUMMYFUNCTION("""COMPUTED_VALUE"""),65.0)</f>
        <v>65</v>
      </c>
      <c r="F7289" s="19" t="str">
        <f>IFERROR(__xludf.DUMMYFUNCTION("""COMPUTED_VALUE"""),"BLUE")</f>
        <v>BLUE</v>
      </c>
      <c r="G7289" s="20" t="str">
        <f>IFERROR(__xludf.DUMMYFUNCTION("""COMPUTED_VALUE"""),"Uncle Sams Cider (04/04/2023)")</f>
        <v>Uncle Sams Cider (04/04/2023)</v>
      </c>
      <c r="H7289" s="19"/>
    </row>
    <row r="7290">
      <c r="A7290" s="9"/>
      <c r="B7290" s="15"/>
      <c r="C7290" s="9">
        <f>IFERROR(__xludf.DUMMYFUNCTION("""COMPUTED_VALUE"""),45067.658245081)</f>
        <v>45067.65825</v>
      </c>
      <c r="D7290" s="15">
        <f>IFERROR(__xludf.DUMMYFUNCTION("""COMPUTED_VALUE"""),1.012)</f>
        <v>1.012</v>
      </c>
      <c r="E7290" s="16">
        <f>IFERROR(__xludf.DUMMYFUNCTION("""COMPUTED_VALUE"""),65.0)</f>
        <v>65</v>
      </c>
      <c r="F7290" s="19" t="str">
        <f>IFERROR(__xludf.DUMMYFUNCTION("""COMPUTED_VALUE"""),"BLUE")</f>
        <v>BLUE</v>
      </c>
      <c r="G7290" s="20" t="str">
        <f>IFERROR(__xludf.DUMMYFUNCTION("""COMPUTED_VALUE"""),"Uncle Sams Cider (04/04/2023)")</f>
        <v>Uncle Sams Cider (04/04/2023)</v>
      </c>
      <c r="H7290" s="19"/>
    </row>
    <row r="7291">
      <c r="A7291" s="9"/>
      <c r="B7291" s="15"/>
      <c r="C7291" s="9">
        <f>IFERROR(__xludf.DUMMYFUNCTION("""COMPUTED_VALUE"""),45067.6478242013)</f>
        <v>45067.64782</v>
      </c>
      <c r="D7291" s="15">
        <f>IFERROR(__xludf.DUMMYFUNCTION("""COMPUTED_VALUE"""),1.012)</f>
        <v>1.012</v>
      </c>
      <c r="E7291" s="16">
        <f>IFERROR(__xludf.DUMMYFUNCTION("""COMPUTED_VALUE"""),65.0)</f>
        <v>65</v>
      </c>
      <c r="F7291" s="19" t="str">
        <f>IFERROR(__xludf.DUMMYFUNCTION("""COMPUTED_VALUE"""),"BLUE")</f>
        <v>BLUE</v>
      </c>
      <c r="G7291" s="20" t="str">
        <f>IFERROR(__xludf.DUMMYFUNCTION("""COMPUTED_VALUE"""),"Uncle Sams Cider (04/04/2023)")</f>
        <v>Uncle Sams Cider (04/04/2023)</v>
      </c>
      <c r="H7291" s="19"/>
    </row>
    <row r="7292">
      <c r="A7292" s="9"/>
      <c r="B7292" s="15"/>
      <c r="C7292" s="9">
        <f>IFERROR(__xludf.DUMMYFUNCTION("""COMPUTED_VALUE"""),45067.6373920023)</f>
        <v>45067.63739</v>
      </c>
      <c r="D7292" s="15">
        <f>IFERROR(__xludf.DUMMYFUNCTION("""COMPUTED_VALUE"""),1.012)</f>
        <v>1.012</v>
      </c>
      <c r="E7292" s="16">
        <f>IFERROR(__xludf.DUMMYFUNCTION("""COMPUTED_VALUE"""),65.0)</f>
        <v>65</v>
      </c>
      <c r="F7292" s="19" t="str">
        <f>IFERROR(__xludf.DUMMYFUNCTION("""COMPUTED_VALUE"""),"BLUE")</f>
        <v>BLUE</v>
      </c>
      <c r="G7292" s="20" t="str">
        <f>IFERROR(__xludf.DUMMYFUNCTION("""COMPUTED_VALUE"""),"Uncle Sams Cider (04/04/2023)")</f>
        <v>Uncle Sams Cider (04/04/2023)</v>
      </c>
      <c r="H7292" s="19"/>
    </row>
    <row r="7293">
      <c r="A7293" s="9"/>
      <c r="B7293" s="15"/>
      <c r="C7293" s="9">
        <f>IFERROR(__xludf.DUMMYFUNCTION("""COMPUTED_VALUE"""),45067.6269591203)</f>
        <v>45067.62696</v>
      </c>
      <c r="D7293" s="15">
        <f>IFERROR(__xludf.DUMMYFUNCTION("""COMPUTED_VALUE"""),1.012)</f>
        <v>1.012</v>
      </c>
      <c r="E7293" s="16">
        <f>IFERROR(__xludf.DUMMYFUNCTION("""COMPUTED_VALUE"""),65.0)</f>
        <v>65</v>
      </c>
      <c r="F7293" s="19" t="str">
        <f>IFERROR(__xludf.DUMMYFUNCTION("""COMPUTED_VALUE"""),"BLUE")</f>
        <v>BLUE</v>
      </c>
      <c r="G7293" s="20" t="str">
        <f>IFERROR(__xludf.DUMMYFUNCTION("""COMPUTED_VALUE"""),"Uncle Sams Cider (04/04/2023)")</f>
        <v>Uncle Sams Cider (04/04/2023)</v>
      </c>
      <c r="H7293" s="19"/>
    </row>
    <row r="7294">
      <c r="A7294" s="9"/>
      <c r="B7294" s="15"/>
      <c r="C7294" s="9">
        <f>IFERROR(__xludf.DUMMYFUNCTION("""COMPUTED_VALUE"""),45067.6165368287)</f>
        <v>45067.61654</v>
      </c>
      <c r="D7294" s="15">
        <f>IFERROR(__xludf.DUMMYFUNCTION("""COMPUTED_VALUE"""),1.012)</f>
        <v>1.012</v>
      </c>
      <c r="E7294" s="16">
        <f>IFERROR(__xludf.DUMMYFUNCTION("""COMPUTED_VALUE"""),65.0)</f>
        <v>65</v>
      </c>
      <c r="F7294" s="19" t="str">
        <f>IFERROR(__xludf.DUMMYFUNCTION("""COMPUTED_VALUE"""),"BLUE")</f>
        <v>BLUE</v>
      </c>
      <c r="G7294" s="20" t="str">
        <f>IFERROR(__xludf.DUMMYFUNCTION("""COMPUTED_VALUE"""),"Uncle Sams Cider (04/04/2023)")</f>
        <v>Uncle Sams Cider (04/04/2023)</v>
      </c>
      <c r="H7294" s="19"/>
    </row>
    <row r="7295">
      <c r="A7295" s="9"/>
      <c r="B7295" s="15"/>
      <c r="C7295" s="9">
        <f>IFERROR(__xludf.DUMMYFUNCTION("""COMPUTED_VALUE"""),45067.6061166203)</f>
        <v>45067.60612</v>
      </c>
      <c r="D7295" s="15">
        <f>IFERROR(__xludf.DUMMYFUNCTION("""COMPUTED_VALUE"""),1.012)</f>
        <v>1.012</v>
      </c>
      <c r="E7295" s="16">
        <f>IFERROR(__xludf.DUMMYFUNCTION("""COMPUTED_VALUE"""),65.0)</f>
        <v>65</v>
      </c>
      <c r="F7295" s="19" t="str">
        <f>IFERROR(__xludf.DUMMYFUNCTION("""COMPUTED_VALUE"""),"BLUE")</f>
        <v>BLUE</v>
      </c>
      <c r="G7295" s="20" t="str">
        <f>IFERROR(__xludf.DUMMYFUNCTION("""COMPUTED_VALUE"""),"Uncle Sams Cider (04/04/2023)")</f>
        <v>Uncle Sams Cider (04/04/2023)</v>
      </c>
      <c r="H7295" s="19"/>
    </row>
    <row r="7296">
      <c r="A7296" s="9"/>
      <c r="B7296" s="15"/>
      <c r="C7296" s="9">
        <f>IFERROR(__xludf.DUMMYFUNCTION("""COMPUTED_VALUE"""),45067.5956955324)</f>
        <v>45067.5957</v>
      </c>
      <c r="D7296" s="15">
        <f>IFERROR(__xludf.DUMMYFUNCTION("""COMPUTED_VALUE"""),1.012)</f>
        <v>1.012</v>
      </c>
      <c r="E7296" s="16">
        <f>IFERROR(__xludf.DUMMYFUNCTION("""COMPUTED_VALUE"""),65.0)</f>
        <v>65</v>
      </c>
      <c r="F7296" s="19" t="str">
        <f>IFERROR(__xludf.DUMMYFUNCTION("""COMPUTED_VALUE"""),"BLUE")</f>
        <v>BLUE</v>
      </c>
      <c r="G7296" s="20" t="str">
        <f>IFERROR(__xludf.DUMMYFUNCTION("""COMPUTED_VALUE"""),"Uncle Sams Cider (04/04/2023)")</f>
        <v>Uncle Sams Cider (04/04/2023)</v>
      </c>
      <c r="H7296" s="19"/>
    </row>
    <row r="7297">
      <c r="A7297" s="9"/>
      <c r="B7297" s="15"/>
      <c r="C7297" s="9">
        <f>IFERROR(__xludf.DUMMYFUNCTION("""COMPUTED_VALUE"""),45067.5852627662)</f>
        <v>45067.58526</v>
      </c>
      <c r="D7297" s="15">
        <f>IFERROR(__xludf.DUMMYFUNCTION("""COMPUTED_VALUE"""),1.012)</f>
        <v>1.012</v>
      </c>
      <c r="E7297" s="16">
        <f>IFERROR(__xludf.DUMMYFUNCTION("""COMPUTED_VALUE"""),65.0)</f>
        <v>65</v>
      </c>
      <c r="F7297" s="19" t="str">
        <f>IFERROR(__xludf.DUMMYFUNCTION("""COMPUTED_VALUE"""),"BLUE")</f>
        <v>BLUE</v>
      </c>
      <c r="G7297" s="20" t="str">
        <f>IFERROR(__xludf.DUMMYFUNCTION("""COMPUTED_VALUE"""),"Uncle Sams Cider (04/04/2023)")</f>
        <v>Uncle Sams Cider (04/04/2023)</v>
      </c>
      <c r="H7297" s="19"/>
    </row>
    <row r="7298">
      <c r="A7298" s="9"/>
      <c r="B7298" s="15"/>
      <c r="C7298" s="9">
        <f>IFERROR(__xludf.DUMMYFUNCTION("""COMPUTED_VALUE"""),45067.5748409838)</f>
        <v>45067.57484</v>
      </c>
      <c r="D7298" s="15">
        <f>IFERROR(__xludf.DUMMYFUNCTION("""COMPUTED_VALUE"""),1.012)</f>
        <v>1.012</v>
      </c>
      <c r="E7298" s="16">
        <f>IFERROR(__xludf.DUMMYFUNCTION("""COMPUTED_VALUE"""),65.0)</f>
        <v>65</v>
      </c>
      <c r="F7298" s="19" t="str">
        <f>IFERROR(__xludf.DUMMYFUNCTION("""COMPUTED_VALUE"""),"BLUE")</f>
        <v>BLUE</v>
      </c>
      <c r="G7298" s="20" t="str">
        <f>IFERROR(__xludf.DUMMYFUNCTION("""COMPUTED_VALUE"""),"Uncle Sams Cider (04/04/2023)")</f>
        <v>Uncle Sams Cider (04/04/2023)</v>
      </c>
      <c r="H7298" s="19"/>
    </row>
    <row r="7299">
      <c r="A7299" s="9"/>
      <c r="B7299" s="15"/>
      <c r="C7299" s="9">
        <f>IFERROR(__xludf.DUMMYFUNCTION("""COMPUTED_VALUE"""),45067.5644178009)</f>
        <v>45067.56442</v>
      </c>
      <c r="D7299" s="15">
        <f>IFERROR(__xludf.DUMMYFUNCTION("""COMPUTED_VALUE"""),1.012)</f>
        <v>1.012</v>
      </c>
      <c r="E7299" s="16">
        <f>IFERROR(__xludf.DUMMYFUNCTION("""COMPUTED_VALUE"""),65.0)</f>
        <v>65</v>
      </c>
      <c r="F7299" s="19" t="str">
        <f>IFERROR(__xludf.DUMMYFUNCTION("""COMPUTED_VALUE"""),"BLUE")</f>
        <v>BLUE</v>
      </c>
      <c r="G7299" s="20" t="str">
        <f>IFERROR(__xludf.DUMMYFUNCTION("""COMPUTED_VALUE"""),"Uncle Sams Cider (04/04/2023)")</f>
        <v>Uncle Sams Cider (04/04/2023)</v>
      </c>
      <c r="H7299" s="19"/>
    </row>
    <row r="7300">
      <c r="A7300" s="9"/>
      <c r="B7300" s="15"/>
      <c r="C7300" s="9">
        <f>IFERROR(__xludf.DUMMYFUNCTION("""COMPUTED_VALUE"""),45067.5539959722)</f>
        <v>45067.554</v>
      </c>
      <c r="D7300" s="15">
        <f>IFERROR(__xludf.DUMMYFUNCTION("""COMPUTED_VALUE"""),1.012)</f>
        <v>1.012</v>
      </c>
      <c r="E7300" s="16">
        <f>IFERROR(__xludf.DUMMYFUNCTION("""COMPUTED_VALUE"""),65.0)</f>
        <v>65</v>
      </c>
      <c r="F7300" s="19" t="str">
        <f>IFERROR(__xludf.DUMMYFUNCTION("""COMPUTED_VALUE"""),"BLUE")</f>
        <v>BLUE</v>
      </c>
      <c r="G7300" s="20" t="str">
        <f>IFERROR(__xludf.DUMMYFUNCTION("""COMPUTED_VALUE"""),"Uncle Sams Cider (04/04/2023)")</f>
        <v>Uncle Sams Cider (04/04/2023)</v>
      </c>
      <c r="H7300" s="19"/>
    </row>
    <row r="7301">
      <c r="A7301" s="9"/>
      <c r="B7301" s="15"/>
      <c r="C7301" s="9">
        <f>IFERROR(__xludf.DUMMYFUNCTION("""COMPUTED_VALUE"""),45067.5435746527)</f>
        <v>45067.54357</v>
      </c>
      <c r="D7301" s="15">
        <f>IFERROR(__xludf.DUMMYFUNCTION("""COMPUTED_VALUE"""),1.012)</f>
        <v>1.012</v>
      </c>
      <c r="E7301" s="16">
        <f>IFERROR(__xludf.DUMMYFUNCTION("""COMPUTED_VALUE"""),65.0)</f>
        <v>65</v>
      </c>
      <c r="F7301" s="19" t="str">
        <f>IFERROR(__xludf.DUMMYFUNCTION("""COMPUTED_VALUE"""),"BLUE")</f>
        <v>BLUE</v>
      </c>
      <c r="G7301" s="20" t="str">
        <f>IFERROR(__xludf.DUMMYFUNCTION("""COMPUTED_VALUE"""),"Uncle Sams Cider (04/04/2023)")</f>
        <v>Uncle Sams Cider (04/04/2023)</v>
      </c>
      <c r="H7301" s="19"/>
    </row>
    <row r="7302">
      <c r="A7302" s="9"/>
      <c r="B7302" s="15"/>
      <c r="C7302" s="9">
        <f>IFERROR(__xludf.DUMMYFUNCTION("""COMPUTED_VALUE"""),45067.5331525231)</f>
        <v>45067.53315</v>
      </c>
      <c r="D7302" s="15">
        <f>IFERROR(__xludf.DUMMYFUNCTION("""COMPUTED_VALUE"""),1.012)</f>
        <v>1.012</v>
      </c>
      <c r="E7302" s="16">
        <f>IFERROR(__xludf.DUMMYFUNCTION("""COMPUTED_VALUE"""),65.0)</f>
        <v>65</v>
      </c>
      <c r="F7302" s="19" t="str">
        <f>IFERROR(__xludf.DUMMYFUNCTION("""COMPUTED_VALUE"""),"BLUE")</f>
        <v>BLUE</v>
      </c>
      <c r="G7302" s="20" t="str">
        <f>IFERROR(__xludf.DUMMYFUNCTION("""COMPUTED_VALUE"""),"Uncle Sams Cider (04/04/2023)")</f>
        <v>Uncle Sams Cider (04/04/2023)</v>
      </c>
      <c r="H7302" s="19"/>
    </row>
    <row r="7303">
      <c r="A7303" s="9"/>
      <c r="B7303" s="15"/>
      <c r="C7303" s="9">
        <f>IFERROR(__xludf.DUMMYFUNCTION("""COMPUTED_VALUE"""),45067.5227317245)</f>
        <v>45067.52273</v>
      </c>
      <c r="D7303" s="15">
        <f>IFERROR(__xludf.DUMMYFUNCTION("""COMPUTED_VALUE"""),1.012)</f>
        <v>1.012</v>
      </c>
      <c r="E7303" s="16">
        <f>IFERROR(__xludf.DUMMYFUNCTION("""COMPUTED_VALUE"""),65.0)</f>
        <v>65</v>
      </c>
      <c r="F7303" s="19" t="str">
        <f>IFERROR(__xludf.DUMMYFUNCTION("""COMPUTED_VALUE"""),"BLUE")</f>
        <v>BLUE</v>
      </c>
      <c r="G7303" s="20" t="str">
        <f>IFERROR(__xludf.DUMMYFUNCTION("""COMPUTED_VALUE"""),"Uncle Sams Cider (04/04/2023)")</f>
        <v>Uncle Sams Cider (04/04/2023)</v>
      </c>
      <c r="H7303" s="19"/>
    </row>
    <row r="7304">
      <c r="A7304" s="9"/>
      <c r="B7304" s="15"/>
      <c r="C7304" s="9">
        <f>IFERROR(__xludf.DUMMYFUNCTION("""COMPUTED_VALUE"""),45067.5122978819)</f>
        <v>45067.5123</v>
      </c>
      <c r="D7304" s="15">
        <f>IFERROR(__xludf.DUMMYFUNCTION("""COMPUTED_VALUE"""),1.012)</f>
        <v>1.012</v>
      </c>
      <c r="E7304" s="16">
        <f>IFERROR(__xludf.DUMMYFUNCTION("""COMPUTED_VALUE"""),65.0)</f>
        <v>65</v>
      </c>
      <c r="F7304" s="19" t="str">
        <f>IFERROR(__xludf.DUMMYFUNCTION("""COMPUTED_VALUE"""),"BLUE")</f>
        <v>BLUE</v>
      </c>
      <c r="G7304" s="20" t="str">
        <f>IFERROR(__xludf.DUMMYFUNCTION("""COMPUTED_VALUE"""),"Uncle Sams Cider (04/04/2023)")</f>
        <v>Uncle Sams Cider (04/04/2023)</v>
      </c>
      <c r="H7304" s="19"/>
    </row>
    <row r="7305">
      <c r="A7305" s="9"/>
      <c r="B7305" s="15"/>
      <c r="C7305" s="9">
        <f>IFERROR(__xludf.DUMMYFUNCTION("""COMPUTED_VALUE"""),45067.50187478)</f>
        <v>45067.50187</v>
      </c>
      <c r="D7305" s="15">
        <f>IFERROR(__xludf.DUMMYFUNCTION("""COMPUTED_VALUE"""),1.012)</f>
        <v>1.012</v>
      </c>
      <c r="E7305" s="16">
        <f>IFERROR(__xludf.DUMMYFUNCTION("""COMPUTED_VALUE"""),65.0)</f>
        <v>65</v>
      </c>
      <c r="F7305" s="19" t="str">
        <f>IFERROR(__xludf.DUMMYFUNCTION("""COMPUTED_VALUE"""),"BLUE")</f>
        <v>BLUE</v>
      </c>
      <c r="G7305" s="20" t="str">
        <f>IFERROR(__xludf.DUMMYFUNCTION("""COMPUTED_VALUE"""),"Uncle Sams Cider (04/04/2023)")</f>
        <v>Uncle Sams Cider (04/04/2023)</v>
      </c>
      <c r="H7305" s="19"/>
    </row>
    <row r="7306">
      <c r="A7306" s="9"/>
      <c r="B7306" s="15"/>
      <c r="C7306" s="9">
        <f>IFERROR(__xludf.DUMMYFUNCTION("""COMPUTED_VALUE"""),45067.4914422222)</f>
        <v>45067.49144</v>
      </c>
      <c r="D7306" s="15">
        <f>IFERROR(__xludf.DUMMYFUNCTION("""COMPUTED_VALUE"""),1.012)</f>
        <v>1.012</v>
      </c>
      <c r="E7306" s="16">
        <f>IFERROR(__xludf.DUMMYFUNCTION("""COMPUTED_VALUE"""),65.0)</f>
        <v>65</v>
      </c>
      <c r="F7306" s="19" t="str">
        <f>IFERROR(__xludf.DUMMYFUNCTION("""COMPUTED_VALUE"""),"BLUE")</f>
        <v>BLUE</v>
      </c>
      <c r="G7306" s="20" t="str">
        <f>IFERROR(__xludf.DUMMYFUNCTION("""COMPUTED_VALUE"""),"Uncle Sams Cider (04/04/2023)")</f>
        <v>Uncle Sams Cider (04/04/2023)</v>
      </c>
      <c r="H7306" s="19"/>
    </row>
    <row r="7307">
      <c r="A7307" s="9"/>
      <c r="B7307" s="15"/>
      <c r="C7307" s="9">
        <f>IFERROR(__xludf.DUMMYFUNCTION("""COMPUTED_VALUE"""),45067.4810200578)</f>
        <v>45067.48102</v>
      </c>
      <c r="D7307" s="15">
        <f>IFERROR(__xludf.DUMMYFUNCTION("""COMPUTED_VALUE"""),1.012)</f>
        <v>1.012</v>
      </c>
      <c r="E7307" s="16">
        <f>IFERROR(__xludf.DUMMYFUNCTION("""COMPUTED_VALUE"""),65.0)</f>
        <v>65</v>
      </c>
      <c r="F7307" s="19" t="str">
        <f>IFERROR(__xludf.DUMMYFUNCTION("""COMPUTED_VALUE"""),"BLUE")</f>
        <v>BLUE</v>
      </c>
      <c r="G7307" s="20" t="str">
        <f>IFERROR(__xludf.DUMMYFUNCTION("""COMPUTED_VALUE"""),"Uncle Sams Cider (04/04/2023)")</f>
        <v>Uncle Sams Cider (04/04/2023)</v>
      </c>
      <c r="H7307" s="19"/>
    </row>
    <row r="7308">
      <c r="A7308" s="9"/>
      <c r="B7308" s="15"/>
      <c r="C7308" s="9">
        <f>IFERROR(__xludf.DUMMYFUNCTION("""COMPUTED_VALUE"""),45067.4705752893)</f>
        <v>45067.47058</v>
      </c>
      <c r="D7308" s="15">
        <f>IFERROR(__xludf.DUMMYFUNCTION("""COMPUTED_VALUE"""),1.012)</f>
        <v>1.012</v>
      </c>
      <c r="E7308" s="16">
        <f>IFERROR(__xludf.DUMMYFUNCTION("""COMPUTED_VALUE"""),65.0)</f>
        <v>65</v>
      </c>
      <c r="F7308" s="19" t="str">
        <f>IFERROR(__xludf.DUMMYFUNCTION("""COMPUTED_VALUE"""),"BLUE")</f>
        <v>BLUE</v>
      </c>
      <c r="G7308" s="20" t="str">
        <f>IFERROR(__xludf.DUMMYFUNCTION("""COMPUTED_VALUE"""),"Uncle Sams Cider (04/04/2023)")</f>
        <v>Uncle Sams Cider (04/04/2023)</v>
      </c>
      <c r="H7308" s="19"/>
    </row>
    <row r="7309">
      <c r="A7309" s="9"/>
      <c r="B7309" s="15"/>
      <c r="C7309" s="9">
        <f>IFERROR(__xludf.DUMMYFUNCTION("""COMPUTED_VALUE"""),45067.4601420601)</f>
        <v>45067.46014</v>
      </c>
      <c r="D7309" s="15">
        <f>IFERROR(__xludf.DUMMYFUNCTION("""COMPUTED_VALUE"""),1.012)</f>
        <v>1.012</v>
      </c>
      <c r="E7309" s="16">
        <f>IFERROR(__xludf.DUMMYFUNCTION("""COMPUTED_VALUE"""),65.0)</f>
        <v>65</v>
      </c>
      <c r="F7309" s="19" t="str">
        <f>IFERROR(__xludf.DUMMYFUNCTION("""COMPUTED_VALUE"""),"BLUE")</f>
        <v>BLUE</v>
      </c>
      <c r="G7309" s="20" t="str">
        <f>IFERROR(__xludf.DUMMYFUNCTION("""COMPUTED_VALUE"""),"Uncle Sams Cider (04/04/2023)")</f>
        <v>Uncle Sams Cider (04/04/2023)</v>
      </c>
      <c r="H7309" s="19"/>
    </row>
    <row r="7310">
      <c r="A7310" s="9"/>
      <c r="B7310" s="15"/>
      <c r="C7310" s="9">
        <f>IFERROR(__xludf.DUMMYFUNCTION("""COMPUTED_VALUE"""),45067.449720868)</f>
        <v>45067.44972</v>
      </c>
      <c r="D7310" s="15">
        <f>IFERROR(__xludf.DUMMYFUNCTION("""COMPUTED_VALUE"""),1.012)</f>
        <v>1.012</v>
      </c>
      <c r="E7310" s="16">
        <f>IFERROR(__xludf.DUMMYFUNCTION("""COMPUTED_VALUE"""),65.0)</f>
        <v>65</v>
      </c>
      <c r="F7310" s="19" t="str">
        <f>IFERROR(__xludf.DUMMYFUNCTION("""COMPUTED_VALUE"""),"BLUE")</f>
        <v>BLUE</v>
      </c>
      <c r="G7310" s="20" t="str">
        <f>IFERROR(__xludf.DUMMYFUNCTION("""COMPUTED_VALUE"""),"Uncle Sams Cider (04/04/2023)")</f>
        <v>Uncle Sams Cider (04/04/2023)</v>
      </c>
      <c r="H7310" s="19"/>
    </row>
    <row r="7311">
      <c r="A7311" s="9"/>
      <c r="B7311" s="15"/>
      <c r="C7311" s="9">
        <f>IFERROR(__xludf.DUMMYFUNCTION("""COMPUTED_VALUE"""),45067.4393027893)</f>
        <v>45067.4393</v>
      </c>
      <c r="D7311" s="15">
        <f>IFERROR(__xludf.DUMMYFUNCTION("""COMPUTED_VALUE"""),1.012)</f>
        <v>1.012</v>
      </c>
      <c r="E7311" s="16">
        <f>IFERROR(__xludf.DUMMYFUNCTION("""COMPUTED_VALUE"""),65.0)</f>
        <v>65</v>
      </c>
      <c r="F7311" s="19" t="str">
        <f>IFERROR(__xludf.DUMMYFUNCTION("""COMPUTED_VALUE"""),"BLUE")</f>
        <v>BLUE</v>
      </c>
      <c r="G7311" s="20" t="str">
        <f>IFERROR(__xludf.DUMMYFUNCTION("""COMPUTED_VALUE"""),"Uncle Sams Cider (04/04/2023)")</f>
        <v>Uncle Sams Cider (04/04/2023)</v>
      </c>
      <c r="H7311" s="19"/>
    </row>
    <row r="7312">
      <c r="A7312" s="9"/>
      <c r="B7312" s="15"/>
      <c r="C7312" s="9">
        <f>IFERROR(__xludf.DUMMYFUNCTION("""COMPUTED_VALUE"""),45067.428881956)</f>
        <v>45067.42888</v>
      </c>
      <c r="D7312" s="15">
        <f>IFERROR(__xludf.DUMMYFUNCTION("""COMPUTED_VALUE"""),1.012)</f>
        <v>1.012</v>
      </c>
      <c r="E7312" s="16">
        <f>IFERROR(__xludf.DUMMYFUNCTION("""COMPUTED_VALUE"""),65.0)</f>
        <v>65</v>
      </c>
      <c r="F7312" s="19" t="str">
        <f>IFERROR(__xludf.DUMMYFUNCTION("""COMPUTED_VALUE"""),"BLUE")</f>
        <v>BLUE</v>
      </c>
      <c r="G7312" s="20" t="str">
        <f>IFERROR(__xludf.DUMMYFUNCTION("""COMPUTED_VALUE"""),"Uncle Sams Cider (04/04/2023)")</f>
        <v>Uncle Sams Cider (04/04/2023)</v>
      </c>
      <c r="H7312" s="19"/>
    </row>
    <row r="7313">
      <c r="A7313" s="9"/>
      <c r="B7313" s="15"/>
      <c r="C7313" s="9">
        <f>IFERROR(__xludf.DUMMYFUNCTION("""COMPUTED_VALUE"""),45067.4184608101)</f>
        <v>45067.41846</v>
      </c>
      <c r="D7313" s="15">
        <f>IFERROR(__xludf.DUMMYFUNCTION("""COMPUTED_VALUE"""),1.012)</f>
        <v>1.012</v>
      </c>
      <c r="E7313" s="16">
        <f>IFERROR(__xludf.DUMMYFUNCTION("""COMPUTED_VALUE"""),65.0)</f>
        <v>65</v>
      </c>
      <c r="F7313" s="19" t="str">
        <f>IFERROR(__xludf.DUMMYFUNCTION("""COMPUTED_VALUE"""),"BLUE")</f>
        <v>BLUE</v>
      </c>
      <c r="G7313" s="20" t="str">
        <f>IFERROR(__xludf.DUMMYFUNCTION("""COMPUTED_VALUE"""),"Uncle Sams Cider (04/04/2023)")</f>
        <v>Uncle Sams Cider (04/04/2023)</v>
      </c>
      <c r="H7313" s="19"/>
    </row>
    <row r="7314">
      <c r="A7314" s="9"/>
      <c r="B7314" s="15"/>
      <c r="C7314" s="9">
        <f>IFERROR(__xludf.DUMMYFUNCTION("""COMPUTED_VALUE"""),45067.4080382175)</f>
        <v>45067.40804</v>
      </c>
      <c r="D7314" s="15">
        <f>IFERROR(__xludf.DUMMYFUNCTION("""COMPUTED_VALUE"""),1.012)</f>
        <v>1.012</v>
      </c>
      <c r="E7314" s="16">
        <f>IFERROR(__xludf.DUMMYFUNCTION("""COMPUTED_VALUE"""),65.0)</f>
        <v>65</v>
      </c>
      <c r="F7314" s="19" t="str">
        <f>IFERROR(__xludf.DUMMYFUNCTION("""COMPUTED_VALUE"""),"BLUE")</f>
        <v>BLUE</v>
      </c>
      <c r="G7314" s="20" t="str">
        <f>IFERROR(__xludf.DUMMYFUNCTION("""COMPUTED_VALUE"""),"Uncle Sams Cider (04/04/2023)")</f>
        <v>Uncle Sams Cider (04/04/2023)</v>
      </c>
      <c r="H7314" s="19"/>
    </row>
    <row r="7315">
      <c r="A7315" s="9"/>
      <c r="B7315" s="15"/>
      <c r="C7315" s="9">
        <f>IFERROR(__xludf.DUMMYFUNCTION("""COMPUTED_VALUE"""),45067.3976178703)</f>
        <v>45067.39762</v>
      </c>
      <c r="D7315" s="15">
        <f>IFERROR(__xludf.DUMMYFUNCTION("""COMPUTED_VALUE"""),1.012)</f>
        <v>1.012</v>
      </c>
      <c r="E7315" s="16">
        <f>IFERROR(__xludf.DUMMYFUNCTION("""COMPUTED_VALUE"""),65.0)</f>
        <v>65</v>
      </c>
      <c r="F7315" s="19" t="str">
        <f>IFERROR(__xludf.DUMMYFUNCTION("""COMPUTED_VALUE"""),"BLUE")</f>
        <v>BLUE</v>
      </c>
      <c r="G7315" s="20" t="str">
        <f>IFERROR(__xludf.DUMMYFUNCTION("""COMPUTED_VALUE"""),"Uncle Sams Cider (04/04/2023)")</f>
        <v>Uncle Sams Cider (04/04/2023)</v>
      </c>
      <c r="H7315" s="19"/>
    </row>
    <row r="7316">
      <c r="A7316" s="9"/>
      <c r="B7316" s="15"/>
      <c r="C7316" s="9">
        <f>IFERROR(__xludf.DUMMYFUNCTION("""COMPUTED_VALUE"""),45067.3871954166)</f>
        <v>45067.3872</v>
      </c>
      <c r="D7316" s="15">
        <f>IFERROR(__xludf.DUMMYFUNCTION("""COMPUTED_VALUE"""),1.012)</f>
        <v>1.012</v>
      </c>
      <c r="E7316" s="16">
        <f>IFERROR(__xludf.DUMMYFUNCTION("""COMPUTED_VALUE"""),65.0)</f>
        <v>65</v>
      </c>
      <c r="F7316" s="19" t="str">
        <f>IFERROR(__xludf.DUMMYFUNCTION("""COMPUTED_VALUE"""),"BLUE")</f>
        <v>BLUE</v>
      </c>
      <c r="G7316" s="20" t="str">
        <f>IFERROR(__xludf.DUMMYFUNCTION("""COMPUTED_VALUE"""),"Uncle Sams Cider (04/04/2023)")</f>
        <v>Uncle Sams Cider (04/04/2023)</v>
      </c>
      <c r="H7316" s="19"/>
    </row>
    <row r="7317">
      <c r="A7317" s="9"/>
      <c r="B7317" s="15"/>
      <c r="C7317" s="9">
        <f>IFERROR(__xludf.DUMMYFUNCTION("""COMPUTED_VALUE"""),45067.3767767824)</f>
        <v>45067.37678</v>
      </c>
      <c r="D7317" s="15">
        <f>IFERROR(__xludf.DUMMYFUNCTION("""COMPUTED_VALUE"""),1.012)</f>
        <v>1.012</v>
      </c>
      <c r="E7317" s="16">
        <f>IFERROR(__xludf.DUMMYFUNCTION("""COMPUTED_VALUE"""),65.0)</f>
        <v>65</v>
      </c>
      <c r="F7317" s="19" t="str">
        <f>IFERROR(__xludf.DUMMYFUNCTION("""COMPUTED_VALUE"""),"BLUE")</f>
        <v>BLUE</v>
      </c>
      <c r="G7317" s="20" t="str">
        <f>IFERROR(__xludf.DUMMYFUNCTION("""COMPUTED_VALUE"""),"Uncle Sams Cider (04/04/2023)")</f>
        <v>Uncle Sams Cider (04/04/2023)</v>
      </c>
      <c r="H7317" s="19"/>
    </row>
    <row r="7318">
      <c r="A7318" s="9"/>
      <c r="B7318" s="15"/>
      <c r="C7318" s="9">
        <f>IFERROR(__xludf.DUMMYFUNCTION("""COMPUTED_VALUE"""),45067.3663551967)</f>
        <v>45067.36636</v>
      </c>
      <c r="D7318" s="15">
        <f>IFERROR(__xludf.DUMMYFUNCTION("""COMPUTED_VALUE"""),1.012)</f>
        <v>1.012</v>
      </c>
      <c r="E7318" s="16">
        <f>IFERROR(__xludf.DUMMYFUNCTION("""COMPUTED_VALUE"""),65.0)</f>
        <v>65</v>
      </c>
      <c r="F7318" s="19" t="str">
        <f>IFERROR(__xludf.DUMMYFUNCTION("""COMPUTED_VALUE"""),"BLUE")</f>
        <v>BLUE</v>
      </c>
      <c r="G7318" s="20" t="str">
        <f>IFERROR(__xludf.DUMMYFUNCTION("""COMPUTED_VALUE"""),"Uncle Sams Cider (04/04/2023)")</f>
        <v>Uncle Sams Cider (04/04/2023)</v>
      </c>
      <c r="H7318" s="19"/>
    </row>
    <row r="7319">
      <c r="A7319" s="9"/>
      <c r="B7319" s="15"/>
      <c r="C7319" s="9">
        <f>IFERROR(__xludf.DUMMYFUNCTION("""COMPUTED_VALUE"""),45067.3559339467)</f>
        <v>45067.35593</v>
      </c>
      <c r="D7319" s="15">
        <f>IFERROR(__xludf.DUMMYFUNCTION("""COMPUTED_VALUE"""),1.012)</f>
        <v>1.012</v>
      </c>
      <c r="E7319" s="16">
        <f>IFERROR(__xludf.DUMMYFUNCTION("""COMPUTED_VALUE"""),65.0)</f>
        <v>65</v>
      </c>
      <c r="F7319" s="19" t="str">
        <f>IFERROR(__xludf.DUMMYFUNCTION("""COMPUTED_VALUE"""),"BLUE")</f>
        <v>BLUE</v>
      </c>
      <c r="G7319" s="20" t="str">
        <f>IFERROR(__xludf.DUMMYFUNCTION("""COMPUTED_VALUE"""),"Uncle Sams Cider (04/04/2023)")</f>
        <v>Uncle Sams Cider (04/04/2023)</v>
      </c>
      <c r="H7319" s="19"/>
    </row>
    <row r="7320">
      <c r="A7320" s="9"/>
      <c r="B7320" s="15"/>
      <c r="C7320" s="9">
        <f>IFERROR(__xludf.DUMMYFUNCTION("""COMPUTED_VALUE"""),45067.3455135416)</f>
        <v>45067.34551</v>
      </c>
      <c r="D7320" s="15">
        <f>IFERROR(__xludf.DUMMYFUNCTION("""COMPUTED_VALUE"""),1.012)</f>
        <v>1.012</v>
      </c>
      <c r="E7320" s="16">
        <f>IFERROR(__xludf.DUMMYFUNCTION("""COMPUTED_VALUE"""),65.0)</f>
        <v>65</v>
      </c>
      <c r="F7320" s="19" t="str">
        <f>IFERROR(__xludf.DUMMYFUNCTION("""COMPUTED_VALUE"""),"BLUE")</f>
        <v>BLUE</v>
      </c>
      <c r="G7320" s="20" t="str">
        <f>IFERROR(__xludf.DUMMYFUNCTION("""COMPUTED_VALUE"""),"Uncle Sams Cider (04/04/2023)")</f>
        <v>Uncle Sams Cider (04/04/2023)</v>
      </c>
      <c r="H7320" s="19"/>
    </row>
    <row r="7321">
      <c r="A7321" s="9"/>
      <c r="B7321" s="15"/>
      <c r="C7321" s="9">
        <f>IFERROR(__xludf.DUMMYFUNCTION("""COMPUTED_VALUE"""),45067.3350805671)</f>
        <v>45067.33508</v>
      </c>
      <c r="D7321" s="15">
        <f>IFERROR(__xludf.DUMMYFUNCTION("""COMPUTED_VALUE"""),1.012)</f>
        <v>1.012</v>
      </c>
      <c r="E7321" s="16">
        <f>IFERROR(__xludf.DUMMYFUNCTION("""COMPUTED_VALUE"""),65.0)</f>
        <v>65</v>
      </c>
      <c r="F7321" s="19" t="str">
        <f>IFERROR(__xludf.DUMMYFUNCTION("""COMPUTED_VALUE"""),"BLUE")</f>
        <v>BLUE</v>
      </c>
      <c r="G7321" s="20" t="str">
        <f>IFERROR(__xludf.DUMMYFUNCTION("""COMPUTED_VALUE"""),"Uncle Sams Cider (04/04/2023)")</f>
        <v>Uncle Sams Cider (04/04/2023)</v>
      </c>
      <c r="H7321" s="19"/>
    </row>
    <row r="7322">
      <c r="A7322" s="9"/>
      <c r="B7322" s="15"/>
      <c r="C7322" s="9">
        <f>IFERROR(__xludf.DUMMYFUNCTION("""COMPUTED_VALUE"""),45067.3246594213)</f>
        <v>45067.32466</v>
      </c>
      <c r="D7322" s="15">
        <f>IFERROR(__xludf.DUMMYFUNCTION("""COMPUTED_VALUE"""),1.012)</f>
        <v>1.012</v>
      </c>
      <c r="E7322" s="16">
        <f>IFERROR(__xludf.DUMMYFUNCTION("""COMPUTED_VALUE"""),65.0)</f>
        <v>65</v>
      </c>
      <c r="F7322" s="19" t="str">
        <f>IFERROR(__xludf.DUMMYFUNCTION("""COMPUTED_VALUE"""),"BLUE")</f>
        <v>BLUE</v>
      </c>
      <c r="G7322" s="20" t="str">
        <f>IFERROR(__xludf.DUMMYFUNCTION("""COMPUTED_VALUE"""),"Uncle Sams Cider (04/04/2023)")</f>
        <v>Uncle Sams Cider (04/04/2023)</v>
      </c>
      <c r="H7322" s="19"/>
    </row>
    <row r="7323">
      <c r="A7323" s="9"/>
      <c r="B7323" s="15"/>
      <c r="C7323" s="9">
        <f>IFERROR(__xludf.DUMMYFUNCTION("""COMPUTED_VALUE"""),45067.3142154166)</f>
        <v>45067.31422</v>
      </c>
      <c r="D7323" s="15">
        <f>IFERROR(__xludf.DUMMYFUNCTION("""COMPUTED_VALUE"""),1.012)</f>
        <v>1.012</v>
      </c>
      <c r="E7323" s="16">
        <f>IFERROR(__xludf.DUMMYFUNCTION("""COMPUTED_VALUE"""),65.0)</f>
        <v>65</v>
      </c>
      <c r="F7323" s="19" t="str">
        <f>IFERROR(__xludf.DUMMYFUNCTION("""COMPUTED_VALUE"""),"BLUE")</f>
        <v>BLUE</v>
      </c>
      <c r="G7323" s="20" t="str">
        <f>IFERROR(__xludf.DUMMYFUNCTION("""COMPUTED_VALUE"""),"Uncle Sams Cider (04/04/2023)")</f>
        <v>Uncle Sams Cider (04/04/2023)</v>
      </c>
      <c r="H7323" s="19"/>
    </row>
    <row r="7324">
      <c r="A7324" s="9"/>
      <c r="B7324" s="15"/>
      <c r="C7324" s="9">
        <f>IFERROR(__xludf.DUMMYFUNCTION("""COMPUTED_VALUE"""),45067.3037860416)</f>
        <v>45067.30379</v>
      </c>
      <c r="D7324" s="15">
        <f>IFERROR(__xludf.DUMMYFUNCTION("""COMPUTED_VALUE"""),1.012)</f>
        <v>1.012</v>
      </c>
      <c r="E7324" s="16">
        <f>IFERROR(__xludf.DUMMYFUNCTION("""COMPUTED_VALUE"""),65.0)</f>
        <v>65</v>
      </c>
      <c r="F7324" s="19" t="str">
        <f>IFERROR(__xludf.DUMMYFUNCTION("""COMPUTED_VALUE"""),"BLUE")</f>
        <v>BLUE</v>
      </c>
      <c r="G7324" s="20" t="str">
        <f>IFERROR(__xludf.DUMMYFUNCTION("""COMPUTED_VALUE"""),"Uncle Sams Cider (04/04/2023)")</f>
        <v>Uncle Sams Cider (04/04/2023)</v>
      </c>
      <c r="H7324" s="19"/>
    </row>
    <row r="7325">
      <c r="A7325" s="9"/>
      <c r="B7325" s="15"/>
      <c r="C7325" s="9">
        <f>IFERROR(__xludf.DUMMYFUNCTION("""COMPUTED_VALUE"""),45067.2933629513)</f>
        <v>45067.29336</v>
      </c>
      <c r="D7325" s="15">
        <f>IFERROR(__xludf.DUMMYFUNCTION("""COMPUTED_VALUE"""),1.012)</f>
        <v>1.012</v>
      </c>
      <c r="E7325" s="16">
        <f>IFERROR(__xludf.DUMMYFUNCTION("""COMPUTED_VALUE"""),65.0)</f>
        <v>65</v>
      </c>
      <c r="F7325" s="19" t="str">
        <f>IFERROR(__xludf.DUMMYFUNCTION("""COMPUTED_VALUE"""),"BLUE")</f>
        <v>BLUE</v>
      </c>
      <c r="G7325" s="20" t="str">
        <f>IFERROR(__xludf.DUMMYFUNCTION("""COMPUTED_VALUE"""),"Uncle Sams Cider (04/04/2023)")</f>
        <v>Uncle Sams Cider (04/04/2023)</v>
      </c>
      <c r="H7325" s="19"/>
    </row>
    <row r="7326">
      <c r="A7326" s="9"/>
      <c r="B7326" s="15"/>
      <c r="C7326" s="9">
        <f>IFERROR(__xludf.DUMMYFUNCTION("""COMPUTED_VALUE"""),45067.282940868)</f>
        <v>45067.28294</v>
      </c>
      <c r="D7326" s="15">
        <f>IFERROR(__xludf.DUMMYFUNCTION("""COMPUTED_VALUE"""),1.012)</f>
        <v>1.012</v>
      </c>
      <c r="E7326" s="16">
        <f>IFERROR(__xludf.DUMMYFUNCTION("""COMPUTED_VALUE"""),65.0)</f>
        <v>65</v>
      </c>
      <c r="F7326" s="19" t="str">
        <f>IFERROR(__xludf.DUMMYFUNCTION("""COMPUTED_VALUE"""),"BLUE")</f>
        <v>BLUE</v>
      </c>
      <c r="G7326" s="20" t="str">
        <f>IFERROR(__xludf.DUMMYFUNCTION("""COMPUTED_VALUE"""),"Uncle Sams Cider (04/04/2023)")</f>
        <v>Uncle Sams Cider (04/04/2023)</v>
      </c>
      <c r="H7326" s="19"/>
    </row>
    <row r="7327">
      <c r="A7327" s="9"/>
      <c r="B7327" s="15"/>
      <c r="C7327" s="9">
        <f>IFERROR(__xludf.DUMMYFUNCTION("""COMPUTED_VALUE"""),45067.2725202199)</f>
        <v>45067.27252</v>
      </c>
      <c r="D7327" s="15">
        <f>IFERROR(__xludf.DUMMYFUNCTION("""COMPUTED_VALUE"""),1.012)</f>
        <v>1.012</v>
      </c>
      <c r="E7327" s="16">
        <f>IFERROR(__xludf.DUMMYFUNCTION("""COMPUTED_VALUE"""),65.0)</f>
        <v>65</v>
      </c>
      <c r="F7327" s="19" t="str">
        <f>IFERROR(__xludf.DUMMYFUNCTION("""COMPUTED_VALUE"""),"BLUE")</f>
        <v>BLUE</v>
      </c>
      <c r="G7327" s="20" t="str">
        <f>IFERROR(__xludf.DUMMYFUNCTION("""COMPUTED_VALUE"""),"Uncle Sams Cider (04/04/2023)")</f>
        <v>Uncle Sams Cider (04/04/2023)</v>
      </c>
      <c r="H7327" s="19"/>
    </row>
    <row r="7328">
      <c r="A7328" s="9"/>
      <c r="B7328" s="15"/>
      <c r="C7328" s="9">
        <f>IFERROR(__xludf.DUMMYFUNCTION("""COMPUTED_VALUE"""),45067.2620978472)</f>
        <v>45067.2621</v>
      </c>
      <c r="D7328" s="15">
        <f>IFERROR(__xludf.DUMMYFUNCTION("""COMPUTED_VALUE"""),1.012)</f>
        <v>1.012</v>
      </c>
      <c r="E7328" s="16">
        <f>IFERROR(__xludf.DUMMYFUNCTION("""COMPUTED_VALUE"""),65.0)</f>
        <v>65</v>
      </c>
      <c r="F7328" s="19" t="str">
        <f>IFERROR(__xludf.DUMMYFUNCTION("""COMPUTED_VALUE"""),"BLUE")</f>
        <v>BLUE</v>
      </c>
      <c r="G7328" s="20" t="str">
        <f>IFERROR(__xludf.DUMMYFUNCTION("""COMPUTED_VALUE"""),"Uncle Sams Cider (04/04/2023)")</f>
        <v>Uncle Sams Cider (04/04/2023)</v>
      </c>
      <c r="H7328" s="19"/>
    </row>
    <row r="7329">
      <c r="A7329" s="9"/>
      <c r="B7329" s="15"/>
      <c r="C7329" s="9">
        <f>IFERROR(__xludf.DUMMYFUNCTION("""COMPUTED_VALUE"""),45067.2516757291)</f>
        <v>45067.25168</v>
      </c>
      <c r="D7329" s="15">
        <f>IFERROR(__xludf.DUMMYFUNCTION("""COMPUTED_VALUE"""),1.012)</f>
        <v>1.012</v>
      </c>
      <c r="E7329" s="16">
        <f>IFERROR(__xludf.DUMMYFUNCTION("""COMPUTED_VALUE"""),65.0)</f>
        <v>65</v>
      </c>
      <c r="F7329" s="19" t="str">
        <f>IFERROR(__xludf.DUMMYFUNCTION("""COMPUTED_VALUE"""),"BLUE")</f>
        <v>BLUE</v>
      </c>
      <c r="G7329" s="20" t="str">
        <f>IFERROR(__xludf.DUMMYFUNCTION("""COMPUTED_VALUE"""),"Uncle Sams Cider (04/04/2023)")</f>
        <v>Uncle Sams Cider (04/04/2023)</v>
      </c>
      <c r="H7329" s="19"/>
    </row>
    <row r="7330">
      <c r="A7330" s="9"/>
      <c r="B7330" s="15"/>
      <c r="C7330" s="9">
        <f>IFERROR(__xludf.DUMMYFUNCTION("""COMPUTED_VALUE"""),45067.2412546296)</f>
        <v>45067.24125</v>
      </c>
      <c r="D7330" s="15">
        <f>IFERROR(__xludf.DUMMYFUNCTION("""COMPUTED_VALUE"""),1.012)</f>
        <v>1.012</v>
      </c>
      <c r="E7330" s="16">
        <f>IFERROR(__xludf.DUMMYFUNCTION("""COMPUTED_VALUE"""),65.0)</f>
        <v>65</v>
      </c>
      <c r="F7330" s="19" t="str">
        <f>IFERROR(__xludf.DUMMYFUNCTION("""COMPUTED_VALUE"""),"BLUE")</f>
        <v>BLUE</v>
      </c>
      <c r="G7330" s="20" t="str">
        <f>IFERROR(__xludf.DUMMYFUNCTION("""COMPUTED_VALUE"""),"Uncle Sams Cider (04/04/2023)")</f>
        <v>Uncle Sams Cider (04/04/2023)</v>
      </c>
      <c r="H7330" s="19"/>
    </row>
    <row r="7331">
      <c r="A7331" s="9"/>
      <c r="B7331" s="15"/>
      <c r="C7331" s="9">
        <f>IFERROR(__xludf.DUMMYFUNCTION("""COMPUTED_VALUE"""),45067.2308341666)</f>
        <v>45067.23083</v>
      </c>
      <c r="D7331" s="15">
        <f>IFERROR(__xludf.DUMMYFUNCTION("""COMPUTED_VALUE"""),1.012)</f>
        <v>1.012</v>
      </c>
      <c r="E7331" s="16">
        <f>IFERROR(__xludf.DUMMYFUNCTION("""COMPUTED_VALUE"""),65.0)</f>
        <v>65</v>
      </c>
      <c r="F7331" s="19" t="str">
        <f>IFERROR(__xludf.DUMMYFUNCTION("""COMPUTED_VALUE"""),"BLUE")</f>
        <v>BLUE</v>
      </c>
      <c r="G7331" s="20" t="str">
        <f>IFERROR(__xludf.DUMMYFUNCTION("""COMPUTED_VALUE"""),"Uncle Sams Cider (04/04/2023)")</f>
        <v>Uncle Sams Cider (04/04/2023)</v>
      </c>
      <c r="H7331" s="19"/>
    </row>
    <row r="7332">
      <c r="A7332" s="9"/>
      <c r="B7332" s="15"/>
      <c r="C7332" s="9">
        <f>IFERROR(__xludf.DUMMYFUNCTION("""COMPUTED_VALUE"""),45067.2204008333)</f>
        <v>45067.2204</v>
      </c>
      <c r="D7332" s="15">
        <f>IFERROR(__xludf.DUMMYFUNCTION("""COMPUTED_VALUE"""),1.012)</f>
        <v>1.012</v>
      </c>
      <c r="E7332" s="16">
        <f>IFERROR(__xludf.DUMMYFUNCTION("""COMPUTED_VALUE"""),65.0)</f>
        <v>65</v>
      </c>
      <c r="F7332" s="19" t="str">
        <f>IFERROR(__xludf.DUMMYFUNCTION("""COMPUTED_VALUE"""),"BLUE")</f>
        <v>BLUE</v>
      </c>
      <c r="G7332" s="20" t="str">
        <f>IFERROR(__xludf.DUMMYFUNCTION("""COMPUTED_VALUE"""),"Uncle Sams Cider (04/04/2023)")</f>
        <v>Uncle Sams Cider (04/04/2023)</v>
      </c>
      <c r="H7332" s="19"/>
    </row>
    <row r="7333">
      <c r="A7333" s="9"/>
      <c r="B7333" s="15"/>
      <c r="C7333" s="9">
        <f>IFERROR(__xludf.DUMMYFUNCTION("""COMPUTED_VALUE"""),45067.2099804398)</f>
        <v>45067.20998</v>
      </c>
      <c r="D7333" s="15">
        <f>IFERROR(__xludf.DUMMYFUNCTION("""COMPUTED_VALUE"""),1.012)</f>
        <v>1.012</v>
      </c>
      <c r="E7333" s="16">
        <f>IFERROR(__xludf.DUMMYFUNCTION("""COMPUTED_VALUE"""),65.0)</f>
        <v>65</v>
      </c>
      <c r="F7333" s="19" t="str">
        <f>IFERROR(__xludf.DUMMYFUNCTION("""COMPUTED_VALUE"""),"BLUE")</f>
        <v>BLUE</v>
      </c>
      <c r="G7333" s="20" t="str">
        <f>IFERROR(__xludf.DUMMYFUNCTION("""COMPUTED_VALUE"""),"Uncle Sams Cider (04/04/2023)")</f>
        <v>Uncle Sams Cider (04/04/2023)</v>
      </c>
      <c r="H7333" s="19"/>
    </row>
    <row r="7334">
      <c r="A7334" s="9"/>
      <c r="B7334" s="15"/>
      <c r="C7334" s="9">
        <f>IFERROR(__xludf.DUMMYFUNCTION("""COMPUTED_VALUE"""),45067.1995605671)</f>
        <v>45067.19956</v>
      </c>
      <c r="D7334" s="15">
        <f>IFERROR(__xludf.DUMMYFUNCTION("""COMPUTED_VALUE"""),1.012)</f>
        <v>1.012</v>
      </c>
      <c r="E7334" s="16">
        <f>IFERROR(__xludf.DUMMYFUNCTION("""COMPUTED_VALUE"""),65.0)</f>
        <v>65</v>
      </c>
      <c r="F7334" s="19" t="str">
        <f>IFERROR(__xludf.DUMMYFUNCTION("""COMPUTED_VALUE"""),"BLUE")</f>
        <v>BLUE</v>
      </c>
      <c r="G7334" s="20" t="str">
        <f>IFERROR(__xludf.DUMMYFUNCTION("""COMPUTED_VALUE"""),"Uncle Sams Cider (04/04/2023)")</f>
        <v>Uncle Sams Cider (04/04/2023)</v>
      </c>
      <c r="H7334" s="19"/>
    </row>
    <row r="7335">
      <c r="A7335" s="9"/>
      <c r="B7335" s="15"/>
      <c r="C7335" s="9">
        <f>IFERROR(__xludf.DUMMYFUNCTION("""COMPUTED_VALUE"""),45067.1891293055)</f>
        <v>45067.18913</v>
      </c>
      <c r="D7335" s="15">
        <f>IFERROR(__xludf.DUMMYFUNCTION("""COMPUTED_VALUE"""),1.012)</f>
        <v>1.012</v>
      </c>
      <c r="E7335" s="16">
        <f>IFERROR(__xludf.DUMMYFUNCTION("""COMPUTED_VALUE"""),65.0)</f>
        <v>65</v>
      </c>
      <c r="F7335" s="19" t="str">
        <f>IFERROR(__xludf.DUMMYFUNCTION("""COMPUTED_VALUE"""),"BLUE")</f>
        <v>BLUE</v>
      </c>
      <c r="G7335" s="20" t="str">
        <f>IFERROR(__xludf.DUMMYFUNCTION("""COMPUTED_VALUE"""),"Uncle Sams Cider (04/04/2023)")</f>
        <v>Uncle Sams Cider (04/04/2023)</v>
      </c>
      <c r="H7335" s="19"/>
    </row>
    <row r="7336">
      <c r="A7336" s="9"/>
      <c r="B7336" s="15"/>
      <c r="C7336" s="9">
        <f>IFERROR(__xludf.DUMMYFUNCTION("""COMPUTED_VALUE"""),45067.1786957986)</f>
        <v>45067.1787</v>
      </c>
      <c r="D7336" s="15">
        <f>IFERROR(__xludf.DUMMYFUNCTION("""COMPUTED_VALUE"""),1.012)</f>
        <v>1.012</v>
      </c>
      <c r="E7336" s="16">
        <f>IFERROR(__xludf.DUMMYFUNCTION("""COMPUTED_VALUE"""),65.0)</f>
        <v>65</v>
      </c>
      <c r="F7336" s="19" t="str">
        <f>IFERROR(__xludf.DUMMYFUNCTION("""COMPUTED_VALUE"""),"BLUE")</f>
        <v>BLUE</v>
      </c>
      <c r="G7336" s="20" t="str">
        <f>IFERROR(__xludf.DUMMYFUNCTION("""COMPUTED_VALUE"""),"Uncle Sams Cider (04/04/2023)")</f>
        <v>Uncle Sams Cider (04/04/2023)</v>
      </c>
      <c r="H7336" s="19"/>
    </row>
    <row r="7337">
      <c r="A7337" s="9"/>
      <c r="B7337" s="15"/>
      <c r="C7337" s="9">
        <f>IFERROR(__xludf.DUMMYFUNCTION("""COMPUTED_VALUE"""),45067.1682752777)</f>
        <v>45067.16828</v>
      </c>
      <c r="D7337" s="15">
        <f>IFERROR(__xludf.DUMMYFUNCTION("""COMPUTED_VALUE"""),1.012)</f>
        <v>1.012</v>
      </c>
      <c r="E7337" s="16">
        <f>IFERROR(__xludf.DUMMYFUNCTION("""COMPUTED_VALUE"""),65.0)</f>
        <v>65</v>
      </c>
      <c r="F7337" s="19" t="str">
        <f>IFERROR(__xludf.DUMMYFUNCTION("""COMPUTED_VALUE"""),"BLUE")</f>
        <v>BLUE</v>
      </c>
      <c r="G7337" s="20" t="str">
        <f>IFERROR(__xludf.DUMMYFUNCTION("""COMPUTED_VALUE"""),"Uncle Sams Cider (04/04/2023)")</f>
        <v>Uncle Sams Cider (04/04/2023)</v>
      </c>
      <c r="H7337" s="19"/>
    </row>
    <row r="7338">
      <c r="A7338" s="9"/>
      <c r="B7338" s="15"/>
      <c r="C7338" s="9">
        <f>IFERROR(__xludf.DUMMYFUNCTION("""COMPUTED_VALUE"""),45067.1578525231)</f>
        <v>45067.15785</v>
      </c>
      <c r="D7338" s="15">
        <f>IFERROR(__xludf.DUMMYFUNCTION("""COMPUTED_VALUE"""),1.012)</f>
        <v>1.012</v>
      </c>
      <c r="E7338" s="16">
        <f>IFERROR(__xludf.DUMMYFUNCTION("""COMPUTED_VALUE"""),65.0)</f>
        <v>65</v>
      </c>
      <c r="F7338" s="19" t="str">
        <f>IFERROR(__xludf.DUMMYFUNCTION("""COMPUTED_VALUE"""),"BLUE")</f>
        <v>BLUE</v>
      </c>
      <c r="G7338" s="20" t="str">
        <f>IFERROR(__xludf.DUMMYFUNCTION("""COMPUTED_VALUE"""),"Uncle Sams Cider (04/04/2023)")</f>
        <v>Uncle Sams Cider (04/04/2023)</v>
      </c>
      <c r="H7338" s="19"/>
    </row>
    <row r="7339">
      <c r="A7339" s="9"/>
      <c r="B7339" s="15"/>
      <c r="C7339" s="9">
        <f>IFERROR(__xludf.DUMMYFUNCTION("""COMPUTED_VALUE"""),45067.1474314351)</f>
        <v>45067.14743</v>
      </c>
      <c r="D7339" s="15">
        <f>IFERROR(__xludf.DUMMYFUNCTION("""COMPUTED_VALUE"""),1.012)</f>
        <v>1.012</v>
      </c>
      <c r="E7339" s="16">
        <f>IFERROR(__xludf.DUMMYFUNCTION("""COMPUTED_VALUE"""),65.0)</f>
        <v>65</v>
      </c>
      <c r="F7339" s="19" t="str">
        <f>IFERROR(__xludf.DUMMYFUNCTION("""COMPUTED_VALUE"""),"BLUE")</f>
        <v>BLUE</v>
      </c>
      <c r="G7339" s="20" t="str">
        <f>IFERROR(__xludf.DUMMYFUNCTION("""COMPUTED_VALUE"""),"Uncle Sams Cider (04/04/2023)")</f>
        <v>Uncle Sams Cider (04/04/2023)</v>
      </c>
      <c r="H7339" s="19"/>
    </row>
    <row r="7340">
      <c r="A7340" s="9"/>
      <c r="B7340" s="15"/>
      <c r="C7340" s="9">
        <f>IFERROR(__xludf.DUMMYFUNCTION("""COMPUTED_VALUE"""),45067.1370099537)</f>
        <v>45067.13701</v>
      </c>
      <c r="D7340" s="15">
        <f>IFERROR(__xludf.DUMMYFUNCTION("""COMPUTED_VALUE"""),1.012)</f>
        <v>1.012</v>
      </c>
      <c r="E7340" s="16">
        <f>IFERROR(__xludf.DUMMYFUNCTION("""COMPUTED_VALUE"""),65.0)</f>
        <v>65</v>
      </c>
      <c r="F7340" s="19" t="str">
        <f>IFERROR(__xludf.DUMMYFUNCTION("""COMPUTED_VALUE"""),"BLUE")</f>
        <v>BLUE</v>
      </c>
      <c r="G7340" s="20" t="str">
        <f>IFERROR(__xludf.DUMMYFUNCTION("""COMPUTED_VALUE"""),"Uncle Sams Cider (04/04/2023)")</f>
        <v>Uncle Sams Cider (04/04/2023)</v>
      </c>
      <c r="H7340" s="19"/>
    </row>
    <row r="7341">
      <c r="A7341" s="9"/>
      <c r="B7341" s="15"/>
      <c r="C7341" s="9">
        <f>IFERROR(__xludf.DUMMYFUNCTION("""COMPUTED_VALUE"""),45067.1265886226)</f>
        <v>45067.12659</v>
      </c>
      <c r="D7341" s="15">
        <f>IFERROR(__xludf.DUMMYFUNCTION("""COMPUTED_VALUE"""),1.012)</f>
        <v>1.012</v>
      </c>
      <c r="E7341" s="16">
        <f>IFERROR(__xludf.DUMMYFUNCTION("""COMPUTED_VALUE"""),64.0)</f>
        <v>64</v>
      </c>
      <c r="F7341" s="19" t="str">
        <f>IFERROR(__xludf.DUMMYFUNCTION("""COMPUTED_VALUE"""),"BLUE")</f>
        <v>BLUE</v>
      </c>
      <c r="G7341" s="20" t="str">
        <f>IFERROR(__xludf.DUMMYFUNCTION("""COMPUTED_VALUE"""),"Uncle Sams Cider (04/04/2023)")</f>
        <v>Uncle Sams Cider (04/04/2023)</v>
      </c>
      <c r="H7341" s="19"/>
    </row>
    <row r="7342">
      <c r="A7342" s="9"/>
      <c r="B7342" s="15"/>
      <c r="C7342" s="9">
        <f>IFERROR(__xludf.DUMMYFUNCTION("""COMPUTED_VALUE"""),45067.1161684953)</f>
        <v>45067.11617</v>
      </c>
      <c r="D7342" s="15">
        <f>IFERROR(__xludf.DUMMYFUNCTION("""COMPUTED_VALUE"""),1.012)</f>
        <v>1.012</v>
      </c>
      <c r="E7342" s="16">
        <f>IFERROR(__xludf.DUMMYFUNCTION("""COMPUTED_VALUE"""),65.0)</f>
        <v>65</v>
      </c>
      <c r="F7342" s="19" t="str">
        <f>IFERROR(__xludf.DUMMYFUNCTION("""COMPUTED_VALUE"""),"BLUE")</f>
        <v>BLUE</v>
      </c>
      <c r="G7342" s="20" t="str">
        <f>IFERROR(__xludf.DUMMYFUNCTION("""COMPUTED_VALUE"""),"Uncle Sams Cider (04/04/2023)")</f>
        <v>Uncle Sams Cider (04/04/2023)</v>
      </c>
      <c r="H7342" s="19"/>
    </row>
    <row r="7343">
      <c r="A7343" s="9"/>
      <c r="B7343" s="15"/>
      <c r="C7343" s="9">
        <f>IFERROR(__xludf.DUMMYFUNCTION("""COMPUTED_VALUE"""),45067.105747581)</f>
        <v>45067.10575</v>
      </c>
      <c r="D7343" s="15">
        <f>IFERROR(__xludf.DUMMYFUNCTION("""COMPUTED_VALUE"""),1.012)</f>
        <v>1.012</v>
      </c>
      <c r="E7343" s="16">
        <f>IFERROR(__xludf.DUMMYFUNCTION("""COMPUTED_VALUE"""),65.0)</f>
        <v>65</v>
      </c>
      <c r="F7343" s="19" t="str">
        <f>IFERROR(__xludf.DUMMYFUNCTION("""COMPUTED_VALUE"""),"BLUE")</f>
        <v>BLUE</v>
      </c>
      <c r="G7343" s="20" t="str">
        <f>IFERROR(__xludf.DUMMYFUNCTION("""COMPUTED_VALUE"""),"Uncle Sams Cider (04/04/2023)")</f>
        <v>Uncle Sams Cider (04/04/2023)</v>
      </c>
      <c r="H7343" s="19"/>
    </row>
    <row r="7344">
      <c r="A7344" s="9"/>
      <c r="B7344" s="15"/>
      <c r="C7344" s="9">
        <f>IFERROR(__xludf.DUMMYFUNCTION("""COMPUTED_VALUE"""),45067.0953039004)</f>
        <v>45067.0953</v>
      </c>
      <c r="D7344" s="15">
        <f>IFERROR(__xludf.DUMMYFUNCTION("""COMPUTED_VALUE"""),1.012)</f>
        <v>1.012</v>
      </c>
      <c r="E7344" s="16">
        <f>IFERROR(__xludf.DUMMYFUNCTION("""COMPUTED_VALUE"""),65.0)</f>
        <v>65</v>
      </c>
      <c r="F7344" s="19" t="str">
        <f>IFERROR(__xludf.DUMMYFUNCTION("""COMPUTED_VALUE"""),"BLUE")</f>
        <v>BLUE</v>
      </c>
      <c r="G7344" s="20" t="str">
        <f>IFERROR(__xludf.DUMMYFUNCTION("""COMPUTED_VALUE"""),"Uncle Sams Cider (04/04/2023)")</f>
        <v>Uncle Sams Cider (04/04/2023)</v>
      </c>
      <c r="H7344" s="19"/>
    </row>
    <row r="7345">
      <c r="A7345" s="9"/>
      <c r="B7345" s="15"/>
      <c r="C7345" s="9">
        <f>IFERROR(__xludf.DUMMYFUNCTION("""COMPUTED_VALUE"""),45067.084882905)</f>
        <v>45067.08488</v>
      </c>
      <c r="D7345" s="15">
        <f>IFERROR(__xludf.DUMMYFUNCTION("""COMPUTED_VALUE"""),1.012)</f>
        <v>1.012</v>
      </c>
      <c r="E7345" s="16">
        <f>IFERROR(__xludf.DUMMYFUNCTION("""COMPUTED_VALUE"""),65.0)</f>
        <v>65</v>
      </c>
      <c r="F7345" s="19" t="str">
        <f>IFERROR(__xludf.DUMMYFUNCTION("""COMPUTED_VALUE"""),"BLUE")</f>
        <v>BLUE</v>
      </c>
      <c r="G7345" s="20" t="str">
        <f>IFERROR(__xludf.DUMMYFUNCTION("""COMPUTED_VALUE"""),"Uncle Sams Cider (04/04/2023)")</f>
        <v>Uncle Sams Cider (04/04/2023)</v>
      </c>
      <c r="H7345" s="19"/>
    </row>
    <row r="7346">
      <c r="A7346" s="9"/>
      <c r="B7346" s="15"/>
      <c r="C7346" s="9">
        <f>IFERROR(__xludf.DUMMYFUNCTION("""COMPUTED_VALUE"""),45067.0744506018)</f>
        <v>45067.07445</v>
      </c>
      <c r="D7346" s="15">
        <f>IFERROR(__xludf.DUMMYFUNCTION("""COMPUTED_VALUE"""),1.012)</f>
        <v>1.012</v>
      </c>
      <c r="E7346" s="16">
        <f>IFERROR(__xludf.DUMMYFUNCTION("""COMPUTED_VALUE"""),65.0)</f>
        <v>65</v>
      </c>
      <c r="F7346" s="19" t="str">
        <f>IFERROR(__xludf.DUMMYFUNCTION("""COMPUTED_VALUE"""),"BLUE")</f>
        <v>BLUE</v>
      </c>
      <c r="G7346" s="20" t="str">
        <f>IFERROR(__xludf.DUMMYFUNCTION("""COMPUTED_VALUE"""),"Uncle Sams Cider (04/04/2023)")</f>
        <v>Uncle Sams Cider (04/04/2023)</v>
      </c>
      <c r="H7346" s="19"/>
    </row>
    <row r="7347">
      <c r="A7347" s="9"/>
      <c r="B7347" s="15"/>
      <c r="C7347" s="9">
        <f>IFERROR(__xludf.DUMMYFUNCTION("""COMPUTED_VALUE"""),45067.0640306944)</f>
        <v>45067.06403</v>
      </c>
      <c r="D7347" s="15">
        <f>IFERROR(__xludf.DUMMYFUNCTION("""COMPUTED_VALUE"""),1.012)</f>
        <v>1.012</v>
      </c>
      <c r="E7347" s="16">
        <f>IFERROR(__xludf.DUMMYFUNCTION("""COMPUTED_VALUE"""),65.0)</f>
        <v>65</v>
      </c>
      <c r="F7347" s="19" t="str">
        <f>IFERROR(__xludf.DUMMYFUNCTION("""COMPUTED_VALUE"""),"BLUE")</f>
        <v>BLUE</v>
      </c>
      <c r="G7347" s="20" t="str">
        <f>IFERROR(__xludf.DUMMYFUNCTION("""COMPUTED_VALUE"""),"Uncle Sams Cider (04/04/2023)")</f>
        <v>Uncle Sams Cider (04/04/2023)</v>
      </c>
      <c r="H7347" s="19"/>
    </row>
    <row r="7348">
      <c r="A7348" s="9"/>
      <c r="B7348" s="15"/>
      <c r="C7348" s="9">
        <f>IFERROR(__xludf.DUMMYFUNCTION("""COMPUTED_VALUE"""),45067.0536085763)</f>
        <v>45067.05361</v>
      </c>
      <c r="D7348" s="15">
        <f>IFERROR(__xludf.DUMMYFUNCTION("""COMPUTED_VALUE"""),1.012)</f>
        <v>1.012</v>
      </c>
      <c r="E7348" s="16">
        <f>IFERROR(__xludf.DUMMYFUNCTION("""COMPUTED_VALUE"""),65.0)</f>
        <v>65</v>
      </c>
      <c r="F7348" s="19" t="str">
        <f>IFERROR(__xludf.DUMMYFUNCTION("""COMPUTED_VALUE"""),"BLUE")</f>
        <v>BLUE</v>
      </c>
      <c r="G7348" s="20" t="str">
        <f>IFERROR(__xludf.DUMMYFUNCTION("""COMPUTED_VALUE"""),"Uncle Sams Cider (04/04/2023)")</f>
        <v>Uncle Sams Cider (04/04/2023)</v>
      </c>
      <c r="H7348" s="19"/>
    </row>
    <row r="7349">
      <c r="A7349" s="9"/>
      <c r="B7349" s="15"/>
      <c r="C7349" s="9">
        <f>IFERROR(__xludf.DUMMYFUNCTION("""COMPUTED_VALUE"""),45067.0431875)</f>
        <v>45067.04319</v>
      </c>
      <c r="D7349" s="15">
        <f>IFERROR(__xludf.DUMMYFUNCTION("""COMPUTED_VALUE"""),1.012)</f>
        <v>1.012</v>
      </c>
      <c r="E7349" s="16">
        <f>IFERROR(__xludf.DUMMYFUNCTION("""COMPUTED_VALUE"""),65.0)</f>
        <v>65</v>
      </c>
      <c r="F7349" s="19" t="str">
        <f>IFERROR(__xludf.DUMMYFUNCTION("""COMPUTED_VALUE"""),"BLUE")</f>
        <v>BLUE</v>
      </c>
      <c r="G7349" s="20" t="str">
        <f>IFERROR(__xludf.DUMMYFUNCTION("""COMPUTED_VALUE"""),"Uncle Sams Cider (04/04/2023)")</f>
        <v>Uncle Sams Cider (04/04/2023)</v>
      </c>
      <c r="H7349" s="19"/>
    </row>
    <row r="7350">
      <c r="A7350" s="9"/>
      <c r="B7350" s="15"/>
      <c r="C7350" s="9">
        <f>IFERROR(__xludf.DUMMYFUNCTION("""COMPUTED_VALUE"""),45067.0327671643)</f>
        <v>45067.03277</v>
      </c>
      <c r="D7350" s="15">
        <f>IFERROR(__xludf.DUMMYFUNCTION("""COMPUTED_VALUE"""),1.012)</f>
        <v>1.012</v>
      </c>
      <c r="E7350" s="16">
        <f>IFERROR(__xludf.DUMMYFUNCTION("""COMPUTED_VALUE"""),65.0)</f>
        <v>65</v>
      </c>
      <c r="F7350" s="19" t="str">
        <f>IFERROR(__xludf.DUMMYFUNCTION("""COMPUTED_VALUE"""),"BLUE")</f>
        <v>BLUE</v>
      </c>
      <c r="G7350" s="20" t="str">
        <f>IFERROR(__xludf.DUMMYFUNCTION("""COMPUTED_VALUE"""),"Uncle Sams Cider (04/04/2023)")</f>
        <v>Uncle Sams Cider (04/04/2023)</v>
      </c>
      <c r="H7350" s="19"/>
    </row>
    <row r="7351">
      <c r="A7351" s="9"/>
      <c r="B7351" s="15"/>
      <c r="C7351" s="9">
        <f>IFERROR(__xludf.DUMMYFUNCTION("""COMPUTED_VALUE"""),45067.0223453472)</f>
        <v>45067.02235</v>
      </c>
      <c r="D7351" s="15">
        <f>IFERROR(__xludf.DUMMYFUNCTION("""COMPUTED_VALUE"""),1.012)</f>
        <v>1.012</v>
      </c>
      <c r="E7351" s="16">
        <f>IFERROR(__xludf.DUMMYFUNCTION("""COMPUTED_VALUE"""),65.0)</f>
        <v>65</v>
      </c>
      <c r="F7351" s="19" t="str">
        <f>IFERROR(__xludf.DUMMYFUNCTION("""COMPUTED_VALUE"""),"BLUE")</f>
        <v>BLUE</v>
      </c>
      <c r="G7351" s="20" t="str">
        <f>IFERROR(__xludf.DUMMYFUNCTION("""COMPUTED_VALUE"""),"Uncle Sams Cider (04/04/2023)")</f>
        <v>Uncle Sams Cider (04/04/2023)</v>
      </c>
      <c r="H7351" s="19"/>
    </row>
    <row r="7352">
      <c r="A7352" s="9"/>
      <c r="B7352" s="15"/>
      <c r="C7352" s="9">
        <f>IFERROR(__xludf.DUMMYFUNCTION("""COMPUTED_VALUE"""),45067.0119250231)</f>
        <v>45067.01193</v>
      </c>
      <c r="D7352" s="15">
        <f>IFERROR(__xludf.DUMMYFUNCTION("""COMPUTED_VALUE"""),1.012)</f>
        <v>1.012</v>
      </c>
      <c r="E7352" s="16">
        <f>IFERROR(__xludf.DUMMYFUNCTION("""COMPUTED_VALUE"""),65.0)</f>
        <v>65</v>
      </c>
      <c r="F7352" s="19" t="str">
        <f>IFERROR(__xludf.DUMMYFUNCTION("""COMPUTED_VALUE"""),"BLUE")</f>
        <v>BLUE</v>
      </c>
      <c r="G7352" s="20" t="str">
        <f>IFERROR(__xludf.DUMMYFUNCTION("""COMPUTED_VALUE"""),"Uncle Sams Cider (04/04/2023)")</f>
        <v>Uncle Sams Cider (04/04/2023)</v>
      </c>
      <c r="H7352" s="19"/>
    </row>
    <row r="7353">
      <c r="A7353" s="9"/>
      <c r="B7353" s="15"/>
      <c r="C7353" s="9">
        <f>IFERROR(__xludf.DUMMYFUNCTION("""COMPUTED_VALUE"""),45067.001506493)</f>
        <v>45067.00151</v>
      </c>
      <c r="D7353" s="15">
        <f>IFERROR(__xludf.DUMMYFUNCTION("""COMPUTED_VALUE"""),1.012)</f>
        <v>1.012</v>
      </c>
      <c r="E7353" s="16">
        <f>IFERROR(__xludf.DUMMYFUNCTION("""COMPUTED_VALUE"""),65.0)</f>
        <v>65</v>
      </c>
      <c r="F7353" s="19" t="str">
        <f>IFERROR(__xludf.DUMMYFUNCTION("""COMPUTED_VALUE"""),"BLUE")</f>
        <v>BLUE</v>
      </c>
      <c r="G7353" s="20" t="str">
        <f>IFERROR(__xludf.DUMMYFUNCTION("""COMPUTED_VALUE"""),"Uncle Sams Cider (04/04/2023)")</f>
        <v>Uncle Sams Cider (04/04/2023)</v>
      </c>
      <c r="H7353" s="19"/>
    </row>
    <row r="7354">
      <c r="A7354" s="9"/>
      <c r="B7354" s="15"/>
      <c r="C7354" s="9">
        <f>IFERROR(__xludf.DUMMYFUNCTION("""COMPUTED_VALUE"""),45066.9910749768)</f>
        <v>45066.99107</v>
      </c>
      <c r="D7354" s="15">
        <f>IFERROR(__xludf.DUMMYFUNCTION("""COMPUTED_VALUE"""),1.012)</f>
        <v>1.012</v>
      </c>
      <c r="E7354" s="16">
        <f>IFERROR(__xludf.DUMMYFUNCTION("""COMPUTED_VALUE"""),65.0)</f>
        <v>65</v>
      </c>
      <c r="F7354" s="19" t="str">
        <f>IFERROR(__xludf.DUMMYFUNCTION("""COMPUTED_VALUE"""),"BLUE")</f>
        <v>BLUE</v>
      </c>
      <c r="G7354" s="20" t="str">
        <f>IFERROR(__xludf.DUMMYFUNCTION("""COMPUTED_VALUE"""),"Uncle Sams Cider (04/04/2023)")</f>
        <v>Uncle Sams Cider (04/04/2023)</v>
      </c>
      <c r="H7354" s="19"/>
    </row>
    <row r="7355">
      <c r="A7355" s="9"/>
      <c r="B7355" s="15"/>
      <c r="C7355" s="9">
        <f>IFERROR(__xludf.DUMMYFUNCTION("""COMPUTED_VALUE"""),45066.9806416203)</f>
        <v>45066.98064</v>
      </c>
      <c r="D7355" s="15">
        <f>IFERROR(__xludf.DUMMYFUNCTION("""COMPUTED_VALUE"""),1.012)</f>
        <v>1.012</v>
      </c>
      <c r="E7355" s="16">
        <f>IFERROR(__xludf.DUMMYFUNCTION("""COMPUTED_VALUE"""),64.0)</f>
        <v>64</v>
      </c>
      <c r="F7355" s="19" t="str">
        <f>IFERROR(__xludf.DUMMYFUNCTION("""COMPUTED_VALUE"""),"BLUE")</f>
        <v>BLUE</v>
      </c>
      <c r="G7355" s="20" t="str">
        <f>IFERROR(__xludf.DUMMYFUNCTION("""COMPUTED_VALUE"""),"Uncle Sams Cider (04/04/2023)")</f>
        <v>Uncle Sams Cider (04/04/2023)</v>
      </c>
      <c r="H7355" s="19"/>
    </row>
    <row r="7356">
      <c r="A7356" s="9"/>
      <c r="B7356" s="15"/>
      <c r="C7356" s="9">
        <f>IFERROR(__xludf.DUMMYFUNCTION("""COMPUTED_VALUE"""),45066.9702093865)</f>
        <v>45066.97021</v>
      </c>
      <c r="D7356" s="15">
        <f>IFERROR(__xludf.DUMMYFUNCTION("""COMPUTED_VALUE"""),1.012)</f>
        <v>1.012</v>
      </c>
      <c r="E7356" s="16">
        <f>IFERROR(__xludf.DUMMYFUNCTION("""COMPUTED_VALUE"""),64.0)</f>
        <v>64</v>
      </c>
      <c r="F7356" s="19" t="str">
        <f>IFERROR(__xludf.DUMMYFUNCTION("""COMPUTED_VALUE"""),"BLUE")</f>
        <v>BLUE</v>
      </c>
      <c r="G7356" s="20" t="str">
        <f>IFERROR(__xludf.DUMMYFUNCTION("""COMPUTED_VALUE"""),"Uncle Sams Cider (04/04/2023)")</f>
        <v>Uncle Sams Cider (04/04/2023)</v>
      </c>
      <c r="H7356" s="19"/>
    </row>
    <row r="7357">
      <c r="A7357" s="9"/>
      <c r="B7357" s="15"/>
      <c r="C7357" s="9">
        <f>IFERROR(__xludf.DUMMYFUNCTION("""COMPUTED_VALUE"""),45066.959788368)</f>
        <v>45066.95979</v>
      </c>
      <c r="D7357" s="15">
        <f>IFERROR(__xludf.DUMMYFUNCTION("""COMPUTED_VALUE"""),1.012)</f>
        <v>1.012</v>
      </c>
      <c r="E7357" s="16">
        <f>IFERROR(__xludf.DUMMYFUNCTION("""COMPUTED_VALUE"""),65.0)</f>
        <v>65</v>
      </c>
      <c r="F7357" s="19" t="str">
        <f>IFERROR(__xludf.DUMMYFUNCTION("""COMPUTED_VALUE"""),"BLUE")</f>
        <v>BLUE</v>
      </c>
      <c r="G7357" s="20" t="str">
        <f>IFERROR(__xludf.DUMMYFUNCTION("""COMPUTED_VALUE"""),"Uncle Sams Cider (04/04/2023)")</f>
        <v>Uncle Sams Cider (04/04/2023)</v>
      </c>
      <c r="H7357" s="19"/>
    </row>
    <row r="7358">
      <c r="A7358" s="9"/>
      <c r="B7358" s="15"/>
      <c r="C7358" s="9">
        <f>IFERROR(__xludf.DUMMYFUNCTION("""COMPUTED_VALUE"""),45066.9493545717)</f>
        <v>45066.94935</v>
      </c>
      <c r="D7358" s="15">
        <f>IFERROR(__xludf.DUMMYFUNCTION("""COMPUTED_VALUE"""),1.012)</f>
        <v>1.012</v>
      </c>
      <c r="E7358" s="16">
        <f>IFERROR(__xludf.DUMMYFUNCTION("""COMPUTED_VALUE"""),64.0)</f>
        <v>64</v>
      </c>
      <c r="F7358" s="19" t="str">
        <f>IFERROR(__xludf.DUMMYFUNCTION("""COMPUTED_VALUE"""),"BLUE")</f>
        <v>BLUE</v>
      </c>
      <c r="G7358" s="20" t="str">
        <f>IFERROR(__xludf.DUMMYFUNCTION("""COMPUTED_VALUE"""),"Uncle Sams Cider (04/04/2023)")</f>
        <v>Uncle Sams Cider (04/04/2023)</v>
      </c>
      <c r="H7358" s="19"/>
    </row>
    <row r="7359">
      <c r="A7359" s="9"/>
      <c r="B7359" s="15"/>
      <c r="C7359" s="9">
        <f>IFERROR(__xludf.DUMMYFUNCTION("""COMPUTED_VALUE"""),45066.938897037)</f>
        <v>45066.9389</v>
      </c>
      <c r="D7359" s="15">
        <f>IFERROR(__xludf.DUMMYFUNCTION("""COMPUTED_VALUE"""),1.012)</f>
        <v>1.012</v>
      </c>
      <c r="E7359" s="16">
        <f>IFERROR(__xludf.DUMMYFUNCTION("""COMPUTED_VALUE"""),65.0)</f>
        <v>65</v>
      </c>
      <c r="F7359" s="19" t="str">
        <f>IFERROR(__xludf.DUMMYFUNCTION("""COMPUTED_VALUE"""),"BLUE")</f>
        <v>BLUE</v>
      </c>
      <c r="G7359" s="20" t="str">
        <f>IFERROR(__xludf.DUMMYFUNCTION("""COMPUTED_VALUE"""),"Uncle Sams Cider (04/04/2023)")</f>
        <v>Uncle Sams Cider (04/04/2023)</v>
      </c>
      <c r="H7359" s="19"/>
    </row>
    <row r="7360">
      <c r="A7360" s="9"/>
      <c r="B7360" s="15"/>
      <c r="C7360" s="9">
        <f>IFERROR(__xludf.DUMMYFUNCTION("""COMPUTED_VALUE"""),45066.9284752777)</f>
        <v>45066.92848</v>
      </c>
      <c r="D7360" s="15">
        <f>IFERROR(__xludf.DUMMYFUNCTION("""COMPUTED_VALUE"""),1.012)</f>
        <v>1.012</v>
      </c>
      <c r="E7360" s="16">
        <f>IFERROR(__xludf.DUMMYFUNCTION("""COMPUTED_VALUE"""),64.0)</f>
        <v>64</v>
      </c>
      <c r="F7360" s="19" t="str">
        <f>IFERROR(__xludf.DUMMYFUNCTION("""COMPUTED_VALUE"""),"BLUE")</f>
        <v>BLUE</v>
      </c>
      <c r="G7360" s="20" t="str">
        <f>IFERROR(__xludf.DUMMYFUNCTION("""COMPUTED_VALUE"""),"Uncle Sams Cider (04/04/2023)")</f>
        <v>Uncle Sams Cider (04/04/2023)</v>
      </c>
      <c r="H7360" s="19"/>
    </row>
    <row r="7361">
      <c r="A7361" s="9"/>
      <c r="B7361" s="15"/>
      <c r="C7361" s="9">
        <f>IFERROR(__xludf.DUMMYFUNCTION("""COMPUTED_VALUE"""),45066.9180523726)</f>
        <v>45066.91805</v>
      </c>
      <c r="D7361" s="15">
        <f>IFERROR(__xludf.DUMMYFUNCTION("""COMPUTED_VALUE"""),1.012)</f>
        <v>1.012</v>
      </c>
      <c r="E7361" s="16">
        <f>IFERROR(__xludf.DUMMYFUNCTION("""COMPUTED_VALUE"""),64.0)</f>
        <v>64</v>
      </c>
      <c r="F7361" s="19" t="str">
        <f>IFERROR(__xludf.DUMMYFUNCTION("""COMPUTED_VALUE"""),"BLUE")</f>
        <v>BLUE</v>
      </c>
      <c r="G7361" s="20" t="str">
        <f>IFERROR(__xludf.DUMMYFUNCTION("""COMPUTED_VALUE"""),"Uncle Sams Cider (04/04/2023)")</f>
        <v>Uncle Sams Cider (04/04/2023)</v>
      </c>
      <c r="H7361" s="19"/>
    </row>
    <row r="7362">
      <c r="A7362" s="9"/>
      <c r="B7362" s="15"/>
      <c r="C7362" s="9">
        <f>IFERROR(__xludf.DUMMYFUNCTION("""COMPUTED_VALUE"""),45066.9076310648)</f>
        <v>45066.90763</v>
      </c>
      <c r="D7362" s="15">
        <f>IFERROR(__xludf.DUMMYFUNCTION("""COMPUTED_VALUE"""),1.012)</f>
        <v>1.012</v>
      </c>
      <c r="E7362" s="16">
        <f>IFERROR(__xludf.DUMMYFUNCTION("""COMPUTED_VALUE"""),64.0)</f>
        <v>64</v>
      </c>
      <c r="F7362" s="19" t="str">
        <f>IFERROR(__xludf.DUMMYFUNCTION("""COMPUTED_VALUE"""),"BLUE")</f>
        <v>BLUE</v>
      </c>
      <c r="G7362" s="20" t="str">
        <f>IFERROR(__xludf.DUMMYFUNCTION("""COMPUTED_VALUE"""),"Uncle Sams Cider (04/04/2023)")</f>
        <v>Uncle Sams Cider (04/04/2023)</v>
      </c>
      <c r="H7362" s="19"/>
    </row>
    <row r="7363">
      <c r="A7363" s="9"/>
      <c r="B7363" s="15"/>
      <c r="C7363" s="9">
        <f>IFERROR(__xludf.DUMMYFUNCTION("""COMPUTED_VALUE"""),45066.8972109259)</f>
        <v>45066.89721</v>
      </c>
      <c r="D7363" s="15">
        <f>IFERROR(__xludf.DUMMYFUNCTION("""COMPUTED_VALUE"""),1.012)</f>
        <v>1.012</v>
      </c>
      <c r="E7363" s="16">
        <f>IFERROR(__xludf.DUMMYFUNCTION("""COMPUTED_VALUE"""),64.0)</f>
        <v>64</v>
      </c>
      <c r="F7363" s="19" t="str">
        <f>IFERROR(__xludf.DUMMYFUNCTION("""COMPUTED_VALUE"""),"BLUE")</f>
        <v>BLUE</v>
      </c>
      <c r="G7363" s="20" t="str">
        <f>IFERROR(__xludf.DUMMYFUNCTION("""COMPUTED_VALUE"""),"Uncle Sams Cider (04/04/2023)")</f>
        <v>Uncle Sams Cider (04/04/2023)</v>
      </c>
      <c r="H7363" s="19"/>
    </row>
    <row r="7364">
      <c r="A7364" s="9"/>
      <c r="B7364" s="15"/>
      <c r="C7364" s="9">
        <f>IFERROR(__xludf.DUMMYFUNCTION("""COMPUTED_VALUE"""),45066.8867796643)</f>
        <v>45066.88678</v>
      </c>
      <c r="D7364" s="15">
        <f>IFERROR(__xludf.DUMMYFUNCTION("""COMPUTED_VALUE"""),1.012)</f>
        <v>1.012</v>
      </c>
      <c r="E7364" s="16">
        <f>IFERROR(__xludf.DUMMYFUNCTION("""COMPUTED_VALUE"""),64.0)</f>
        <v>64</v>
      </c>
      <c r="F7364" s="19" t="str">
        <f>IFERROR(__xludf.DUMMYFUNCTION("""COMPUTED_VALUE"""),"BLUE")</f>
        <v>BLUE</v>
      </c>
      <c r="G7364" s="20" t="str">
        <f>IFERROR(__xludf.DUMMYFUNCTION("""COMPUTED_VALUE"""),"Uncle Sams Cider (04/04/2023)")</f>
        <v>Uncle Sams Cider (04/04/2023)</v>
      </c>
      <c r="H7364" s="19"/>
    </row>
    <row r="7365">
      <c r="A7365" s="9"/>
      <c r="B7365" s="15"/>
      <c r="C7365" s="9">
        <f>IFERROR(__xludf.DUMMYFUNCTION("""COMPUTED_VALUE"""),45066.8763580092)</f>
        <v>45066.87636</v>
      </c>
      <c r="D7365" s="15">
        <f>IFERROR(__xludf.DUMMYFUNCTION("""COMPUTED_VALUE"""),1.013)</f>
        <v>1.013</v>
      </c>
      <c r="E7365" s="16">
        <f>IFERROR(__xludf.DUMMYFUNCTION("""COMPUTED_VALUE"""),64.0)</f>
        <v>64</v>
      </c>
      <c r="F7365" s="19" t="str">
        <f>IFERROR(__xludf.DUMMYFUNCTION("""COMPUTED_VALUE"""),"BLUE")</f>
        <v>BLUE</v>
      </c>
      <c r="G7365" s="20" t="str">
        <f>IFERROR(__xludf.DUMMYFUNCTION("""COMPUTED_VALUE"""),"Uncle Sams Cider (04/04/2023)")</f>
        <v>Uncle Sams Cider (04/04/2023)</v>
      </c>
      <c r="H7365" s="19"/>
    </row>
    <row r="7366">
      <c r="A7366" s="9"/>
      <c r="B7366" s="15"/>
      <c r="C7366" s="9">
        <f>IFERROR(__xludf.DUMMYFUNCTION("""COMPUTED_VALUE"""),45066.8659375925)</f>
        <v>45066.86594</v>
      </c>
      <c r="D7366" s="15">
        <f>IFERROR(__xludf.DUMMYFUNCTION("""COMPUTED_VALUE"""),1.012)</f>
        <v>1.012</v>
      </c>
      <c r="E7366" s="16">
        <f>IFERROR(__xludf.DUMMYFUNCTION("""COMPUTED_VALUE"""),64.0)</f>
        <v>64</v>
      </c>
      <c r="F7366" s="19" t="str">
        <f>IFERROR(__xludf.DUMMYFUNCTION("""COMPUTED_VALUE"""),"BLUE")</f>
        <v>BLUE</v>
      </c>
      <c r="G7366" s="20" t="str">
        <f>IFERROR(__xludf.DUMMYFUNCTION("""COMPUTED_VALUE"""),"Uncle Sams Cider (04/04/2023)")</f>
        <v>Uncle Sams Cider (04/04/2023)</v>
      </c>
      <c r="H7366" s="19"/>
    </row>
    <row r="7367">
      <c r="A7367" s="9"/>
      <c r="B7367" s="15"/>
      <c r="C7367" s="9">
        <f>IFERROR(__xludf.DUMMYFUNCTION("""COMPUTED_VALUE"""),45066.8555056481)</f>
        <v>45066.85551</v>
      </c>
      <c r="D7367" s="15">
        <f>IFERROR(__xludf.DUMMYFUNCTION("""COMPUTED_VALUE"""),1.012)</f>
        <v>1.012</v>
      </c>
      <c r="E7367" s="16">
        <f>IFERROR(__xludf.DUMMYFUNCTION("""COMPUTED_VALUE"""),64.0)</f>
        <v>64</v>
      </c>
      <c r="F7367" s="19" t="str">
        <f>IFERROR(__xludf.DUMMYFUNCTION("""COMPUTED_VALUE"""),"BLUE")</f>
        <v>BLUE</v>
      </c>
      <c r="G7367" s="20" t="str">
        <f>IFERROR(__xludf.DUMMYFUNCTION("""COMPUTED_VALUE"""),"Uncle Sams Cider (04/04/2023)")</f>
        <v>Uncle Sams Cider (04/04/2023)</v>
      </c>
      <c r="H7367" s="19"/>
    </row>
    <row r="7368">
      <c r="A7368" s="9"/>
      <c r="B7368" s="15"/>
      <c r="C7368" s="9">
        <f>IFERROR(__xludf.DUMMYFUNCTION("""COMPUTED_VALUE"""),45066.8450727199)</f>
        <v>45066.84507</v>
      </c>
      <c r="D7368" s="15">
        <f>IFERROR(__xludf.DUMMYFUNCTION("""COMPUTED_VALUE"""),1.012)</f>
        <v>1.012</v>
      </c>
      <c r="E7368" s="16">
        <f>IFERROR(__xludf.DUMMYFUNCTION("""COMPUTED_VALUE"""),64.0)</f>
        <v>64</v>
      </c>
      <c r="F7368" s="19" t="str">
        <f>IFERROR(__xludf.DUMMYFUNCTION("""COMPUTED_VALUE"""),"BLUE")</f>
        <v>BLUE</v>
      </c>
      <c r="G7368" s="20" t="str">
        <f>IFERROR(__xludf.DUMMYFUNCTION("""COMPUTED_VALUE"""),"Uncle Sams Cider (04/04/2023)")</f>
        <v>Uncle Sams Cider (04/04/2023)</v>
      </c>
      <c r="H7368" s="19"/>
    </row>
    <row r="7369">
      <c r="A7369" s="9"/>
      <c r="B7369" s="15"/>
      <c r="C7369" s="9">
        <f>IFERROR(__xludf.DUMMYFUNCTION("""COMPUTED_VALUE"""),45066.8346528356)</f>
        <v>45066.83465</v>
      </c>
      <c r="D7369" s="15">
        <f>IFERROR(__xludf.DUMMYFUNCTION("""COMPUTED_VALUE"""),1.012)</f>
        <v>1.012</v>
      </c>
      <c r="E7369" s="16">
        <f>IFERROR(__xludf.DUMMYFUNCTION("""COMPUTED_VALUE"""),64.0)</f>
        <v>64</v>
      </c>
      <c r="F7369" s="19" t="str">
        <f>IFERROR(__xludf.DUMMYFUNCTION("""COMPUTED_VALUE"""),"BLUE")</f>
        <v>BLUE</v>
      </c>
      <c r="G7369" s="20" t="str">
        <f>IFERROR(__xludf.DUMMYFUNCTION("""COMPUTED_VALUE"""),"Uncle Sams Cider (04/04/2023)")</f>
        <v>Uncle Sams Cider (04/04/2023)</v>
      </c>
      <c r="H7369" s="19"/>
    </row>
    <row r="7370">
      <c r="A7370" s="9"/>
      <c r="B7370" s="15"/>
      <c r="C7370" s="9">
        <f>IFERROR(__xludf.DUMMYFUNCTION("""COMPUTED_VALUE"""),45066.8242316319)</f>
        <v>45066.82423</v>
      </c>
      <c r="D7370" s="15">
        <f>IFERROR(__xludf.DUMMYFUNCTION("""COMPUTED_VALUE"""),1.012)</f>
        <v>1.012</v>
      </c>
      <c r="E7370" s="16">
        <f>IFERROR(__xludf.DUMMYFUNCTION("""COMPUTED_VALUE"""),64.0)</f>
        <v>64</v>
      </c>
      <c r="F7370" s="19" t="str">
        <f>IFERROR(__xludf.DUMMYFUNCTION("""COMPUTED_VALUE"""),"BLUE")</f>
        <v>BLUE</v>
      </c>
      <c r="G7370" s="20" t="str">
        <f>IFERROR(__xludf.DUMMYFUNCTION("""COMPUTED_VALUE"""),"Uncle Sams Cider (04/04/2023)")</f>
        <v>Uncle Sams Cider (04/04/2023)</v>
      </c>
      <c r="H7370" s="19"/>
    </row>
    <row r="7371">
      <c r="A7371" s="9"/>
      <c r="B7371" s="15"/>
      <c r="C7371" s="9">
        <f>IFERROR(__xludf.DUMMYFUNCTION("""COMPUTED_VALUE"""),45066.8138107523)</f>
        <v>45066.81381</v>
      </c>
      <c r="D7371" s="15">
        <f>IFERROR(__xludf.DUMMYFUNCTION("""COMPUTED_VALUE"""),1.012)</f>
        <v>1.012</v>
      </c>
      <c r="E7371" s="16">
        <f>IFERROR(__xludf.DUMMYFUNCTION("""COMPUTED_VALUE"""),64.0)</f>
        <v>64</v>
      </c>
      <c r="F7371" s="19" t="str">
        <f>IFERROR(__xludf.DUMMYFUNCTION("""COMPUTED_VALUE"""),"BLUE")</f>
        <v>BLUE</v>
      </c>
      <c r="G7371" s="20" t="str">
        <f>IFERROR(__xludf.DUMMYFUNCTION("""COMPUTED_VALUE"""),"Uncle Sams Cider (04/04/2023)")</f>
        <v>Uncle Sams Cider (04/04/2023)</v>
      </c>
      <c r="H7371" s="19"/>
    </row>
    <row r="7372">
      <c r="A7372" s="9"/>
      <c r="B7372" s="15"/>
      <c r="C7372" s="9">
        <f>IFERROR(__xludf.DUMMYFUNCTION("""COMPUTED_VALUE"""),45066.8033784838)</f>
        <v>45066.80338</v>
      </c>
      <c r="D7372" s="15">
        <f>IFERROR(__xludf.DUMMYFUNCTION("""COMPUTED_VALUE"""),1.012)</f>
        <v>1.012</v>
      </c>
      <c r="E7372" s="16">
        <f>IFERROR(__xludf.DUMMYFUNCTION("""COMPUTED_VALUE"""),64.0)</f>
        <v>64</v>
      </c>
      <c r="F7372" s="19" t="str">
        <f>IFERROR(__xludf.DUMMYFUNCTION("""COMPUTED_VALUE"""),"BLUE")</f>
        <v>BLUE</v>
      </c>
      <c r="G7372" s="20" t="str">
        <f>IFERROR(__xludf.DUMMYFUNCTION("""COMPUTED_VALUE"""),"Uncle Sams Cider (04/04/2023)")</f>
        <v>Uncle Sams Cider (04/04/2023)</v>
      </c>
      <c r="H7372" s="19"/>
    </row>
    <row r="7373">
      <c r="A7373" s="9"/>
      <c r="B7373" s="15"/>
      <c r="C7373" s="9">
        <f>IFERROR(__xludf.DUMMYFUNCTION("""COMPUTED_VALUE"""),45066.79294603)</f>
        <v>45066.79295</v>
      </c>
      <c r="D7373" s="15">
        <f>IFERROR(__xludf.DUMMYFUNCTION("""COMPUTED_VALUE"""),1.012)</f>
        <v>1.012</v>
      </c>
      <c r="E7373" s="16">
        <f>IFERROR(__xludf.DUMMYFUNCTION("""COMPUTED_VALUE"""),64.0)</f>
        <v>64</v>
      </c>
      <c r="F7373" s="19" t="str">
        <f>IFERROR(__xludf.DUMMYFUNCTION("""COMPUTED_VALUE"""),"BLUE")</f>
        <v>BLUE</v>
      </c>
      <c r="G7373" s="20" t="str">
        <f>IFERROR(__xludf.DUMMYFUNCTION("""COMPUTED_VALUE"""),"Uncle Sams Cider (04/04/2023)")</f>
        <v>Uncle Sams Cider (04/04/2023)</v>
      </c>
      <c r="H7373" s="19"/>
    </row>
    <row r="7374">
      <c r="A7374" s="9"/>
      <c r="B7374" s="15"/>
      <c r="C7374" s="9">
        <f>IFERROR(__xludf.DUMMYFUNCTION("""COMPUTED_VALUE"""),45066.782524155)</f>
        <v>45066.78252</v>
      </c>
      <c r="D7374" s="15">
        <f>IFERROR(__xludf.DUMMYFUNCTION("""COMPUTED_VALUE"""),1.012)</f>
        <v>1.012</v>
      </c>
      <c r="E7374" s="16">
        <f>IFERROR(__xludf.DUMMYFUNCTION("""COMPUTED_VALUE"""),64.0)</f>
        <v>64</v>
      </c>
      <c r="F7374" s="19" t="str">
        <f>IFERROR(__xludf.DUMMYFUNCTION("""COMPUTED_VALUE"""),"BLUE")</f>
        <v>BLUE</v>
      </c>
      <c r="G7374" s="20" t="str">
        <f>IFERROR(__xludf.DUMMYFUNCTION("""COMPUTED_VALUE"""),"Uncle Sams Cider (04/04/2023)")</f>
        <v>Uncle Sams Cider (04/04/2023)</v>
      </c>
      <c r="H7374" s="19"/>
    </row>
    <row r="7375">
      <c r="A7375" s="9"/>
      <c r="B7375" s="15"/>
      <c r="C7375" s="9">
        <f>IFERROR(__xludf.DUMMYFUNCTION("""COMPUTED_VALUE"""),45066.772102662)</f>
        <v>45066.7721</v>
      </c>
      <c r="D7375" s="15">
        <f>IFERROR(__xludf.DUMMYFUNCTION("""COMPUTED_VALUE"""),1.012)</f>
        <v>1.012</v>
      </c>
      <c r="E7375" s="16">
        <f>IFERROR(__xludf.DUMMYFUNCTION("""COMPUTED_VALUE"""),64.0)</f>
        <v>64</v>
      </c>
      <c r="F7375" s="19" t="str">
        <f>IFERROR(__xludf.DUMMYFUNCTION("""COMPUTED_VALUE"""),"BLUE")</f>
        <v>BLUE</v>
      </c>
      <c r="G7375" s="20" t="str">
        <f>IFERROR(__xludf.DUMMYFUNCTION("""COMPUTED_VALUE"""),"Uncle Sams Cider (04/04/2023)")</f>
        <v>Uncle Sams Cider (04/04/2023)</v>
      </c>
      <c r="H7375" s="19"/>
    </row>
    <row r="7376">
      <c r="A7376" s="9"/>
      <c r="B7376" s="15"/>
      <c r="C7376" s="9">
        <f>IFERROR(__xludf.DUMMYFUNCTION("""COMPUTED_VALUE"""),45066.7616829282)</f>
        <v>45066.76168</v>
      </c>
      <c r="D7376" s="15">
        <f>IFERROR(__xludf.DUMMYFUNCTION("""COMPUTED_VALUE"""),1.012)</f>
        <v>1.012</v>
      </c>
      <c r="E7376" s="16">
        <f>IFERROR(__xludf.DUMMYFUNCTION("""COMPUTED_VALUE"""),64.0)</f>
        <v>64</v>
      </c>
      <c r="F7376" s="19" t="str">
        <f>IFERROR(__xludf.DUMMYFUNCTION("""COMPUTED_VALUE"""),"BLUE")</f>
        <v>BLUE</v>
      </c>
      <c r="G7376" s="20" t="str">
        <f>IFERROR(__xludf.DUMMYFUNCTION("""COMPUTED_VALUE"""),"Uncle Sams Cider (04/04/2023)")</f>
        <v>Uncle Sams Cider (04/04/2023)</v>
      </c>
      <c r="H7376" s="19"/>
    </row>
    <row r="7377">
      <c r="A7377" s="9"/>
      <c r="B7377" s="15"/>
      <c r="C7377" s="9">
        <f>IFERROR(__xludf.DUMMYFUNCTION("""COMPUTED_VALUE"""),45066.751260949)</f>
        <v>45066.75126</v>
      </c>
      <c r="D7377" s="15">
        <f>IFERROR(__xludf.DUMMYFUNCTION("""COMPUTED_VALUE"""),1.012)</f>
        <v>1.012</v>
      </c>
      <c r="E7377" s="16">
        <f>IFERROR(__xludf.DUMMYFUNCTION("""COMPUTED_VALUE"""),64.0)</f>
        <v>64</v>
      </c>
      <c r="F7377" s="19" t="str">
        <f>IFERROR(__xludf.DUMMYFUNCTION("""COMPUTED_VALUE"""),"BLUE")</f>
        <v>BLUE</v>
      </c>
      <c r="G7377" s="20" t="str">
        <f>IFERROR(__xludf.DUMMYFUNCTION("""COMPUTED_VALUE"""),"Uncle Sams Cider (04/04/2023)")</f>
        <v>Uncle Sams Cider (04/04/2023)</v>
      </c>
      <c r="H7377" s="19"/>
    </row>
    <row r="7378">
      <c r="A7378" s="9"/>
      <c r="B7378" s="15"/>
      <c r="C7378" s="9">
        <f>IFERROR(__xludf.DUMMYFUNCTION("""COMPUTED_VALUE"""),45066.7408402546)</f>
        <v>45066.74084</v>
      </c>
      <c r="D7378" s="15">
        <f>IFERROR(__xludf.DUMMYFUNCTION("""COMPUTED_VALUE"""),1.012)</f>
        <v>1.012</v>
      </c>
      <c r="E7378" s="16">
        <f>IFERROR(__xludf.DUMMYFUNCTION("""COMPUTED_VALUE"""),64.0)</f>
        <v>64</v>
      </c>
      <c r="F7378" s="19" t="str">
        <f>IFERROR(__xludf.DUMMYFUNCTION("""COMPUTED_VALUE"""),"BLUE")</f>
        <v>BLUE</v>
      </c>
      <c r="G7378" s="20" t="str">
        <f>IFERROR(__xludf.DUMMYFUNCTION("""COMPUTED_VALUE"""),"Uncle Sams Cider (04/04/2023)")</f>
        <v>Uncle Sams Cider (04/04/2023)</v>
      </c>
      <c r="H7378" s="19"/>
    </row>
    <row r="7379">
      <c r="A7379" s="9"/>
      <c r="B7379" s="15"/>
      <c r="C7379" s="9">
        <f>IFERROR(__xludf.DUMMYFUNCTION("""COMPUTED_VALUE"""),45066.7304195717)</f>
        <v>45066.73042</v>
      </c>
      <c r="D7379" s="15">
        <f>IFERROR(__xludf.DUMMYFUNCTION("""COMPUTED_VALUE"""),1.013)</f>
        <v>1.013</v>
      </c>
      <c r="E7379" s="16">
        <f>IFERROR(__xludf.DUMMYFUNCTION("""COMPUTED_VALUE"""),64.0)</f>
        <v>64</v>
      </c>
      <c r="F7379" s="19" t="str">
        <f>IFERROR(__xludf.DUMMYFUNCTION("""COMPUTED_VALUE"""),"BLUE")</f>
        <v>BLUE</v>
      </c>
      <c r="G7379" s="20" t="str">
        <f>IFERROR(__xludf.DUMMYFUNCTION("""COMPUTED_VALUE"""),"Uncle Sams Cider (04/04/2023)")</f>
        <v>Uncle Sams Cider (04/04/2023)</v>
      </c>
      <c r="H7379" s="19"/>
    </row>
    <row r="7380">
      <c r="A7380" s="9"/>
      <c r="B7380" s="15"/>
      <c r="C7380" s="9">
        <f>IFERROR(__xludf.DUMMYFUNCTION("""COMPUTED_VALUE"""),45066.7199980092)</f>
        <v>45066.72</v>
      </c>
      <c r="D7380" s="15">
        <f>IFERROR(__xludf.DUMMYFUNCTION("""COMPUTED_VALUE"""),1.012)</f>
        <v>1.012</v>
      </c>
      <c r="E7380" s="16">
        <f>IFERROR(__xludf.DUMMYFUNCTION("""COMPUTED_VALUE"""),64.0)</f>
        <v>64</v>
      </c>
      <c r="F7380" s="19" t="str">
        <f>IFERROR(__xludf.DUMMYFUNCTION("""COMPUTED_VALUE"""),"BLUE")</f>
        <v>BLUE</v>
      </c>
      <c r="G7380" s="20" t="str">
        <f>IFERROR(__xludf.DUMMYFUNCTION("""COMPUTED_VALUE"""),"Uncle Sams Cider (04/04/2023)")</f>
        <v>Uncle Sams Cider (04/04/2023)</v>
      </c>
      <c r="H7380" s="19"/>
    </row>
    <row r="7381">
      <c r="A7381" s="9"/>
      <c r="B7381" s="15"/>
      <c r="C7381" s="9">
        <f>IFERROR(__xludf.DUMMYFUNCTION("""COMPUTED_VALUE"""),45066.7095757523)</f>
        <v>45066.70958</v>
      </c>
      <c r="D7381" s="15">
        <f>IFERROR(__xludf.DUMMYFUNCTION("""COMPUTED_VALUE"""),1.013)</f>
        <v>1.013</v>
      </c>
      <c r="E7381" s="16">
        <f>IFERROR(__xludf.DUMMYFUNCTION("""COMPUTED_VALUE"""),64.0)</f>
        <v>64</v>
      </c>
      <c r="F7381" s="19" t="str">
        <f>IFERROR(__xludf.DUMMYFUNCTION("""COMPUTED_VALUE"""),"BLUE")</f>
        <v>BLUE</v>
      </c>
      <c r="G7381" s="20" t="str">
        <f>IFERROR(__xludf.DUMMYFUNCTION("""COMPUTED_VALUE"""),"Uncle Sams Cider (04/04/2023)")</f>
        <v>Uncle Sams Cider (04/04/2023)</v>
      </c>
      <c r="H7381" s="19"/>
    </row>
    <row r="7382">
      <c r="A7382" s="9"/>
      <c r="B7382" s="15"/>
      <c r="C7382" s="9">
        <f>IFERROR(__xludf.DUMMYFUNCTION("""COMPUTED_VALUE"""),45066.6991552314)</f>
        <v>45066.69916</v>
      </c>
      <c r="D7382" s="15">
        <f>IFERROR(__xludf.DUMMYFUNCTION("""COMPUTED_VALUE"""),1.012)</f>
        <v>1.012</v>
      </c>
      <c r="E7382" s="16">
        <f>IFERROR(__xludf.DUMMYFUNCTION("""COMPUTED_VALUE"""),64.0)</f>
        <v>64</v>
      </c>
      <c r="F7382" s="19" t="str">
        <f>IFERROR(__xludf.DUMMYFUNCTION("""COMPUTED_VALUE"""),"BLUE")</f>
        <v>BLUE</v>
      </c>
      <c r="G7382" s="20" t="str">
        <f>IFERROR(__xludf.DUMMYFUNCTION("""COMPUTED_VALUE"""),"Uncle Sams Cider (04/04/2023)")</f>
        <v>Uncle Sams Cider (04/04/2023)</v>
      </c>
      <c r="H7382" s="19"/>
    </row>
    <row r="7383">
      <c r="A7383" s="9"/>
      <c r="B7383" s="15"/>
      <c r="C7383" s="9">
        <f>IFERROR(__xludf.DUMMYFUNCTION("""COMPUTED_VALUE"""),45066.6887357523)</f>
        <v>45066.68874</v>
      </c>
      <c r="D7383" s="15">
        <f>IFERROR(__xludf.DUMMYFUNCTION("""COMPUTED_VALUE"""),1.012)</f>
        <v>1.012</v>
      </c>
      <c r="E7383" s="16">
        <f>IFERROR(__xludf.DUMMYFUNCTION("""COMPUTED_VALUE"""),64.0)</f>
        <v>64</v>
      </c>
      <c r="F7383" s="19" t="str">
        <f>IFERROR(__xludf.DUMMYFUNCTION("""COMPUTED_VALUE"""),"BLUE")</f>
        <v>BLUE</v>
      </c>
      <c r="G7383" s="20" t="str">
        <f>IFERROR(__xludf.DUMMYFUNCTION("""COMPUTED_VALUE"""),"Uncle Sams Cider (04/04/2023)")</f>
        <v>Uncle Sams Cider (04/04/2023)</v>
      </c>
      <c r="H7383" s="19"/>
    </row>
    <row r="7384">
      <c r="A7384" s="9"/>
      <c r="B7384" s="15"/>
      <c r="C7384" s="9">
        <f>IFERROR(__xludf.DUMMYFUNCTION("""COMPUTED_VALUE"""),45066.6783159953)</f>
        <v>45066.67832</v>
      </c>
      <c r="D7384" s="15">
        <f>IFERROR(__xludf.DUMMYFUNCTION("""COMPUTED_VALUE"""),1.013)</f>
        <v>1.013</v>
      </c>
      <c r="E7384" s="16">
        <f>IFERROR(__xludf.DUMMYFUNCTION("""COMPUTED_VALUE"""),64.0)</f>
        <v>64</v>
      </c>
      <c r="F7384" s="19" t="str">
        <f>IFERROR(__xludf.DUMMYFUNCTION("""COMPUTED_VALUE"""),"BLUE")</f>
        <v>BLUE</v>
      </c>
      <c r="G7384" s="20" t="str">
        <f>IFERROR(__xludf.DUMMYFUNCTION("""COMPUTED_VALUE"""),"Uncle Sams Cider (04/04/2023)")</f>
        <v>Uncle Sams Cider (04/04/2023)</v>
      </c>
      <c r="H7384" s="19"/>
    </row>
    <row r="7385">
      <c r="A7385" s="9"/>
      <c r="B7385" s="15"/>
      <c r="C7385" s="9">
        <f>IFERROR(__xludf.DUMMYFUNCTION("""COMPUTED_VALUE"""),45066.6678952083)</f>
        <v>45066.6679</v>
      </c>
      <c r="D7385" s="15">
        <f>IFERROR(__xludf.DUMMYFUNCTION("""COMPUTED_VALUE"""),1.012)</f>
        <v>1.012</v>
      </c>
      <c r="E7385" s="16">
        <f>IFERROR(__xludf.DUMMYFUNCTION("""COMPUTED_VALUE"""),64.0)</f>
        <v>64</v>
      </c>
      <c r="F7385" s="19" t="str">
        <f>IFERROR(__xludf.DUMMYFUNCTION("""COMPUTED_VALUE"""),"BLUE")</f>
        <v>BLUE</v>
      </c>
      <c r="G7385" s="20" t="str">
        <f>IFERROR(__xludf.DUMMYFUNCTION("""COMPUTED_VALUE"""),"Uncle Sams Cider (04/04/2023)")</f>
        <v>Uncle Sams Cider (04/04/2023)</v>
      </c>
      <c r="H7385" s="19"/>
    </row>
    <row r="7386">
      <c r="A7386" s="9"/>
      <c r="B7386" s="15"/>
      <c r="C7386" s="9">
        <f>IFERROR(__xludf.DUMMYFUNCTION("""COMPUTED_VALUE"""),45066.6574726388)</f>
        <v>45066.65747</v>
      </c>
      <c r="D7386" s="15">
        <f>IFERROR(__xludf.DUMMYFUNCTION("""COMPUTED_VALUE"""),1.012)</f>
        <v>1.012</v>
      </c>
      <c r="E7386" s="16">
        <f>IFERROR(__xludf.DUMMYFUNCTION("""COMPUTED_VALUE"""),64.0)</f>
        <v>64</v>
      </c>
      <c r="F7386" s="19" t="str">
        <f>IFERROR(__xludf.DUMMYFUNCTION("""COMPUTED_VALUE"""),"BLUE")</f>
        <v>BLUE</v>
      </c>
      <c r="G7386" s="20" t="str">
        <f>IFERROR(__xludf.DUMMYFUNCTION("""COMPUTED_VALUE"""),"Uncle Sams Cider (04/04/2023)")</f>
        <v>Uncle Sams Cider (04/04/2023)</v>
      </c>
      <c r="H7386" s="19"/>
    </row>
    <row r="7387">
      <c r="A7387" s="9"/>
      <c r="B7387" s="15"/>
      <c r="C7387" s="9">
        <f>IFERROR(__xludf.DUMMYFUNCTION("""COMPUTED_VALUE"""),45066.647050405)</f>
        <v>45066.64705</v>
      </c>
      <c r="D7387" s="15">
        <f>IFERROR(__xludf.DUMMYFUNCTION("""COMPUTED_VALUE"""),1.012)</f>
        <v>1.012</v>
      </c>
      <c r="E7387" s="16">
        <f>IFERROR(__xludf.DUMMYFUNCTION("""COMPUTED_VALUE"""),64.0)</f>
        <v>64</v>
      </c>
      <c r="F7387" s="19" t="str">
        <f>IFERROR(__xludf.DUMMYFUNCTION("""COMPUTED_VALUE"""),"BLUE")</f>
        <v>BLUE</v>
      </c>
      <c r="G7387" s="20" t="str">
        <f>IFERROR(__xludf.DUMMYFUNCTION("""COMPUTED_VALUE"""),"Uncle Sams Cider (04/04/2023)")</f>
        <v>Uncle Sams Cider (04/04/2023)</v>
      </c>
      <c r="H7387" s="19"/>
    </row>
    <row r="7388">
      <c r="A7388" s="9"/>
      <c r="B7388" s="15"/>
      <c r="C7388" s="9">
        <f>IFERROR(__xludf.DUMMYFUNCTION("""COMPUTED_VALUE"""),45066.6366321527)</f>
        <v>45066.63663</v>
      </c>
      <c r="D7388" s="15">
        <f>IFERROR(__xludf.DUMMYFUNCTION("""COMPUTED_VALUE"""),1.012)</f>
        <v>1.012</v>
      </c>
      <c r="E7388" s="16">
        <f>IFERROR(__xludf.DUMMYFUNCTION("""COMPUTED_VALUE"""),64.0)</f>
        <v>64</v>
      </c>
      <c r="F7388" s="19" t="str">
        <f>IFERROR(__xludf.DUMMYFUNCTION("""COMPUTED_VALUE"""),"BLUE")</f>
        <v>BLUE</v>
      </c>
      <c r="G7388" s="20" t="str">
        <f>IFERROR(__xludf.DUMMYFUNCTION("""COMPUTED_VALUE"""),"Uncle Sams Cider (04/04/2023)")</f>
        <v>Uncle Sams Cider (04/04/2023)</v>
      </c>
      <c r="H7388" s="19"/>
    </row>
    <row r="7389">
      <c r="A7389" s="9"/>
      <c r="B7389" s="15"/>
      <c r="C7389" s="9">
        <f>IFERROR(__xludf.DUMMYFUNCTION("""COMPUTED_VALUE"""),45066.6262126041)</f>
        <v>45066.62621</v>
      </c>
      <c r="D7389" s="15">
        <f>IFERROR(__xludf.DUMMYFUNCTION("""COMPUTED_VALUE"""),1.012)</f>
        <v>1.012</v>
      </c>
      <c r="E7389" s="16">
        <f>IFERROR(__xludf.DUMMYFUNCTION("""COMPUTED_VALUE"""),64.0)</f>
        <v>64</v>
      </c>
      <c r="F7389" s="19" t="str">
        <f>IFERROR(__xludf.DUMMYFUNCTION("""COMPUTED_VALUE"""),"BLUE")</f>
        <v>BLUE</v>
      </c>
      <c r="G7389" s="20" t="str">
        <f>IFERROR(__xludf.DUMMYFUNCTION("""COMPUTED_VALUE"""),"Uncle Sams Cider (04/04/2023)")</f>
        <v>Uncle Sams Cider (04/04/2023)</v>
      </c>
      <c r="H7389" s="19"/>
    </row>
    <row r="7390">
      <c r="A7390" s="9"/>
      <c r="B7390" s="15"/>
      <c r="C7390" s="9">
        <f>IFERROR(__xludf.DUMMYFUNCTION("""COMPUTED_VALUE"""),45066.6157905324)</f>
        <v>45066.61579</v>
      </c>
      <c r="D7390" s="15">
        <f>IFERROR(__xludf.DUMMYFUNCTION("""COMPUTED_VALUE"""),1.012)</f>
        <v>1.012</v>
      </c>
      <c r="E7390" s="16">
        <f>IFERROR(__xludf.DUMMYFUNCTION("""COMPUTED_VALUE"""),64.0)</f>
        <v>64</v>
      </c>
      <c r="F7390" s="19" t="str">
        <f>IFERROR(__xludf.DUMMYFUNCTION("""COMPUTED_VALUE"""),"BLUE")</f>
        <v>BLUE</v>
      </c>
      <c r="G7390" s="20" t="str">
        <f>IFERROR(__xludf.DUMMYFUNCTION("""COMPUTED_VALUE"""),"Uncle Sams Cider (04/04/2023)")</f>
        <v>Uncle Sams Cider (04/04/2023)</v>
      </c>
      <c r="H7390" s="19"/>
    </row>
    <row r="7391">
      <c r="A7391" s="9"/>
      <c r="B7391" s="15"/>
      <c r="C7391" s="9">
        <f>IFERROR(__xludf.DUMMYFUNCTION("""COMPUTED_VALUE"""),45066.6053690393)</f>
        <v>45066.60537</v>
      </c>
      <c r="D7391" s="15">
        <f>IFERROR(__xludf.DUMMYFUNCTION("""COMPUTED_VALUE"""),1.012)</f>
        <v>1.012</v>
      </c>
      <c r="E7391" s="16">
        <f>IFERROR(__xludf.DUMMYFUNCTION("""COMPUTED_VALUE"""),64.0)</f>
        <v>64</v>
      </c>
      <c r="F7391" s="19" t="str">
        <f>IFERROR(__xludf.DUMMYFUNCTION("""COMPUTED_VALUE"""),"BLUE")</f>
        <v>BLUE</v>
      </c>
      <c r="G7391" s="20" t="str">
        <f>IFERROR(__xludf.DUMMYFUNCTION("""COMPUTED_VALUE"""),"Uncle Sams Cider (04/04/2023)")</f>
        <v>Uncle Sams Cider (04/04/2023)</v>
      </c>
      <c r="H7391" s="19"/>
    </row>
    <row r="7392">
      <c r="A7392" s="9"/>
      <c r="B7392" s="15"/>
      <c r="C7392" s="9">
        <f>IFERROR(__xludf.DUMMYFUNCTION("""COMPUTED_VALUE"""),45066.5949240162)</f>
        <v>45066.59492</v>
      </c>
      <c r="D7392" s="15">
        <f>IFERROR(__xludf.DUMMYFUNCTION("""COMPUTED_VALUE"""),1.012)</f>
        <v>1.012</v>
      </c>
      <c r="E7392" s="16">
        <f>IFERROR(__xludf.DUMMYFUNCTION("""COMPUTED_VALUE"""),64.0)</f>
        <v>64</v>
      </c>
      <c r="F7392" s="19" t="str">
        <f>IFERROR(__xludf.DUMMYFUNCTION("""COMPUTED_VALUE"""),"BLUE")</f>
        <v>BLUE</v>
      </c>
      <c r="G7392" s="20" t="str">
        <f>IFERROR(__xludf.DUMMYFUNCTION("""COMPUTED_VALUE"""),"Uncle Sams Cider (04/04/2023)")</f>
        <v>Uncle Sams Cider (04/04/2023)</v>
      </c>
      <c r="H7392" s="19"/>
    </row>
    <row r="7393">
      <c r="A7393" s="9"/>
      <c r="B7393" s="15"/>
      <c r="C7393" s="9">
        <f>IFERROR(__xludf.DUMMYFUNCTION("""COMPUTED_VALUE"""),45066.5845025694)</f>
        <v>45066.5845</v>
      </c>
      <c r="D7393" s="15">
        <f>IFERROR(__xludf.DUMMYFUNCTION("""COMPUTED_VALUE"""),1.013)</f>
        <v>1.013</v>
      </c>
      <c r="E7393" s="16">
        <f>IFERROR(__xludf.DUMMYFUNCTION("""COMPUTED_VALUE"""),64.0)</f>
        <v>64</v>
      </c>
      <c r="F7393" s="19" t="str">
        <f>IFERROR(__xludf.DUMMYFUNCTION("""COMPUTED_VALUE"""),"BLUE")</f>
        <v>BLUE</v>
      </c>
      <c r="G7393" s="20" t="str">
        <f>IFERROR(__xludf.DUMMYFUNCTION("""COMPUTED_VALUE"""),"Uncle Sams Cider (04/04/2023)")</f>
        <v>Uncle Sams Cider (04/04/2023)</v>
      </c>
      <c r="H7393" s="19"/>
    </row>
    <row r="7394">
      <c r="A7394" s="9"/>
      <c r="B7394" s="15"/>
      <c r="C7394" s="9">
        <f>IFERROR(__xludf.DUMMYFUNCTION("""COMPUTED_VALUE"""),45066.574080324)</f>
        <v>45066.57408</v>
      </c>
      <c r="D7394" s="15">
        <f>IFERROR(__xludf.DUMMYFUNCTION("""COMPUTED_VALUE"""),1.012)</f>
        <v>1.012</v>
      </c>
      <c r="E7394" s="16">
        <f>IFERROR(__xludf.DUMMYFUNCTION("""COMPUTED_VALUE"""),64.0)</f>
        <v>64</v>
      </c>
      <c r="F7394" s="19" t="str">
        <f>IFERROR(__xludf.DUMMYFUNCTION("""COMPUTED_VALUE"""),"BLUE")</f>
        <v>BLUE</v>
      </c>
      <c r="G7394" s="20" t="str">
        <f>IFERROR(__xludf.DUMMYFUNCTION("""COMPUTED_VALUE"""),"Uncle Sams Cider (04/04/2023)")</f>
        <v>Uncle Sams Cider (04/04/2023)</v>
      </c>
      <c r="H7394" s="19"/>
    </row>
    <row r="7395">
      <c r="A7395" s="9"/>
      <c r="B7395" s="15"/>
      <c r="C7395" s="9">
        <f>IFERROR(__xludf.DUMMYFUNCTION("""COMPUTED_VALUE"""),45066.5636587731)</f>
        <v>45066.56366</v>
      </c>
      <c r="D7395" s="15">
        <f>IFERROR(__xludf.DUMMYFUNCTION("""COMPUTED_VALUE"""),1.013)</f>
        <v>1.013</v>
      </c>
      <c r="E7395" s="16">
        <f>IFERROR(__xludf.DUMMYFUNCTION("""COMPUTED_VALUE"""),64.0)</f>
        <v>64</v>
      </c>
      <c r="F7395" s="19" t="str">
        <f>IFERROR(__xludf.DUMMYFUNCTION("""COMPUTED_VALUE"""),"BLUE")</f>
        <v>BLUE</v>
      </c>
      <c r="G7395" s="20" t="str">
        <f>IFERROR(__xludf.DUMMYFUNCTION("""COMPUTED_VALUE"""),"Uncle Sams Cider (04/04/2023)")</f>
        <v>Uncle Sams Cider (04/04/2023)</v>
      </c>
      <c r="H7395" s="19"/>
    </row>
    <row r="7396">
      <c r="A7396" s="9"/>
      <c r="B7396" s="15"/>
      <c r="C7396" s="9">
        <f>IFERROR(__xludf.DUMMYFUNCTION("""COMPUTED_VALUE"""),45066.5532368865)</f>
        <v>45066.55324</v>
      </c>
      <c r="D7396" s="15">
        <f>IFERROR(__xludf.DUMMYFUNCTION("""COMPUTED_VALUE"""),1.012)</f>
        <v>1.012</v>
      </c>
      <c r="E7396" s="16">
        <f>IFERROR(__xludf.DUMMYFUNCTION("""COMPUTED_VALUE"""),64.0)</f>
        <v>64</v>
      </c>
      <c r="F7396" s="19" t="str">
        <f>IFERROR(__xludf.DUMMYFUNCTION("""COMPUTED_VALUE"""),"BLUE")</f>
        <v>BLUE</v>
      </c>
      <c r="G7396" s="20" t="str">
        <f>IFERROR(__xludf.DUMMYFUNCTION("""COMPUTED_VALUE"""),"Uncle Sams Cider (04/04/2023)")</f>
        <v>Uncle Sams Cider (04/04/2023)</v>
      </c>
      <c r="H7396" s="19"/>
    </row>
    <row r="7397">
      <c r="A7397" s="9"/>
      <c r="B7397" s="15"/>
      <c r="C7397" s="9">
        <f>IFERROR(__xludf.DUMMYFUNCTION("""COMPUTED_VALUE"""),45066.5428154861)</f>
        <v>45066.54282</v>
      </c>
      <c r="D7397" s="15">
        <f>IFERROR(__xludf.DUMMYFUNCTION("""COMPUTED_VALUE"""),1.012)</f>
        <v>1.012</v>
      </c>
      <c r="E7397" s="16">
        <f>IFERROR(__xludf.DUMMYFUNCTION("""COMPUTED_VALUE"""),64.0)</f>
        <v>64</v>
      </c>
      <c r="F7397" s="19" t="str">
        <f>IFERROR(__xludf.DUMMYFUNCTION("""COMPUTED_VALUE"""),"BLUE")</f>
        <v>BLUE</v>
      </c>
      <c r="G7397" s="20" t="str">
        <f>IFERROR(__xludf.DUMMYFUNCTION("""COMPUTED_VALUE"""),"Uncle Sams Cider (04/04/2023)")</f>
        <v>Uncle Sams Cider (04/04/2023)</v>
      </c>
      <c r="H7397" s="19"/>
    </row>
    <row r="7398">
      <c r="A7398" s="9"/>
      <c r="B7398" s="15"/>
      <c r="C7398" s="9">
        <f>IFERROR(__xludf.DUMMYFUNCTION("""COMPUTED_VALUE"""),45066.5323958101)</f>
        <v>45066.5324</v>
      </c>
      <c r="D7398" s="15">
        <f>IFERROR(__xludf.DUMMYFUNCTION("""COMPUTED_VALUE"""),1.013)</f>
        <v>1.013</v>
      </c>
      <c r="E7398" s="16">
        <f>IFERROR(__xludf.DUMMYFUNCTION("""COMPUTED_VALUE"""),64.0)</f>
        <v>64</v>
      </c>
      <c r="F7398" s="19" t="str">
        <f>IFERROR(__xludf.DUMMYFUNCTION("""COMPUTED_VALUE"""),"BLUE")</f>
        <v>BLUE</v>
      </c>
      <c r="G7398" s="20" t="str">
        <f>IFERROR(__xludf.DUMMYFUNCTION("""COMPUTED_VALUE"""),"Uncle Sams Cider (04/04/2023)")</f>
        <v>Uncle Sams Cider (04/04/2023)</v>
      </c>
      <c r="H7398" s="19"/>
    </row>
    <row r="7399">
      <c r="A7399" s="9"/>
      <c r="B7399" s="15"/>
      <c r="C7399" s="9">
        <f>IFERROR(__xludf.DUMMYFUNCTION("""COMPUTED_VALUE"""),45066.5219728125)</f>
        <v>45066.52197</v>
      </c>
      <c r="D7399" s="15">
        <f>IFERROR(__xludf.DUMMYFUNCTION("""COMPUTED_VALUE"""),1.012)</f>
        <v>1.012</v>
      </c>
      <c r="E7399" s="16">
        <f>IFERROR(__xludf.DUMMYFUNCTION("""COMPUTED_VALUE"""),64.0)</f>
        <v>64</v>
      </c>
      <c r="F7399" s="19" t="str">
        <f>IFERROR(__xludf.DUMMYFUNCTION("""COMPUTED_VALUE"""),"BLUE")</f>
        <v>BLUE</v>
      </c>
      <c r="G7399" s="20" t="str">
        <f>IFERROR(__xludf.DUMMYFUNCTION("""COMPUTED_VALUE"""),"Uncle Sams Cider (04/04/2023)")</f>
        <v>Uncle Sams Cider (04/04/2023)</v>
      </c>
      <c r="H7399" s="19"/>
    </row>
    <row r="7400">
      <c r="A7400" s="9"/>
      <c r="B7400" s="15"/>
      <c r="C7400" s="9">
        <f>IFERROR(__xludf.DUMMYFUNCTION("""COMPUTED_VALUE"""),45066.5115531481)</f>
        <v>45066.51155</v>
      </c>
      <c r="D7400" s="15">
        <f>IFERROR(__xludf.DUMMYFUNCTION("""COMPUTED_VALUE"""),1.012)</f>
        <v>1.012</v>
      </c>
      <c r="E7400" s="16">
        <f>IFERROR(__xludf.DUMMYFUNCTION("""COMPUTED_VALUE"""),64.0)</f>
        <v>64</v>
      </c>
      <c r="F7400" s="19" t="str">
        <f>IFERROR(__xludf.DUMMYFUNCTION("""COMPUTED_VALUE"""),"BLUE")</f>
        <v>BLUE</v>
      </c>
      <c r="G7400" s="20" t="str">
        <f>IFERROR(__xludf.DUMMYFUNCTION("""COMPUTED_VALUE"""),"Uncle Sams Cider (04/04/2023)")</f>
        <v>Uncle Sams Cider (04/04/2023)</v>
      </c>
      <c r="H7400" s="19"/>
    </row>
    <row r="7401">
      <c r="A7401" s="9"/>
      <c r="B7401" s="15"/>
      <c r="C7401" s="9">
        <f>IFERROR(__xludf.DUMMYFUNCTION("""COMPUTED_VALUE"""),45066.5011313194)</f>
        <v>45066.50113</v>
      </c>
      <c r="D7401" s="15">
        <f>IFERROR(__xludf.DUMMYFUNCTION("""COMPUTED_VALUE"""),1.012)</f>
        <v>1.012</v>
      </c>
      <c r="E7401" s="16">
        <f>IFERROR(__xludf.DUMMYFUNCTION("""COMPUTED_VALUE"""),64.0)</f>
        <v>64</v>
      </c>
      <c r="F7401" s="19" t="str">
        <f>IFERROR(__xludf.DUMMYFUNCTION("""COMPUTED_VALUE"""),"BLUE")</f>
        <v>BLUE</v>
      </c>
      <c r="G7401" s="20" t="str">
        <f>IFERROR(__xludf.DUMMYFUNCTION("""COMPUTED_VALUE"""),"Uncle Sams Cider (04/04/2023)")</f>
        <v>Uncle Sams Cider (04/04/2023)</v>
      </c>
      <c r="H7401" s="19"/>
    </row>
    <row r="7402">
      <c r="A7402" s="9"/>
      <c r="B7402" s="15"/>
      <c r="C7402" s="9">
        <f>IFERROR(__xludf.DUMMYFUNCTION("""COMPUTED_VALUE"""),45066.490709618)</f>
        <v>45066.49071</v>
      </c>
      <c r="D7402" s="15">
        <f>IFERROR(__xludf.DUMMYFUNCTION("""COMPUTED_VALUE"""),1.013)</f>
        <v>1.013</v>
      </c>
      <c r="E7402" s="16">
        <f>IFERROR(__xludf.DUMMYFUNCTION("""COMPUTED_VALUE"""),64.0)</f>
        <v>64</v>
      </c>
      <c r="F7402" s="19" t="str">
        <f>IFERROR(__xludf.DUMMYFUNCTION("""COMPUTED_VALUE"""),"BLUE")</f>
        <v>BLUE</v>
      </c>
      <c r="G7402" s="20" t="str">
        <f>IFERROR(__xludf.DUMMYFUNCTION("""COMPUTED_VALUE"""),"Uncle Sams Cider (04/04/2023)")</f>
        <v>Uncle Sams Cider (04/04/2023)</v>
      </c>
      <c r="H7402" s="19"/>
    </row>
    <row r="7403">
      <c r="A7403" s="9"/>
      <c r="B7403" s="15"/>
      <c r="C7403" s="9">
        <f>IFERROR(__xludf.DUMMYFUNCTION("""COMPUTED_VALUE"""),45066.4802874884)</f>
        <v>45066.48029</v>
      </c>
      <c r="D7403" s="15">
        <f>IFERROR(__xludf.DUMMYFUNCTION("""COMPUTED_VALUE"""),1.013)</f>
        <v>1.013</v>
      </c>
      <c r="E7403" s="16">
        <f>IFERROR(__xludf.DUMMYFUNCTION("""COMPUTED_VALUE"""),64.0)</f>
        <v>64</v>
      </c>
      <c r="F7403" s="19" t="str">
        <f>IFERROR(__xludf.DUMMYFUNCTION("""COMPUTED_VALUE"""),"BLUE")</f>
        <v>BLUE</v>
      </c>
      <c r="G7403" s="20" t="str">
        <f>IFERROR(__xludf.DUMMYFUNCTION("""COMPUTED_VALUE"""),"Uncle Sams Cider (04/04/2023)")</f>
        <v>Uncle Sams Cider (04/04/2023)</v>
      </c>
      <c r="H7403" s="19"/>
    </row>
    <row r="7404">
      <c r="A7404" s="9"/>
      <c r="B7404" s="15"/>
      <c r="C7404" s="9">
        <f>IFERROR(__xludf.DUMMYFUNCTION("""COMPUTED_VALUE"""),45066.4698645138)</f>
        <v>45066.46986</v>
      </c>
      <c r="D7404" s="15">
        <f>IFERROR(__xludf.DUMMYFUNCTION("""COMPUTED_VALUE"""),1.012)</f>
        <v>1.012</v>
      </c>
      <c r="E7404" s="16">
        <f>IFERROR(__xludf.DUMMYFUNCTION("""COMPUTED_VALUE"""),64.0)</f>
        <v>64</v>
      </c>
      <c r="F7404" s="19" t="str">
        <f>IFERROR(__xludf.DUMMYFUNCTION("""COMPUTED_VALUE"""),"BLUE")</f>
        <v>BLUE</v>
      </c>
      <c r="G7404" s="20" t="str">
        <f>IFERROR(__xludf.DUMMYFUNCTION("""COMPUTED_VALUE"""),"Uncle Sams Cider (04/04/2023)")</f>
        <v>Uncle Sams Cider (04/04/2023)</v>
      </c>
      <c r="H7404" s="19"/>
    </row>
    <row r="7405">
      <c r="A7405" s="9"/>
      <c r="B7405" s="15"/>
      <c r="C7405" s="9">
        <f>IFERROR(__xludf.DUMMYFUNCTION("""COMPUTED_VALUE"""),45066.4594432523)</f>
        <v>45066.45944</v>
      </c>
      <c r="D7405" s="15">
        <f>IFERROR(__xludf.DUMMYFUNCTION("""COMPUTED_VALUE"""),1.013)</f>
        <v>1.013</v>
      </c>
      <c r="E7405" s="16">
        <f>IFERROR(__xludf.DUMMYFUNCTION("""COMPUTED_VALUE"""),64.0)</f>
        <v>64</v>
      </c>
      <c r="F7405" s="19" t="str">
        <f>IFERROR(__xludf.DUMMYFUNCTION("""COMPUTED_VALUE"""),"BLUE")</f>
        <v>BLUE</v>
      </c>
      <c r="G7405" s="20" t="str">
        <f>IFERROR(__xludf.DUMMYFUNCTION("""COMPUTED_VALUE"""),"Uncle Sams Cider (04/04/2023)")</f>
        <v>Uncle Sams Cider (04/04/2023)</v>
      </c>
      <c r="H7405" s="19"/>
    </row>
    <row r="7406">
      <c r="A7406" s="9"/>
      <c r="B7406" s="15"/>
      <c r="C7406" s="9">
        <f>IFERROR(__xludf.DUMMYFUNCTION("""COMPUTED_VALUE"""),45066.4490220023)</f>
        <v>45066.44902</v>
      </c>
      <c r="D7406" s="15">
        <f>IFERROR(__xludf.DUMMYFUNCTION("""COMPUTED_VALUE"""),1.012)</f>
        <v>1.012</v>
      </c>
      <c r="E7406" s="16">
        <f>IFERROR(__xludf.DUMMYFUNCTION("""COMPUTED_VALUE"""),64.0)</f>
        <v>64</v>
      </c>
      <c r="F7406" s="19" t="str">
        <f>IFERROR(__xludf.DUMMYFUNCTION("""COMPUTED_VALUE"""),"BLUE")</f>
        <v>BLUE</v>
      </c>
      <c r="G7406" s="20" t="str">
        <f>IFERROR(__xludf.DUMMYFUNCTION("""COMPUTED_VALUE"""),"Uncle Sams Cider (04/04/2023)")</f>
        <v>Uncle Sams Cider (04/04/2023)</v>
      </c>
      <c r="H7406" s="19"/>
    </row>
    <row r="7407">
      <c r="A7407" s="9"/>
      <c r="B7407" s="15"/>
      <c r="C7407" s="9">
        <f>IFERROR(__xludf.DUMMYFUNCTION("""COMPUTED_VALUE"""),45066.4386009143)</f>
        <v>45066.4386</v>
      </c>
      <c r="D7407" s="15">
        <f>IFERROR(__xludf.DUMMYFUNCTION("""COMPUTED_VALUE"""),1.012)</f>
        <v>1.012</v>
      </c>
      <c r="E7407" s="16">
        <f>IFERROR(__xludf.DUMMYFUNCTION("""COMPUTED_VALUE"""),64.0)</f>
        <v>64</v>
      </c>
      <c r="F7407" s="19" t="str">
        <f>IFERROR(__xludf.DUMMYFUNCTION("""COMPUTED_VALUE"""),"BLUE")</f>
        <v>BLUE</v>
      </c>
      <c r="G7407" s="20" t="str">
        <f>IFERROR(__xludf.DUMMYFUNCTION("""COMPUTED_VALUE"""),"Uncle Sams Cider (04/04/2023)")</f>
        <v>Uncle Sams Cider (04/04/2023)</v>
      </c>
      <c r="H7407" s="19"/>
    </row>
    <row r="7408">
      <c r="A7408" s="9"/>
      <c r="B7408" s="15"/>
      <c r="C7408" s="9">
        <f>IFERROR(__xludf.DUMMYFUNCTION("""COMPUTED_VALUE"""),45066.4281787847)</f>
        <v>45066.42818</v>
      </c>
      <c r="D7408" s="15">
        <f>IFERROR(__xludf.DUMMYFUNCTION("""COMPUTED_VALUE"""),1.012)</f>
        <v>1.012</v>
      </c>
      <c r="E7408" s="16">
        <f>IFERROR(__xludf.DUMMYFUNCTION("""COMPUTED_VALUE"""),64.0)</f>
        <v>64</v>
      </c>
      <c r="F7408" s="19" t="str">
        <f>IFERROR(__xludf.DUMMYFUNCTION("""COMPUTED_VALUE"""),"BLUE")</f>
        <v>BLUE</v>
      </c>
      <c r="G7408" s="20" t="str">
        <f>IFERROR(__xludf.DUMMYFUNCTION("""COMPUTED_VALUE"""),"Uncle Sams Cider (04/04/2023)")</f>
        <v>Uncle Sams Cider (04/04/2023)</v>
      </c>
      <c r="H7408" s="19"/>
    </row>
    <row r="7409">
      <c r="A7409" s="9"/>
      <c r="B7409" s="15"/>
      <c r="C7409" s="9">
        <f>IFERROR(__xludf.DUMMYFUNCTION("""COMPUTED_VALUE"""),45066.4177588194)</f>
        <v>45066.41776</v>
      </c>
      <c r="D7409" s="15">
        <f>IFERROR(__xludf.DUMMYFUNCTION("""COMPUTED_VALUE"""),1.012)</f>
        <v>1.012</v>
      </c>
      <c r="E7409" s="16">
        <f>IFERROR(__xludf.DUMMYFUNCTION("""COMPUTED_VALUE"""),64.0)</f>
        <v>64</v>
      </c>
      <c r="F7409" s="19" t="str">
        <f>IFERROR(__xludf.DUMMYFUNCTION("""COMPUTED_VALUE"""),"BLUE")</f>
        <v>BLUE</v>
      </c>
      <c r="G7409" s="20" t="str">
        <f>IFERROR(__xludf.DUMMYFUNCTION("""COMPUTED_VALUE"""),"Uncle Sams Cider (04/04/2023)")</f>
        <v>Uncle Sams Cider (04/04/2023)</v>
      </c>
      <c r="H7409" s="19"/>
    </row>
    <row r="7410">
      <c r="A7410" s="9"/>
      <c r="B7410" s="15"/>
      <c r="C7410" s="9">
        <f>IFERROR(__xludf.DUMMYFUNCTION("""COMPUTED_VALUE"""),45066.4073387037)</f>
        <v>45066.40734</v>
      </c>
      <c r="D7410" s="15">
        <f>IFERROR(__xludf.DUMMYFUNCTION("""COMPUTED_VALUE"""),1.013)</f>
        <v>1.013</v>
      </c>
      <c r="E7410" s="16">
        <f>IFERROR(__xludf.DUMMYFUNCTION("""COMPUTED_VALUE"""),64.0)</f>
        <v>64</v>
      </c>
      <c r="F7410" s="19" t="str">
        <f>IFERROR(__xludf.DUMMYFUNCTION("""COMPUTED_VALUE"""),"BLUE")</f>
        <v>BLUE</v>
      </c>
      <c r="G7410" s="20" t="str">
        <f>IFERROR(__xludf.DUMMYFUNCTION("""COMPUTED_VALUE"""),"Uncle Sams Cider (04/04/2023)")</f>
        <v>Uncle Sams Cider (04/04/2023)</v>
      </c>
      <c r="H7410" s="19"/>
    </row>
    <row r="7411">
      <c r="A7411" s="9"/>
      <c r="B7411" s="15"/>
      <c r="C7411" s="9">
        <f>IFERROR(__xludf.DUMMYFUNCTION("""COMPUTED_VALUE"""),45066.3969166319)</f>
        <v>45066.39692</v>
      </c>
      <c r="D7411" s="15">
        <f>IFERROR(__xludf.DUMMYFUNCTION("""COMPUTED_VALUE"""),1.013)</f>
        <v>1.013</v>
      </c>
      <c r="E7411" s="16">
        <f>IFERROR(__xludf.DUMMYFUNCTION("""COMPUTED_VALUE"""),64.0)</f>
        <v>64</v>
      </c>
      <c r="F7411" s="19" t="str">
        <f>IFERROR(__xludf.DUMMYFUNCTION("""COMPUTED_VALUE"""),"BLUE")</f>
        <v>BLUE</v>
      </c>
      <c r="G7411" s="20" t="str">
        <f>IFERROR(__xludf.DUMMYFUNCTION("""COMPUTED_VALUE"""),"Uncle Sams Cider (04/04/2023)")</f>
        <v>Uncle Sams Cider (04/04/2023)</v>
      </c>
      <c r="H7411" s="19"/>
    </row>
    <row r="7412">
      <c r="A7412" s="9"/>
      <c r="B7412" s="15"/>
      <c r="C7412" s="9">
        <f>IFERROR(__xludf.DUMMYFUNCTION("""COMPUTED_VALUE"""),45066.3864968981)</f>
        <v>45066.3865</v>
      </c>
      <c r="D7412" s="15">
        <f>IFERROR(__xludf.DUMMYFUNCTION("""COMPUTED_VALUE"""),1.013)</f>
        <v>1.013</v>
      </c>
      <c r="E7412" s="16">
        <f>IFERROR(__xludf.DUMMYFUNCTION("""COMPUTED_VALUE"""),64.0)</f>
        <v>64</v>
      </c>
      <c r="F7412" s="19" t="str">
        <f>IFERROR(__xludf.DUMMYFUNCTION("""COMPUTED_VALUE"""),"BLUE")</f>
        <v>BLUE</v>
      </c>
      <c r="G7412" s="20" t="str">
        <f>IFERROR(__xludf.DUMMYFUNCTION("""COMPUTED_VALUE"""),"Uncle Sams Cider (04/04/2023)")</f>
        <v>Uncle Sams Cider (04/04/2023)</v>
      </c>
      <c r="H7412" s="19"/>
    </row>
    <row r="7413">
      <c r="A7413" s="9"/>
      <c r="B7413" s="15"/>
      <c r="C7413" s="9">
        <f>IFERROR(__xludf.DUMMYFUNCTION("""COMPUTED_VALUE"""),45066.3760625694)</f>
        <v>45066.37606</v>
      </c>
      <c r="D7413" s="15">
        <f>IFERROR(__xludf.DUMMYFUNCTION("""COMPUTED_VALUE"""),1.013)</f>
        <v>1.013</v>
      </c>
      <c r="E7413" s="16">
        <f>IFERROR(__xludf.DUMMYFUNCTION("""COMPUTED_VALUE"""),64.0)</f>
        <v>64</v>
      </c>
      <c r="F7413" s="19" t="str">
        <f>IFERROR(__xludf.DUMMYFUNCTION("""COMPUTED_VALUE"""),"BLUE")</f>
        <v>BLUE</v>
      </c>
      <c r="G7413" s="20" t="str">
        <f>IFERROR(__xludf.DUMMYFUNCTION("""COMPUTED_VALUE"""),"Uncle Sams Cider (04/04/2023)")</f>
        <v>Uncle Sams Cider (04/04/2023)</v>
      </c>
      <c r="H7413" s="19"/>
    </row>
    <row r="7414">
      <c r="A7414" s="9"/>
      <c r="B7414" s="15"/>
      <c r="C7414" s="9">
        <f>IFERROR(__xludf.DUMMYFUNCTION("""COMPUTED_VALUE"""),45066.3656406597)</f>
        <v>45066.36564</v>
      </c>
      <c r="D7414" s="15">
        <f>IFERROR(__xludf.DUMMYFUNCTION("""COMPUTED_VALUE"""),1.013)</f>
        <v>1.013</v>
      </c>
      <c r="E7414" s="16">
        <f>IFERROR(__xludf.DUMMYFUNCTION("""COMPUTED_VALUE"""),64.0)</f>
        <v>64</v>
      </c>
      <c r="F7414" s="19" t="str">
        <f>IFERROR(__xludf.DUMMYFUNCTION("""COMPUTED_VALUE"""),"BLUE")</f>
        <v>BLUE</v>
      </c>
      <c r="G7414" s="20" t="str">
        <f>IFERROR(__xludf.DUMMYFUNCTION("""COMPUTED_VALUE"""),"Uncle Sams Cider (04/04/2023)")</f>
        <v>Uncle Sams Cider (04/04/2023)</v>
      </c>
      <c r="H7414" s="19"/>
    </row>
    <row r="7415">
      <c r="A7415" s="9"/>
      <c r="B7415" s="15"/>
      <c r="C7415" s="9">
        <f>IFERROR(__xludf.DUMMYFUNCTION("""COMPUTED_VALUE"""),45066.3552191782)</f>
        <v>45066.35522</v>
      </c>
      <c r="D7415" s="15">
        <f>IFERROR(__xludf.DUMMYFUNCTION("""COMPUTED_VALUE"""),1.012)</f>
        <v>1.012</v>
      </c>
      <c r="E7415" s="16">
        <f>IFERROR(__xludf.DUMMYFUNCTION("""COMPUTED_VALUE"""),64.0)</f>
        <v>64</v>
      </c>
      <c r="F7415" s="19" t="str">
        <f>IFERROR(__xludf.DUMMYFUNCTION("""COMPUTED_VALUE"""),"BLUE")</f>
        <v>BLUE</v>
      </c>
      <c r="G7415" s="20" t="str">
        <f>IFERROR(__xludf.DUMMYFUNCTION("""COMPUTED_VALUE"""),"Uncle Sams Cider (04/04/2023)")</f>
        <v>Uncle Sams Cider (04/04/2023)</v>
      </c>
      <c r="H7415" s="19"/>
    </row>
    <row r="7416">
      <c r="A7416" s="9"/>
      <c r="B7416" s="15"/>
      <c r="C7416" s="9">
        <f>IFERROR(__xludf.DUMMYFUNCTION("""COMPUTED_VALUE"""),45066.3447982407)</f>
        <v>45066.3448</v>
      </c>
      <c r="D7416" s="15">
        <f>IFERROR(__xludf.DUMMYFUNCTION("""COMPUTED_VALUE"""),1.013)</f>
        <v>1.013</v>
      </c>
      <c r="E7416" s="16">
        <f>IFERROR(__xludf.DUMMYFUNCTION("""COMPUTED_VALUE"""),64.0)</f>
        <v>64</v>
      </c>
      <c r="F7416" s="19" t="str">
        <f>IFERROR(__xludf.DUMMYFUNCTION("""COMPUTED_VALUE"""),"BLUE")</f>
        <v>BLUE</v>
      </c>
      <c r="G7416" s="20" t="str">
        <f>IFERROR(__xludf.DUMMYFUNCTION("""COMPUTED_VALUE"""),"Uncle Sams Cider (04/04/2023)")</f>
        <v>Uncle Sams Cider (04/04/2023)</v>
      </c>
      <c r="H7416" s="19"/>
    </row>
    <row r="7417">
      <c r="A7417" s="9"/>
      <c r="B7417" s="15"/>
      <c r="C7417" s="9">
        <f>IFERROR(__xludf.DUMMYFUNCTION("""COMPUTED_VALUE"""),45066.3343532986)</f>
        <v>45066.33435</v>
      </c>
      <c r="D7417" s="15">
        <f>IFERROR(__xludf.DUMMYFUNCTION("""COMPUTED_VALUE"""),1.013)</f>
        <v>1.013</v>
      </c>
      <c r="E7417" s="16">
        <f>IFERROR(__xludf.DUMMYFUNCTION("""COMPUTED_VALUE"""),64.0)</f>
        <v>64</v>
      </c>
      <c r="F7417" s="19" t="str">
        <f>IFERROR(__xludf.DUMMYFUNCTION("""COMPUTED_VALUE"""),"BLUE")</f>
        <v>BLUE</v>
      </c>
      <c r="G7417" s="20" t="str">
        <f>IFERROR(__xludf.DUMMYFUNCTION("""COMPUTED_VALUE"""),"Uncle Sams Cider (04/04/2023)")</f>
        <v>Uncle Sams Cider (04/04/2023)</v>
      </c>
      <c r="H7417" s="19"/>
    </row>
    <row r="7418">
      <c r="A7418" s="9"/>
      <c r="B7418" s="15"/>
      <c r="C7418" s="9">
        <f>IFERROR(__xludf.DUMMYFUNCTION("""COMPUTED_VALUE"""),45066.3239333101)</f>
        <v>45066.32393</v>
      </c>
      <c r="D7418" s="15">
        <f>IFERROR(__xludf.DUMMYFUNCTION("""COMPUTED_VALUE"""),1.013)</f>
        <v>1.013</v>
      </c>
      <c r="E7418" s="16">
        <f>IFERROR(__xludf.DUMMYFUNCTION("""COMPUTED_VALUE"""),64.0)</f>
        <v>64</v>
      </c>
      <c r="F7418" s="19" t="str">
        <f>IFERROR(__xludf.DUMMYFUNCTION("""COMPUTED_VALUE"""),"BLUE")</f>
        <v>BLUE</v>
      </c>
      <c r="G7418" s="20" t="str">
        <f>IFERROR(__xludf.DUMMYFUNCTION("""COMPUTED_VALUE"""),"Uncle Sams Cider (04/04/2023)")</f>
        <v>Uncle Sams Cider (04/04/2023)</v>
      </c>
      <c r="H7418" s="19"/>
    </row>
    <row r="7419">
      <c r="A7419" s="9"/>
      <c r="B7419" s="15"/>
      <c r="C7419" s="9">
        <f>IFERROR(__xludf.DUMMYFUNCTION("""COMPUTED_VALUE"""),45066.3135123379)</f>
        <v>45066.31351</v>
      </c>
      <c r="D7419" s="15">
        <f>IFERROR(__xludf.DUMMYFUNCTION("""COMPUTED_VALUE"""),1.013)</f>
        <v>1.013</v>
      </c>
      <c r="E7419" s="16">
        <f>IFERROR(__xludf.DUMMYFUNCTION("""COMPUTED_VALUE"""),64.0)</f>
        <v>64</v>
      </c>
      <c r="F7419" s="19" t="str">
        <f>IFERROR(__xludf.DUMMYFUNCTION("""COMPUTED_VALUE"""),"BLUE")</f>
        <v>BLUE</v>
      </c>
      <c r="G7419" s="20" t="str">
        <f>IFERROR(__xludf.DUMMYFUNCTION("""COMPUTED_VALUE"""),"Uncle Sams Cider (04/04/2023)")</f>
        <v>Uncle Sams Cider (04/04/2023)</v>
      </c>
      <c r="H7419" s="19"/>
    </row>
    <row r="7420">
      <c r="A7420" s="9"/>
      <c r="B7420" s="15"/>
      <c r="C7420" s="9">
        <f>IFERROR(__xludf.DUMMYFUNCTION("""COMPUTED_VALUE"""),45066.3030906828)</f>
        <v>45066.30309</v>
      </c>
      <c r="D7420" s="15">
        <f>IFERROR(__xludf.DUMMYFUNCTION("""COMPUTED_VALUE"""),1.013)</f>
        <v>1.013</v>
      </c>
      <c r="E7420" s="16">
        <f>IFERROR(__xludf.DUMMYFUNCTION("""COMPUTED_VALUE"""),64.0)</f>
        <v>64</v>
      </c>
      <c r="F7420" s="19" t="str">
        <f>IFERROR(__xludf.DUMMYFUNCTION("""COMPUTED_VALUE"""),"BLUE")</f>
        <v>BLUE</v>
      </c>
      <c r="G7420" s="20" t="str">
        <f>IFERROR(__xludf.DUMMYFUNCTION("""COMPUTED_VALUE"""),"Uncle Sams Cider (04/04/2023)")</f>
        <v>Uncle Sams Cider (04/04/2023)</v>
      </c>
      <c r="H7420" s="19"/>
    </row>
    <row r="7421">
      <c r="A7421" s="9"/>
      <c r="B7421" s="15"/>
      <c r="C7421" s="9">
        <f>IFERROR(__xludf.DUMMYFUNCTION("""COMPUTED_VALUE"""),45066.2926566782)</f>
        <v>45066.29266</v>
      </c>
      <c r="D7421" s="15">
        <f>IFERROR(__xludf.DUMMYFUNCTION("""COMPUTED_VALUE"""),1.012)</f>
        <v>1.012</v>
      </c>
      <c r="E7421" s="16">
        <f>IFERROR(__xludf.DUMMYFUNCTION("""COMPUTED_VALUE"""),64.0)</f>
        <v>64</v>
      </c>
      <c r="F7421" s="19" t="str">
        <f>IFERROR(__xludf.DUMMYFUNCTION("""COMPUTED_VALUE"""),"BLUE")</f>
        <v>BLUE</v>
      </c>
      <c r="G7421" s="20" t="str">
        <f>IFERROR(__xludf.DUMMYFUNCTION("""COMPUTED_VALUE"""),"Uncle Sams Cider (04/04/2023)")</f>
        <v>Uncle Sams Cider (04/04/2023)</v>
      </c>
      <c r="H7421" s="19"/>
    </row>
    <row r="7422">
      <c r="A7422" s="9"/>
      <c r="B7422" s="15"/>
      <c r="C7422" s="9">
        <f>IFERROR(__xludf.DUMMYFUNCTION("""COMPUTED_VALUE"""),45066.2822359837)</f>
        <v>45066.28224</v>
      </c>
      <c r="D7422" s="15">
        <f>IFERROR(__xludf.DUMMYFUNCTION("""COMPUTED_VALUE"""),1.013)</f>
        <v>1.013</v>
      </c>
      <c r="E7422" s="16">
        <f>IFERROR(__xludf.DUMMYFUNCTION("""COMPUTED_VALUE"""),64.0)</f>
        <v>64</v>
      </c>
      <c r="F7422" s="19" t="str">
        <f>IFERROR(__xludf.DUMMYFUNCTION("""COMPUTED_VALUE"""),"BLUE")</f>
        <v>BLUE</v>
      </c>
      <c r="G7422" s="20" t="str">
        <f>IFERROR(__xludf.DUMMYFUNCTION("""COMPUTED_VALUE"""),"Uncle Sams Cider (04/04/2023)")</f>
        <v>Uncle Sams Cider (04/04/2023)</v>
      </c>
      <c r="H7422" s="19"/>
    </row>
    <row r="7423">
      <c r="A7423" s="9"/>
      <c r="B7423" s="15"/>
      <c r="C7423" s="9">
        <f>IFERROR(__xludf.DUMMYFUNCTION("""COMPUTED_VALUE"""),45066.2718149884)</f>
        <v>45066.27181</v>
      </c>
      <c r="D7423" s="15">
        <f>IFERROR(__xludf.DUMMYFUNCTION("""COMPUTED_VALUE"""),1.013)</f>
        <v>1.013</v>
      </c>
      <c r="E7423" s="16">
        <f>IFERROR(__xludf.DUMMYFUNCTION("""COMPUTED_VALUE"""),64.0)</f>
        <v>64</v>
      </c>
      <c r="F7423" s="19" t="str">
        <f>IFERROR(__xludf.DUMMYFUNCTION("""COMPUTED_VALUE"""),"BLUE")</f>
        <v>BLUE</v>
      </c>
      <c r="G7423" s="20" t="str">
        <f>IFERROR(__xludf.DUMMYFUNCTION("""COMPUTED_VALUE"""),"Uncle Sams Cider (04/04/2023)")</f>
        <v>Uncle Sams Cider (04/04/2023)</v>
      </c>
      <c r="H7423" s="19"/>
    </row>
    <row r="7424">
      <c r="A7424" s="9"/>
      <c r="B7424" s="15"/>
      <c r="C7424" s="9">
        <f>IFERROR(__xludf.DUMMYFUNCTION("""COMPUTED_VALUE"""),45066.2613948379)</f>
        <v>45066.26139</v>
      </c>
      <c r="D7424" s="15">
        <f>IFERROR(__xludf.DUMMYFUNCTION("""COMPUTED_VALUE"""),1.012)</f>
        <v>1.012</v>
      </c>
      <c r="E7424" s="16">
        <f>IFERROR(__xludf.DUMMYFUNCTION("""COMPUTED_VALUE"""),64.0)</f>
        <v>64</v>
      </c>
      <c r="F7424" s="19" t="str">
        <f>IFERROR(__xludf.DUMMYFUNCTION("""COMPUTED_VALUE"""),"BLUE")</f>
        <v>BLUE</v>
      </c>
      <c r="G7424" s="20" t="str">
        <f>IFERROR(__xludf.DUMMYFUNCTION("""COMPUTED_VALUE"""),"Uncle Sams Cider (04/04/2023)")</f>
        <v>Uncle Sams Cider (04/04/2023)</v>
      </c>
      <c r="H7424" s="19"/>
    </row>
    <row r="7425">
      <c r="A7425" s="9"/>
      <c r="B7425" s="15"/>
      <c r="C7425" s="9">
        <f>IFERROR(__xludf.DUMMYFUNCTION("""COMPUTED_VALUE"""),45066.2509740509)</f>
        <v>45066.25097</v>
      </c>
      <c r="D7425" s="15">
        <f>IFERROR(__xludf.DUMMYFUNCTION("""COMPUTED_VALUE"""),1.013)</f>
        <v>1.013</v>
      </c>
      <c r="E7425" s="16">
        <f>IFERROR(__xludf.DUMMYFUNCTION("""COMPUTED_VALUE"""),64.0)</f>
        <v>64</v>
      </c>
      <c r="F7425" s="19" t="str">
        <f>IFERROR(__xludf.DUMMYFUNCTION("""COMPUTED_VALUE"""),"BLUE")</f>
        <v>BLUE</v>
      </c>
      <c r="G7425" s="20" t="str">
        <f>IFERROR(__xludf.DUMMYFUNCTION("""COMPUTED_VALUE"""),"Uncle Sams Cider (04/04/2023)")</f>
        <v>Uncle Sams Cider (04/04/2023)</v>
      </c>
      <c r="H7425" s="19"/>
    </row>
    <row r="7426">
      <c r="A7426" s="9"/>
      <c r="B7426" s="15"/>
      <c r="C7426" s="9">
        <f>IFERROR(__xludf.DUMMYFUNCTION("""COMPUTED_VALUE"""),45066.2405414351)</f>
        <v>45066.24054</v>
      </c>
      <c r="D7426" s="15">
        <f>IFERROR(__xludf.DUMMYFUNCTION("""COMPUTED_VALUE"""),1.013)</f>
        <v>1.013</v>
      </c>
      <c r="E7426" s="16">
        <f>IFERROR(__xludf.DUMMYFUNCTION("""COMPUTED_VALUE"""),64.0)</f>
        <v>64</v>
      </c>
      <c r="F7426" s="19" t="str">
        <f>IFERROR(__xludf.DUMMYFUNCTION("""COMPUTED_VALUE"""),"BLUE")</f>
        <v>BLUE</v>
      </c>
      <c r="G7426" s="20" t="str">
        <f>IFERROR(__xludf.DUMMYFUNCTION("""COMPUTED_VALUE"""),"Uncle Sams Cider (04/04/2023)")</f>
        <v>Uncle Sams Cider (04/04/2023)</v>
      </c>
      <c r="H7426" s="19"/>
    </row>
    <row r="7427">
      <c r="A7427" s="9"/>
      <c r="B7427" s="15"/>
      <c r="C7427" s="9">
        <f>IFERROR(__xludf.DUMMYFUNCTION("""COMPUTED_VALUE"""),45066.2301207176)</f>
        <v>45066.23012</v>
      </c>
      <c r="D7427" s="15">
        <f>IFERROR(__xludf.DUMMYFUNCTION("""COMPUTED_VALUE"""),1.013)</f>
        <v>1.013</v>
      </c>
      <c r="E7427" s="16">
        <f>IFERROR(__xludf.DUMMYFUNCTION("""COMPUTED_VALUE"""),64.0)</f>
        <v>64</v>
      </c>
      <c r="F7427" s="19" t="str">
        <f>IFERROR(__xludf.DUMMYFUNCTION("""COMPUTED_VALUE"""),"BLUE")</f>
        <v>BLUE</v>
      </c>
      <c r="G7427" s="20" t="str">
        <f>IFERROR(__xludf.DUMMYFUNCTION("""COMPUTED_VALUE"""),"Uncle Sams Cider (04/04/2023)")</f>
        <v>Uncle Sams Cider (04/04/2023)</v>
      </c>
      <c r="H7427" s="19"/>
    </row>
    <row r="7428">
      <c r="A7428" s="9"/>
      <c r="B7428" s="15"/>
      <c r="C7428" s="9">
        <f>IFERROR(__xludf.DUMMYFUNCTION("""COMPUTED_VALUE"""),45066.2196984143)</f>
        <v>45066.2197</v>
      </c>
      <c r="D7428" s="15">
        <f>IFERROR(__xludf.DUMMYFUNCTION("""COMPUTED_VALUE"""),1.012)</f>
        <v>1.012</v>
      </c>
      <c r="E7428" s="16">
        <f>IFERROR(__xludf.DUMMYFUNCTION("""COMPUTED_VALUE"""),64.0)</f>
        <v>64</v>
      </c>
      <c r="F7428" s="19" t="str">
        <f>IFERROR(__xludf.DUMMYFUNCTION("""COMPUTED_VALUE"""),"BLUE")</f>
        <v>BLUE</v>
      </c>
      <c r="G7428" s="20" t="str">
        <f>IFERROR(__xludf.DUMMYFUNCTION("""COMPUTED_VALUE"""),"Uncle Sams Cider (04/04/2023)")</f>
        <v>Uncle Sams Cider (04/04/2023)</v>
      </c>
      <c r="H7428" s="19"/>
    </row>
    <row r="7429">
      <c r="A7429" s="9"/>
      <c r="B7429" s="15"/>
      <c r="C7429" s="9">
        <f>IFERROR(__xludf.DUMMYFUNCTION("""COMPUTED_VALUE"""),45066.20927728)</f>
        <v>45066.20928</v>
      </c>
      <c r="D7429" s="15">
        <f>IFERROR(__xludf.DUMMYFUNCTION("""COMPUTED_VALUE"""),1.013)</f>
        <v>1.013</v>
      </c>
      <c r="E7429" s="16">
        <f>IFERROR(__xludf.DUMMYFUNCTION("""COMPUTED_VALUE"""),64.0)</f>
        <v>64</v>
      </c>
      <c r="F7429" s="19" t="str">
        <f>IFERROR(__xludf.DUMMYFUNCTION("""COMPUTED_VALUE"""),"BLUE")</f>
        <v>BLUE</v>
      </c>
      <c r="G7429" s="20" t="str">
        <f>IFERROR(__xludf.DUMMYFUNCTION("""COMPUTED_VALUE"""),"Uncle Sams Cider (04/04/2023)")</f>
        <v>Uncle Sams Cider (04/04/2023)</v>
      </c>
      <c r="H7429" s="19"/>
    </row>
    <row r="7430">
      <c r="A7430" s="9"/>
      <c r="B7430" s="15"/>
      <c r="C7430" s="9">
        <f>IFERROR(__xludf.DUMMYFUNCTION("""COMPUTED_VALUE"""),45066.1988453935)</f>
        <v>45066.19885</v>
      </c>
      <c r="D7430" s="15">
        <f>IFERROR(__xludf.DUMMYFUNCTION("""COMPUTED_VALUE"""),1.013)</f>
        <v>1.013</v>
      </c>
      <c r="E7430" s="16">
        <f>IFERROR(__xludf.DUMMYFUNCTION("""COMPUTED_VALUE"""),64.0)</f>
        <v>64</v>
      </c>
      <c r="F7430" s="19" t="str">
        <f>IFERROR(__xludf.DUMMYFUNCTION("""COMPUTED_VALUE"""),"BLUE")</f>
        <v>BLUE</v>
      </c>
      <c r="G7430" s="20" t="str">
        <f>IFERROR(__xludf.DUMMYFUNCTION("""COMPUTED_VALUE"""),"Uncle Sams Cider (04/04/2023)")</f>
        <v>Uncle Sams Cider (04/04/2023)</v>
      </c>
      <c r="H7430" s="19"/>
    </row>
    <row r="7431">
      <c r="A7431" s="9"/>
      <c r="B7431" s="15"/>
      <c r="C7431" s="9">
        <f>IFERROR(__xludf.DUMMYFUNCTION("""COMPUTED_VALUE"""),45066.1884232407)</f>
        <v>45066.18842</v>
      </c>
      <c r="D7431" s="15">
        <f>IFERROR(__xludf.DUMMYFUNCTION("""COMPUTED_VALUE"""),1.013)</f>
        <v>1.013</v>
      </c>
      <c r="E7431" s="16">
        <f>IFERROR(__xludf.DUMMYFUNCTION("""COMPUTED_VALUE"""),64.0)</f>
        <v>64</v>
      </c>
      <c r="F7431" s="19" t="str">
        <f>IFERROR(__xludf.DUMMYFUNCTION("""COMPUTED_VALUE"""),"BLUE")</f>
        <v>BLUE</v>
      </c>
      <c r="G7431" s="20" t="str">
        <f>IFERROR(__xludf.DUMMYFUNCTION("""COMPUTED_VALUE"""),"Uncle Sams Cider (04/04/2023)")</f>
        <v>Uncle Sams Cider (04/04/2023)</v>
      </c>
      <c r="H7431" s="19"/>
    </row>
    <row r="7432">
      <c r="A7432" s="9"/>
      <c r="B7432" s="15"/>
      <c r="C7432" s="9">
        <f>IFERROR(__xludf.DUMMYFUNCTION("""COMPUTED_VALUE"""),45066.1780013078)</f>
        <v>45066.178</v>
      </c>
      <c r="D7432" s="15">
        <f>IFERROR(__xludf.DUMMYFUNCTION("""COMPUTED_VALUE"""),1.013)</f>
        <v>1.013</v>
      </c>
      <c r="E7432" s="16">
        <f>IFERROR(__xludf.DUMMYFUNCTION("""COMPUTED_VALUE"""),64.0)</f>
        <v>64</v>
      </c>
      <c r="F7432" s="19" t="str">
        <f>IFERROR(__xludf.DUMMYFUNCTION("""COMPUTED_VALUE"""),"BLUE")</f>
        <v>BLUE</v>
      </c>
      <c r="G7432" s="20" t="str">
        <f>IFERROR(__xludf.DUMMYFUNCTION("""COMPUTED_VALUE"""),"Uncle Sams Cider (04/04/2023)")</f>
        <v>Uncle Sams Cider (04/04/2023)</v>
      </c>
      <c r="H7432" s="19"/>
    </row>
    <row r="7433">
      <c r="A7433" s="9"/>
      <c r="B7433" s="15"/>
      <c r="C7433" s="9">
        <f>IFERROR(__xludf.DUMMYFUNCTION("""COMPUTED_VALUE"""),45066.1675686574)</f>
        <v>45066.16757</v>
      </c>
      <c r="D7433" s="15">
        <f>IFERROR(__xludf.DUMMYFUNCTION("""COMPUTED_VALUE"""),1.013)</f>
        <v>1.013</v>
      </c>
      <c r="E7433" s="16">
        <f>IFERROR(__xludf.DUMMYFUNCTION("""COMPUTED_VALUE"""),64.0)</f>
        <v>64</v>
      </c>
      <c r="F7433" s="19" t="str">
        <f>IFERROR(__xludf.DUMMYFUNCTION("""COMPUTED_VALUE"""),"BLUE")</f>
        <v>BLUE</v>
      </c>
      <c r="G7433" s="20" t="str">
        <f>IFERROR(__xludf.DUMMYFUNCTION("""COMPUTED_VALUE"""),"Uncle Sams Cider (04/04/2023)")</f>
        <v>Uncle Sams Cider (04/04/2023)</v>
      </c>
      <c r="H7433" s="19"/>
    </row>
    <row r="7434">
      <c r="A7434" s="9"/>
      <c r="B7434" s="15"/>
      <c r="C7434" s="9">
        <f>IFERROR(__xludf.DUMMYFUNCTION("""COMPUTED_VALUE"""),45066.1571360416)</f>
        <v>45066.15714</v>
      </c>
      <c r="D7434" s="15">
        <f>IFERROR(__xludf.DUMMYFUNCTION("""COMPUTED_VALUE"""),1.013)</f>
        <v>1.013</v>
      </c>
      <c r="E7434" s="16">
        <f>IFERROR(__xludf.DUMMYFUNCTION("""COMPUTED_VALUE"""),64.0)</f>
        <v>64</v>
      </c>
      <c r="F7434" s="19" t="str">
        <f>IFERROR(__xludf.DUMMYFUNCTION("""COMPUTED_VALUE"""),"BLUE")</f>
        <v>BLUE</v>
      </c>
      <c r="G7434" s="20" t="str">
        <f>IFERROR(__xludf.DUMMYFUNCTION("""COMPUTED_VALUE"""),"Uncle Sams Cider (04/04/2023)")</f>
        <v>Uncle Sams Cider (04/04/2023)</v>
      </c>
      <c r="H7434" s="19"/>
    </row>
    <row r="7435">
      <c r="A7435" s="9"/>
      <c r="B7435" s="15"/>
      <c r="C7435" s="9">
        <f>IFERROR(__xludf.DUMMYFUNCTION("""COMPUTED_VALUE"""),45066.1467147338)</f>
        <v>45066.14671</v>
      </c>
      <c r="D7435" s="15">
        <f>IFERROR(__xludf.DUMMYFUNCTION("""COMPUTED_VALUE"""),1.013)</f>
        <v>1.013</v>
      </c>
      <c r="E7435" s="16">
        <f>IFERROR(__xludf.DUMMYFUNCTION("""COMPUTED_VALUE"""),64.0)</f>
        <v>64</v>
      </c>
      <c r="F7435" s="19" t="str">
        <f>IFERROR(__xludf.DUMMYFUNCTION("""COMPUTED_VALUE"""),"BLUE")</f>
        <v>BLUE</v>
      </c>
      <c r="G7435" s="20" t="str">
        <f>IFERROR(__xludf.DUMMYFUNCTION("""COMPUTED_VALUE"""),"Uncle Sams Cider (04/04/2023)")</f>
        <v>Uncle Sams Cider (04/04/2023)</v>
      </c>
      <c r="H7435" s="19"/>
    </row>
    <row r="7436">
      <c r="A7436" s="9"/>
      <c r="B7436" s="15"/>
      <c r="C7436" s="9">
        <f>IFERROR(__xludf.DUMMYFUNCTION("""COMPUTED_VALUE"""),45066.13629125)</f>
        <v>45066.13629</v>
      </c>
      <c r="D7436" s="15">
        <f>IFERROR(__xludf.DUMMYFUNCTION("""COMPUTED_VALUE"""),1.013)</f>
        <v>1.013</v>
      </c>
      <c r="E7436" s="16">
        <f>IFERROR(__xludf.DUMMYFUNCTION("""COMPUTED_VALUE"""),64.0)</f>
        <v>64</v>
      </c>
      <c r="F7436" s="19" t="str">
        <f>IFERROR(__xludf.DUMMYFUNCTION("""COMPUTED_VALUE"""),"BLUE")</f>
        <v>BLUE</v>
      </c>
      <c r="G7436" s="20" t="str">
        <f>IFERROR(__xludf.DUMMYFUNCTION("""COMPUTED_VALUE"""),"Uncle Sams Cider (04/04/2023)")</f>
        <v>Uncle Sams Cider (04/04/2023)</v>
      </c>
      <c r="H7436" s="19"/>
    </row>
    <row r="7437">
      <c r="A7437" s="9"/>
      <c r="B7437" s="15"/>
      <c r="C7437" s="9">
        <f>IFERROR(__xludf.DUMMYFUNCTION("""COMPUTED_VALUE"""),45066.1258691435)</f>
        <v>45066.12587</v>
      </c>
      <c r="D7437" s="15">
        <f>IFERROR(__xludf.DUMMYFUNCTION("""COMPUTED_VALUE"""),1.013)</f>
        <v>1.013</v>
      </c>
      <c r="E7437" s="16">
        <f>IFERROR(__xludf.DUMMYFUNCTION("""COMPUTED_VALUE"""),64.0)</f>
        <v>64</v>
      </c>
      <c r="F7437" s="19" t="str">
        <f>IFERROR(__xludf.DUMMYFUNCTION("""COMPUTED_VALUE"""),"BLUE")</f>
        <v>BLUE</v>
      </c>
      <c r="G7437" s="20" t="str">
        <f>IFERROR(__xludf.DUMMYFUNCTION("""COMPUTED_VALUE"""),"Uncle Sams Cider (04/04/2023)")</f>
        <v>Uncle Sams Cider (04/04/2023)</v>
      </c>
      <c r="H7437" s="19"/>
    </row>
    <row r="7438">
      <c r="A7438" s="9"/>
      <c r="B7438" s="15"/>
      <c r="C7438" s="9">
        <f>IFERROR(__xludf.DUMMYFUNCTION("""COMPUTED_VALUE"""),45066.1154497338)</f>
        <v>45066.11545</v>
      </c>
      <c r="D7438" s="15">
        <f>IFERROR(__xludf.DUMMYFUNCTION("""COMPUTED_VALUE"""),1.013)</f>
        <v>1.013</v>
      </c>
      <c r="E7438" s="16">
        <f>IFERROR(__xludf.DUMMYFUNCTION("""COMPUTED_VALUE"""),64.0)</f>
        <v>64</v>
      </c>
      <c r="F7438" s="19" t="str">
        <f>IFERROR(__xludf.DUMMYFUNCTION("""COMPUTED_VALUE"""),"BLUE")</f>
        <v>BLUE</v>
      </c>
      <c r="G7438" s="20" t="str">
        <f>IFERROR(__xludf.DUMMYFUNCTION("""COMPUTED_VALUE"""),"Uncle Sams Cider (04/04/2023)")</f>
        <v>Uncle Sams Cider (04/04/2023)</v>
      </c>
      <c r="H7438" s="19"/>
    </row>
    <row r="7439">
      <c r="A7439" s="9"/>
      <c r="B7439" s="15"/>
      <c r="C7439" s="9">
        <f>IFERROR(__xludf.DUMMYFUNCTION("""COMPUTED_VALUE"""),45066.1050288773)</f>
        <v>45066.10503</v>
      </c>
      <c r="D7439" s="15">
        <f>IFERROR(__xludf.DUMMYFUNCTION("""COMPUTED_VALUE"""),1.013)</f>
        <v>1.013</v>
      </c>
      <c r="E7439" s="16">
        <f>IFERROR(__xludf.DUMMYFUNCTION("""COMPUTED_VALUE"""),64.0)</f>
        <v>64</v>
      </c>
      <c r="F7439" s="19" t="str">
        <f>IFERROR(__xludf.DUMMYFUNCTION("""COMPUTED_VALUE"""),"BLUE")</f>
        <v>BLUE</v>
      </c>
      <c r="G7439" s="20" t="str">
        <f>IFERROR(__xludf.DUMMYFUNCTION("""COMPUTED_VALUE"""),"Uncle Sams Cider (04/04/2023)")</f>
        <v>Uncle Sams Cider (04/04/2023)</v>
      </c>
      <c r="H7439" s="19"/>
    </row>
    <row r="7440">
      <c r="A7440" s="9"/>
      <c r="B7440" s="15"/>
      <c r="C7440" s="9">
        <f>IFERROR(__xludf.DUMMYFUNCTION("""COMPUTED_VALUE"""),45066.0946081944)</f>
        <v>45066.09461</v>
      </c>
      <c r="D7440" s="15">
        <f>IFERROR(__xludf.DUMMYFUNCTION("""COMPUTED_VALUE"""),1.013)</f>
        <v>1.013</v>
      </c>
      <c r="E7440" s="16">
        <f>IFERROR(__xludf.DUMMYFUNCTION("""COMPUTED_VALUE"""),64.0)</f>
        <v>64</v>
      </c>
      <c r="F7440" s="19" t="str">
        <f>IFERROR(__xludf.DUMMYFUNCTION("""COMPUTED_VALUE"""),"BLUE")</f>
        <v>BLUE</v>
      </c>
      <c r="G7440" s="20" t="str">
        <f>IFERROR(__xludf.DUMMYFUNCTION("""COMPUTED_VALUE"""),"Uncle Sams Cider (04/04/2023)")</f>
        <v>Uncle Sams Cider (04/04/2023)</v>
      </c>
      <c r="H7440" s="19"/>
    </row>
    <row r="7441">
      <c r="A7441" s="9"/>
      <c r="B7441" s="15"/>
      <c r="C7441" s="9">
        <f>IFERROR(__xludf.DUMMYFUNCTION("""COMPUTED_VALUE"""),45066.0841857291)</f>
        <v>45066.08419</v>
      </c>
      <c r="D7441" s="15">
        <f>IFERROR(__xludf.DUMMYFUNCTION("""COMPUTED_VALUE"""),1.013)</f>
        <v>1.013</v>
      </c>
      <c r="E7441" s="16">
        <f>IFERROR(__xludf.DUMMYFUNCTION("""COMPUTED_VALUE"""),64.0)</f>
        <v>64</v>
      </c>
      <c r="F7441" s="19" t="str">
        <f>IFERROR(__xludf.DUMMYFUNCTION("""COMPUTED_VALUE"""),"BLUE")</f>
        <v>BLUE</v>
      </c>
      <c r="G7441" s="20" t="str">
        <f>IFERROR(__xludf.DUMMYFUNCTION("""COMPUTED_VALUE"""),"Uncle Sams Cider (04/04/2023)")</f>
        <v>Uncle Sams Cider (04/04/2023)</v>
      </c>
      <c r="H7441" s="19"/>
    </row>
    <row r="7442">
      <c r="A7442" s="9"/>
      <c r="B7442" s="15"/>
      <c r="C7442" s="9">
        <f>IFERROR(__xludf.DUMMYFUNCTION("""COMPUTED_VALUE"""),45066.0737539236)</f>
        <v>45066.07375</v>
      </c>
      <c r="D7442" s="15">
        <f>IFERROR(__xludf.DUMMYFUNCTION("""COMPUTED_VALUE"""),1.013)</f>
        <v>1.013</v>
      </c>
      <c r="E7442" s="16">
        <f>IFERROR(__xludf.DUMMYFUNCTION("""COMPUTED_VALUE"""),64.0)</f>
        <v>64</v>
      </c>
      <c r="F7442" s="19" t="str">
        <f>IFERROR(__xludf.DUMMYFUNCTION("""COMPUTED_VALUE"""),"BLUE")</f>
        <v>BLUE</v>
      </c>
      <c r="G7442" s="20" t="str">
        <f>IFERROR(__xludf.DUMMYFUNCTION("""COMPUTED_VALUE"""),"Uncle Sams Cider (04/04/2023)")</f>
        <v>Uncle Sams Cider (04/04/2023)</v>
      </c>
      <c r="H7442" s="19"/>
    </row>
    <row r="7443">
      <c r="A7443" s="9"/>
      <c r="B7443" s="15"/>
      <c r="C7443" s="9">
        <f>IFERROR(__xludf.DUMMYFUNCTION("""COMPUTED_VALUE"""),45066.0633338773)</f>
        <v>45066.06333</v>
      </c>
      <c r="D7443" s="15">
        <f>IFERROR(__xludf.DUMMYFUNCTION("""COMPUTED_VALUE"""),1.013)</f>
        <v>1.013</v>
      </c>
      <c r="E7443" s="16">
        <f>IFERROR(__xludf.DUMMYFUNCTION("""COMPUTED_VALUE"""),64.0)</f>
        <v>64</v>
      </c>
      <c r="F7443" s="19" t="str">
        <f>IFERROR(__xludf.DUMMYFUNCTION("""COMPUTED_VALUE"""),"BLUE")</f>
        <v>BLUE</v>
      </c>
      <c r="G7443" s="20" t="str">
        <f>IFERROR(__xludf.DUMMYFUNCTION("""COMPUTED_VALUE"""),"Uncle Sams Cider (04/04/2023)")</f>
        <v>Uncle Sams Cider (04/04/2023)</v>
      </c>
      <c r="H7443" s="19"/>
    </row>
    <row r="7444">
      <c r="A7444" s="9"/>
      <c r="B7444" s="15"/>
      <c r="C7444" s="9">
        <f>IFERROR(__xludf.DUMMYFUNCTION("""COMPUTED_VALUE"""),45066.0529124421)</f>
        <v>45066.05291</v>
      </c>
      <c r="D7444" s="15">
        <f>IFERROR(__xludf.DUMMYFUNCTION("""COMPUTED_VALUE"""),1.013)</f>
        <v>1.013</v>
      </c>
      <c r="E7444" s="16">
        <f>IFERROR(__xludf.DUMMYFUNCTION("""COMPUTED_VALUE"""),64.0)</f>
        <v>64</v>
      </c>
      <c r="F7444" s="19" t="str">
        <f>IFERROR(__xludf.DUMMYFUNCTION("""COMPUTED_VALUE"""),"BLUE")</f>
        <v>BLUE</v>
      </c>
      <c r="G7444" s="20" t="str">
        <f>IFERROR(__xludf.DUMMYFUNCTION("""COMPUTED_VALUE"""),"Uncle Sams Cider (04/04/2023)")</f>
        <v>Uncle Sams Cider (04/04/2023)</v>
      </c>
      <c r="H7444" s="19"/>
    </row>
    <row r="7445">
      <c r="A7445" s="9"/>
      <c r="B7445" s="15"/>
      <c r="C7445" s="9">
        <f>IFERROR(__xludf.DUMMYFUNCTION("""COMPUTED_VALUE"""),45066.0424913888)</f>
        <v>45066.04249</v>
      </c>
      <c r="D7445" s="15">
        <f>IFERROR(__xludf.DUMMYFUNCTION("""COMPUTED_VALUE"""),1.013)</f>
        <v>1.013</v>
      </c>
      <c r="E7445" s="16">
        <f>IFERROR(__xludf.DUMMYFUNCTION("""COMPUTED_VALUE"""),64.0)</f>
        <v>64</v>
      </c>
      <c r="F7445" s="19" t="str">
        <f>IFERROR(__xludf.DUMMYFUNCTION("""COMPUTED_VALUE"""),"BLUE")</f>
        <v>BLUE</v>
      </c>
      <c r="G7445" s="20" t="str">
        <f>IFERROR(__xludf.DUMMYFUNCTION("""COMPUTED_VALUE"""),"Uncle Sams Cider (04/04/2023)")</f>
        <v>Uncle Sams Cider (04/04/2023)</v>
      </c>
      <c r="H7445" s="19"/>
    </row>
    <row r="7446">
      <c r="A7446" s="9"/>
      <c r="B7446" s="15"/>
      <c r="C7446" s="9">
        <f>IFERROR(__xludf.DUMMYFUNCTION("""COMPUTED_VALUE"""),45066.0320697916)</f>
        <v>45066.03207</v>
      </c>
      <c r="D7446" s="15">
        <f>IFERROR(__xludf.DUMMYFUNCTION("""COMPUTED_VALUE"""),1.013)</f>
        <v>1.013</v>
      </c>
      <c r="E7446" s="16">
        <f>IFERROR(__xludf.DUMMYFUNCTION("""COMPUTED_VALUE"""),64.0)</f>
        <v>64</v>
      </c>
      <c r="F7446" s="19" t="str">
        <f>IFERROR(__xludf.DUMMYFUNCTION("""COMPUTED_VALUE"""),"BLUE")</f>
        <v>BLUE</v>
      </c>
      <c r="G7446" s="20" t="str">
        <f>IFERROR(__xludf.DUMMYFUNCTION("""COMPUTED_VALUE"""),"Uncle Sams Cider (04/04/2023)")</f>
        <v>Uncle Sams Cider (04/04/2023)</v>
      </c>
      <c r="H7446" s="19"/>
    </row>
    <row r="7447">
      <c r="A7447" s="9"/>
      <c r="B7447" s="15"/>
      <c r="C7447" s="9">
        <f>IFERROR(__xludf.DUMMYFUNCTION("""COMPUTED_VALUE"""),45066.0216484027)</f>
        <v>45066.02165</v>
      </c>
      <c r="D7447" s="15">
        <f>IFERROR(__xludf.DUMMYFUNCTION("""COMPUTED_VALUE"""),1.013)</f>
        <v>1.013</v>
      </c>
      <c r="E7447" s="16">
        <f>IFERROR(__xludf.DUMMYFUNCTION("""COMPUTED_VALUE"""),64.0)</f>
        <v>64</v>
      </c>
      <c r="F7447" s="19" t="str">
        <f>IFERROR(__xludf.DUMMYFUNCTION("""COMPUTED_VALUE"""),"BLUE")</f>
        <v>BLUE</v>
      </c>
      <c r="G7447" s="20" t="str">
        <f>IFERROR(__xludf.DUMMYFUNCTION("""COMPUTED_VALUE"""),"Uncle Sams Cider (04/04/2023)")</f>
        <v>Uncle Sams Cider (04/04/2023)</v>
      </c>
      <c r="H7447" s="19"/>
    </row>
    <row r="7448">
      <c r="A7448" s="9"/>
      <c r="B7448" s="15"/>
      <c r="C7448" s="9">
        <f>IFERROR(__xludf.DUMMYFUNCTION("""COMPUTED_VALUE"""),45066.0112283564)</f>
        <v>45066.01123</v>
      </c>
      <c r="D7448" s="15">
        <f>IFERROR(__xludf.DUMMYFUNCTION("""COMPUTED_VALUE"""),1.013)</f>
        <v>1.013</v>
      </c>
      <c r="E7448" s="16">
        <f>IFERROR(__xludf.DUMMYFUNCTION("""COMPUTED_VALUE"""),64.0)</f>
        <v>64</v>
      </c>
      <c r="F7448" s="19" t="str">
        <f>IFERROR(__xludf.DUMMYFUNCTION("""COMPUTED_VALUE"""),"BLUE")</f>
        <v>BLUE</v>
      </c>
      <c r="G7448" s="20" t="str">
        <f>IFERROR(__xludf.DUMMYFUNCTION("""COMPUTED_VALUE"""),"Uncle Sams Cider (04/04/2023)")</f>
        <v>Uncle Sams Cider (04/04/2023)</v>
      </c>
      <c r="H7448" s="19"/>
    </row>
    <row r="7449">
      <c r="A7449" s="9"/>
      <c r="B7449" s="15"/>
      <c r="C7449" s="9">
        <f>IFERROR(__xludf.DUMMYFUNCTION("""COMPUTED_VALUE"""),45066.0007818749)</f>
        <v>45066.00078</v>
      </c>
      <c r="D7449" s="15">
        <f>IFERROR(__xludf.DUMMYFUNCTION("""COMPUTED_VALUE"""),1.013)</f>
        <v>1.013</v>
      </c>
      <c r="E7449" s="16">
        <f>IFERROR(__xludf.DUMMYFUNCTION("""COMPUTED_VALUE"""),64.0)</f>
        <v>64</v>
      </c>
      <c r="F7449" s="19" t="str">
        <f>IFERROR(__xludf.DUMMYFUNCTION("""COMPUTED_VALUE"""),"BLUE")</f>
        <v>BLUE</v>
      </c>
      <c r="G7449" s="20" t="str">
        <f>IFERROR(__xludf.DUMMYFUNCTION("""COMPUTED_VALUE"""),"Uncle Sams Cider (04/04/2023)")</f>
        <v>Uncle Sams Cider (04/04/2023)</v>
      </c>
      <c r="H7449" s="19"/>
    </row>
    <row r="7450">
      <c r="A7450" s="9"/>
      <c r="B7450" s="15"/>
      <c r="C7450" s="9">
        <f>IFERROR(__xludf.DUMMYFUNCTION("""COMPUTED_VALUE"""),45065.9903610532)</f>
        <v>45065.99036</v>
      </c>
      <c r="D7450" s="15">
        <f>IFERROR(__xludf.DUMMYFUNCTION("""COMPUTED_VALUE"""),1.013)</f>
        <v>1.013</v>
      </c>
      <c r="E7450" s="16">
        <f>IFERROR(__xludf.DUMMYFUNCTION("""COMPUTED_VALUE"""),64.0)</f>
        <v>64</v>
      </c>
      <c r="F7450" s="19" t="str">
        <f>IFERROR(__xludf.DUMMYFUNCTION("""COMPUTED_VALUE"""),"BLUE")</f>
        <v>BLUE</v>
      </c>
      <c r="G7450" s="20" t="str">
        <f>IFERROR(__xludf.DUMMYFUNCTION("""COMPUTED_VALUE"""),"Uncle Sams Cider (04/04/2023)")</f>
        <v>Uncle Sams Cider (04/04/2023)</v>
      </c>
      <c r="H7450" s="19"/>
    </row>
    <row r="7451">
      <c r="A7451" s="9"/>
      <c r="B7451" s="15"/>
      <c r="C7451" s="9">
        <f>IFERROR(__xludf.DUMMYFUNCTION("""COMPUTED_VALUE"""),45065.9799173032)</f>
        <v>45065.97992</v>
      </c>
      <c r="D7451" s="15">
        <f>IFERROR(__xludf.DUMMYFUNCTION("""COMPUTED_VALUE"""),1.013)</f>
        <v>1.013</v>
      </c>
      <c r="E7451" s="16">
        <f>IFERROR(__xludf.DUMMYFUNCTION("""COMPUTED_VALUE"""),64.0)</f>
        <v>64</v>
      </c>
      <c r="F7451" s="19" t="str">
        <f>IFERROR(__xludf.DUMMYFUNCTION("""COMPUTED_VALUE"""),"BLUE")</f>
        <v>BLUE</v>
      </c>
      <c r="G7451" s="20" t="str">
        <f>IFERROR(__xludf.DUMMYFUNCTION("""COMPUTED_VALUE"""),"Uncle Sams Cider (04/04/2023)")</f>
        <v>Uncle Sams Cider (04/04/2023)</v>
      </c>
      <c r="H7451" s="19"/>
    </row>
    <row r="7452">
      <c r="A7452" s="9"/>
      <c r="B7452" s="15"/>
      <c r="C7452" s="9">
        <f>IFERROR(__xludf.DUMMYFUNCTION("""COMPUTED_VALUE"""),45065.96949625)</f>
        <v>45065.9695</v>
      </c>
      <c r="D7452" s="15">
        <f>IFERROR(__xludf.DUMMYFUNCTION("""COMPUTED_VALUE"""),1.013)</f>
        <v>1.013</v>
      </c>
      <c r="E7452" s="16">
        <f>IFERROR(__xludf.DUMMYFUNCTION("""COMPUTED_VALUE"""),64.0)</f>
        <v>64</v>
      </c>
      <c r="F7452" s="19" t="str">
        <f>IFERROR(__xludf.DUMMYFUNCTION("""COMPUTED_VALUE"""),"BLUE")</f>
        <v>BLUE</v>
      </c>
      <c r="G7452" s="20" t="str">
        <f>IFERROR(__xludf.DUMMYFUNCTION("""COMPUTED_VALUE"""),"Uncle Sams Cider (04/04/2023)")</f>
        <v>Uncle Sams Cider (04/04/2023)</v>
      </c>
      <c r="H7452" s="19"/>
    </row>
    <row r="7453">
      <c r="A7453" s="9"/>
      <c r="B7453" s="15"/>
      <c r="C7453" s="9">
        <f>IFERROR(__xludf.DUMMYFUNCTION("""COMPUTED_VALUE"""),45065.9590647222)</f>
        <v>45065.95906</v>
      </c>
      <c r="D7453" s="15">
        <f>IFERROR(__xludf.DUMMYFUNCTION("""COMPUTED_VALUE"""),1.013)</f>
        <v>1.013</v>
      </c>
      <c r="E7453" s="16">
        <f>IFERROR(__xludf.DUMMYFUNCTION("""COMPUTED_VALUE"""),64.0)</f>
        <v>64</v>
      </c>
      <c r="F7453" s="19" t="str">
        <f>IFERROR(__xludf.DUMMYFUNCTION("""COMPUTED_VALUE"""),"BLUE")</f>
        <v>BLUE</v>
      </c>
      <c r="G7453" s="20" t="str">
        <f>IFERROR(__xludf.DUMMYFUNCTION("""COMPUTED_VALUE"""),"Uncle Sams Cider (04/04/2023)")</f>
        <v>Uncle Sams Cider (04/04/2023)</v>
      </c>
      <c r="H7453" s="19"/>
    </row>
    <row r="7454">
      <c r="A7454" s="9"/>
      <c r="B7454" s="15"/>
      <c r="C7454" s="9">
        <f>IFERROR(__xludf.DUMMYFUNCTION("""COMPUTED_VALUE"""),45065.9486446412)</f>
        <v>45065.94864</v>
      </c>
      <c r="D7454" s="15">
        <f>IFERROR(__xludf.DUMMYFUNCTION("""COMPUTED_VALUE"""),1.013)</f>
        <v>1.013</v>
      </c>
      <c r="E7454" s="16">
        <f>IFERROR(__xludf.DUMMYFUNCTION("""COMPUTED_VALUE"""),64.0)</f>
        <v>64</v>
      </c>
      <c r="F7454" s="19" t="str">
        <f>IFERROR(__xludf.DUMMYFUNCTION("""COMPUTED_VALUE"""),"BLUE")</f>
        <v>BLUE</v>
      </c>
      <c r="G7454" s="20" t="str">
        <f>IFERROR(__xludf.DUMMYFUNCTION("""COMPUTED_VALUE"""),"Uncle Sams Cider (04/04/2023)")</f>
        <v>Uncle Sams Cider (04/04/2023)</v>
      </c>
      <c r="H7454" s="19"/>
    </row>
    <row r="7455">
      <c r="A7455" s="9"/>
      <c r="B7455" s="15"/>
      <c r="C7455" s="9">
        <f>IFERROR(__xludf.DUMMYFUNCTION("""COMPUTED_VALUE"""),45065.9382230092)</f>
        <v>45065.93822</v>
      </c>
      <c r="D7455" s="15">
        <f>IFERROR(__xludf.DUMMYFUNCTION("""COMPUTED_VALUE"""),1.013)</f>
        <v>1.013</v>
      </c>
      <c r="E7455" s="16">
        <f>IFERROR(__xludf.DUMMYFUNCTION("""COMPUTED_VALUE"""),64.0)</f>
        <v>64</v>
      </c>
      <c r="F7455" s="19" t="str">
        <f>IFERROR(__xludf.DUMMYFUNCTION("""COMPUTED_VALUE"""),"BLUE")</f>
        <v>BLUE</v>
      </c>
      <c r="G7455" s="20" t="str">
        <f>IFERROR(__xludf.DUMMYFUNCTION("""COMPUTED_VALUE"""),"Uncle Sams Cider (04/04/2023)")</f>
        <v>Uncle Sams Cider (04/04/2023)</v>
      </c>
      <c r="H7455" s="19"/>
    </row>
    <row r="7456">
      <c r="A7456" s="9"/>
      <c r="B7456" s="15"/>
      <c r="C7456" s="9">
        <f>IFERROR(__xludf.DUMMYFUNCTION("""COMPUTED_VALUE"""),45065.9277999537)</f>
        <v>45065.9278</v>
      </c>
      <c r="D7456" s="15">
        <f>IFERROR(__xludf.DUMMYFUNCTION("""COMPUTED_VALUE"""),1.013)</f>
        <v>1.013</v>
      </c>
      <c r="E7456" s="16">
        <f>IFERROR(__xludf.DUMMYFUNCTION("""COMPUTED_VALUE"""),64.0)</f>
        <v>64</v>
      </c>
      <c r="F7456" s="19" t="str">
        <f>IFERROR(__xludf.DUMMYFUNCTION("""COMPUTED_VALUE"""),"BLUE")</f>
        <v>BLUE</v>
      </c>
      <c r="G7456" s="20" t="str">
        <f>IFERROR(__xludf.DUMMYFUNCTION("""COMPUTED_VALUE"""),"Uncle Sams Cider (04/04/2023)")</f>
        <v>Uncle Sams Cider (04/04/2023)</v>
      </c>
      <c r="H7456" s="19"/>
    </row>
    <row r="7457">
      <c r="A7457" s="9"/>
      <c r="B7457" s="15"/>
      <c r="C7457" s="9">
        <f>IFERROR(__xludf.DUMMYFUNCTION("""COMPUTED_VALUE"""),45065.9173679166)</f>
        <v>45065.91737</v>
      </c>
      <c r="D7457" s="15">
        <f>IFERROR(__xludf.DUMMYFUNCTION("""COMPUTED_VALUE"""),1.013)</f>
        <v>1.013</v>
      </c>
      <c r="E7457" s="16">
        <f>IFERROR(__xludf.DUMMYFUNCTION("""COMPUTED_VALUE"""),64.0)</f>
        <v>64</v>
      </c>
      <c r="F7457" s="19" t="str">
        <f>IFERROR(__xludf.DUMMYFUNCTION("""COMPUTED_VALUE"""),"BLUE")</f>
        <v>BLUE</v>
      </c>
      <c r="G7457" s="20" t="str">
        <f>IFERROR(__xludf.DUMMYFUNCTION("""COMPUTED_VALUE"""),"Uncle Sams Cider (04/04/2023)")</f>
        <v>Uncle Sams Cider (04/04/2023)</v>
      </c>
      <c r="H7457" s="19"/>
    </row>
    <row r="7458">
      <c r="A7458" s="9"/>
      <c r="B7458" s="15"/>
      <c r="C7458" s="9">
        <f>IFERROR(__xludf.DUMMYFUNCTION("""COMPUTED_VALUE"""),45065.9069480787)</f>
        <v>45065.90695</v>
      </c>
      <c r="D7458" s="15">
        <f>IFERROR(__xludf.DUMMYFUNCTION("""COMPUTED_VALUE"""),1.013)</f>
        <v>1.013</v>
      </c>
      <c r="E7458" s="16">
        <f>IFERROR(__xludf.DUMMYFUNCTION("""COMPUTED_VALUE"""),64.0)</f>
        <v>64</v>
      </c>
      <c r="F7458" s="19" t="str">
        <f>IFERROR(__xludf.DUMMYFUNCTION("""COMPUTED_VALUE"""),"BLUE")</f>
        <v>BLUE</v>
      </c>
      <c r="G7458" s="20" t="str">
        <f>IFERROR(__xludf.DUMMYFUNCTION("""COMPUTED_VALUE"""),"Uncle Sams Cider (04/04/2023)")</f>
        <v>Uncle Sams Cider (04/04/2023)</v>
      </c>
      <c r="H7458" s="19"/>
    </row>
    <row r="7459">
      <c r="A7459" s="9"/>
      <c r="B7459" s="15"/>
      <c r="C7459" s="9">
        <f>IFERROR(__xludf.DUMMYFUNCTION("""COMPUTED_VALUE"""),45065.8965279745)</f>
        <v>45065.89653</v>
      </c>
      <c r="D7459" s="15">
        <f>IFERROR(__xludf.DUMMYFUNCTION("""COMPUTED_VALUE"""),1.013)</f>
        <v>1.013</v>
      </c>
      <c r="E7459" s="16">
        <f>IFERROR(__xludf.DUMMYFUNCTION("""COMPUTED_VALUE"""),64.0)</f>
        <v>64</v>
      </c>
      <c r="F7459" s="19" t="str">
        <f>IFERROR(__xludf.DUMMYFUNCTION("""COMPUTED_VALUE"""),"BLUE")</f>
        <v>BLUE</v>
      </c>
      <c r="G7459" s="20" t="str">
        <f>IFERROR(__xludf.DUMMYFUNCTION("""COMPUTED_VALUE"""),"Uncle Sams Cider (04/04/2023)")</f>
        <v>Uncle Sams Cider (04/04/2023)</v>
      </c>
      <c r="H7459" s="19"/>
    </row>
    <row r="7460">
      <c r="A7460" s="9"/>
      <c r="B7460" s="15"/>
      <c r="C7460" s="9">
        <f>IFERROR(__xludf.DUMMYFUNCTION("""COMPUTED_VALUE"""),45065.8861065393)</f>
        <v>45065.88611</v>
      </c>
      <c r="D7460" s="15">
        <f>IFERROR(__xludf.DUMMYFUNCTION("""COMPUTED_VALUE"""),1.013)</f>
        <v>1.013</v>
      </c>
      <c r="E7460" s="16">
        <f>IFERROR(__xludf.DUMMYFUNCTION("""COMPUTED_VALUE"""),64.0)</f>
        <v>64</v>
      </c>
      <c r="F7460" s="19" t="str">
        <f>IFERROR(__xludf.DUMMYFUNCTION("""COMPUTED_VALUE"""),"BLUE")</f>
        <v>BLUE</v>
      </c>
      <c r="G7460" s="20" t="str">
        <f>IFERROR(__xludf.DUMMYFUNCTION("""COMPUTED_VALUE"""),"Uncle Sams Cider (04/04/2023)")</f>
        <v>Uncle Sams Cider (04/04/2023)</v>
      </c>
      <c r="H7460" s="19"/>
    </row>
    <row r="7461">
      <c r="A7461" s="9"/>
      <c r="B7461" s="15"/>
      <c r="C7461" s="9">
        <f>IFERROR(__xludf.DUMMYFUNCTION("""COMPUTED_VALUE"""),45065.875683993)</f>
        <v>45065.87568</v>
      </c>
      <c r="D7461" s="15">
        <f>IFERROR(__xludf.DUMMYFUNCTION("""COMPUTED_VALUE"""),1.013)</f>
        <v>1.013</v>
      </c>
      <c r="E7461" s="16">
        <f>IFERROR(__xludf.DUMMYFUNCTION("""COMPUTED_VALUE"""),64.0)</f>
        <v>64</v>
      </c>
      <c r="F7461" s="19" t="str">
        <f>IFERROR(__xludf.DUMMYFUNCTION("""COMPUTED_VALUE"""),"BLUE")</f>
        <v>BLUE</v>
      </c>
      <c r="G7461" s="20" t="str">
        <f>IFERROR(__xludf.DUMMYFUNCTION("""COMPUTED_VALUE"""),"Uncle Sams Cider (04/04/2023)")</f>
        <v>Uncle Sams Cider (04/04/2023)</v>
      </c>
      <c r="H7461" s="19"/>
    </row>
    <row r="7462">
      <c r="A7462" s="9"/>
      <c r="B7462" s="15"/>
      <c r="C7462" s="9">
        <f>IFERROR(__xludf.DUMMYFUNCTION("""COMPUTED_VALUE"""),45065.8652614351)</f>
        <v>45065.86526</v>
      </c>
      <c r="D7462" s="15">
        <f>IFERROR(__xludf.DUMMYFUNCTION("""COMPUTED_VALUE"""),1.013)</f>
        <v>1.013</v>
      </c>
      <c r="E7462" s="16">
        <f>IFERROR(__xludf.DUMMYFUNCTION("""COMPUTED_VALUE"""),64.0)</f>
        <v>64</v>
      </c>
      <c r="F7462" s="19" t="str">
        <f>IFERROR(__xludf.DUMMYFUNCTION("""COMPUTED_VALUE"""),"BLUE")</f>
        <v>BLUE</v>
      </c>
      <c r="G7462" s="20" t="str">
        <f>IFERROR(__xludf.DUMMYFUNCTION("""COMPUTED_VALUE"""),"Uncle Sams Cider (04/04/2023)")</f>
        <v>Uncle Sams Cider (04/04/2023)</v>
      </c>
      <c r="H7462" s="19"/>
    </row>
    <row r="7463">
      <c r="A7463" s="9"/>
      <c r="B7463" s="15"/>
      <c r="C7463" s="9">
        <f>IFERROR(__xludf.DUMMYFUNCTION("""COMPUTED_VALUE"""),45065.854840081)</f>
        <v>45065.85484</v>
      </c>
      <c r="D7463" s="15">
        <f>IFERROR(__xludf.DUMMYFUNCTION("""COMPUTED_VALUE"""),1.013)</f>
        <v>1.013</v>
      </c>
      <c r="E7463" s="16">
        <f>IFERROR(__xludf.DUMMYFUNCTION("""COMPUTED_VALUE"""),64.0)</f>
        <v>64</v>
      </c>
      <c r="F7463" s="19" t="str">
        <f>IFERROR(__xludf.DUMMYFUNCTION("""COMPUTED_VALUE"""),"BLUE")</f>
        <v>BLUE</v>
      </c>
      <c r="G7463" s="20" t="str">
        <f>IFERROR(__xludf.DUMMYFUNCTION("""COMPUTED_VALUE"""),"Uncle Sams Cider (04/04/2023)")</f>
        <v>Uncle Sams Cider (04/04/2023)</v>
      </c>
      <c r="H7463" s="19"/>
    </row>
    <row r="7464">
      <c r="A7464" s="9"/>
      <c r="B7464" s="15"/>
      <c r="C7464" s="9">
        <f>IFERROR(__xludf.DUMMYFUNCTION("""COMPUTED_VALUE"""),45065.8444185995)</f>
        <v>45065.84442</v>
      </c>
      <c r="D7464" s="15">
        <f>IFERROR(__xludf.DUMMYFUNCTION("""COMPUTED_VALUE"""),1.013)</f>
        <v>1.013</v>
      </c>
      <c r="E7464" s="16">
        <f>IFERROR(__xludf.DUMMYFUNCTION("""COMPUTED_VALUE"""),64.0)</f>
        <v>64</v>
      </c>
      <c r="F7464" s="19" t="str">
        <f>IFERROR(__xludf.DUMMYFUNCTION("""COMPUTED_VALUE"""),"BLUE")</f>
        <v>BLUE</v>
      </c>
      <c r="G7464" s="20" t="str">
        <f>IFERROR(__xludf.DUMMYFUNCTION("""COMPUTED_VALUE"""),"Uncle Sams Cider (04/04/2023)")</f>
        <v>Uncle Sams Cider (04/04/2023)</v>
      </c>
      <c r="H7464" s="19"/>
    </row>
    <row r="7465">
      <c r="A7465" s="9"/>
      <c r="B7465" s="15"/>
      <c r="C7465" s="9">
        <f>IFERROR(__xludf.DUMMYFUNCTION("""COMPUTED_VALUE"""),45065.8339975926)</f>
        <v>45065.834</v>
      </c>
      <c r="D7465" s="15">
        <f>IFERROR(__xludf.DUMMYFUNCTION("""COMPUTED_VALUE"""),1.013)</f>
        <v>1.013</v>
      </c>
      <c r="E7465" s="16">
        <f>IFERROR(__xludf.DUMMYFUNCTION("""COMPUTED_VALUE"""),64.0)</f>
        <v>64</v>
      </c>
      <c r="F7465" s="19" t="str">
        <f>IFERROR(__xludf.DUMMYFUNCTION("""COMPUTED_VALUE"""),"BLUE")</f>
        <v>BLUE</v>
      </c>
      <c r="G7465" s="20" t="str">
        <f>IFERROR(__xludf.DUMMYFUNCTION("""COMPUTED_VALUE"""),"Uncle Sams Cider (04/04/2023)")</f>
        <v>Uncle Sams Cider (04/04/2023)</v>
      </c>
      <c r="H7465" s="19"/>
    </row>
    <row r="7466">
      <c r="A7466" s="9"/>
      <c r="B7466" s="15"/>
      <c r="C7466" s="9">
        <f>IFERROR(__xludf.DUMMYFUNCTION("""COMPUTED_VALUE"""),45065.8235763194)</f>
        <v>45065.82358</v>
      </c>
      <c r="D7466" s="15">
        <f>IFERROR(__xludf.DUMMYFUNCTION("""COMPUTED_VALUE"""),1.013)</f>
        <v>1.013</v>
      </c>
      <c r="E7466" s="16">
        <f>IFERROR(__xludf.DUMMYFUNCTION("""COMPUTED_VALUE"""),64.0)</f>
        <v>64</v>
      </c>
      <c r="F7466" s="19" t="str">
        <f>IFERROR(__xludf.DUMMYFUNCTION("""COMPUTED_VALUE"""),"BLUE")</f>
        <v>BLUE</v>
      </c>
      <c r="G7466" s="20" t="str">
        <f>IFERROR(__xludf.DUMMYFUNCTION("""COMPUTED_VALUE"""),"Uncle Sams Cider (04/04/2023)")</f>
        <v>Uncle Sams Cider (04/04/2023)</v>
      </c>
      <c r="H7466" s="19"/>
    </row>
    <row r="7467">
      <c r="A7467" s="9"/>
      <c r="B7467" s="15"/>
      <c r="C7467" s="9">
        <f>IFERROR(__xludf.DUMMYFUNCTION("""COMPUTED_VALUE"""),45065.8131561921)</f>
        <v>45065.81316</v>
      </c>
      <c r="D7467" s="15">
        <f>IFERROR(__xludf.DUMMYFUNCTION("""COMPUTED_VALUE"""),1.013)</f>
        <v>1.013</v>
      </c>
      <c r="E7467" s="16">
        <f>IFERROR(__xludf.DUMMYFUNCTION("""COMPUTED_VALUE"""),64.0)</f>
        <v>64</v>
      </c>
      <c r="F7467" s="19" t="str">
        <f>IFERROR(__xludf.DUMMYFUNCTION("""COMPUTED_VALUE"""),"BLUE")</f>
        <v>BLUE</v>
      </c>
      <c r="G7467" s="20" t="str">
        <f>IFERROR(__xludf.DUMMYFUNCTION("""COMPUTED_VALUE"""),"Uncle Sams Cider (04/04/2023)")</f>
        <v>Uncle Sams Cider (04/04/2023)</v>
      </c>
      <c r="H7467" s="19"/>
    </row>
    <row r="7468">
      <c r="A7468" s="9"/>
      <c r="B7468" s="15"/>
      <c r="C7468" s="9">
        <f>IFERROR(__xludf.DUMMYFUNCTION("""COMPUTED_VALUE"""),45065.8027346527)</f>
        <v>45065.80273</v>
      </c>
      <c r="D7468" s="15">
        <f>IFERROR(__xludf.DUMMYFUNCTION("""COMPUTED_VALUE"""),1.013)</f>
        <v>1.013</v>
      </c>
      <c r="E7468" s="16">
        <f>IFERROR(__xludf.DUMMYFUNCTION("""COMPUTED_VALUE"""),64.0)</f>
        <v>64</v>
      </c>
      <c r="F7468" s="19" t="str">
        <f>IFERROR(__xludf.DUMMYFUNCTION("""COMPUTED_VALUE"""),"BLUE")</f>
        <v>BLUE</v>
      </c>
      <c r="G7468" s="20" t="str">
        <f>IFERROR(__xludf.DUMMYFUNCTION("""COMPUTED_VALUE"""),"Uncle Sams Cider (04/04/2023)")</f>
        <v>Uncle Sams Cider (04/04/2023)</v>
      </c>
      <c r="H7468" s="19"/>
    </row>
    <row r="7469">
      <c r="A7469" s="9"/>
      <c r="B7469" s="15"/>
      <c r="C7469" s="9">
        <f>IFERROR(__xludf.DUMMYFUNCTION("""COMPUTED_VALUE"""),45065.7923117129)</f>
        <v>45065.79231</v>
      </c>
      <c r="D7469" s="15">
        <f>IFERROR(__xludf.DUMMYFUNCTION("""COMPUTED_VALUE"""),1.013)</f>
        <v>1.013</v>
      </c>
      <c r="E7469" s="16">
        <f>IFERROR(__xludf.DUMMYFUNCTION("""COMPUTED_VALUE"""),64.0)</f>
        <v>64</v>
      </c>
      <c r="F7469" s="19" t="str">
        <f>IFERROR(__xludf.DUMMYFUNCTION("""COMPUTED_VALUE"""),"BLUE")</f>
        <v>BLUE</v>
      </c>
      <c r="G7469" s="20" t="str">
        <f>IFERROR(__xludf.DUMMYFUNCTION("""COMPUTED_VALUE"""),"Uncle Sams Cider (04/04/2023)")</f>
        <v>Uncle Sams Cider (04/04/2023)</v>
      </c>
      <c r="H7469" s="19"/>
    </row>
    <row r="7470">
      <c r="A7470" s="9"/>
      <c r="B7470" s="15"/>
      <c r="C7470" s="9">
        <f>IFERROR(__xludf.DUMMYFUNCTION("""COMPUTED_VALUE"""),45065.7818893171)</f>
        <v>45065.78189</v>
      </c>
      <c r="D7470" s="15">
        <f>IFERROR(__xludf.DUMMYFUNCTION("""COMPUTED_VALUE"""),1.013)</f>
        <v>1.013</v>
      </c>
      <c r="E7470" s="16">
        <f>IFERROR(__xludf.DUMMYFUNCTION("""COMPUTED_VALUE"""),64.0)</f>
        <v>64</v>
      </c>
      <c r="F7470" s="19" t="str">
        <f>IFERROR(__xludf.DUMMYFUNCTION("""COMPUTED_VALUE"""),"BLUE")</f>
        <v>BLUE</v>
      </c>
      <c r="G7470" s="20" t="str">
        <f>IFERROR(__xludf.DUMMYFUNCTION("""COMPUTED_VALUE"""),"Uncle Sams Cider (04/04/2023)")</f>
        <v>Uncle Sams Cider (04/04/2023)</v>
      </c>
      <c r="H7470" s="19"/>
    </row>
    <row r="7471">
      <c r="A7471" s="9"/>
      <c r="B7471" s="15"/>
      <c r="C7471" s="9">
        <f>IFERROR(__xludf.DUMMYFUNCTION("""COMPUTED_VALUE"""),45065.7714682291)</f>
        <v>45065.77147</v>
      </c>
      <c r="D7471" s="15">
        <f>IFERROR(__xludf.DUMMYFUNCTION("""COMPUTED_VALUE"""),1.013)</f>
        <v>1.013</v>
      </c>
      <c r="E7471" s="16">
        <f>IFERROR(__xludf.DUMMYFUNCTION("""COMPUTED_VALUE"""),64.0)</f>
        <v>64</v>
      </c>
      <c r="F7471" s="19" t="str">
        <f>IFERROR(__xludf.DUMMYFUNCTION("""COMPUTED_VALUE"""),"BLUE")</f>
        <v>BLUE</v>
      </c>
      <c r="G7471" s="20" t="str">
        <f>IFERROR(__xludf.DUMMYFUNCTION("""COMPUTED_VALUE"""),"Uncle Sams Cider (04/04/2023)")</f>
        <v>Uncle Sams Cider (04/04/2023)</v>
      </c>
      <c r="H7471" s="19"/>
    </row>
    <row r="7472">
      <c r="A7472" s="9"/>
      <c r="B7472" s="15"/>
      <c r="C7472" s="9">
        <f>IFERROR(__xludf.DUMMYFUNCTION("""COMPUTED_VALUE"""),45065.7610465625)</f>
        <v>45065.76105</v>
      </c>
      <c r="D7472" s="15">
        <f>IFERROR(__xludf.DUMMYFUNCTION("""COMPUTED_VALUE"""),1.013)</f>
        <v>1.013</v>
      </c>
      <c r="E7472" s="16">
        <f>IFERROR(__xludf.DUMMYFUNCTION("""COMPUTED_VALUE"""),64.0)</f>
        <v>64</v>
      </c>
      <c r="F7472" s="19" t="str">
        <f>IFERROR(__xludf.DUMMYFUNCTION("""COMPUTED_VALUE"""),"BLUE")</f>
        <v>BLUE</v>
      </c>
      <c r="G7472" s="20" t="str">
        <f>IFERROR(__xludf.DUMMYFUNCTION("""COMPUTED_VALUE"""),"Uncle Sams Cider (04/04/2023)")</f>
        <v>Uncle Sams Cider (04/04/2023)</v>
      </c>
      <c r="H7472" s="19"/>
    </row>
    <row r="7473">
      <c r="A7473" s="9"/>
      <c r="B7473" s="15"/>
      <c r="C7473" s="9">
        <f>IFERROR(__xludf.DUMMYFUNCTION("""COMPUTED_VALUE"""),45065.7506271643)</f>
        <v>45065.75063</v>
      </c>
      <c r="D7473" s="15">
        <f>IFERROR(__xludf.DUMMYFUNCTION("""COMPUTED_VALUE"""),1.013)</f>
        <v>1.013</v>
      </c>
      <c r="E7473" s="16">
        <f>IFERROR(__xludf.DUMMYFUNCTION("""COMPUTED_VALUE"""),64.0)</f>
        <v>64</v>
      </c>
      <c r="F7473" s="19" t="str">
        <f>IFERROR(__xludf.DUMMYFUNCTION("""COMPUTED_VALUE"""),"BLUE")</f>
        <v>BLUE</v>
      </c>
      <c r="G7473" s="20" t="str">
        <f>IFERROR(__xludf.DUMMYFUNCTION("""COMPUTED_VALUE"""),"Uncle Sams Cider (04/04/2023)")</f>
        <v>Uncle Sams Cider (04/04/2023)</v>
      </c>
      <c r="H7473" s="19"/>
    </row>
    <row r="7474">
      <c r="A7474" s="9"/>
      <c r="B7474" s="15"/>
      <c r="C7474" s="9">
        <f>IFERROR(__xludf.DUMMYFUNCTION("""COMPUTED_VALUE"""),45065.7402057754)</f>
        <v>45065.74021</v>
      </c>
      <c r="D7474" s="15">
        <f>IFERROR(__xludf.DUMMYFUNCTION("""COMPUTED_VALUE"""),1.013)</f>
        <v>1.013</v>
      </c>
      <c r="E7474" s="16">
        <f>IFERROR(__xludf.DUMMYFUNCTION("""COMPUTED_VALUE"""),64.0)</f>
        <v>64</v>
      </c>
      <c r="F7474" s="19" t="str">
        <f>IFERROR(__xludf.DUMMYFUNCTION("""COMPUTED_VALUE"""),"BLUE")</f>
        <v>BLUE</v>
      </c>
      <c r="G7474" s="20" t="str">
        <f>IFERROR(__xludf.DUMMYFUNCTION("""COMPUTED_VALUE"""),"Uncle Sams Cider (04/04/2023)")</f>
        <v>Uncle Sams Cider (04/04/2023)</v>
      </c>
      <c r="H7474" s="19"/>
    </row>
    <row r="7475">
      <c r="A7475" s="9"/>
      <c r="B7475" s="15"/>
      <c r="C7475" s="9">
        <f>IFERROR(__xludf.DUMMYFUNCTION("""COMPUTED_VALUE"""),45065.7297857291)</f>
        <v>45065.72979</v>
      </c>
      <c r="D7475" s="15">
        <f>IFERROR(__xludf.DUMMYFUNCTION("""COMPUTED_VALUE"""),1.013)</f>
        <v>1.013</v>
      </c>
      <c r="E7475" s="16">
        <f>IFERROR(__xludf.DUMMYFUNCTION("""COMPUTED_VALUE"""),64.0)</f>
        <v>64</v>
      </c>
      <c r="F7475" s="19" t="str">
        <f>IFERROR(__xludf.DUMMYFUNCTION("""COMPUTED_VALUE"""),"BLUE")</f>
        <v>BLUE</v>
      </c>
      <c r="G7475" s="20" t="str">
        <f>IFERROR(__xludf.DUMMYFUNCTION("""COMPUTED_VALUE"""),"Uncle Sams Cider (04/04/2023)")</f>
        <v>Uncle Sams Cider (04/04/2023)</v>
      </c>
      <c r="H7475" s="19"/>
    </row>
    <row r="7476">
      <c r="A7476" s="9"/>
      <c r="B7476" s="15"/>
      <c r="C7476" s="9">
        <f>IFERROR(__xludf.DUMMYFUNCTION("""COMPUTED_VALUE"""),45065.7193643865)</f>
        <v>45065.71936</v>
      </c>
      <c r="D7476" s="15">
        <f>IFERROR(__xludf.DUMMYFUNCTION("""COMPUTED_VALUE"""),1.013)</f>
        <v>1.013</v>
      </c>
      <c r="E7476" s="16">
        <f>IFERROR(__xludf.DUMMYFUNCTION("""COMPUTED_VALUE"""),64.0)</f>
        <v>64</v>
      </c>
      <c r="F7476" s="19" t="str">
        <f>IFERROR(__xludf.DUMMYFUNCTION("""COMPUTED_VALUE"""),"BLUE")</f>
        <v>BLUE</v>
      </c>
      <c r="G7476" s="20" t="str">
        <f>IFERROR(__xludf.DUMMYFUNCTION("""COMPUTED_VALUE"""),"Uncle Sams Cider (04/04/2023)")</f>
        <v>Uncle Sams Cider (04/04/2023)</v>
      </c>
      <c r="H7476" s="19"/>
    </row>
    <row r="7477">
      <c r="A7477" s="9"/>
      <c r="B7477" s="15"/>
      <c r="C7477" s="9">
        <f>IFERROR(__xludf.DUMMYFUNCTION("""COMPUTED_VALUE"""),45065.7089419444)</f>
        <v>45065.70894</v>
      </c>
      <c r="D7477" s="15">
        <f>IFERROR(__xludf.DUMMYFUNCTION("""COMPUTED_VALUE"""),1.013)</f>
        <v>1.013</v>
      </c>
      <c r="E7477" s="16">
        <f>IFERROR(__xludf.DUMMYFUNCTION("""COMPUTED_VALUE"""),64.0)</f>
        <v>64</v>
      </c>
      <c r="F7477" s="19" t="str">
        <f>IFERROR(__xludf.DUMMYFUNCTION("""COMPUTED_VALUE"""),"BLUE")</f>
        <v>BLUE</v>
      </c>
      <c r="G7477" s="20" t="str">
        <f>IFERROR(__xludf.DUMMYFUNCTION("""COMPUTED_VALUE"""),"Uncle Sams Cider (04/04/2023)")</f>
        <v>Uncle Sams Cider (04/04/2023)</v>
      </c>
      <c r="H7477" s="19"/>
    </row>
    <row r="7478">
      <c r="A7478" s="9"/>
      <c r="B7478" s="15"/>
      <c r="C7478" s="9">
        <f>IFERROR(__xludf.DUMMYFUNCTION("""COMPUTED_VALUE"""),45065.6985209375)</f>
        <v>45065.69852</v>
      </c>
      <c r="D7478" s="15">
        <f>IFERROR(__xludf.DUMMYFUNCTION("""COMPUTED_VALUE"""),1.013)</f>
        <v>1.013</v>
      </c>
      <c r="E7478" s="16">
        <f>IFERROR(__xludf.DUMMYFUNCTION("""COMPUTED_VALUE"""),64.0)</f>
        <v>64</v>
      </c>
      <c r="F7478" s="19" t="str">
        <f>IFERROR(__xludf.DUMMYFUNCTION("""COMPUTED_VALUE"""),"BLUE")</f>
        <v>BLUE</v>
      </c>
      <c r="G7478" s="20" t="str">
        <f>IFERROR(__xludf.DUMMYFUNCTION("""COMPUTED_VALUE"""),"Uncle Sams Cider (04/04/2023)")</f>
        <v>Uncle Sams Cider (04/04/2023)</v>
      </c>
      <c r="H7478" s="19"/>
    </row>
    <row r="7479">
      <c r="A7479" s="9"/>
      <c r="B7479" s="15"/>
      <c r="C7479" s="9">
        <f>IFERROR(__xludf.DUMMYFUNCTION("""COMPUTED_VALUE"""),45065.6881003703)</f>
        <v>45065.6881</v>
      </c>
      <c r="D7479" s="15">
        <f>IFERROR(__xludf.DUMMYFUNCTION("""COMPUTED_VALUE"""),1.013)</f>
        <v>1.013</v>
      </c>
      <c r="E7479" s="16">
        <f>IFERROR(__xludf.DUMMYFUNCTION("""COMPUTED_VALUE"""),64.0)</f>
        <v>64</v>
      </c>
      <c r="F7479" s="19" t="str">
        <f>IFERROR(__xludf.DUMMYFUNCTION("""COMPUTED_VALUE"""),"BLUE")</f>
        <v>BLUE</v>
      </c>
      <c r="G7479" s="20" t="str">
        <f>IFERROR(__xludf.DUMMYFUNCTION("""COMPUTED_VALUE"""),"Uncle Sams Cider (04/04/2023)")</f>
        <v>Uncle Sams Cider (04/04/2023)</v>
      </c>
      <c r="H7479" s="19"/>
    </row>
    <row r="7480">
      <c r="A7480" s="9"/>
      <c r="B7480" s="15"/>
      <c r="C7480" s="9">
        <f>IFERROR(__xludf.DUMMYFUNCTION("""COMPUTED_VALUE"""),45065.6776790625)</f>
        <v>45065.67768</v>
      </c>
      <c r="D7480" s="15">
        <f>IFERROR(__xludf.DUMMYFUNCTION("""COMPUTED_VALUE"""),1.013)</f>
        <v>1.013</v>
      </c>
      <c r="E7480" s="16">
        <f>IFERROR(__xludf.DUMMYFUNCTION("""COMPUTED_VALUE"""),64.0)</f>
        <v>64</v>
      </c>
      <c r="F7480" s="19" t="str">
        <f>IFERROR(__xludf.DUMMYFUNCTION("""COMPUTED_VALUE"""),"BLUE")</f>
        <v>BLUE</v>
      </c>
      <c r="G7480" s="20" t="str">
        <f>IFERROR(__xludf.DUMMYFUNCTION("""COMPUTED_VALUE"""),"Uncle Sams Cider (04/04/2023)")</f>
        <v>Uncle Sams Cider (04/04/2023)</v>
      </c>
      <c r="H7480" s="19"/>
    </row>
    <row r="7481">
      <c r="A7481" s="9"/>
      <c r="B7481" s="15"/>
      <c r="C7481" s="9">
        <f>IFERROR(__xludf.DUMMYFUNCTION("""COMPUTED_VALUE"""),45065.6672595138)</f>
        <v>45065.66726</v>
      </c>
      <c r="D7481" s="15">
        <f>IFERROR(__xludf.DUMMYFUNCTION("""COMPUTED_VALUE"""),1.013)</f>
        <v>1.013</v>
      </c>
      <c r="E7481" s="16">
        <f>IFERROR(__xludf.DUMMYFUNCTION("""COMPUTED_VALUE"""),64.0)</f>
        <v>64</v>
      </c>
      <c r="F7481" s="19" t="str">
        <f>IFERROR(__xludf.DUMMYFUNCTION("""COMPUTED_VALUE"""),"BLUE")</f>
        <v>BLUE</v>
      </c>
      <c r="G7481" s="20" t="str">
        <f>IFERROR(__xludf.DUMMYFUNCTION("""COMPUTED_VALUE"""),"Uncle Sams Cider (04/04/2023)")</f>
        <v>Uncle Sams Cider (04/04/2023)</v>
      </c>
      <c r="H7481" s="19"/>
    </row>
    <row r="7482">
      <c r="A7482" s="9"/>
      <c r="B7482" s="15"/>
      <c r="C7482" s="9">
        <f>IFERROR(__xludf.DUMMYFUNCTION("""COMPUTED_VALUE"""),45065.6568376041)</f>
        <v>45065.65684</v>
      </c>
      <c r="D7482" s="15">
        <f>IFERROR(__xludf.DUMMYFUNCTION("""COMPUTED_VALUE"""),1.013)</f>
        <v>1.013</v>
      </c>
      <c r="E7482" s="16">
        <f>IFERROR(__xludf.DUMMYFUNCTION("""COMPUTED_VALUE"""),64.0)</f>
        <v>64</v>
      </c>
      <c r="F7482" s="19" t="str">
        <f>IFERROR(__xludf.DUMMYFUNCTION("""COMPUTED_VALUE"""),"BLUE")</f>
        <v>BLUE</v>
      </c>
      <c r="G7482" s="20" t="str">
        <f>IFERROR(__xludf.DUMMYFUNCTION("""COMPUTED_VALUE"""),"Uncle Sams Cider (04/04/2023)")</f>
        <v>Uncle Sams Cider (04/04/2023)</v>
      </c>
      <c r="H7482" s="19"/>
    </row>
    <row r="7483">
      <c r="A7483" s="9"/>
      <c r="B7483" s="15"/>
      <c r="C7483" s="9">
        <f>IFERROR(__xludf.DUMMYFUNCTION("""COMPUTED_VALUE"""),45065.6464160763)</f>
        <v>45065.64642</v>
      </c>
      <c r="D7483" s="15">
        <f>IFERROR(__xludf.DUMMYFUNCTION("""COMPUTED_VALUE"""),1.013)</f>
        <v>1.013</v>
      </c>
      <c r="E7483" s="16">
        <f>IFERROR(__xludf.DUMMYFUNCTION("""COMPUTED_VALUE"""),64.0)</f>
        <v>64</v>
      </c>
      <c r="F7483" s="19" t="str">
        <f>IFERROR(__xludf.DUMMYFUNCTION("""COMPUTED_VALUE"""),"BLUE")</f>
        <v>BLUE</v>
      </c>
      <c r="G7483" s="20" t="str">
        <f>IFERROR(__xludf.DUMMYFUNCTION("""COMPUTED_VALUE"""),"Uncle Sams Cider (04/04/2023)")</f>
        <v>Uncle Sams Cider (04/04/2023)</v>
      </c>
      <c r="H7483" s="19"/>
    </row>
    <row r="7484">
      <c r="A7484" s="9"/>
      <c r="B7484" s="15"/>
      <c r="C7484" s="9">
        <f>IFERROR(__xludf.DUMMYFUNCTION("""COMPUTED_VALUE"""),45065.6359716782)</f>
        <v>45065.63597</v>
      </c>
      <c r="D7484" s="15">
        <f>IFERROR(__xludf.DUMMYFUNCTION("""COMPUTED_VALUE"""),1.013)</f>
        <v>1.013</v>
      </c>
      <c r="E7484" s="16">
        <f>IFERROR(__xludf.DUMMYFUNCTION("""COMPUTED_VALUE"""),64.0)</f>
        <v>64</v>
      </c>
      <c r="F7484" s="19" t="str">
        <f>IFERROR(__xludf.DUMMYFUNCTION("""COMPUTED_VALUE"""),"BLUE")</f>
        <v>BLUE</v>
      </c>
      <c r="G7484" s="20" t="str">
        <f>IFERROR(__xludf.DUMMYFUNCTION("""COMPUTED_VALUE"""),"Uncle Sams Cider (04/04/2023)")</f>
        <v>Uncle Sams Cider (04/04/2023)</v>
      </c>
      <c r="H7484" s="19"/>
    </row>
    <row r="7485">
      <c r="A7485" s="9"/>
      <c r="B7485" s="15"/>
      <c r="C7485" s="9">
        <f>IFERROR(__xludf.DUMMYFUNCTION("""COMPUTED_VALUE"""),45065.6255509143)</f>
        <v>45065.62555</v>
      </c>
      <c r="D7485" s="15">
        <f>IFERROR(__xludf.DUMMYFUNCTION("""COMPUTED_VALUE"""),1.013)</f>
        <v>1.013</v>
      </c>
      <c r="E7485" s="16">
        <f>IFERROR(__xludf.DUMMYFUNCTION("""COMPUTED_VALUE"""),64.0)</f>
        <v>64</v>
      </c>
      <c r="F7485" s="19" t="str">
        <f>IFERROR(__xludf.DUMMYFUNCTION("""COMPUTED_VALUE"""),"BLUE")</f>
        <v>BLUE</v>
      </c>
      <c r="G7485" s="20" t="str">
        <f>IFERROR(__xludf.DUMMYFUNCTION("""COMPUTED_VALUE"""),"Uncle Sams Cider (04/04/2023)")</f>
        <v>Uncle Sams Cider (04/04/2023)</v>
      </c>
      <c r="H7485" s="19"/>
    </row>
    <row r="7486">
      <c r="A7486" s="9"/>
      <c r="B7486" s="15"/>
      <c r="C7486" s="9">
        <f>IFERROR(__xludf.DUMMYFUNCTION("""COMPUTED_VALUE"""),45065.615131875)</f>
        <v>45065.61513</v>
      </c>
      <c r="D7486" s="15">
        <f>IFERROR(__xludf.DUMMYFUNCTION("""COMPUTED_VALUE"""),1.013)</f>
        <v>1.013</v>
      </c>
      <c r="E7486" s="16">
        <f>IFERROR(__xludf.DUMMYFUNCTION("""COMPUTED_VALUE"""),64.0)</f>
        <v>64</v>
      </c>
      <c r="F7486" s="19" t="str">
        <f>IFERROR(__xludf.DUMMYFUNCTION("""COMPUTED_VALUE"""),"BLUE")</f>
        <v>BLUE</v>
      </c>
      <c r="G7486" s="20" t="str">
        <f>IFERROR(__xludf.DUMMYFUNCTION("""COMPUTED_VALUE"""),"Uncle Sams Cider (04/04/2023)")</f>
        <v>Uncle Sams Cider (04/04/2023)</v>
      </c>
      <c r="H7486" s="19"/>
    </row>
    <row r="7487">
      <c r="A7487" s="9"/>
      <c r="B7487" s="15"/>
      <c r="C7487" s="9">
        <f>IFERROR(__xludf.DUMMYFUNCTION("""COMPUTED_VALUE"""),45065.6047109259)</f>
        <v>45065.60471</v>
      </c>
      <c r="D7487" s="15">
        <f>IFERROR(__xludf.DUMMYFUNCTION("""COMPUTED_VALUE"""),1.013)</f>
        <v>1.013</v>
      </c>
      <c r="E7487" s="16">
        <f>IFERROR(__xludf.DUMMYFUNCTION("""COMPUTED_VALUE"""),64.0)</f>
        <v>64</v>
      </c>
      <c r="F7487" s="19" t="str">
        <f>IFERROR(__xludf.DUMMYFUNCTION("""COMPUTED_VALUE"""),"BLUE")</f>
        <v>BLUE</v>
      </c>
      <c r="G7487" s="20" t="str">
        <f>IFERROR(__xludf.DUMMYFUNCTION("""COMPUTED_VALUE"""),"Uncle Sams Cider (04/04/2023)")</f>
        <v>Uncle Sams Cider (04/04/2023)</v>
      </c>
      <c r="H7487" s="19"/>
    </row>
    <row r="7488">
      <c r="A7488" s="9"/>
      <c r="B7488" s="15"/>
      <c r="C7488" s="9">
        <f>IFERROR(__xludf.DUMMYFUNCTION("""COMPUTED_VALUE"""),45065.5942879166)</f>
        <v>45065.59429</v>
      </c>
      <c r="D7488" s="15">
        <f>IFERROR(__xludf.DUMMYFUNCTION("""COMPUTED_VALUE"""),1.013)</f>
        <v>1.013</v>
      </c>
      <c r="E7488" s="16">
        <f>IFERROR(__xludf.DUMMYFUNCTION("""COMPUTED_VALUE"""),64.0)</f>
        <v>64</v>
      </c>
      <c r="F7488" s="19" t="str">
        <f>IFERROR(__xludf.DUMMYFUNCTION("""COMPUTED_VALUE"""),"BLUE")</f>
        <v>BLUE</v>
      </c>
      <c r="G7488" s="20" t="str">
        <f>IFERROR(__xludf.DUMMYFUNCTION("""COMPUTED_VALUE"""),"Uncle Sams Cider (04/04/2023)")</f>
        <v>Uncle Sams Cider (04/04/2023)</v>
      </c>
      <c r="H7488" s="19"/>
    </row>
    <row r="7489">
      <c r="A7489" s="9"/>
      <c r="B7489" s="15"/>
      <c r="C7489" s="9">
        <f>IFERROR(__xludf.DUMMYFUNCTION("""COMPUTED_VALUE"""),45065.583868287)</f>
        <v>45065.58387</v>
      </c>
      <c r="D7489" s="15">
        <f>IFERROR(__xludf.DUMMYFUNCTION("""COMPUTED_VALUE"""),1.013)</f>
        <v>1.013</v>
      </c>
      <c r="E7489" s="16">
        <f>IFERROR(__xludf.DUMMYFUNCTION("""COMPUTED_VALUE"""),64.0)</f>
        <v>64</v>
      </c>
      <c r="F7489" s="19" t="str">
        <f>IFERROR(__xludf.DUMMYFUNCTION("""COMPUTED_VALUE"""),"BLUE")</f>
        <v>BLUE</v>
      </c>
      <c r="G7489" s="20" t="str">
        <f>IFERROR(__xludf.DUMMYFUNCTION("""COMPUTED_VALUE"""),"Uncle Sams Cider (04/04/2023)")</f>
        <v>Uncle Sams Cider (04/04/2023)</v>
      </c>
      <c r="H7489" s="19"/>
    </row>
    <row r="7490">
      <c r="A7490" s="9"/>
      <c r="B7490" s="15"/>
      <c r="C7490" s="9">
        <f>IFERROR(__xludf.DUMMYFUNCTION("""COMPUTED_VALUE"""),45065.5734469444)</f>
        <v>45065.57345</v>
      </c>
      <c r="D7490" s="15">
        <f>IFERROR(__xludf.DUMMYFUNCTION("""COMPUTED_VALUE"""),1.013)</f>
        <v>1.013</v>
      </c>
      <c r="E7490" s="16">
        <f>IFERROR(__xludf.DUMMYFUNCTION("""COMPUTED_VALUE"""),64.0)</f>
        <v>64</v>
      </c>
      <c r="F7490" s="19" t="str">
        <f>IFERROR(__xludf.DUMMYFUNCTION("""COMPUTED_VALUE"""),"BLUE")</f>
        <v>BLUE</v>
      </c>
      <c r="G7490" s="20" t="str">
        <f>IFERROR(__xludf.DUMMYFUNCTION("""COMPUTED_VALUE"""),"Uncle Sams Cider (04/04/2023)")</f>
        <v>Uncle Sams Cider (04/04/2023)</v>
      </c>
      <c r="H7490" s="19"/>
    </row>
    <row r="7491">
      <c r="A7491" s="9"/>
      <c r="B7491" s="15"/>
      <c r="C7491" s="9">
        <f>IFERROR(__xludf.DUMMYFUNCTION("""COMPUTED_VALUE"""),45065.5630133912)</f>
        <v>45065.56301</v>
      </c>
      <c r="D7491" s="15">
        <f>IFERROR(__xludf.DUMMYFUNCTION("""COMPUTED_VALUE"""),1.013)</f>
        <v>1.013</v>
      </c>
      <c r="E7491" s="16">
        <f>IFERROR(__xludf.DUMMYFUNCTION("""COMPUTED_VALUE"""),64.0)</f>
        <v>64</v>
      </c>
      <c r="F7491" s="19" t="str">
        <f>IFERROR(__xludf.DUMMYFUNCTION("""COMPUTED_VALUE"""),"BLUE")</f>
        <v>BLUE</v>
      </c>
      <c r="G7491" s="20" t="str">
        <f>IFERROR(__xludf.DUMMYFUNCTION("""COMPUTED_VALUE"""),"Uncle Sams Cider (04/04/2023)")</f>
        <v>Uncle Sams Cider (04/04/2023)</v>
      </c>
      <c r="H7491" s="19"/>
    </row>
    <row r="7492">
      <c r="A7492" s="9"/>
      <c r="B7492" s="15"/>
      <c r="C7492" s="9">
        <f>IFERROR(__xludf.DUMMYFUNCTION("""COMPUTED_VALUE"""),45065.5525916319)</f>
        <v>45065.55259</v>
      </c>
      <c r="D7492" s="15">
        <f>IFERROR(__xludf.DUMMYFUNCTION("""COMPUTED_VALUE"""),1.013)</f>
        <v>1.013</v>
      </c>
      <c r="E7492" s="16">
        <f>IFERROR(__xludf.DUMMYFUNCTION("""COMPUTED_VALUE"""),64.0)</f>
        <v>64</v>
      </c>
      <c r="F7492" s="19" t="str">
        <f>IFERROR(__xludf.DUMMYFUNCTION("""COMPUTED_VALUE"""),"BLUE")</f>
        <v>BLUE</v>
      </c>
      <c r="G7492" s="20" t="str">
        <f>IFERROR(__xludf.DUMMYFUNCTION("""COMPUTED_VALUE"""),"Uncle Sams Cider (04/04/2023)")</f>
        <v>Uncle Sams Cider (04/04/2023)</v>
      </c>
      <c r="H7492" s="19"/>
    </row>
    <row r="7493">
      <c r="A7493" s="9"/>
      <c r="B7493" s="15"/>
      <c r="C7493" s="9">
        <f>IFERROR(__xludf.DUMMYFUNCTION("""COMPUTED_VALUE"""),45065.5421705208)</f>
        <v>45065.54217</v>
      </c>
      <c r="D7493" s="15">
        <f>IFERROR(__xludf.DUMMYFUNCTION("""COMPUTED_VALUE"""),1.013)</f>
        <v>1.013</v>
      </c>
      <c r="E7493" s="16">
        <f>IFERROR(__xludf.DUMMYFUNCTION("""COMPUTED_VALUE"""),64.0)</f>
        <v>64</v>
      </c>
      <c r="F7493" s="19" t="str">
        <f>IFERROR(__xludf.DUMMYFUNCTION("""COMPUTED_VALUE"""),"BLUE")</f>
        <v>BLUE</v>
      </c>
      <c r="G7493" s="20" t="str">
        <f>IFERROR(__xludf.DUMMYFUNCTION("""COMPUTED_VALUE"""),"Uncle Sams Cider (04/04/2023)")</f>
        <v>Uncle Sams Cider (04/04/2023)</v>
      </c>
      <c r="H7493" s="19"/>
    </row>
    <row r="7494">
      <c r="A7494" s="9"/>
      <c r="B7494" s="15"/>
      <c r="C7494" s="9">
        <f>IFERROR(__xludf.DUMMYFUNCTION("""COMPUTED_VALUE"""),45065.5317504282)</f>
        <v>45065.53175</v>
      </c>
      <c r="D7494" s="15">
        <f>IFERROR(__xludf.DUMMYFUNCTION("""COMPUTED_VALUE"""),1.013)</f>
        <v>1.013</v>
      </c>
      <c r="E7494" s="16">
        <f>IFERROR(__xludf.DUMMYFUNCTION("""COMPUTED_VALUE"""),64.0)</f>
        <v>64</v>
      </c>
      <c r="F7494" s="19" t="str">
        <f>IFERROR(__xludf.DUMMYFUNCTION("""COMPUTED_VALUE"""),"BLUE")</f>
        <v>BLUE</v>
      </c>
      <c r="G7494" s="20" t="str">
        <f>IFERROR(__xludf.DUMMYFUNCTION("""COMPUTED_VALUE"""),"Uncle Sams Cider (04/04/2023)")</f>
        <v>Uncle Sams Cider (04/04/2023)</v>
      </c>
      <c r="H7494" s="19"/>
    </row>
    <row r="7495">
      <c r="A7495" s="9"/>
      <c r="B7495" s="15"/>
      <c r="C7495" s="9">
        <f>IFERROR(__xludf.DUMMYFUNCTION("""COMPUTED_VALUE"""),45065.5213291782)</f>
        <v>45065.52133</v>
      </c>
      <c r="D7495" s="15">
        <f>IFERROR(__xludf.DUMMYFUNCTION("""COMPUTED_VALUE"""),1.013)</f>
        <v>1.013</v>
      </c>
      <c r="E7495" s="16">
        <f>IFERROR(__xludf.DUMMYFUNCTION("""COMPUTED_VALUE"""),64.0)</f>
        <v>64</v>
      </c>
      <c r="F7495" s="19" t="str">
        <f>IFERROR(__xludf.DUMMYFUNCTION("""COMPUTED_VALUE"""),"BLUE")</f>
        <v>BLUE</v>
      </c>
      <c r="G7495" s="20" t="str">
        <f>IFERROR(__xludf.DUMMYFUNCTION("""COMPUTED_VALUE"""),"Uncle Sams Cider (04/04/2023)")</f>
        <v>Uncle Sams Cider (04/04/2023)</v>
      </c>
      <c r="H7495" s="19"/>
    </row>
    <row r="7496">
      <c r="A7496" s="9"/>
      <c r="B7496" s="15"/>
      <c r="C7496" s="9">
        <f>IFERROR(__xludf.DUMMYFUNCTION("""COMPUTED_VALUE"""),45065.5109076157)</f>
        <v>45065.51091</v>
      </c>
      <c r="D7496" s="15">
        <f>IFERROR(__xludf.DUMMYFUNCTION("""COMPUTED_VALUE"""),1.013)</f>
        <v>1.013</v>
      </c>
      <c r="E7496" s="16">
        <f>IFERROR(__xludf.DUMMYFUNCTION("""COMPUTED_VALUE"""),64.0)</f>
        <v>64</v>
      </c>
      <c r="F7496" s="19" t="str">
        <f>IFERROR(__xludf.DUMMYFUNCTION("""COMPUTED_VALUE"""),"BLUE")</f>
        <v>BLUE</v>
      </c>
      <c r="G7496" s="20" t="str">
        <f>IFERROR(__xludf.DUMMYFUNCTION("""COMPUTED_VALUE"""),"Uncle Sams Cider (04/04/2023)")</f>
        <v>Uncle Sams Cider (04/04/2023)</v>
      </c>
      <c r="H7496" s="19"/>
    </row>
    <row r="7497">
      <c r="A7497" s="9"/>
      <c r="B7497" s="15"/>
      <c r="C7497" s="9">
        <f>IFERROR(__xludf.DUMMYFUNCTION("""COMPUTED_VALUE"""),45065.5004869328)</f>
        <v>45065.50049</v>
      </c>
      <c r="D7497" s="15">
        <f>IFERROR(__xludf.DUMMYFUNCTION("""COMPUTED_VALUE"""),1.013)</f>
        <v>1.013</v>
      </c>
      <c r="E7497" s="16">
        <f>IFERROR(__xludf.DUMMYFUNCTION("""COMPUTED_VALUE"""),64.0)</f>
        <v>64</v>
      </c>
      <c r="F7497" s="19" t="str">
        <f>IFERROR(__xludf.DUMMYFUNCTION("""COMPUTED_VALUE"""),"BLUE")</f>
        <v>BLUE</v>
      </c>
      <c r="G7497" s="20" t="str">
        <f>IFERROR(__xludf.DUMMYFUNCTION("""COMPUTED_VALUE"""),"Uncle Sams Cider (04/04/2023)")</f>
        <v>Uncle Sams Cider (04/04/2023)</v>
      </c>
      <c r="H7497" s="19"/>
    </row>
    <row r="7498">
      <c r="A7498" s="9"/>
      <c r="B7498" s="15"/>
      <c r="C7498" s="9">
        <f>IFERROR(__xludf.DUMMYFUNCTION("""COMPUTED_VALUE"""),45065.4900545138)</f>
        <v>45065.49005</v>
      </c>
      <c r="D7498" s="15">
        <f>IFERROR(__xludf.DUMMYFUNCTION("""COMPUTED_VALUE"""),1.013)</f>
        <v>1.013</v>
      </c>
      <c r="E7498" s="16">
        <f>IFERROR(__xludf.DUMMYFUNCTION("""COMPUTED_VALUE"""),64.0)</f>
        <v>64</v>
      </c>
      <c r="F7498" s="19" t="str">
        <f>IFERROR(__xludf.DUMMYFUNCTION("""COMPUTED_VALUE"""),"BLUE")</f>
        <v>BLUE</v>
      </c>
      <c r="G7498" s="20" t="str">
        <f>IFERROR(__xludf.DUMMYFUNCTION("""COMPUTED_VALUE"""),"Uncle Sams Cider (04/04/2023)")</f>
        <v>Uncle Sams Cider (04/04/2023)</v>
      </c>
      <c r="H7498" s="19"/>
    </row>
    <row r="7499">
      <c r="A7499" s="9"/>
      <c r="B7499" s="15"/>
      <c r="C7499" s="9">
        <f>IFERROR(__xludf.DUMMYFUNCTION("""COMPUTED_VALUE"""),45065.4796326041)</f>
        <v>45065.47963</v>
      </c>
      <c r="D7499" s="15">
        <f>IFERROR(__xludf.DUMMYFUNCTION("""COMPUTED_VALUE"""),1.013)</f>
        <v>1.013</v>
      </c>
      <c r="E7499" s="16">
        <f>IFERROR(__xludf.DUMMYFUNCTION("""COMPUTED_VALUE"""),64.0)</f>
        <v>64</v>
      </c>
      <c r="F7499" s="19" t="str">
        <f>IFERROR(__xludf.DUMMYFUNCTION("""COMPUTED_VALUE"""),"BLUE")</f>
        <v>BLUE</v>
      </c>
      <c r="G7499" s="20" t="str">
        <f>IFERROR(__xludf.DUMMYFUNCTION("""COMPUTED_VALUE"""),"Uncle Sams Cider (04/04/2023)")</f>
        <v>Uncle Sams Cider (04/04/2023)</v>
      </c>
      <c r="H7499" s="19"/>
    </row>
    <row r="7500">
      <c r="A7500" s="9"/>
      <c r="B7500" s="15"/>
      <c r="C7500" s="9">
        <f>IFERROR(__xludf.DUMMYFUNCTION("""COMPUTED_VALUE"""),45065.4692105208)</f>
        <v>45065.46921</v>
      </c>
      <c r="D7500" s="15">
        <f>IFERROR(__xludf.DUMMYFUNCTION("""COMPUTED_VALUE"""),1.013)</f>
        <v>1.013</v>
      </c>
      <c r="E7500" s="16">
        <f>IFERROR(__xludf.DUMMYFUNCTION("""COMPUTED_VALUE"""),64.0)</f>
        <v>64</v>
      </c>
      <c r="F7500" s="19" t="str">
        <f>IFERROR(__xludf.DUMMYFUNCTION("""COMPUTED_VALUE"""),"BLUE")</f>
        <v>BLUE</v>
      </c>
      <c r="G7500" s="20" t="str">
        <f>IFERROR(__xludf.DUMMYFUNCTION("""COMPUTED_VALUE"""),"Uncle Sams Cider (04/04/2023)")</f>
        <v>Uncle Sams Cider (04/04/2023)</v>
      </c>
      <c r="H7500" s="19"/>
    </row>
    <row r="7501">
      <c r="A7501" s="9"/>
      <c r="B7501" s="15"/>
      <c r="C7501" s="9">
        <f>IFERROR(__xludf.DUMMYFUNCTION("""COMPUTED_VALUE"""),45065.4587893287)</f>
        <v>45065.45879</v>
      </c>
      <c r="D7501" s="15">
        <f>IFERROR(__xludf.DUMMYFUNCTION("""COMPUTED_VALUE"""),1.013)</f>
        <v>1.013</v>
      </c>
      <c r="E7501" s="16">
        <f>IFERROR(__xludf.DUMMYFUNCTION("""COMPUTED_VALUE"""),64.0)</f>
        <v>64</v>
      </c>
      <c r="F7501" s="19" t="str">
        <f>IFERROR(__xludf.DUMMYFUNCTION("""COMPUTED_VALUE"""),"BLUE")</f>
        <v>BLUE</v>
      </c>
      <c r="G7501" s="20" t="str">
        <f>IFERROR(__xludf.DUMMYFUNCTION("""COMPUTED_VALUE"""),"Uncle Sams Cider (04/04/2023)")</f>
        <v>Uncle Sams Cider (04/04/2023)</v>
      </c>
      <c r="H7501" s="19"/>
    </row>
    <row r="7502">
      <c r="A7502" s="9"/>
      <c r="B7502" s="15"/>
      <c r="C7502" s="9">
        <f>IFERROR(__xludf.DUMMYFUNCTION("""COMPUTED_VALUE"""),45065.4483684259)</f>
        <v>45065.44837</v>
      </c>
      <c r="D7502" s="15">
        <f>IFERROR(__xludf.DUMMYFUNCTION("""COMPUTED_VALUE"""),1.013)</f>
        <v>1.013</v>
      </c>
      <c r="E7502" s="16">
        <f>IFERROR(__xludf.DUMMYFUNCTION("""COMPUTED_VALUE"""),64.0)</f>
        <v>64</v>
      </c>
      <c r="F7502" s="19" t="str">
        <f>IFERROR(__xludf.DUMMYFUNCTION("""COMPUTED_VALUE"""),"BLUE")</f>
        <v>BLUE</v>
      </c>
      <c r="G7502" s="20" t="str">
        <f>IFERROR(__xludf.DUMMYFUNCTION("""COMPUTED_VALUE"""),"Uncle Sams Cider (04/04/2023)")</f>
        <v>Uncle Sams Cider (04/04/2023)</v>
      </c>
      <c r="H7502" s="19"/>
    </row>
    <row r="7503">
      <c r="A7503" s="9"/>
      <c r="B7503" s="15"/>
      <c r="C7503" s="9">
        <f>IFERROR(__xludf.DUMMYFUNCTION("""COMPUTED_VALUE"""),45065.4379478356)</f>
        <v>45065.43795</v>
      </c>
      <c r="D7503" s="15">
        <f>IFERROR(__xludf.DUMMYFUNCTION("""COMPUTED_VALUE"""),1.013)</f>
        <v>1.013</v>
      </c>
      <c r="E7503" s="16">
        <f>IFERROR(__xludf.DUMMYFUNCTION("""COMPUTED_VALUE"""),64.0)</f>
        <v>64</v>
      </c>
      <c r="F7503" s="19" t="str">
        <f>IFERROR(__xludf.DUMMYFUNCTION("""COMPUTED_VALUE"""),"BLUE")</f>
        <v>BLUE</v>
      </c>
      <c r="G7503" s="20" t="str">
        <f>IFERROR(__xludf.DUMMYFUNCTION("""COMPUTED_VALUE"""),"Uncle Sams Cider (04/04/2023)")</f>
        <v>Uncle Sams Cider (04/04/2023)</v>
      </c>
      <c r="H7503" s="19"/>
    </row>
    <row r="7504">
      <c r="A7504" s="9"/>
      <c r="B7504" s="15"/>
      <c r="C7504" s="9">
        <f>IFERROR(__xludf.DUMMYFUNCTION("""COMPUTED_VALUE"""),45065.4275268634)</f>
        <v>45065.42753</v>
      </c>
      <c r="D7504" s="15">
        <f>IFERROR(__xludf.DUMMYFUNCTION("""COMPUTED_VALUE"""),1.013)</f>
        <v>1.013</v>
      </c>
      <c r="E7504" s="16">
        <f>IFERROR(__xludf.DUMMYFUNCTION("""COMPUTED_VALUE"""),64.0)</f>
        <v>64</v>
      </c>
      <c r="F7504" s="19" t="str">
        <f>IFERROR(__xludf.DUMMYFUNCTION("""COMPUTED_VALUE"""),"BLUE")</f>
        <v>BLUE</v>
      </c>
      <c r="G7504" s="20" t="str">
        <f>IFERROR(__xludf.DUMMYFUNCTION("""COMPUTED_VALUE"""),"Uncle Sams Cider (04/04/2023)")</f>
        <v>Uncle Sams Cider (04/04/2023)</v>
      </c>
      <c r="H7504" s="19"/>
    </row>
    <row r="7505">
      <c r="A7505" s="9"/>
      <c r="B7505" s="15"/>
      <c r="C7505" s="9">
        <f>IFERROR(__xludf.DUMMYFUNCTION("""COMPUTED_VALUE"""),45065.4171065856)</f>
        <v>45065.41711</v>
      </c>
      <c r="D7505" s="15">
        <f>IFERROR(__xludf.DUMMYFUNCTION("""COMPUTED_VALUE"""),1.013)</f>
        <v>1.013</v>
      </c>
      <c r="E7505" s="16">
        <f>IFERROR(__xludf.DUMMYFUNCTION("""COMPUTED_VALUE"""),64.0)</f>
        <v>64</v>
      </c>
      <c r="F7505" s="19" t="str">
        <f>IFERROR(__xludf.DUMMYFUNCTION("""COMPUTED_VALUE"""),"BLUE")</f>
        <v>BLUE</v>
      </c>
      <c r="G7505" s="20" t="str">
        <f>IFERROR(__xludf.DUMMYFUNCTION("""COMPUTED_VALUE"""),"Uncle Sams Cider (04/04/2023)")</f>
        <v>Uncle Sams Cider (04/04/2023)</v>
      </c>
      <c r="H7505" s="19"/>
    </row>
    <row r="7506">
      <c r="A7506" s="9"/>
      <c r="B7506" s="15"/>
      <c r="C7506" s="9">
        <f>IFERROR(__xludf.DUMMYFUNCTION("""COMPUTED_VALUE"""),45065.4066862037)</f>
        <v>45065.40669</v>
      </c>
      <c r="D7506" s="15">
        <f>IFERROR(__xludf.DUMMYFUNCTION("""COMPUTED_VALUE"""),1.013)</f>
        <v>1.013</v>
      </c>
      <c r="E7506" s="16">
        <f>IFERROR(__xludf.DUMMYFUNCTION("""COMPUTED_VALUE"""),64.0)</f>
        <v>64</v>
      </c>
      <c r="F7506" s="19" t="str">
        <f>IFERROR(__xludf.DUMMYFUNCTION("""COMPUTED_VALUE"""),"BLUE")</f>
        <v>BLUE</v>
      </c>
      <c r="G7506" s="20" t="str">
        <f>IFERROR(__xludf.DUMMYFUNCTION("""COMPUTED_VALUE"""),"Uncle Sams Cider (04/04/2023)")</f>
        <v>Uncle Sams Cider (04/04/2023)</v>
      </c>
      <c r="H7506" s="19"/>
    </row>
    <row r="7507">
      <c r="A7507" s="9"/>
      <c r="B7507" s="15"/>
      <c r="C7507" s="9">
        <f>IFERROR(__xludf.DUMMYFUNCTION("""COMPUTED_VALUE"""),45065.3962529051)</f>
        <v>45065.39625</v>
      </c>
      <c r="D7507" s="15">
        <f>IFERROR(__xludf.DUMMYFUNCTION("""COMPUTED_VALUE"""),1.013)</f>
        <v>1.013</v>
      </c>
      <c r="E7507" s="16">
        <f>IFERROR(__xludf.DUMMYFUNCTION("""COMPUTED_VALUE"""),64.0)</f>
        <v>64</v>
      </c>
      <c r="F7507" s="19" t="str">
        <f>IFERROR(__xludf.DUMMYFUNCTION("""COMPUTED_VALUE"""),"BLUE")</f>
        <v>BLUE</v>
      </c>
      <c r="G7507" s="20" t="str">
        <f>IFERROR(__xludf.DUMMYFUNCTION("""COMPUTED_VALUE"""),"Uncle Sams Cider (04/04/2023)")</f>
        <v>Uncle Sams Cider (04/04/2023)</v>
      </c>
      <c r="H7507" s="19"/>
    </row>
    <row r="7508">
      <c r="A7508" s="9"/>
      <c r="B7508" s="15"/>
      <c r="C7508" s="9">
        <f>IFERROR(__xludf.DUMMYFUNCTION("""COMPUTED_VALUE"""),45065.3858302777)</f>
        <v>45065.38583</v>
      </c>
      <c r="D7508" s="15">
        <f>IFERROR(__xludf.DUMMYFUNCTION("""COMPUTED_VALUE"""),1.013)</f>
        <v>1.013</v>
      </c>
      <c r="E7508" s="16">
        <f>IFERROR(__xludf.DUMMYFUNCTION("""COMPUTED_VALUE"""),64.0)</f>
        <v>64</v>
      </c>
      <c r="F7508" s="19" t="str">
        <f>IFERROR(__xludf.DUMMYFUNCTION("""COMPUTED_VALUE"""),"BLUE")</f>
        <v>BLUE</v>
      </c>
      <c r="G7508" s="20" t="str">
        <f>IFERROR(__xludf.DUMMYFUNCTION("""COMPUTED_VALUE"""),"Uncle Sams Cider (04/04/2023)")</f>
        <v>Uncle Sams Cider (04/04/2023)</v>
      </c>
      <c r="H7508" s="19"/>
    </row>
    <row r="7509">
      <c r="A7509" s="9"/>
      <c r="B7509" s="15"/>
      <c r="C7509" s="9">
        <f>IFERROR(__xludf.DUMMYFUNCTION("""COMPUTED_VALUE"""),45065.3754116319)</f>
        <v>45065.37541</v>
      </c>
      <c r="D7509" s="15">
        <f>IFERROR(__xludf.DUMMYFUNCTION("""COMPUTED_VALUE"""),1.013)</f>
        <v>1.013</v>
      </c>
      <c r="E7509" s="16">
        <f>IFERROR(__xludf.DUMMYFUNCTION("""COMPUTED_VALUE"""),64.0)</f>
        <v>64</v>
      </c>
      <c r="F7509" s="19" t="str">
        <f>IFERROR(__xludf.DUMMYFUNCTION("""COMPUTED_VALUE"""),"BLUE")</f>
        <v>BLUE</v>
      </c>
      <c r="G7509" s="20" t="str">
        <f>IFERROR(__xludf.DUMMYFUNCTION("""COMPUTED_VALUE"""),"Uncle Sams Cider (04/04/2023)")</f>
        <v>Uncle Sams Cider (04/04/2023)</v>
      </c>
      <c r="H7509" s="19"/>
    </row>
    <row r="7510">
      <c r="A7510" s="9"/>
      <c r="B7510" s="15"/>
      <c r="C7510" s="9">
        <f>IFERROR(__xludf.DUMMYFUNCTION("""COMPUTED_VALUE"""),45065.3649891088)</f>
        <v>45065.36499</v>
      </c>
      <c r="D7510" s="15">
        <f>IFERROR(__xludf.DUMMYFUNCTION("""COMPUTED_VALUE"""),1.013)</f>
        <v>1.013</v>
      </c>
      <c r="E7510" s="16">
        <f>IFERROR(__xludf.DUMMYFUNCTION("""COMPUTED_VALUE"""),64.0)</f>
        <v>64</v>
      </c>
      <c r="F7510" s="19" t="str">
        <f>IFERROR(__xludf.DUMMYFUNCTION("""COMPUTED_VALUE"""),"BLUE")</f>
        <v>BLUE</v>
      </c>
      <c r="G7510" s="20" t="str">
        <f>IFERROR(__xludf.DUMMYFUNCTION("""COMPUTED_VALUE"""),"Uncle Sams Cider (04/04/2023)")</f>
        <v>Uncle Sams Cider (04/04/2023)</v>
      </c>
      <c r="H7510" s="19"/>
    </row>
    <row r="7511">
      <c r="A7511" s="9"/>
      <c r="B7511" s="15"/>
      <c r="C7511" s="9">
        <f>IFERROR(__xludf.DUMMYFUNCTION("""COMPUTED_VALUE"""),45065.3545664699)</f>
        <v>45065.35457</v>
      </c>
      <c r="D7511" s="15">
        <f>IFERROR(__xludf.DUMMYFUNCTION("""COMPUTED_VALUE"""),1.013)</f>
        <v>1.013</v>
      </c>
      <c r="E7511" s="16">
        <f>IFERROR(__xludf.DUMMYFUNCTION("""COMPUTED_VALUE"""),64.0)</f>
        <v>64</v>
      </c>
      <c r="F7511" s="19" t="str">
        <f>IFERROR(__xludf.DUMMYFUNCTION("""COMPUTED_VALUE"""),"BLUE")</f>
        <v>BLUE</v>
      </c>
      <c r="G7511" s="20" t="str">
        <f>IFERROR(__xludf.DUMMYFUNCTION("""COMPUTED_VALUE"""),"Uncle Sams Cider (04/04/2023)")</f>
        <v>Uncle Sams Cider (04/04/2023)</v>
      </c>
      <c r="H7511" s="19"/>
    </row>
    <row r="7512">
      <c r="A7512" s="9"/>
      <c r="B7512" s="15"/>
      <c r="C7512" s="9">
        <f>IFERROR(__xludf.DUMMYFUNCTION("""COMPUTED_VALUE"""),45065.3441452199)</f>
        <v>45065.34415</v>
      </c>
      <c r="D7512" s="15">
        <f>IFERROR(__xludf.DUMMYFUNCTION("""COMPUTED_VALUE"""),1.013)</f>
        <v>1.013</v>
      </c>
      <c r="E7512" s="16">
        <f>IFERROR(__xludf.DUMMYFUNCTION("""COMPUTED_VALUE"""),64.0)</f>
        <v>64</v>
      </c>
      <c r="F7512" s="19" t="str">
        <f>IFERROR(__xludf.DUMMYFUNCTION("""COMPUTED_VALUE"""),"BLUE")</f>
        <v>BLUE</v>
      </c>
      <c r="G7512" s="20" t="str">
        <f>IFERROR(__xludf.DUMMYFUNCTION("""COMPUTED_VALUE"""),"Uncle Sams Cider (04/04/2023)")</f>
        <v>Uncle Sams Cider (04/04/2023)</v>
      </c>
      <c r="H7512" s="19"/>
    </row>
    <row r="7513">
      <c r="A7513" s="9"/>
      <c r="B7513" s="15"/>
      <c r="C7513" s="9">
        <f>IFERROR(__xludf.DUMMYFUNCTION("""COMPUTED_VALUE"""),45065.3337242129)</f>
        <v>45065.33372</v>
      </c>
      <c r="D7513" s="15">
        <f>IFERROR(__xludf.DUMMYFUNCTION("""COMPUTED_VALUE"""),1.013)</f>
        <v>1.013</v>
      </c>
      <c r="E7513" s="16">
        <f>IFERROR(__xludf.DUMMYFUNCTION("""COMPUTED_VALUE"""),64.0)</f>
        <v>64</v>
      </c>
      <c r="F7513" s="19" t="str">
        <f>IFERROR(__xludf.DUMMYFUNCTION("""COMPUTED_VALUE"""),"BLUE")</f>
        <v>BLUE</v>
      </c>
      <c r="G7513" s="20" t="str">
        <f>IFERROR(__xludf.DUMMYFUNCTION("""COMPUTED_VALUE"""),"Uncle Sams Cider (04/04/2023)")</f>
        <v>Uncle Sams Cider (04/04/2023)</v>
      </c>
      <c r="H7513" s="19"/>
    </row>
    <row r="7514">
      <c r="A7514" s="9"/>
      <c r="B7514" s="15"/>
      <c r="C7514" s="9">
        <f>IFERROR(__xludf.DUMMYFUNCTION("""COMPUTED_VALUE"""),45065.3233040972)</f>
        <v>45065.3233</v>
      </c>
      <c r="D7514" s="15">
        <f>IFERROR(__xludf.DUMMYFUNCTION("""COMPUTED_VALUE"""),1.013)</f>
        <v>1.013</v>
      </c>
      <c r="E7514" s="16">
        <f>IFERROR(__xludf.DUMMYFUNCTION("""COMPUTED_VALUE"""),64.0)</f>
        <v>64</v>
      </c>
      <c r="F7514" s="19" t="str">
        <f>IFERROR(__xludf.DUMMYFUNCTION("""COMPUTED_VALUE"""),"BLUE")</f>
        <v>BLUE</v>
      </c>
      <c r="G7514" s="20" t="str">
        <f>IFERROR(__xludf.DUMMYFUNCTION("""COMPUTED_VALUE"""),"Uncle Sams Cider (04/04/2023)")</f>
        <v>Uncle Sams Cider (04/04/2023)</v>
      </c>
      <c r="H7514" s="19"/>
    </row>
    <row r="7515">
      <c r="A7515" s="9"/>
      <c r="B7515" s="15"/>
      <c r="C7515" s="9">
        <f>IFERROR(__xludf.DUMMYFUNCTION("""COMPUTED_VALUE"""),45065.3128828125)</f>
        <v>45065.31288</v>
      </c>
      <c r="D7515" s="15">
        <f>IFERROR(__xludf.DUMMYFUNCTION("""COMPUTED_VALUE"""),1.013)</f>
        <v>1.013</v>
      </c>
      <c r="E7515" s="16">
        <f>IFERROR(__xludf.DUMMYFUNCTION("""COMPUTED_VALUE"""),64.0)</f>
        <v>64</v>
      </c>
      <c r="F7515" s="19" t="str">
        <f>IFERROR(__xludf.DUMMYFUNCTION("""COMPUTED_VALUE"""),"BLUE")</f>
        <v>BLUE</v>
      </c>
      <c r="G7515" s="20" t="str">
        <f>IFERROR(__xludf.DUMMYFUNCTION("""COMPUTED_VALUE"""),"Uncle Sams Cider (04/04/2023)")</f>
        <v>Uncle Sams Cider (04/04/2023)</v>
      </c>
      <c r="H7515" s="19"/>
    </row>
    <row r="7516">
      <c r="A7516" s="9"/>
      <c r="B7516" s="15"/>
      <c r="C7516" s="9">
        <f>IFERROR(__xludf.DUMMYFUNCTION("""COMPUTED_VALUE"""),45065.3024608796)</f>
        <v>45065.30246</v>
      </c>
      <c r="D7516" s="15">
        <f>IFERROR(__xludf.DUMMYFUNCTION("""COMPUTED_VALUE"""),1.013)</f>
        <v>1.013</v>
      </c>
      <c r="E7516" s="16">
        <f>IFERROR(__xludf.DUMMYFUNCTION("""COMPUTED_VALUE"""),64.0)</f>
        <v>64</v>
      </c>
      <c r="F7516" s="19" t="str">
        <f>IFERROR(__xludf.DUMMYFUNCTION("""COMPUTED_VALUE"""),"BLUE")</f>
        <v>BLUE</v>
      </c>
      <c r="G7516" s="20" t="str">
        <f>IFERROR(__xludf.DUMMYFUNCTION("""COMPUTED_VALUE"""),"Uncle Sams Cider (04/04/2023)")</f>
        <v>Uncle Sams Cider (04/04/2023)</v>
      </c>
      <c r="H7516" s="19"/>
    </row>
    <row r="7517">
      <c r="A7517" s="9"/>
      <c r="B7517" s="15"/>
      <c r="C7517" s="9">
        <f>IFERROR(__xludf.DUMMYFUNCTION("""COMPUTED_VALUE"""),45065.2920398263)</f>
        <v>45065.29204</v>
      </c>
      <c r="D7517" s="15">
        <f>IFERROR(__xludf.DUMMYFUNCTION("""COMPUTED_VALUE"""),1.013)</f>
        <v>1.013</v>
      </c>
      <c r="E7517" s="16">
        <f>IFERROR(__xludf.DUMMYFUNCTION("""COMPUTED_VALUE"""),64.0)</f>
        <v>64</v>
      </c>
      <c r="F7517" s="19" t="str">
        <f>IFERROR(__xludf.DUMMYFUNCTION("""COMPUTED_VALUE"""),"BLUE")</f>
        <v>BLUE</v>
      </c>
      <c r="G7517" s="20" t="str">
        <f>IFERROR(__xludf.DUMMYFUNCTION("""COMPUTED_VALUE"""),"Uncle Sams Cider (04/04/2023)")</f>
        <v>Uncle Sams Cider (04/04/2023)</v>
      </c>
      <c r="H7517" s="19"/>
    </row>
    <row r="7518">
      <c r="A7518" s="9"/>
      <c r="B7518" s="15"/>
      <c r="C7518" s="9">
        <f>IFERROR(__xludf.DUMMYFUNCTION("""COMPUTED_VALUE"""),45065.281618368)</f>
        <v>45065.28162</v>
      </c>
      <c r="D7518" s="15">
        <f>IFERROR(__xludf.DUMMYFUNCTION("""COMPUTED_VALUE"""),1.013)</f>
        <v>1.013</v>
      </c>
      <c r="E7518" s="16">
        <f>IFERROR(__xludf.DUMMYFUNCTION("""COMPUTED_VALUE"""),64.0)</f>
        <v>64</v>
      </c>
      <c r="F7518" s="19" t="str">
        <f>IFERROR(__xludf.DUMMYFUNCTION("""COMPUTED_VALUE"""),"BLUE")</f>
        <v>BLUE</v>
      </c>
      <c r="G7518" s="20" t="str">
        <f>IFERROR(__xludf.DUMMYFUNCTION("""COMPUTED_VALUE"""),"Uncle Sams Cider (04/04/2023)")</f>
        <v>Uncle Sams Cider (04/04/2023)</v>
      </c>
      <c r="H7518" s="19"/>
    </row>
    <row r="7519">
      <c r="A7519" s="9"/>
      <c r="B7519" s="15"/>
      <c r="C7519" s="9">
        <f>IFERROR(__xludf.DUMMYFUNCTION("""COMPUTED_VALUE"""),45065.2711975462)</f>
        <v>45065.2712</v>
      </c>
      <c r="D7519" s="15">
        <f>IFERROR(__xludf.DUMMYFUNCTION("""COMPUTED_VALUE"""),1.013)</f>
        <v>1.013</v>
      </c>
      <c r="E7519" s="16">
        <f>IFERROR(__xludf.DUMMYFUNCTION("""COMPUTED_VALUE"""),64.0)</f>
        <v>64</v>
      </c>
      <c r="F7519" s="19" t="str">
        <f>IFERROR(__xludf.DUMMYFUNCTION("""COMPUTED_VALUE"""),"BLUE")</f>
        <v>BLUE</v>
      </c>
      <c r="G7519" s="20" t="str">
        <f>IFERROR(__xludf.DUMMYFUNCTION("""COMPUTED_VALUE"""),"Uncle Sams Cider (04/04/2023)")</f>
        <v>Uncle Sams Cider (04/04/2023)</v>
      </c>
      <c r="H7519" s="19"/>
    </row>
    <row r="7520">
      <c r="A7520" s="9"/>
      <c r="B7520" s="15"/>
      <c r="C7520" s="9">
        <f>IFERROR(__xludf.DUMMYFUNCTION("""COMPUTED_VALUE"""),45065.2607768055)</f>
        <v>45065.26078</v>
      </c>
      <c r="D7520" s="15">
        <f>IFERROR(__xludf.DUMMYFUNCTION("""COMPUTED_VALUE"""),1.013)</f>
        <v>1.013</v>
      </c>
      <c r="E7520" s="16">
        <f>IFERROR(__xludf.DUMMYFUNCTION("""COMPUTED_VALUE"""),64.0)</f>
        <v>64</v>
      </c>
      <c r="F7520" s="19" t="str">
        <f>IFERROR(__xludf.DUMMYFUNCTION("""COMPUTED_VALUE"""),"BLUE")</f>
        <v>BLUE</v>
      </c>
      <c r="G7520" s="20" t="str">
        <f>IFERROR(__xludf.DUMMYFUNCTION("""COMPUTED_VALUE"""),"Uncle Sams Cider (04/04/2023)")</f>
        <v>Uncle Sams Cider (04/04/2023)</v>
      </c>
      <c r="H7520" s="19"/>
    </row>
    <row r="7521">
      <c r="A7521" s="9"/>
      <c r="B7521" s="15"/>
      <c r="C7521" s="9">
        <f>IFERROR(__xludf.DUMMYFUNCTION("""COMPUTED_VALUE"""),45065.2503540162)</f>
        <v>45065.25035</v>
      </c>
      <c r="D7521" s="15">
        <f>IFERROR(__xludf.DUMMYFUNCTION("""COMPUTED_VALUE"""),1.013)</f>
        <v>1.013</v>
      </c>
      <c r="E7521" s="16">
        <f>IFERROR(__xludf.DUMMYFUNCTION("""COMPUTED_VALUE"""),64.0)</f>
        <v>64</v>
      </c>
      <c r="F7521" s="19" t="str">
        <f>IFERROR(__xludf.DUMMYFUNCTION("""COMPUTED_VALUE"""),"BLUE")</f>
        <v>BLUE</v>
      </c>
      <c r="G7521" s="20" t="str">
        <f>IFERROR(__xludf.DUMMYFUNCTION("""COMPUTED_VALUE"""),"Uncle Sams Cider (04/04/2023)")</f>
        <v>Uncle Sams Cider (04/04/2023)</v>
      </c>
      <c r="H7521" s="19"/>
    </row>
    <row r="7522">
      <c r="A7522" s="9"/>
      <c r="B7522" s="15"/>
      <c r="C7522" s="9">
        <f>IFERROR(__xludf.DUMMYFUNCTION("""COMPUTED_VALUE"""),45065.2399205092)</f>
        <v>45065.23992</v>
      </c>
      <c r="D7522" s="15">
        <f>IFERROR(__xludf.DUMMYFUNCTION("""COMPUTED_VALUE"""),1.013)</f>
        <v>1.013</v>
      </c>
      <c r="E7522" s="16">
        <f>IFERROR(__xludf.DUMMYFUNCTION("""COMPUTED_VALUE"""),64.0)</f>
        <v>64</v>
      </c>
      <c r="F7522" s="19" t="str">
        <f>IFERROR(__xludf.DUMMYFUNCTION("""COMPUTED_VALUE"""),"BLUE")</f>
        <v>BLUE</v>
      </c>
      <c r="G7522" s="20" t="str">
        <f>IFERROR(__xludf.DUMMYFUNCTION("""COMPUTED_VALUE"""),"Uncle Sams Cider (04/04/2023)")</f>
        <v>Uncle Sams Cider (04/04/2023)</v>
      </c>
      <c r="H7522" s="19"/>
    </row>
    <row r="7523">
      <c r="A7523" s="9"/>
      <c r="B7523" s="15"/>
      <c r="C7523" s="9">
        <f>IFERROR(__xludf.DUMMYFUNCTION("""COMPUTED_VALUE"""),45065.2294984722)</f>
        <v>45065.2295</v>
      </c>
      <c r="D7523" s="15">
        <f>IFERROR(__xludf.DUMMYFUNCTION("""COMPUTED_VALUE"""),1.014)</f>
        <v>1.014</v>
      </c>
      <c r="E7523" s="16">
        <f>IFERROR(__xludf.DUMMYFUNCTION("""COMPUTED_VALUE"""),64.0)</f>
        <v>64</v>
      </c>
      <c r="F7523" s="19" t="str">
        <f>IFERROR(__xludf.DUMMYFUNCTION("""COMPUTED_VALUE"""),"BLUE")</f>
        <v>BLUE</v>
      </c>
      <c r="G7523" s="20" t="str">
        <f>IFERROR(__xludf.DUMMYFUNCTION("""COMPUTED_VALUE"""),"Uncle Sams Cider (04/04/2023)")</f>
        <v>Uncle Sams Cider (04/04/2023)</v>
      </c>
      <c r="H7523" s="19"/>
    </row>
    <row r="7524">
      <c r="A7524" s="9"/>
      <c r="B7524" s="15"/>
      <c r="C7524" s="9">
        <f>IFERROR(__xludf.DUMMYFUNCTION("""COMPUTED_VALUE"""),45065.2190771412)</f>
        <v>45065.21908</v>
      </c>
      <c r="D7524" s="15">
        <f>IFERROR(__xludf.DUMMYFUNCTION("""COMPUTED_VALUE"""),1.013)</f>
        <v>1.013</v>
      </c>
      <c r="E7524" s="16">
        <f>IFERROR(__xludf.DUMMYFUNCTION("""COMPUTED_VALUE"""),64.0)</f>
        <v>64</v>
      </c>
      <c r="F7524" s="19" t="str">
        <f>IFERROR(__xludf.DUMMYFUNCTION("""COMPUTED_VALUE"""),"BLUE")</f>
        <v>BLUE</v>
      </c>
      <c r="G7524" s="20" t="str">
        <f>IFERROR(__xludf.DUMMYFUNCTION("""COMPUTED_VALUE"""),"Uncle Sams Cider (04/04/2023)")</f>
        <v>Uncle Sams Cider (04/04/2023)</v>
      </c>
      <c r="H7524" s="19"/>
    </row>
    <row r="7525">
      <c r="A7525" s="9"/>
      <c r="B7525" s="15"/>
      <c r="C7525" s="9">
        <f>IFERROR(__xludf.DUMMYFUNCTION("""COMPUTED_VALUE"""),45065.2086582291)</f>
        <v>45065.20866</v>
      </c>
      <c r="D7525" s="15">
        <f>IFERROR(__xludf.DUMMYFUNCTION("""COMPUTED_VALUE"""),1.014)</f>
        <v>1.014</v>
      </c>
      <c r="E7525" s="16">
        <f>IFERROR(__xludf.DUMMYFUNCTION("""COMPUTED_VALUE"""),64.0)</f>
        <v>64</v>
      </c>
      <c r="F7525" s="19" t="str">
        <f>IFERROR(__xludf.DUMMYFUNCTION("""COMPUTED_VALUE"""),"BLUE")</f>
        <v>BLUE</v>
      </c>
      <c r="G7525" s="20" t="str">
        <f>IFERROR(__xludf.DUMMYFUNCTION("""COMPUTED_VALUE"""),"Uncle Sams Cider (04/04/2023)")</f>
        <v>Uncle Sams Cider (04/04/2023)</v>
      </c>
      <c r="H7525" s="19"/>
    </row>
    <row r="7526">
      <c r="A7526" s="9"/>
      <c r="B7526" s="15"/>
      <c r="C7526" s="9">
        <f>IFERROR(__xludf.DUMMYFUNCTION("""COMPUTED_VALUE"""),45065.1982007291)</f>
        <v>45065.1982</v>
      </c>
      <c r="D7526" s="15">
        <f>IFERROR(__xludf.DUMMYFUNCTION("""COMPUTED_VALUE"""),1.013)</f>
        <v>1.013</v>
      </c>
      <c r="E7526" s="16">
        <f>IFERROR(__xludf.DUMMYFUNCTION("""COMPUTED_VALUE"""),64.0)</f>
        <v>64</v>
      </c>
      <c r="F7526" s="19" t="str">
        <f>IFERROR(__xludf.DUMMYFUNCTION("""COMPUTED_VALUE"""),"BLUE")</f>
        <v>BLUE</v>
      </c>
      <c r="G7526" s="20" t="str">
        <f>IFERROR(__xludf.DUMMYFUNCTION("""COMPUTED_VALUE"""),"Uncle Sams Cider (04/04/2023)")</f>
        <v>Uncle Sams Cider (04/04/2023)</v>
      </c>
      <c r="H7526" s="19"/>
    </row>
    <row r="7527">
      <c r="A7527" s="9"/>
      <c r="B7527" s="15"/>
      <c r="C7527" s="9">
        <f>IFERROR(__xludf.DUMMYFUNCTION("""COMPUTED_VALUE"""),45065.1877814004)</f>
        <v>45065.18778</v>
      </c>
      <c r="D7527" s="15">
        <f>IFERROR(__xludf.DUMMYFUNCTION("""COMPUTED_VALUE"""),1.013)</f>
        <v>1.013</v>
      </c>
      <c r="E7527" s="16">
        <f>IFERROR(__xludf.DUMMYFUNCTION("""COMPUTED_VALUE"""),64.0)</f>
        <v>64</v>
      </c>
      <c r="F7527" s="19" t="str">
        <f>IFERROR(__xludf.DUMMYFUNCTION("""COMPUTED_VALUE"""),"BLUE")</f>
        <v>BLUE</v>
      </c>
      <c r="G7527" s="20" t="str">
        <f>IFERROR(__xludf.DUMMYFUNCTION("""COMPUTED_VALUE"""),"Uncle Sams Cider (04/04/2023)")</f>
        <v>Uncle Sams Cider (04/04/2023)</v>
      </c>
      <c r="H7527" s="19"/>
    </row>
    <row r="7528">
      <c r="A7528" s="9"/>
      <c r="B7528" s="15"/>
      <c r="C7528" s="9">
        <f>IFERROR(__xludf.DUMMYFUNCTION("""COMPUTED_VALUE"""),45065.1773597685)</f>
        <v>45065.17736</v>
      </c>
      <c r="D7528" s="15">
        <f>IFERROR(__xludf.DUMMYFUNCTION("""COMPUTED_VALUE"""),1.014)</f>
        <v>1.014</v>
      </c>
      <c r="E7528" s="16">
        <f>IFERROR(__xludf.DUMMYFUNCTION("""COMPUTED_VALUE"""),64.0)</f>
        <v>64</v>
      </c>
      <c r="F7528" s="19" t="str">
        <f>IFERROR(__xludf.DUMMYFUNCTION("""COMPUTED_VALUE"""),"BLUE")</f>
        <v>BLUE</v>
      </c>
      <c r="G7528" s="20" t="str">
        <f>IFERROR(__xludf.DUMMYFUNCTION("""COMPUTED_VALUE"""),"Uncle Sams Cider (04/04/2023)")</f>
        <v>Uncle Sams Cider (04/04/2023)</v>
      </c>
      <c r="H7528" s="19"/>
    </row>
    <row r="7529">
      <c r="A7529" s="9"/>
      <c r="B7529" s="15"/>
      <c r="C7529" s="9">
        <f>IFERROR(__xludf.DUMMYFUNCTION("""COMPUTED_VALUE"""),45065.1669394907)</f>
        <v>45065.16694</v>
      </c>
      <c r="D7529" s="15">
        <f>IFERROR(__xludf.DUMMYFUNCTION("""COMPUTED_VALUE"""),1.014)</f>
        <v>1.014</v>
      </c>
      <c r="E7529" s="16">
        <f>IFERROR(__xludf.DUMMYFUNCTION("""COMPUTED_VALUE"""),64.0)</f>
        <v>64</v>
      </c>
      <c r="F7529" s="19" t="str">
        <f>IFERROR(__xludf.DUMMYFUNCTION("""COMPUTED_VALUE"""),"BLUE")</f>
        <v>BLUE</v>
      </c>
      <c r="G7529" s="20" t="str">
        <f>IFERROR(__xludf.DUMMYFUNCTION("""COMPUTED_VALUE"""),"Uncle Sams Cider (04/04/2023)")</f>
        <v>Uncle Sams Cider (04/04/2023)</v>
      </c>
      <c r="H7529" s="19"/>
    </row>
    <row r="7530">
      <c r="A7530" s="9"/>
      <c r="B7530" s="15"/>
      <c r="C7530" s="9">
        <f>IFERROR(__xludf.DUMMYFUNCTION("""COMPUTED_VALUE"""),45065.1565064236)</f>
        <v>45065.15651</v>
      </c>
      <c r="D7530" s="15">
        <f>IFERROR(__xludf.DUMMYFUNCTION("""COMPUTED_VALUE"""),1.013)</f>
        <v>1.013</v>
      </c>
      <c r="E7530" s="16">
        <f>IFERROR(__xludf.DUMMYFUNCTION("""COMPUTED_VALUE"""),64.0)</f>
        <v>64</v>
      </c>
      <c r="F7530" s="19" t="str">
        <f>IFERROR(__xludf.DUMMYFUNCTION("""COMPUTED_VALUE"""),"BLUE")</f>
        <v>BLUE</v>
      </c>
      <c r="G7530" s="20" t="str">
        <f>IFERROR(__xludf.DUMMYFUNCTION("""COMPUTED_VALUE"""),"Uncle Sams Cider (04/04/2023)")</f>
        <v>Uncle Sams Cider (04/04/2023)</v>
      </c>
      <c r="H7530" s="19"/>
    </row>
    <row r="7531">
      <c r="A7531" s="9"/>
      <c r="B7531" s="15"/>
      <c r="C7531" s="9">
        <f>IFERROR(__xludf.DUMMYFUNCTION("""COMPUTED_VALUE"""),45065.1460854398)</f>
        <v>45065.14609</v>
      </c>
      <c r="D7531" s="15">
        <f>IFERROR(__xludf.DUMMYFUNCTION("""COMPUTED_VALUE"""),1.013)</f>
        <v>1.013</v>
      </c>
      <c r="E7531" s="16">
        <f>IFERROR(__xludf.DUMMYFUNCTION("""COMPUTED_VALUE"""),64.0)</f>
        <v>64</v>
      </c>
      <c r="F7531" s="19" t="str">
        <f>IFERROR(__xludf.DUMMYFUNCTION("""COMPUTED_VALUE"""),"BLUE")</f>
        <v>BLUE</v>
      </c>
      <c r="G7531" s="20" t="str">
        <f>IFERROR(__xludf.DUMMYFUNCTION("""COMPUTED_VALUE"""),"Uncle Sams Cider (04/04/2023)")</f>
        <v>Uncle Sams Cider (04/04/2023)</v>
      </c>
      <c r="H7531" s="19"/>
    </row>
    <row r="7532">
      <c r="A7532" s="9"/>
      <c r="B7532" s="15"/>
      <c r="C7532" s="9">
        <f>IFERROR(__xludf.DUMMYFUNCTION("""COMPUTED_VALUE"""),45065.1356626967)</f>
        <v>45065.13566</v>
      </c>
      <c r="D7532" s="15">
        <f>IFERROR(__xludf.DUMMYFUNCTION("""COMPUTED_VALUE"""),1.014)</f>
        <v>1.014</v>
      </c>
      <c r="E7532" s="16">
        <f>IFERROR(__xludf.DUMMYFUNCTION("""COMPUTED_VALUE"""),64.0)</f>
        <v>64</v>
      </c>
      <c r="F7532" s="19" t="str">
        <f>IFERROR(__xludf.DUMMYFUNCTION("""COMPUTED_VALUE"""),"BLUE")</f>
        <v>BLUE</v>
      </c>
      <c r="G7532" s="20" t="str">
        <f>IFERROR(__xludf.DUMMYFUNCTION("""COMPUTED_VALUE"""),"Uncle Sams Cider (04/04/2023)")</f>
        <v>Uncle Sams Cider (04/04/2023)</v>
      </c>
      <c r="H7532" s="19"/>
    </row>
    <row r="7533">
      <c r="A7533" s="9"/>
      <c r="B7533" s="15"/>
      <c r="C7533" s="9">
        <f>IFERROR(__xludf.DUMMYFUNCTION("""COMPUTED_VALUE"""),45065.1252404629)</f>
        <v>45065.12524</v>
      </c>
      <c r="D7533" s="15">
        <f>IFERROR(__xludf.DUMMYFUNCTION("""COMPUTED_VALUE"""),1.013)</f>
        <v>1.013</v>
      </c>
      <c r="E7533" s="16">
        <f>IFERROR(__xludf.DUMMYFUNCTION("""COMPUTED_VALUE"""),64.0)</f>
        <v>64</v>
      </c>
      <c r="F7533" s="19" t="str">
        <f>IFERROR(__xludf.DUMMYFUNCTION("""COMPUTED_VALUE"""),"BLUE")</f>
        <v>BLUE</v>
      </c>
      <c r="G7533" s="20" t="str">
        <f>IFERROR(__xludf.DUMMYFUNCTION("""COMPUTED_VALUE"""),"Uncle Sams Cider (04/04/2023)")</f>
        <v>Uncle Sams Cider (04/04/2023)</v>
      </c>
      <c r="H7533" s="19"/>
    </row>
    <row r="7534">
      <c r="A7534" s="9"/>
      <c r="B7534" s="15"/>
      <c r="C7534" s="9">
        <f>IFERROR(__xludf.DUMMYFUNCTION("""COMPUTED_VALUE"""),45065.1148080324)</f>
        <v>45065.11481</v>
      </c>
      <c r="D7534" s="15">
        <f>IFERROR(__xludf.DUMMYFUNCTION("""COMPUTED_VALUE"""),1.013)</f>
        <v>1.013</v>
      </c>
      <c r="E7534" s="16">
        <f>IFERROR(__xludf.DUMMYFUNCTION("""COMPUTED_VALUE"""),64.0)</f>
        <v>64</v>
      </c>
      <c r="F7534" s="19" t="str">
        <f>IFERROR(__xludf.DUMMYFUNCTION("""COMPUTED_VALUE"""),"BLUE")</f>
        <v>BLUE</v>
      </c>
      <c r="G7534" s="20" t="str">
        <f>IFERROR(__xludf.DUMMYFUNCTION("""COMPUTED_VALUE"""),"Uncle Sams Cider (04/04/2023)")</f>
        <v>Uncle Sams Cider (04/04/2023)</v>
      </c>
      <c r="H7534" s="19"/>
    </row>
    <row r="7535">
      <c r="A7535" s="9"/>
      <c r="B7535" s="15"/>
      <c r="C7535" s="9">
        <f>IFERROR(__xludf.DUMMYFUNCTION("""COMPUTED_VALUE"""),45065.1043881597)</f>
        <v>45065.10439</v>
      </c>
      <c r="D7535" s="15">
        <f>IFERROR(__xludf.DUMMYFUNCTION("""COMPUTED_VALUE"""),1.014)</f>
        <v>1.014</v>
      </c>
      <c r="E7535" s="16">
        <f>IFERROR(__xludf.DUMMYFUNCTION("""COMPUTED_VALUE"""),64.0)</f>
        <v>64</v>
      </c>
      <c r="F7535" s="19" t="str">
        <f>IFERROR(__xludf.DUMMYFUNCTION("""COMPUTED_VALUE"""),"BLUE")</f>
        <v>BLUE</v>
      </c>
      <c r="G7535" s="20" t="str">
        <f>IFERROR(__xludf.DUMMYFUNCTION("""COMPUTED_VALUE"""),"Uncle Sams Cider (04/04/2023)")</f>
        <v>Uncle Sams Cider (04/04/2023)</v>
      </c>
      <c r="H7535" s="19"/>
    </row>
    <row r="7536">
      <c r="A7536" s="9"/>
      <c r="B7536" s="15"/>
      <c r="C7536" s="9">
        <f>IFERROR(__xludf.DUMMYFUNCTION("""COMPUTED_VALUE"""),45065.0835328009)</f>
        <v>45065.08353</v>
      </c>
      <c r="D7536" s="15">
        <f>IFERROR(__xludf.DUMMYFUNCTION("""COMPUTED_VALUE"""),1.014)</f>
        <v>1.014</v>
      </c>
      <c r="E7536" s="16">
        <f>IFERROR(__xludf.DUMMYFUNCTION("""COMPUTED_VALUE"""),64.0)</f>
        <v>64</v>
      </c>
      <c r="F7536" s="19" t="str">
        <f>IFERROR(__xludf.DUMMYFUNCTION("""COMPUTED_VALUE"""),"BLUE")</f>
        <v>BLUE</v>
      </c>
      <c r="G7536" s="20" t="str">
        <f>IFERROR(__xludf.DUMMYFUNCTION("""COMPUTED_VALUE"""),"Uncle Sams Cider (04/04/2023)")</f>
        <v>Uncle Sams Cider (04/04/2023)</v>
      </c>
      <c r="H7536" s="19"/>
    </row>
    <row r="7537">
      <c r="A7537" s="9"/>
      <c r="B7537" s="15"/>
      <c r="C7537" s="9">
        <f>IFERROR(__xludf.DUMMYFUNCTION("""COMPUTED_VALUE"""),45065.0730992708)</f>
        <v>45065.0731</v>
      </c>
      <c r="D7537" s="15">
        <f>IFERROR(__xludf.DUMMYFUNCTION("""COMPUTED_VALUE"""),1.013)</f>
        <v>1.013</v>
      </c>
      <c r="E7537" s="16">
        <f>IFERROR(__xludf.DUMMYFUNCTION("""COMPUTED_VALUE"""),64.0)</f>
        <v>64</v>
      </c>
      <c r="F7537" s="19" t="str">
        <f>IFERROR(__xludf.DUMMYFUNCTION("""COMPUTED_VALUE"""),"BLUE")</f>
        <v>BLUE</v>
      </c>
      <c r="G7537" s="20" t="str">
        <f>IFERROR(__xludf.DUMMYFUNCTION("""COMPUTED_VALUE"""),"Uncle Sams Cider (04/04/2023)")</f>
        <v>Uncle Sams Cider (04/04/2023)</v>
      </c>
      <c r="H7537" s="19"/>
    </row>
    <row r="7538">
      <c r="A7538" s="9"/>
      <c r="B7538" s="15"/>
      <c r="C7538" s="9">
        <f>IFERROR(__xludf.DUMMYFUNCTION("""COMPUTED_VALUE"""),45065.062677824)</f>
        <v>45065.06268</v>
      </c>
      <c r="D7538" s="15">
        <f>IFERROR(__xludf.DUMMYFUNCTION("""COMPUTED_VALUE"""),1.013)</f>
        <v>1.013</v>
      </c>
      <c r="E7538" s="16">
        <f>IFERROR(__xludf.DUMMYFUNCTION("""COMPUTED_VALUE"""),64.0)</f>
        <v>64</v>
      </c>
      <c r="F7538" s="19" t="str">
        <f>IFERROR(__xludf.DUMMYFUNCTION("""COMPUTED_VALUE"""),"BLUE")</f>
        <v>BLUE</v>
      </c>
      <c r="G7538" s="20" t="str">
        <f>IFERROR(__xludf.DUMMYFUNCTION("""COMPUTED_VALUE"""),"Uncle Sams Cider (04/04/2023)")</f>
        <v>Uncle Sams Cider (04/04/2023)</v>
      </c>
      <c r="H7538" s="19"/>
    </row>
    <row r="7539">
      <c r="A7539" s="9"/>
      <c r="B7539" s="15"/>
      <c r="C7539" s="9">
        <f>IFERROR(__xludf.DUMMYFUNCTION("""COMPUTED_VALUE"""),45065.0522579513)</f>
        <v>45065.05226</v>
      </c>
      <c r="D7539" s="15">
        <f>IFERROR(__xludf.DUMMYFUNCTION("""COMPUTED_VALUE"""),1.013)</f>
        <v>1.013</v>
      </c>
      <c r="E7539" s="16">
        <f>IFERROR(__xludf.DUMMYFUNCTION("""COMPUTED_VALUE"""),64.0)</f>
        <v>64</v>
      </c>
      <c r="F7539" s="19" t="str">
        <f>IFERROR(__xludf.DUMMYFUNCTION("""COMPUTED_VALUE"""),"BLUE")</f>
        <v>BLUE</v>
      </c>
      <c r="G7539" s="20" t="str">
        <f>IFERROR(__xludf.DUMMYFUNCTION("""COMPUTED_VALUE"""),"Uncle Sams Cider (04/04/2023)")</f>
        <v>Uncle Sams Cider (04/04/2023)</v>
      </c>
      <c r="H7539" s="19"/>
    </row>
    <row r="7540">
      <c r="A7540" s="9"/>
      <c r="B7540" s="15"/>
      <c r="C7540" s="9">
        <f>IFERROR(__xludf.DUMMYFUNCTION("""COMPUTED_VALUE"""),45065.0418363425)</f>
        <v>45065.04184</v>
      </c>
      <c r="D7540" s="15">
        <f>IFERROR(__xludf.DUMMYFUNCTION("""COMPUTED_VALUE"""),1.013)</f>
        <v>1.013</v>
      </c>
      <c r="E7540" s="16">
        <f>IFERROR(__xludf.DUMMYFUNCTION("""COMPUTED_VALUE"""),64.0)</f>
        <v>64</v>
      </c>
      <c r="F7540" s="19" t="str">
        <f>IFERROR(__xludf.DUMMYFUNCTION("""COMPUTED_VALUE"""),"BLUE")</f>
        <v>BLUE</v>
      </c>
      <c r="G7540" s="20" t="str">
        <f>IFERROR(__xludf.DUMMYFUNCTION("""COMPUTED_VALUE"""),"Uncle Sams Cider (04/04/2023)")</f>
        <v>Uncle Sams Cider (04/04/2023)</v>
      </c>
      <c r="H7540" s="19"/>
    </row>
    <row r="7541">
      <c r="A7541" s="9"/>
      <c r="B7541" s="15"/>
      <c r="C7541" s="9">
        <f>IFERROR(__xludf.DUMMYFUNCTION("""COMPUTED_VALUE"""),45065.0314151041)</f>
        <v>45065.03142</v>
      </c>
      <c r="D7541" s="15">
        <f>IFERROR(__xludf.DUMMYFUNCTION("""COMPUTED_VALUE"""),1.014)</f>
        <v>1.014</v>
      </c>
      <c r="E7541" s="16">
        <f>IFERROR(__xludf.DUMMYFUNCTION("""COMPUTED_VALUE"""),64.0)</f>
        <v>64</v>
      </c>
      <c r="F7541" s="19" t="str">
        <f>IFERROR(__xludf.DUMMYFUNCTION("""COMPUTED_VALUE"""),"BLUE")</f>
        <v>BLUE</v>
      </c>
      <c r="G7541" s="20" t="str">
        <f>IFERROR(__xludf.DUMMYFUNCTION("""COMPUTED_VALUE"""),"Uncle Sams Cider (04/04/2023)")</f>
        <v>Uncle Sams Cider (04/04/2023)</v>
      </c>
      <c r="H7541" s="19"/>
    </row>
    <row r="7542">
      <c r="A7542" s="9"/>
      <c r="B7542" s="15"/>
      <c r="C7542" s="9">
        <f>IFERROR(__xludf.DUMMYFUNCTION("""COMPUTED_VALUE"""),45065.0209955671)</f>
        <v>45065.021</v>
      </c>
      <c r="D7542" s="15">
        <f>IFERROR(__xludf.DUMMYFUNCTION("""COMPUTED_VALUE"""),1.013)</f>
        <v>1.013</v>
      </c>
      <c r="E7542" s="16">
        <f>IFERROR(__xludf.DUMMYFUNCTION("""COMPUTED_VALUE"""),64.0)</f>
        <v>64</v>
      </c>
      <c r="F7542" s="19" t="str">
        <f>IFERROR(__xludf.DUMMYFUNCTION("""COMPUTED_VALUE"""),"BLUE")</f>
        <v>BLUE</v>
      </c>
      <c r="G7542" s="20" t="str">
        <f>IFERROR(__xludf.DUMMYFUNCTION("""COMPUTED_VALUE"""),"Uncle Sams Cider (04/04/2023)")</f>
        <v>Uncle Sams Cider (04/04/2023)</v>
      </c>
      <c r="H7542" s="19"/>
    </row>
    <row r="7543">
      <c r="A7543" s="9"/>
      <c r="B7543" s="15"/>
      <c r="C7543" s="9">
        <f>IFERROR(__xludf.DUMMYFUNCTION("""COMPUTED_VALUE"""),45065.010574699)</f>
        <v>45065.01057</v>
      </c>
      <c r="D7543" s="15">
        <f>IFERROR(__xludf.DUMMYFUNCTION("""COMPUTED_VALUE"""),1.013)</f>
        <v>1.013</v>
      </c>
      <c r="E7543" s="16">
        <f>IFERROR(__xludf.DUMMYFUNCTION("""COMPUTED_VALUE"""),64.0)</f>
        <v>64</v>
      </c>
      <c r="F7543" s="19" t="str">
        <f>IFERROR(__xludf.DUMMYFUNCTION("""COMPUTED_VALUE"""),"BLUE")</f>
        <v>BLUE</v>
      </c>
      <c r="G7543" s="20" t="str">
        <f>IFERROR(__xludf.DUMMYFUNCTION("""COMPUTED_VALUE"""),"Uncle Sams Cider (04/04/2023)")</f>
        <v>Uncle Sams Cider (04/04/2023)</v>
      </c>
      <c r="H7543" s="19"/>
    </row>
    <row r="7544">
      <c r="A7544" s="9"/>
      <c r="B7544" s="15"/>
      <c r="C7544" s="9">
        <f>IFERROR(__xludf.DUMMYFUNCTION("""COMPUTED_VALUE"""),45065.0001412847)</f>
        <v>45065.00014</v>
      </c>
      <c r="D7544" s="15">
        <f>IFERROR(__xludf.DUMMYFUNCTION("""COMPUTED_VALUE"""),1.013)</f>
        <v>1.013</v>
      </c>
      <c r="E7544" s="16">
        <f>IFERROR(__xludf.DUMMYFUNCTION("""COMPUTED_VALUE"""),64.0)</f>
        <v>64</v>
      </c>
      <c r="F7544" s="19" t="str">
        <f>IFERROR(__xludf.DUMMYFUNCTION("""COMPUTED_VALUE"""),"BLUE")</f>
        <v>BLUE</v>
      </c>
      <c r="G7544" s="20" t="str">
        <f>IFERROR(__xludf.DUMMYFUNCTION("""COMPUTED_VALUE"""),"Uncle Sams Cider (04/04/2023)")</f>
        <v>Uncle Sams Cider (04/04/2023)</v>
      </c>
      <c r="H7544" s="19"/>
    </row>
    <row r="7545">
      <c r="A7545" s="9"/>
      <c r="B7545" s="15"/>
      <c r="C7545" s="9">
        <f>IFERROR(__xludf.DUMMYFUNCTION("""COMPUTED_VALUE"""),45064.9897203356)</f>
        <v>45064.98972</v>
      </c>
      <c r="D7545" s="15">
        <f>IFERROR(__xludf.DUMMYFUNCTION("""COMPUTED_VALUE"""),1.014)</f>
        <v>1.014</v>
      </c>
      <c r="E7545" s="16">
        <f>IFERROR(__xludf.DUMMYFUNCTION("""COMPUTED_VALUE"""),64.0)</f>
        <v>64</v>
      </c>
      <c r="F7545" s="19" t="str">
        <f>IFERROR(__xludf.DUMMYFUNCTION("""COMPUTED_VALUE"""),"BLUE")</f>
        <v>BLUE</v>
      </c>
      <c r="G7545" s="20" t="str">
        <f>IFERROR(__xludf.DUMMYFUNCTION("""COMPUTED_VALUE"""),"Uncle Sams Cider (04/04/2023)")</f>
        <v>Uncle Sams Cider (04/04/2023)</v>
      </c>
      <c r="H7545" s="19"/>
    </row>
    <row r="7546">
      <c r="A7546" s="9"/>
      <c r="B7546" s="15"/>
      <c r="C7546" s="9">
        <f>IFERROR(__xludf.DUMMYFUNCTION("""COMPUTED_VALUE"""),45064.9792886689)</f>
        <v>45064.97929</v>
      </c>
      <c r="D7546" s="15">
        <f>IFERROR(__xludf.DUMMYFUNCTION("""COMPUTED_VALUE"""),1.014)</f>
        <v>1.014</v>
      </c>
      <c r="E7546" s="16">
        <f>IFERROR(__xludf.DUMMYFUNCTION("""COMPUTED_VALUE"""),64.0)</f>
        <v>64</v>
      </c>
      <c r="F7546" s="19" t="str">
        <f>IFERROR(__xludf.DUMMYFUNCTION("""COMPUTED_VALUE"""),"BLUE")</f>
        <v>BLUE</v>
      </c>
      <c r="G7546" s="20" t="str">
        <f>IFERROR(__xludf.DUMMYFUNCTION("""COMPUTED_VALUE"""),"Uncle Sams Cider (04/04/2023)")</f>
        <v>Uncle Sams Cider (04/04/2023)</v>
      </c>
      <c r="H7546" s="19"/>
    </row>
    <row r="7547">
      <c r="A7547" s="9"/>
      <c r="B7547" s="15"/>
      <c r="C7547" s="9">
        <f>IFERROR(__xludf.DUMMYFUNCTION("""COMPUTED_VALUE"""),45064.9688684143)</f>
        <v>45064.96887</v>
      </c>
      <c r="D7547" s="15">
        <f>IFERROR(__xludf.DUMMYFUNCTION("""COMPUTED_VALUE"""),1.013)</f>
        <v>1.013</v>
      </c>
      <c r="E7547" s="16">
        <f>IFERROR(__xludf.DUMMYFUNCTION("""COMPUTED_VALUE"""),64.0)</f>
        <v>64</v>
      </c>
      <c r="F7547" s="19" t="str">
        <f>IFERROR(__xludf.DUMMYFUNCTION("""COMPUTED_VALUE"""),"BLUE")</f>
        <v>BLUE</v>
      </c>
      <c r="G7547" s="20" t="str">
        <f>IFERROR(__xludf.DUMMYFUNCTION("""COMPUTED_VALUE"""),"Uncle Sams Cider (04/04/2023)")</f>
        <v>Uncle Sams Cider (04/04/2023)</v>
      </c>
      <c r="H7547" s="19"/>
    </row>
    <row r="7548">
      <c r="A7548" s="9"/>
      <c r="B7548" s="15"/>
      <c r="C7548" s="9">
        <f>IFERROR(__xludf.DUMMYFUNCTION("""COMPUTED_VALUE"""),45064.9584466203)</f>
        <v>45064.95845</v>
      </c>
      <c r="D7548" s="15">
        <f>IFERROR(__xludf.DUMMYFUNCTION("""COMPUTED_VALUE"""),1.013)</f>
        <v>1.013</v>
      </c>
      <c r="E7548" s="16">
        <f>IFERROR(__xludf.DUMMYFUNCTION("""COMPUTED_VALUE"""),64.0)</f>
        <v>64</v>
      </c>
      <c r="F7548" s="19" t="str">
        <f>IFERROR(__xludf.DUMMYFUNCTION("""COMPUTED_VALUE"""),"BLUE")</f>
        <v>BLUE</v>
      </c>
      <c r="G7548" s="20" t="str">
        <f>IFERROR(__xludf.DUMMYFUNCTION("""COMPUTED_VALUE"""),"Uncle Sams Cider (04/04/2023)")</f>
        <v>Uncle Sams Cider (04/04/2023)</v>
      </c>
      <c r="H7548" s="19"/>
    </row>
    <row r="7549">
      <c r="A7549" s="9"/>
      <c r="B7549" s="15"/>
      <c r="C7549" s="9">
        <f>IFERROR(__xludf.DUMMYFUNCTION("""COMPUTED_VALUE"""),45064.9480263773)</f>
        <v>45064.94803</v>
      </c>
      <c r="D7549" s="15">
        <f>IFERROR(__xludf.DUMMYFUNCTION("""COMPUTED_VALUE"""),1.013)</f>
        <v>1.013</v>
      </c>
      <c r="E7549" s="16">
        <f>IFERROR(__xludf.DUMMYFUNCTION("""COMPUTED_VALUE"""),64.0)</f>
        <v>64</v>
      </c>
      <c r="F7549" s="19" t="str">
        <f>IFERROR(__xludf.DUMMYFUNCTION("""COMPUTED_VALUE"""),"BLUE")</f>
        <v>BLUE</v>
      </c>
      <c r="G7549" s="20" t="str">
        <f>IFERROR(__xludf.DUMMYFUNCTION("""COMPUTED_VALUE"""),"Uncle Sams Cider (04/04/2023)")</f>
        <v>Uncle Sams Cider (04/04/2023)</v>
      </c>
      <c r="H7549" s="19"/>
    </row>
    <row r="7550">
      <c r="A7550" s="9"/>
      <c r="B7550" s="15"/>
      <c r="C7550" s="9">
        <f>IFERROR(__xludf.DUMMYFUNCTION("""COMPUTED_VALUE"""),45064.9375936458)</f>
        <v>45064.93759</v>
      </c>
      <c r="D7550" s="15">
        <f>IFERROR(__xludf.DUMMYFUNCTION("""COMPUTED_VALUE"""),1.013)</f>
        <v>1.013</v>
      </c>
      <c r="E7550" s="16">
        <f>IFERROR(__xludf.DUMMYFUNCTION("""COMPUTED_VALUE"""),64.0)</f>
        <v>64</v>
      </c>
      <c r="F7550" s="19" t="str">
        <f>IFERROR(__xludf.DUMMYFUNCTION("""COMPUTED_VALUE"""),"BLUE")</f>
        <v>BLUE</v>
      </c>
      <c r="G7550" s="20" t="str">
        <f>IFERROR(__xludf.DUMMYFUNCTION("""COMPUTED_VALUE"""),"Uncle Sams Cider (04/04/2023)")</f>
        <v>Uncle Sams Cider (04/04/2023)</v>
      </c>
      <c r="H7550" s="19"/>
    </row>
    <row r="7551">
      <c r="A7551" s="9"/>
      <c r="B7551" s="15"/>
      <c r="C7551" s="9">
        <f>IFERROR(__xludf.DUMMYFUNCTION("""COMPUTED_VALUE"""),45064.92717103)</f>
        <v>45064.92717</v>
      </c>
      <c r="D7551" s="15">
        <f>IFERROR(__xludf.DUMMYFUNCTION("""COMPUTED_VALUE"""),1.013)</f>
        <v>1.013</v>
      </c>
      <c r="E7551" s="16">
        <f>IFERROR(__xludf.DUMMYFUNCTION("""COMPUTED_VALUE"""),64.0)</f>
        <v>64</v>
      </c>
      <c r="F7551" s="19" t="str">
        <f>IFERROR(__xludf.DUMMYFUNCTION("""COMPUTED_VALUE"""),"BLUE")</f>
        <v>BLUE</v>
      </c>
      <c r="G7551" s="20" t="str">
        <f>IFERROR(__xludf.DUMMYFUNCTION("""COMPUTED_VALUE"""),"Uncle Sams Cider (04/04/2023)")</f>
        <v>Uncle Sams Cider (04/04/2023)</v>
      </c>
      <c r="H7551" s="19"/>
    </row>
    <row r="7552">
      <c r="A7552" s="9"/>
      <c r="B7552" s="15"/>
      <c r="C7552" s="9">
        <f>IFERROR(__xludf.DUMMYFUNCTION("""COMPUTED_VALUE"""),45064.9167512037)</f>
        <v>45064.91675</v>
      </c>
      <c r="D7552" s="15">
        <f>IFERROR(__xludf.DUMMYFUNCTION("""COMPUTED_VALUE"""),1.013)</f>
        <v>1.013</v>
      </c>
      <c r="E7552" s="16">
        <f>IFERROR(__xludf.DUMMYFUNCTION("""COMPUTED_VALUE"""),64.0)</f>
        <v>64</v>
      </c>
      <c r="F7552" s="19" t="str">
        <f>IFERROR(__xludf.DUMMYFUNCTION("""COMPUTED_VALUE"""),"BLUE")</f>
        <v>BLUE</v>
      </c>
      <c r="G7552" s="20" t="str">
        <f>IFERROR(__xludf.DUMMYFUNCTION("""COMPUTED_VALUE"""),"Uncle Sams Cider (04/04/2023)")</f>
        <v>Uncle Sams Cider (04/04/2023)</v>
      </c>
      <c r="H7552" s="19"/>
    </row>
    <row r="7553">
      <c r="A7553" s="9"/>
      <c r="B7553" s="15"/>
      <c r="C7553" s="9">
        <f>IFERROR(__xludf.DUMMYFUNCTION("""COMPUTED_VALUE"""),45064.9062953587)</f>
        <v>45064.9063</v>
      </c>
      <c r="D7553" s="15">
        <f>IFERROR(__xludf.DUMMYFUNCTION("""COMPUTED_VALUE"""),1.013)</f>
        <v>1.013</v>
      </c>
      <c r="E7553" s="16">
        <f>IFERROR(__xludf.DUMMYFUNCTION("""COMPUTED_VALUE"""),64.0)</f>
        <v>64</v>
      </c>
      <c r="F7553" s="19" t="str">
        <f>IFERROR(__xludf.DUMMYFUNCTION("""COMPUTED_VALUE"""),"BLUE")</f>
        <v>BLUE</v>
      </c>
      <c r="G7553" s="20" t="str">
        <f>IFERROR(__xludf.DUMMYFUNCTION("""COMPUTED_VALUE"""),"Uncle Sams Cider (04/04/2023)")</f>
        <v>Uncle Sams Cider (04/04/2023)</v>
      </c>
      <c r="H7553" s="19"/>
    </row>
    <row r="7554">
      <c r="A7554" s="9"/>
      <c r="B7554" s="15"/>
      <c r="C7554" s="9">
        <f>IFERROR(__xludf.DUMMYFUNCTION("""COMPUTED_VALUE"""),45064.8958726157)</f>
        <v>45064.89587</v>
      </c>
      <c r="D7554" s="15">
        <f>IFERROR(__xludf.DUMMYFUNCTION("""COMPUTED_VALUE"""),1.013)</f>
        <v>1.013</v>
      </c>
      <c r="E7554" s="16">
        <f>IFERROR(__xludf.DUMMYFUNCTION("""COMPUTED_VALUE"""),64.0)</f>
        <v>64</v>
      </c>
      <c r="F7554" s="19" t="str">
        <f>IFERROR(__xludf.DUMMYFUNCTION("""COMPUTED_VALUE"""),"BLUE")</f>
        <v>BLUE</v>
      </c>
      <c r="G7554" s="20" t="str">
        <f>IFERROR(__xludf.DUMMYFUNCTION("""COMPUTED_VALUE"""),"Uncle Sams Cider (04/04/2023)")</f>
        <v>Uncle Sams Cider (04/04/2023)</v>
      </c>
      <c r="H7554" s="19"/>
    </row>
    <row r="7555">
      <c r="A7555" s="9"/>
      <c r="B7555" s="15"/>
      <c r="C7555" s="9">
        <f>IFERROR(__xludf.DUMMYFUNCTION("""COMPUTED_VALUE"""),45064.885440243)</f>
        <v>45064.88544</v>
      </c>
      <c r="D7555" s="15">
        <f>IFERROR(__xludf.DUMMYFUNCTION("""COMPUTED_VALUE"""),1.014)</f>
        <v>1.014</v>
      </c>
      <c r="E7555" s="16">
        <f>IFERROR(__xludf.DUMMYFUNCTION("""COMPUTED_VALUE"""),64.0)</f>
        <v>64</v>
      </c>
      <c r="F7555" s="19" t="str">
        <f>IFERROR(__xludf.DUMMYFUNCTION("""COMPUTED_VALUE"""),"BLUE")</f>
        <v>BLUE</v>
      </c>
      <c r="G7555" s="20" t="str">
        <f>IFERROR(__xludf.DUMMYFUNCTION("""COMPUTED_VALUE"""),"Uncle Sams Cider (04/04/2023)")</f>
        <v>Uncle Sams Cider (04/04/2023)</v>
      </c>
      <c r="H7555" s="19"/>
    </row>
    <row r="7556">
      <c r="A7556" s="9"/>
      <c r="B7556" s="15"/>
      <c r="C7556" s="9">
        <f>IFERROR(__xludf.DUMMYFUNCTION("""COMPUTED_VALUE"""),45064.8750206597)</f>
        <v>45064.87502</v>
      </c>
      <c r="D7556" s="15">
        <f>IFERROR(__xludf.DUMMYFUNCTION("""COMPUTED_VALUE"""),1.014)</f>
        <v>1.014</v>
      </c>
      <c r="E7556" s="16">
        <f>IFERROR(__xludf.DUMMYFUNCTION("""COMPUTED_VALUE"""),64.0)</f>
        <v>64</v>
      </c>
      <c r="F7556" s="19" t="str">
        <f>IFERROR(__xludf.DUMMYFUNCTION("""COMPUTED_VALUE"""),"BLUE")</f>
        <v>BLUE</v>
      </c>
      <c r="G7556" s="20" t="str">
        <f>IFERROR(__xludf.DUMMYFUNCTION("""COMPUTED_VALUE"""),"Uncle Sams Cider (04/04/2023)")</f>
        <v>Uncle Sams Cider (04/04/2023)</v>
      </c>
      <c r="H7556" s="19"/>
    </row>
    <row r="7557">
      <c r="A7557" s="9"/>
      <c r="B7557" s="15"/>
      <c r="C7557" s="9">
        <f>IFERROR(__xludf.DUMMYFUNCTION("""COMPUTED_VALUE"""),45064.8645883449)</f>
        <v>45064.86459</v>
      </c>
      <c r="D7557" s="15">
        <f>IFERROR(__xludf.DUMMYFUNCTION("""COMPUTED_VALUE"""),1.014)</f>
        <v>1.014</v>
      </c>
      <c r="E7557" s="16">
        <f>IFERROR(__xludf.DUMMYFUNCTION("""COMPUTED_VALUE"""),64.0)</f>
        <v>64</v>
      </c>
      <c r="F7557" s="19" t="str">
        <f>IFERROR(__xludf.DUMMYFUNCTION("""COMPUTED_VALUE"""),"BLUE")</f>
        <v>BLUE</v>
      </c>
      <c r="G7557" s="20" t="str">
        <f>IFERROR(__xludf.DUMMYFUNCTION("""COMPUTED_VALUE"""),"Uncle Sams Cider (04/04/2023)")</f>
        <v>Uncle Sams Cider (04/04/2023)</v>
      </c>
      <c r="H7557" s="19"/>
    </row>
    <row r="7558">
      <c r="A7558" s="9"/>
      <c r="B7558" s="15"/>
      <c r="C7558" s="9">
        <f>IFERROR(__xludf.DUMMYFUNCTION("""COMPUTED_VALUE"""),45064.8541668634)</f>
        <v>45064.85417</v>
      </c>
      <c r="D7558" s="15">
        <f>IFERROR(__xludf.DUMMYFUNCTION("""COMPUTED_VALUE"""),1.013)</f>
        <v>1.013</v>
      </c>
      <c r="E7558" s="16">
        <f>IFERROR(__xludf.DUMMYFUNCTION("""COMPUTED_VALUE"""),64.0)</f>
        <v>64</v>
      </c>
      <c r="F7558" s="19" t="str">
        <f>IFERROR(__xludf.DUMMYFUNCTION("""COMPUTED_VALUE"""),"BLUE")</f>
        <v>BLUE</v>
      </c>
      <c r="G7558" s="20" t="str">
        <f>IFERROR(__xludf.DUMMYFUNCTION("""COMPUTED_VALUE"""),"Uncle Sams Cider (04/04/2023)")</f>
        <v>Uncle Sams Cider (04/04/2023)</v>
      </c>
      <c r="H7558" s="19"/>
    </row>
    <row r="7559">
      <c r="A7559" s="9"/>
      <c r="B7559" s="15"/>
      <c r="C7559" s="9">
        <f>IFERROR(__xludf.DUMMYFUNCTION("""COMPUTED_VALUE"""),45064.8437466898)</f>
        <v>45064.84375</v>
      </c>
      <c r="D7559" s="15">
        <f>IFERROR(__xludf.DUMMYFUNCTION("""COMPUTED_VALUE"""),1.013)</f>
        <v>1.013</v>
      </c>
      <c r="E7559" s="16">
        <f>IFERROR(__xludf.DUMMYFUNCTION("""COMPUTED_VALUE"""),64.0)</f>
        <v>64</v>
      </c>
      <c r="F7559" s="19" t="str">
        <f>IFERROR(__xludf.DUMMYFUNCTION("""COMPUTED_VALUE"""),"BLUE")</f>
        <v>BLUE</v>
      </c>
      <c r="G7559" s="20" t="str">
        <f>IFERROR(__xludf.DUMMYFUNCTION("""COMPUTED_VALUE"""),"Uncle Sams Cider (04/04/2023)")</f>
        <v>Uncle Sams Cider (04/04/2023)</v>
      </c>
      <c r="H7559" s="19"/>
    </row>
    <row r="7560">
      <c r="A7560" s="9"/>
      <c r="B7560" s="15"/>
      <c r="C7560" s="9">
        <f>IFERROR(__xludf.DUMMYFUNCTION("""COMPUTED_VALUE"""),45064.8333270949)</f>
        <v>45064.83333</v>
      </c>
      <c r="D7560" s="15">
        <f>IFERROR(__xludf.DUMMYFUNCTION("""COMPUTED_VALUE"""),1.014)</f>
        <v>1.014</v>
      </c>
      <c r="E7560" s="16">
        <f>IFERROR(__xludf.DUMMYFUNCTION("""COMPUTED_VALUE"""),64.0)</f>
        <v>64</v>
      </c>
      <c r="F7560" s="19" t="str">
        <f>IFERROR(__xludf.DUMMYFUNCTION("""COMPUTED_VALUE"""),"BLUE")</f>
        <v>BLUE</v>
      </c>
      <c r="G7560" s="20" t="str">
        <f>IFERROR(__xludf.DUMMYFUNCTION("""COMPUTED_VALUE"""),"Uncle Sams Cider (04/04/2023)")</f>
        <v>Uncle Sams Cider (04/04/2023)</v>
      </c>
      <c r="H7560" s="19"/>
    </row>
    <row r="7561">
      <c r="A7561" s="9"/>
      <c r="B7561" s="15"/>
      <c r="C7561" s="9">
        <f>IFERROR(__xludf.DUMMYFUNCTION("""COMPUTED_VALUE"""),45064.8228824652)</f>
        <v>45064.82288</v>
      </c>
      <c r="D7561" s="15">
        <f>IFERROR(__xludf.DUMMYFUNCTION("""COMPUTED_VALUE"""),1.014)</f>
        <v>1.014</v>
      </c>
      <c r="E7561" s="16">
        <f>IFERROR(__xludf.DUMMYFUNCTION("""COMPUTED_VALUE"""),64.0)</f>
        <v>64</v>
      </c>
      <c r="F7561" s="19" t="str">
        <f>IFERROR(__xludf.DUMMYFUNCTION("""COMPUTED_VALUE"""),"BLUE")</f>
        <v>BLUE</v>
      </c>
      <c r="G7561" s="20" t="str">
        <f>IFERROR(__xludf.DUMMYFUNCTION("""COMPUTED_VALUE"""),"Uncle Sams Cider (04/04/2023)")</f>
        <v>Uncle Sams Cider (04/04/2023)</v>
      </c>
      <c r="H7561" s="19"/>
    </row>
    <row r="7562">
      <c r="A7562" s="9"/>
      <c r="B7562" s="15"/>
      <c r="C7562" s="9">
        <f>IFERROR(__xludf.DUMMYFUNCTION("""COMPUTED_VALUE"""),45064.8124508333)</f>
        <v>45064.81245</v>
      </c>
      <c r="D7562" s="15">
        <f>IFERROR(__xludf.DUMMYFUNCTION("""COMPUTED_VALUE"""),1.013)</f>
        <v>1.013</v>
      </c>
      <c r="E7562" s="16">
        <f>IFERROR(__xludf.DUMMYFUNCTION("""COMPUTED_VALUE"""),64.0)</f>
        <v>64</v>
      </c>
      <c r="F7562" s="19" t="str">
        <f>IFERROR(__xludf.DUMMYFUNCTION("""COMPUTED_VALUE"""),"BLUE")</f>
        <v>BLUE</v>
      </c>
      <c r="G7562" s="20" t="str">
        <f>IFERROR(__xludf.DUMMYFUNCTION("""COMPUTED_VALUE"""),"Uncle Sams Cider (04/04/2023)")</f>
        <v>Uncle Sams Cider (04/04/2023)</v>
      </c>
      <c r="H7562" s="19"/>
    </row>
    <row r="7563">
      <c r="A7563" s="9"/>
      <c r="B7563" s="15"/>
      <c r="C7563" s="9">
        <f>IFERROR(__xludf.DUMMYFUNCTION("""COMPUTED_VALUE"""),45064.8020165046)</f>
        <v>45064.80202</v>
      </c>
      <c r="D7563" s="15">
        <f>IFERROR(__xludf.DUMMYFUNCTION("""COMPUTED_VALUE"""),1.014)</f>
        <v>1.014</v>
      </c>
      <c r="E7563" s="16">
        <f>IFERROR(__xludf.DUMMYFUNCTION("""COMPUTED_VALUE"""),64.0)</f>
        <v>64</v>
      </c>
      <c r="F7563" s="19" t="str">
        <f>IFERROR(__xludf.DUMMYFUNCTION("""COMPUTED_VALUE"""),"BLUE")</f>
        <v>BLUE</v>
      </c>
      <c r="G7563" s="20" t="str">
        <f>IFERROR(__xludf.DUMMYFUNCTION("""COMPUTED_VALUE"""),"Uncle Sams Cider (04/04/2023)")</f>
        <v>Uncle Sams Cider (04/04/2023)</v>
      </c>
      <c r="H7563" s="19"/>
    </row>
    <row r="7564">
      <c r="A7564" s="9"/>
      <c r="B7564" s="15"/>
      <c r="C7564" s="9">
        <f>IFERROR(__xludf.DUMMYFUNCTION("""COMPUTED_VALUE"""),45064.7915951851)</f>
        <v>45064.7916</v>
      </c>
      <c r="D7564" s="15">
        <f>IFERROR(__xludf.DUMMYFUNCTION("""COMPUTED_VALUE"""),1.013)</f>
        <v>1.013</v>
      </c>
      <c r="E7564" s="16">
        <f>IFERROR(__xludf.DUMMYFUNCTION("""COMPUTED_VALUE"""),64.0)</f>
        <v>64</v>
      </c>
      <c r="F7564" s="19" t="str">
        <f>IFERROR(__xludf.DUMMYFUNCTION("""COMPUTED_VALUE"""),"BLUE")</f>
        <v>BLUE</v>
      </c>
      <c r="G7564" s="20" t="str">
        <f>IFERROR(__xludf.DUMMYFUNCTION("""COMPUTED_VALUE"""),"Uncle Sams Cider (04/04/2023)")</f>
        <v>Uncle Sams Cider (04/04/2023)</v>
      </c>
      <c r="H7564" s="19"/>
    </row>
    <row r="7565">
      <c r="A7565" s="9"/>
      <c r="B7565" s="15"/>
      <c r="C7565" s="9">
        <f>IFERROR(__xludf.DUMMYFUNCTION("""COMPUTED_VALUE"""),45064.7811711921)</f>
        <v>45064.78117</v>
      </c>
      <c r="D7565" s="15">
        <f>IFERROR(__xludf.DUMMYFUNCTION("""COMPUTED_VALUE"""),1.013)</f>
        <v>1.013</v>
      </c>
      <c r="E7565" s="16">
        <f>IFERROR(__xludf.DUMMYFUNCTION("""COMPUTED_VALUE"""),64.0)</f>
        <v>64</v>
      </c>
      <c r="F7565" s="19" t="str">
        <f>IFERROR(__xludf.DUMMYFUNCTION("""COMPUTED_VALUE"""),"BLUE")</f>
        <v>BLUE</v>
      </c>
      <c r="G7565" s="20" t="str">
        <f>IFERROR(__xludf.DUMMYFUNCTION("""COMPUTED_VALUE"""),"Uncle Sams Cider (04/04/2023)")</f>
        <v>Uncle Sams Cider (04/04/2023)</v>
      </c>
      <c r="H7565" s="19"/>
    </row>
    <row r="7566">
      <c r="A7566" s="9"/>
      <c r="B7566" s="15"/>
      <c r="C7566" s="9">
        <f>IFERROR(__xludf.DUMMYFUNCTION("""COMPUTED_VALUE"""),45064.7707508217)</f>
        <v>45064.77075</v>
      </c>
      <c r="D7566" s="15">
        <f>IFERROR(__xludf.DUMMYFUNCTION("""COMPUTED_VALUE"""),1.013)</f>
        <v>1.013</v>
      </c>
      <c r="E7566" s="16">
        <f>IFERROR(__xludf.DUMMYFUNCTION("""COMPUTED_VALUE"""),64.0)</f>
        <v>64</v>
      </c>
      <c r="F7566" s="19" t="str">
        <f>IFERROR(__xludf.DUMMYFUNCTION("""COMPUTED_VALUE"""),"BLUE")</f>
        <v>BLUE</v>
      </c>
      <c r="G7566" s="20" t="str">
        <f>IFERROR(__xludf.DUMMYFUNCTION("""COMPUTED_VALUE"""),"Uncle Sams Cider (04/04/2023)")</f>
        <v>Uncle Sams Cider (04/04/2023)</v>
      </c>
      <c r="H7566" s="19"/>
    </row>
    <row r="7567">
      <c r="A7567" s="9"/>
      <c r="B7567" s="15"/>
      <c r="C7567" s="9">
        <f>IFERROR(__xludf.DUMMYFUNCTION("""COMPUTED_VALUE"""),45064.7603287731)</f>
        <v>45064.76033</v>
      </c>
      <c r="D7567" s="15">
        <f>IFERROR(__xludf.DUMMYFUNCTION("""COMPUTED_VALUE"""),1.014)</f>
        <v>1.014</v>
      </c>
      <c r="E7567" s="16">
        <f>IFERROR(__xludf.DUMMYFUNCTION("""COMPUTED_VALUE"""),64.0)</f>
        <v>64</v>
      </c>
      <c r="F7567" s="19" t="str">
        <f>IFERROR(__xludf.DUMMYFUNCTION("""COMPUTED_VALUE"""),"BLUE")</f>
        <v>BLUE</v>
      </c>
      <c r="G7567" s="20" t="str">
        <f>IFERROR(__xludf.DUMMYFUNCTION("""COMPUTED_VALUE"""),"Uncle Sams Cider (04/04/2023)")</f>
        <v>Uncle Sams Cider (04/04/2023)</v>
      </c>
      <c r="H7567" s="19"/>
    </row>
    <row r="7568">
      <c r="A7568" s="9"/>
      <c r="B7568" s="15"/>
      <c r="C7568" s="9">
        <f>IFERROR(__xludf.DUMMYFUNCTION("""COMPUTED_VALUE"""),45064.7499075231)</f>
        <v>45064.74991</v>
      </c>
      <c r="D7568" s="15">
        <f>IFERROR(__xludf.DUMMYFUNCTION("""COMPUTED_VALUE"""),1.013)</f>
        <v>1.013</v>
      </c>
      <c r="E7568" s="16">
        <f>IFERROR(__xludf.DUMMYFUNCTION("""COMPUTED_VALUE"""),64.0)</f>
        <v>64</v>
      </c>
      <c r="F7568" s="19" t="str">
        <f>IFERROR(__xludf.DUMMYFUNCTION("""COMPUTED_VALUE"""),"BLUE")</f>
        <v>BLUE</v>
      </c>
      <c r="G7568" s="20" t="str">
        <f>IFERROR(__xludf.DUMMYFUNCTION("""COMPUTED_VALUE"""),"Uncle Sams Cider (04/04/2023)")</f>
        <v>Uncle Sams Cider (04/04/2023)</v>
      </c>
      <c r="H7568" s="19"/>
    </row>
    <row r="7569">
      <c r="A7569" s="9"/>
      <c r="B7569" s="15"/>
      <c r="C7569" s="9">
        <f>IFERROR(__xludf.DUMMYFUNCTION("""COMPUTED_VALUE"""),45064.7394883912)</f>
        <v>45064.73949</v>
      </c>
      <c r="D7569" s="15">
        <f>IFERROR(__xludf.DUMMYFUNCTION("""COMPUTED_VALUE"""),1.013)</f>
        <v>1.013</v>
      </c>
      <c r="E7569" s="16">
        <f>IFERROR(__xludf.DUMMYFUNCTION("""COMPUTED_VALUE"""),64.0)</f>
        <v>64</v>
      </c>
      <c r="F7569" s="19" t="str">
        <f>IFERROR(__xludf.DUMMYFUNCTION("""COMPUTED_VALUE"""),"BLUE")</f>
        <v>BLUE</v>
      </c>
      <c r="G7569" s="20" t="str">
        <f>IFERROR(__xludf.DUMMYFUNCTION("""COMPUTED_VALUE"""),"Uncle Sams Cider (04/04/2023)")</f>
        <v>Uncle Sams Cider (04/04/2023)</v>
      </c>
      <c r="H7569" s="19"/>
    </row>
    <row r="7570">
      <c r="A7570" s="9"/>
      <c r="B7570" s="15"/>
      <c r="C7570" s="9">
        <f>IFERROR(__xludf.DUMMYFUNCTION("""COMPUTED_VALUE"""),45064.7290677199)</f>
        <v>45064.72907</v>
      </c>
      <c r="D7570" s="15">
        <f>IFERROR(__xludf.DUMMYFUNCTION("""COMPUTED_VALUE"""),1.014)</f>
        <v>1.014</v>
      </c>
      <c r="E7570" s="16">
        <f>IFERROR(__xludf.DUMMYFUNCTION("""COMPUTED_VALUE"""),64.0)</f>
        <v>64</v>
      </c>
      <c r="F7570" s="19" t="str">
        <f>IFERROR(__xludf.DUMMYFUNCTION("""COMPUTED_VALUE"""),"BLUE")</f>
        <v>BLUE</v>
      </c>
      <c r="G7570" s="20" t="str">
        <f>IFERROR(__xludf.DUMMYFUNCTION("""COMPUTED_VALUE"""),"Uncle Sams Cider (04/04/2023)")</f>
        <v>Uncle Sams Cider (04/04/2023)</v>
      </c>
      <c r="H7570" s="19"/>
    </row>
    <row r="7571">
      <c r="A7571" s="9"/>
      <c r="B7571" s="15"/>
      <c r="C7571" s="9">
        <f>IFERROR(__xludf.DUMMYFUNCTION("""COMPUTED_VALUE"""),45064.7186456018)</f>
        <v>45064.71865</v>
      </c>
      <c r="D7571" s="15">
        <f>IFERROR(__xludf.DUMMYFUNCTION("""COMPUTED_VALUE"""),1.013)</f>
        <v>1.013</v>
      </c>
      <c r="E7571" s="16">
        <f>IFERROR(__xludf.DUMMYFUNCTION("""COMPUTED_VALUE"""),64.0)</f>
        <v>64</v>
      </c>
      <c r="F7571" s="19" t="str">
        <f>IFERROR(__xludf.DUMMYFUNCTION("""COMPUTED_VALUE"""),"BLUE")</f>
        <v>BLUE</v>
      </c>
      <c r="G7571" s="20" t="str">
        <f>IFERROR(__xludf.DUMMYFUNCTION("""COMPUTED_VALUE"""),"Uncle Sams Cider (04/04/2023)")</f>
        <v>Uncle Sams Cider (04/04/2023)</v>
      </c>
      <c r="H7571" s="19"/>
    </row>
    <row r="7572">
      <c r="A7572" s="9"/>
      <c r="B7572" s="15"/>
      <c r="C7572" s="9">
        <f>IFERROR(__xludf.DUMMYFUNCTION("""COMPUTED_VALUE"""),45064.7082142245)</f>
        <v>45064.70821</v>
      </c>
      <c r="D7572" s="15">
        <f>IFERROR(__xludf.DUMMYFUNCTION("""COMPUTED_VALUE"""),1.014)</f>
        <v>1.014</v>
      </c>
      <c r="E7572" s="16">
        <f>IFERROR(__xludf.DUMMYFUNCTION("""COMPUTED_VALUE"""),64.0)</f>
        <v>64</v>
      </c>
      <c r="F7572" s="19" t="str">
        <f>IFERROR(__xludf.DUMMYFUNCTION("""COMPUTED_VALUE"""),"BLUE")</f>
        <v>BLUE</v>
      </c>
      <c r="G7572" s="20" t="str">
        <f>IFERROR(__xludf.DUMMYFUNCTION("""COMPUTED_VALUE"""),"Uncle Sams Cider (04/04/2023)")</f>
        <v>Uncle Sams Cider (04/04/2023)</v>
      </c>
      <c r="H7572" s="19"/>
    </row>
    <row r="7573">
      <c r="A7573" s="9"/>
      <c r="B7573" s="15"/>
      <c r="C7573" s="9">
        <f>IFERROR(__xludf.DUMMYFUNCTION("""COMPUTED_VALUE"""),45064.6977809722)</f>
        <v>45064.69778</v>
      </c>
      <c r="D7573" s="15">
        <f>IFERROR(__xludf.DUMMYFUNCTION("""COMPUTED_VALUE"""),1.014)</f>
        <v>1.014</v>
      </c>
      <c r="E7573" s="16">
        <f>IFERROR(__xludf.DUMMYFUNCTION("""COMPUTED_VALUE"""),64.0)</f>
        <v>64</v>
      </c>
      <c r="F7573" s="19" t="str">
        <f>IFERROR(__xludf.DUMMYFUNCTION("""COMPUTED_VALUE"""),"BLUE")</f>
        <v>BLUE</v>
      </c>
      <c r="G7573" s="20" t="str">
        <f>IFERROR(__xludf.DUMMYFUNCTION("""COMPUTED_VALUE"""),"Uncle Sams Cider (04/04/2023)")</f>
        <v>Uncle Sams Cider (04/04/2023)</v>
      </c>
      <c r="H7573" s="19"/>
    </row>
    <row r="7574">
      <c r="A7574" s="9"/>
      <c r="B7574" s="15"/>
      <c r="C7574" s="9">
        <f>IFERROR(__xludf.DUMMYFUNCTION("""COMPUTED_VALUE"""),45064.6873587615)</f>
        <v>45064.68736</v>
      </c>
      <c r="D7574" s="15">
        <f>IFERROR(__xludf.DUMMYFUNCTION("""COMPUTED_VALUE"""),1.013)</f>
        <v>1.013</v>
      </c>
      <c r="E7574" s="16">
        <f>IFERROR(__xludf.DUMMYFUNCTION("""COMPUTED_VALUE"""),64.0)</f>
        <v>64</v>
      </c>
      <c r="F7574" s="19" t="str">
        <f>IFERROR(__xludf.DUMMYFUNCTION("""COMPUTED_VALUE"""),"BLUE")</f>
        <v>BLUE</v>
      </c>
      <c r="G7574" s="20" t="str">
        <f>IFERROR(__xludf.DUMMYFUNCTION("""COMPUTED_VALUE"""),"Uncle Sams Cider (04/04/2023)")</f>
        <v>Uncle Sams Cider (04/04/2023)</v>
      </c>
      <c r="H7574" s="19"/>
    </row>
    <row r="7575">
      <c r="A7575" s="9"/>
      <c r="B7575" s="15"/>
      <c r="C7575" s="9">
        <f>IFERROR(__xludf.DUMMYFUNCTION("""COMPUTED_VALUE"""),45064.676937662)</f>
        <v>45064.67694</v>
      </c>
      <c r="D7575" s="15">
        <f>IFERROR(__xludf.DUMMYFUNCTION("""COMPUTED_VALUE"""),1.013)</f>
        <v>1.013</v>
      </c>
      <c r="E7575" s="16">
        <f>IFERROR(__xludf.DUMMYFUNCTION("""COMPUTED_VALUE"""),64.0)</f>
        <v>64</v>
      </c>
      <c r="F7575" s="19" t="str">
        <f>IFERROR(__xludf.DUMMYFUNCTION("""COMPUTED_VALUE"""),"BLUE")</f>
        <v>BLUE</v>
      </c>
      <c r="G7575" s="20" t="str">
        <f>IFERROR(__xludf.DUMMYFUNCTION("""COMPUTED_VALUE"""),"Uncle Sams Cider (04/04/2023)")</f>
        <v>Uncle Sams Cider (04/04/2023)</v>
      </c>
      <c r="H7575" s="19"/>
    </row>
    <row r="7576">
      <c r="A7576" s="9"/>
      <c r="B7576" s="15"/>
      <c r="C7576" s="9">
        <f>IFERROR(__xludf.DUMMYFUNCTION("""COMPUTED_VALUE"""),45064.6664939583)</f>
        <v>45064.66649</v>
      </c>
      <c r="D7576" s="15">
        <f>IFERROR(__xludf.DUMMYFUNCTION("""COMPUTED_VALUE"""),1.013)</f>
        <v>1.013</v>
      </c>
      <c r="E7576" s="16">
        <f>IFERROR(__xludf.DUMMYFUNCTION("""COMPUTED_VALUE"""),64.0)</f>
        <v>64</v>
      </c>
      <c r="F7576" s="19" t="str">
        <f>IFERROR(__xludf.DUMMYFUNCTION("""COMPUTED_VALUE"""),"BLUE")</f>
        <v>BLUE</v>
      </c>
      <c r="G7576" s="20" t="str">
        <f>IFERROR(__xludf.DUMMYFUNCTION("""COMPUTED_VALUE"""),"Uncle Sams Cider (04/04/2023)")</f>
        <v>Uncle Sams Cider (04/04/2023)</v>
      </c>
      <c r="H7576" s="19"/>
    </row>
    <row r="7577">
      <c r="A7577" s="9"/>
      <c r="B7577" s="15"/>
      <c r="C7577" s="9">
        <f>IFERROR(__xludf.DUMMYFUNCTION("""COMPUTED_VALUE"""),45064.6560739699)</f>
        <v>45064.65607</v>
      </c>
      <c r="D7577" s="15">
        <f>IFERROR(__xludf.DUMMYFUNCTION("""COMPUTED_VALUE"""),1.014)</f>
        <v>1.014</v>
      </c>
      <c r="E7577" s="16">
        <f>IFERROR(__xludf.DUMMYFUNCTION("""COMPUTED_VALUE"""),64.0)</f>
        <v>64</v>
      </c>
      <c r="F7577" s="19" t="str">
        <f>IFERROR(__xludf.DUMMYFUNCTION("""COMPUTED_VALUE"""),"BLUE")</f>
        <v>BLUE</v>
      </c>
      <c r="G7577" s="20" t="str">
        <f>IFERROR(__xludf.DUMMYFUNCTION("""COMPUTED_VALUE"""),"Uncle Sams Cider (04/04/2023)")</f>
        <v>Uncle Sams Cider (04/04/2023)</v>
      </c>
      <c r="H7577" s="19"/>
    </row>
    <row r="7578">
      <c r="A7578" s="9"/>
      <c r="B7578" s="15"/>
      <c r="C7578" s="9">
        <f>IFERROR(__xludf.DUMMYFUNCTION("""COMPUTED_VALUE"""),45064.6456525347)</f>
        <v>45064.64565</v>
      </c>
      <c r="D7578" s="15">
        <f>IFERROR(__xludf.DUMMYFUNCTION("""COMPUTED_VALUE"""),1.013)</f>
        <v>1.013</v>
      </c>
      <c r="E7578" s="16">
        <f>IFERROR(__xludf.DUMMYFUNCTION("""COMPUTED_VALUE"""),64.0)</f>
        <v>64</v>
      </c>
      <c r="F7578" s="19" t="str">
        <f>IFERROR(__xludf.DUMMYFUNCTION("""COMPUTED_VALUE"""),"BLUE")</f>
        <v>BLUE</v>
      </c>
      <c r="G7578" s="20" t="str">
        <f>IFERROR(__xludf.DUMMYFUNCTION("""COMPUTED_VALUE"""),"Uncle Sams Cider (04/04/2023)")</f>
        <v>Uncle Sams Cider (04/04/2023)</v>
      </c>
      <c r="H7578" s="19"/>
    </row>
    <row r="7579">
      <c r="A7579" s="9"/>
      <c r="B7579" s="15"/>
      <c r="C7579" s="9">
        <f>IFERROR(__xludf.DUMMYFUNCTION("""COMPUTED_VALUE"""),45064.6352312615)</f>
        <v>45064.63523</v>
      </c>
      <c r="D7579" s="15">
        <f>IFERROR(__xludf.DUMMYFUNCTION("""COMPUTED_VALUE"""),1.014)</f>
        <v>1.014</v>
      </c>
      <c r="E7579" s="16">
        <f>IFERROR(__xludf.DUMMYFUNCTION("""COMPUTED_VALUE"""),64.0)</f>
        <v>64</v>
      </c>
      <c r="F7579" s="19" t="str">
        <f>IFERROR(__xludf.DUMMYFUNCTION("""COMPUTED_VALUE"""),"BLUE")</f>
        <v>BLUE</v>
      </c>
      <c r="G7579" s="20" t="str">
        <f>IFERROR(__xludf.DUMMYFUNCTION("""COMPUTED_VALUE"""),"Uncle Sams Cider (04/04/2023)")</f>
        <v>Uncle Sams Cider (04/04/2023)</v>
      </c>
      <c r="H7579" s="19"/>
    </row>
    <row r="7580">
      <c r="A7580" s="9"/>
      <c r="B7580" s="15"/>
      <c r="C7580" s="9">
        <f>IFERROR(__xludf.DUMMYFUNCTION("""COMPUTED_VALUE"""),45064.6247877546)</f>
        <v>45064.62479</v>
      </c>
      <c r="D7580" s="15">
        <f>IFERROR(__xludf.DUMMYFUNCTION("""COMPUTED_VALUE"""),1.014)</f>
        <v>1.014</v>
      </c>
      <c r="E7580" s="16">
        <f>IFERROR(__xludf.DUMMYFUNCTION("""COMPUTED_VALUE"""),64.0)</f>
        <v>64</v>
      </c>
      <c r="F7580" s="19" t="str">
        <f>IFERROR(__xludf.DUMMYFUNCTION("""COMPUTED_VALUE"""),"BLUE")</f>
        <v>BLUE</v>
      </c>
      <c r="G7580" s="20" t="str">
        <f>IFERROR(__xludf.DUMMYFUNCTION("""COMPUTED_VALUE"""),"Uncle Sams Cider (04/04/2023)")</f>
        <v>Uncle Sams Cider (04/04/2023)</v>
      </c>
      <c r="H7580" s="19"/>
    </row>
    <row r="7581">
      <c r="A7581" s="9"/>
      <c r="B7581" s="15"/>
      <c r="C7581" s="9">
        <f>IFERROR(__xludf.DUMMYFUNCTION("""COMPUTED_VALUE"""),45064.6143675231)</f>
        <v>45064.61437</v>
      </c>
      <c r="D7581" s="15">
        <f>IFERROR(__xludf.DUMMYFUNCTION("""COMPUTED_VALUE"""),1.013)</f>
        <v>1.013</v>
      </c>
      <c r="E7581" s="16">
        <f>IFERROR(__xludf.DUMMYFUNCTION("""COMPUTED_VALUE"""),64.0)</f>
        <v>64</v>
      </c>
      <c r="F7581" s="19" t="str">
        <f>IFERROR(__xludf.DUMMYFUNCTION("""COMPUTED_VALUE"""),"BLUE")</f>
        <v>BLUE</v>
      </c>
      <c r="G7581" s="20" t="str">
        <f>IFERROR(__xludf.DUMMYFUNCTION("""COMPUTED_VALUE"""),"Uncle Sams Cider (04/04/2023)")</f>
        <v>Uncle Sams Cider (04/04/2023)</v>
      </c>
      <c r="H7581" s="19"/>
    </row>
    <row r="7582">
      <c r="A7582" s="9"/>
      <c r="B7582" s="15"/>
      <c r="C7582" s="9">
        <f>IFERROR(__xludf.DUMMYFUNCTION("""COMPUTED_VALUE"""),45064.6039473958)</f>
        <v>45064.60395</v>
      </c>
      <c r="D7582" s="15">
        <f>IFERROR(__xludf.DUMMYFUNCTION("""COMPUTED_VALUE"""),1.014)</f>
        <v>1.014</v>
      </c>
      <c r="E7582" s="16">
        <f>IFERROR(__xludf.DUMMYFUNCTION("""COMPUTED_VALUE"""),64.0)</f>
        <v>64</v>
      </c>
      <c r="F7582" s="19" t="str">
        <f>IFERROR(__xludf.DUMMYFUNCTION("""COMPUTED_VALUE"""),"BLUE")</f>
        <v>BLUE</v>
      </c>
      <c r="G7582" s="20" t="str">
        <f>IFERROR(__xludf.DUMMYFUNCTION("""COMPUTED_VALUE"""),"Uncle Sams Cider (04/04/2023)")</f>
        <v>Uncle Sams Cider (04/04/2023)</v>
      </c>
      <c r="H7582" s="19"/>
    </row>
    <row r="7583">
      <c r="A7583" s="9"/>
      <c r="B7583" s="15"/>
      <c r="C7583" s="9">
        <f>IFERROR(__xludf.DUMMYFUNCTION("""COMPUTED_VALUE"""),45064.5935247916)</f>
        <v>45064.59352</v>
      </c>
      <c r="D7583" s="15">
        <f>IFERROR(__xludf.DUMMYFUNCTION("""COMPUTED_VALUE"""),1.014)</f>
        <v>1.014</v>
      </c>
      <c r="E7583" s="16">
        <f>IFERROR(__xludf.DUMMYFUNCTION("""COMPUTED_VALUE"""),64.0)</f>
        <v>64</v>
      </c>
      <c r="F7583" s="19" t="str">
        <f>IFERROR(__xludf.DUMMYFUNCTION("""COMPUTED_VALUE"""),"BLUE")</f>
        <v>BLUE</v>
      </c>
      <c r="G7583" s="20" t="str">
        <f>IFERROR(__xludf.DUMMYFUNCTION("""COMPUTED_VALUE"""),"Uncle Sams Cider (04/04/2023)")</f>
        <v>Uncle Sams Cider (04/04/2023)</v>
      </c>
      <c r="H7583" s="19"/>
    </row>
    <row r="7584">
      <c r="A7584" s="9"/>
      <c r="B7584" s="15"/>
      <c r="C7584" s="9">
        <f>IFERROR(__xludf.DUMMYFUNCTION("""COMPUTED_VALUE"""),45064.5831042361)</f>
        <v>45064.5831</v>
      </c>
      <c r="D7584" s="15">
        <f>IFERROR(__xludf.DUMMYFUNCTION("""COMPUTED_VALUE"""),1.013)</f>
        <v>1.013</v>
      </c>
      <c r="E7584" s="16">
        <f>IFERROR(__xludf.DUMMYFUNCTION("""COMPUTED_VALUE"""),64.0)</f>
        <v>64</v>
      </c>
      <c r="F7584" s="19" t="str">
        <f>IFERROR(__xludf.DUMMYFUNCTION("""COMPUTED_VALUE"""),"BLUE")</f>
        <v>BLUE</v>
      </c>
      <c r="G7584" s="20" t="str">
        <f>IFERROR(__xludf.DUMMYFUNCTION("""COMPUTED_VALUE"""),"Uncle Sams Cider (04/04/2023)")</f>
        <v>Uncle Sams Cider (04/04/2023)</v>
      </c>
      <c r="H7584" s="19"/>
    </row>
    <row r="7585">
      <c r="A7585" s="9"/>
      <c r="B7585" s="15"/>
      <c r="C7585" s="9">
        <f>IFERROR(__xludf.DUMMYFUNCTION("""COMPUTED_VALUE"""),45064.5726836226)</f>
        <v>45064.57268</v>
      </c>
      <c r="D7585" s="15">
        <f>IFERROR(__xludf.DUMMYFUNCTION("""COMPUTED_VALUE"""),1.014)</f>
        <v>1.014</v>
      </c>
      <c r="E7585" s="16">
        <f>IFERROR(__xludf.DUMMYFUNCTION("""COMPUTED_VALUE"""),64.0)</f>
        <v>64</v>
      </c>
      <c r="F7585" s="19" t="str">
        <f>IFERROR(__xludf.DUMMYFUNCTION("""COMPUTED_VALUE"""),"BLUE")</f>
        <v>BLUE</v>
      </c>
      <c r="G7585" s="20" t="str">
        <f>IFERROR(__xludf.DUMMYFUNCTION("""COMPUTED_VALUE"""),"Uncle Sams Cider (04/04/2023)")</f>
        <v>Uncle Sams Cider (04/04/2023)</v>
      </c>
      <c r="H7585" s="19"/>
    </row>
    <row r="7586">
      <c r="A7586" s="9"/>
      <c r="B7586" s="15"/>
      <c r="C7586" s="9">
        <f>IFERROR(__xludf.DUMMYFUNCTION("""COMPUTED_VALUE"""),45064.5622628703)</f>
        <v>45064.56226</v>
      </c>
      <c r="D7586" s="15">
        <f>IFERROR(__xludf.DUMMYFUNCTION("""COMPUTED_VALUE"""),1.014)</f>
        <v>1.014</v>
      </c>
      <c r="E7586" s="16">
        <f>IFERROR(__xludf.DUMMYFUNCTION("""COMPUTED_VALUE"""),64.0)</f>
        <v>64</v>
      </c>
      <c r="F7586" s="19" t="str">
        <f>IFERROR(__xludf.DUMMYFUNCTION("""COMPUTED_VALUE"""),"BLUE")</f>
        <v>BLUE</v>
      </c>
      <c r="G7586" s="20" t="str">
        <f>IFERROR(__xludf.DUMMYFUNCTION("""COMPUTED_VALUE"""),"Uncle Sams Cider (04/04/2023)")</f>
        <v>Uncle Sams Cider (04/04/2023)</v>
      </c>
      <c r="H7586" s="19"/>
    </row>
    <row r="7587">
      <c r="A7587" s="9"/>
      <c r="B7587" s="15"/>
      <c r="C7587" s="9">
        <f>IFERROR(__xludf.DUMMYFUNCTION("""COMPUTED_VALUE"""),45064.5518433217)</f>
        <v>45064.55184</v>
      </c>
      <c r="D7587" s="15">
        <f>IFERROR(__xludf.DUMMYFUNCTION("""COMPUTED_VALUE"""),1.014)</f>
        <v>1.014</v>
      </c>
      <c r="E7587" s="16">
        <f>IFERROR(__xludf.DUMMYFUNCTION("""COMPUTED_VALUE"""),64.0)</f>
        <v>64</v>
      </c>
      <c r="F7587" s="19" t="str">
        <f>IFERROR(__xludf.DUMMYFUNCTION("""COMPUTED_VALUE"""),"BLUE")</f>
        <v>BLUE</v>
      </c>
      <c r="G7587" s="20" t="str">
        <f>IFERROR(__xludf.DUMMYFUNCTION("""COMPUTED_VALUE"""),"Uncle Sams Cider (04/04/2023)")</f>
        <v>Uncle Sams Cider (04/04/2023)</v>
      </c>
      <c r="H7587" s="19"/>
    </row>
    <row r="7588">
      <c r="A7588" s="9"/>
      <c r="B7588" s="15"/>
      <c r="C7588" s="9">
        <f>IFERROR(__xludf.DUMMYFUNCTION("""COMPUTED_VALUE"""),45064.541421655)</f>
        <v>45064.54142</v>
      </c>
      <c r="D7588" s="15">
        <f>IFERROR(__xludf.DUMMYFUNCTION("""COMPUTED_VALUE"""),1.014)</f>
        <v>1.014</v>
      </c>
      <c r="E7588" s="16">
        <f>IFERROR(__xludf.DUMMYFUNCTION("""COMPUTED_VALUE"""),64.0)</f>
        <v>64</v>
      </c>
      <c r="F7588" s="19" t="str">
        <f>IFERROR(__xludf.DUMMYFUNCTION("""COMPUTED_VALUE"""),"BLUE")</f>
        <v>BLUE</v>
      </c>
      <c r="G7588" s="20" t="str">
        <f>IFERROR(__xludf.DUMMYFUNCTION("""COMPUTED_VALUE"""),"Uncle Sams Cider (04/04/2023)")</f>
        <v>Uncle Sams Cider (04/04/2023)</v>
      </c>
      <c r="H7588" s="19"/>
    </row>
    <row r="7589">
      <c r="A7589" s="9"/>
      <c r="B7589" s="15"/>
      <c r="C7589" s="9">
        <f>IFERROR(__xludf.DUMMYFUNCTION("""COMPUTED_VALUE"""),45064.5309903819)</f>
        <v>45064.53099</v>
      </c>
      <c r="D7589" s="15">
        <f>IFERROR(__xludf.DUMMYFUNCTION("""COMPUTED_VALUE"""),1.014)</f>
        <v>1.014</v>
      </c>
      <c r="E7589" s="16">
        <f>IFERROR(__xludf.DUMMYFUNCTION("""COMPUTED_VALUE"""),65.0)</f>
        <v>65</v>
      </c>
      <c r="F7589" s="19" t="str">
        <f>IFERROR(__xludf.DUMMYFUNCTION("""COMPUTED_VALUE"""),"BLUE")</f>
        <v>BLUE</v>
      </c>
      <c r="G7589" s="20" t="str">
        <f>IFERROR(__xludf.DUMMYFUNCTION("""COMPUTED_VALUE"""),"Uncle Sams Cider (04/04/2023)")</f>
        <v>Uncle Sams Cider (04/04/2023)</v>
      </c>
      <c r="H7589" s="19"/>
    </row>
    <row r="7590">
      <c r="A7590" s="9"/>
      <c r="B7590" s="15"/>
      <c r="C7590" s="9">
        <f>IFERROR(__xludf.DUMMYFUNCTION("""COMPUTED_VALUE"""),45064.520557581)</f>
        <v>45064.52056</v>
      </c>
      <c r="D7590" s="15">
        <f>IFERROR(__xludf.DUMMYFUNCTION("""COMPUTED_VALUE"""),1.014)</f>
        <v>1.014</v>
      </c>
      <c r="E7590" s="16">
        <f>IFERROR(__xludf.DUMMYFUNCTION("""COMPUTED_VALUE"""),64.0)</f>
        <v>64</v>
      </c>
      <c r="F7590" s="19" t="str">
        <f>IFERROR(__xludf.DUMMYFUNCTION("""COMPUTED_VALUE"""),"BLUE")</f>
        <v>BLUE</v>
      </c>
      <c r="G7590" s="20" t="str">
        <f>IFERROR(__xludf.DUMMYFUNCTION("""COMPUTED_VALUE"""),"Uncle Sams Cider (04/04/2023)")</f>
        <v>Uncle Sams Cider (04/04/2023)</v>
      </c>
      <c r="H7590" s="19"/>
    </row>
    <row r="7591">
      <c r="A7591" s="9"/>
      <c r="B7591" s="15"/>
      <c r="C7591" s="9">
        <f>IFERROR(__xludf.DUMMYFUNCTION("""COMPUTED_VALUE"""),45064.5101374884)</f>
        <v>45064.51014</v>
      </c>
      <c r="D7591" s="15">
        <f>IFERROR(__xludf.DUMMYFUNCTION("""COMPUTED_VALUE"""),1.014)</f>
        <v>1.014</v>
      </c>
      <c r="E7591" s="16">
        <f>IFERROR(__xludf.DUMMYFUNCTION("""COMPUTED_VALUE"""),64.0)</f>
        <v>64</v>
      </c>
      <c r="F7591" s="19" t="str">
        <f>IFERROR(__xludf.DUMMYFUNCTION("""COMPUTED_VALUE"""),"BLUE")</f>
        <v>BLUE</v>
      </c>
      <c r="G7591" s="20" t="str">
        <f>IFERROR(__xludf.DUMMYFUNCTION("""COMPUTED_VALUE"""),"Uncle Sams Cider (04/04/2023)")</f>
        <v>Uncle Sams Cider (04/04/2023)</v>
      </c>
      <c r="H7591" s="19"/>
    </row>
    <row r="7592">
      <c r="A7592" s="9"/>
      <c r="B7592" s="15"/>
      <c r="C7592" s="9">
        <f>IFERROR(__xludf.DUMMYFUNCTION("""COMPUTED_VALUE"""),45064.4997162731)</f>
        <v>45064.49972</v>
      </c>
      <c r="D7592" s="15">
        <f>IFERROR(__xludf.DUMMYFUNCTION("""COMPUTED_VALUE"""),1.014)</f>
        <v>1.014</v>
      </c>
      <c r="E7592" s="16">
        <f>IFERROR(__xludf.DUMMYFUNCTION("""COMPUTED_VALUE"""),65.0)</f>
        <v>65</v>
      </c>
      <c r="F7592" s="19" t="str">
        <f>IFERROR(__xludf.DUMMYFUNCTION("""COMPUTED_VALUE"""),"BLUE")</f>
        <v>BLUE</v>
      </c>
      <c r="G7592" s="20" t="str">
        <f>IFERROR(__xludf.DUMMYFUNCTION("""COMPUTED_VALUE"""),"Uncle Sams Cider (04/04/2023)")</f>
        <v>Uncle Sams Cider (04/04/2023)</v>
      </c>
      <c r="H7592" s="19"/>
    </row>
    <row r="7593">
      <c r="A7593" s="9"/>
      <c r="B7593" s="15"/>
      <c r="C7593" s="9">
        <f>IFERROR(__xludf.DUMMYFUNCTION("""COMPUTED_VALUE"""),45064.489296655)</f>
        <v>45064.4893</v>
      </c>
      <c r="D7593" s="15">
        <f>IFERROR(__xludf.DUMMYFUNCTION("""COMPUTED_VALUE"""),1.014)</f>
        <v>1.014</v>
      </c>
      <c r="E7593" s="16">
        <f>IFERROR(__xludf.DUMMYFUNCTION("""COMPUTED_VALUE"""),65.0)</f>
        <v>65</v>
      </c>
      <c r="F7593" s="19" t="str">
        <f>IFERROR(__xludf.DUMMYFUNCTION("""COMPUTED_VALUE"""),"BLUE")</f>
        <v>BLUE</v>
      </c>
      <c r="G7593" s="20" t="str">
        <f>IFERROR(__xludf.DUMMYFUNCTION("""COMPUTED_VALUE"""),"Uncle Sams Cider (04/04/2023)")</f>
        <v>Uncle Sams Cider (04/04/2023)</v>
      </c>
      <c r="H7593" s="19"/>
    </row>
    <row r="7594">
      <c r="A7594" s="9"/>
      <c r="B7594" s="15"/>
      <c r="C7594" s="9">
        <f>IFERROR(__xludf.DUMMYFUNCTION("""COMPUTED_VALUE"""),45064.4788751157)</f>
        <v>45064.47888</v>
      </c>
      <c r="D7594" s="15">
        <f>IFERROR(__xludf.DUMMYFUNCTION("""COMPUTED_VALUE"""),1.014)</f>
        <v>1.014</v>
      </c>
      <c r="E7594" s="16">
        <f>IFERROR(__xludf.DUMMYFUNCTION("""COMPUTED_VALUE"""),64.0)</f>
        <v>64</v>
      </c>
      <c r="F7594" s="19" t="str">
        <f>IFERROR(__xludf.DUMMYFUNCTION("""COMPUTED_VALUE"""),"BLUE")</f>
        <v>BLUE</v>
      </c>
      <c r="G7594" s="20" t="str">
        <f>IFERROR(__xludf.DUMMYFUNCTION("""COMPUTED_VALUE"""),"Uncle Sams Cider (04/04/2023)")</f>
        <v>Uncle Sams Cider (04/04/2023)</v>
      </c>
      <c r="H7594" s="19"/>
    </row>
    <row r="7595">
      <c r="A7595" s="9"/>
      <c r="B7595" s="15"/>
      <c r="C7595" s="9">
        <f>IFERROR(__xludf.DUMMYFUNCTION("""COMPUTED_VALUE"""),45064.4684547916)</f>
        <v>45064.46845</v>
      </c>
      <c r="D7595" s="15">
        <f>IFERROR(__xludf.DUMMYFUNCTION("""COMPUTED_VALUE"""),1.014)</f>
        <v>1.014</v>
      </c>
      <c r="E7595" s="16">
        <f>IFERROR(__xludf.DUMMYFUNCTION("""COMPUTED_VALUE"""),65.0)</f>
        <v>65</v>
      </c>
      <c r="F7595" s="19" t="str">
        <f>IFERROR(__xludf.DUMMYFUNCTION("""COMPUTED_VALUE"""),"BLUE")</f>
        <v>BLUE</v>
      </c>
      <c r="G7595" s="20" t="str">
        <f>IFERROR(__xludf.DUMMYFUNCTION("""COMPUTED_VALUE"""),"Uncle Sams Cider (04/04/2023)")</f>
        <v>Uncle Sams Cider (04/04/2023)</v>
      </c>
      <c r="H7595" s="19"/>
    </row>
    <row r="7596">
      <c r="A7596" s="9"/>
      <c r="B7596" s="15"/>
      <c r="C7596" s="9">
        <f>IFERROR(__xludf.DUMMYFUNCTION("""COMPUTED_VALUE"""),45064.4580329976)</f>
        <v>45064.45803</v>
      </c>
      <c r="D7596" s="15">
        <f>IFERROR(__xludf.DUMMYFUNCTION("""COMPUTED_VALUE"""),1.014)</f>
        <v>1.014</v>
      </c>
      <c r="E7596" s="16">
        <f>IFERROR(__xludf.DUMMYFUNCTION("""COMPUTED_VALUE"""),65.0)</f>
        <v>65</v>
      </c>
      <c r="F7596" s="19" t="str">
        <f>IFERROR(__xludf.DUMMYFUNCTION("""COMPUTED_VALUE"""),"BLUE")</f>
        <v>BLUE</v>
      </c>
      <c r="G7596" s="20" t="str">
        <f>IFERROR(__xludf.DUMMYFUNCTION("""COMPUTED_VALUE"""),"Uncle Sams Cider (04/04/2023)")</f>
        <v>Uncle Sams Cider (04/04/2023)</v>
      </c>
      <c r="H7596" s="19"/>
    </row>
    <row r="7597">
      <c r="A7597" s="9"/>
      <c r="B7597" s="15"/>
      <c r="C7597" s="9">
        <f>IFERROR(__xludf.DUMMYFUNCTION("""COMPUTED_VALUE"""),45064.4476112152)</f>
        <v>45064.44761</v>
      </c>
      <c r="D7597" s="15">
        <f>IFERROR(__xludf.DUMMYFUNCTION("""COMPUTED_VALUE"""),1.014)</f>
        <v>1.014</v>
      </c>
      <c r="E7597" s="16">
        <f>IFERROR(__xludf.DUMMYFUNCTION("""COMPUTED_VALUE"""),65.0)</f>
        <v>65</v>
      </c>
      <c r="F7597" s="19" t="str">
        <f>IFERROR(__xludf.DUMMYFUNCTION("""COMPUTED_VALUE"""),"BLUE")</f>
        <v>BLUE</v>
      </c>
      <c r="G7597" s="20" t="str">
        <f>IFERROR(__xludf.DUMMYFUNCTION("""COMPUTED_VALUE"""),"Uncle Sams Cider (04/04/2023)")</f>
        <v>Uncle Sams Cider (04/04/2023)</v>
      </c>
      <c r="H7597" s="19"/>
    </row>
    <row r="7598">
      <c r="A7598" s="9"/>
      <c r="B7598" s="15"/>
      <c r="C7598" s="9">
        <f>IFERROR(__xludf.DUMMYFUNCTION("""COMPUTED_VALUE"""),45064.4371898958)</f>
        <v>45064.43719</v>
      </c>
      <c r="D7598" s="15">
        <f>IFERROR(__xludf.DUMMYFUNCTION("""COMPUTED_VALUE"""),1.014)</f>
        <v>1.014</v>
      </c>
      <c r="E7598" s="16">
        <f>IFERROR(__xludf.DUMMYFUNCTION("""COMPUTED_VALUE"""),65.0)</f>
        <v>65</v>
      </c>
      <c r="F7598" s="19" t="str">
        <f>IFERROR(__xludf.DUMMYFUNCTION("""COMPUTED_VALUE"""),"BLUE")</f>
        <v>BLUE</v>
      </c>
      <c r="G7598" s="20" t="str">
        <f>IFERROR(__xludf.DUMMYFUNCTION("""COMPUTED_VALUE"""),"Uncle Sams Cider (04/04/2023)")</f>
        <v>Uncle Sams Cider (04/04/2023)</v>
      </c>
      <c r="H7598" s="19"/>
    </row>
    <row r="7599">
      <c r="A7599" s="9"/>
      <c r="B7599" s="15"/>
      <c r="C7599" s="9">
        <f>IFERROR(__xludf.DUMMYFUNCTION("""COMPUTED_VALUE"""),45064.4267668981)</f>
        <v>45064.42677</v>
      </c>
      <c r="D7599" s="15">
        <f>IFERROR(__xludf.DUMMYFUNCTION("""COMPUTED_VALUE"""),1.014)</f>
        <v>1.014</v>
      </c>
      <c r="E7599" s="16">
        <f>IFERROR(__xludf.DUMMYFUNCTION("""COMPUTED_VALUE"""),65.0)</f>
        <v>65</v>
      </c>
      <c r="F7599" s="19" t="str">
        <f>IFERROR(__xludf.DUMMYFUNCTION("""COMPUTED_VALUE"""),"BLUE")</f>
        <v>BLUE</v>
      </c>
      <c r="G7599" s="20" t="str">
        <f>IFERROR(__xludf.DUMMYFUNCTION("""COMPUTED_VALUE"""),"Uncle Sams Cider (04/04/2023)")</f>
        <v>Uncle Sams Cider (04/04/2023)</v>
      </c>
      <c r="H7599" s="19"/>
    </row>
    <row r="7600">
      <c r="A7600" s="9"/>
      <c r="B7600" s="15"/>
      <c r="C7600" s="9">
        <f>IFERROR(__xludf.DUMMYFUNCTION("""COMPUTED_VALUE"""),45064.416345243)</f>
        <v>45064.41635</v>
      </c>
      <c r="D7600" s="15">
        <f>IFERROR(__xludf.DUMMYFUNCTION("""COMPUTED_VALUE"""),1.014)</f>
        <v>1.014</v>
      </c>
      <c r="E7600" s="16">
        <f>IFERROR(__xludf.DUMMYFUNCTION("""COMPUTED_VALUE"""),65.0)</f>
        <v>65</v>
      </c>
      <c r="F7600" s="19" t="str">
        <f>IFERROR(__xludf.DUMMYFUNCTION("""COMPUTED_VALUE"""),"BLUE")</f>
        <v>BLUE</v>
      </c>
      <c r="G7600" s="20" t="str">
        <f>IFERROR(__xludf.DUMMYFUNCTION("""COMPUTED_VALUE"""),"Uncle Sams Cider (04/04/2023)")</f>
        <v>Uncle Sams Cider (04/04/2023)</v>
      </c>
      <c r="H7600" s="19"/>
    </row>
    <row r="7601">
      <c r="A7601" s="9"/>
      <c r="B7601" s="15"/>
      <c r="C7601" s="9">
        <f>IFERROR(__xludf.DUMMYFUNCTION("""COMPUTED_VALUE"""),45064.4059242129)</f>
        <v>45064.40592</v>
      </c>
      <c r="D7601" s="15">
        <f>IFERROR(__xludf.DUMMYFUNCTION("""COMPUTED_VALUE"""),1.014)</f>
        <v>1.014</v>
      </c>
      <c r="E7601" s="16">
        <f>IFERROR(__xludf.DUMMYFUNCTION("""COMPUTED_VALUE"""),65.0)</f>
        <v>65</v>
      </c>
      <c r="F7601" s="19" t="str">
        <f>IFERROR(__xludf.DUMMYFUNCTION("""COMPUTED_VALUE"""),"BLUE")</f>
        <v>BLUE</v>
      </c>
      <c r="G7601" s="20" t="str">
        <f>IFERROR(__xludf.DUMMYFUNCTION("""COMPUTED_VALUE"""),"Uncle Sams Cider (04/04/2023)")</f>
        <v>Uncle Sams Cider (04/04/2023)</v>
      </c>
      <c r="H7601" s="19"/>
    </row>
    <row r="7602">
      <c r="A7602" s="9"/>
      <c r="B7602" s="15"/>
      <c r="C7602" s="9">
        <f>IFERROR(__xludf.DUMMYFUNCTION("""COMPUTED_VALUE"""),45064.3954934027)</f>
        <v>45064.39549</v>
      </c>
      <c r="D7602" s="15">
        <f>IFERROR(__xludf.DUMMYFUNCTION("""COMPUTED_VALUE"""),1.014)</f>
        <v>1.014</v>
      </c>
      <c r="E7602" s="16">
        <f>IFERROR(__xludf.DUMMYFUNCTION("""COMPUTED_VALUE"""),65.0)</f>
        <v>65</v>
      </c>
      <c r="F7602" s="19" t="str">
        <f>IFERROR(__xludf.DUMMYFUNCTION("""COMPUTED_VALUE"""),"BLUE")</f>
        <v>BLUE</v>
      </c>
      <c r="G7602" s="20" t="str">
        <f>IFERROR(__xludf.DUMMYFUNCTION("""COMPUTED_VALUE"""),"Uncle Sams Cider (04/04/2023)")</f>
        <v>Uncle Sams Cider (04/04/2023)</v>
      </c>
      <c r="H7602" s="19"/>
    </row>
    <row r="7603">
      <c r="A7603" s="9"/>
      <c r="B7603" s="15"/>
      <c r="C7603" s="9">
        <f>IFERROR(__xludf.DUMMYFUNCTION("""COMPUTED_VALUE"""),45064.3850717939)</f>
        <v>45064.38507</v>
      </c>
      <c r="D7603" s="15">
        <f>IFERROR(__xludf.DUMMYFUNCTION("""COMPUTED_VALUE"""),1.014)</f>
        <v>1.014</v>
      </c>
      <c r="E7603" s="16">
        <f>IFERROR(__xludf.DUMMYFUNCTION("""COMPUTED_VALUE"""),65.0)</f>
        <v>65</v>
      </c>
      <c r="F7603" s="19" t="str">
        <f>IFERROR(__xludf.DUMMYFUNCTION("""COMPUTED_VALUE"""),"BLUE")</f>
        <v>BLUE</v>
      </c>
      <c r="G7603" s="20" t="str">
        <f>IFERROR(__xludf.DUMMYFUNCTION("""COMPUTED_VALUE"""),"Uncle Sams Cider (04/04/2023)")</f>
        <v>Uncle Sams Cider (04/04/2023)</v>
      </c>
      <c r="H7603" s="19"/>
    </row>
    <row r="7604">
      <c r="A7604" s="9"/>
      <c r="B7604" s="15"/>
      <c r="C7604" s="9">
        <f>IFERROR(__xludf.DUMMYFUNCTION("""COMPUTED_VALUE"""),45064.3746486342)</f>
        <v>45064.37465</v>
      </c>
      <c r="D7604" s="15">
        <f>IFERROR(__xludf.DUMMYFUNCTION("""COMPUTED_VALUE"""),1.014)</f>
        <v>1.014</v>
      </c>
      <c r="E7604" s="16">
        <f>IFERROR(__xludf.DUMMYFUNCTION("""COMPUTED_VALUE"""),65.0)</f>
        <v>65</v>
      </c>
      <c r="F7604" s="19" t="str">
        <f>IFERROR(__xludf.DUMMYFUNCTION("""COMPUTED_VALUE"""),"BLUE")</f>
        <v>BLUE</v>
      </c>
      <c r="G7604" s="20" t="str">
        <f>IFERROR(__xludf.DUMMYFUNCTION("""COMPUTED_VALUE"""),"Uncle Sams Cider (04/04/2023)")</f>
        <v>Uncle Sams Cider (04/04/2023)</v>
      </c>
      <c r="H7604" s="19"/>
    </row>
    <row r="7605">
      <c r="A7605" s="9"/>
      <c r="B7605" s="15"/>
      <c r="C7605" s="9">
        <f>IFERROR(__xludf.DUMMYFUNCTION("""COMPUTED_VALUE"""),45064.3642284143)</f>
        <v>45064.36423</v>
      </c>
      <c r="D7605" s="15">
        <f>IFERROR(__xludf.DUMMYFUNCTION("""COMPUTED_VALUE"""),1.014)</f>
        <v>1.014</v>
      </c>
      <c r="E7605" s="16">
        <f>IFERROR(__xludf.DUMMYFUNCTION("""COMPUTED_VALUE"""),65.0)</f>
        <v>65</v>
      </c>
      <c r="F7605" s="19" t="str">
        <f>IFERROR(__xludf.DUMMYFUNCTION("""COMPUTED_VALUE"""),"BLUE")</f>
        <v>BLUE</v>
      </c>
      <c r="G7605" s="20" t="str">
        <f>IFERROR(__xludf.DUMMYFUNCTION("""COMPUTED_VALUE"""),"Uncle Sams Cider (04/04/2023)")</f>
        <v>Uncle Sams Cider (04/04/2023)</v>
      </c>
      <c r="H7605" s="19"/>
    </row>
    <row r="7606">
      <c r="A7606" s="9"/>
      <c r="B7606" s="15"/>
      <c r="C7606" s="9">
        <f>IFERROR(__xludf.DUMMYFUNCTION("""COMPUTED_VALUE"""),45064.3538073379)</f>
        <v>45064.35381</v>
      </c>
      <c r="D7606" s="15">
        <f>IFERROR(__xludf.DUMMYFUNCTION("""COMPUTED_VALUE"""),1.014)</f>
        <v>1.014</v>
      </c>
      <c r="E7606" s="16">
        <f>IFERROR(__xludf.DUMMYFUNCTION("""COMPUTED_VALUE"""),65.0)</f>
        <v>65</v>
      </c>
      <c r="F7606" s="19" t="str">
        <f>IFERROR(__xludf.DUMMYFUNCTION("""COMPUTED_VALUE"""),"BLUE")</f>
        <v>BLUE</v>
      </c>
      <c r="G7606" s="20" t="str">
        <f>IFERROR(__xludf.DUMMYFUNCTION("""COMPUTED_VALUE"""),"Uncle Sams Cider (04/04/2023)")</f>
        <v>Uncle Sams Cider (04/04/2023)</v>
      </c>
      <c r="H7606" s="19"/>
    </row>
    <row r="7607">
      <c r="A7607" s="9"/>
      <c r="B7607" s="15"/>
      <c r="C7607" s="9">
        <f>IFERROR(__xludf.DUMMYFUNCTION("""COMPUTED_VALUE"""),45064.3433865856)</f>
        <v>45064.34339</v>
      </c>
      <c r="D7607" s="15">
        <f>IFERROR(__xludf.DUMMYFUNCTION("""COMPUTED_VALUE"""),1.014)</f>
        <v>1.014</v>
      </c>
      <c r="E7607" s="16">
        <f>IFERROR(__xludf.DUMMYFUNCTION("""COMPUTED_VALUE"""),65.0)</f>
        <v>65</v>
      </c>
      <c r="F7607" s="19" t="str">
        <f>IFERROR(__xludf.DUMMYFUNCTION("""COMPUTED_VALUE"""),"BLUE")</f>
        <v>BLUE</v>
      </c>
      <c r="G7607" s="20" t="str">
        <f>IFERROR(__xludf.DUMMYFUNCTION("""COMPUTED_VALUE"""),"Uncle Sams Cider (04/04/2023)")</f>
        <v>Uncle Sams Cider (04/04/2023)</v>
      </c>
      <c r="H7607" s="19"/>
    </row>
    <row r="7608">
      <c r="A7608" s="9"/>
      <c r="B7608" s="15"/>
      <c r="C7608" s="9">
        <f>IFERROR(__xludf.DUMMYFUNCTION("""COMPUTED_VALUE"""),45064.3329648726)</f>
        <v>45064.33296</v>
      </c>
      <c r="D7608" s="15">
        <f>IFERROR(__xludf.DUMMYFUNCTION("""COMPUTED_VALUE"""),1.014)</f>
        <v>1.014</v>
      </c>
      <c r="E7608" s="16">
        <f>IFERROR(__xludf.DUMMYFUNCTION("""COMPUTED_VALUE"""),65.0)</f>
        <v>65</v>
      </c>
      <c r="F7608" s="19" t="str">
        <f>IFERROR(__xludf.DUMMYFUNCTION("""COMPUTED_VALUE"""),"BLUE")</f>
        <v>BLUE</v>
      </c>
      <c r="G7608" s="20" t="str">
        <f>IFERROR(__xludf.DUMMYFUNCTION("""COMPUTED_VALUE"""),"Uncle Sams Cider (04/04/2023)")</f>
        <v>Uncle Sams Cider (04/04/2023)</v>
      </c>
      <c r="H7608" s="19"/>
    </row>
    <row r="7609">
      <c r="A7609" s="9"/>
      <c r="B7609" s="15"/>
      <c r="C7609" s="9">
        <f>IFERROR(__xludf.DUMMYFUNCTION("""COMPUTED_VALUE"""),45064.3225442245)</f>
        <v>45064.32254</v>
      </c>
      <c r="D7609" s="15">
        <f>IFERROR(__xludf.DUMMYFUNCTION("""COMPUTED_VALUE"""),1.014)</f>
        <v>1.014</v>
      </c>
      <c r="E7609" s="16">
        <f>IFERROR(__xludf.DUMMYFUNCTION("""COMPUTED_VALUE"""),65.0)</f>
        <v>65</v>
      </c>
      <c r="F7609" s="19" t="str">
        <f>IFERROR(__xludf.DUMMYFUNCTION("""COMPUTED_VALUE"""),"BLUE")</f>
        <v>BLUE</v>
      </c>
      <c r="G7609" s="20" t="str">
        <f>IFERROR(__xludf.DUMMYFUNCTION("""COMPUTED_VALUE"""),"Uncle Sams Cider (04/04/2023)")</f>
        <v>Uncle Sams Cider (04/04/2023)</v>
      </c>
      <c r="H7609" s="19"/>
    </row>
    <row r="7610">
      <c r="A7610" s="9"/>
      <c r="B7610" s="15"/>
      <c r="C7610" s="9">
        <f>IFERROR(__xludf.DUMMYFUNCTION("""COMPUTED_VALUE"""),45064.312124074)</f>
        <v>45064.31212</v>
      </c>
      <c r="D7610" s="15">
        <f>IFERROR(__xludf.DUMMYFUNCTION("""COMPUTED_VALUE"""),1.014)</f>
        <v>1.014</v>
      </c>
      <c r="E7610" s="16">
        <f>IFERROR(__xludf.DUMMYFUNCTION("""COMPUTED_VALUE"""),65.0)</f>
        <v>65</v>
      </c>
      <c r="F7610" s="19" t="str">
        <f>IFERROR(__xludf.DUMMYFUNCTION("""COMPUTED_VALUE"""),"BLUE")</f>
        <v>BLUE</v>
      </c>
      <c r="G7610" s="20" t="str">
        <f>IFERROR(__xludf.DUMMYFUNCTION("""COMPUTED_VALUE"""),"Uncle Sams Cider (04/04/2023)")</f>
        <v>Uncle Sams Cider (04/04/2023)</v>
      </c>
      <c r="H7610" s="19"/>
    </row>
    <row r="7611">
      <c r="A7611" s="9"/>
      <c r="B7611" s="15"/>
      <c r="C7611" s="9">
        <f>IFERROR(__xludf.DUMMYFUNCTION("""COMPUTED_VALUE"""),45064.3017033101)</f>
        <v>45064.3017</v>
      </c>
      <c r="D7611" s="15">
        <f>IFERROR(__xludf.DUMMYFUNCTION("""COMPUTED_VALUE"""),1.014)</f>
        <v>1.014</v>
      </c>
      <c r="E7611" s="16">
        <f>IFERROR(__xludf.DUMMYFUNCTION("""COMPUTED_VALUE"""),65.0)</f>
        <v>65</v>
      </c>
      <c r="F7611" s="19" t="str">
        <f>IFERROR(__xludf.DUMMYFUNCTION("""COMPUTED_VALUE"""),"BLUE")</f>
        <v>BLUE</v>
      </c>
      <c r="G7611" s="20" t="str">
        <f>IFERROR(__xludf.DUMMYFUNCTION("""COMPUTED_VALUE"""),"Uncle Sams Cider (04/04/2023)")</f>
        <v>Uncle Sams Cider (04/04/2023)</v>
      </c>
      <c r="H7611" s="19"/>
    </row>
    <row r="7612">
      <c r="A7612" s="9"/>
      <c r="B7612" s="15"/>
      <c r="C7612" s="9">
        <f>IFERROR(__xludf.DUMMYFUNCTION("""COMPUTED_VALUE"""),45064.2912830092)</f>
        <v>45064.29128</v>
      </c>
      <c r="D7612" s="15">
        <f>IFERROR(__xludf.DUMMYFUNCTION("""COMPUTED_VALUE"""),1.014)</f>
        <v>1.014</v>
      </c>
      <c r="E7612" s="16">
        <f>IFERROR(__xludf.DUMMYFUNCTION("""COMPUTED_VALUE"""),65.0)</f>
        <v>65</v>
      </c>
      <c r="F7612" s="19" t="str">
        <f>IFERROR(__xludf.DUMMYFUNCTION("""COMPUTED_VALUE"""),"BLUE")</f>
        <v>BLUE</v>
      </c>
      <c r="G7612" s="20" t="str">
        <f>IFERROR(__xludf.DUMMYFUNCTION("""COMPUTED_VALUE"""),"Uncle Sams Cider (04/04/2023)")</f>
        <v>Uncle Sams Cider (04/04/2023)</v>
      </c>
      <c r="H7612" s="19"/>
    </row>
    <row r="7613">
      <c r="A7613" s="9"/>
      <c r="B7613" s="15"/>
      <c r="C7613" s="9">
        <f>IFERROR(__xludf.DUMMYFUNCTION("""COMPUTED_VALUE"""),45064.2808618402)</f>
        <v>45064.28086</v>
      </c>
      <c r="D7613" s="15">
        <f>IFERROR(__xludf.DUMMYFUNCTION("""COMPUTED_VALUE"""),1.014)</f>
        <v>1.014</v>
      </c>
      <c r="E7613" s="16">
        <f>IFERROR(__xludf.DUMMYFUNCTION("""COMPUTED_VALUE"""),65.0)</f>
        <v>65</v>
      </c>
      <c r="F7613" s="19" t="str">
        <f>IFERROR(__xludf.DUMMYFUNCTION("""COMPUTED_VALUE"""),"BLUE")</f>
        <v>BLUE</v>
      </c>
      <c r="G7613" s="20" t="str">
        <f>IFERROR(__xludf.DUMMYFUNCTION("""COMPUTED_VALUE"""),"Uncle Sams Cider (04/04/2023)")</f>
        <v>Uncle Sams Cider (04/04/2023)</v>
      </c>
      <c r="H7613" s="19"/>
    </row>
    <row r="7614">
      <c r="A7614" s="9"/>
      <c r="B7614" s="15"/>
      <c r="C7614" s="9">
        <f>IFERROR(__xludf.DUMMYFUNCTION("""COMPUTED_VALUE"""),45064.2704404861)</f>
        <v>45064.27044</v>
      </c>
      <c r="D7614" s="15">
        <f>IFERROR(__xludf.DUMMYFUNCTION("""COMPUTED_VALUE"""),1.014)</f>
        <v>1.014</v>
      </c>
      <c r="E7614" s="16">
        <f>IFERROR(__xludf.DUMMYFUNCTION("""COMPUTED_VALUE"""),65.0)</f>
        <v>65</v>
      </c>
      <c r="F7614" s="19" t="str">
        <f>IFERROR(__xludf.DUMMYFUNCTION("""COMPUTED_VALUE"""),"BLUE")</f>
        <v>BLUE</v>
      </c>
      <c r="G7614" s="20" t="str">
        <f>IFERROR(__xludf.DUMMYFUNCTION("""COMPUTED_VALUE"""),"Uncle Sams Cider (04/04/2023)")</f>
        <v>Uncle Sams Cider (04/04/2023)</v>
      </c>
      <c r="H7614" s="19"/>
    </row>
    <row r="7615">
      <c r="A7615" s="9"/>
      <c r="B7615" s="15"/>
      <c r="C7615" s="9">
        <f>IFERROR(__xludf.DUMMYFUNCTION("""COMPUTED_VALUE"""),45064.260018287)</f>
        <v>45064.26002</v>
      </c>
      <c r="D7615" s="15">
        <f>IFERROR(__xludf.DUMMYFUNCTION("""COMPUTED_VALUE"""),1.014)</f>
        <v>1.014</v>
      </c>
      <c r="E7615" s="16">
        <f>IFERROR(__xludf.DUMMYFUNCTION("""COMPUTED_VALUE"""),65.0)</f>
        <v>65</v>
      </c>
      <c r="F7615" s="19" t="str">
        <f>IFERROR(__xludf.DUMMYFUNCTION("""COMPUTED_VALUE"""),"BLUE")</f>
        <v>BLUE</v>
      </c>
      <c r="G7615" s="20" t="str">
        <f>IFERROR(__xludf.DUMMYFUNCTION("""COMPUTED_VALUE"""),"Uncle Sams Cider (04/04/2023)")</f>
        <v>Uncle Sams Cider (04/04/2023)</v>
      </c>
      <c r="H7615" s="19"/>
    </row>
    <row r="7616">
      <c r="A7616" s="9"/>
      <c r="B7616" s="15"/>
      <c r="C7616" s="9">
        <f>IFERROR(__xludf.DUMMYFUNCTION("""COMPUTED_VALUE"""),45064.2495972453)</f>
        <v>45064.2496</v>
      </c>
      <c r="D7616" s="15">
        <f>IFERROR(__xludf.DUMMYFUNCTION("""COMPUTED_VALUE"""),1.014)</f>
        <v>1.014</v>
      </c>
      <c r="E7616" s="16">
        <f>IFERROR(__xludf.DUMMYFUNCTION("""COMPUTED_VALUE"""),65.0)</f>
        <v>65</v>
      </c>
      <c r="F7616" s="19" t="str">
        <f>IFERROR(__xludf.DUMMYFUNCTION("""COMPUTED_VALUE"""),"BLUE")</f>
        <v>BLUE</v>
      </c>
      <c r="G7616" s="20" t="str">
        <f>IFERROR(__xludf.DUMMYFUNCTION("""COMPUTED_VALUE"""),"Uncle Sams Cider (04/04/2023)")</f>
        <v>Uncle Sams Cider (04/04/2023)</v>
      </c>
      <c r="H7616" s="19"/>
    </row>
    <row r="7617">
      <c r="A7617" s="9"/>
      <c r="B7617" s="15"/>
      <c r="C7617" s="9">
        <f>IFERROR(__xludf.DUMMYFUNCTION("""COMPUTED_VALUE"""),45064.2391755902)</f>
        <v>45064.23918</v>
      </c>
      <c r="D7617" s="15">
        <f>IFERROR(__xludf.DUMMYFUNCTION("""COMPUTED_VALUE"""),1.014)</f>
        <v>1.014</v>
      </c>
      <c r="E7617" s="16">
        <f>IFERROR(__xludf.DUMMYFUNCTION("""COMPUTED_VALUE"""),65.0)</f>
        <v>65</v>
      </c>
      <c r="F7617" s="19" t="str">
        <f>IFERROR(__xludf.DUMMYFUNCTION("""COMPUTED_VALUE"""),"BLUE")</f>
        <v>BLUE</v>
      </c>
      <c r="G7617" s="20" t="str">
        <f>IFERROR(__xludf.DUMMYFUNCTION("""COMPUTED_VALUE"""),"Uncle Sams Cider (04/04/2023)")</f>
        <v>Uncle Sams Cider (04/04/2023)</v>
      </c>
      <c r="H7617" s="19"/>
    </row>
    <row r="7618">
      <c r="A7618" s="9"/>
      <c r="B7618" s="15"/>
      <c r="C7618" s="9">
        <f>IFERROR(__xludf.DUMMYFUNCTION("""COMPUTED_VALUE"""),45064.2287560185)</f>
        <v>45064.22876</v>
      </c>
      <c r="D7618" s="15">
        <f>IFERROR(__xludf.DUMMYFUNCTION("""COMPUTED_VALUE"""),1.014)</f>
        <v>1.014</v>
      </c>
      <c r="E7618" s="16">
        <f>IFERROR(__xludf.DUMMYFUNCTION("""COMPUTED_VALUE"""),65.0)</f>
        <v>65</v>
      </c>
      <c r="F7618" s="19" t="str">
        <f>IFERROR(__xludf.DUMMYFUNCTION("""COMPUTED_VALUE"""),"BLUE")</f>
        <v>BLUE</v>
      </c>
      <c r="G7618" s="20" t="str">
        <f>IFERROR(__xludf.DUMMYFUNCTION("""COMPUTED_VALUE"""),"Uncle Sams Cider (04/04/2023)")</f>
        <v>Uncle Sams Cider (04/04/2023)</v>
      </c>
      <c r="H7618" s="19"/>
    </row>
    <row r="7619">
      <c r="A7619" s="9"/>
      <c r="B7619" s="15"/>
      <c r="C7619" s="9">
        <f>IFERROR(__xludf.DUMMYFUNCTION("""COMPUTED_VALUE"""),45064.2183244907)</f>
        <v>45064.21832</v>
      </c>
      <c r="D7619" s="15">
        <f>IFERROR(__xludf.DUMMYFUNCTION("""COMPUTED_VALUE"""),1.014)</f>
        <v>1.014</v>
      </c>
      <c r="E7619" s="16">
        <f>IFERROR(__xludf.DUMMYFUNCTION("""COMPUTED_VALUE"""),65.0)</f>
        <v>65</v>
      </c>
      <c r="F7619" s="19" t="str">
        <f>IFERROR(__xludf.DUMMYFUNCTION("""COMPUTED_VALUE"""),"BLUE")</f>
        <v>BLUE</v>
      </c>
      <c r="G7619" s="20" t="str">
        <f>IFERROR(__xludf.DUMMYFUNCTION("""COMPUTED_VALUE"""),"Uncle Sams Cider (04/04/2023)")</f>
        <v>Uncle Sams Cider (04/04/2023)</v>
      </c>
      <c r="H7619" s="19"/>
    </row>
    <row r="7620">
      <c r="A7620" s="9"/>
      <c r="B7620" s="15"/>
      <c r="C7620" s="9">
        <f>IFERROR(__xludf.DUMMYFUNCTION("""COMPUTED_VALUE"""),45064.2078904861)</f>
        <v>45064.20789</v>
      </c>
      <c r="D7620" s="15">
        <f>IFERROR(__xludf.DUMMYFUNCTION("""COMPUTED_VALUE"""),1.014)</f>
        <v>1.014</v>
      </c>
      <c r="E7620" s="16">
        <f>IFERROR(__xludf.DUMMYFUNCTION("""COMPUTED_VALUE"""),65.0)</f>
        <v>65</v>
      </c>
      <c r="F7620" s="19" t="str">
        <f>IFERROR(__xludf.DUMMYFUNCTION("""COMPUTED_VALUE"""),"BLUE")</f>
        <v>BLUE</v>
      </c>
      <c r="G7620" s="20" t="str">
        <f>IFERROR(__xludf.DUMMYFUNCTION("""COMPUTED_VALUE"""),"Uncle Sams Cider (04/04/2023)")</f>
        <v>Uncle Sams Cider (04/04/2023)</v>
      </c>
      <c r="H7620" s="19"/>
    </row>
    <row r="7621">
      <c r="A7621" s="9"/>
      <c r="B7621" s="15"/>
      <c r="C7621" s="9">
        <f>IFERROR(__xludf.DUMMYFUNCTION("""COMPUTED_VALUE"""),45064.1974578819)</f>
        <v>45064.19746</v>
      </c>
      <c r="D7621" s="15">
        <f>IFERROR(__xludf.DUMMYFUNCTION("""COMPUTED_VALUE"""),1.014)</f>
        <v>1.014</v>
      </c>
      <c r="E7621" s="16">
        <f>IFERROR(__xludf.DUMMYFUNCTION("""COMPUTED_VALUE"""),65.0)</f>
        <v>65</v>
      </c>
      <c r="F7621" s="19" t="str">
        <f>IFERROR(__xludf.DUMMYFUNCTION("""COMPUTED_VALUE"""),"BLUE")</f>
        <v>BLUE</v>
      </c>
      <c r="G7621" s="20" t="str">
        <f>IFERROR(__xludf.DUMMYFUNCTION("""COMPUTED_VALUE"""),"Uncle Sams Cider (04/04/2023)")</f>
        <v>Uncle Sams Cider (04/04/2023)</v>
      </c>
      <c r="H7621" s="19"/>
    </row>
    <row r="7622">
      <c r="A7622" s="9"/>
      <c r="B7622" s="15"/>
      <c r="C7622" s="9">
        <f>IFERROR(__xludf.DUMMYFUNCTION("""COMPUTED_VALUE"""),45064.1870372453)</f>
        <v>45064.18704</v>
      </c>
      <c r="D7622" s="15">
        <f>IFERROR(__xludf.DUMMYFUNCTION("""COMPUTED_VALUE"""),1.014)</f>
        <v>1.014</v>
      </c>
      <c r="E7622" s="16">
        <f>IFERROR(__xludf.DUMMYFUNCTION("""COMPUTED_VALUE"""),65.0)</f>
        <v>65</v>
      </c>
      <c r="F7622" s="19" t="str">
        <f>IFERROR(__xludf.DUMMYFUNCTION("""COMPUTED_VALUE"""),"BLUE")</f>
        <v>BLUE</v>
      </c>
      <c r="G7622" s="20" t="str">
        <f>IFERROR(__xludf.DUMMYFUNCTION("""COMPUTED_VALUE"""),"Uncle Sams Cider (04/04/2023)")</f>
        <v>Uncle Sams Cider (04/04/2023)</v>
      </c>
      <c r="H7622" s="19"/>
    </row>
    <row r="7623">
      <c r="A7623" s="9"/>
      <c r="B7623" s="15"/>
      <c r="C7623" s="9">
        <f>IFERROR(__xludf.DUMMYFUNCTION("""COMPUTED_VALUE"""),45064.1766177083)</f>
        <v>45064.17662</v>
      </c>
      <c r="D7623" s="15">
        <f>IFERROR(__xludf.DUMMYFUNCTION("""COMPUTED_VALUE"""),1.014)</f>
        <v>1.014</v>
      </c>
      <c r="E7623" s="16">
        <f>IFERROR(__xludf.DUMMYFUNCTION("""COMPUTED_VALUE"""),65.0)</f>
        <v>65</v>
      </c>
      <c r="F7623" s="19" t="str">
        <f>IFERROR(__xludf.DUMMYFUNCTION("""COMPUTED_VALUE"""),"BLUE")</f>
        <v>BLUE</v>
      </c>
      <c r="G7623" s="20" t="str">
        <f>IFERROR(__xludf.DUMMYFUNCTION("""COMPUTED_VALUE"""),"Uncle Sams Cider (04/04/2023)")</f>
        <v>Uncle Sams Cider (04/04/2023)</v>
      </c>
      <c r="H7623" s="19"/>
    </row>
    <row r="7624">
      <c r="A7624" s="9"/>
      <c r="B7624" s="15"/>
      <c r="C7624" s="9">
        <f>IFERROR(__xludf.DUMMYFUNCTION("""COMPUTED_VALUE"""),45064.16619728)</f>
        <v>45064.1662</v>
      </c>
      <c r="D7624" s="15">
        <f>IFERROR(__xludf.DUMMYFUNCTION("""COMPUTED_VALUE"""),1.014)</f>
        <v>1.014</v>
      </c>
      <c r="E7624" s="16">
        <f>IFERROR(__xludf.DUMMYFUNCTION("""COMPUTED_VALUE"""),65.0)</f>
        <v>65</v>
      </c>
      <c r="F7624" s="19" t="str">
        <f>IFERROR(__xludf.DUMMYFUNCTION("""COMPUTED_VALUE"""),"BLUE")</f>
        <v>BLUE</v>
      </c>
      <c r="G7624" s="20" t="str">
        <f>IFERROR(__xludf.DUMMYFUNCTION("""COMPUTED_VALUE"""),"Uncle Sams Cider (04/04/2023)")</f>
        <v>Uncle Sams Cider (04/04/2023)</v>
      </c>
      <c r="H7624" s="19"/>
    </row>
    <row r="7625">
      <c r="A7625" s="9"/>
      <c r="B7625" s="15"/>
      <c r="C7625" s="9">
        <f>IFERROR(__xludf.DUMMYFUNCTION("""COMPUTED_VALUE"""),45064.1557758912)</f>
        <v>45064.15578</v>
      </c>
      <c r="D7625" s="15">
        <f>IFERROR(__xludf.DUMMYFUNCTION("""COMPUTED_VALUE"""),1.014)</f>
        <v>1.014</v>
      </c>
      <c r="E7625" s="16">
        <f>IFERROR(__xludf.DUMMYFUNCTION("""COMPUTED_VALUE"""),65.0)</f>
        <v>65</v>
      </c>
      <c r="F7625" s="19" t="str">
        <f>IFERROR(__xludf.DUMMYFUNCTION("""COMPUTED_VALUE"""),"BLUE")</f>
        <v>BLUE</v>
      </c>
      <c r="G7625" s="20" t="str">
        <f>IFERROR(__xludf.DUMMYFUNCTION("""COMPUTED_VALUE"""),"Uncle Sams Cider (04/04/2023)")</f>
        <v>Uncle Sams Cider (04/04/2023)</v>
      </c>
      <c r="H7625" s="19"/>
    </row>
    <row r="7626">
      <c r="A7626" s="9"/>
      <c r="B7626" s="15"/>
      <c r="C7626" s="9">
        <f>IFERROR(__xludf.DUMMYFUNCTION("""COMPUTED_VALUE"""),45064.1453430787)</f>
        <v>45064.14534</v>
      </c>
      <c r="D7626" s="15">
        <f>IFERROR(__xludf.DUMMYFUNCTION("""COMPUTED_VALUE"""),1.014)</f>
        <v>1.014</v>
      </c>
      <c r="E7626" s="16">
        <f>IFERROR(__xludf.DUMMYFUNCTION("""COMPUTED_VALUE"""),65.0)</f>
        <v>65</v>
      </c>
      <c r="F7626" s="19" t="str">
        <f>IFERROR(__xludf.DUMMYFUNCTION("""COMPUTED_VALUE"""),"BLUE")</f>
        <v>BLUE</v>
      </c>
      <c r="G7626" s="20" t="str">
        <f>IFERROR(__xludf.DUMMYFUNCTION("""COMPUTED_VALUE"""),"Uncle Sams Cider (04/04/2023)")</f>
        <v>Uncle Sams Cider (04/04/2023)</v>
      </c>
      <c r="H7626" s="19"/>
    </row>
    <row r="7627">
      <c r="A7627" s="9"/>
      <c r="B7627" s="15"/>
      <c r="C7627" s="9">
        <f>IFERROR(__xludf.DUMMYFUNCTION("""COMPUTED_VALUE"""),45064.1349222106)</f>
        <v>45064.13492</v>
      </c>
      <c r="D7627" s="15">
        <f>IFERROR(__xludf.DUMMYFUNCTION("""COMPUTED_VALUE"""),1.014)</f>
        <v>1.014</v>
      </c>
      <c r="E7627" s="16">
        <f>IFERROR(__xludf.DUMMYFUNCTION("""COMPUTED_VALUE"""),65.0)</f>
        <v>65</v>
      </c>
      <c r="F7627" s="19" t="str">
        <f>IFERROR(__xludf.DUMMYFUNCTION("""COMPUTED_VALUE"""),"BLUE")</f>
        <v>BLUE</v>
      </c>
      <c r="G7627" s="20" t="str">
        <f>IFERROR(__xludf.DUMMYFUNCTION("""COMPUTED_VALUE"""),"Uncle Sams Cider (04/04/2023)")</f>
        <v>Uncle Sams Cider (04/04/2023)</v>
      </c>
      <c r="H7627" s="19"/>
    </row>
    <row r="7628">
      <c r="A7628" s="9"/>
      <c r="B7628" s="15"/>
      <c r="C7628" s="9">
        <f>IFERROR(__xludf.DUMMYFUNCTION("""COMPUTED_VALUE"""),45064.1245023263)</f>
        <v>45064.1245</v>
      </c>
      <c r="D7628" s="15">
        <f>IFERROR(__xludf.DUMMYFUNCTION("""COMPUTED_VALUE"""),1.014)</f>
        <v>1.014</v>
      </c>
      <c r="E7628" s="16">
        <f>IFERROR(__xludf.DUMMYFUNCTION("""COMPUTED_VALUE"""),65.0)</f>
        <v>65</v>
      </c>
      <c r="F7628" s="19" t="str">
        <f>IFERROR(__xludf.DUMMYFUNCTION("""COMPUTED_VALUE"""),"BLUE")</f>
        <v>BLUE</v>
      </c>
      <c r="G7628" s="20" t="str">
        <f>IFERROR(__xludf.DUMMYFUNCTION("""COMPUTED_VALUE"""),"Uncle Sams Cider (04/04/2023)")</f>
        <v>Uncle Sams Cider (04/04/2023)</v>
      </c>
      <c r="H7628" s="19"/>
    </row>
    <row r="7629">
      <c r="A7629" s="9"/>
      <c r="B7629" s="15"/>
      <c r="C7629" s="9">
        <f>IFERROR(__xludf.DUMMYFUNCTION("""COMPUTED_VALUE"""),45064.1140695949)</f>
        <v>45064.11407</v>
      </c>
      <c r="D7629" s="15">
        <f>IFERROR(__xludf.DUMMYFUNCTION("""COMPUTED_VALUE"""),1.014)</f>
        <v>1.014</v>
      </c>
      <c r="E7629" s="16">
        <f>IFERROR(__xludf.DUMMYFUNCTION("""COMPUTED_VALUE"""),65.0)</f>
        <v>65</v>
      </c>
      <c r="F7629" s="19" t="str">
        <f>IFERROR(__xludf.DUMMYFUNCTION("""COMPUTED_VALUE"""),"BLUE")</f>
        <v>BLUE</v>
      </c>
      <c r="G7629" s="20" t="str">
        <f>IFERROR(__xludf.DUMMYFUNCTION("""COMPUTED_VALUE"""),"Uncle Sams Cider (04/04/2023)")</f>
        <v>Uncle Sams Cider (04/04/2023)</v>
      </c>
      <c r="H7629" s="19"/>
    </row>
    <row r="7630">
      <c r="A7630" s="9"/>
      <c r="B7630" s="15"/>
      <c r="C7630" s="9">
        <f>IFERROR(__xludf.DUMMYFUNCTION("""COMPUTED_VALUE"""),45064.1036354398)</f>
        <v>45064.10364</v>
      </c>
      <c r="D7630" s="15">
        <f>IFERROR(__xludf.DUMMYFUNCTION("""COMPUTED_VALUE"""),1.014)</f>
        <v>1.014</v>
      </c>
      <c r="E7630" s="16">
        <f>IFERROR(__xludf.DUMMYFUNCTION("""COMPUTED_VALUE"""),65.0)</f>
        <v>65</v>
      </c>
      <c r="F7630" s="19" t="str">
        <f>IFERROR(__xludf.DUMMYFUNCTION("""COMPUTED_VALUE"""),"BLUE")</f>
        <v>BLUE</v>
      </c>
      <c r="G7630" s="20" t="str">
        <f>IFERROR(__xludf.DUMMYFUNCTION("""COMPUTED_VALUE"""),"Uncle Sams Cider (04/04/2023)")</f>
        <v>Uncle Sams Cider (04/04/2023)</v>
      </c>
      <c r="H7630" s="19"/>
    </row>
    <row r="7631">
      <c r="A7631" s="9"/>
      <c r="B7631" s="15"/>
      <c r="C7631" s="9">
        <f>IFERROR(__xludf.DUMMYFUNCTION("""COMPUTED_VALUE"""),45064.0932018981)</f>
        <v>45064.0932</v>
      </c>
      <c r="D7631" s="15">
        <f>IFERROR(__xludf.DUMMYFUNCTION("""COMPUTED_VALUE"""),1.014)</f>
        <v>1.014</v>
      </c>
      <c r="E7631" s="16">
        <f>IFERROR(__xludf.DUMMYFUNCTION("""COMPUTED_VALUE"""),65.0)</f>
        <v>65</v>
      </c>
      <c r="F7631" s="19" t="str">
        <f>IFERROR(__xludf.DUMMYFUNCTION("""COMPUTED_VALUE"""),"BLUE")</f>
        <v>BLUE</v>
      </c>
      <c r="G7631" s="20" t="str">
        <f>IFERROR(__xludf.DUMMYFUNCTION("""COMPUTED_VALUE"""),"Uncle Sams Cider (04/04/2023)")</f>
        <v>Uncle Sams Cider (04/04/2023)</v>
      </c>
      <c r="H7631" s="19"/>
    </row>
    <row r="7632">
      <c r="A7632" s="9"/>
      <c r="B7632" s="15"/>
      <c r="C7632" s="9">
        <f>IFERROR(__xludf.DUMMYFUNCTION("""COMPUTED_VALUE"""),45064.0827788657)</f>
        <v>45064.08278</v>
      </c>
      <c r="D7632" s="15">
        <f>IFERROR(__xludf.DUMMYFUNCTION("""COMPUTED_VALUE"""),1.014)</f>
        <v>1.014</v>
      </c>
      <c r="E7632" s="16">
        <f>IFERROR(__xludf.DUMMYFUNCTION("""COMPUTED_VALUE"""),65.0)</f>
        <v>65</v>
      </c>
      <c r="F7632" s="19" t="str">
        <f>IFERROR(__xludf.DUMMYFUNCTION("""COMPUTED_VALUE"""),"BLUE")</f>
        <v>BLUE</v>
      </c>
      <c r="G7632" s="20" t="str">
        <f>IFERROR(__xludf.DUMMYFUNCTION("""COMPUTED_VALUE"""),"Uncle Sams Cider (04/04/2023)")</f>
        <v>Uncle Sams Cider (04/04/2023)</v>
      </c>
      <c r="H7632" s="19"/>
    </row>
    <row r="7633">
      <c r="A7633" s="9"/>
      <c r="B7633" s="15"/>
      <c r="C7633" s="9">
        <f>IFERROR(__xludf.DUMMYFUNCTION("""COMPUTED_VALUE"""),45064.0723584027)</f>
        <v>45064.07236</v>
      </c>
      <c r="D7633" s="15">
        <f>IFERROR(__xludf.DUMMYFUNCTION("""COMPUTED_VALUE"""),1.014)</f>
        <v>1.014</v>
      </c>
      <c r="E7633" s="16">
        <f>IFERROR(__xludf.DUMMYFUNCTION("""COMPUTED_VALUE"""),65.0)</f>
        <v>65</v>
      </c>
      <c r="F7633" s="19" t="str">
        <f>IFERROR(__xludf.DUMMYFUNCTION("""COMPUTED_VALUE"""),"BLUE")</f>
        <v>BLUE</v>
      </c>
      <c r="G7633" s="20" t="str">
        <f>IFERROR(__xludf.DUMMYFUNCTION("""COMPUTED_VALUE"""),"Uncle Sams Cider (04/04/2023)")</f>
        <v>Uncle Sams Cider (04/04/2023)</v>
      </c>
      <c r="H7633" s="19"/>
    </row>
    <row r="7634">
      <c r="A7634" s="9"/>
      <c r="B7634" s="15"/>
      <c r="C7634" s="9">
        <f>IFERROR(__xludf.DUMMYFUNCTION("""COMPUTED_VALUE"""),45064.0619374074)</f>
        <v>45064.06194</v>
      </c>
      <c r="D7634" s="15">
        <f>IFERROR(__xludf.DUMMYFUNCTION("""COMPUTED_VALUE"""),1.014)</f>
        <v>1.014</v>
      </c>
      <c r="E7634" s="16">
        <f>IFERROR(__xludf.DUMMYFUNCTION("""COMPUTED_VALUE"""),65.0)</f>
        <v>65</v>
      </c>
      <c r="F7634" s="19" t="str">
        <f>IFERROR(__xludf.DUMMYFUNCTION("""COMPUTED_VALUE"""),"BLUE")</f>
        <v>BLUE</v>
      </c>
      <c r="G7634" s="20" t="str">
        <f>IFERROR(__xludf.DUMMYFUNCTION("""COMPUTED_VALUE"""),"Uncle Sams Cider (04/04/2023)")</f>
        <v>Uncle Sams Cider (04/04/2023)</v>
      </c>
      <c r="H7634" s="19"/>
    </row>
    <row r="7635">
      <c r="A7635" s="9"/>
      <c r="B7635" s="15"/>
      <c r="C7635" s="9">
        <f>IFERROR(__xludf.DUMMYFUNCTION("""COMPUTED_VALUE"""),45064.0515144675)</f>
        <v>45064.05151</v>
      </c>
      <c r="D7635" s="15">
        <f>IFERROR(__xludf.DUMMYFUNCTION("""COMPUTED_VALUE"""),1.014)</f>
        <v>1.014</v>
      </c>
      <c r="E7635" s="16">
        <f>IFERROR(__xludf.DUMMYFUNCTION("""COMPUTED_VALUE"""),65.0)</f>
        <v>65</v>
      </c>
      <c r="F7635" s="19" t="str">
        <f>IFERROR(__xludf.DUMMYFUNCTION("""COMPUTED_VALUE"""),"BLUE")</f>
        <v>BLUE</v>
      </c>
      <c r="G7635" s="20" t="str">
        <f>IFERROR(__xludf.DUMMYFUNCTION("""COMPUTED_VALUE"""),"Uncle Sams Cider (04/04/2023)")</f>
        <v>Uncle Sams Cider (04/04/2023)</v>
      </c>
      <c r="H7635" s="19"/>
    </row>
    <row r="7636">
      <c r="A7636" s="9"/>
      <c r="B7636" s="15"/>
      <c r="C7636" s="9">
        <f>IFERROR(__xludf.DUMMYFUNCTION("""COMPUTED_VALUE"""),45064.0410925926)</f>
        <v>45064.04109</v>
      </c>
      <c r="D7636" s="15">
        <f>IFERROR(__xludf.DUMMYFUNCTION("""COMPUTED_VALUE"""),1.014)</f>
        <v>1.014</v>
      </c>
      <c r="E7636" s="16">
        <f>IFERROR(__xludf.DUMMYFUNCTION("""COMPUTED_VALUE"""),65.0)</f>
        <v>65</v>
      </c>
      <c r="F7636" s="19" t="str">
        <f>IFERROR(__xludf.DUMMYFUNCTION("""COMPUTED_VALUE"""),"BLUE")</f>
        <v>BLUE</v>
      </c>
      <c r="G7636" s="20" t="str">
        <f>IFERROR(__xludf.DUMMYFUNCTION("""COMPUTED_VALUE"""),"Uncle Sams Cider (04/04/2023)")</f>
        <v>Uncle Sams Cider (04/04/2023)</v>
      </c>
      <c r="H7636" s="19"/>
    </row>
    <row r="7637">
      <c r="A7637" s="9"/>
      <c r="B7637" s="15"/>
      <c r="C7637" s="9">
        <f>IFERROR(__xludf.DUMMYFUNCTION("""COMPUTED_VALUE"""),45064.0306712268)</f>
        <v>45064.03067</v>
      </c>
      <c r="D7637" s="15">
        <f>IFERROR(__xludf.DUMMYFUNCTION("""COMPUTED_VALUE"""),1.014)</f>
        <v>1.014</v>
      </c>
      <c r="E7637" s="16">
        <f>IFERROR(__xludf.DUMMYFUNCTION("""COMPUTED_VALUE"""),65.0)</f>
        <v>65</v>
      </c>
      <c r="F7637" s="19" t="str">
        <f>IFERROR(__xludf.DUMMYFUNCTION("""COMPUTED_VALUE"""),"BLUE")</f>
        <v>BLUE</v>
      </c>
      <c r="G7637" s="20" t="str">
        <f>IFERROR(__xludf.DUMMYFUNCTION("""COMPUTED_VALUE"""),"Uncle Sams Cider (04/04/2023)")</f>
        <v>Uncle Sams Cider (04/04/2023)</v>
      </c>
      <c r="H7637" s="19"/>
    </row>
    <row r="7638">
      <c r="A7638" s="9"/>
      <c r="B7638" s="15"/>
      <c r="C7638" s="9">
        <f>IFERROR(__xludf.DUMMYFUNCTION("""COMPUTED_VALUE"""),45064.0202516203)</f>
        <v>45064.02025</v>
      </c>
      <c r="D7638" s="15">
        <f>IFERROR(__xludf.DUMMYFUNCTION("""COMPUTED_VALUE"""),1.014)</f>
        <v>1.014</v>
      </c>
      <c r="E7638" s="16">
        <f>IFERROR(__xludf.DUMMYFUNCTION("""COMPUTED_VALUE"""),65.0)</f>
        <v>65</v>
      </c>
      <c r="F7638" s="19" t="str">
        <f>IFERROR(__xludf.DUMMYFUNCTION("""COMPUTED_VALUE"""),"BLUE")</f>
        <v>BLUE</v>
      </c>
      <c r="G7638" s="20" t="str">
        <f>IFERROR(__xludf.DUMMYFUNCTION("""COMPUTED_VALUE"""),"Uncle Sams Cider (04/04/2023)")</f>
        <v>Uncle Sams Cider (04/04/2023)</v>
      </c>
      <c r="H7638" s="19"/>
    </row>
    <row r="7639">
      <c r="A7639" s="9"/>
      <c r="B7639" s="15"/>
      <c r="C7639" s="9">
        <f>IFERROR(__xludf.DUMMYFUNCTION("""COMPUTED_VALUE"""),45064.0098306134)</f>
        <v>45064.00983</v>
      </c>
      <c r="D7639" s="15">
        <f>IFERROR(__xludf.DUMMYFUNCTION("""COMPUTED_VALUE"""),1.014)</f>
        <v>1.014</v>
      </c>
      <c r="E7639" s="16">
        <f>IFERROR(__xludf.DUMMYFUNCTION("""COMPUTED_VALUE"""),65.0)</f>
        <v>65</v>
      </c>
      <c r="F7639" s="19" t="str">
        <f>IFERROR(__xludf.DUMMYFUNCTION("""COMPUTED_VALUE"""),"BLUE")</f>
        <v>BLUE</v>
      </c>
      <c r="G7639" s="20" t="str">
        <f>IFERROR(__xludf.DUMMYFUNCTION("""COMPUTED_VALUE"""),"Uncle Sams Cider (04/04/2023)")</f>
        <v>Uncle Sams Cider (04/04/2023)</v>
      </c>
      <c r="H7639" s="19"/>
    </row>
    <row r="7640">
      <c r="A7640" s="9"/>
      <c r="B7640" s="15"/>
      <c r="C7640" s="9">
        <f>IFERROR(__xludf.DUMMYFUNCTION("""COMPUTED_VALUE"""),45063.9994106713)</f>
        <v>45063.99941</v>
      </c>
      <c r="D7640" s="15">
        <f>IFERROR(__xludf.DUMMYFUNCTION("""COMPUTED_VALUE"""),1.014)</f>
        <v>1.014</v>
      </c>
      <c r="E7640" s="16">
        <f>IFERROR(__xludf.DUMMYFUNCTION("""COMPUTED_VALUE"""),65.0)</f>
        <v>65</v>
      </c>
      <c r="F7640" s="19" t="str">
        <f>IFERROR(__xludf.DUMMYFUNCTION("""COMPUTED_VALUE"""),"BLUE")</f>
        <v>BLUE</v>
      </c>
      <c r="G7640" s="20" t="str">
        <f>IFERROR(__xludf.DUMMYFUNCTION("""COMPUTED_VALUE"""),"Uncle Sams Cider (04/04/2023)")</f>
        <v>Uncle Sams Cider (04/04/2023)</v>
      </c>
      <c r="H7640" s="19"/>
    </row>
    <row r="7641">
      <c r="A7641" s="9"/>
      <c r="B7641" s="15"/>
      <c r="C7641" s="9">
        <f>IFERROR(__xludf.DUMMYFUNCTION("""COMPUTED_VALUE"""),45063.9889899652)</f>
        <v>45063.98899</v>
      </c>
      <c r="D7641" s="15">
        <f>IFERROR(__xludf.DUMMYFUNCTION("""COMPUTED_VALUE"""),1.014)</f>
        <v>1.014</v>
      </c>
      <c r="E7641" s="16">
        <f>IFERROR(__xludf.DUMMYFUNCTION("""COMPUTED_VALUE"""),65.0)</f>
        <v>65</v>
      </c>
      <c r="F7641" s="19" t="str">
        <f>IFERROR(__xludf.DUMMYFUNCTION("""COMPUTED_VALUE"""),"BLUE")</f>
        <v>BLUE</v>
      </c>
      <c r="G7641" s="20" t="str">
        <f>IFERROR(__xludf.DUMMYFUNCTION("""COMPUTED_VALUE"""),"Uncle Sams Cider (04/04/2023)")</f>
        <v>Uncle Sams Cider (04/04/2023)</v>
      </c>
      <c r="H7641" s="19"/>
    </row>
    <row r="7642">
      <c r="A7642" s="9"/>
      <c r="B7642" s="15"/>
      <c r="C7642" s="9">
        <f>IFERROR(__xludf.DUMMYFUNCTION("""COMPUTED_VALUE"""),45063.9785692476)</f>
        <v>45063.97857</v>
      </c>
      <c r="D7642" s="15">
        <f>IFERROR(__xludf.DUMMYFUNCTION("""COMPUTED_VALUE"""),1.014)</f>
        <v>1.014</v>
      </c>
      <c r="E7642" s="16">
        <f>IFERROR(__xludf.DUMMYFUNCTION("""COMPUTED_VALUE"""),65.0)</f>
        <v>65</v>
      </c>
      <c r="F7642" s="19" t="str">
        <f>IFERROR(__xludf.DUMMYFUNCTION("""COMPUTED_VALUE"""),"BLUE")</f>
        <v>BLUE</v>
      </c>
      <c r="G7642" s="20" t="str">
        <f>IFERROR(__xludf.DUMMYFUNCTION("""COMPUTED_VALUE"""),"Uncle Sams Cider (04/04/2023)")</f>
        <v>Uncle Sams Cider (04/04/2023)</v>
      </c>
      <c r="H7642" s="19"/>
    </row>
    <row r="7643">
      <c r="A7643" s="9"/>
      <c r="B7643" s="15"/>
      <c r="C7643" s="9">
        <f>IFERROR(__xludf.DUMMYFUNCTION("""COMPUTED_VALUE"""),45063.9681357175)</f>
        <v>45063.96814</v>
      </c>
      <c r="D7643" s="15">
        <f>IFERROR(__xludf.DUMMYFUNCTION("""COMPUTED_VALUE"""),1.014)</f>
        <v>1.014</v>
      </c>
      <c r="E7643" s="16">
        <f>IFERROR(__xludf.DUMMYFUNCTION("""COMPUTED_VALUE"""),65.0)</f>
        <v>65</v>
      </c>
      <c r="F7643" s="19" t="str">
        <f>IFERROR(__xludf.DUMMYFUNCTION("""COMPUTED_VALUE"""),"BLUE")</f>
        <v>BLUE</v>
      </c>
      <c r="G7643" s="20" t="str">
        <f>IFERROR(__xludf.DUMMYFUNCTION("""COMPUTED_VALUE"""),"Uncle Sams Cider (04/04/2023)")</f>
        <v>Uncle Sams Cider (04/04/2023)</v>
      </c>
      <c r="H7643" s="19"/>
    </row>
    <row r="7644">
      <c r="A7644" s="9"/>
      <c r="B7644" s="15"/>
      <c r="C7644" s="9">
        <f>IFERROR(__xludf.DUMMYFUNCTION("""COMPUTED_VALUE"""),45063.9577040856)</f>
        <v>45063.9577</v>
      </c>
      <c r="D7644" s="15">
        <f>IFERROR(__xludf.DUMMYFUNCTION("""COMPUTED_VALUE"""),1.014)</f>
        <v>1.014</v>
      </c>
      <c r="E7644" s="16">
        <f>IFERROR(__xludf.DUMMYFUNCTION("""COMPUTED_VALUE"""),65.0)</f>
        <v>65</v>
      </c>
      <c r="F7644" s="19" t="str">
        <f>IFERROR(__xludf.DUMMYFUNCTION("""COMPUTED_VALUE"""),"BLUE")</f>
        <v>BLUE</v>
      </c>
      <c r="G7644" s="20" t="str">
        <f>IFERROR(__xludf.DUMMYFUNCTION("""COMPUTED_VALUE"""),"Uncle Sams Cider (04/04/2023)")</f>
        <v>Uncle Sams Cider (04/04/2023)</v>
      </c>
      <c r="H7644" s="19"/>
    </row>
    <row r="7645">
      <c r="A7645" s="9"/>
      <c r="B7645" s="15"/>
      <c r="C7645" s="9">
        <f>IFERROR(__xludf.DUMMYFUNCTION("""COMPUTED_VALUE"""),45063.9472717824)</f>
        <v>45063.94727</v>
      </c>
      <c r="D7645" s="15">
        <f>IFERROR(__xludf.DUMMYFUNCTION("""COMPUTED_VALUE"""),1.014)</f>
        <v>1.014</v>
      </c>
      <c r="E7645" s="16">
        <f>IFERROR(__xludf.DUMMYFUNCTION("""COMPUTED_VALUE"""),65.0)</f>
        <v>65</v>
      </c>
      <c r="F7645" s="19" t="str">
        <f>IFERROR(__xludf.DUMMYFUNCTION("""COMPUTED_VALUE"""),"BLUE")</f>
        <v>BLUE</v>
      </c>
      <c r="G7645" s="20" t="str">
        <f>IFERROR(__xludf.DUMMYFUNCTION("""COMPUTED_VALUE"""),"Uncle Sams Cider (04/04/2023)")</f>
        <v>Uncle Sams Cider (04/04/2023)</v>
      </c>
      <c r="H7645" s="19"/>
    </row>
    <row r="7646">
      <c r="A7646" s="9"/>
      <c r="B7646" s="15"/>
      <c r="C7646" s="9">
        <f>IFERROR(__xludf.DUMMYFUNCTION("""COMPUTED_VALUE"""),45063.9368499537)</f>
        <v>45063.93685</v>
      </c>
      <c r="D7646" s="15">
        <f>IFERROR(__xludf.DUMMYFUNCTION("""COMPUTED_VALUE"""),1.014)</f>
        <v>1.014</v>
      </c>
      <c r="E7646" s="16">
        <f>IFERROR(__xludf.DUMMYFUNCTION("""COMPUTED_VALUE"""),65.0)</f>
        <v>65</v>
      </c>
      <c r="F7646" s="19" t="str">
        <f>IFERROR(__xludf.DUMMYFUNCTION("""COMPUTED_VALUE"""),"BLUE")</f>
        <v>BLUE</v>
      </c>
      <c r="G7646" s="20" t="str">
        <f>IFERROR(__xludf.DUMMYFUNCTION("""COMPUTED_VALUE"""),"Uncle Sams Cider (04/04/2023)")</f>
        <v>Uncle Sams Cider (04/04/2023)</v>
      </c>
      <c r="H7646" s="19"/>
    </row>
    <row r="7647">
      <c r="A7647" s="9"/>
      <c r="B7647" s="15"/>
      <c r="C7647" s="9">
        <f>IFERROR(__xludf.DUMMYFUNCTION("""COMPUTED_VALUE"""),45063.92643)</f>
        <v>45063.92643</v>
      </c>
      <c r="D7647" s="15">
        <f>IFERROR(__xludf.DUMMYFUNCTION("""COMPUTED_VALUE"""),1.014)</f>
        <v>1.014</v>
      </c>
      <c r="E7647" s="16">
        <f>IFERROR(__xludf.DUMMYFUNCTION("""COMPUTED_VALUE"""),65.0)</f>
        <v>65</v>
      </c>
      <c r="F7647" s="19" t="str">
        <f>IFERROR(__xludf.DUMMYFUNCTION("""COMPUTED_VALUE"""),"BLUE")</f>
        <v>BLUE</v>
      </c>
      <c r="G7647" s="20" t="str">
        <f>IFERROR(__xludf.DUMMYFUNCTION("""COMPUTED_VALUE"""),"Uncle Sams Cider (04/04/2023)")</f>
        <v>Uncle Sams Cider (04/04/2023)</v>
      </c>
      <c r="H7647" s="19"/>
    </row>
    <row r="7648">
      <c r="A7648" s="9"/>
      <c r="B7648" s="15"/>
      <c r="C7648" s="9">
        <f>IFERROR(__xludf.DUMMYFUNCTION("""COMPUTED_VALUE"""),45063.9160105787)</f>
        <v>45063.91601</v>
      </c>
      <c r="D7648" s="15">
        <f>IFERROR(__xludf.DUMMYFUNCTION("""COMPUTED_VALUE"""),1.014)</f>
        <v>1.014</v>
      </c>
      <c r="E7648" s="16">
        <f>IFERROR(__xludf.DUMMYFUNCTION("""COMPUTED_VALUE"""),65.0)</f>
        <v>65</v>
      </c>
      <c r="F7648" s="19" t="str">
        <f>IFERROR(__xludf.DUMMYFUNCTION("""COMPUTED_VALUE"""),"BLUE")</f>
        <v>BLUE</v>
      </c>
      <c r="G7648" s="20" t="str">
        <f>IFERROR(__xludf.DUMMYFUNCTION("""COMPUTED_VALUE"""),"Uncle Sams Cider (04/04/2023)")</f>
        <v>Uncle Sams Cider (04/04/2023)</v>
      </c>
      <c r="H7648" s="19"/>
    </row>
    <row r="7649">
      <c r="A7649" s="9"/>
      <c r="B7649" s="15"/>
      <c r="C7649" s="9">
        <f>IFERROR(__xludf.DUMMYFUNCTION("""COMPUTED_VALUE"""),45063.9055904282)</f>
        <v>45063.90559</v>
      </c>
      <c r="D7649" s="15">
        <f>IFERROR(__xludf.DUMMYFUNCTION("""COMPUTED_VALUE"""),1.014)</f>
        <v>1.014</v>
      </c>
      <c r="E7649" s="16">
        <f>IFERROR(__xludf.DUMMYFUNCTION("""COMPUTED_VALUE"""),65.0)</f>
        <v>65</v>
      </c>
      <c r="F7649" s="19" t="str">
        <f>IFERROR(__xludf.DUMMYFUNCTION("""COMPUTED_VALUE"""),"BLUE")</f>
        <v>BLUE</v>
      </c>
      <c r="G7649" s="20" t="str">
        <f>IFERROR(__xludf.DUMMYFUNCTION("""COMPUTED_VALUE"""),"Uncle Sams Cider (04/04/2023)")</f>
        <v>Uncle Sams Cider (04/04/2023)</v>
      </c>
      <c r="H7649" s="19"/>
    </row>
    <row r="7650">
      <c r="A7650" s="9"/>
      <c r="B7650" s="15"/>
      <c r="C7650" s="9">
        <f>IFERROR(__xludf.DUMMYFUNCTION("""COMPUTED_VALUE"""),45063.895170324)</f>
        <v>45063.89517</v>
      </c>
      <c r="D7650" s="15">
        <f>IFERROR(__xludf.DUMMYFUNCTION("""COMPUTED_VALUE"""),1.014)</f>
        <v>1.014</v>
      </c>
      <c r="E7650" s="16">
        <f>IFERROR(__xludf.DUMMYFUNCTION("""COMPUTED_VALUE"""),65.0)</f>
        <v>65</v>
      </c>
      <c r="F7650" s="19" t="str">
        <f>IFERROR(__xludf.DUMMYFUNCTION("""COMPUTED_VALUE"""),"BLUE")</f>
        <v>BLUE</v>
      </c>
      <c r="G7650" s="20" t="str">
        <f>IFERROR(__xludf.DUMMYFUNCTION("""COMPUTED_VALUE"""),"Uncle Sams Cider (04/04/2023)")</f>
        <v>Uncle Sams Cider (04/04/2023)</v>
      </c>
      <c r="H7650" s="19"/>
    </row>
    <row r="7651">
      <c r="A7651" s="9"/>
      <c r="B7651" s="15"/>
      <c r="C7651" s="9">
        <f>IFERROR(__xludf.DUMMYFUNCTION("""COMPUTED_VALUE"""),45063.8847483101)</f>
        <v>45063.88475</v>
      </c>
      <c r="D7651" s="15">
        <f>IFERROR(__xludf.DUMMYFUNCTION("""COMPUTED_VALUE"""),1.014)</f>
        <v>1.014</v>
      </c>
      <c r="E7651" s="16">
        <f>IFERROR(__xludf.DUMMYFUNCTION("""COMPUTED_VALUE"""),65.0)</f>
        <v>65</v>
      </c>
      <c r="F7651" s="19" t="str">
        <f>IFERROR(__xludf.DUMMYFUNCTION("""COMPUTED_VALUE"""),"BLUE")</f>
        <v>BLUE</v>
      </c>
      <c r="G7651" s="20" t="str">
        <f>IFERROR(__xludf.DUMMYFUNCTION("""COMPUTED_VALUE"""),"Uncle Sams Cider (04/04/2023)")</f>
        <v>Uncle Sams Cider (04/04/2023)</v>
      </c>
      <c r="H7651" s="19"/>
    </row>
    <row r="7652">
      <c r="A7652" s="9"/>
      <c r="B7652" s="15"/>
      <c r="C7652" s="9">
        <f>IFERROR(__xludf.DUMMYFUNCTION("""COMPUTED_VALUE"""),45063.8743279282)</f>
        <v>45063.87433</v>
      </c>
      <c r="D7652" s="15">
        <f>IFERROR(__xludf.DUMMYFUNCTION("""COMPUTED_VALUE"""),1.014)</f>
        <v>1.014</v>
      </c>
      <c r="E7652" s="16">
        <f>IFERROR(__xludf.DUMMYFUNCTION("""COMPUTED_VALUE"""),65.0)</f>
        <v>65</v>
      </c>
      <c r="F7652" s="19" t="str">
        <f>IFERROR(__xludf.DUMMYFUNCTION("""COMPUTED_VALUE"""),"BLUE")</f>
        <v>BLUE</v>
      </c>
      <c r="G7652" s="20" t="str">
        <f>IFERROR(__xludf.DUMMYFUNCTION("""COMPUTED_VALUE"""),"Uncle Sams Cider (04/04/2023)")</f>
        <v>Uncle Sams Cider (04/04/2023)</v>
      </c>
      <c r="H7652" s="19"/>
    </row>
    <row r="7653">
      <c r="A7653" s="9"/>
      <c r="B7653" s="15"/>
      <c r="C7653" s="9">
        <f>IFERROR(__xludf.DUMMYFUNCTION("""COMPUTED_VALUE"""),45063.8639066319)</f>
        <v>45063.86391</v>
      </c>
      <c r="D7653" s="15">
        <f>IFERROR(__xludf.DUMMYFUNCTION("""COMPUTED_VALUE"""),1.014)</f>
        <v>1.014</v>
      </c>
      <c r="E7653" s="16">
        <f>IFERROR(__xludf.DUMMYFUNCTION("""COMPUTED_VALUE"""),65.0)</f>
        <v>65</v>
      </c>
      <c r="F7653" s="19" t="str">
        <f>IFERROR(__xludf.DUMMYFUNCTION("""COMPUTED_VALUE"""),"BLUE")</f>
        <v>BLUE</v>
      </c>
      <c r="G7653" s="20" t="str">
        <f>IFERROR(__xludf.DUMMYFUNCTION("""COMPUTED_VALUE"""),"Uncle Sams Cider (04/04/2023)")</f>
        <v>Uncle Sams Cider (04/04/2023)</v>
      </c>
      <c r="H7653" s="19"/>
    </row>
    <row r="7654">
      <c r="A7654" s="9"/>
      <c r="B7654" s="15"/>
      <c r="C7654" s="9">
        <f>IFERROR(__xludf.DUMMYFUNCTION("""COMPUTED_VALUE"""),45063.8534725231)</f>
        <v>45063.85347</v>
      </c>
      <c r="D7654" s="15">
        <f>IFERROR(__xludf.DUMMYFUNCTION("""COMPUTED_VALUE"""),1.014)</f>
        <v>1.014</v>
      </c>
      <c r="E7654" s="16">
        <f>IFERROR(__xludf.DUMMYFUNCTION("""COMPUTED_VALUE"""),65.0)</f>
        <v>65</v>
      </c>
      <c r="F7654" s="19" t="str">
        <f>IFERROR(__xludf.DUMMYFUNCTION("""COMPUTED_VALUE"""),"BLUE")</f>
        <v>BLUE</v>
      </c>
      <c r="G7654" s="20" t="str">
        <f>IFERROR(__xludf.DUMMYFUNCTION("""COMPUTED_VALUE"""),"Uncle Sams Cider (04/04/2023)")</f>
        <v>Uncle Sams Cider (04/04/2023)</v>
      </c>
      <c r="H7654" s="19"/>
    </row>
    <row r="7655">
      <c r="A7655" s="9"/>
      <c r="B7655" s="15"/>
      <c r="C7655" s="9">
        <f>IFERROR(__xludf.DUMMYFUNCTION("""COMPUTED_VALUE"""),45063.8430392824)</f>
        <v>45063.84304</v>
      </c>
      <c r="D7655" s="15">
        <f>IFERROR(__xludf.DUMMYFUNCTION("""COMPUTED_VALUE"""),1.014)</f>
        <v>1.014</v>
      </c>
      <c r="E7655" s="16">
        <f>IFERROR(__xludf.DUMMYFUNCTION("""COMPUTED_VALUE"""),65.0)</f>
        <v>65</v>
      </c>
      <c r="F7655" s="19" t="str">
        <f>IFERROR(__xludf.DUMMYFUNCTION("""COMPUTED_VALUE"""),"BLUE")</f>
        <v>BLUE</v>
      </c>
      <c r="G7655" s="20" t="str">
        <f>IFERROR(__xludf.DUMMYFUNCTION("""COMPUTED_VALUE"""),"Uncle Sams Cider (04/04/2023)")</f>
        <v>Uncle Sams Cider (04/04/2023)</v>
      </c>
      <c r="H7655" s="19"/>
    </row>
    <row r="7656">
      <c r="A7656" s="9"/>
      <c r="B7656" s="15"/>
      <c r="C7656" s="9">
        <f>IFERROR(__xludf.DUMMYFUNCTION("""COMPUTED_VALUE"""),45063.8326189467)</f>
        <v>45063.83262</v>
      </c>
      <c r="D7656" s="15">
        <f>IFERROR(__xludf.DUMMYFUNCTION("""COMPUTED_VALUE"""),1.014)</f>
        <v>1.014</v>
      </c>
      <c r="E7656" s="16">
        <f>IFERROR(__xludf.DUMMYFUNCTION("""COMPUTED_VALUE"""),65.0)</f>
        <v>65</v>
      </c>
      <c r="F7656" s="19" t="str">
        <f>IFERROR(__xludf.DUMMYFUNCTION("""COMPUTED_VALUE"""),"BLUE")</f>
        <v>BLUE</v>
      </c>
      <c r="G7656" s="20" t="str">
        <f>IFERROR(__xludf.DUMMYFUNCTION("""COMPUTED_VALUE"""),"Uncle Sams Cider (04/04/2023)")</f>
        <v>Uncle Sams Cider (04/04/2023)</v>
      </c>
      <c r="H7656" s="19"/>
    </row>
    <row r="7657">
      <c r="A7657" s="9"/>
      <c r="B7657" s="15"/>
      <c r="C7657" s="9">
        <f>IFERROR(__xludf.DUMMYFUNCTION("""COMPUTED_VALUE"""),45063.8221974189)</f>
        <v>45063.8222</v>
      </c>
      <c r="D7657" s="15">
        <f>IFERROR(__xludf.DUMMYFUNCTION("""COMPUTED_VALUE"""),1.014)</f>
        <v>1.014</v>
      </c>
      <c r="E7657" s="16">
        <f>IFERROR(__xludf.DUMMYFUNCTION("""COMPUTED_VALUE"""),65.0)</f>
        <v>65</v>
      </c>
      <c r="F7657" s="19" t="str">
        <f>IFERROR(__xludf.DUMMYFUNCTION("""COMPUTED_VALUE"""),"BLUE")</f>
        <v>BLUE</v>
      </c>
      <c r="G7657" s="20" t="str">
        <f>IFERROR(__xludf.DUMMYFUNCTION("""COMPUTED_VALUE"""),"Uncle Sams Cider (04/04/2023)")</f>
        <v>Uncle Sams Cider (04/04/2023)</v>
      </c>
      <c r="H7657" s="19"/>
    </row>
    <row r="7658">
      <c r="A7658" s="9"/>
      <c r="B7658" s="15"/>
      <c r="C7658" s="9">
        <f>IFERROR(__xludf.DUMMYFUNCTION("""COMPUTED_VALUE"""),45063.8117742245)</f>
        <v>45063.81177</v>
      </c>
      <c r="D7658" s="15">
        <f>IFERROR(__xludf.DUMMYFUNCTION("""COMPUTED_VALUE"""),1.014)</f>
        <v>1.014</v>
      </c>
      <c r="E7658" s="16">
        <f>IFERROR(__xludf.DUMMYFUNCTION("""COMPUTED_VALUE"""),65.0)</f>
        <v>65</v>
      </c>
      <c r="F7658" s="19" t="str">
        <f>IFERROR(__xludf.DUMMYFUNCTION("""COMPUTED_VALUE"""),"BLUE")</f>
        <v>BLUE</v>
      </c>
      <c r="G7658" s="20" t="str">
        <f>IFERROR(__xludf.DUMMYFUNCTION("""COMPUTED_VALUE"""),"Uncle Sams Cider (04/04/2023)")</f>
        <v>Uncle Sams Cider (04/04/2023)</v>
      </c>
      <c r="H7658" s="19"/>
    </row>
    <row r="7659">
      <c r="A7659" s="9"/>
      <c r="B7659" s="15"/>
      <c r="C7659" s="9">
        <f>IFERROR(__xludf.DUMMYFUNCTION("""COMPUTED_VALUE"""),45063.8013513888)</f>
        <v>45063.80135</v>
      </c>
      <c r="D7659" s="15">
        <f>IFERROR(__xludf.DUMMYFUNCTION("""COMPUTED_VALUE"""),1.014)</f>
        <v>1.014</v>
      </c>
      <c r="E7659" s="16">
        <f>IFERROR(__xludf.DUMMYFUNCTION("""COMPUTED_VALUE"""),65.0)</f>
        <v>65</v>
      </c>
      <c r="F7659" s="19" t="str">
        <f>IFERROR(__xludf.DUMMYFUNCTION("""COMPUTED_VALUE"""),"BLUE")</f>
        <v>BLUE</v>
      </c>
      <c r="G7659" s="20" t="str">
        <f>IFERROR(__xludf.DUMMYFUNCTION("""COMPUTED_VALUE"""),"Uncle Sams Cider (04/04/2023)")</f>
        <v>Uncle Sams Cider (04/04/2023)</v>
      </c>
      <c r="H7659" s="19"/>
    </row>
    <row r="7660">
      <c r="A7660" s="9"/>
      <c r="B7660" s="15"/>
      <c r="C7660" s="9">
        <f>IFERROR(__xludf.DUMMYFUNCTION("""COMPUTED_VALUE"""),45063.7909312847)</f>
        <v>45063.79093</v>
      </c>
      <c r="D7660" s="15">
        <f>IFERROR(__xludf.DUMMYFUNCTION("""COMPUTED_VALUE"""),1.014)</f>
        <v>1.014</v>
      </c>
      <c r="E7660" s="16">
        <f>IFERROR(__xludf.DUMMYFUNCTION("""COMPUTED_VALUE"""),65.0)</f>
        <v>65</v>
      </c>
      <c r="F7660" s="19" t="str">
        <f>IFERROR(__xludf.DUMMYFUNCTION("""COMPUTED_VALUE"""),"BLUE")</f>
        <v>BLUE</v>
      </c>
      <c r="G7660" s="20" t="str">
        <f>IFERROR(__xludf.DUMMYFUNCTION("""COMPUTED_VALUE"""),"Uncle Sams Cider (04/04/2023)")</f>
        <v>Uncle Sams Cider (04/04/2023)</v>
      </c>
      <c r="H7660" s="19"/>
    </row>
    <row r="7661">
      <c r="A7661" s="9"/>
      <c r="B7661" s="15"/>
      <c r="C7661" s="9">
        <f>IFERROR(__xludf.DUMMYFUNCTION("""COMPUTED_VALUE"""),45063.7805103356)</f>
        <v>45063.78051</v>
      </c>
      <c r="D7661" s="15">
        <f>IFERROR(__xludf.DUMMYFUNCTION("""COMPUTED_VALUE"""),1.014)</f>
        <v>1.014</v>
      </c>
      <c r="E7661" s="16">
        <f>IFERROR(__xludf.DUMMYFUNCTION("""COMPUTED_VALUE"""),65.0)</f>
        <v>65</v>
      </c>
      <c r="F7661" s="19" t="str">
        <f>IFERROR(__xludf.DUMMYFUNCTION("""COMPUTED_VALUE"""),"BLUE")</f>
        <v>BLUE</v>
      </c>
      <c r="G7661" s="20" t="str">
        <f>IFERROR(__xludf.DUMMYFUNCTION("""COMPUTED_VALUE"""),"Uncle Sams Cider (04/04/2023)")</f>
        <v>Uncle Sams Cider (04/04/2023)</v>
      </c>
      <c r="H7661" s="19"/>
    </row>
    <row r="7662">
      <c r="A7662" s="9"/>
      <c r="B7662" s="15"/>
      <c r="C7662" s="9">
        <f>IFERROR(__xludf.DUMMYFUNCTION("""COMPUTED_VALUE"""),45063.7700877893)</f>
        <v>45063.77009</v>
      </c>
      <c r="D7662" s="15">
        <f>IFERROR(__xludf.DUMMYFUNCTION("""COMPUTED_VALUE"""),1.014)</f>
        <v>1.014</v>
      </c>
      <c r="E7662" s="16">
        <f>IFERROR(__xludf.DUMMYFUNCTION("""COMPUTED_VALUE"""),65.0)</f>
        <v>65</v>
      </c>
      <c r="F7662" s="19" t="str">
        <f>IFERROR(__xludf.DUMMYFUNCTION("""COMPUTED_VALUE"""),"BLUE")</f>
        <v>BLUE</v>
      </c>
      <c r="G7662" s="20" t="str">
        <f>IFERROR(__xludf.DUMMYFUNCTION("""COMPUTED_VALUE"""),"Uncle Sams Cider (04/04/2023)")</f>
        <v>Uncle Sams Cider (04/04/2023)</v>
      </c>
      <c r="H7662" s="19"/>
    </row>
    <row r="7663">
      <c r="A7663" s="9"/>
      <c r="B7663" s="15"/>
      <c r="C7663" s="9">
        <f>IFERROR(__xludf.DUMMYFUNCTION("""COMPUTED_VALUE"""),45063.7596522106)</f>
        <v>45063.75965</v>
      </c>
      <c r="D7663" s="15">
        <f>IFERROR(__xludf.DUMMYFUNCTION("""COMPUTED_VALUE"""),1.014)</f>
        <v>1.014</v>
      </c>
      <c r="E7663" s="16">
        <f>IFERROR(__xludf.DUMMYFUNCTION("""COMPUTED_VALUE"""),65.0)</f>
        <v>65</v>
      </c>
      <c r="F7663" s="19" t="str">
        <f>IFERROR(__xludf.DUMMYFUNCTION("""COMPUTED_VALUE"""),"BLUE")</f>
        <v>BLUE</v>
      </c>
      <c r="G7663" s="20" t="str">
        <f>IFERROR(__xludf.DUMMYFUNCTION("""COMPUTED_VALUE"""),"Uncle Sams Cider (04/04/2023)")</f>
        <v>Uncle Sams Cider (04/04/2023)</v>
      </c>
      <c r="H7663" s="19"/>
    </row>
    <row r="7664">
      <c r="A7664" s="9"/>
      <c r="B7664" s="15"/>
      <c r="C7664" s="9">
        <f>IFERROR(__xludf.DUMMYFUNCTION("""COMPUTED_VALUE"""),45063.7492200347)</f>
        <v>45063.74922</v>
      </c>
      <c r="D7664" s="15">
        <f>IFERROR(__xludf.DUMMYFUNCTION("""COMPUTED_VALUE"""),1.014)</f>
        <v>1.014</v>
      </c>
      <c r="E7664" s="16">
        <f>IFERROR(__xludf.DUMMYFUNCTION("""COMPUTED_VALUE"""),65.0)</f>
        <v>65</v>
      </c>
      <c r="F7664" s="19" t="str">
        <f>IFERROR(__xludf.DUMMYFUNCTION("""COMPUTED_VALUE"""),"BLUE")</f>
        <v>BLUE</v>
      </c>
      <c r="G7664" s="20" t="str">
        <f>IFERROR(__xludf.DUMMYFUNCTION("""COMPUTED_VALUE"""),"Uncle Sams Cider (04/04/2023)")</f>
        <v>Uncle Sams Cider (04/04/2023)</v>
      </c>
      <c r="H7664" s="19"/>
    </row>
    <row r="7665">
      <c r="A7665" s="9"/>
      <c r="B7665" s="15"/>
      <c r="C7665" s="9">
        <f>IFERROR(__xludf.DUMMYFUNCTION("""COMPUTED_VALUE"""),45063.7387994444)</f>
        <v>45063.7388</v>
      </c>
      <c r="D7665" s="15">
        <f>IFERROR(__xludf.DUMMYFUNCTION("""COMPUTED_VALUE"""),1.014)</f>
        <v>1.014</v>
      </c>
      <c r="E7665" s="16">
        <f>IFERROR(__xludf.DUMMYFUNCTION("""COMPUTED_VALUE"""),65.0)</f>
        <v>65</v>
      </c>
      <c r="F7665" s="19" t="str">
        <f>IFERROR(__xludf.DUMMYFUNCTION("""COMPUTED_VALUE"""),"BLUE")</f>
        <v>BLUE</v>
      </c>
      <c r="G7665" s="20" t="str">
        <f>IFERROR(__xludf.DUMMYFUNCTION("""COMPUTED_VALUE"""),"Uncle Sams Cider (04/04/2023)")</f>
        <v>Uncle Sams Cider (04/04/2023)</v>
      </c>
      <c r="H7665" s="19"/>
    </row>
    <row r="7666">
      <c r="A7666" s="9"/>
      <c r="B7666" s="15"/>
      <c r="C7666" s="9">
        <f>IFERROR(__xludf.DUMMYFUNCTION("""COMPUTED_VALUE"""),45063.728377118)</f>
        <v>45063.72838</v>
      </c>
      <c r="D7666" s="15">
        <f>IFERROR(__xludf.DUMMYFUNCTION("""COMPUTED_VALUE"""),1.014)</f>
        <v>1.014</v>
      </c>
      <c r="E7666" s="16">
        <f>IFERROR(__xludf.DUMMYFUNCTION("""COMPUTED_VALUE"""),65.0)</f>
        <v>65</v>
      </c>
      <c r="F7666" s="19" t="str">
        <f>IFERROR(__xludf.DUMMYFUNCTION("""COMPUTED_VALUE"""),"BLUE")</f>
        <v>BLUE</v>
      </c>
      <c r="G7666" s="20" t="str">
        <f>IFERROR(__xludf.DUMMYFUNCTION("""COMPUTED_VALUE"""),"Uncle Sams Cider (04/04/2023)")</f>
        <v>Uncle Sams Cider (04/04/2023)</v>
      </c>
      <c r="H7666" s="19"/>
    </row>
    <row r="7667">
      <c r="A7667" s="9"/>
      <c r="B7667" s="15"/>
      <c r="C7667" s="9">
        <f>IFERROR(__xludf.DUMMYFUNCTION("""COMPUTED_VALUE"""),45063.7179559953)</f>
        <v>45063.71796</v>
      </c>
      <c r="D7667" s="15">
        <f>IFERROR(__xludf.DUMMYFUNCTION("""COMPUTED_VALUE"""),1.014)</f>
        <v>1.014</v>
      </c>
      <c r="E7667" s="16">
        <f>IFERROR(__xludf.DUMMYFUNCTION("""COMPUTED_VALUE"""),65.0)</f>
        <v>65</v>
      </c>
      <c r="F7667" s="19" t="str">
        <f>IFERROR(__xludf.DUMMYFUNCTION("""COMPUTED_VALUE"""),"BLUE")</f>
        <v>BLUE</v>
      </c>
      <c r="G7667" s="20" t="str">
        <f>IFERROR(__xludf.DUMMYFUNCTION("""COMPUTED_VALUE"""),"Uncle Sams Cider (04/04/2023)")</f>
        <v>Uncle Sams Cider (04/04/2023)</v>
      </c>
      <c r="H7667" s="19"/>
    </row>
    <row r="7668">
      <c r="A7668" s="9"/>
      <c r="B7668" s="15"/>
      <c r="C7668" s="9">
        <f>IFERROR(__xludf.DUMMYFUNCTION("""COMPUTED_VALUE"""),45063.7075351736)</f>
        <v>45063.70754</v>
      </c>
      <c r="D7668" s="15">
        <f>IFERROR(__xludf.DUMMYFUNCTION("""COMPUTED_VALUE"""),1.014)</f>
        <v>1.014</v>
      </c>
      <c r="E7668" s="16">
        <f>IFERROR(__xludf.DUMMYFUNCTION("""COMPUTED_VALUE"""),65.0)</f>
        <v>65</v>
      </c>
      <c r="F7668" s="19" t="str">
        <f>IFERROR(__xludf.DUMMYFUNCTION("""COMPUTED_VALUE"""),"BLUE")</f>
        <v>BLUE</v>
      </c>
      <c r="G7668" s="20" t="str">
        <f>IFERROR(__xludf.DUMMYFUNCTION("""COMPUTED_VALUE"""),"Uncle Sams Cider (04/04/2023)")</f>
        <v>Uncle Sams Cider (04/04/2023)</v>
      </c>
      <c r="H7668" s="19"/>
    </row>
    <row r="7669">
      <c r="A7669" s="9"/>
      <c r="B7669" s="15"/>
      <c r="C7669" s="9">
        <f>IFERROR(__xludf.DUMMYFUNCTION("""COMPUTED_VALUE"""),45063.6971132175)</f>
        <v>45063.69711</v>
      </c>
      <c r="D7669" s="15">
        <f>IFERROR(__xludf.DUMMYFUNCTION("""COMPUTED_VALUE"""),1.014)</f>
        <v>1.014</v>
      </c>
      <c r="E7669" s="16">
        <f>IFERROR(__xludf.DUMMYFUNCTION("""COMPUTED_VALUE"""),65.0)</f>
        <v>65</v>
      </c>
      <c r="F7669" s="19" t="str">
        <f>IFERROR(__xludf.DUMMYFUNCTION("""COMPUTED_VALUE"""),"BLUE")</f>
        <v>BLUE</v>
      </c>
      <c r="G7669" s="20" t="str">
        <f>IFERROR(__xludf.DUMMYFUNCTION("""COMPUTED_VALUE"""),"Uncle Sams Cider (04/04/2023)")</f>
        <v>Uncle Sams Cider (04/04/2023)</v>
      </c>
      <c r="H7669" s="19"/>
    </row>
    <row r="7670">
      <c r="A7670" s="9"/>
      <c r="B7670" s="15"/>
      <c r="C7670" s="9">
        <f>IFERROR(__xludf.DUMMYFUNCTION("""COMPUTED_VALUE"""),45063.6866934606)</f>
        <v>45063.68669</v>
      </c>
      <c r="D7670" s="15">
        <f>IFERROR(__xludf.DUMMYFUNCTION("""COMPUTED_VALUE"""),1.014)</f>
        <v>1.014</v>
      </c>
      <c r="E7670" s="16">
        <f>IFERROR(__xludf.DUMMYFUNCTION("""COMPUTED_VALUE"""),65.0)</f>
        <v>65</v>
      </c>
      <c r="F7670" s="19" t="str">
        <f>IFERROR(__xludf.DUMMYFUNCTION("""COMPUTED_VALUE"""),"BLUE")</f>
        <v>BLUE</v>
      </c>
      <c r="G7670" s="20" t="str">
        <f>IFERROR(__xludf.DUMMYFUNCTION("""COMPUTED_VALUE"""),"Uncle Sams Cider (04/04/2023)")</f>
        <v>Uncle Sams Cider (04/04/2023)</v>
      </c>
      <c r="H7670" s="19"/>
    </row>
    <row r="7671">
      <c r="A7671" s="9"/>
      <c r="B7671" s="15"/>
      <c r="C7671" s="9">
        <f>IFERROR(__xludf.DUMMYFUNCTION("""COMPUTED_VALUE"""),45063.6762708912)</f>
        <v>45063.67627</v>
      </c>
      <c r="D7671" s="15">
        <f>IFERROR(__xludf.DUMMYFUNCTION("""COMPUTED_VALUE"""),1.014)</f>
        <v>1.014</v>
      </c>
      <c r="E7671" s="16">
        <f>IFERROR(__xludf.DUMMYFUNCTION("""COMPUTED_VALUE"""),65.0)</f>
        <v>65</v>
      </c>
      <c r="F7671" s="19" t="str">
        <f>IFERROR(__xludf.DUMMYFUNCTION("""COMPUTED_VALUE"""),"BLUE")</f>
        <v>BLUE</v>
      </c>
      <c r="G7671" s="20" t="str">
        <f>IFERROR(__xludf.DUMMYFUNCTION("""COMPUTED_VALUE"""),"Uncle Sams Cider (04/04/2023)")</f>
        <v>Uncle Sams Cider (04/04/2023)</v>
      </c>
      <c r="H7671" s="19"/>
    </row>
    <row r="7672">
      <c r="A7672" s="9"/>
      <c r="B7672" s="15"/>
      <c r="C7672" s="9">
        <f>IFERROR(__xludf.DUMMYFUNCTION("""COMPUTED_VALUE"""),45063.6658495254)</f>
        <v>45063.66585</v>
      </c>
      <c r="D7672" s="15">
        <f>IFERROR(__xludf.DUMMYFUNCTION("""COMPUTED_VALUE"""),1.014)</f>
        <v>1.014</v>
      </c>
      <c r="E7672" s="16">
        <f>IFERROR(__xludf.DUMMYFUNCTION("""COMPUTED_VALUE"""),65.0)</f>
        <v>65</v>
      </c>
      <c r="F7672" s="19" t="str">
        <f>IFERROR(__xludf.DUMMYFUNCTION("""COMPUTED_VALUE"""),"BLUE")</f>
        <v>BLUE</v>
      </c>
      <c r="G7672" s="20" t="str">
        <f>IFERROR(__xludf.DUMMYFUNCTION("""COMPUTED_VALUE"""),"Uncle Sams Cider (04/04/2023)")</f>
        <v>Uncle Sams Cider (04/04/2023)</v>
      </c>
      <c r="H7672" s="19"/>
    </row>
    <row r="7673">
      <c r="A7673" s="9"/>
      <c r="B7673" s="15"/>
      <c r="C7673" s="9">
        <f>IFERROR(__xludf.DUMMYFUNCTION("""COMPUTED_VALUE"""),45063.6554288425)</f>
        <v>45063.65543</v>
      </c>
      <c r="D7673" s="15">
        <f>IFERROR(__xludf.DUMMYFUNCTION("""COMPUTED_VALUE"""),1.014)</f>
        <v>1.014</v>
      </c>
      <c r="E7673" s="16">
        <f>IFERROR(__xludf.DUMMYFUNCTION("""COMPUTED_VALUE"""),65.0)</f>
        <v>65</v>
      </c>
      <c r="F7673" s="19" t="str">
        <f>IFERROR(__xludf.DUMMYFUNCTION("""COMPUTED_VALUE"""),"BLUE")</f>
        <v>BLUE</v>
      </c>
      <c r="G7673" s="20" t="str">
        <f>IFERROR(__xludf.DUMMYFUNCTION("""COMPUTED_VALUE"""),"Uncle Sams Cider (04/04/2023)")</f>
        <v>Uncle Sams Cider (04/04/2023)</v>
      </c>
      <c r="H7673" s="19"/>
    </row>
    <row r="7674">
      <c r="A7674" s="9"/>
      <c r="B7674" s="15"/>
      <c r="C7674" s="9">
        <f>IFERROR(__xludf.DUMMYFUNCTION("""COMPUTED_VALUE"""),45063.6449966319)</f>
        <v>45063.645</v>
      </c>
      <c r="D7674" s="15">
        <f>IFERROR(__xludf.DUMMYFUNCTION("""COMPUTED_VALUE"""),1.014)</f>
        <v>1.014</v>
      </c>
      <c r="E7674" s="16">
        <f>IFERROR(__xludf.DUMMYFUNCTION("""COMPUTED_VALUE"""),65.0)</f>
        <v>65</v>
      </c>
      <c r="F7674" s="19" t="str">
        <f>IFERROR(__xludf.DUMMYFUNCTION("""COMPUTED_VALUE"""),"BLUE")</f>
        <v>BLUE</v>
      </c>
      <c r="G7674" s="20" t="str">
        <f>IFERROR(__xludf.DUMMYFUNCTION("""COMPUTED_VALUE"""),"Uncle Sams Cider (04/04/2023)")</f>
        <v>Uncle Sams Cider (04/04/2023)</v>
      </c>
      <c r="H7674" s="19"/>
    </row>
    <row r="7675">
      <c r="A7675" s="9"/>
      <c r="B7675" s="15"/>
      <c r="C7675" s="9">
        <f>IFERROR(__xludf.DUMMYFUNCTION("""COMPUTED_VALUE"""),45063.6345767245)</f>
        <v>45063.63458</v>
      </c>
      <c r="D7675" s="15">
        <f>IFERROR(__xludf.DUMMYFUNCTION("""COMPUTED_VALUE"""),1.014)</f>
        <v>1.014</v>
      </c>
      <c r="E7675" s="16">
        <f>IFERROR(__xludf.DUMMYFUNCTION("""COMPUTED_VALUE"""),65.0)</f>
        <v>65</v>
      </c>
      <c r="F7675" s="19" t="str">
        <f>IFERROR(__xludf.DUMMYFUNCTION("""COMPUTED_VALUE"""),"BLUE")</f>
        <v>BLUE</v>
      </c>
      <c r="G7675" s="20" t="str">
        <f>IFERROR(__xludf.DUMMYFUNCTION("""COMPUTED_VALUE"""),"Uncle Sams Cider (04/04/2023)")</f>
        <v>Uncle Sams Cider (04/04/2023)</v>
      </c>
      <c r="H7675" s="19"/>
    </row>
    <row r="7676">
      <c r="A7676" s="9"/>
      <c r="B7676" s="15"/>
      <c r="C7676" s="9">
        <f>IFERROR(__xludf.DUMMYFUNCTION("""COMPUTED_VALUE"""),45063.6241557523)</f>
        <v>45063.62416</v>
      </c>
      <c r="D7676" s="15">
        <f>IFERROR(__xludf.DUMMYFUNCTION("""COMPUTED_VALUE"""),1.014)</f>
        <v>1.014</v>
      </c>
      <c r="E7676" s="16">
        <f>IFERROR(__xludf.DUMMYFUNCTION("""COMPUTED_VALUE"""),65.0)</f>
        <v>65</v>
      </c>
      <c r="F7676" s="19" t="str">
        <f>IFERROR(__xludf.DUMMYFUNCTION("""COMPUTED_VALUE"""),"BLUE")</f>
        <v>BLUE</v>
      </c>
      <c r="G7676" s="20" t="str">
        <f>IFERROR(__xludf.DUMMYFUNCTION("""COMPUTED_VALUE"""),"Uncle Sams Cider (04/04/2023)")</f>
        <v>Uncle Sams Cider (04/04/2023)</v>
      </c>
      <c r="H7676" s="19"/>
    </row>
    <row r="7677">
      <c r="A7677" s="9"/>
      <c r="B7677" s="15"/>
      <c r="C7677" s="9">
        <f>IFERROR(__xludf.DUMMYFUNCTION("""COMPUTED_VALUE"""),45063.6137335416)</f>
        <v>45063.61373</v>
      </c>
      <c r="D7677" s="15">
        <f>IFERROR(__xludf.DUMMYFUNCTION("""COMPUTED_VALUE"""),1.014)</f>
        <v>1.014</v>
      </c>
      <c r="E7677" s="16">
        <f>IFERROR(__xludf.DUMMYFUNCTION("""COMPUTED_VALUE"""),65.0)</f>
        <v>65</v>
      </c>
      <c r="F7677" s="19" t="str">
        <f>IFERROR(__xludf.DUMMYFUNCTION("""COMPUTED_VALUE"""),"BLUE")</f>
        <v>BLUE</v>
      </c>
      <c r="G7677" s="20" t="str">
        <f>IFERROR(__xludf.DUMMYFUNCTION("""COMPUTED_VALUE"""),"Uncle Sams Cider (04/04/2023)")</f>
        <v>Uncle Sams Cider (04/04/2023)</v>
      </c>
      <c r="H7677" s="19"/>
    </row>
    <row r="7678">
      <c r="A7678" s="9"/>
      <c r="B7678" s="15"/>
      <c r="C7678" s="9">
        <f>IFERROR(__xludf.DUMMYFUNCTION("""COMPUTED_VALUE"""),45063.6033125926)</f>
        <v>45063.60331</v>
      </c>
      <c r="D7678" s="15">
        <f>IFERROR(__xludf.DUMMYFUNCTION("""COMPUTED_VALUE"""),1.014)</f>
        <v>1.014</v>
      </c>
      <c r="E7678" s="16">
        <f>IFERROR(__xludf.DUMMYFUNCTION("""COMPUTED_VALUE"""),65.0)</f>
        <v>65</v>
      </c>
      <c r="F7678" s="19" t="str">
        <f>IFERROR(__xludf.DUMMYFUNCTION("""COMPUTED_VALUE"""),"BLUE")</f>
        <v>BLUE</v>
      </c>
      <c r="G7678" s="20" t="str">
        <f>IFERROR(__xludf.DUMMYFUNCTION("""COMPUTED_VALUE"""),"Uncle Sams Cider (04/04/2023)")</f>
        <v>Uncle Sams Cider (04/04/2023)</v>
      </c>
      <c r="H7678" s="19"/>
    </row>
    <row r="7679">
      <c r="A7679" s="9"/>
      <c r="B7679" s="15"/>
      <c r="C7679" s="9">
        <f>IFERROR(__xludf.DUMMYFUNCTION("""COMPUTED_VALUE"""),45063.5928805092)</f>
        <v>45063.59288</v>
      </c>
      <c r="D7679" s="15">
        <f>IFERROR(__xludf.DUMMYFUNCTION("""COMPUTED_VALUE"""),1.014)</f>
        <v>1.014</v>
      </c>
      <c r="E7679" s="16">
        <f>IFERROR(__xludf.DUMMYFUNCTION("""COMPUTED_VALUE"""),65.0)</f>
        <v>65</v>
      </c>
      <c r="F7679" s="19" t="str">
        <f>IFERROR(__xludf.DUMMYFUNCTION("""COMPUTED_VALUE"""),"BLUE")</f>
        <v>BLUE</v>
      </c>
      <c r="G7679" s="20" t="str">
        <f>IFERROR(__xludf.DUMMYFUNCTION("""COMPUTED_VALUE"""),"Uncle Sams Cider (04/04/2023)")</f>
        <v>Uncle Sams Cider (04/04/2023)</v>
      </c>
      <c r="H7679" s="19"/>
    </row>
    <row r="7680">
      <c r="A7680" s="9"/>
      <c r="B7680" s="15"/>
      <c r="C7680" s="9">
        <f>IFERROR(__xludf.DUMMYFUNCTION("""COMPUTED_VALUE"""),45063.5824591898)</f>
        <v>45063.58246</v>
      </c>
      <c r="D7680" s="15">
        <f>IFERROR(__xludf.DUMMYFUNCTION("""COMPUTED_VALUE"""),1.014)</f>
        <v>1.014</v>
      </c>
      <c r="E7680" s="16">
        <f>IFERROR(__xludf.DUMMYFUNCTION("""COMPUTED_VALUE"""),65.0)</f>
        <v>65</v>
      </c>
      <c r="F7680" s="19" t="str">
        <f>IFERROR(__xludf.DUMMYFUNCTION("""COMPUTED_VALUE"""),"BLUE")</f>
        <v>BLUE</v>
      </c>
      <c r="G7680" s="20" t="str">
        <f>IFERROR(__xludf.DUMMYFUNCTION("""COMPUTED_VALUE"""),"Uncle Sams Cider (04/04/2023)")</f>
        <v>Uncle Sams Cider (04/04/2023)</v>
      </c>
      <c r="H7680" s="19"/>
    </row>
    <row r="7681">
      <c r="A7681" s="9"/>
      <c r="B7681" s="15"/>
      <c r="C7681" s="9">
        <f>IFERROR(__xludf.DUMMYFUNCTION("""COMPUTED_VALUE"""),45063.5720375694)</f>
        <v>45063.57204</v>
      </c>
      <c r="D7681" s="15">
        <f>IFERROR(__xludf.DUMMYFUNCTION("""COMPUTED_VALUE"""),1.014)</f>
        <v>1.014</v>
      </c>
      <c r="E7681" s="16">
        <f>IFERROR(__xludf.DUMMYFUNCTION("""COMPUTED_VALUE"""),65.0)</f>
        <v>65</v>
      </c>
      <c r="F7681" s="19" t="str">
        <f>IFERROR(__xludf.DUMMYFUNCTION("""COMPUTED_VALUE"""),"BLUE")</f>
        <v>BLUE</v>
      </c>
      <c r="G7681" s="20" t="str">
        <f>IFERROR(__xludf.DUMMYFUNCTION("""COMPUTED_VALUE"""),"Uncle Sams Cider (04/04/2023)")</f>
        <v>Uncle Sams Cider (04/04/2023)</v>
      </c>
      <c r="H7681" s="19"/>
    </row>
    <row r="7682">
      <c r="A7682" s="9"/>
      <c r="B7682" s="15"/>
      <c r="C7682" s="9">
        <f>IFERROR(__xludf.DUMMYFUNCTION("""COMPUTED_VALUE"""),45063.5616171412)</f>
        <v>45063.56162</v>
      </c>
      <c r="D7682" s="15">
        <f>IFERROR(__xludf.DUMMYFUNCTION("""COMPUTED_VALUE"""),1.014)</f>
        <v>1.014</v>
      </c>
      <c r="E7682" s="16">
        <f>IFERROR(__xludf.DUMMYFUNCTION("""COMPUTED_VALUE"""),65.0)</f>
        <v>65</v>
      </c>
      <c r="F7682" s="19" t="str">
        <f>IFERROR(__xludf.DUMMYFUNCTION("""COMPUTED_VALUE"""),"BLUE")</f>
        <v>BLUE</v>
      </c>
      <c r="G7682" s="20" t="str">
        <f>IFERROR(__xludf.DUMMYFUNCTION("""COMPUTED_VALUE"""),"Uncle Sams Cider (04/04/2023)")</f>
        <v>Uncle Sams Cider (04/04/2023)</v>
      </c>
      <c r="H7682" s="19"/>
    </row>
    <row r="7683">
      <c r="A7683" s="9"/>
      <c r="B7683" s="15"/>
      <c r="C7683" s="9">
        <f>IFERROR(__xludf.DUMMYFUNCTION("""COMPUTED_VALUE"""),45063.5511972453)</f>
        <v>45063.5512</v>
      </c>
      <c r="D7683" s="15">
        <f>IFERROR(__xludf.DUMMYFUNCTION("""COMPUTED_VALUE"""),1.014)</f>
        <v>1.014</v>
      </c>
      <c r="E7683" s="16">
        <f>IFERROR(__xludf.DUMMYFUNCTION("""COMPUTED_VALUE"""),65.0)</f>
        <v>65</v>
      </c>
      <c r="F7683" s="19" t="str">
        <f>IFERROR(__xludf.DUMMYFUNCTION("""COMPUTED_VALUE"""),"BLUE")</f>
        <v>BLUE</v>
      </c>
      <c r="G7683" s="20" t="str">
        <f>IFERROR(__xludf.DUMMYFUNCTION("""COMPUTED_VALUE"""),"Uncle Sams Cider (04/04/2023)")</f>
        <v>Uncle Sams Cider (04/04/2023)</v>
      </c>
      <c r="H7683" s="19"/>
    </row>
    <row r="7684">
      <c r="A7684" s="9"/>
      <c r="B7684" s="15"/>
      <c r="C7684" s="9">
        <f>IFERROR(__xludf.DUMMYFUNCTION("""COMPUTED_VALUE"""),45063.5407767592)</f>
        <v>45063.54078</v>
      </c>
      <c r="D7684" s="15">
        <f>IFERROR(__xludf.DUMMYFUNCTION("""COMPUTED_VALUE"""),1.014)</f>
        <v>1.014</v>
      </c>
      <c r="E7684" s="16">
        <f>IFERROR(__xludf.DUMMYFUNCTION("""COMPUTED_VALUE"""),65.0)</f>
        <v>65</v>
      </c>
      <c r="F7684" s="19" t="str">
        <f>IFERROR(__xludf.DUMMYFUNCTION("""COMPUTED_VALUE"""),"BLUE")</f>
        <v>BLUE</v>
      </c>
      <c r="G7684" s="20" t="str">
        <f>IFERROR(__xludf.DUMMYFUNCTION("""COMPUTED_VALUE"""),"Uncle Sams Cider (04/04/2023)")</f>
        <v>Uncle Sams Cider (04/04/2023)</v>
      </c>
      <c r="H7684" s="19"/>
    </row>
    <row r="7685">
      <c r="A7685" s="9"/>
      <c r="B7685" s="15"/>
      <c r="C7685" s="9">
        <f>IFERROR(__xludf.DUMMYFUNCTION("""COMPUTED_VALUE"""),45063.5303551388)</f>
        <v>45063.53036</v>
      </c>
      <c r="D7685" s="15">
        <f>IFERROR(__xludf.DUMMYFUNCTION("""COMPUTED_VALUE"""),1.014)</f>
        <v>1.014</v>
      </c>
      <c r="E7685" s="16">
        <f>IFERROR(__xludf.DUMMYFUNCTION("""COMPUTED_VALUE"""),65.0)</f>
        <v>65</v>
      </c>
      <c r="F7685" s="19" t="str">
        <f>IFERROR(__xludf.DUMMYFUNCTION("""COMPUTED_VALUE"""),"BLUE")</f>
        <v>BLUE</v>
      </c>
      <c r="G7685" s="20" t="str">
        <f>IFERROR(__xludf.DUMMYFUNCTION("""COMPUTED_VALUE"""),"Uncle Sams Cider (04/04/2023)")</f>
        <v>Uncle Sams Cider (04/04/2023)</v>
      </c>
      <c r="H7685" s="19"/>
    </row>
    <row r="7686">
      <c r="A7686" s="9"/>
      <c r="B7686" s="15"/>
      <c r="C7686" s="9">
        <f>IFERROR(__xludf.DUMMYFUNCTION("""COMPUTED_VALUE"""),45063.5199330555)</f>
        <v>45063.51993</v>
      </c>
      <c r="D7686" s="15">
        <f>IFERROR(__xludf.DUMMYFUNCTION("""COMPUTED_VALUE"""),1.014)</f>
        <v>1.014</v>
      </c>
      <c r="E7686" s="16">
        <f>IFERROR(__xludf.DUMMYFUNCTION("""COMPUTED_VALUE"""),65.0)</f>
        <v>65</v>
      </c>
      <c r="F7686" s="19" t="str">
        <f>IFERROR(__xludf.DUMMYFUNCTION("""COMPUTED_VALUE"""),"BLUE")</f>
        <v>BLUE</v>
      </c>
      <c r="G7686" s="20" t="str">
        <f>IFERROR(__xludf.DUMMYFUNCTION("""COMPUTED_VALUE"""),"Uncle Sams Cider (04/04/2023)")</f>
        <v>Uncle Sams Cider (04/04/2023)</v>
      </c>
      <c r="H7686" s="19"/>
    </row>
    <row r="7687">
      <c r="A7687" s="9"/>
      <c r="B7687" s="15"/>
      <c r="C7687" s="9">
        <f>IFERROR(__xludf.DUMMYFUNCTION("""COMPUTED_VALUE"""),45063.5095005439)</f>
        <v>45063.5095</v>
      </c>
      <c r="D7687" s="15">
        <f>IFERROR(__xludf.DUMMYFUNCTION("""COMPUTED_VALUE"""),1.014)</f>
        <v>1.014</v>
      </c>
      <c r="E7687" s="16">
        <f>IFERROR(__xludf.DUMMYFUNCTION("""COMPUTED_VALUE"""),65.0)</f>
        <v>65</v>
      </c>
      <c r="F7687" s="19" t="str">
        <f>IFERROR(__xludf.DUMMYFUNCTION("""COMPUTED_VALUE"""),"BLUE")</f>
        <v>BLUE</v>
      </c>
      <c r="G7687" s="20" t="str">
        <f>IFERROR(__xludf.DUMMYFUNCTION("""COMPUTED_VALUE"""),"Uncle Sams Cider (04/04/2023)")</f>
        <v>Uncle Sams Cider (04/04/2023)</v>
      </c>
      <c r="H7687" s="19"/>
    </row>
    <row r="7688">
      <c r="A7688" s="9"/>
      <c r="B7688" s="15"/>
      <c r="C7688" s="9">
        <f>IFERROR(__xludf.DUMMYFUNCTION("""COMPUTED_VALUE"""),45063.4990806944)</f>
        <v>45063.49908</v>
      </c>
      <c r="D7688" s="15">
        <f>IFERROR(__xludf.DUMMYFUNCTION("""COMPUTED_VALUE"""),1.014)</f>
        <v>1.014</v>
      </c>
      <c r="E7688" s="16">
        <f>IFERROR(__xludf.DUMMYFUNCTION("""COMPUTED_VALUE"""),65.0)</f>
        <v>65</v>
      </c>
      <c r="F7688" s="19" t="str">
        <f>IFERROR(__xludf.DUMMYFUNCTION("""COMPUTED_VALUE"""),"BLUE")</f>
        <v>BLUE</v>
      </c>
      <c r="G7688" s="20" t="str">
        <f>IFERROR(__xludf.DUMMYFUNCTION("""COMPUTED_VALUE"""),"Uncle Sams Cider (04/04/2023)")</f>
        <v>Uncle Sams Cider (04/04/2023)</v>
      </c>
      <c r="H7688" s="19"/>
    </row>
    <row r="7689">
      <c r="A7689" s="9"/>
      <c r="B7689" s="15"/>
      <c r="C7689" s="9">
        <f>IFERROR(__xludf.DUMMYFUNCTION("""COMPUTED_VALUE"""),45063.4886587268)</f>
        <v>45063.48866</v>
      </c>
      <c r="D7689" s="15">
        <f>IFERROR(__xludf.DUMMYFUNCTION("""COMPUTED_VALUE"""),1.014)</f>
        <v>1.014</v>
      </c>
      <c r="E7689" s="16">
        <f>IFERROR(__xludf.DUMMYFUNCTION("""COMPUTED_VALUE"""),65.0)</f>
        <v>65</v>
      </c>
      <c r="F7689" s="19" t="str">
        <f>IFERROR(__xludf.DUMMYFUNCTION("""COMPUTED_VALUE"""),"BLUE")</f>
        <v>BLUE</v>
      </c>
      <c r="G7689" s="20" t="str">
        <f>IFERROR(__xludf.DUMMYFUNCTION("""COMPUTED_VALUE"""),"Uncle Sams Cider (04/04/2023)")</f>
        <v>Uncle Sams Cider (04/04/2023)</v>
      </c>
      <c r="H7689" s="19"/>
    </row>
    <row r="7690">
      <c r="A7690" s="9"/>
      <c r="B7690" s="15"/>
      <c r="C7690" s="9">
        <f>IFERROR(__xludf.DUMMYFUNCTION("""COMPUTED_VALUE"""),45063.4782393055)</f>
        <v>45063.47824</v>
      </c>
      <c r="D7690" s="15">
        <f>IFERROR(__xludf.DUMMYFUNCTION("""COMPUTED_VALUE"""),1.014)</f>
        <v>1.014</v>
      </c>
      <c r="E7690" s="16">
        <f>IFERROR(__xludf.DUMMYFUNCTION("""COMPUTED_VALUE"""),65.0)</f>
        <v>65</v>
      </c>
      <c r="F7690" s="19" t="str">
        <f>IFERROR(__xludf.DUMMYFUNCTION("""COMPUTED_VALUE"""),"BLUE")</f>
        <v>BLUE</v>
      </c>
      <c r="G7690" s="20" t="str">
        <f>IFERROR(__xludf.DUMMYFUNCTION("""COMPUTED_VALUE"""),"Uncle Sams Cider (04/04/2023)")</f>
        <v>Uncle Sams Cider (04/04/2023)</v>
      </c>
      <c r="H7690" s="19"/>
    </row>
    <row r="7691">
      <c r="A7691" s="9"/>
      <c r="B7691" s="15"/>
      <c r="C7691" s="9">
        <f>IFERROR(__xludf.DUMMYFUNCTION("""COMPUTED_VALUE"""),45063.4678174189)</f>
        <v>45063.46782</v>
      </c>
      <c r="D7691" s="15">
        <f>IFERROR(__xludf.DUMMYFUNCTION("""COMPUTED_VALUE"""),1.014)</f>
        <v>1.014</v>
      </c>
      <c r="E7691" s="16">
        <f>IFERROR(__xludf.DUMMYFUNCTION("""COMPUTED_VALUE"""),65.0)</f>
        <v>65</v>
      </c>
      <c r="F7691" s="19" t="str">
        <f>IFERROR(__xludf.DUMMYFUNCTION("""COMPUTED_VALUE"""),"BLUE")</f>
        <v>BLUE</v>
      </c>
      <c r="G7691" s="20" t="str">
        <f>IFERROR(__xludf.DUMMYFUNCTION("""COMPUTED_VALUE"""),"Uncle Sams Cider (04/04/2023)")</f>
        <v>Uncle Sams Cider (04/04/2023)</v>
      </c>
      <c r="H7691" s="19"/>
    </row>
    <row r="7692">
      <c r="A7692" s="9"/>
      <c r="B7692" s="15"/>
      <c r="C7692" s="9">
        <f>IFERROR(__xludf.DUMMYFUNCTION("""COMPUTED_VALUE"""),45063.4573987731)</f>
        <v>45063.4574</v>
      </c>
      <c r="D7692" s="15">
        <f>IFERROR(__xludf.DUMMYFUNCTION("""COMPUTED_VALUE"""),1.014)</f>
        <v>1.014</v>
      </c>
      <c r="E7692" s="16">
        <f>IFERROR(__xludf.DUMMYFUNCTION("""COMPUTED_VALUE"""),65.0)</f>
        <v>65</v>
      </c>
      <c r="F7692" s="19" t="str">
        <f>IFERROR(__xludf.DUMMYFUNCTION("""COMPUTED_VALUE"""),"BLUE")</f>
        <v>BLUE</v>
      </c>
      <c r="G7692" s="20" t="str">
        <f>IFERROR(__xludf.DUMMYFUNCTION("""COMPUTED_VALUE"""),"Uncle Sams Cider (04/04/2023)")</f>
        <v>Uncle Sams Cider (04/04/2023)</v>
      </c>
      <c r="H7692" s="19"/>
    </row>
    <row r="7693">
      <c r="A7693" s="9"/>
      <c r="B7693" s="15"/>
      <c r="C7693" s="9">
        <f>IFERROR(__xludf.DUMMYFUNCTION("""COMPUTED_VALUE"""),45063.4469779282)</f>
        <v>45063.44698</v>
      </c>
      <c r="D7693" s="15">
        <f>IFERROR(__xludf.DUMMYFUNCTION("""COMPUTED_VALUE"""),1.014)</f>
        <v>1.014</v>
      </c>
      <c r="E7693" s="16">
        <f>IFERROR(__xludf.DUMMYFUNCTION("""COMPUTED_VALUE"""),65.0)</f>
        <v>65</v>
      </c>
      <c r="F7693" s="19" t="str">
        <f>IFERROR(__xludf.DUMMYFUNCTION("""COMPUTED_VALUE"""),"BLUE")</f>
        <v>BLUE</v>
      </c>
      <c r="G7693" s="20" t="str">
        <f>IFERROR(__xludf.DUMMYFUNCTION("""COMPUTED_VALUE"""),"Uncle Sams Cider (04/04/2023)")</f>
        <v>Uncle Sams Cider (04/04/2023)</v>
      </c>
      <c r="H7693" s="19"/>
    </row>
    <row r="7694">
      <c r="A7694" s="9"/>
      <c r="B7694" s="15"/>
      <c r="C7694" s="9">
        <f>IFERROR(__xludf.DUMMYFUNCTION("""COMPUTED_VALUE"""),45063.4365563657)</f>
        <v>45063.43656</v>
      </c>
      <c r="D7694" s="15">
        <f>IFERROR(__xludf.DUMMYFUNCTION("""COMPUTED_VALUE"""),1.014)</f>
        <v>1.014</v>
      </c>
      <c r="E7694" s="16">
        <f>IFERROR(__xludf.DUMMYFUNCTION("""COMPUTED_VALUE"""),65.0)</f>
        <v>65</v>
      </c>
      <c r="F7694" s="19" t="str">
        <f>IFERROR(__xludf.DUMMYFUNCTION("""COMPUTED_VALUE"""),"BLUE")</f>
        <v>BLUE</v>
      </c>
      <c r="G7694" s="20" t="str">
        <f>IFERROR(__xludf.DUMMYFUNCTION("""COMPUTED_VALUE"""),"Uncle Sams Cider (04/04/2023)")</f>
        <v>Uncle Sams Cider (04/04/2023)</v>
      </c>
      <c r="H7694" s="19"/>
    </row>
    <row r="7695">
      <c r="A7695" s="9"/>
      <c r="B7695" s="15"/>
      <c r="C7695" s="9">
        <f>IFERROR(__xludf.DUMMYFUNCTION("""COMPUTED_VALUE"""),45063.4261350231)</f>
        <v>45063.42614</v>
      </c>
      <c r="D7695" s="15">
        <f>IFERROR(__xludf.DUMMYFUNCTION("""COMPUTED_VALUE"""),1.014)</f>
        <v>1.014</v>
      </c>
      <c r="E7695" s="16">
        <f>IFERROR(__xludf.DUMMYFUNCTION("""COMPUTED_VALUE"""),65.0)</f>
        <v>65</v>
      </c>
      <c r="F7695" s="19" t="str">
        <f>IFERROR(__xludf.DUMMYFUNCTION("""COMPUTED_VALUE"""),"BLUE")</f>
        <v>BLUE</v>
      </c>
      <c r="G7695" s="20" t="str">
        <f>IFERROR(__xludf.DUMMYFUNCTION("""COMPUTED_VALUE"""),"Uncle Sams Cider (04/04/2023)")</f>
        <v>Uncle Sams Cider (04/04/2023)</v>
      </c>
      <c r="H7695" s="19"/>
    </row>
    <row r="7696">
      <c r="A7696" s="9"/>
      <c r="B7696" s="15"/>
      <c r="C7696" s="9">
        <f>IFERROR(__xludf.DUMMYFUNCTION("""COMPUTED_VALUE"""),45063.4157149884)</f>
        <v>45063.41571</v>
      </c>
      <c r="D7696" s="15">
        <f>IFERROR(__xludf.DUMMYFUNCTION("""COMPUTED_VALUE"""),1.014)</f>
        <v>1.014</v>
      </c>
      <c r="E7696" s="16">
        <f>IFERROR(__xludf.DUMMYFUNCTION("""COMPUTED_VALUE"""),65.0)</f>
        <v>65</v>
      </c>
      <c r="F7696" s="19" t="str">
        <f>IFERROR(__xludf.DUMMYFUNCTION("""COMPUTED_VALUE"""),"BLUE")</f>
        <v>BLUE</v>
      </c>
      <c r="G7696" s="20" t="str">
        <f>IFERROR(__xludf.DUMMYFUNCTION("""COMPUTED_VALUE"""),"Uncle Sams Cider (04/04/2023)")</f>
        <v>Uncle Sams Cider (04/04/2023)</v>
      </c>
      <c r="H7696" s="19"/>
    </row>
    <row r="7697">
      <c r="A7697" s="9"/>
      <c r="B7697" s="15"/>
      <c r="C7697" s="9">
        <f>IFERROR(__xludf.DUMMYFUNCTION("""COMPUTED_VALUE"""),45063.4052698032)</f>
        <v>45063.40527</v>
      </c>
      <c r="D7697" s="15">
        <f>IFERROR(__xludf.DUMMYFUNCTION("""COMPUTED_VALUE"""),1.014)</f>
        <v>1.014</v>
      </c>
      <c r="E7697" s="16">
        <f>IFERROR(__xludf.DUMMYFUNCTION("""COMPUTED_VALUE"""),65.0)</f>
        <v>65</v>
      </c>
      <c r="F7697" s="19" t="str">
        <f>IFERROR(__xludf.DUMMYFUNCTION("""COMPUTED_VALUE"""),"BLUE")</f>
        <v>BLUE</v>
      </c>
      <c r="G7697" s="20" t="str">
        <f>IFERROR(__xludf.DUMMYFUNCTION("""COMPUTED_VALUE"""),"Uncle Sams Cider (04/04/2023)")</f>
        <v>Uncle Sams Cider (04/04/2023)</v>
      </c>
      <c r="H7697" s="19"/>
    </row>
    <row r="7698">
      <c r="A7698" s="9"/>
      <c r="B7698" s="15"/>
      <c r="C7698" s="9">
        <f>IFERROR(__xludf.DUMMYFUNCTION("""COMPUTED_VALUE"""),45063.3948485069)</f>
        <v>45063.39485</v>
      </c>
      <c r="D7698" s="15">
        <f>IFERROR(__xludf.DUMMYFUNCTION("""COMPUTED_VALUE"""),1.014)</f>
        <v>1.014</v>
      </c>
      <c r="E7698" s="16">
        <f>IFERROR(__xludf.DUMMYFUNCTION("""COMPUTED_VALUE"""),65.0)</f>
        <v>65</v>
      </c>
      <c r="F7698" s="19" t="str">
        <f>IFERROR(__xludf.DUMMYFUNCTION("""COMPUTED_VALUE"""),"BLUE")</f>
        <v>BLUE</v>
      </c>
      <c r="G7698" s="20" t="str">
        <f>IFERROR(__xludf.DUMMYFUNCTION("""COMPUTED_VALUE"""),"Uncle Sams Cider (04/04/2023)")</f>
        <v>Uncle Sams Cider (04/04/2023)</v>
      </c>
      <c r="H7698" s="19"/>
    </row>
    <row r="7699">
      <c r="A7699" s="9"/>
      <c r="B7699" s="15"/>
      <c r="C7699" s="9">
        <f>IFERROR(__xludf.DUMMYFUNCTION("""COMPUTED_VALUE"""),45063.3844149421)</f>
        <v>45063.38441</v>
      </c>
      <c r="D7699" s="15">
        <f>IFERROR(__xludf.DUMMYFUNCTION("""COMPUTED_VALUE"""),1.014)</f>
        <v>1.014</v>
      </c>
      <c r="E7699" s="16">
        <f>IFERROR(__xludf.DUMMYFUNCTION("""COMPUTED_VALUE"""),65.0)</f>
        <v>65</v>
      </c>
      <c r="F7699" s="19" t="str">
        <f>IFERROR(__xludf.DUMMYFUNCTION("""COMPUTED_VALUE"""),"BLUE")</f>
        <v>BLUE</v>
      </c>
      <c r="G7699" s="20" t="str">
        <f>IFERROR(__xludf.DUMMYFUNCTION("""COMPUTED_VALUE"""),"Uncle Sams Cider (04/04/2023)")</f>
        <v>Uncle Sams Cider (04/04/2023)</v>
      </c>
      <c r="H7699" s="19"/>
    </row>
    <row r="7700">
      <c r="A7700" s="9"/>
      <c r="B7700" s="15"/>
      <c r="C7700" s="9">
        <f>IFERROR(__xludf.DUMMYFUNCTION("""COMPUTED_VALUE"""),45063.3739924305)</f>
        <v>45063.37399</v>
      </c>
      <c r="D7700" s="15">
        <f>IFERROR(__xludf.DUMMYFUNCTION("""COMPUTED_VALUE"""),1.014)</f>
        <v>1.014</v>
      </c>
      <c r="E7700" s="16">
        <f>IFERROR(__xludf.DUMMYFUNCTION("""COMPUTED_VALUE"""),65.0)</f>
        <v>65</v>
      </c>
      <c r="F7700" s="19" t="str">
        <f>IFERROR(__xludf.DUMMYFUNCTION("""COMPUTED_VALUE"""),"BLUE")</f>
        <v>BLUE</v>
      </c>
      <c r="G7700" s="20" t="str">
        <f>IFERROR(__xludf.DUMMYFUNCTION("""COMPUTED_VALUE"""),"Uncle Sams Cider (04/04/2023)")</f>
        <v>Uncle Sams Cider (04/04/2023)</v>
      </c>
      <c r="H7700" s="19"/>
    </row>
    <row r="7701">
      <c r="A7701" s="9"/>
      <c r="B7701" s="15"/>
      <c r="C7701" s="9">
        <f>IFERROR(__xludf.DUMMYFUNCTION("""COMPUTED_VALUE"""),45063.3635607638)</f>
        <v>45063.36356</v>
      </c>
      <c r="D7701" s="15">
        <f>IFERROR(__xludf.DUMMYFUNCTION("""COMPUTED_VALUE"""),1.014)</f>
        <v>1.014</v>
      </c>
      <c r="E7701" s="16">
        <f>IFERROR(__xludf.DUMMYFUNCTION("""COMPUTED_VALUE"""),65.0)</f>
        <v>65</v>
      </c>
      <c r="F7701" s="19" t="str">
        <f>IFERROR(__xludf.DUMMYFUNCTION("""COMPUTED_VALUE"""),"BLUE")</f>
        <v>BLUE</v>
      </c>
      <c r="G7701" s="20" t="str">
        <f>IFERROR(__xludf.DUMMYFUNCTION("""COMPUTED_VALUE"""),"Uncle Sams Cider (04/04/2023)")</f>
        <v>Uncle Sams Cider (04/04/2023)</v>
      </c>
      <c r="H7701" s="19"/>
    </row>
    <row r="7702">
      <c r="A7702" s="9"/>
      <c r="B7702" s="15"/>
      <c r="C7702" s="9">
        <f>IFERROR(__xludf.DUMMYFUNCTION("""COMPUTED_VALUE"""),45063.3531394675)</f>
        <v>45063.35314</v>
      </c>
      <c r="D7702" s="15">
        <f>IFERROR(__xludf.DUMMYFUNCTION("""COMPUTED_VALUE"""),1.014)</f>
        <v>1.014</v>
      </c>
      <c r="E7702" s="16">
        <f>IFERROR(__xludf.DUMMYFUNCTION("""COMPUTED_VALUE"""),65.0)</f>
        <v>65</v>
      </c>
      <c r="F7702" s="19" t="str">
        <f>IFERROR(__xludf.DUMMYFUNCTION("""COMPUTED_VALUE"""),"BLUE")</f>
        <v>BLUE</v>
      </c>
      <c r="G7702" s="20" t="str">
        <f>IFERROR(__xludf.DUMMYFUNCTION("""COMPUTED_VALUE"""),"Uncle Sams Cider (04/04/2023)")</f>
        <v>Uncle Sams Cider (04/04/2023)</v>
      </c>
      <c r="H7702" s="19"/>
    </row>
    <row r="7703">
      <c r="A7703" s="9"/>
      <c r="B7703" s="15"/>
      <c r="C7703" s="9">
        <f>IFERROR(__xludf.DUMMYFUNCTION("""COMPUTED_VALUE"""),45063.3427182986)</f>
        <v>45063.34272</v>
      </c>
      <c r="D7703" s="15">
        <f>IFERROR(__xludf.DUMMYFUNCTION("""COMPUTED_VALUE"""),1.014)</f>
        <v>1.014</v>
      </c>
      <c r="E7703" s="16">
        <f>IFERROR(__xludf.DUMMYFUNCTION("""COMPUTED_VALUE"""),65.0)</f>
        <v>65</v>
      </c>
      <c r="F7703" s="19" t="str">
        <f>IFERROR(__xludf.DUMMYFUNCTION("""COMPUTED_VALUE"""),"BLUE")</f>
        <v>BLUE</v>
      </c>
      <c r="G7703" s="20" t="str">
        <f>IFERROR(__xludf.DUMMYFUNCTION("""COMPUTED_VALUE"""),"Uncle Sams Cider (04/04/2023)")</f>
        <v>Uncle Sams Cider (04/04/2023)</v>
      </c>
      <c r="H7703" s="19"/>
    </row>
    <row r="7704">
      <c r="A7704" s="9"/>
      <c r="B7704" s="15"/>
      <c r="C7704" s="9">
        <f>IFERROR(__xludf.DUMMYFUNCTION("""COMPUTED_VALUE"""),45063.332298912)</f>
        <v>45063.3323</v>
      </c>
      <c r="D7704" s="15">
        <f>IFERROR(__xludf.DUMMYFUNCTION("""COMPUTED_VALUE"""),1.014)</f>
        <v>1.014</v>
      </c>
      <c r="E7704" s="16">
        <f>IFERROR(__xludf.DUMMYFUNCTION("""COMPUTED_VALUE"""),65.0)</f>
        <v>65</v>
      </c>
      <c r="F7704" s="19" t="str">
        <f>IFERROR(__xludf.DUMMYFUNCTION("""COMPUTED_VALUE"""),"BLUE")</f>
        <v>BLUE</v>
      </c>
      <c r="G7704" s="20" t="str">
        <f>IFERROR(__xludf.DUMMYFUNCTION("""COMPUTED_VALUE"""),"Uncle Sams Cider (04/04/2023)")</f>
        <v>Uncle Sams Cider (04/04/2023)</v>
      </c>
      <c r="H7704" s="19"/>
    </row>
    <row r="7705">
      <c r="A7705" s="9"/>
      <c r="B7705" s="15"/>
      <c r="C7705" s="9">
        <f>IFERROR(__xludf.DUMMYFUNCTION("""COMPUTED_VALUE"""),45063.3218770601)</f>
        <v>45063.32188</v>
      </c>
      <c r="D7705" s="15">
        <f>IFERROR(__xludf.DUMMYFUNCTION("""COMPUTED_VALUE"""),1.014)</f>
        <v>1.014</v>
      </c>
      <c r="E7705" s="16">
        <f>IFERROR(__xludf.DUMMYFUNCTION("""COMPUTED_VALUE"""),65.0)</f>
        <v>65</v>
      </c>
      <c r="F7705" s="19" t="str">
        <f>IFERROR(__xludf.DUMMYFUNCTION("""COMPUTED_VALUE"""),"BLUE")</f>
        <v>BLUE</v>
      </c>
      <c r="G7705" s="20" t="str">
        <f>IFERROR(__xludf.DUMMYFUNCTION("""COMPUTED_VALUE"""),"Uncle Sams Cider (04/04/2023)")</f>
        <v>Uncle Sams Cider (04/04/2023)</v>
      </c>
      <c r="H7705" s="19"/>
    </row>
    <row r="7706">
      <c r="A7706" s="9"/>
      <c r="B7706" s="15"/>
      <c r="C7706" s="9">
        <f>IFERROR(__xludf.DUMMYFUNCTION("""COMPUTED_VALUE"""),45063.3114578125)</f>
        <v>45063.31146</v>
      </c>
      <c r="D7706" s="15">
        <f>IFERROR(__xludf.DUMMYFUNCTION("""COMPUTED_VALUE"""),1.014)</f>
        <v>1.014</v>
      </c>
      <c r="E7706" s="16">
        <f>IFERROR(__xludf.DUMMYFUNCTION("""COMPUTED_VALUE"""),65.0)</f>
        <v>65</v>
      </c>
      <c r="F7706" s="19" t="str">
        <f>IFERROR(__xludf.DUMMYFUNCTION("""COMPUTED_VALUE"""),"BLUE")</f>
        <v>BLUE</v>
      </c>
      <c r="G7706" s="20" t="str">
        <f>IFERROR(__xludf.DUMMYFUNCTION("""COMPUTED_VALUE"""),"Uncle Sams Cider (04/04/2023)")</f>
        <v>Uncle Sams Cider (04/04/2023)</v>
      </c>
      <c r="H7706" s="19"/>
    </row>
    <row r="7707">
      <c r="A7707" s="9"/>
      <c r="B7707" s="15"/>
      <c r="C7707" s="9">
        <f>IFERROR(__xludf.DUMMYFUNCTION("""COMPUTED_VALUE"""),45063.3010387615)</f>
        <v>45063.30104</v>
      </c>
      <c r="D7707" s="15">
        <f>IFERROR(__xludf.DUMMYFUNCTION("""COMPUTED_VALUE"""),1.014)</f>
        <v>1.014</v>
      </c>
      <c r="E7707" s="16">
        <f>IFERROR(__xludf.DUMMYFUNCTION("""COMPUTED_VALUE"""),65.0)</f>
        <v>65</v>
      </c>
      <c r="F7707" s="19" t="str">
        <f>IFERROR(__xludf.DUMMYFUNCTION("""COMPUTED_VALUE"""),"BLUE")</f>
        <v>BLUE</v>
      </c>
      <c r="G7707" s="20" t="str">
        <f>IFERROR(__xludf.DUMMYFUNCTION("""COMPUTED_VALUE"""),"Uncle Sams Cider (04/04/2023)")</f>
        <v>Uncle Sams Cider (04/04/2023)</v>
      </c>
      <c r="H7707" s="19"/>
    </row>
    <row r="7708">
      <c r="A7708" s="9"/>
      <c r="B7708" s="15"/>
      <c r="C7708" s="9">
        <f>IFERROR(__xludf.DUMMYFUNCTION("""COMPUTED_VALUE"""),45063.2906174305)</f>
        <v>45063.29062</v>
      </c>
      <c r="D7708" s="15">
        <f>IFERROR(__xludf.DUMMYFUNCTION("""COMPUTED_VALUE"""),1.014)</f>
        <v>1.014</v>
      </c>
      <c r="E7708" s="16">
        <f>IFERROR(__xludf.DUMMYFUNCTION("""COMPUTED_VALUE"""),65.0)</f>
        <v>65</v>
      </c>
      <c r="F7708" s="19" t="str">
        <f>IFERROR(__xludf.DUMMYFUNCTION("""COMPUTED_VALUE"""),"BLUE")</f>
        <v>BLUE</v>
      </c>
      <c r="G7708" s="20" t="str">
        <f>IFERROR(__xludf.DUMMYFUNCTION("""COMPUTED_VALUE"""),"Uncle Sams Cider (04/04/2023)")</f>
        <v>Uncle Sams Cider (04/04/2023)</v>
      </c>
      <c r="H7708" s="19"/>
    </row>
    <row r="7709">
      <c r="A7709" s="9"/>
      <c r="B7709" s="15"/>
      <c r="C7709" s="9">
        <f>IFERROR(__xludf.DUMMYFUNCTION("""COMPUTED_VALUE"""),45063.280195706)</f>
        <v>45063.2802</v>
      </c>
      <c r="D7709" s="15">
        <f>IFERROR(__xludf.DUMMYFUNCTION("""COMPUTED_VALUE"""),1.014)</f>
        <v>1.014</v>
      </c>
      <c r="E7709" s="16">
        <f>IFERROR(__xludf.DUMMYFUNCTION("""COMPUTED_VALUE"""),65.0)</f>
        <v>65</v>
      </c>
      <c r="F7709" s="19" t="str">
        <f>IFERROR(__xludf.DUMMYFUNCTION("""COMPUTED_VALUE"""),"BLUE")</f>
        <v>BLUE</v>
      </c>
      <c r="G7709" s="20" t="str">
        <f>IFERROR(__xludf.DUMMYFUNCTION("""COMPUTED_VALUE"""),"Uncle Sams Cider (04/04/2023)")</f>
        <v>Uncle Sams Cider (04/04/2023)</v>
      </c>
      <c r="H7709" s="19"/>
    </row>
    <row r="7710">
      <c r="A7710" s="9"/>
      <c r="B7710" s="15"/>
      <c r="C7710" s="9">
        <f>IFERROR(__xludf.DUMMYFUNCTION("""COMPUTED_VALUE"""),45063.269774618)</f>
        <v>45063.26977</v>
      </c>
      <c r="D7710" s="15">
        <f>IFERROR(__xludf.DUMMYFUNCTION("""COMPUTED_VALUE"""),1.014)</f>
        <v>1.014</v>
      </c>
      <c r="E7710" s="16">
        <f>IFERROR(__xludf.DUMMYFUNCTION("""COMPUTED_VALUE"""),65.0)</f>
        <v>65</v>
      </c>
      <c r="F7710" s="19" t="str">
        <f>IFERROR(__xludf.DUMMYFUNCTION("""COMPUTED_VALUE"""),"BLUE")</f>
        <v>BLUE</v>
      </c>
      <c r="G7710" s="20" t="str">
        <f>IFERROR(__xludf.DUMMYFUNCTION("""COMPUTED_VALUE"""),"Uncle Sams Cider (04/04/2023)")</f>
        <v>Uncle Sams Cider (04/04/2023)</v>
      </c>
      <c r="H7710" s="19"/>
    </row>
    <row r="7711">
      <c r="A7711" s="9"/>
      <c r="B7711" s="15"/>
      <c r="C7711" s="9">
        <f>IFERROR(__xludf.DUMMYFUNCTION("""COMPUTED_VALUE"""),45063.2593529976)</f>
        <v>45063.25935</v>
      </c>
      <c r="D7711" s="15">
        <f>IFERROR(__xludf.DUMMYFUNCTION("""COMPUTED_VALUE"""),1.014)</f>
        <v>1.014</v>
      </c>
      <c r="E7711" s="16">
        <f>IFERROR(__xludf.DUMMYFUNCTION("""COMPUTED_VALUE"""),65.0)</f>
        <v>65</v>
      </c>
      <c r="F7711" s="19" t="str">
        <f>IFERROR(__xludf.DUMMYFUNCTION("""COMPUTED_VALUE"""),"BLUE")</f>
        <v>BLUE</v>
      </c>
      <c r="G7711" s="20" t="str">
        <f>IFERROR(__xludf.DUMMYFUNCTION("""COMPUTED_VALUE"""),"Uncle Sams Cider (04/04/2023)")</f>
        <v>Uncle Sams Cider (04/04/2023)</v>
      </c>
      <c r="H7711" s="19"/>
    </row>
    <row r="7712">
      <c r="A7712" s="9"/>
      <c r="B7712" s="15"/>
      <c r="C7712" s="9">
        <f>IFERROR(__xludf.DUMMYFUNCTION("""COMPUTED_VALUE"""),45063.2489192129)</f>
        <v>45063.24892</v>
      </c>
      <c r="D7712" s="15">
        <f>IFERROR(__xludf.DUMMYFUNCTION("""COMPUTED_VALUE"""),1.014)</f>
        <v>1.014</v>
      </c>
      <c r="E7712" s="16">
        <f>IFERROR(__xludf.DUMMYFUNCTION("""COMPUTED_VALUE"""),65.0)</f>
        <v>65</v>
      </c>
      <c r="F7712" s="19" t="str">
        <f>IFERROR(__xludf.DUMMYFUNCTION("""COMPUTED_VALUE"""),"BLUE")</f>
        <v>BLUE</v>
      </c>
      <c r="G7712" s="20" t="str">
        <f>IFERROR(__xludf.DUMMYFUNCTION("""COMPUTED_VALUE"""),"Uncle Sams Cider (04/04/2023)")</f>
        <v>Uncle Sams Cider (04/04/2023)</v>
      </c>
      <c r="H7712" s="19"/>
    </row>
    <row r="7713">
      <c r="A7713" s="9"/>
      <c r="B7713" s="15"/>
      <c r="C7713" s="9">
        <f>IFERROR(__xludf.DUMMYFUNCTION("""COMPUTED_VALUE"""),45063.2384874074)</f>
        <v>45063.23849</v>
      </c>
      <c r="D7713" s="15">
        <f>IFERROR(__xludf.DUMMYFUNCTION("""COMPUTED_VALUE"""),1.014)</f>
        <v>1.014</v>
      </c>
      <c r="E7713" s="16">
        <f>IFERROR(__xludf.DUMMYFUNCTION("""COMPUTED_VALUE"""),65.0)</f>
        <v>65</v>
      </c>
      <c r="F7713" s="19" t="str">
        <f>IFERROR(__xludf.DUMMYFUNCTION("""COMPUTED_VALUE"""),"BLUE")</f>
        <v>BLUE</v>
      </c>
      <c r="G7713" s="20" t="str">
        <f>IFERROR(__xludf.DUMMYFUNCTION("""COMPUTED_VALUE"""),"Uncle Sams Cider (04/04/2023)")</f>
        <v>Uncle Sams Cider (04/04/2023)</v>
      </c>
      <c r="H7713" s="19"/>
    </row>
    <row r="7714">
      <c r="A7714" s="9"/>
      <c r="B7714" s="15"/>
      <c r="C7714" s="9">
        <f>IFERROR(__xludf.DUMMYFUNCTION("""COMPUTED_VALUE"""),45063.2280532407)</f>
        <v>45063.22805</v>
      </c>
      <c r="D7714" s="15">
        <f>IFERROR(__xludf.DUMMYFUNCTION("""COMPUTED_VALUE"""),1.014)</f>
        <v>1.014</v>
      </c>
      <c r="E7714" s="16">
        <f>IFERROR(__xludf.DUMMYFUNCTION("""COMPUTED_VALUE"""),65.0)</f>
        <v>65</v>
      </c>
      <c r="F7714" s="19" t="str">
        <f>IFERROR(__xludf.DUMMYFUNCTION("""COMPUTED_VALUE"""),"BLUE")</f>
        <v>BLUE</v>
      </c>
      <c r="G7714" s="20" t="str">
        <f>IFERROR(__xludf.DUMMYFUNCTION("""COMPUTED_VALUE"""),"Uncle Sams Cider (04/04/2023)")</f>
        <v>Uncle Sams Cider (04/04/2023)</v>
      </c>
      <c r="H7714" s="19"/>
    </row>
    <row r="7715">
      <c r="A7715" s="9"/>
      <c r="B7715" s="15"/>
      <c r="C7715" s="9">
        <f>IFERROR(__xludf.DUMMYFUNCTION("""COMPUTED_VALUE"""),45063.2176320717)</f>
        <v>45063.21763</v>
      </c>
      <c r="D7715" s="15">
        <f>IFERROR(__xludf.DUMMYFUNCTION("""COMPUTED_VALUE"""),1.014)</f>
        <v>1.014</v>
      </c>
      <c r="E7715" s="16">
        <f>IFERROR(__xludf.DUMMYFUNCTION("""COMPUTED_VALUE"""),65.0)</f>
        <v>65</v>
      </c>
      <c r="F7715" s="19" t="str">
        <f>IFERROR(__xludf.DUMMYFUNCTION("""COMPUTED_VALUE"""),"BLUE")</f>
        <v>BLUE</v>
      </c>
      <c r="G7715" s="20" t="str">
        <f>IFERROR(__xludf.DUMMYFUNCTION("""COMPUTED_VALUE"""),"Uncle Sams Cider (04/04/2023)")</f>
        <v>Uncle Sams Cider (04/04/2023)</v>
      </c>
      <c r="H7715" s="19"/>
    </row>
    <row r="7716">
      <c r="A7716" s="9"/>
      <c r="B7716" s="15"/>
      <c r="C7716" s="9">
        <f>IFERROR(__xludf.DUMMYFUNCTION("""COMPUTED_VALUE"""),45063.2072104861)</f>
        <v>45063.20721</v>
      </c>
      <c r="D7716" s="15">
        <f>IFERROR(__xludf.DUMMYFUNCTION("""COMPUTED_VALUE"""),1.014)</f>
        <v>1.014</v>
      </c>
      <c r="E7716" s="16">
        <f>IFERROR(__xludf.DUMMYFUNCTION("""COMPUTED_VALUE"""),65.0)</f>
        <v>65</v>
      </c>
      <c r="F7716" s="19" t="str">
        <f>IFERROR(__xludf.DUMMYFUNCTION("""COMPUTED_VALUE"""),"BLUE")</f>
        <v>BLUE</v>
      </c>
      <c r="G7716" s="20" t="str">
        <f>IFERROR(__xludf.DUMMYFUNCTION("""COMPUTED_VALUE"""),"Uncle Sams Cider (04/04/2023)")</f>
        <v>Uncle Sams Cider (04/04/2023)</v>
      </c>
      <c r="H7716" s="19"/>
    </row>
    <row r="7717">
      <c r="A7717" s="9"/>
      <c r="B7717" s="15"/>
      <c r="C7717" s="9">
        <f>IFERROR(__xludf.DUMMYFUNCTION("""COMPUTED_VALUE"""),45063.1967675463)</f>
        <v>45063.19677</v>
      </c>
      <c r="D7717" s="15">
        <f>IFERROR(__xludf.DUMMYFUNCTION("""COMPUTED_VALUE"""),1.014)</f>
        <v>1.014</v>
      </c>
      <c r="E7717" s="16">
        <f>IFERROR(__xludf.DUMMYFUNCTION("""COMPUTED_VALUE"""),65.0)</f>
        <v>65</v>
      </c>
      <c r="F7717" s="19" t="str">
        <f>IFERROR(__xludf.DUMMYFUNCTION("""COMPUTED_VALUE"""),"BLUE")</f>
        <v>BLUE</v>
      </c>
      <c r="G7717" s="20" t="str">
        <f>IFERROR(__xludf.DUMMYFUNCTION("""COMPUTED_VALUE"""),"Uncle Sams Cider (04/04/2023)")</f>
        <v>Uncle Sams Cider (04/04/2023)</v>
      </c>
      <c r="H7717" s="19"/>
    </row>
    <row r="7718">
      <c r="A7718" s="9"/>
      <c r="B7718" s="15"/>
      <c r="C7718" s="9">
        <f>IFERROR(__xludf.DUMMYFUNCTION("""COMPUTED_VALUE"""),45063.1863481597)</f>
        <v>45063.18635</v>
      </c>
      <c r="D7718" s="15">
        <f>IFERROR(__xludf.DUMMYFUNCTION("""COMPUTED_VALUE"""),1.014)</f>
        <v>1.014</v>
      </c>
      <c r="E7718" s="16">
        <f>IFERROR(__xludf.DUMMYFUNCTION("""COMPUTED_VALUE"""),65.0)</f>
        <v>65</v>
      </c>
      <c r="F7718" s="19" t="str">
        <f>IFERROR(__xludf.DUMMYFUNCTION("""COMPUTED_VALUE"""),"BLUE")</f>
        <v>BLUE</v>
      </c>
      <c r="G7718" s="20" t="str">
        <f>IFERROR(__xludf.DUMMYFUNCTION("""COMPUTED_VALUE"""),"Uncle Sams Cider (04/04/2023)")</f>
        <v>Uncle Sams Cider (04/04/2023)</v>
      </c>
      <c r="H7718" s="19"/>
    </row>
    <row r="7719">
      <c r="A7719" s="9"/>
      <c r="B7719" s="15"/>
      <c r="C7719" s="9">
        <f>IFERROR(__xludf.DUMMYFUNCTION("""COMPUTED_VALUE"""),45063.1759160879)</f>
        <v>45063.17592</v>
      </c>
      <c r="D7719" s="15">
        <f>IFERROR(__xludf.DUMMYFUNCTION("""COMPUTED_VALUE"""),1.014)</f>
        <v>1.014</v>
      </c>
      <c r="E7719" s="16">
        <f>IFERROR(__xludf.DUMMYFUNCTION("""COMPUTED_VALUE"""),65.0)</f>
        <v>65</v>
      </c>
      <c r="F7719" s="19" t="str">
        <f>IFERROR(__xludf.DUMMYFUNCTION("""COMPUTED_VALUE"""),"BLUE")</f>
        <v>BLUE</v>
      </c>
      <c r="G7719" s="20" t="str">
        <f>IFERROR(__xludf.DUMMYFUNCTION("""COMPUTED_VALUE"""),"Uncle Sams Cider (04/04/2023)")</f>
        <v>Uncle Sams Cider (04/04/2023)</v>
      </c>
      <c r="H7719" s="19"/>
    </row>
    <row r="7720">
      <c r="A7720" s="9"/>
      <c r="B7720" s="15"/>
      <c r="C7720" s="9">
        <f>IFERROR(__xludf.DUMMYFUNCTION("""COMPUTED_VALUE"""),45063.1654954282)</f>
        <v>45063.1655</v>
      </c>
      <c r="D7720" s="15">
        <f>IFERROR(__xludf.DUMMYFUNCTION("""COMPUTED_VALUE"""),1.014)</f>
        <v>1.014</v>
      </c>
      <c r="E7720" s="16">
        <f>IFERROR(__xludf.DUMMYFUNCTION("""COMPUTED_VALUE"""),65.0)</f>
        <v>65</v>
      </c>
      <c r="F7720" s="19" t="str">
        <f>IFERROR(__xludf.DUMMYFUNCTION("""COMPUTED_VALUE"""),"BLUE")</f>
        <v>BLUE</v>
      </c>
      <c r="G7720" s="20" t="str">
        <f>IFERROR(__xludf.DUMMYFUNCTION("""COMPUTED_VALUE"""),"Uncle Sams Cider (04/04/2023)")</f>
        <v>Uncle Sams Cider (04/04/2023)</v>
      </c>
      <c r="H7720" s="19"/>
    </row>
    <row r="7721">
      <c r="A7721" s="9"/>
      <c r="B7721" s="15"/>
      <c r="C7721" s="9">
        <f>IFERROR(__xludf.DUMMYFUNCTION("""COMPUTED_VALUE"""),45063.1550745601)</f>
        <v>45063.15507</v>
      </c>
      <c r="D7721" s="15">
        <f>IFERROR(__xludf.DUMMYFUNCTION("""COMPUTED_VALUE"""),1.014)</f>
        <v>1.014</v>
      </c>
      <c r="E7721" s="16">
        <f>IFERROR(__xludf.DUMMYFUNCTION("""COMPUTED_VALUE"""),65.0)</f>
        <v>65</v>
      </c>
      <c r="F7721" s="19" t="str">
        <f>IFERROR(__xludf.DUMMYFUNCTION("""COMPUTED_VALUE"""),"BLUE")</f>
        <v>BLUE</v>
      </c>
      <c r="G7721" s="20" t="str">
        <f>IFERROR(__xludf.DUMMYFUNCTION("""COMPUTED_VALUE"""),"Uncle Sams Cider (04/04/2023)")</f>
        <v>Uncle Sams Cider (04/04/2023)</v>
      </c>
      <c r="H7721" s="19"/>
    </row>
    <row r="7722">
      <c r="A7722" s="9"/>
      <c r="B7722" s="15"/>
      <c r="C7722" s="9">
        <f>IFERROR(__xludf.DUMMYFUNCTION("""COMPUTED_VALUE"""),45063.1446530208)</f>
        <v>45063.14465</v>
      </c>
      <c r="D7722" s="15">
        <f>IFERROR(__xludf.DUMMYFUNCTION("""COMPUTED_VALUE"""),1.014)</f>
        <v>1.014</v>
      </c>
      <c r="E7722" s="16">
        <f>IFERROR(__xludf.DUMMYFUNCTION("""COMPUTED_VALUE"""),65.0)</f>
        <v>65</v>
      </c>
      <c r="F7722" s="19" t="str">
        <f>IFERROR(__xludf.DUMMYFUNCTION("""COMPUTED_VALUE"""),"BLUE")</f>
        <v>BLUE</v>
      </c>
      <c r="G7722" s="20" t="str">
        <f>IFERROR(__xludf.DUMMYFUNCTION("""COMPUTED_VALUE"""),"Uncle Sams Cider (04/04/2023)")</f>
        <v>Uncle Sams Cider (04/04/2023)</v>
      </c>
      <c r="H7722" s="19"/>
    </row>
    <row r="7723">
      <c r="A7723" s="9"/>
      <c r="B7723" s="15"/>
      <c r="C7723" s="9">
        <f>IFERROR(__xludf.DUMMYFUNCTION("""COMPUTED_VALUE"""),45063.1342309259)</f>
        <v>45063.13423</v>
      </c>
      <c r="D7723" s="15">
        <f>IFERROR(__xludf.DUMMYFUNCTION("""COMPUTED_VALUE"""),1.014)</f>
        <v>1.014</v>
      </c>
      <c r="E7723" s="16">
        <f>IFERROR(__xludf.DUMMYFUNCTION("""COMPUTED_VALUE"""),65.0)</f>
        <v>65</v>
      </c>
      <c r="F7723" s="19" t="str">
        <f>IFERROR(__xludf.DUMMYFUNCTION("""COMPUTED_VALUE"""),"BLUE")</f>
        <v>BLUE</v>
      </c>
      <c r="G7723" s="20" t="str">
        <f>IFERROR(__xludf.DUMMYFUNCTION("""COMPUTED_VALUE"""),"Uncle Sams Cider (04/04/2023)")</f>
        <v>Uncle Sams Cider (04/04/2023)</v>
      </c>
      <c r="H7723" s="19"/>
    </row>
    <row r="7724">
      <c r="A7724" s="9"/>
      <c r="B7724" s="15"/>
      <c r="C7724" s="9">
        <f>IFERROR(__xludf.DUMMYFUNCTION("""COMPUTED_VALUE"""),45063.1238083564)</f>
        <v>45063.12381</v>
      </c>
      <c r="D7724" s="15">
        <f>IFERROR(__xludf.DUMMYFUNCTION("""COMPUTED_VALUE"""),1.014)</f>
        <v>1.014</v>
      </c>
      <c r="E7724" s="16">
        <f>IFERROR(__xludf.DUMMYFUNCTION("""COMPUTED_VALUE"""),65.0)</f>
        <v>65</v>
      </c>
      <c r="F7724" s="19" t="str">
        <f>IFERROR(__xludf.DUMMYFUNCTION("""COMPUTED_VALUE"""),"BLUE")</f>
        <v>BLUE</v>
      </c>
      <c r="G7724" s="20" t="str">
        <f>IFERROR(__xludf.DUMMYFUNCTION("""COMPUTED_VALUE"""),"Uncle Sams Cider (04/04/2023)")</f>
        <v>Uncle Sams Cider (04/04/2023)</v>
      </c>
      <c r="H7724" s="19"/>
    </row>
    <row r="7725">
      <c r="A7725" s="9"/>
      <c r="B7725" s="15"/>
      <c r="C7725" s="9">
        <f>IFERROR(__xludf.DUMMYFUNCTION("""COMPUTED_VALUE"""),45063.1133738078)</f>
        <v>45063.11337</v>
      </c>
      <c r="D7725" s="15">
        <f>IFERROR(__xludf.DUMMYFUNCTION("""COMPUTED_VALUE"""),1.014)</f>
        <v>1.014</v>
      </c>
      <c r="E7725" s="16">
        <f>IFERROR(__xludf.DUMMYFUNCTION("""COMPUTED_VALUE"""),65.0)</f>
        <v>65</v>
      </c>
      <c r="F7725" s="19" t="str">
        <f>IFERROR(__xludf.DUMMYFUNCTION("""COMPUTED_VALUE"""),"BLUE")</f>
        <v>BLUE</v>
      </c>
      <c r="G7725" s="20" t="str">
        <f>IFERROR(__xludf.DUMMYFUNCTION("""COMPUTED_VALUE"""),"Uncle Sams Cider (04/04/2023)")</f>
        <v>Uncle Sams Cider (04/04/2023)</v>
      </c>
      <c r="H7725" s="19"/>
    </row>
    <row r="7726">
      <c r="A7726" s="9"/>
      <c r="B7726" s="15"/>
      <c r="C7726" s="9">
        <f>IFERROR(__xludf.DUMMYFUNCTION("""COMPUTED_VALUE"""),45063.1029538541)</f>
        <v>45063.10295</v>
      </c>
      <c r="D7726" s="15">
        <f>IFERROR(__xludf.DUMMYFUNCTION("""COMPUTED_VALUE"""),1.014)</f>
        <v>1.014</v>
      </c>
      <c r="E7726" s="16">
        <f>IFERROR(__xludf.DUMMYFUNCTION("""COMPUTED_VALUE"""),65.0)</f>
        <v>65</v>
      </c>
      <c r="F7726" s="19" t="str">
        <f>IFERROR(__xludf.DUMMYFUNCTION("""COMPUTED_VALUE"""),"BLUE")</f>
        <v>BLUE</v>
      </c>
      <c r="G7726" s="20" t="str">
        <f>IFERROR(__xludf.DUMMYFUNCTION("""COMPUTED_VALUE"""),"Uncle Sams Cider (04/04/2023)")</f>
        <v>Uncle Sams Cider (04/04/2023)</v>
      </c>
      <c r="H7726" s="19"/>
    </row>
    <row r="7727">
      <c r="A7727" s="9"/>
      <c r="B7727" s="15"/>
      <c r="C7727" s="9">
        <f>IFERROR(__xludf.DUMMYFUNCTION("""COMPUTED_VALUE"""),45063.0925326504)</f>
        <v>45063.09253</v>
      </c>
      <c r="D7727" s="15">
        <f>IFERROR(__xludf.DUMMYFUNCTION("""COMPUTED_VALUE"""),1.014)</f>
        <v>1.014</v>
      </c>
      <c r="E7727" s="16">
        <f>IFERROR(__xludf.DUMMYFUNCTION("""COMPUTED_VALUE"""),65.0)</f>
        <v>65</v>
      </c>
      <c r="F7727" s="19" t="str">
        <f>IFERROR(__xludf.DUMMYFUNCTION("""COMPUTED_VALUE"""),"BLUE")</f>
        <v>BLUE</v>
      </c>
      <c r="G7727" s="20" t="str">
        <f>IFERROR(__xludf.DUMMYFUNCTION("""COMPUTED_VALUE"""),"Uncle Sams Cider (04/04/2023)")</f>
        <v>Uncle Sams Cider (04/04/2023)</v>
      </c>
      <c r="H7727" s="19"/>
    </row>
    <row r="7728">
      <c r="A7728" s="9"/>
      <c r="B7728" s="15"/>
      <c r="C7728" s="9">
        <f>IFERROR(__xludf.DUMMYFUNCTION("""COMPUTED_VALUE"""),45063.0820886689)</f>
        <v>45063.08209</v>
      </c>
      <c r="D7728" s="15">
        <f>IFERROR(__xludf.DUMMYFUNCTION("""COMPUTED_VALUE"""),1.014)</f>
        <v>1.014</v>
      </c>
      <c r="E7728" s="16">
        <f>IFERROR(__xludf.DUMMYFUNCTION("""COMPUTED_VALUE"""),65.0)</f>
        <v>65</v>
      </c>
      <c r="F7728" s="19" t="str">
        <f>IFERROR(__xludf.DUMMYFUNCTION("""COMPUTED_VALUE"""),"BLUE")</f>
        <v>BLUE</v>
      </c>
      <c r="G7728" s="20" t="str">
        <f>IFERROR(__xludf.DUMMYFUNCTION("""COMPUTED_VALUE"""),"Uncle Sams Cider (04/04/2023)")</f>
        <v>Uncle Sams Cider (04/04/2023)</v>
      </c>
      <c r="H7728" s="19"/>
    </row>
    <row r="7729">
      <c r="A7729" s="9"/>
      <c r="B7729" s="15"/>
      <c r="C7729" s="9">
        <f>IFERROR(__xludf.DUMMYFUNCTION("""COMPUTED_VALUE"""),45063.0716676851)</f>
        <v>45063.07167</v>
      </c>
      <c r="D7729" s="15">
        <f>IFERROR(__xludf.DUMMYFUNCTION("""COMPUTED_VALUE"""),1.014)</f>
        <v>1.014</v>
      </c>
      <c r="E7729" s="16">
        <f>IFERROR(__xludf.DUMMYFUNCTION("""COMPUTED_VALUE"""),65.0)</f>
        <v>65</v>
      </c>
      <c r="F7729" s="19" t="str">
        <f>IFERROR(__xludf.DUMMYFUNCTION("""COMPUTED_VALUE"""),"BLUE")</f>
        <v>BLUE</v>
      </c>
      <c r="G7729" s="20" t="str">
        <f>IFERROR(__xludf.DUMMYFUNCTION("""COMPUTED_VALUE"""),"Uncle Sams Cider (04/04/2023)")</f>
        <v>Uncle Sams Cider (04/04/2023)</v>
      </c>
      <c r="H7729" s="19"/>
    </row>
    <row r="7730">
      <c r="A7730" s="9"/>
      <c r="B7730" s="15"/>
      <c r="C7730" s="9">
        <f>IFERROR(__xludf.DUMMYFUNCTION("""COMPUTED_VALUE"""),45063.0612477893)</f>
        <v>45063.06125</v>
      </c>
      <c r="D7730" s="15">
        <f>IFERROR(__xludf.DUMMYFUNCTION("""COMPUTED_VALUE"""),1.014)</f>
        <v>1.014</v>
      </c>
      <c r="E7730" s="16">
        <f>IFERROR(__xludf.DUMMYFUNCTION("""COMPUTED_VALUE"""),65.0)</f>
        <v>65</v>
      </c>
      <c r="F7730" s="19" t="str">
        <f>IFERROR(__xludf.DUMMYFUNCTION("""COMPUTED_VALUE"""),"BLUE")</f>
        <v>BLUE</v>
      </c>
      <c r="G7730" s="20" t="str">
        <f>IFERROR(__xludf.DUMMYFUNCTION("""COMPUTED_VALUE"""),"Uncle Sams Cider (04/04/2023)")</f>
        <v>Uncle Sams Cider (04/04/2023)</v>
      </c>
      <c r="H7730" s="19"/>
    </row>
    <row r="7731">
      <c r="A7731" s="9"/>
      <c r="B7731" s="15"/>
      <c r="C7731" s="9">
        <f>IFERROR(__xludf.DUMMYFUNCTION("""COMPUTED_VALUE"""),45063.0508279745)</f>
        <v>45063.05083</v>
      </c>
      <c r="D7731" s="15">
        <f>IFERROR(__xludf.DUMMYFUNCTION("""COMPUTED_VALUE"""),1.014)</f>
        <v>1.014</v>
      </c>
      <c r="E7731" s="16">
        <f>IFERROR(__xludf.DUMMYFUNCTION("""COMPUTED_VALUE"""),65.0)</f>
        <v>65</v>
      </c>
      <c r="F7731" s="19" t="str">
        <f>IFERROR(__xludf.DUMMYFUNCTION("""COMPUTED_VALUE"""),"BLUE")</f>
        <v>BLUE</v>
      </c>
      <c r="G7731" s="20" t="str">
        <f>IFERROR(__xludf.DUMMYFUNCTION("""COMPUTED_VALUE"""),"Uncle Sams Cider (04/04/2023)")</f>
        <v>Uncle Sams Cider (04/04/2023)</v>
      </c>
      <c r="H7731" s="19"/>
    </row>
    <row r="7732">
      <c r="A7732" s="9"/>
      <c r="B7732" s="15"/>
      <c r="C7732" s="9">
        <f>IFERROR(__xludf.DUMMYFUNCTION("""COMPUTED_VALUE"""),45063.0404086574)</f>
        <v>45063.04041</v>
      </c>
      <c r="D7732" s="15">
        <f>IFERROR(__xludf.DUMMYFUNCTION("""COMPUTED_VALUE"""),1.014)</f>
        <v>1.014</v>
      </c>
      <c r="E7732" s="16">
        <f>IFERROR(__xludf.DUMMYFUNCTION("""COMPUTED_VALUE"""),65.0)</f>
        <v>65</v>
      </c>
      <c r="F7732" s="19" t="str">
        <f>IFERROR(__xludf.DUMMYFUNCTION("""COMPUTED_VALUE"""),"BLUE")</f>
        <v>BLUE</v>
      </c>
      <c r="G7732" s="20" t="str">
        <f>IFERROR(__xludf.DUMMYFUNCTION("""COMPUTED_VALUE"""),"Uncle Sams Cider (04/04/2023)")</f>
        <v>Uncle Sams Cider (04/04/2023)</v>
      </c>
      <c r="H7732" s="19"/>
    </row>
    <row r="7733">
      <c r="A7733" s="9"/>
      <c r="B7733" s="15"/>
      <c r="C7733" s="9">
        <f>IFERROR(__xludf.DUMMYFUNCTION("""COMPUTED_VALUE"""),45063.0299777546)</f>
        <v>45063.02998</v>
      </c>
      <c r="D7733" s="15">
        <f>IFERROR(__xludf.DUMMYFUNCTION("""COMPUTED_VALUE"""),1.014)</f>
        <v>1.014</v>
      </c>
      <c r="E7733" s="16">
        <f>IFERROR(__xludf.DUMMYFUNCTION("""COMPUTED_VALUE"""),65.0)</f>
        <v>65</v>
      </c>
      <c r="F7733" s="19" t="str">
        <f>IFERROR(__xludf.DUMMYFUNCTION("""COMPUTED_VALUE"""),"BLUE")</f>
        <v>BLUE</v>
      </c>
      <c r="G7733" s="20" t="str">
        <f>IFERROR(__xludf.DUMMYFUNCTION("""COMPUTED_VALUE"""),"Uncle Sams Cider (04/04/2023)")</f>
        <v>Uncle Sams Cider (04/04/2023)</v>
      </c>
      <c r="H7733" s="19"/>
    </row>
    <row r="7734">
      <c r="A7734" s="9"/>
      <c r="B7734" s="15"/>
      <c r="C7734" s="9">
        <f>IFERROR(__xludf.DUMMYFUNCTION("""COMPUTED_VALUE"""),45063.0195456018)</f>
        <v>45063.01955</v>
      </c>
      <c r="D7734" s="15">
        <f>IFERROR(__xludf.DUMMYFUNCTION("""COMPUTED_VALUE"""),1.014)</f>
        <v>1.014</v>
      </c>
      <c r="E7734" s="16">
        <f>IFERROR(__xludf.DUMMYFUNCTION("""COMPUTED_VALUE"""),65.0)</f>
        <v>65</v>
      </c>
      <c r="F7734" s="19" t="str">
        <f>IFERROR(__xludf.DUMMYFUNCTION("""COMPUTED_VALUE"""),"BLUE")</f>
        <v>BLUE</v>
      </c>
      <c r="G7734" s="20" t="str">
        <f>IFERROR(__xludf.DUMMYFUNCTION("""COMPUTED_VALUE"""),"Uncle Sams Cider (04/04/2023)")</f>
        <v>Uncle Sams Cider (04/04/2023)</v>
      </c>
      <c r="H7734" s="19"/>
    </row>
    <row r="7735">
      <c r="A7735" s="9"/>
      <c r="B7735" s="15"/>
      <c r="C7735" s="9">
        <f>IFERROR(__xludf.DUMMYFUNCTION("""COMPUTED_VALUE"""),45063.0091248379)</f>
        <v>45063.00912</v>
      </c>
      <c r="D7735" s="15">
        <f>IFERROR(__xludf.DUMMYFUNCTION("""COMPUTED_VALUE"""),1.014)</f>
        <v>1.014</v>
      </c>
      <c r="E7735" s="16">
        <f>IFERROR(__xludf.DUMMYFUNCTION("""COMPUTED_VALUE"""),65.0)</f>
        <v>65</v>
      </c>
      <c r="F7735" s="19" t="str">
        <f>IFERROR(__xludf.DUMMYFUNCTION("""COMPUTED_VALUE"""),"BLUE")</f>
        <v>BLUE</v>
      </c>
      <c r="G7735" s="20" t="str">
        <f>IFERROR(__xludf.DUMMYFUNCTION("""COMPUTED_VALUE"""),"Uncle Sams Cider (04/04/2023)")</f>
        <v>Uncle Sams Cider (04/04/2023)</v>
      </c>
      <c r="H7735" s="19"/>
    </row>
    <row r="7736">
      <c r="A7736" s="9"/>
      <c r="B7736" s="15"/>
      <c r="C7736" s="9">
        <f>IFERROR(__xludf.DUMMYFUNCTION("""COMPUTED_VALUE"""),45062.9987040856)</f>
        <v>45062.9987</v>
      </c>
      <c r="D7736" s="15">
        <f>IFERROR(__xludf.DUMMYFUNCTION("""COMPUTED_VALUE"""),1.014)</f>
        <v>1.014</v>
      </c>
      <c r="E7736" s="16">
        <f>IFERROR(__xludf.DUMMYFUNCTION("""COMPUTED_VALUE"""),65.0)</f>
        <v>65</v>
      </c>
      <c r="F7736" s="19" t="str">
        <f>IFERROR(__xludf.DUMMYFUNCTION("""COMPUTED_VALUE"""),"BLUE")</f>
        <v>BLUE</v>
      </c>
      <c r="G7736" s="20" t="str">
        <f>IFERROR(__xludf.DUMMYFUNCTION("""COMPUTED_VALUE"""),"Uncle Sams Cider (04/04/2023)")</f>
        <v>Uncle Sams Cider (04/04/2023)</v>
      </c>
      <c r="H7736" s="19"/>
    </row>
    <row r="7737">
      <c r="A7737" s="9"/>
      <c r="B7737" s="15"/>
      <c r="C7737" s="9">
        <f>IFERROR(__xludf.DUMMYFUNCTION("""COMPUTED_VALUE"""),45062.988260162)</f>
        <v>45062.98826</v>
      </c>
      <c r="D7737" s="15">
        <f>IFERROR(__xludf.DUMMYFUNCTION("""COMPUTED_VALUE"""),1.014)</f>
        <v>1.014</v>
      </c>
      <c r="E7737" s="16">
        <f>IFERROR(__xludf.DUMMYFUNCTION("""COMPUTED_VALUE"""),65.0)</f>
        <v>65</v>
      </c>
      <c r="F7737" s="19" t="str">
        <f>IFERROR(__xludf.DUMMYFUNCTION("""COMPUTED_VALUE"""),"BLUE")</f>
        <v>BLUE</v>
      </c>
      <c r="G7737" s="20" t="str">
        <f>IFERROR(__xludf.DUMMYFUNCTION("""COMPUTED_VALUE"""),"Uncle Sams Cider (04/04/2023)")</f>
        <v>Uncle Sams Cider (04/04/2023)</v>
      </c>
      <c r="H7737" s="19"/>
    </row>
    <row r="7738">
      <c r="A7738" s="9"/>
      <c r="B7738" s="15"/>
      <c r="C7738" s="9">
        <f>IFERROR(__xludf.DUMMYFUNCTION("""COMPUTED_VALUE"""),45062.9778280902)</f>
        <v>45062.97783</v>
      </c>
      <c r="D7738" s="15">
        <f>IFERROR(__xludf.DUMMYFUNCTION("""COMPUTED_VALUE"""),1.014)</f>
        <v>1.014</v>
      </c>
      <c r="E7738" s="16">
        <f>IFERROR(__xludf.DUMMYFUNCTION("""COMPUTED_VALUE"""),65.0)</f>
        <v>65</v>
      </c>
      <c r="F7738" s="19" t="str">
        <f>IFERROR(__xludf.DUMMYFUNCTION("""COMPUTED_VALUE"""),"BLUE")</f>
        <v>BLUE</v>
      </c>
      <c r="G7738" s="20" t="str">
        <f>IFERROR(__xludf.DUMMYFUNCTION("""COMPUTED_VALUE"""),"Uncle Sams Cider (04/04/2023)")</f>
        <v>Uncle Sams Cider (04/04/2023)</v>
      </c>
      <c r="H7738" s="19"/>
    </row>
    <row r="7739">
      <c r="A7739" s="9"/>
      <c r="B7739" s="15"/>
      <c r="C7739" s="9">
        <f>IFERROR(__xludf.DUMMYFUNCTION("""COMPUTED_VALUE"""),45062.967395243)</f>
        <v>45062.9674</v>
      </c>
      <c r="D7739" s="15">
        <f>IFERROR(__xludf.DUMMYFUNCTION("""COMPUTED_VALUE"""),1.014)</f>
        <v>1.014</v>
      </c>
      <c r="E7739" s="16">
        <f>IFERROR(__xludf.DUMMYFUNCTION("""COMPUTED_VALUE"""),65.0)</f>
        <v>65</v>
      </c>
      <c r="F7739" s="19" t="str">
        <f>IFERROR(__xludf.DUMMYFUNCTION("""COMPUTED_VALUE"""),"BLUE")</f>
        <v>BLUE</v>
      </c>
      <c r="G7739" s="20" t="str">
        <f>IFERROR(__xludf.DUMMYFUNCTION("""COMPUTED_VALUE"""),"Uncle Sams Cider (04/04/2023)")</f>
        <v>Uncle Sams Cider (04/04/2023)</v>
      </c>
      <c r="H7739" s="19"/>
    </row>
    <row r="7740">
      <c r="A7740" s="9"/>
      <c r="B7740" s="15"/>
      <c r="C7740" s="9">
        <f>IFERROR(__xludf.DUMMYFUNCTION("""COMPUTED_VALUE"""),45062.9569739467)</f>
        <v>45062.95697</v>
      </c>
      <c r="D7740" s="15">
        <f>IFERROR(__xludf.DUMMYFUNCTION("""COMPUTED_VALUE"""),1.014)</f>
        <v>1.014</v>
      </c>
      <c r="E7740" s="16">
        <f>IFERROR(__xludf.DUMMYFUNCTION("""COMPUTED_VALUE"""),65.0)</f>
        <v>65</v>
      </c>
      <c r="F7740" s="19" t="str">
        <f>IFERROR(__xludf.DUMMYFUNCTION("""COMPUTED_VALUE"""),"BLUE")</f>
        <v>BLUE</v>
      </c>
      <c r="G7740" s="20" t="str">
        <f>IFERROR(__xludf.DUMMYFUNCTION("""COMPUTED_VALUE"""),"Uncle Sams Cider (04/04/2023)")</f>
        <v>Uncle Sams Cider (04/04/2023)</v>
      </c>
      <c r="H7740" s="19"/>
    </row>
    <row r="7741">
      <c r="A7741" s="9"/>
      <c r="B7741" s="15"/>
      <c r="C7741" s="9">
        <f>IFERROR(__xludf.DUMMYFUNCTION("""COMPUTED_VALUE"""),45062.946553368)</f>
        <v>45062.94655</v>
      </c>
      <c r="D7741" s="15">
        <f>IFERROR(__xludf.DUMMYFUNCTION("""COMPUTED_VALUE"""),1.014)</f>
        <v>1.014</v>
      </c>
      <c r="E7741" s="16">
        <f>IFERROR(__xludf.DUMMYFUNCTION("""COMPUTED_VALUE"""),65.0)</f>
        <v>65</v>
      </c>
      <c r="F7741" s="19" t="str">
        <f>IFERROR(__xludf.DUMMYFUNCTION("""COMPUTED_VALUE"""),"BLUE")</f>
        <v>BLUE</v>
      </c>
      <c r="G7741" s="20" t="str">
        <f>IFERROR(__xludf.DUMMYFUNCTION("""COMPUTED_VALUE"""),"Uncle Sams Cider (04/04/2023)")</f>
        <v>Uncle Sams Cider (04/04/2023)</v>
      </c>
      <c r="H7741" s="19"/>
    </row>
    <row r="7742">
      <c r="A7742" s="9"/>
      <c r="B7742" s="15"/>
      <c r="C7742" s="9">
        <f>IFERROR(__xludf.DUMMYFUNCTION("""COMPUTED_VALUE"""),45062.9361300578)</f>
        <v>45062.93613</v>
      </c>
      <c r="D7742" s="15">
        <f>IFERROR(__xludf.DUMMYFUNCTION("""COMPUTED_VALUE"""),1.014)</f>
        <v>1.014</v>
      </c>
      <c r="E7742" s="16">
        <f>IFERROR(__xludf.DUMMYFUNCTION("""COMPUTED_VALUE"""),65.0)</f>
        <v>65</v>
      </c>
      <c r="F7742" s="19" t="str">
        <f>IFERROR(__xludf.DUMMYFUNCTION("""COMPUTED_VALUE"""),"BLUE")</f>
        <v>BLUE</v>
      </c>
      <c r="G7742" s="20" t="str">
        <f>IFERROR(__xludf.DUMMYFUNCTION("""COMPUTED_VALUE"""),"Uncle Sams Cider (04/04/2023)")</f>
        <v>Uncle Sams Cider (04/04/2023)</v>
      </c>
      <c r="H7742" s="19"/>
    </row>
    <row r="7743">
      <c r="A7743" s="9"/>
      <c r="B7743" s="15"/>
      <c r="C7743" s="9">
        <f>IFERROR(__xludf.DUMMYFUNCTION("""COMPUTED_VALUE"""),45062.9257068287)</f>
        <v>45062.92571</v>
      </c>
      <c r="D7743" s="15">
        <f>IFERROR(__xludf.DUMMYFUNCTION("""COMPUTED_VALUE"""),1.014)</f>
        <v>1.014</v>
      </c>
      <c r="E7743" s="16">
        <f>IFERROR(__xludf.DUMMYFUNCTION("""COMPUTED_VALUE"""),65.0)</f>
        <v>65</v>
      </c>
      <c r="F7743" s="19" t="str">
        <f>IFERROR(__xludf.DUMMYFUNCTION("""COMPUTED_VALUE"""),"BLUE")</f>
        <v>BLUE</v>
      </c>
      <c r="G7743" s="20" t="str">
        <f>IFERROR(__xludf.DUMMYFUNCTION("""COMPUTED_VALUE"""),"Uncle Sams Cider (04/04/2023)")</f>
        <v>Uncle Sams Cider (04/04/2023)</v>
      </c>
      <c r="H7743" s="19"/>
    </row>
    <row r="7744">
      <c r="A7744" s="9"/>
      <c r="B7744" s="15"/>
      <c r="C7744" s="9">
        <f>IFERROR(__xludf.DUMMYFUNCTION("""COMPUTED_VALUE"""),45062.9152750463)</f>
        <v>45062.91528</v>
      </c>
      <c r="D7744" s="15">
        <f>IFERROR(__xludf.DUMMYFUNCTION("""COMPUTED_VALUE"""),1.014)</f>
        <v>1.014</v>
      </c>
      <c r="E7744" s="16">
        <f>IFERROR(__xludf.DUMMYFUNCTION("""COMPUTED_VALUE"""),65.0)</f>
        <v>65</v>
      </c>
      <c r="F7744" s="19" t="str">
        <f>IFERROR(__xludf.DUMMYFUNCTION("""COMPUTED_VALUE"""),"BLUE")</f>
        <v>BLUE</v>
      </c>
      <c r="G7744" s="20" t="str">
        <f>IFERROR(__xludf.DUMMYFUNCTION("""COMPUTED_VALUE"""),"Uncle Sams Cider (04/04/2023)")</f>
        <v>Uncle Sams Cider (04/04/2023)</v>
      </c>
      <c r="H7744" s="19"/>
    </row>
    <row r="7745">
      <c r="A7745" s="9"/>
      <c r="B7745" s="15"/>
      <c r="C7745" s="9">
        <f>IFERROR(__xludf.DUMMYFUNCTION("""COMPUTED_VALUE"""),45062.9048551273)</f>
        <v>45062.90486</v>
      </c>
      <c r="D7745" s="15">
        <f>IFERROR(__xludf.DUMMYFUNCTION("""COMPUTED_VALUE"""),1.014)</f>
        <v>1.014</v>
      </c>
      <c r="E7745" s="16">
        <f>IFERROR(__xludf.DUMMYFUNCTION("""COMPUTED_VALUE"""),65.0)</f>
        <v>65</v>
      </c>
      <c r="F7745" s="19" t="str">
        <f>IFERROR(__xludf.DUMMYFUNCTION("""COMPUTED_VALUE"""),"BLUE")</f>
        <v>BLUE</v>
      </c>
      <c r="G7745" s="20" t="str">
        <f>IFERROR(__xludf.DUMMYFUNCTION("""COMPUTED_VALUE"""),"Uncle Sams Cider (04/04/2023)")</f>
        <v>Uncle Sams Cider (04/04/2023)</v>
      </c>
      <c r="H7745" s="19"/>
    </row>
    <row r="7746">
      <c r="A7746" s="9"/>
      <c r="B7746" s="15"/>
      <c r="C7746" s="9">
        <f>IFERROR(__xludf.DUMMYFUNCTION("""COMPUTED_VALUE"""),45062.8944122685)</f>
        <v>45062.89441</v>
      </c>
      <c r="D7746" s="15">
        <f>IFERROR(__xludf.DUMMYFUNCTION("""COMPUTED_VALUE"""),1.014)</f>
        <v>1.014</v>
      </c>
      <c r="E7746" s="16">
        <f>IFERROR(__xludf.DUMMYFUNCTION("""COMPUTED_VALUE"""),65.0)</f>
        <v>65</v>
      </c>
      <c r="F7746" s="19" t="str">
        <f>IFERROR(__xludf.DUMMYFUNCTION("""COMPUTED_VALUE"""),"BLUE")</f>
        <v>BLUE</v>
      </c>
      <c r="G7746" s="20" t="str">
        <f>IFERROR(__xludf.DUMMYFUNCTION("""COMPUTED_VALUE"""),"Uncle Sams Cider (04/04/2023)")</f>
        <v>Uncle Sams Cider (04/04/2023)</v>
      </c>
      <c r="H7746" s="19"/>
    </row>
    <row r="7747">
      <c r="A7747" s="9"/>
      <c r="B7747" s="15"/>
      <c r="C7747" s="9">
        <f>IFERROR(__xludf.DUMMYFUNCTION("""COMPUTED_VALUE"""),45062.8839935301)</f>
        <v>45062.88399</v>
      </c>
      <c r="D7747" s="15">
        <f>IFERROR(__xludf.DUMMYFUNCTION("""COMPUTED_VALUE"""),1.014)</f>
        <v>1.014</v>
      </c>
      <c r="E7747" s="16">
        <f>IFERROR(__xludf.DUMMYFUNCTION("""COMPUTED_VALUE"""),65.0)</f>
        <v>65</v>
      </c>
      <c r="F7747" s="19" t="str">
        <f>IFERROR(__xludf.DUMMYFUNCTION("""COMPUTED_VALUE"""),"BLUE")</f>
        <v>BLUE</v>
      </c>
      <c r="G7747" s="20" t="str">
        <f>IFERROR(__xludf.DUMMYFUNCTION("""COMPUTED_VALUE"""),"Uncle Sams Cider (04/04/2023)")</f>
        <v>Uncle Sams Cider (04/04/2023)</v>
      </c>
      <c r="H7747" s="19"/>
    </row>
    <row r="7748">
      <c r="A7748" s="9"/>
      <c r="B7748" s="15"/>
      <c r="C7748" s="9">
        <f>IFERROR(__xludf.DUMMYFUNCTION("""COMPUTED_VALUE"""),45062.8735616666)</f>
        <v>45062.87356</v>
      </c>
      <c r="D7748" s="15">
        <f>IFERROR(__xludf.DUMMYFUNCTION("""COMPUTED_VALUE"""),1.014)</f>
        <v>1.014</v>
      </c>
      <c r="E7748" s="16">
        <f>IFERROR(__xludf.DUMMYFUNCTION("""COMPUTED_VALUE"""),65.0)</f>
        <v>65</v>
      </c>
      <c r="F7748" s="19" t="str">
        <f>IFERROR(__xludf.DUMMYFUNCTION("""COMPUTED_VALUE"""),"BLUE")</f>
        <v>BLUE</v>
      </c>
      <c r="G7748" s="20" t="str">
        <f>IFERROR(__xludf.DUMMYFUNCTION("""COMPUTED_VALUE"""),"Uncle Sams Cider (04/04/2023)")</f>
        <v>Uncle Sams Cider (04/04/2023)</v>
      </c>
      <c r="H7748" s="19"/>
    </row>
    <row r="7749">
      <c r="A7749" s="9"/>
      <c r="B7749" s="15"/>
      <c r="C7749" s="9">
        <f>IFERROR(__xludf.DUMMYFUNCTION("""COMPUTED_VALUE"""),45062.8631400578)</f>
        <v>45062.86314</v>
      </c>
      <c r="D7749" s="15">
        <f>IFERROR(__xludf.DUMMYFUNCTION("""COMPUTED_VALUE"""),1.014)</f>
        <v>1.014</v>
      </c>
      <c r="E7749" s="16">
        <f>IFERROR(__xludf.DUMMYFUNCTION("""COMPUTED_VALUE"""),65.0)</f>
        <v>65</v>
      </c>
      <c r="F7749" s="19" t="str">
        <f>IFERROR(__xludf.DUMMYFUNCTION("""COMPUTED_VALUE"""),"BLUE")</f>
        <v>BLUE</v>
      </c>
      <c r="G7749" s="20" t="str">
        <f>IFERROR(__xludf.DUMMYFUNCTION("""COMPUTED_VALUE"""),"Uncle Sams Cider (04/04/2023)")</f>
        <v>Uncle Sams Cider (04/04/2023)</v>
      </c>
      <c r="H7749" s="19"/>
    </row>
    <row r="7750">
      <c r="A7750" s="9"/>
      <c r="B7750" s="15"/>
      <c r="C7750" s="9">
        <f>IFERROR(__xludf.DUMMYFUNCTION("""COMPUTED_VALUE"""),45062.8527178009)</f>
        <v>45062.85272</v>
      </c>
      <c r="D7750" s="15">
        <f>IFERROR(__xludf.DUMMYFUNCTION("""COMPUTED_VALUE"""),1.014)</f>
        <v>1.014</v>
      </c>
      <c r="E7750" s="16">
        <f>IFERROR(__xludf.DUMMYFUNCTION("""COMPUTED_VALUE"""),65.0)</f>
        <v>65</v>
      </c>
      <c r="F7750" s="19" t="str">
        <f>IFERROR(__xludf.DUMMYFUNCTION("""COMPUTED_VALUE"""),"BLUE")</f>
        <v>BLUE</v>
      </c>
      <c r="G7750" s="20" t="str">
        <f>IFERROR(__xludf.DUMMYFUNCTION("""COMPUTED_VALUE"""),"Uncle Sams Cider (04/04/2023)")</f>
        <v>Uncle Sams Cider (04/04/2023)</v>
      </c>
      <c r="H7750" s="19"/>
    </row>
    <row r="7751">
      <c r="A7751" s="9"/>
      <c r="B7751" s="15"/>
      <c r="C7751" s="9">
        <f>IFERROR(__xludf.DUMMYFUNCTION("""COMPUTED_VALUE"""),45062.8422963657)</f>
        <v>45062.8423</v>
      </c>
      <c r="D7751" s="15">
        <f>IFERROR(__xludf.DUMMYFUNCTION("""COMPUTED_VALUE"""),1.014)</f>
        <v>1.014</v>
      </c>
      <c r="E7751" s="16">
        <f>IFERROR(__xludf.DUMMYFUNCTION("""COMPUTED_VALUE"""),65.0)</f>
        <v>65</v>
      </c>
      <c r="F7751" s="19" t="str">
        <f>IFERROR(__xludf.DUMMYFUNCTION("""COMPUTED_VALUE"""),"BLUE")</f>
        <v>BLUE</v>
      </c>
      <c r="G7751" s="20" t="str">
        <f>IFERROR(__xludf.DUMMYFUNCTION("""COMPUTED_VALUE"""),"Uncle Sams Cider (04/04/2023)")</f>
        <v>Uncle Sams Cider (04/04/2023)</v>
      </c>
      <c r="H7751" s="19"/>
    </row>
    <row r="7752">
      <c r="A7752" s="9"/>
      <c r="B7752" s="15"/>
      <c r="C7752" s="9">
        <f>IFERROR(__xludf.DUMMYFUNCTION("""COMPUTED_VALUE"""),45062.8318752662)</f>
        <v>45062.83188</v>
      </c>
      <c r="D7752" s="15">
        <f>IFERROR(__xludf.DUMMYFUNCTION("""COMPUTED_VALUE"""),1.014)</f>
        <v>1.014</v>
      </c>
      <c r="E7752" s="16">
        <f>IFERROR(__xludf.DUMMYFUNCTION("""COMPUTED_VALUE"""),65.0)</f>
        <v>65</v>
      </c>
      <c r="F7752" s="19" t="str">
        <f>IFERROR(__xludf.DUMMYFUNCTION("""COMPUTED_VALUE"""),"BLUE")</f>
        <v>BLUE</v>
      </c>
      <c r="G7752" s="20" t="str">
        <f>IFERROR(__xludf.DUMMYFUNCTION("""COMPUTED_VALUE"""),"Uncle Sams Cider (04/04/2023)")</f>
        <v>Uncle Sams Cider (04/04/2023)</v>
      </c>
      <c r="H7752" s="19"/>
    </row>
    <row r="7753">
      <c r="A7753" s="9"/>
      <c r="B7753" s="15"/>
      <c r="C7753" s="9">
        <f>IFERROR(__xludf.DUMMYFUNCTION("""COMPUTED_VALUE"""),45062.8214541782)</f>
        <v>45062.82145</v>
      </c>
      <c r="D7753" s="15">
        <f>IFERROR(__xludf.DUMMYFUNCTION("""COMPUTED_VALUE"""),1.014)</f>
        <v>1.014</v>
      </c>
      <c r="E7753" s="16">
        <f>IFERROR(__xludf.DUMMYFUNCTION("""COMPUTED_VALUE"""),65.0)</f>
        <v>65</v>
      </c>
      <c r="F7753" s="19" t="str">
        <f>IFERROR(__xludf.DUMMYFUNCTION("""COMPUTED_VALUE"""),"BLUE")</f>
        <v>BLUE</v>
      </c>
      <c r="G7753" s="20" t="str">
        <f>IFERROR(__xludf.DUMMYFUNCTION("""COMPUTED_VALUE"""),"Uncle Sams Cider (04/04/2023)")</f>
        <v>Uncle Sams Cider (04/04/2023)</v>
      </c>
      <c r="H7753" s="19"/>
    </row>
    <row r="7754">
      <c r="A7754" s="9"/>
      <c r="B7754" s="15"/>
      <c r="C7754" s="9">
        <f>IFERROR(__xludf.DUMMYFUNCTION("""COMPUTED_VALUE"""),45062.8110328588)</f>
        <v>45062.81103</v>
      </c>
      <c r="D7754" s="15">
        <f>IFERROR(__xludf.DUMMYFUNCTION("""COMPUTED_VALUE"""),1.014)</f>
        <v>1.014</v>
      </c>
      <c r="E7754" s="16">
        <f>IFERROR(__xludf.DUMMYFUNCTION("""COMPUTED_VALUE"""),65.0)</f>
        <v>65</v>
      </c>
      <c r="F7754" s="19" t="str">
        <f>IFERROR(__xludf.DUMMYFUNCTION("""COMPUTED_VALUE"""),"BLUE")</f>
        <v>BLUE</v>
      </c>
      <c r="G7754" s="20" t="str">
        <f>IFERROR(__xludf.DUMMYFUNCTION("""COMPUTED_VALUE"""),"Uncle Sams Cider (04/04/2023)")</f>
        <v>Uncle Sams Cider (04/04/2023)</v>
      </c>
      <c r="H7754" s="19"/>
    </row>
    <row r="7755">
      <c r="A7755" s="9"/>
      <c r="B7755" s="15"/>
      <c r="C7755" s="9">
        <f>IFERROR(__xludf.DUMMYFUNCTION("""COMPUTED_VALUE"""),45062.8006124768)</f>
        <v>45062.80061</v>
      </c>
      <c r="D7755" s="15">
        <f>IFERROR(__xludf.DUMMYFUNCTION("""COMPUTED_VALUE"""),1.014)</f>
        <v>1.014</v>
      </c>
      <c r="E7755" s="16">
        <f>IFERROR(__xludf.DUMMYFUNCTION("""COMPUTED_VALUE"""),65.0)</f>
        <v>65</v>
      </c>
      <c r="F7755" s="19" t="str">
        <f>IFERROR(__xludf.DUMMYFUNCTION("""COMPUTED_VALUE"""),"BLUE")</f>
        <v>BLUE</v>
      </c>
      <c r="G7755" s="20" t="str">
        <f>IFERROR(__xludf.DUMMYFUNCTION("""COMPUTED_VALUE"""),"Uncle Sams Cider (04/04/2023)")</f>
        <v>Uncle Sams Cider (04/04/2023)</v>
      </c>
      <c r="H7755" s="19"/>
    </row>
    <row r="7756">
      <c r="A7756" s="9"/>
      <c r="B7756" s="15"/>
      <c r="C7756" s="9">
        <f>IFERROR(__xludf.DUMMYFUNCTION("""COMPUTED_VALUE"""),45062.7901546412)</f>
        <v>45062.79015</v>
      </c>
      <c r="D7756" s="15">
        <f>IFERROR(__xludf.DUMMYFUNCTION("""COMPUTED_VALUE"""),1.014)</f>
        <v>1.014</v>
      </c>
      <c r="E7756" s="16">
        <f>IFERROR(__xludf.DUMMYFUNCTION("""COMPUTED_VALUE"""),65.0)</f>
        <v>65</v>
      </c>
      <c r="F7756" s="19" t="str">
        <f>IFERROR(__xludf.DUMMYFUNCTION("""COMPUTED_VALUE"""),"BLUE")</f>
        <v>BLUE</v>
      </c>
      <c r="G7756" s="20" t="str">
        <f>IFERROR(__xludf.DUMMYFUNCTION("""COMPUTED_VALUE"""),"Uncle Sams Cider (04/04/2023)")</f>
        <v>Uncle Sams Cider (04/04/2023)</v>
      </c>
      <c r="H7756" s="19"/>
    </row>
    <row r="7757">
      <c r="A7757" s="9"/>
      <c r="B7757" s="15"/>
      <c r="C7757" s="9">
        <f>IFERROR(__xludf.DUMMYFUNCTION("""COMPUTED_VALUE"""),45062.7797343981)</f>
        <v>45062.77973</v>
      </c>
      <c r="D7757" s="15">
        <f>IFERROR(__xludf.DUMMYFUNCTION("""COMPUTED_VALUE"""),1.014)</f>
        <v>1.014</v>
      </c>
      <c r="E7757" s="16">
        <f>IFERROR(__xludf.DUMMYFUNCTION("""COMPUTED_VALUE"""),65.0)</f>
        <v>65</v>
      </c>
      <c r="F7757" s="19" t="str">
        <f>IFERROR(__xludf.DUMMYFUNCTION("""COMPUTED_VALUE"""),"BLUE")</f>
        <v>BLUE</v>
      </c>
      <c r="G7757" s="20" t="str">
        <f>IFERROR(__xludf.DUMMYFUNCTION("""COMPUTED_VALUE"""),"Uncle Sams Cider (04/04/2023)")</f>
        <v>Uncle Sams Cider (04/04/2023)</v>
      </c>
      <c r="H7757" s="19"/>
    </row>
    <row r="7758">
      <c r="A7758" s="9"/>
      <c r="B7758" s="15"/>
      <c r="C7758" s="9">
        <f>IFERROR(__xludf.DUMMYFUNCTION("""COMPUTED_VALUE"""),45062.769312662)</f>
        <v>45062.76931</v>
      </c>
      <c r="D7758" s="15">
        <f>IFERROR(__xludf.DUMMYFUNCTION("""COMPUTED_VALUE"""),1.014)</f>
        <v>1.014</v>
      </c>
      <c r="E7758" s="16">
        <f>IFERROR(__xludf.DUMMYFUNCTION("""COMPUTED_VALUE"""),65.0)</f>
        <v>65</v>
      </c>
      <c r="F7758" s="19" t="str">
        <f>IFERROR(__xludf.DUMMYFUNCTION("""COMPUTED_VALUE"""),"BLUE")</f>
        <v>BLUE</v>
      </c>
      <c r="G7758" s="20" t="str">
        <f>IFERROR(__xludf.DUMMYFUNCTION("""COMPUTED_VALUE"""),"Uncle Sams Cider (04/04/2023)")</f>
        <v>Uncle Sams Cider (04/04/2023)</v>
      </c>
      <c r="H7758" s="19"/>
    </row>
    <row r="7759">
      <c r="A7759" s="9"/>
      <c r="B7759" s="15"/>
      <c r="C7759" s="9">
        <f>IFERROR(__xludf.DUMMYFUNCTION("""COMPUTED_VALUE"""),45062.7588916435)</f>
        <v>45062.75889</v>
      </c>
      <c r="D7759" s="15">
        <f>IFERROR(__xludf.DUMMYFUNCTION("""COMPUTED_VALUE"""),1.015)</f>
        <v>1.015</v>
      </c>
      <c r="E7759" s="16">
        <f>IFERROR(__xludf.DUMMYFUNCTION("""COMPUTED_VALUE"""),65.0)</f>
        <v>65</v>
      </c>
      <c r="F7759" s="19" t="str">
        <f>IFERROR(__xludf.DUMMYFUNCTION("""COMPUTED_VALUE"""),"BLUE")</f>
        <v>BLUE</v>
      </c>
      <c r="G7759" s="20" t="str">
        <f>IFERROR(__xludf.DUMMYFUNCTION("""COMPUTED_VALUE"""),"Uncle Sams Cider (04/04/2023)")</f>
        <v>Uncle Sams Cider (04/04/2023)</v>
      </c>
      <c r="H7759" s="19"/>
    </row>
    <row r="7760">
      <c r="A7760" s="9"/>
      <c r="B7760" s="15"/>
      <c r="C7760" s="9">
        <f>IFERROR(__xludf.DUMMYFUNCTION("""COMPUTED_VALUE"""),45062.7484708217)</f>
        <v>45062.74847</v>
      </c>
      <c r="D7760" s="15">
        <f>IFERROR(__xludf.DUMMYFUNCTION("""COMPUTED_VALUE"""),1.014)</f>
        <v>1.014</v>
      </c>
      <c r="E7760" s="16">
        <f>IFERROR(__xludf.DUMMYFUNCTION("""COMPUTED_VALUE"""),65.0)</f>
        <v>65</v>
      </c>
      <c r="F7760" s="19" t="str">
        <f>IFERROR(__xludf.DUMMYFUNCTION("""COMPUTED_VALUE"""),"BLUE")</f>
        <v>BLUE</v>
      </c>
      <c r="G7760" s="20" t="str">
        <f>IFERROR(__xludf.DUMMYFUNCTION("""COMPUTED_VALUE"""),"Uncle Sams Cider (04/04/2023)")</f>
        <v>Uncle Sams Cider (04/04/2023)</v>
      </c>
      <c r="H7760" s="19"/>
    </row>
    <row r="7761">
      <c r="A7761" s="9"/>
      <c r="B7761" s="15"/>
      <c r="C7761" s="9">
        <f>IFERROR(__xludf.DUMMYFUNCTION("""COMPUTED_VALUE"""),45062.7380520023)</f>
        <v>45062.73805</v>
      </c>
      <c r="D7761" s="15">
        <f>IFERROR(__xludf.DUMMYFUNCTION("""COMPUTED_VALUE"""),1.014)</f>
        <v>1.014</v>
      </c>
      <c r="E7761" s="16">
        <f>IFERROR(__xludf.DUMMYFUNCTION("""COMPUTED_VALUE"""),65.0)</f>
        <v>65</v>
      </c>
      <c r="F7761" s="19" t="str">
        <f>IFERROR(__xludf.DUMMYFUNCTION("""COMPUTED_VALUE"""),"BLUE")</f>
        <v>BLUE</v>
      </c>
      <c r="G7761" s="20" t="str">
        <f>IFERROR(__xludf.DUMMYFUNCTION("""COMPUTED_VALUE"""),"Uncle Sams Cider (04/04/2023)")</f>
        <v>Uncle Sams Cider (04/04/2023)</v>
      </c>
      <c r="H7761" s="19"/>
    </row>
    <row r="7762">
      <c r="A7762" s="9"/>
      <c r="B7762" s="15"/>
      <c r="C7762" s="9">
        <f>IFERROR(__xludf.DUMMYFUNCTION("""COMPUTED_VALUE"""),45062.7276072222)</f>
        <v>45062.72761</v>
      </c>
      <c r="D7762" s="15">
        <f>IFERROR(__xludf.DUMMYFUNCTION("""COMPUTED_VALUE"""),1.014)</f>
        <v>1.014</v>
      </c>
      <c r="E7762" s="16">
        <f>IFERROR(__xludf.DUMMYFUNCTION("""COMPUTED_VALUE"""),65.0)</f>
        <v>65</v>
      </c>
      <c r="F7762" s="19" t="str">
        <f>IFERROR(__xludf.DUMMYFUNCTION("""COMPUTED_VALUE"""),"BLUE")</f>
        <v>BLUE</v>
      </c>
      <c r="G7762" s="20" t="str">
        <f>IFERROR(__xludf.DUMMYFUNCTION("""COMPUTED_VALUE"""),"Uncle Sams Cider (04/04/2023)")</f>
        <v>Uncle Sams Cider (04/04/2023)</v>
      </c>
      <c r="H7762" s="19"/>
    </row>
    <row r="7763">
      <c r="A7763" s="9"/>
      <c r="B7763" s="15"/>
      <c r="C7763" s="9">
        <f>IFERROR(__xludf.DUMMYFUNCTION("""COMPUTED_VALUE"""),45062.7171854166)</f>
        <v>45062.71719</v>
      </c>
      <c r="D7763" s="15">
        <f>IFERROR(__xludf.DUMMYFUNCTION("""COMPUTED_VALUE"""),1.015)</f>
        <v>1.015</v>
      </c>
      <c r="E7763" s="16">
        <f>IFERROR(__xludf.DUMMYFUNCTION("""COMPUTED_VALUE"""),65.0)</f>
        <v>65</v>
      </c>
      <c r="F7763" s="19" t="str">
        <f>IFERROR(__xludf.DUMMYFUNCTION("""COMPUTED_VALUE"""),"BLUE")</f>
        <v>BLUE</v>
      </c>
      <c r="G7763" s="20" t="str">
        <f>IFERROR(__xludf.DUMMYFUNCTION("""COMPUTED_VALUE"""),"Uncle Sams Cider (04/04/2023)")</f>
        <v>Uncle Sams Cider (04/04/2023)</v>
      </c>
      <c r="H7763" s="19"/>
    </row>
    <row r="7764">
      <c r="A7764" s="9"/>
      <c r="B7764" s="15"/>
      <c r="C7764" s="9">
        <f>IFERROR(__xludf.DUMMYFUNCTION("""COMPUTED_VALUE"""),45062.7067634143)</f>
        <v>45062.70676</v>
      </c>
      <c r="D7764" s="15">
        <f>IFERROR(__xludf.DUMMYFUNCTION("""COMPUTED_VALUE"""),1.014)</f>
        <v>1.014</v>
      </c>
      <c r="E7764" s="16">
        <f>IFERROR(__xludf.DUMMYFUNCTION("""COMPUTED_VALUE"""),65.0)</f>
        <v>65</v>
      </c>
      <c r="F7764" s="19" t="str">
        <f>IFERROR(__xludf.DUMMYFUNCTION("""COMPUTED_VALUE"""),"BLUE")</f>
        <v>BLUE</v>
      </c>
      <c r="G7764" s="20" t="str">
        <f>IFERROR(__xludf.DUMMYFUNCTION("""COMPUTED_VALUE"""),"Uncle Sams Cider (04/04/2023)")</f>
        <v>Uncle Sams Cider (04/04/2023)</v>
      </c>
      <c r="H7764" s="19"/>
    </row>
    <row r="7765">
      <c r="A7765" s="9"/>
      <c r="B7765" s="15"/>
      <c r="C7765" s="9">
        <f>IFERROR(__xludf.DUMMYFUNCTION("""COMPUTED_VALUE"""),45062.6963406365)</f>
        <v>45062.69634</v>
      </c>
      <c r="D7765" s="15">
        <f>IFERROR(__xludf.DUMMYFUNCTION("""COMPUTED_VALUE"""),1.014)</f>
        <v>1.014</v>
      </c>
      <c r="E7765" s="16">
        <f>IFERROR(__xludf.DUMMYFUNCTION("""COMPUTED_VALUE"""),65.0)</f>
        <v>65</v>
      </c>
      <c r="F7765" s="19" t="str">
        <f>IFERROR(__xludf.DUMMYFUNCTION("""COMPUTED_VALUE"""),"BLUE")</f>
        <v>BLUE</v>
      </c>
      <c r="G7765" s="20" t="str">
        <f>IFERROR(__xludf.DUMMYFUNCTION("""COMPUTED_VALUE"""),"Uncle Sams Cider (04/04/2023)")</f>
        <v>Uncle Sams Cider (04/04/2023)</v>
      </c>
      <c r="H7765" s="19"/>
    </row>
    <row r="7766">
      <c r="A7766" s="9"/>
      <c r="B7766" s="15"/>
      <c r="C7766" s="9">
        <f>IFERROR(__xludf.DUMMYFUNCTION("""COMPUTED_VALUE"""),45062.6859196296)</f>
        <v>45062.68592</v>
      </c>
      <c r="D7766" s="15">
        <f>IFERROR(__xludf.DUMMYFUNCTION("""COMPUTED_VALUE"""),1.014)</f>
        <v>1.014</v>
      </c>
      <c r="E7766" s="16">
        <f>IFERROR(__xludf.DUMMYFUNCTION("""COMPUTED_VALUE"""),65.0)</f>
        <v>65</v>
      </c>
      <c r="F7766" s="19" t="str">
        <f>IFERROR(__xludf.DUMMYFUNCTION("""COMPUTED_VALUE"""),"BLUE")</f>
        <v>BLUE</v>
      </c>
      <c r="G7766" s="20" t="str">
        <f>IFERROR(__xludf.DUMMYFUNCTION("""COMPUTED_VALUE"""),"Uncle Sams Cider (04/04/2023)")</f>
        <v>Uncle Sams Cider (04/04/2023)</v>
      </c>
      <c r="H7766" s="19"/>
    </row>
    <row r="7767">
      <c r="A7767" s="9"/>
      <c r="B7767" s="15"/>
      <c r="C7767" s="9">
        <f>IFERROR(__xludf.DUMMYFUNCTION("""COMPUTED_VALUE"""),45062.6754988194)</f>
        <v>45062.6755</v>
      </c>
      <c r="D7767" s="15">
        <f>IFERROR(__xludf.DUMMYFUNCTION("""COMPUTED_VALUE"""),1.014)</f>
        <v>1.014</v>
      </c>
      <c r="E7767" s="16">
        <f>IFERROR(__xludf.DUMMYFUNCTION("""COMPUTED_VALUE"""),65.0)</f>
        <v>65</v>
      </c>
      <c r="F7767" s="19" t="str">
        <f>IFERROR(__xludf.DUMMYFUNCTION("""COMPUTED_VALUE"""),"BLUE")</f>
        <v>BLUE</v>
      </c>
      <c r="G7767" s="20" t="str">
        <f>IFERROR(__xludf.DUMMYFUNCTION("""COMPUTED_VALUE"""),"Uncle Sams Cider (04/04/2023)")</f>
        <v>Uncle Sams Cider (04/04/2023)</v>
      </c>
      <c r="H7767" s="19"/>
    </row>
    <row r="7768">
      <c r="A7768" s="9"/>
      <c r="B7768" s="15"/>
      <c r="C7768" s="9">
        <f>IFERROR(__xludf.DUMMYFUNCTION("""COMPUTED_VALUE"""),45062.665065162)</f>
        <v>45062.66507</v>
      </c>
      <c r="D7768" s="15">
        <f>IFERROR(__xludf.DUMMYFUNCTION("""COMPUTED_VALUE"""),1.014)</f>
        <v>1.014</v>
      </c>
      <c r="E7768" s="16">
        <f>IFERROR(__xludf.DUMMYFUNCTION("""COMPUTED_VALUE"""),65.0)</f>
        <v>65</v>
      </c>
      <c r="F7768" s="19" t="str">
        <f>IFERROR(__xludf.DUMMYFUNCTION("""COMPUTED_VALUE"""),"BLUE")</f>
        <v>BLUE</v>
      </c>
      <c r="G7768" s="20" t="str">
        <f>IFERROR(__xludf.DUMMYFUNCTION("""COMPUTED_VALUE"""),"Uncle Sams Cider (04/04/2023)")</f>
        <v>Uncle Sams Cider (04/04/2023)</v>
      </c>
      <c r="H7768" s="19"/>
    </row>
    <row r="7769">
      <c r="A7769" s="9"/>
      <c r="B7769" s="15"/>
      <c r="C7769" s="9">
        <f>IFERROR(__xludf.DUMMYFUNCTION("""COMPUTED_VALUE"""),45062.6546319444)</f>
        <v>45062.65463</v>
      </c>
      <c r="D7769" s="15">
        <f>IFERROR(__xludf.DUMMYFUNCTION("""COMPUTED_VALUE"""),1.014)</f>
        <v>1.014</v>
      </c>
      <c r="E7769" s="16">
        <f>IFERROR(__xludf.DUMMYFUNCTION("""COMPUTED_VALUE"""),65.0)</f>
        <v>65</v>
      </c>
      <c r="F7769" s="19" t="str">
        <f>IFERROR(__xludf.DUMMYFUNCTION("""COMPUTED_VALUE"""),"BLUE")</f>
        <v>BLUE</v>
      </c>
      <c r="G7769" s="20" t="str">
        <f>IFERROR(__xludf.DUMMYFUNCTION("""COMPUTED_VALUE"""),"Uncle Sams Cider (04/04/2023)")</f>
        <v>Uncle Sams Cider (04/04/2023)</v>
      </c>
      <c r="H7769" s="19"/>
    </row>
    <row r="7770">
      <c r="A7770" s="9"/>
      <c r="B7770" s="15"/>
      <c r="C7770" s="9">
        <f>IFERROR(__xludf.DUMMYFUNCTION("""COMPUTED_VALUE"""),45062.6442095486)</f>
        <v>45062.64421</v>
      </c>
      <c r="D7770" s="15">
        <f>IFERROR(__xludf.DUMMYFUNCTION("""COMPUTED_VALUE"""),1.015)</f>
        <v>1.015</v>
      </c>
      <c r="E7770" s="16">
        <f>IFERROR(__xludf.DUMMYFUNCTION("""COMPUTED_VALUE"""),65.0)</f>
        <v>65</v>
      </c>
      <c r="F7770" s="19" t="str">
        <f>IFERROR(__xludf.DUMMYFUNCTION("""COMPUTED_VALUE"""),"BLUE")</f>
        <v>BLUE</v>
      </c>
      <c r="G7770" s="20" t="str">
        <f>IFERROR(__xludf.DUMMYFUNCTION("""COMPUTED_VALUE"""),"Uncle Sams Cider (04/04/2023)")</f>
        <v>Uncle Sams Cider (04/04/2023)</v>
      </c>
      <c r="H7770" s="19"/>
    </row>
    <row r="7771">
      <c r="A7771" s="9"/>
      <c r="B7771" s="15"/>
      <c r="C7771" s="9">
        <f>IFERROR(__xludf.DUMMYFUNCTION("""COMPUTED_VALUE"""),45062.6337887962)</f>
        <v>45062.63379</v>
      </c>
      <c r="D7771" s="15">
        <f>IFERROR(__xludf.DUMMYFUNCTION("""COMPUTED_VALUE"""),1.015)</f>
        <v>1.015</v>
      </c>
      <c r="E7771" s="16">
        <f>IFERROR(__xludf.DUMMYFUNCTION("""COMPUTED_VALUE"""),65.0)</f>
        <v>65</v>
      </c>
      <c r="F7771" s="19" t="str">
        <f>IFERROR(__xludf.DUMMYFUNCTION("""COMPUTED_VALUE"""),"BLUE")</f>
        <v>BLUE</v>
      </c>
      <c r="G7771" s="20" t="str">
        <f>IFERROR(__xludf.DUMMYFUNCTION("""COMPUTED_VALUE"""),"Uncle Sams Cider (04/04/2023)")</f>
        <v>Uncle Sams Cider (04/04/2023)</v>
      </c>
      <c r="H7771" s="19"/>
    </row>
    <row r="7772">
      <c r="A7772" s="9"/>
      <c r="B7772" s="15"/>
      <c r="C7772" s="9">
        <f>IFERROR(__xludf.DUMMYFUNCTION("""COMPUTED_VALUE"""),45062.6233682175)</f>
        <v>45062.62337</v>
      </c>
      <c r="D7772" s="15">
        <f>IFERROR(__xludf.DUMMYFUNCTION("""COMPUTED_VALUE"""),1.015)</f>
        <v>1.015</v>
      </c>
      <c r="E7772" s="16">
        <f>IFERROR(__xludf.DUMMYFUNCTION("""COMPUTED_VALUE"""),65.0)</f>
        <v>65</v>
      </c>
      <c r="F7772" s="19" t="str">
        <f>IFERROR(__xludf.DUMMYFUNCTION("""COMPUTED_VALUE"""),"BLUE")</f>
        <v>BLUE</v>
      </c>
      <c r="G7772" s="20" t="str">
        <f>IFERROR(__xludf.DUMMYFUNCTION("""COMPUTED_VALUE"""),"Uncle Sams Cider (04/04/2023)")</f>
        <v>Uncle Sams Cider (04/04/2023)</v>
      </c>
      <c r="H7772" s="19"/>
    </row>
    <row r="7773">
      <c r="A7773" s="9"/>
      <c r="B7773" s="15"/>
      <c r="C7773" s="9">
        <f>IFERROR(__xludf.DUMMYFUNCTION("""COMPUTED_VALUE"""),45062.6129464236)</f>
        <v>45062.61295</v>
      </c>
      <c r="D7773" s="15">
        <f>IFERROR(__xludf.DUMMYFUNCTION("""COMPUTED_VALUE"""),1.015)</f>
        <v>1.015</v>
      </c>
      <c r="E7773" s="16">
        <f>IFERROR(__xludf.DUMMYFUNCTION("""COMPUTED_VALUE"""),65.0)</f>
        <v>65</v>
      </c>
      <c r="F7773" s="19" t="str">
        <f>IFERROR(__xludf.DUMMYFUNCTION("""COMPUTED_VALUE"""),"BLUE")</f>
        <v>BLUE</v>
      </c>
      <c r="G7773" s="20" t="str">
        <f>IFERROR(__xludf.DUMMYFUNCTION("""COMPUTED_VALUE"""),"Uncle Sams Cider (04/04/2023)")</f>
        <v>Uncle Sams Cider (04/04/2023)</v>
      </c>
      <c r="H7773" s="19"/>
    </row>
    <row r="7774">
      <c r="A7774" s="9"/>
      <c r="B7774" s="15"/>
      <c r="C7774" s="9">
        <f>IFERROR(__xludf.DUMMYFUNCTION("""COMPUTED_VALUE"""),45062.6025243055)</f>
        <v>45062.60252</v>
      </c>
      <c r="D7774" s="15">
        <f>IFERROR(__xludf.DUMMYFUNCTION("""COMPUTED_VALUE"""),1.015)</f>
        <v>1.015</v>
      </c>
      <c r="E7774" s="16">
        <f>IFERROR(__xludf.DUMMYFUNCTION("""COMPUTED_VALUE"""),65.0)</f>
        <v>65</v>
      </c>
      <c r="F7774" s="19" t="str">
        <f>IFERROR(__xludf.DUMMYFUNCTION("""COMPUTED_VALUE"""),"BLUE")</f>
        <v>BLUE</v>
      </c>
      <c r="G7774" s="20" t="str">
        <f>IFERROR(__xludf.DUMMYFUNCTION("""COMPUTED_VALUE"""),"Uncle Sams Cider (04/04/2023)")</f>
        <v>Uncle Sams Cider (04/04/2023)</v>
      </c>
      <c r="H7774" s="19"/>
    </row>
    <row r="7775">
      <c r="A7775" s="9"/>
      <c r="B7775" s="15"/>
      <c r="C7775" s="9">
        <f>IFERROR(__xludf.DUMMYFUNCTION("""COMPUTED_VALUE"""),45062.5921015162)</f>
        <v>45062.5921</v>
      </c>
      <c r="D7775" s="15">
        <f>IFERROR(__xludf.DUMMYFUNCTION("""COMPUTED_VALUE"""),1.014)</f>
        <v>1.014</v>
      </c>
      <c r="E7775" s="16">
        <f>IFERROR(__xludf.DUMMYFUNCTION("""COMPUTED_VALUE"""),65.0)</f>
        <v>65</v>
      </c>
      <c r="F7775" s="19" t="str">
        <f>IFERROR(__xludf.DUMMYFUNCTION("""COMPUTED_VALUE"""),"BLUE")</f>
        <v>BLUE</v>
      </c>
      <c r="G7775" s="20" t="str">
        <f>IFERROR(__xludf.DUMMYFUNCTION("""COMPUTED_VALUE"""),"Uncle Sams Cider (04/04/2023)")</f>
        <v>Uncle Sams Cider (04/04/2023)</v>
      </c>
      <c r="H7775" s="19"/>
    </row>
    <row r="7776">
      <c r="A7776" s="9"/>
      <c r="B7776" s="15"/>
      <c r="C7776" s="9">
        <f>IFERROR(__xludf.DUMMYFUNCTION("""COMPUTED_VALUE"""),45062.5816810648)</f>
        <v>45062.58168</v>
      </c>
      <c r="D7776" s="15">
        <f>IFERROR(__xludf.DUMMYFUNCTION("""COMPUTED_VALUE"""),1.014)</f>
        <v>1.014</v>
      </c>
      <c r="E7776" s="16">
        <f>IFERROR(__xludf.DUMMYFUNCTION("""COMPUTED_VALUE"""),65.0)</f>
        <v>65</v>
      </c>
      <c r="F7776" s="19" t="str">
        <f>IFERROR(__xludf.DUMMYFUNCTION("""COMPUTED_VALUE"""),"BLUE")</f>
        <v>BLUE</v>
      </c>
      <c r="G7776" s="20" t="str">
        <f>IFERROR(__xludf.DUMMYFUNCTION("""COMPUTED_VALUE"""),"Uncle Sams Cider (04/04/2023)")</f>
        <v>Uncle Sams Cider (04/04/2023)</v>
      </c>
      <c r="H7776" s="19"/>
    </row>
    <row r="7777">
      <c r="A7777" s="9"/>
      <c r="B7777" s="15"/>
      <c r="C7777" s="9">
        <f>IFERROR(__xludf.DUMMYFUNCTION("""COMPUTED_VALUE"""),45062.5712578819)</f>
        <v>45062.57126</v>
      </c>
      <c r="D7777" s="15">
        <f>IFERROR(__xludf.DUMMYFUNCTION("""COMPUTED_VALUE"""),1.015)</f>
        <v>1.015</v>
      </c>
      <c r="E7777" s="16">
        <f>IFERROR(__xludf.DUMMYFUNCTION("""COMPUTED_VALUE"""),65.0)</f>
        <v>65</v>
      </c>
      <c r="F7777" s="19" t="str">
        <f>IFERROR(__xludf.DUMMYFUNCTION("""COMPUTED_VALUE"""),"BLUE")</f>
        <v>BLUE</v>
      </c>
      <c r="G7777" s="20" t="str">
        <f>IFERROR(__xludf.DUMMYFUNCTION("""COMPUTED_VALUE"""),"Uncle Sams Cider (04/04/2023)")</f>
        <v>Uncle Sams Cider (04/04/2023)</v>
      </c>
      <c r="H7777" s="19"/>
    </row>
    <row r="7778">
      <c r="A7778" s="9"/>
      <c r="B7778" s="15"/>
      <c r="C7778" s="9">
        <f>IFERROR(__xludf.DUMMYFUNCTION("""COMPUTED_VALUE"""),45062.5608364004)</f>
        <v>45062.56084</v>
      </c>
      <c r="D7778" s="15">
        <f>IFERROR(__xludf.DUMMYFUNCTION("""COMPUTED_VALUE"""),1.015)</f>
        <v>1.015</v>
      </c>
      <c r="E7778" s="16">
        <f>IFERROR(__xludf.DUMMYFUNCTION("""COMPUTED_VALUE"""),65.0)</f>
        <v>65</v>
      </c>
      <c r="F7778" s="19" t="str">
        <f>IFERROR(__xludf.DUMMYFUNCTION("""COMPUTED_VALUE"""),"BLUE")</f>
        <v>BLUE</v>
      </c>
      <c r="G7778" s="20" t="str">
        <f>IFERROR(__xludf.DUMMYFUNCTION("""COMPUTED_VALUE"""),"Uncle Sams Cider (04/04/2023)")</f>
        <v>Uncle Sams Cider (04/04/2023)</v>
      </c>
      <c r="H7778" s="19"/>
    </row>
    <row r="7779">
      <c r="A7779" s="9"/>
      <c r="B7779" s="15"/>
      <c r="C7779" s="9">
        <f>IFERROR(__xludf.DUMMYFUNCTION("""COMPUTED_VALUE"""),45062.5503944791)</f>
        <v>45062.55039</v>
      </c>
      <c r="D7779" s="15">
        <f>IFERROR(__xludf.DUMMYFUNCTION("""COMPUTED_VALUE"""),1.015)</f>
        <v>1.015</v>
      </c>
      <c r="E7779" s="16">
        <f>IFERROR(__xludf.DUMMYFUNCTION("""COMPUTED_VALUE"""),65.0)</f>
        <v>65</v>
      </c>
      <c r="F7779" s="19" t="str">
        <f>IFERROR(__xludf.DUMMYFUNCTION("""COMPUTED_VALUE"""),"BLUE")</f>
        <v>BLUE</v>
      </c>
      <c r="G7779" s="20" t="str">
        <f>IFERROR(__xludf.DUMMYFUNCTION("""COMPUTED_VALUE"""),"Uncle Sams Cider (04/04/2023)")</f>
        <v>Uncle Sams Cider (04/04/2023)</v>
      </c>
      <c r="H7779" s="19"/>
    </row>
    <row r="7780">
      <c r="A7780" s="9"/>
      <c r="B7780" s="15"/>
      <c r="C7780" s="9">
        <f>IFERROR(__xludf.DUMMYFUNCTION("""COMPUTED_VALUE"""),45062.5399735763)</f>
        <v>45062.53997</v>
      </c>
      <c r="D7780" s="15">
        <f>IFERROR(__xludf.DUMMYFUNCTION("""COMPUTED_VALUE"""),1.015)</f>
        <v>1.015</v>
      </c>
      <c r="E7780" s="16">
        <f>IFERROR(__xludf.DUMMYFUNCTION("""COMPUTED_VALUE"""),65.0)</f>
        <v>65</v>
      </c>
      <c r="F7780" s="19" t="str">
        <f>IFERROR(__xludf.DUMMYFUNCTION("""COMPUTED_VALUE"""),"BLUE")</f>
        <v>BLUE</v>
      </c>
      <c r="G7780" s="20" t="str">
        <f>IFERROR(__xludf.DUMMYFUNCTION("""COMPUTED_VALUE"""),"Uncle Sams Cider (04/04/2023)")</f>
        <v>Uncle Sams Cider (04/04/2023)</v>
      </c>
      <c r="H7780" s="19"/>
    </row>
    <row r="7781">
      <c r="A7781" s="9"/>
      <c r="B7781" s="15"/>
      <c r="C7781" s="9">
        <f>IFERROR(__xludf.DUMMYFUNCTION("""COMPUTED_VALUE"""),45062.5295515625)</f>
        <v>45062.52955</v>
      </c>
      <c r="D7781" s="15">
        <f>IFERROR(__xludf.DUMMYFUNCTION("""COMPUTED_VALUE"""),1.015)</f>
        <v>1.015</v>
      </c>
      <c r="E7781" s="16">
        <f>IFERROR(__xludf.DUMMYFUNCTION("""COMPUTED_VALUE"""),65.0)</f>
        <v>65</v>
      </c>
      <c r="F7781" s="19" t="str">
        <f>IFERROR(__xludf.DUMMYFUNCTION("""COMPUTED_VALUE"""),"BLUE")</f>
        <v>BLUE</v>
      </c>
      <c r="G7781" s="20" t="str">
        <f>IFERROR(__xludf.DUMMYFUNCTION("""COMPUTED_VALUE"""),"Uncle Sams Cider (04/04/2023)")</f>
        <v>Uncle Sams Cider (04/04/2023)</v>
      </c>
      <c r="H7781" s="19"/>
    </row>
    <row r="7782">
      <c r="A7782" s="9"/>
      <c r="B7782" s="15"/>
      <c r="C7782" s="9">
        <f>IFERROR(__xludf.DUMMYFUNCTION("""COMPUTED_VALUE"""),45062.5191295138)</f>
        <v>45062.51913</v>
      </c>
      <c r="D7782" s="15">
        <f>IFERROR(__xludf.DUMMYFUNCTION("""COMPUTED_VALUE"""),1.015)</f>
        <v>1.015</v>
      </c>
      <c r="E7782" s="16">
        <f>IFERROR(__xludf.DUMMYFUNCTION("""COMPUTED_VALUE"""),65.0)</f>
        <v>65</v>
      </c>
      <c r="F7782" s="19" t="str">
        <f>IFERROR(__xludf.DUMMYFUNCTION("""COMPUTED_VALUE"""),"BLUE")</f>
        <v>BLUE</v>
      </c>
      <c r="G7782" s="20" t="str">
        <f>IFERROR(__xludf.DUMMYFUNCTION("""COMPUTED_VALUE"""),"Uncle Sams Cider (04/04/2023)")</f>
        <v>Uncle Sams Cider (04/04/2023)</v>
      </c>
      <c r="H7782" s="19"/>
    </row>
    <row r="7783">
      <c r="A7783" s="9"/>
      <c r="B7783" s="15"/>
      <c r="C7783" s="9">
        <f>IFERROR(__xludf.DUMMYFUNCTION("""COMPUTED_VALUE"""),45062.5087081713)</f>
        <v>45062.50871</v>
      </c>
      <c r="D7783" s="15">
        <f>IFERROR(__xludf.DUMMYFUNCTION("""COMPUTED_VALUE"""),1.015)</f>
        <v>1.015</v>
      </c>
      <c r="E7783" s="16">
        <f>IFERROR(__xludf.DUMMYFUNCTION("""COMPUTED_VALUE"""),65.0)</f>
        <v>65</v>
      </c>
      <c r="F7783" s="19" t="str">
        <f>IFERROR(__xludf.DUMMYFUNCTION("""COMPUTED_VALUE"""),"BLUE")</f>
        <v>BLUE</v>
      </c>
      <c r="G7783" s="20" t="str">
        <f>IFERROR(__xludf.DUMMYFUNCTION("""COMPUTED_VALUE"""),"Uncle Sams Cider (04/04/2023)")</f>
        <v>Uncle Sams Cider (04/04/2023)</v>
      </c>
      <c r="H7783" s="19"/>
    </row>
    <row r="7784">
      <c r="A7784" s="9"/>
      <c r="B7784" s="15"/>
      <c r="C7784" s="9">
        <f>IFERROR(__xludf.DUMMYFUNCTION("""COMPUTED_VALUE"""),45062.4982747801)</f>
        <v>45062.49827</v>
      </c>
      <c r="D7784" s="15">
        <f>IFERROR(__xludf.DUMMYFUNCTION("""COMPUTED_VALUE"""),1.014)</f>
        <v>1.014</v>
      </c>
      <c r="E7784" s="16">
        <f>IFERROR(__xludf.DUMMYFUNCTION("""COMPUTED_VALUE"""),65.0)</f>
        <v>65</v>
      </c>
      <c r="F7784" s="19" t="str">
        <f>IFERROR(__xludf.DUMMYFUNCTION("""COMPUTED_VALUE"""),"BLUE")</f>
        <v>BLUE</v>
      </c>
      <c r="G7784" s="20" t="str">
        <f>IFERROR(__xludf.DUMMYFUNCTION("""COMPUTED_VALUE"""),"Uncle Sams Cider (04/04/2023)")</f>
        <v>Uncle Sams Cider (04/04/2023)</v>
      </c>
      <c r="H7784" s="19"/>
    </row>
    <row r="7785">
      <c r="A7785" s="9"/>
      <c r="B7785" s="15"/>
      <c r="C7785" s="9">
        <f>IFERROR(__xludf.DUMMYFUNCTION("""COMPUTED_VALUE"""),45062.4878520833)</f>
        <v>45062.48785</v>
      </c>
      <c r="D7785" s="15">
        <f>IFERROR(__xludf.DUMMYFUNCTION("""COMPUTED_VALUE"""),1.015)</f>
        <v>1.015</v>
      </c>
      <c r="E7785" s="16">
        <f>IFERROR(__xludf.DUMMYFUNCTION("""COMPUTED_VALUE"""),65.0)</f>
        <v>65</v>
      </c>
      <c r="F7785" s="19" t="str">
        <f>IFERROR(__xludf.DUMMYFUNCTION("""COMPUTED_VALUE"""),"BLUE")</f>
        <v>BLUE</v>
      </c>
      <c r="G7785" s="20" t="str">
        <f>IFERROR(__xludf.DUMMYFUNCTION("""COMPUTED_VALUE"""),"Uncle Sams Cider (04/04/2023)")</f>
        <v>Uncle Sams Cider (04/04/2023)</v>
      </c>
      <c r="H7785" s="19"/>
    </row>
    <row r="7786">
      <c r="A7786" s="9"/>
      <c r="B7786" s="15"/>
      <c r="C7786" s="9">
        <f>IFERROR(__xludf.DUMMYFUNCTION("""COMPUTED_VALUE"""),45062.4774316551)</f>
        <v>45062.47743</v>
      </c>
      <c r="D7786" s="15">
        <f>IFERROR(__xludf.DUMMYFUNCTION("""COMPUTED_VALUE"""),1.015)</f>
        <v>1.015</v>
      </c>
      <c r="E7786" s="16">
        <f>IFERROR(__xludf.DUMMYFUNCTION("""COMPUTED_VALUE"""),65.0)</f>
        <v>65</v>
      </c>
      <c r="F7786" s="19" t="str">
        <f>IFERROR(__xludf.DUMMYFUNCTION("""COMPUTED_VALUE"""),"BLUE")</f>
        <v>BLUE</v>
      </c>
      <c r="G7786" s="20" t="str">
        <f>IFERROR(__xludf.DUMMYFUNCTION("""COMPUTED_VALUE"""),"Uncle Sams Cider (04/04/2023)")</f>
        <v>Uncle Sams Cider (04/04/2023)</v>
      </c>
      <c r="H7786" s="19"/>
    </row>
    <row r="7787">
      <c r="A7787" s="9"/>
      <c r="B7787" s="15"/>
      <c r="C7787" s="9">
        <f>IFERROR(__xludf.DUMMYFUNCTION("""COMPUTED_VALUE"""),45062.4670082523)</f>
        <v>45062.46701</v>
      </c>
      <c r="D7787" s="15">
        <f>IFERROR(__xludf.DUMMYFUNCTION("""COMPUTED_VALUE"""),1.015)</f>
        <v>1.015</v>
      </c>
      <c r="E7787" s="16">
        <f>IFERROR(__xludf.DUMMYFUNCTION("""COMPUTED_VALUE"""),65.0)</f>
        <v>65</v>
      </c>
      <c r="F7787" s="19" t="str">
        <f>IFERROR(__xludf.DUMMYFUNCTION("""COMPUTED_VALUE"""),"BLUE")</f>
        <v>BLUE</v>
      </c>
      <c r="G7787" s="20" t="str">
        <f>IFERROR(__xludf.DUMMYFUNCTION("""COMPUTED_VALUE"""),"Uncle Sams Cider (04/04/2023)")</f>
        <v>Uncle Sams Cider (04/04/2023)</v>
      </c>
      <c r="H7787" s="19"/>
    </row>
    <row r="7788">
      <c r="A7788" s="9"/>
      <c r="B7788" s="15"/>
      <c r="C7788" s="9">
        <f>IFERROR(__xludf.DUMMYFUNCTION("""COMPUTED_VALUE"""),45062.4565857523)</f>
        <v>45062.45659</v>
      </c>
      <c r="D7788" s="15">
        <f>IFERROR(__xludf.DUMMYFUNCTION("""COMPUTED_VALUE"""),1.015)</f>
        <v>1.015</v>
      </c>
      <c r="E7788" s="16">
        <f>IFERROR(__xludf.DUMMYFUNCTION("""COMPUTED_VALUE"""),65.0)</f>
        <v>65</v>
      </c>
      <c r="F7788" s="19" t="str">
        <f>IFERROR(__xludf.DUMMYFUNCTION("""COMPUTED_VALUE"""),"BLUE")</f>
        <v>BLUE</v>
      </c>
      <c r="G7788" s="20" t="str">
        <f>IFERROR(__xludf.DUMMYFUNCTION("""COMPUTED_VALUE"""),"Uncle Sams Cider (04/04/2023)")</f>
        <v>Uncle Sams Cider (04/04/2023)</v>
      </c>
      <c r="H7788" s="19"/>
    </row>
    <row r="7789">
      <c r="A7789" s="9"/>
      <c r="B7789" s="15"/>
      <c r="C7789" s="9">
        <f>IFERROR(__xludf.DUMMYFUNCTION("""COMPUTED_VALUE"""),45062.446164537)</f>
        <v>45062.44616</v>
      </c>
      <c r="D7789" s="15">
        <f>IFERROR(__xludf.DUMMYFUNCTION("""COMPUTED_VALUE"""),1.015)</f>
        <v>1.015</v>
      </c>
      <c r="E7789" s="16">
        <f>IFERROR(__xludf.DUMMYFUNCTION("""COMPUTED_VALUE"""),65.0)</f>
        <v>65</v>
      </c>
      <c r="F7789" s="19" t="str">
        <f>IFERROR(__xludf.DUMMYFUNCTION("""COMPUTED_VALUE"""),"BLUE")</f>
        <v>BLUE</v>
      </c>
      <c r="G7789" s="20" t="str">
        <f>IFERROR(__xludf.DUMMYFUNCTION("""COMPUTED_VALUE"""),"Uncle Sams Cider (04/04/2023)")</f>
        <v>Uncle Sams Cider (04/04/2023)</v>
      </c>
      <c r="H7789" s="19"/>
    </row>
    <row r="7790">
      <c r="A7790" s="9"/>
      <c r="B7790" s="15"/>
      <c r="C7790" s="9">
        <f>IFERROR(__xludf.DUMMYFUNCTION("""COMPUTED_VALUE"""),45062.4357429745)</f>
        <v>45062.43574</v>
      </c>
      <c r="D7790" s="15">
        <f>IFERROR(__xludf.DUMMYFUNCTION("""COMPUTED_VALUE"""),1.015)</f>
        <v>1.015</v>
      </c>
      <c r="E7790" s="16">
        <f>IFERROR(__xludf.DUMMYFUNCTION("""COMPUTED_VALUE"""),65.0)</f>
        <v>65</v>
      </c>
      <c r="F7790" s="19" t="str">
        <f>IFERROR(__xludf.DUMMYFUNCTION("""COMPUTED_VALUE"""),"BLUE")</f>
        <v>BLUE</v>
      </c>
      <c r="G7790" s="20" t="str">
        <f>IFERROR(__xludf.DUMMYFUNCTION("""COMPUTED_VALUE"""),"Uncle Sams Cider (04/04/2023)")</f>
        <v>Uncle Sams Cider (04/04/2023)</v>
      </c>
      <c r="H7790" s="19"/>
    </row>
    <row r="7791">
      <c r="A7791" s="9"/>
      <c r="B7791" s="15"/>
      <c r="C7791" s="9">
        <f>IFERROR(__xludf.DUMMYFUNCTION("""COMPUTED_VALUE"""),45062.4253229513)</f>
        <v>45062.42532</v>
      </c>
      <c r="D7791" s="15">
        <f>IFERROR(__xludf.DUMMYFUNCTION("""COMPUTED_VALUE"""),1.015)</f>
        <v>1.015</v>
      </c>
      <c r="E7791" s="16">
        <f>IFERROR(__xludf.DUMMYFUNCTION("""COMPUTED_VALUE"""),65.0)</f>
        <v>65</v>
      </c>
      <c r="F7791" s="19" t="str">
        <f>IFERROR(__xludf.DUMMYFUNCTION("""COMPUTED_VALUE"""),"BLUE")</f>
        <v>BLUE</v>
      </c>
      <c r="G7791" s="20" t="str">
        <f>IFERROR(__xludf.DUMMYFUNCTION("""COMPUTED_VALUE"""),"Uncle Sams Cider (04/04/2023)")</f>
        <v>Uncle Sams Cider (04/04/2023)</v>
      </c>
      <c r="H7791" s="19"/>
    </row>
    <row r="7792">
      <c r="A7792" s="9"/>
      <c r="B7792" s="15"/>
      <c r="C7792" s="9">
        <f>IFERROR(__xludf.DUMMYFUNCTION("""COMPUTED_VALUE"""),45062.4148998842)</f>
        <v>45062.4149</v>
      </c>
      <c r="D7792" s="15">
        <f>IFERROR(__xludf.DUMMYFUNCTION("""COMPUTED_VALUE"""),1.015)</f>
        <v>1.015</v>
      </c>
      <c r="E7792" s="16">
        <f>IFERROR(__xludf.DUMMYFUNCTION("""COMPUTED_VALUE"""),64.0)</f>
        <v>64</v>
      </c>
      <c r="F7792" s="19" t="str">
        <f>IFERROR(__xludf.DUMMYFUNCTION("""COMPUTED_VALUE"""),"BLUE")</f>
        <v>BLUE</v>
      </c>
      <c r="G7792" s="20" t="str">
        <f>IFERROR(__xludf.DUMMYFUNCTION("""COMPUTED_VALUE"""),"Uncle Sams Cider (04/04/2023)")</f>
        <v>Uncle Sams Cider (04/04/2023)</v>
      </c>
      <c r="H7792" s="19"/>
    </row>
    <row r="7793">
      <c r="A7793" s="9"/>
      <c r="B7793" s="15"/>
      <c r="C7793" s="9">
        <f>IFERROR(__xludf.DUMMYFUNCTION("""COMPUTED_VALUE"""),45062.4044673148)</f>
        <v>45062.40447</v>
      </c>
      <c r="D7793" s="15">
        <f>IFERROR(__xludf.DUMMYFUNCTION("""COMPUTED_VALUE"""),1.015)</f>
        <v>1.015</v>
      </c>
      <c r="E7793" s="16">
        <f>IFERROR(__xludf.DUMMYFUNCTION("""COMPUTED_VALUE"""),65.0)</f>
        <v>65</v>
      </c>
      <c r="F7793" s="19" t="str">
        <f>IFERROR(__xludf.DUMMYFUNCTION("""COMPUTED_VALUE"""),"BLUE")</f>
        <v>BLUE</v>
      </c>
      <c r="G7793" s="20" t="str">
        <f>IFERROR(__xludf.DUMMYFUNCTION("""COMPUTED_VALUE"""),"Uncle Sams Cider (04/04/2023)")</f>
        <v>Uncle Sams Cider (04/04/2023)</v>
      </c>
      <c r="H7793" s="19"/>
    </row>
    <row r="7794">
      <c r="A7794" s="9"/>
      <c r="B7794" s="15"/>
      <c r="C7794" s="9">
        <f>IFERROR(__xludf.DUMMYFUNCTION("""COMPUTED_VALUE"""),45062.3940448726)</f>
        <v>45062.39404</v>
      </c>
      <c r="D7794" s="15">
        <f>IFERROR(__xludf.DUMMYFUNCTION("""COMPUTED_VALUE"""),1.015)</f>
        <v>1.015</v>
      </c>
      <c r="E7794" s="16">
        <f>IFERROR(__xludf.DUMMYFUNCTION("""COMPUTED_VALUE"""),65.0)</f>
        <v>65</v>
      </c>
      <c r="F7794" s="19" t="str">
        <f>IFERROR(__xludf.DUMMYFUNCTION("""COMPUTED_VALUE"""),"BLUE")</f>
        <v>BLUE</v>
      </c>
      <c r="G7794" s="20" t="str">
        <f>IFERROR(__xludf.DUMMYFUNCTION("""COMPUTED_VALUE"""),"Uncle Sams Cider (04/04/2023)")</f>
        <v>Uncle Sams Cider (04/04/2023)</v>
      </c>
      <c r="H7794" s="19"/>
    </row>
    <row r="7795">
      <c r="A7795" s="9"/>
      <c r="B7795" s="15"/>
      <c r="C7795" s="9">
        <f>IFERROR(__xludf.DUMMYFUNCTION("""COMPUTED_VALUE"""),45062.3836127314)</f>
        <v>45062.38361</v>
      </c>
      <c r="D7795" s="15">
        <f>IFERROR(__xludf.DUMMYFUNCTION("""COMPUTED_VALUE"""),1.015)</f>
        <v>1.015</v>
      </c>
      <c r="E7795" s="16">
        <f>IFERROR(__xludf.DUMMYFUNCTION("""COMPUTED_VALUE"""),65.0)</f>
        <v>65</v>
      </c>
      <c r="F7795" s="19" t="str">
        <f>IFERROR(__xludf.DUMMYFUNCTION("""COMPUTED_VALUE"""),"BLUE")</f>
        <v>BLUE</v>
      </c>
      <c r="G7795" s="20" t="str">
        <f>IFERROR(__xludf.DUMMYFUNCTION("""COMPUTED_VALUE"""),"Uncle Sams Cider (04/04/2023)")</f>
        <v>Uncle Sams Cider (04/04/2023)</v>
      </c>
      <c r="H7795" s="19"/>
    </row>
    <row r="7796">
      <c r="A7796" s="9"/>
      <c r="B7796" s="15"/>
      <c r="C7796" s="9">
        <f>IFERROR(__xludf.DUMMYFUNCTION("""COMPUTED_VALUE"""),45062.3731917013)</f>
        <v>45062.37319</v>
      </c>
      <c r="D7796" s="15">
        <f>IFERROR(__xludf.DUMMYFUNCTION("""COMPUTED_VALUE"""),1.015)</f>
        <v>1.015</v>
      </c>
      <c r="E7796" s="16">
        <f>IFERROR(__xludf.DUMMYFUNCTION("""COMPUTED_VALUE"""),65.0)</f>
        <v>65</v>
      </c>
      <c r="F7796" s="19" t="str">
        <f>IFERROR(__xludf.DUMMYFUNCTION("""COMPUTED_VALUE"""),"BLUE")</f>
        <v>BLUE</v>
      </c>
      <c r="G7796" s="20" t="str">
        <f>IFERROR(__xludf.DUMMYFUNCTION("""COMPUTED_VALUE"""),"Uncle Sams Cider (04/04/2023)")</f>
        <v>Uncle Sams Cider (04/04/2023)</v>
      </c>
      <c r="H7796" s="19"/>
    </row>
    <row r="7797">
      <c r="A7797" s="9"/>
      <c r="B7797" s="15"/>
      <c r="C7797" s="9">
        <f>IFERROR(__xludf.DUMMYFUNCTION("""COMPUTED_VALUE"""),45062.3627700231)</f>
        <v>45062.36277</v>
      </c>
      <c r="D7797" s="15">
        <f>IFERROR(__xludf.DUMMYFUNCTION("""COMPUTED_VALUE"""),1.015)</f>
        <v>1.015</v>
      </c>
      <c r="E7797" s="16">
        <f>IFERROR(__xludf.DUMMYFUNCTION("""COMPUTED_VALUE"""),65.0)</f>
        <v>65</v>
      </c>
      <c r="F7797" s="19" t="str">
        <f>IFERROR(__xludf.DUMMYFUNCTION("""COMPUTED_VALUE"""),"BLUE")</f>
        <v>BLUE</v>
      </c>
      <c r="G7797" s="20" t="str">
        <f>IFERROR(__xludf.DUMMYFUNCTION("""COMPUTED_VALUE"""),"Uncle Sams Cider (04/04/2023)")</f>
        <v>Uncle Sams Cider (04/04/2023)</v>
      </c>
      <c r="H7797" s="19"/>
    </row>
    <row r="7798">
      <c r="A7798" s="9"/>
      <c r="B7798" s="15"/>
      <c r="C7798" s="9">
        <f>IFERROR(__xludf.DUMMYFUNCTION("""COMPUTED_VALUE"""),45062.3523354513)</f>
        <v>45062.35234</v>
      </c>
      <c r="D7798" s="15">
        <f>IFERROR(__xludf.DUMMYFUNCTION("""COMPUTED_VALUE"""),1.015)</f>
        <v>1.015</v>
      </c>
      <c r="E7798" s="16">
        <f>IFERROR(__xludf.DUMMYFUNCTION("""COMPUTED_VALUE"""),65.0)</f>
        <v>65</v>
      </c>
      <c r="F7798" s="19" t="str">
        <f>IFERROR(__xludf.DUMMYFUNCTION("""COMPUTED_VALUE"""),"BLUE")</f>
        <v>BLUE</v>
      </c>
      <c r="G7798" s="20" t="str">
        <f>IFERROR(__xludf.DUMMYFUNCTION("""COMPUTED_VALUE"""),"Uncle Sams Cider (04/04/2023)")</f>
        <v>Uncle Sams Cider (04/04/2023)</v>
      </c>
      <c r="H7798" s="19"/>
    </row>
    <row r="7799">
      <c r="A7799" s="9"/>
      <c r="B7799" s="15"/>
      <c r="C7799" s="9">
        <f>IFERROR(__xludf.DUMMYFUNCTION("""COMPUTED_VALUE"""),45062.3419023726)</f>
        <v>45062.3419</v>
      </c>
      <c r="D7799" s="15">
        <f>IFERROR(__xludf.DUMMYFUNCTION("""COMPUTED_VALUE"""),1.015)</f>
        <v>1.015</v>
      </c>
      <c r="E7799" s="16">
        <f>IFERROR(__xludf.DUMMYFUNCTION("""COMPUTED_VALUE"""),65.0)</f>
        <v>65</v>
      </c>
      <c r="F7799" s="19" t="str">
        <f>IFERROR(__xludf.DUMMYFUNCTION("""COMPUTED_VALUE"""),"BLUE")</f>
        <v>BLUE</v>
      </c>
      <c r="G7799" s="20" t="str">
        <f>IFERROR(__xludf.DUMMYFUNCTION("""COMPUTED_VALUE"""),"Uncle Sams Cider (04/04/2023)")</f>
        <v>Uncle Sams Cider (04/04/2023)</v>
      </c>
      <c r="H7799" s="19"/>
    </row>
    <row r="7800">
      <c r="A7800" s="9"/>
      <c r="B7800" s="15"/>
      <c r="C7800" s="9">
        <f>IFERROR(__xludf.DUMMYFUNCTION("""COMPUTED_VALUE"""),45062.3314830324)</f>
        <v>45062.33148</v>
      </c>
      <c r="D7800" s="15">
        <f>IFERROR(__xludf.DUMMYFUNCTION("""COMPUTED_VALUE"""),1.015)</f>
        <v>1.015</v>
      </c>
      <c r="E7800" s="16">
        <f>IFERROR(__xludf.DUMMYFUNCTION("""COMPUTED_VALUE"""),65.0)</f>
        <v>65</v>
      </c>
      <c r="F7800" s="19" t="str">
        <f>IFERROR(__xludf.DUMMYFUNCTION("""COMPUTED_VALUE"""),"BLUE")</f>
        <v>BLUE</v>
      </c>
      <c r="G7800" s="20" t="str">
        <f>IFERROR(__xludf.DUMMYFUNCTION("""COMPUTED_VALUE"""),"Uncle Sams Cider (04/04/2023)")</f>
        <v>Uncle Sams Cider (04/04/2023)</v>
      </c>
      <c r="H7800" s="19"/>
    </row>
    <row r="7801">
      <c r="A7801" s="9"/>
      <c r="B7801" s="15"/>
      <c r="C7801" s="9">
        <f>IFERROR(__xludf.DUMMYFUNCTION("""COMPUTED_VALUE"""),45062.3210623495)</f>
        <v>45062.32106</v>
      </c>
      <c r="D7801" s="15">
        <f>IFERROR(__xludf.DUMMYFUNCTION("""COMPUTED_VALUE"""),1.015)</f>
        <v>1.015</v>
      </c>
      <c r="E7801" s="16">
        <f>IFERROR(__xludf.DUMMYFUNCTION("""COMPUTED_VALUE"""),65.0)</f>
        <v>65</v>
      </c>
      <c r="F7801" s="19" t="str">
        <f>IFERROR(__xludf.DUMMYFUNCTION("""COMPUTED_VALUE"""),"BLUE")</f>
        <v>BLUE</v>
      </c>
      <c r="G7801" s="20" t="str">
        <f>IFERROR(__xludf.DUMMYFUNCTION("""COMPUTED_VALUE"""),"Uncle Sams Cider (04/04/2023)")</f>
        <v>Uncle Sams Cider (04/04/2023)</v>
      </c>
      <c r="H7801" s="19"/>
    </row>
    <row r="7802">
      <c r="A7802" s="9"/>
      <c r="B7802" s="15"/>
      <c r="C7802" s="9">
        <f>IFERROR(__xludf.DUMMYFUNCTION("""COMPUTED_VALUE"""),45062.3106293402)</f>
        <v>45062.31063</v>
      </c>
      <c r="D7802" s="15">
        <f>IFERROR(__xludf.DUMMYFUNCTION("""COMPUTED_VALUE"""),1.015)</f>
        <v>1.015</v>
      </c>
      <c r="E7802" s="16">
        <f>IFERROR(__xludf.DUMMYFUNCTION("""COMPUTED_VALUE"""),65.0)</f>
        <v>65</v>
      </c>
      <c r="F7802" s="19" t="str">
        <f>IFERROR(__xludf.DUMMYFUNCTION("""COMPUTED_VALUE"""),"BLUE")</f>
        <v>BLUE</v>
      </c>
      <c r="G7802" s="20" t="str">
        <f>IFERROR(__xludf.DUMMYFUNCTION("""COMPUTED_VALUE"""),"Uncle Sams Cider (04/04/2023)")</f>
        <v>Uncle Sams Cider (04/04/2023)</v>
      </c>
      <c r="H7802" s="19"/>
    </row>
    <row r="7803">
      <c r="A7803" s="9"/>
      <c r="B7803" s="15"/>
      <c r="C7803" s="9">
        <f>IFERROR(__xludf.DUMMYFUNCTION("""COMPUTED_VALUE"""),45062.3001960648)</f>
        <v>45062.3002</v>
      </c>
      <c r="D7803" s="15">
        <f>IFERROR(__xludf.DUMMYFUNCTION("""COMPUTED_VALUE"""),1.015)</f>
        <v>1.015</v>
      </c>
      <c r="E7803" s="16">
        <f>IFERROR(__xludf.DUMMYFUNCTION("""COMPUTED_VALUE"""),65.0)</f>
        <v>65</v>
      </c>
      <c r="F7803" s="19" t="str">
        <f>IFERROR(__xludf.DUMMYFUNCTION("""COMPUTED_VALUE"""),"BLUE")</f>
        <v>BLUE</v>
      </c>
      <c r="G7803" s="20" t="str">
        <f>IFERROR(__xludf.DUMMYFUNCTION("""COMPUTED_VALUE"""),"Uncle Sams Cider (04/04/2023)")</f>
        <v>Uncle Sams Cider (04/04/2023)</v>
      </c>
      <c r="H7803" s="19"/>
    </row>
    <row r="7804">
      <c r="A7804" s="9"/>
      <c r="B7804" s="15"/>
      <c r="C7804" s="9">
        <f>IFERROR(__xludf.DUMMYFUNCTION("""COMPUTED_VALUE"""),45062.2897755671)</f>
        <v>45062.28978</v>
      </c>
      <c r="D7804" s="15">
        <f>IFERROR(__xludf.DUMMYFUNCTION("""COMPUTED_VALUE"""),1.015)</f>
        <v>1.015</v>
      </c>
      <c r="E7804" s="16">
        <f>IFERROR(__xludf.DUMMYFUNCTION("""COMPUTED_VALUE"""),65.0)</f>
        <v>65</v>
      </c>
      <c r="F7804" s="19" t="str">
        <f>IFERROR(__xludf.DUMMYFUNCTION("""COMPUTED_VALUE"""),"BLUE")</f>
        <v>BLUE</v>
      </c>
      <c r="G7804" s="20" t="str">
        <f>IFERROR(__xludf.DUMMYFUNCTION("""COMPUTED_VALUE"""),"Uncle Sams Cider (04/04/2023)")</f>
        <v>Uncle Sams Cider (04/04/2023)</v>
      </c>
      <c r="H7804" s="19"/>
    </row>
    <row r="7805">
      <c r="A7805" s="9"/>
      <c r="B7805" s="15"/>
      <c r="C7805" s="9">
        <f>IFERROR(__xludf.DUMMYFUNCTION("""COMPUTED_VALUE"""),45062.279353206)</f>
        <v>45062.27935</v>
      </c>
      <c r="D7805" s="15">
        <f>IFERROR(__xludf.DUMMYFUNCTION("""COMPUTED_VALUE"""),1.015)</f>
        <v>1.015</v>
      </c>
      <c r="E7805" s="16">
        <f>IFERROR(__xludf.DUMMYFUNCTION("""COMPUTED_VALUE"""),65.0)</f>
        <v>65</v>
      </c>
      <c r="F7805" s="19" t="str">
        <f>IFERROR(__xludf.DUMMYFUNCTION("""COMPUTED_VALUE"""),"BLUE")</f>
        <v>BLUE</v>
      </c>
      <c r="G7805" s="20" t="str">
        <f>IFERROR(__xludf.DUMMYFUNCTION("""COMPUTED_VALUE"""),"Uncle Sams Cider (04/04/2023)")</f>
        <v>Uncle Sams Cider (04/04/2023)</v>
      </c>
      <c r="H7805" s="19"/>
    </row>
    <row r="7806">
      <c r="A7806" s="9"/>
      <c r="B7806" s="15"/>
      <c r="C7806" s="9">
        <f>IFERROR(__xludf.DUMMYFUNCTION("""COMPUTED_VALUE"""),45062.2689295486)</f>
        <v>45062.26893</v>
      </c>
      <c r="D7806" s="15">
        <f>IFERROR(__xludf.DUMMYFUNCTION("""COMPUTED_VALUE"""),1.015)</f>
        <v>1.015</v>
      </c>
      <c r="E7806" s="16">
        <f>IFERROR(__xludf.DUMMYFUNCTION("""COMPUTED_VALUE"""),65.0)</f>
        <v>65</v>
      </c>
      <c r="F7806" s="19" t="str">
        <f>IFERROR(__xludf.DUMMYFUNCTION("""COMPUTED_VALUE"""),"BLUE")</f>
        <v>BLUE</v>
      </c>
      <c r="G7806" s="20" t="str">
        <f>IFERROR(__xludf.DUMMYFUNCTION("""COMPUTED_VALUE"""),"Uncle Sams Cider (04/04/2023)")</f>
        <v>Uncle Sams Cider (04/04/2023)</v>
      </c>
      <c r="H7806" s="19"/>
    </row>
    <row r="7807">
      <c r="A7807" s="9"/>
      <c r="B7807" s="15"/>
      <c r="C7807" s="9">
        <f>IFERROR(__xludf.DUMMYFUNCTION("""COMPUTED_VALUE"""),45062.2584967708)</f>
        <v>45062.2585</v>
      </c>
      <c r="D7807" s="15">
        <f>IFERROR(__xludf.DUMMYFUNCTION("""COMPUTED_VALUE"""),1.015)</f>
        <v>1.015</v>
      </c>
      <c r="E7807" s="16">
        <f>IFERROR(__xludf.DUMMYFUNCTION("""COMPUTED_VALUE"""),64.0)</f>
        <v>64</v>
      </c>
      <c r="F7807" s="19" t="str">
        <f>IFERROR(__xludf.DUMMYFUNCTION("""COMPUTED_VALUE"""),"BLUE")</f>
        <v>BLUE</v>
      </c>
      <c r="G7807" s="20" t="str">
        <f>IFERROR(__xludf.DUMMYFUNCTION("""COMPUTED_VALUE"""),"Uncle Sams Cider (04/04/2023)")</f>
        <v>Uncle Sams Cider (04/04/2023)</v>
      </c>
      <c r="H7807" s="19"/>
    </row>
    <row r="7808">
      <c r="A7808" s="9"/>
      <c r="B7808" s="15"/>
      <c r="C7808" s="9">
        <f>IFERROR(__xludf.DUMMYFUNCTION("""COMPUTED_VALUE"""),45062.2480661458)</f>
        <v>45062.24807</v>
      </c>
      <c r="D7808" s="15">
        <f>IFERROR(__xludf.DUMMYFUNCTION("""COMPUTED_VALUE"""),1.015)</f>
        <v>1.015</v>
      </c>
      <c r="E7808" s="16">
        <f>IFERROR(__xludf.DUMMYFUNCTION("""COMPUTED_VALUE"""),65.0)</f>
        <v>65</v>
      </c>
      <c r="F7808" s="19" t="str">
        <f>IFERROR(__xludf.DUMMYFUNCTION("""COMPUTED_VALUE"""),"BLUE")</f>
        <v>BLUE</v>
      </c>
      <c r="G7808" s="20" t="str">
        <f>IFERROR(__xludf.DUMMYFUNCTION("""COMPUTED_VALUE"""),"Uncle Sams Cider (04/04/2023)")</f>
        <v>Uncle Sams Cider (04/04/2023)</v>
      </c>
      <c r="H7808" s="19"/>
    </row>
    <row r="7809">
      <c r="A7809" s="9"/>
      <c r="B7809" s="15"/>
      <c r="C7809" s="9">
        <f>IFERROR(__xludf.DUMMYFUNCTION("""COMPUTED_VALUE"""),45062.23764228)</f>
        <v>45062.23764</v>
      </c>
      <c r="D7809" s="15">
        <f>IFERROR(__xludf.DUMMYFUNCTION("""COMPUTED_VALUE"""),1.015)</f>
        <v>1.015</v>
      </c>
      <c r="E7809" s="16">
        <f>IFERROR(__xludf.DUMMYFUNCTION("""COMPUTED_VALUE"""),65.0)</f>
        <v>65</v>
      </c>
      <c r="F7809" s="19" t="str">
        <f>IFERROR(__xludf.DUMMYFUNCTION("""COMPUTED_VALUE"""),"BLUE")</f>
        <v>BLUE</v>
      </c>
      <c r="G7809" s="20" t="str">
        <f>IFERROR(__xludf.DUMMYFUNCTION("""COMPUTED_VALUE"""),"Uncle Sams Cider (04/04/2023)")</f>
        <v>Uncle Sams Cider (04/04/2023)</v>
      </c>
      <c r="H7809" s="19"/>
    </row>
    <row r="7810">
      <c r="A7810" s="9"/>
      <c r="B7810" s="15"/>
      <c r="C7810" s="9">
        <f>IFERROR(__xludf.DUMMYFUNCTION("""COMPUTED_VALUE"""),45062.2272213194)</f>
        <v>45062.22722</v>
      </c>
      <c r="D7810" s="15">
        <f>IFERROR(__xludf.DUMMYFUNCTION("""COMPUTED_VALUE"""),1.015)</f>
        <v>1.015</v>
      </c>
      <c r="E7810" s="16">
        <f>IFERROR(__xludf.DUMMYFUNCTION("""COMPUTED_VALUE"""),65.0)</f>
        <v>65</v>
      </c>
      <c r="F7810" s="19" t="str">
        <f>IFERROR(__xludf.DUMMYFUNCTION("""COMPUTED_VALUE"""),"BLUE")</f>
        <v>BLUE</v>
      </c>
      <c r="G7810" s="20" t="str">
        <f>IFERROR(__xludf.DUMMYFUNCTION("""COMPUTED_VALUE"""),"Uncle Sams Cider (04/04/2023)")</f>
        <v>Uncle Sams Cider (04/04/2023)</v>
      </c>
      <c r="H7810" s="19"/>
    </row>
    <row r="7811">
      <c r="A7811" s="9"/>
      <c r="B7811" s="15"/>
      <c r="C7811" s="9">
        <f>IFERROR(__xludf.DUMMYFUNCTION("""COMPUTED_VALUE"""),45062.2168023958)</f>
        <v>45062.2168</v>
      </c>
      <c r="D7811" s="15">
        <f>IFERROR(__xludf.DUMMYFUNCTION("""COMPUTED_VALUE"""),1.015)</f>
        <v>1.015</v>
      </c>
      <c r="E7811" s="16">
        <f>IFERROR(__xludf.DUMMYFUNCTION("""COMPUTED_VALUE"""),64.0)</f>
        <v>64</v>
      </c>
      <c r="F7811" s="19" t="str">
        <f>IFERROR(__xludf.DUMMYFUNCTION("""COMPUTED_VALUE"""),"BLUE")</f>
        <v>BLUE</v>
      </c>
      <c r="G7811" s="20" t="str">
        <f>IFERROR(__xludf.DUMMYFUNCTION("""COMPUTED_VALUE"""),"Uncle Sams Cider (04/04/2023)")</f>
        <v>Uncle Sams Cider (04/04/2023)</v>
      </c>
      <c r="H7811" s="19"/>
    </row>
    <row r="7812">
      <c r="A7812" s="9"/>
      <c r="B7812" s="15"/>
      <c r="C7812" s="9">
        <f>IFERROR(__xludf.DUMMYFUNCTION("""COMPUTED_VALUE"""),45062.2063842476)</f>
        <v>45062.20638</v>
      </c>
      <c r="D7812" s="15">
        <f>IFERROR(__xludf.DUMMYFUNCTION("""COMPUTED_VALUE"""),1.015)</f>
        <v>1.015</v>
      </c>
      <c r="E7812" s="16">
        <f>IFERROR(__xludf.DUMMYFUNCTION("""COMPUTED_VALUE"""),65.0)</f>
        <v>65</v>
      </c>
      <c r="F7812" s="19" t="str">
        <f>IFERROR(__xludf.DUMMYFUNCTION("""COMPUTED_VALUE"""),"BLUE")</f>
        <v>BLUE</v>
      </c>
      <c r="G7812" s="20" t="str">
        <f>IFERROR(__xludf.DUMMYFUNCTION("""COMPUTED_VALUE"""),"Uncle Sams Cider (04/04/2023)")</f>
        <v>Uncle Sams Cider (04/04/2023)</v>
      </c>
      <c r="H7812" s="19"/>
    </row>
    <row r="7813">
      <c r="A7813" s="9"/>
      <c r="B7813" s="15"/>
      <c r="C7813" s="9">
        <f>IFERROR(__xludf.DUMMYFUNCTION("""COMPUTED_VALUE"""),45062.1959629282)</f>
        <v>45062.19596</v>
      </c>
      <c r="D7813" s="15">
        <f>IFERROR(__xludf.DUMMYFUNCTION("""COMPUTED_VALUE"""),1.015)</f>
        <v>1.015</v>
      </c>
      <c r="E7813" s="16">
        <f>IFERROR(__xludf.DUMMYFUNCTION("""COMPUTED_VALUE"""),65.0)</f>
        <v>65</v>
      </c>
      <c r="F7813" s="19" t="str">
        <f>IFERROR(__xludf.DUMMYFUNCTION("""COMPUTED_VALUE"""),"BLUE")</f>
        <v>BLUE</v>
      </c>
      <c r="G7813" s="20" t="str">
        <f>IFERROR(__xludf.DUMMYFUNCTION("""COMPUTED_VALUE"""),"Uncle Sams Cider (04/04/2023)")</f>
        <v>Uncle Sams Cider (04/04/2023)</v>
      </c>
      <c r="H7813" s="19"/>
    </row>
    <row r="7814">
      <c r="A7814" s="9"/>
      <c r="B7814" s="15"/>
      <c r="C7814" s="9">
        <f>IFERROR(__xludf.DUMMYFUNCTION("""COMPUTED_VALUE"""),45062.1855435879)</f>
        <v>45062.18554</v>
      </c>
      <c r="D7814" s="15">
        <f>IFERROR(__xludf.DUMMYFUNCTION("""COMPUTED_VALUE"""),1.015)</f>
        <v>1.015</v>
      </c>
      <c r="E7814" s="16">
        <f>IFERROR(__xludf.DUMMYFUNCTION("""COMPUTED_VALUE"""),65.0)</f>
        <v>65</v>
      </c>
      <c r="F7814" s="19" t="str">
        <f>IFERROR(__xludf.DUMMYFUNCTION("""COMPUTED_VALUE"""),"BLUE")</f>
        <v>BLUE</v>
      </c>
      <c r="G7814" s="20" t="str">
        <f>IFERROR(__xludf.DUMMYFUNCTION("""COMPUTED_VALUE"""),"Uncle Sams Cider (04/04/2023)")</f>
        <v>Uncle Sams Cider (04/04/2023)</v>
      </c>
      <c r="H7814" s="19"/>
    </row>
    <row r="7815">
      <c r="A7815" s="9"/>
      <c r="B7815" s="15"/>
      <c r="C7815" s="9">
        <f>IFERROR(__xludf.DUMMYFUNCTION("""COMPUTED_VALUE"""),45062.1751226388)</f>
        <v>45062.17512</v>
      </c>
      <c r="D7815" s="15">
        <f>IFERROR(__xludf.DUMMYFUNCTION("""COMPUTED_VALUE"""),1.015)</f>
        <v>1.015</v>
      </c>
      <c r="E7815" s="16">
        <f>IFERROR(__xludf.DUMMYFUNCTION("""COMPUTED_VALUE"""),65.0)</f>
        <v>65</v>
      </c>
      <c r="F7815" s="19" t="str">
        <f>IFERROR(__xludf.DUMMYFUNCTION("""COMPUTED_VALUE"""),"BLUE")</f>
        <v>BLUE</v>
      </c>
      <c r="G7815" s="20" t="str">
        <f>IFERROR(__xludf.DUMMYFUNCTION("""COMPUTED_VALUE"""),"Uncle Sams Cider (04/04/2023)")</f>
        <v>Uncle Sams Cider (04/04/2023)</v>
      </c>
      <c r="H7815" s="19"/>
    </row>
    <row r="7816">
      <c r="A7816" s="9"/>
      <c r="B7816" s="15"/>
      <c r="C7816" s="9">
        <f>IFERROR(__xludf.DUMMYFUNCTION("""COMPUTED_VALUE"""),45062.1647007754)</f>
        <v>45062.1647</v>
      </c>
      <c r="D7816" s="15">
        <f>IFERROR(__xludf.DUMMYFUNCTION("""COMPUTED_VALUE"""),1.015)</f>
        <v>1.015</v>
      </c>
      <c r="E7816" s="16">
        <f>IFERROR(__xludf.DUMMYFUNCTION("""COMPUTED_VALUE"""),65.0)</f>
        <v>65</v>
      </c>
      <c r="F7816" s="19" t="str">
        <f>IFERROR(__xludf.DUMMYFUNCTION("""COMPUTED_VALUE"""),"BLUE")</f>
        <v>BLUE</v>
      </c>
      <c r="G7816" s="20" t="str">
        <f>IFERROR(__xludf.DUMMYFUNCTION("""COMPUTED_VALUE"""),"Uncle Sams Cider (04/04/2023)")</f>
        <v>Uncle Sams Cider (04/04/2023)</v>
      </c>
      <c r="H7816" s="19"/>
    </row>
    <row r="7817">
      <c r="A7817" s="9"/>
      <c r="B7817" s="15"/>
      <c r="C7817" s="9">
        <f>IFERROR(__xludf.DUMMYFUNCTION("""COMPUTED_VALUE"""),45062.1542796296)</f>
        <v>45062.15428</v>
      </c>
      <c r="D7817" s="15">
        <f>IFERROR(__xludf.DUMMYFUNCTION("""COMPUTED_VALUE"""),1.015)</f>
        <v>1.015</v>
      </c>
      <c r="E7817" s="16">
        <f>IFERROR(__xludf.DUMMYFUNCTION("""COMPUTED_VALUE"""),65.0)</f>
        <v>65</v>
      </c>
      <c r="F7817" s="19" t="str">
        <f>IFERROR(__xludf.DUMMYFUNCTION("""COMPUTED_VALUE"""),"BLUE")</f>
        <v>BLUE</v>
      </c>
      <c r="G7817" s="20" t="str">
        <f>IFERROR(__xludf.DUMMYFUNCTION("""COMPUTED_VALUE"""),"Uncle Sams Cider (04/04/2023)")</f>
        <v>Uncle Sams Cider (04/04/2023)</v>
      </c>
      <c r="H7817" s="19"/>
    </row>
    <row r="7818">
      <c r="A7818" s="9"/>
      <c r="B7818" s="15"/>
      <c r="C7818" s="9">
        <f>IFERROR(__xludf.DUMMYFUNCTION("""COMPUTED_VALUE"""),45062.1438604861)</f>
        <v>45062.14386</v>
      </c>
      <c r="D7818" s="15">
        <f>IFERROR(__xludf.DUMMYFUNCTION("""COMPUTED_VALUE"""),1.015)</f>
        <v>1.015</v>
      </c>
      <c r="E7818" s="16">
        <f>IFERROR(__xludf.DUMMYFUNCTION("""COMPUTED_VALUE"""),65.0)</f>
        <v>65</v>
      </c>
      <c r="F7818" s="19" t="str">
        <f>IFERROR(__xludf.DUMMYFUNCTION("""COMPUTED_VALUE"""),"BLUE")</f>
        <v>BLUE</v>
      </c>
      <c r="G7818" s="20" t="str">
        <f>IFERROR(__xludf.DUMMYFUNCTION("""COMPUTED_VALUE"""),"Uncle Sams Cider (04/04/2023)")</f>
        <v>Uncle Sams Cider (04/04/2023)</v>
      </c>
      <c r="H7818" s="19"/>
    </row>
    <row r="7819">
      <c r="A7819" s="9"/>
      <c r="B7819" s="15"/>
      <c r="C7819" s="9">
        <f>IFERROR(__xludf.DUMMYFUNCTION("""COMPUTED_VALUE"""),45062.1334400347)</f>
        <v>45062.13344</v>
      </c>
      <c r="D7819" s="15">
        <f>IFERROR(__xludf.DUMMYFUNCTION("""COMPUTED_VALUE"""),1.015)</f>
        <v>1.015</v>
      </c>
      <c r="E7819" s="16">
        <f>IFERROR(__xludf.DUMMYFUNCTION("""COMPUTED_VALUE"""),65.0)</f>
        <v>65</v>
      </c>
      <c r="F7819" s="19" t="str">
        <f>IFERROR(__xludf.DUMMYFUNCTION("""COMPUTED_VALUE"""),"BLUE")</f>
        <v>BLUE</v>
      </c>
      <c r="G7819" s="20" t="str">
        <f>IFERROR(__xludf.DUMMYFUNCTION("""COMPUTED_VALUE"""),"Uncle Sams Cider (04/04/2023)")</f>
        <v>Uncle Sams Cider (04/04/2023)</v>
      </c>
      <c r="H7819" s="19"/>
    </row>
    <row r="7820">
      <c r="A7820" s="9"/>
      <c r="B7820" s="15"/>
      <c r="C7820" s="9">
        <f>IFERROR(__xludf.DUMMYFUNCTION("""COMPUTED_VALUE"""),45062.1230192129)</f>
        <v>45062.12302</v>
      </c>
      <c r="D7820" s="15">
        <f>IFERROR(__xludf.DUMMYFUNCTION("""COMPUTED_VALUE"""),1.015)</f>
        <v>1.015</v>
      </c>
      <c r="E7820" s="16">
        <f>IFERROR(__xludf.DUMMYFUNCTION("""COMPUTED_VALUE"""),65.0)</f>
        <v>65</v>
      </c>
      <c r="F7820" s="19" t="str">
        <f>IFERROR(__xludf.DUMMYFUNCTION("""COMPUTED_VALUE"""),"BLUE")</f>
        <v>BLUE</v>
      </c>
      <c r="G7820" s="20" t="str">
        <f>IFERROR(__xludf.DUMMYFUNCTION("""COMPUTED_VALUE"""),"Uncle Sams Cider (04/04/2023)")</f>
        <v>Uncle Sams Cider (04/04/2023)</v>
      </c>
      <c r="H7820" s="19"/>
    </row>
    <row r="7821">
      <c r="A7821" s="9"/>
      <c r="B7821" s="15"/>
      <c r="C7821" s="9">
        <f>IFERROR(__xludf.DUMMYFUNCTION("""COMPUTED_VALUE"""),45062.1125979861)</f>
        <v>45062.1126</v>
      </c>
      <c r="D7821" s="15">
        <f>IFERROR(__xludf.DUMMYFUNCTION("""COMPUTED_VALUE"""),1.015)</f>
        <v>1.015</v>
      </c>
      <c r="E7821" s="16">
        <f>IFERROR(__xludf.DUMMYFUNCTION("""COMPUTED_VALUE"""),65.0)</f>
        <v>65</v>
      </c>
      <c r="F7821" s="19" t="str">
        <f>IFERROR(__xludf.DUMMYFUNCTION("""COMPUTED_VALUE"""),"BLUE")</f>
        <v>BLUE</v>
      </c>
      <c r="G7821" s="20" t="str">
        <f>IFERROR(__xludf.DUMMYFUNCTION("""COMPUTED_VALUE"""),"Uncle Sams Cider (04/04/2023)")</f>
        <v>Uncle Sams Cider (04/04/2023)</v>
      </c>
      <c r="H7821" s="19"/>
    </row>
    <row r="7822">
      <c r="A7822" s="9"/>
      <c r="B7822" s="15"/>
      <c r="C7822" s="9">
        <f>IFERROR(__xludf.DUMMYFUNCTION("""COMPUTED_VALUE"""),45062.1021780324)</f>
        <v>45062.10218</v>
      </c>
      <c r="D7822" s="15">
        <f>IFERROR(__xludf.DUMMYFUNCTION("""COMPUTED_VALUE"""),1.015)</f>
        <v>1.015</v>
      </c>
      <c r="E7822" s="16">
        <f>IFERROR(__xludf.DUMMYFUNCTION("""COMPUTED_VALUE"""),65.0)</f>
        <v>65</v>
      </c>
      <c r="F7822" s="19" t="str">
        <f>IFERROR(__xludf.DUMMYFUNCTION("""COMPUTED_VALUE"""),"BLUE")</f>
        <v>BLUE</v>
      </c>
      <c r="G7822" s="20" t="str">
        <f>IFERROR(__xludf.DUMMYFUNCTION("""COMPUTED_VALUE"""),"Uncle Sams Cider (04/04/2023)")</f>
        <v>Uncle Sams Cider (04/04/2023)</v>
      </c>
      <c r="H7822" s="19"/>
    </row>
    <row r="7823">
      <c r="A7823" s="9"/>
      <c r="B7823" s="15"/>
      <c r="C7823" s="9">
        <f>IFERROR(__xludf.DUMMYFUNCTION("""COMPUTED_VALUE"""),45062.0917567245)</f>
        <v>45062.09176</v>
      </c>
      <c r="D7823" s="15">
        <f>IFERROR(__xludf.DUMMYFUNCTION("""COMPUTED_VALUE"""),1.015)</f>
        <v>1.015</v>
      </c>
      <c r="E7823" s="16">
        <f>IFERROR(__xludf.DUMMYFUNCTION("""COMPUTED_VALUE"""),65.0)</f>
        <v>65</v>
      </c>
      <c r="F7823" s="19" t="str">
        <f>IFERROR(__xludf.DUMMYFUNCTION("""COMPUTED_VALUE"""),"BLUE")</f>
        <v>BLUE</v>
      </c>
      <c r="G7823" s="20" t="str">
        <f>IFERROR(__xludf.DUMMYFUNCTION("""COMPUTED_VALUE"""),"Uncle Sams Cider (04/04/2023)")</f>
        <v>Uncle Sams Cider (04/04/2023)</v>
      </c>
      <c r="H7823" s="19"/>
    </row>
    <row r="7824">
      <c r="A7824" s="9"/>
      <c r="B7824" s="15"/>
      <c r="C7824" s="9">
        <f>IFERROR(__xludf.DUMMYFUNCTION("""COMPUTED_VALUE"""),45062.0813343287)</f>
        <v>45062.08133</v>
      </c>
      <c r="D7824" s="15">
        <f>IFERROR(__xludf.DUMMYFUNCTION("""COMPUTED_VALUE"""),1.015)</f>
        <v>1.015</v>
      </c>
      <c r="E7824" s="16">
        <f>IFERROR(__xludf.DUMMYFUNCTION("""COMPUTED_VALUE"""),65.0)</f>
        <v>65</v>
      </c>
      <c r="F7824" s="19" t="str">
        <f>IFERROR(__xludf.DUMMYFUNCTION("""COMPUTED_VALUE"""),"BLUE")</f>
        <v>BLUE</v>
      </c>
      <c r="G7824" s="20" t="str">
        <f>IFERROR(__xludf.DUMMYFUNCTION("""COMPUTED_VALUE"""),"Uncle Sams Cider (04/04/2023)")</f>
        <v>Uncle Sams Cider (04/04/2023)</v>
      </c>
      <c r="H7824" s="19"/>
    </row>
    <row r="7825">
      <c r="A7825" s="9"/>
      <c r="B7825" s="15"/>
      <c r="C7825" s="9">
        <f>IFERROR(__xludf.DUMMYFUNCTION("""COMPUTED_VALUE"""),45062.0709121643)</f>
        <v>45062.07091</v>
      </c>
      <c r="D7825" s="15">
        <f>IFERROR(__xludf.DUMMYFUNCTION("""COMPUTED_VALUE"""),1.015)</f>
        <v>1.015</v>
      </c>
      <c r="E7825" s="16">
        <f>IFERROR(__xludf.DUMMYFUNCTION("""COMPUTED_VALUE"""),65.0)</f>
        <v>65</v>
      </c>
      <c r="F7825" s="19" t="str">
        <f>IFERROR(__xludf.DUMMYFUNCTION("""COMPUTED_VALUE"""),"BLUE")</f>
        <v>BLUE</v>
      </c>
      <c r="G7825" s="20" t="str">
        <f>IFERROR(__xludf.DUMMYFUNCTION("""COMPUTED_VALUE"""),"Uncle Sams Cider (04/04/2023)")</f>
        <v>Uncle Sams Cider (04/04/2023)</v>
      </c>
      <c r="H7825" s="19"/>
    </row>
    <row r="7826">
      <c r="A7826" s="9"/>
      <c r="B7826" s="15"/>
      <c r="C7826" s="9">
        <f>IFERROR(__xludf.DUMMYFUNCTION("""COMPUTED_VALUE"""),45062.0604899999)</f>
        <v>45062.06049</v>
      </c>
      <c r="D7826" s="15">
        <f>IFERROR(__xludf.DUMMYFUNCTION("""COMPUTED_VALUE"""),1.015)</f>
        <v>1.015</v>
      </c>
      <c r="E7826" s="16">
        <f>IFERROR(__xludf.DUMMYFUNCTION("""COMPUTED_VALUE"""),65.0)</f>
        <v>65</v>
      </c>
      <c r="F7826" s="19" t="str">
        <f>IFERROR(__xludf.DUMMYFUNCTION("""COMPUTED_VALUE"""),"BLUE")</f>
        <v>BLUE</v>
      </c>
      <c r="G7826" s="20" t="str">
        <f>IFERROR(__xludf.DUMMYFUNCTION("""COMPUTED_VALUE"""),"Uncle Sams Cider (04/04/2023)")</f>
        <v>Uncle Sams Cider (04/04/2023)</v>
      </c>
      <c r="H7826" s="19"/>
    </row>
    <row r="7827">
      <c r="A7827" s="9"/>
      <c r="B7827" s="15"/>
      <c r="C7827" s="9">
        <f>IFERROR(__xludf.DUMMYFUNCTION("""COMPUTED_VALUE"""),45062.0500683912)</f>
        <v>45062.05007</v>
      </c>
      <c r="D7827" s="15">
        <f>IFERROR(__xludf.DUMMYFUNCTION("""COMPUTED_VALUE"""),1.015)</f>
        <v>1.015</v>
      </c>
      <c r="E7827" s="16">
        <f>IFERROR(__xludf.DUMMYFUNCTION("""COMPUTED_VALUE"""),65.0)</f>
        <v>65</v>
      </c>
      <c r="F7827" s="19" t="str">
        <f>IFERROR(__xludf.DUMMYFUNCTION("""COMPUTED_VALUE"""),"BLUE")</f>
        <v>BLUE</v>
      </c>
      <c r="G7827" s="20" t="str">
        <f>IFERROR(__xludf.DUMMYFUNCTION("""COMPUTED_VALUE"""),"Uncle Sams Cider (04/04/2023)")</f>
        <v>Uncle Sams Cider (04/04/2023)</v>
      </c>
      <c r="H7827" s="19"/>
    </row>
    <row r="7828">
      <c r="A7828" s="9"/>
      <c r="B7828" s="15"/>
      <c r="C7828" s="9">
        <f>IFERROR(__xludf.DUMMYFUNCTION("""COMPUTED_VALUE"""),45062.039647118)</f>
        <v>45062.03965</v>
      </c>
      <c r="D7828" s="15">
        <f>IFERROR(__xludf.DUMMYFUNCTION("""COMPUTED_VALUE"""),1.015)</f>
        <v>1.015</v>
      </c>
      <c r="E7828" s="16">
        <f>IFERROR(__xludf.DUMMYFUNCTION("""COMPUTED_VALUE"""),65.0)</f>
        <v>65</v>
      </c>
      <c r="F7828" s="19" t="str">
        <f>IFERROR(__xludf.DUMMYFUNCTION("""COMPUTED_VALUE"""),"BLUE")</f>
        <v>BLUE</v>
      </c>
      <c r="G7828" s="20" t="str">
        <f>IFERROR(__xludf.DUMMYFUNCTION("""COMPUTED_VALUE"""),"Uncle Sams Cider (04/04/2023)")</f>
        <v>Uncle Sams Cider (04/04/2023)</v>
      </c>
      <c r="H7828" s="19"/>
    </row>
    <row r="7829">
      <c r="A7829" s="9"/>
      <c r="B7829" s="15"/>
      <c r="C7829" s="9">
        <f>IFERROR(__xludf.DUMMYFUNCTION("""COMPUTED_VALUE"""),45062.0292244328)</f>
        <v>45062.02922</v>
      </c>
      <c r="D7829" s="15">
        <f>IFERROR(__xludf.DUMMYFUNCTION("""COMPUTED_VALUE"""),1.015)</f>
        <v>1.015</v>
      </c>
      <c r="E7829" s="16">
        <f>IFERROR(__xludf.DUMMYFUNCTION("""COMPUTED_VALUE"""),65.0)</f>
        <v>65</v>
      </c>
      <c r="F7829" s="19" t="str">
        <f>IFERROR(__xludf.DUMMYFUNCTION("""COMPUTED_VALUE"""),"BLUE")</f>
        <v>BLUE</v>
      </c>
      <c r="G7829" s="20" t="str">
        <f>IFERROR(__xludf.DUMMYFUNCTION("""COMPUTED_VALUE"""),"Uncle Sams Cider (04/04/2023)")</f>
        <v>Uncle Sams Cider (04/04/2023)</v>
      </c>
      <c r="H7829" s="19"/>
    </row>
    <row r="7830">
      <c r="A7830" s="9"/>
      <c r="B7830" s="15"/>
      <c r="C7830" s="9">
        <f>IFERROR(__xludf.DUMMYFUNCTION("""COMPUTED_VALUE"""),45062.0188047337)</f>
        <v>45062.0188</v>
      </c>
      <c r="D7830" s="15">
        <f>IFERROR(__xludf.DUMMYFUNCTION("""COMPUTED_VALUE"""),1.015)</f>
        <v>1.015</v>
      </c>
      <c r="E7830" s="16">
        <f>IFERROR(__xludf.DUMMYFUNCTION("""COMPUTED_VALUE"""),65.0)</f>
        <v>65</v>
      </c>
      <c r="F7830" s="19" t="str">
        <f>IFERROR(__xludf.DUMMYFUNCTION("""COMPUTED_VALUE"""),"BLUE")</f>
        <v>BLUE</v>
      </c>
      <c r="G7830" s="20" t="str">
        <f>IFERROR(__xludf.DUMMYFUNCTION("""COMPUTED_VALUE"""),"Uncle Sams Cider (04/04/2023)")</f>
        <v>Uncle Sams Cider (04/04/2023)</v>
      </c>
      <c r="H7830" s="19"/>
    </row>
    <row r="7831">
      <c r="A7831" s="9"/>
      <c r="B7831" s="15"/>
      <c r="C7831" s="9">
        <f>IFERROR(__xludf.DUMMYFUNCTION("""COMPUTED_VALUE"""),45062.0083839467)</f>
        <v>45062.00838</v>
      </c>
      <c r="D7831" s="15">
        <f>IFERROR(__xludf.DUMMYFUNCTION("""COMPUTED_VALUE"""),1.015)</f>
        <v>1.015</v>
      </c>
      <c r="E7831" s="16">
        <f>IFERROR(__xludf.DUMMYFUNCTION("""COMPUTED_VALUE"""),65.0)</f>
        <v>65</v>
      </c>
      <c r="F7831" s="19" t="str">
        <f>IFERROR(__xludf.DUMMYFUNCTION("""COMPUTED_VALUE"""),"BLUE")</f>
        <v>BLUE</v>
      </c>
      <c r="G7831" s="20" t="str">
        <f>IFERROR(__xludf.DUMMYFUNCTION("""COMPUTED_VALUE"""),"Uncle Sams Cider (04/04/2023)")</f>
        <v>Uncle Sams Cider (04/04/2023)</v>
      </c>
      <c r="H7831" s="19"/>
    </row>
    <row r="7832">
      <c r="A7832" s="9"/>
      <c r="B7832" s="15"/>
      <c r="C7832" s="9">
        <f>IFERROR(__xludf.DUMMYFUNCTION("""COMPUTED_VALUE"""),45061.9979630555)</f>
        <v>45061.99796</v>
      </c>
      <c r="D7832" s="15">
        <f>IFERROR(__xludf.DUMMYFUNCTION("""COMPUTED_VALUE"""),1.015)</f>
        <v>1.015</v>
      </c>
      <c r="E7832" s="16">
        <f>IFERROR(__xludf.DUMMYFUNCTION("""COMPUTED_VALUE"""),65.0)</f>
        <v>65</v>
      </c>
      <c r="F7832" s="19" t="str">
        <f>IFERROR(__xludf.DUMMYFUNCTION("""COMPUTED_VALUE"""),"BLUE")</f>
        <v>BLUE</v>
      </c>
      <c r="G7832" s="20" t="str">
        <f>IFERROR(__xludf.DUMMYFUNCTION("""COMPUTED_VALUE"""),"Uncle Sams Cider (04/04/2023)")</f>
        <v>Uncle Sams Cider (04/04/2023)</v>
      </c>
      <c r="H7832" s="19"/>
    </row>
    <row r="7833">
      <c r="A7833" s="9"/>
      <c r="B7833" s="15"/>
      <c r="C7833" s="9">
        <f>IFERROR(__xludf.DUMMYFUNCTION("""COMPUTED_VALUE"""),45061.9875436226)</f>
        <v>45061.98754</v>
      </c>
      <c r="D7833" s="15">
        <f>IFERROR(__xludf.DUMMYFUNCTION("""COMPUTED_VALUE"""),1.015)</f>
        <v>1.015</v>
      </c>
      <c r="E7833" s="16">
        <f>IFERROR(__xludf.DUMMYFUNCTION("""COMPUTED_VALUE"""),65.0)</f>
        <v>65</v>
      </c>
      <c r="F7833" s="19" t="str">
        <f>IFERROR(__xludf.DUMMYFUNCTION("""COMPUTED_VALUE"""),"BLUE")</f>
        <v>BLUE</v>
      </c>
      <c r="G7833" s="20" t="str">
        <f>IFERROR(__xludf.DUMMYFUNCTION("""COMPUTED_VALUE"""),"Uncle Sams Cider (04/04/2023)")</f>
        <v>Uncle Sams Cider (04/04/2023)</v>
      </c>
      <c r="H7833" s="19"/>
    </row>
    <row r="7834">
      <c r="A7834" s="9"/>
      <c r="B7834" s="15"/>
      <c r="C7834" s="9">
        <f>IFERROR(__xludf.DUMMYFUNCTION("""COMPUTED_VALUE"""),45061.9771226273)</f>
        <v>45061.97712</v>
      </c>
      <c r="D7834" s="15">
        <f>IFERROR(__xludf.DUMMYFUNCTION("""COMPUTED_VALUE"""),1.015)</f>
        <v>1.015</v>
      </c>
      <c r="E7834" s="16">
        <f>IFERROR(__xludf.DUMMYFUNCTION("""COMPUTED_VALUE"""),65.0)</f>
        <v>65</v>
      </c>
      <c r="F7834" s="19" t="str">
        <f>IFERROR(__xludf.DUMMYFUNCTION("""COMPUTED_VALUE"""),"BLUE")</f>
        <v>BLUE</v>
      </c>
      <c r="G7834" s="20" t="str">
        <f>IFERROR(__xludf.DUMMYFUNCTION("""COMPUTED_VALUE"""),"Uncle Sams Cider (04/04/2023)")</f>
        <v>Uncle Sams Cider (04/04/2023)</v>
      </c>
      <c r="H7834" s="19"/>
    </row>
    <row r="7835">
      <c r="A7835" s="9"/>
      <c r="B7835" s="15"/>
      <c r="C7835" s="9">
        <f>IFERROR(__xludf.DUMMYFUNCTION("""COMPUTED_VALUE"""),45061.9667029282)</f>
        <v>45061.9667</v>
      </c>
      <c r="D7835" s="15">
        <f>IFERROR(__xludf.DUMMYFUNCTION("""COMPUTED_VALUE"""),1.015)</f>
        <v>1.015</v>
      </c>
      <c r="E7835" s="16">
        <f>IFERROR(__xludf.DUMMYFUNCTION("""COMPUTED_VALUE"""),65.0)</f>
        <v>65</v>
      </c>
      <c r="F7835" s="19" t="str">
        <f>IFERROR(__xludf.DUMMYFUNCTION("""COMPUTED_VALUE"""),"BLUE")</f>
        <v>BLUE</v>
      </c>
      <c r="G7835" s="20" t="str">
        <f>IFERROR(__xludf.DUMMYFUNCTION("""COMPUTED_VALUE"""),"Uncle Sams Cider (04/04/2023)")</f>
        <v>Uncle Sams Cider (04/04/2023)</v>
      </c>
      <c r="H7835" s="19"/>
    </row>
    <row r="7836">
      <c r="A7836" s="9"/>
      <c r="B7836" s="15"/>
      <c r="C7836" s="9">
        <f>IFERROR(__xludf.DUMMYFUNCTION("""COMPUTED_VALUE"""),45061.9562829398)</f>
        <v>45061.95628</v>
      </c>
      <c r="D7836" s="15">
        <f>IFERROR(__xludf.DUMMYFUNCTION("""COMPUTED_VALUE"""),1.015)</f>
        <v>1.015</v>
      </c>
      <c r="E7836" s="16">
        <f>IFERROR(__xludf.DUMMYFUNCTION("""COMPUTED_VALUE"""),65.0)</f>
        <v>65</v>
      </c>
      <c r="F7836" s="19" t="str">
        <f>IFERROR(__xludf.DUMMYFUNCTION("""COMPUTED_VALUE"""),"BLUE")</f>
        <v>BLUE</v>
      </c>
      <c r="G7836" s="20" t="str">
        <f>IFERROR(__xludf.DUMMYFUNCTION("""COMPUTED_VALUE"""),"Uncle Sams Cider (04/04/2023)")</f>
        <v>Uncle Sams Cider (04/04/2023)</v>
      </c>
      <c r="H7836" s="19"/>
    </row>
    <row r="7837">
      <c r="A7837" s="9"/>
      <c r="B7837" s="15"/>
      <c r="C7837" s="9">
        <f>IFERROR(__xludf.DUMMYFUNCTION("""COMPUTED_VALUE"""),45061.9458612268)</f>
        <v>45061.94586</v>
      </c>
      <c r="D7837" s="15">
        <f>IFERROR(__xludf.DUMMYFUNCTION("""COMPUTED_VALUE"""),1.015)</f>
        <v>1.015</v>
      </c>
      <c r="E7837" s="16">
        <f>IFERROR(__xludf.DUMMYFUNCTION("""COMPUTED_VALUE"""),65.0)</f>
        <v>65</v>
      </c>
      <c r="F7837" s="19" t="str">
        <f>IFERROR(__xludf.DUMMYFUNCTION("""COMPUTED_VALUE"""),"BLUE")</f>
        <v>BLUE</v>
      </c>
      <c r="G7837" s="20" t="str">
        <f>IFERROR(__xludf.DUMMYFUNCTION("""COMPUTED_VALUE"""),"Uncle Sams Cider (04/04/2023)")</f>
        <v>Uncle Sams Cider (04/04/2023)</v>
      </c>
      <c r="H7837" s="19"/>
    </row>
    <row r="7838">
      <c r="A7838" s="9"/>
      <c r="B7838" s="15"/>
      <c r="C7838" s="9">
        <f>IFERROR(__xludf.DUMMYFUNCTION("""COMPUTED_VALUE"""),45061.9354389583)</f>
        <v>45061.93544</v>
      </c>
      <c r="D7838" s="15">
        <f>IFERROR(__xludf.DUMMYFUNCTION("""COMPUTED_VALUE"""),1.015)</f>
        <v>1.015</v>
      </c>
      <c r="E7838" s="16">
        <f>IFERROR(__xludf.DUMMYFUNCTION("""COMPUTED_VALUE"""),65.0)</f>
        <v>65</v>
      </c>
      <c r="F7838" s="19" t="str">
        <f>IFERROR(__xludf.DUMMYFUNCTION("""COMPUTED_VALUE"""),"BLUE")</f>
        <v>BLUE</v>
      </c>
      <c r="G7838" s="20" t="str">
        <f>IFERROR(__xludf.DUMMYFUNCTION("""COMPUTED_VALUE"""),"Uncle Sams Cider (04/04/2023)")</f>
        <v>Uncle Sams Cider (04/04/2023)</v>
      </c>
      <c r="H7838" s="19"/>
    </row>
    <row r="7839">
      <c r="A7839" s="9"/>
      <c r="B7839" s="15"/>
      <c r="C7839" s="9">
        <f>IFERROR(__xludf.DUMMYFUNCTION("""COMPUTED_VALUE"""),45061.9250175115)</f>
        <v>45061.92502</v>
      </c>
      <c r="D7839" s="15">
        <f>IFERROR(__xludf.DUMMYFUNCTION("""COMPUTED_VALUE"""),1.015)</f>
        <v>1.015</v>
      </c>
      <c r="E7839" s="16">
        <f>IFERROR(__xludf.DUMMYFUNCTION("""COMPUTED_VALUE"""),65.0)</f>
        <v>65</v>
      </c>
      <c r="F7839" s="19" t="str">
        <f>IFERROR(__xludf.DUMMYFUNCTION("""COMPUTED_VALUE"""),"BLUE")</f>
        <v>BLUE</v>
      </c>
      <c r="G7839" s="20" t="str">
        <f>IFERROR(__xludf.DUMMYFUNCTION("""COMPUTED_VALUE"""),"Uncle Sams Cider (04/04/2023)")</f>
        <v>Uncle Sams Cider (04/04/2023)</v>
      </c>
      <c r="H7839" s="19"/>
    </row>
    <row r="7840">
      <c r="A7840" s="9"/>
      <c r="B7840" s="15"/>
      <c r="C7840" s="9">
        <f>IFERROR(__xludf.DUMMYFUNCTION("""COMPUTED_VALUE"""),45061.9145737731)</f>
        <v>45061.91457</v>
      </c>
      <c r="D7840" s="15">
        <f>IFERROR(__xludf.DUMMYFUNCTION("""COMPUTED_VALUE"""),1.015)</f>
        <v>1.015</v>
      </c>
      <c r="E7840" s="16">
        <f>IFERROR(__xludf.DUMMYFUNCTION("""COMPUTED_VALUE"""),65.0)</f>
        <v>65</v>
      </c>
      <c r="F7840" s="19" t="str">
        <f>IFERROR(__xludf.DUMMYFUNCTION("""COMPUTED_VALUE"""),"BLUE")</f>
        <v>BLUE</v>
      </c>
      <c r="G7840" s="20" t="str">
        <f>IFERROR(__xludf.DUMMYFUNCTION("""COMPUTED_VALUE"""),"Uncle Sams Cider (04/04/2023)")</f>
        <v>Uncle Sams Cider (04/04/2023)</v>
      </c>
      <c r="H7840" s="19"/>
    </row>
    <row r="7841">
      <c r="A7841" s="9"/>
      <c r="B7841" s="15"/>
      <c r="C7841" s="9">
        <f>IFERROR(__xludf.DUMMYFUNCTION("""COMPUTED_VALUE"""),45061.9041529513)</f>
        <v>45061.90415</v>
      </c>
      <c r="D7841" s="15">
        <f>IFERROR(__xludf.DUMMYFUNCTION("""COMPUTED_VALUE"""),1.015)</f>
        <v>1.015</v>
      </c>
      <c r="E7841" s="16">
        <f>IFERROR(__xludf.DUMMYFUNCTION("""COMPUTED_VALUE"""),65.0)</f>
        <v>65</v>
      </c>
      <c r="F7841" s="19" t="str">
        <f>IFERROR(__xludf.DUMMYFUNCTION("""COMPUTED_VALUE"""),"BLUE")</f>
        <v>BLUE</v>
      </c>
      <c r="G7841" s="20" t="str">
        <f>IFERROR(__xludf.DUMMYFUNCTION("""COMPUTED_VALUE"""),"Uncle Sams Cider (04/04/2023)")</f>
        <v>Uncle Sams Cider (04/04/2023)</v>
      </c>
      <c r="H7841" s="19"/>
    </row>
    <row r="7842">
      <c r="A7842" s="9"/>
      <c r="B7842" s="15"/>
      <c r="C7842" s="9">
        <f>IFERROR(__xludf.DUMMYFUNCTION("""COMPUTED_VALUE"""),45061.893731493)</f>
        <v>45061.89373</v>
      </c>
      <c r="D7842" s="15">
        <f>IFERROR(__xludf.DUMMYFUNCTION("""COMPUTED_VALUE"""),1.015)</f>
        <v>1.015</v>
      </c>
      <c r="E7842" s="16">
        <f>IFERROR(__xludf.DUMMYFUNCTION("""COMPUTED_VALUE"""),65.0)</f>
        <v>65</v>
      </c>
      <c r="F7842" s="19" t="str">
        <f>IFERROR(__xludf.DUMMYFUNCTION("""COMPUTED_VALUE"""),"BLUE")</f>
        <v>BLUE</v>
      </c>
      <c r="G7842" s="20" t="str">
        <f>IFERROR(__xludf.DUMMYFUNCTION("""COMPUTED_VALUE"""),"Uncle Sams Cider (04/04/2023)")</f>
        <v>Uncle Sams Cider (04/04/2023)</v>
      </c>
      <c r="H7842" s="19"/>
    </row>
    <row r="7843">
      <c r="A7843" s="9"/>
      <c r="B7843" s="15"/>
      <c r="C7843" s="9">
        <f>IFERROR(__xludf.DUMMYFUNCTION("""COMPUTED_VALUE"""),45061.8832997916)</f>
        <v>45061.8833</v>
      </c>
      <c r="D7843" s="15">
        <f>IFERROR(__xludf.DUMMYFUNCTION("""COMPUTED_VALUE"""),1.015)</f>
        <v>1.015</v>
      </c>
      <c r="E7843" s="16">
        <f>IFERROR(__xludf.DUMMYFUNCTION("""COMPUTED_VALUE"""),65.0)</f>
        <v>65</v>
      </c>
      <c r="F7843" s="19" t="str">
        <f>IFERROR(__xludf.DUMMYFUNCTION("""COMPUTED_VALUE"""),"BLUE")</f>
        <v>BLUE</v>
      </c>
      <c r="G7843" s="20" t="str">
        <f>IFERROR(__xludf.DUMMYFUNCTION("""COMPUTED_VALUE"""),"Uncle Sams Cider (04/04/2023)")</f>
        <v>Uncle Sams Cider (04/04/2023)</v>
      </c>
      <c r="H7843" s="19"/>
    </row>
    <row r="7844">
      <c r="A7844" s="9"/>
      <c r="B7844" s="15"/>
      <c r="C7844" s="9">
        <f>IFERROR(__xludf.DUMMYFUNCTION("""COMPUTED_VALUE"""),45061.8728794213)</f>
        <v>45061.87288</v>
      </c>
      <c r="D7844" s="15">
        <f>IFERROR(__xludf.DUMMYFUNCTION("""COMPUTED_VALUE"""),1.015)</f>
        <v>1.015</v>
      </c>
      <c r="E7844" s="16">
        <f>IFERROR(__xludf.DUMMYFUNCTION("""COMPUTED_VALUE"""),65.0)</f>
        <v>65</v>
      </c>
      <c r="F7844" s="19" t="str">
        <f>IFERROR(__xludf.DUMMYFUNCTION("""COMPUTED_VALUE"""),"BLUE")</f>
        <v>BLUE</v>
      </c>
      <c r="G7844" s="20" t="str">
        <f>IFERROR(__xludf.DUMMYFUNCTION("""COMPUTED_VALUE"""),"Uncle Sams Cider (04/04/2023)")</f>
        <v>Uncle Sams Cider (04/04/2023)</v>
      </c>
      <c r="H7844" s="19"/>
    </row>
    <row r="7845">
      <c r="A7845" s="9"/>
      <c r="B7845" s="15"/>
      <c r="C7845" s="9">
        <f>IFERROR(__xludf.DUMMYFUNCTION("""COMPUTED_VALUE"""),45061.8624578935)</f>
        <v>45061.86246</v>
      </c>
      <c r="D7845" s="15">
        <f>IFERROR(__xludf.DUMMYFUNCTION("""COMPUTED_VALUE"""),1.015)</f>
        <v>1.015</v>
      </c>
      <c r="E7845" s="16">
        <f>IFERROR(__xludf.DUMMYFUNCTION("""COMPUTED_VALUE"""),65.0)</f>
        <v>65</v>
      </c>
      <c r="F7845" s="19" t="str">
        <f>IFERROR(__xludf.DUMMYFUNCTION("""COMPUTED_VALUE"""),"BLUE")</f>
        <v>BLUE</v>
      </c>
      <c r="G7845" s="20" t="str">
        <f>IFERROR(__xludf.DUMMYFUNCTION("""COMPUTED_VALUE"""),"Uncle Sams Cider (04/04/2023)")</f>
        <v>Uncle Sams Cider (04/04/2023)</v>
      </c>
      <c r="H7845" s="19"/>
    </row>
    <row r="7846">
      <c r="A7846" s="9"/>
      <c r="B7846" s="15"/>
      <c r="C7846" s="9">
        <f>IFERROR(__xludf.DUMMYFUNCTION("""COMPUTED_VALUE"""),45061.8520377662)</f>
        <v>45061.85204</v>
      </c>
      <c r="D7846" s="15">
        <f>IFERROR(__xludf.DUMMYFUNCTION("""COMPUTED_VALUE"""),1.015)</f>
        <v>1.015</v>
      </c>
      <c r="E7846" s="16">
        <f>IFERROR(__xludf.DUMMYFUNCTION("""COMPUTED_VALUE"""),65.0)</f>
        <v>65</v>
      </c>
      <c r="F7846" s="19" t="str">
        <f>IFERROR(__xludf.DUMMYFUNCTION("""COMPUTED_VALUE"""),"BLUE")</f>
        <v>BLUE</v>
      </c>
      <c r="G7846" s="20" t="str">
        <f>IFERROR(__xludf.DUMMYFUNCTION("""COMPUTED_VALUE"""),"Uncle Sams Cider (04/04/2023)")</f>
        <v>Uncle Sams Cider (04/04/2023)</v>
      </c>
      <c r="H7846" s="19"/>
    </row>
    <row r="7847">
      <c r="A7847" s="9"/>
      <c r="B7847" s="15"/>
      <c r="C7847" s="9">
        <f>IFERROR(__xludf.DUMMYFUNCTION("""COMPUTED_VALUE"""),45061.841616875)</f>
        <v>45061.84162</v>
      </c>
      <c r="D7847" s="15">
        <f>IFERROR(__xludf.DUMMYFUNCTION("""COMPUTED_VALUE"""),1.015)</f>
        <v>1.015</v>
      </c>
      <c r="E7847" s="16">
        <f>IFERROR(__xludf.DUMMYFUNCTION("""COMPUTED_VALUE"""),64.0)</f>
        <v>64</v>
      </c>
      <c r="F7847" s="19" t="str">
        <f>IFERROR(__xludf.DUMMYFUNCTION("""COMPUTED_VALUE"""),"BLUE")</f>
        <v>BLUE</v>
      </c>
      <c r="G7847" s="20" t="str">
        <f>IFERROR(__xludf.DUMMYFUNCTION("""COMPUTED_VALUE"""),"Uncle Sams Cider (04/04/2023)")</f>
        <v>Uncle Sams Cider (04/04/2023)</v>
      </c>
      <c r="H7847" s="19"/>
    </row>
    <row r="7848">
      <c r="A7848" s="9"/>
      <c r="B7848" s="15"/>
      <c r="C7848" s="9">
        <f>IFERROR(__xludf.DUMMYFUNCTION("""COMPUTED_VALUE"""),45061.8311971527)</f>
        <v>45061.8312</v>
      </c>
      <c r="D7848" s="15">
        <f>IFERROR(__xludf.DUMMYFUNCTION("""COMPUTED_VALUE"""),1.015)</f>
        <v>1.015</v>
      </c>
      <c r="E7848" s="16">
        <f>IFERROR(__xludf.DUMMYFUNCTION("""COMPUTED_VALUE"""),65.0)</f>
        <v>65</v>
      </c>
      <c r="F7848" s="19" t="str">
        <f>IFERROR(__xludf.DUMMYFUNCTION("""COMPUTED_VALUE"""),"BLUE")</f>
        <v>BLUE</v>
      </c>
      <c r="G7848" s="20" t="str">
        <f>IFERROR(__xludf.DUMMYFUNCTION("""COMPUTED_VALUE"""),"Uncle Sams Cider (04/04/2023)")</f>
        <v>Uncle Sams Cider (04/04/2023)</v>
      </c>
      <c r="H7848" s="19"/>
    </row>
    <row r="7849">
      <c r="A7849" s="9"/>
      <c r="B7849" s="15"/>
      <c r="C7849" s="9">
        <f>IFERROR(__xludf.DUMMYFUNCTION("""COMPUTED_VALUE"""),45061.8207657407)</f>
        <v>45061.82077</v>
      </c>
      <c r="D7849" s="15">
        <f>IFERROR(__xludf.DUMMYFUNCTION("""COMPUTED_VALUE"""),1.015)</f>
        <v>1.015</v>
      </c>
      <c r="E7849" s="16">
        <f>IFERROR(__xludf.DUMMYFUNCTION("""COMPUTED_VALUE"""),65.0)</f>
        <v>65</v>
      </c>
      <c r="F7849" s="19" t="str">
        <f>IFERROR(__xludf.DUMMYFUNCTION("""COMPUTED_VALUE"""),"BLUE")</f>
        <v>BLUE</v>
      </c>
      <c r="G7849" s="20" t="str">
        <f>IFERROR(__xludf.DUMMYFUNCTION("""COMPUTED_VALUE"""),"Uncle Sams Cider (04/04/2023)")</f>
        <v>Uncle Sams Cider (04/04/2023)</v>
      </c>
      <c r="H7849" s="19"/>
    </row>
    <row r="7850">
      <c r="A7850" s="9"/>
      <c r="B7850" s="15"/>
      <c r="C7850" s="9">
        <f>IFERROR(__xludf.DUMMYFUNCTION("""COMPUTED_VALUE"""),45061.8103320601)</f>
        <v>45061.81033</v>
      </c>
      <c r="D7850" s="15">
        <f>IFERROR(__xludf.DUMMYFUNCTION("""COMPUTED_VALUE"""),1.015)</f>
        <v>1.015</v>
      </c>
      <c r="E7850" s="16">
        <f>IFERROR(__xludf.DUMMYFUNCTION("""COMPUTED_VALUE"""),65.0)</f>
        <v>65</v>
      </c>
      <c r="F7850" s="19" t="str">
        <f>IFERROR(__xludf.DUMMYFUNCTION("""COMPUTED_VALUE"""),"BLUE")</f>
        <v>BLUE</v>
      </c>
      <c r="G7850" s="20" t="str">
        <f>IFERROR(__xludf.DUMMYFUNCTION("""COMPUTED_VALUE"""),"Uncle Sams Cider (04/04/2023)")</f>
        <v>Uncle Sams Cider (04/04/2023)</v>
      </c>
      <c r="H7850" s="19"/>
    </row>
    <row r="7851">
      <c r="A7851" s="9"/>
      <c r="B7851" s="15"/>
      <c r="C7851" s="9">
        <f>IFERROR(__xludf.DUMMYFUNCTION("""COMPUTED_VALUE"""),45061.7999099768)</f>
        <v>45061.79991</v>
      </c>
      <c r="D7851" s="15">
        <f>IFERROR(__xludf.DUMMYFUNCTION("""COMPUTED_VALUE"""),1.015)</f>
        <v>1.015</v>
      </c>
      <c r="E7851" s="16">
        <f>IFERROR(__xludf.DUMMYFUNCTION("""COMPUTED_VALUE"""),65.0)</f>
        <v>65</v>
      </c>
      <c r="F7851" s="19" t="str">
        <f>IFERROR(__xludf.DUMMYFUNCTION("""COMPUTED_VALUE"""),"BLUE")</f>
        <v>BLUE</v>
      </c>
      <c r="G7851" s="20" t="str">
        <f>IFERROR(__xludf.DUMMYFUNCTION("""COMPUTED_VALUE"""),"Uncle Sams Cider (04/04/2023)")</f>
        <v>Uncle Sams Cider (04/04/2023)</v>
      </c>
      <c r="H7851" s="19"/>
    </row>
    <row r="7852">
      <c r="A7852" s="9"/>
      <c r="B7852" s="15"/>
      <c r="C7852" s="9">
        <f>IFERROR(__xludf.DUMMYFUNCTION("""COMPUTED_VALUE"""),45061.789488912)</f>
        <v>45061.78949</v>
      </c>
      <c r="D7852" s="15">
        <f>IFERROR(__xludf.DUMMYFUNCTION("""COMPUTED_VALUE"""),1.015)</f>
        <v>1.015</v>
      </c>
      <c r="E7852" s="16">
        <f>IFERROR(__xludf.DUMMYFUNCTION("""COMPUTED_VALUE"""),65.0)</f>
        <v>65</v>
      </c>
      <c r="F7852" s="19" t="str">
        <f>IFERROR(__xludf.DUMMYFUNCTION("""COMPUTED_VALUE"""),"BLUE")</f>
        <v>BLUE</v>
      </c>
      <c r="G7852" s="20" t="str">
        <f>IFERROR(__xludf.DUMMYFUNCTION("""COMPUTED_VALUE"""),"Uncle Sams Cider (04/04/2023)")</f>
        <v>Uncle Sams Cider (04/04/2023)</v>
      </c>
      <c r="H7852" s="19"/>
    </row>
    <row r="7853">
      <c r="A7853" s="9"/>
      <c r="B7853" s="15"/>
      <c r="C7853" s="9">
        <f>IFERROR(__xludf.DUMMYFUNCTION("""COMPUTED_VALUE"""),45061.7790677893)</f>
        <v>45061.77907</v>
      </c>
      <c r="D7853" s="15">
        <f>IFERROR(__xludf.DUMMYFUNCTION("""COMPUTED_VALUE"""),1.015)</f>
        <v>1.015</v>
      </c>
      <c r="E7853" s="16">
        <f>IFERROR(__xludf.DUMMYFUNCTION("""COMPUTED_VALUE"""),65.0)</f>
        <v>65</v>
      </c>
      <c r="F7853" s="19" t="str">
        <f>IFERROR(__xludf.DUMMYFUNCTION("""COMPUTED_VALUE"""),"BLUE")</f>
        <v>BLUE</v>
      </c>
      <c r="G7853" s="20" t="str">
        <f>IFERROR(__xludf.DUMMYFUNCTION("""COMPUTED_VALUE"""),"Uncle Sams Cider (04/04/2023)")</f>
        <v>Uncle Sams Cider (04/04/2023)</v>
      </c>
      <c r="H7853" s="19"/>
    </row>
    <row r="7854">
      <c r="A7854" s="9"/>
      <c r="B7854" s="15"/>
      <c r="C7854" s="9">
        <f>IFERROR(__xludf.DUMMYFUNCTION("""COMPUTED_VALUE"""),45061.7686357754)</f>
        <v>45061.76864</v>
      </c>
      <c r="D7854" s="15">
        <f>IFERROR(__xludf.DUMMYFUNCTION("""COMPUTED_VALUE"""),1.015)</f>
        <v>1.015</v>
      </c>
      <c r="E7854" s="16">
        <f>IFERROR(__xludf.DUMMYFUNCTION("""COMPUTED_VALUE"""),65.0)</f>
        <v>65</v>
      </c>
      <c r="F7854" s="19" t="str">
        <f>IFERROR(__xludf.DUMMYFUNCTION("""COMPUTED_VALUE"""),"BLUE")</f>
        <v>BLUE</v>
      </c>
      <c r="G7854" s="20" t="str">
        <f>IFERROR(__xludf.DUMMYFUNCTION("""COMPUTED_VALUE"""),"Uncle Sams Cider (04/04/2023)")</f>
        <v>Uncle Sams Cider (04/04/2023)</v>
      </c>
      <c r="H7854" s="19"/>
    </row>
    <row r="7855">
      <c r="A7855" s="9"/>
      <c r="B7855" s="15"/>
      <c r="C7855" s="9">
        <f>IFERROR(__xludf.DUMMYFUNCTION("""COMPUTED_VALUE"""),45061.7582155208)</f>
        <v>45061.75822</v>
      </c>
      <c r="D7855" s="15">
        <f>IFERROR(__xludf.DUMMYFUNCTION("""COMPUTED_VALUE"""),1.015)</f>
        <v>1.015</v>
      </c>
      <c r="E7855" s="16">
        <f>IFERROR(__xludf.DUMMYFUNCTION("""COMPUTED_VALUE"""),65.0)</f>
        <v>65</v>
      </c>
      <c r="F7855" s="19" t="str">
        <f>IFERROR(__xludf.DUMMYFUNCTION("""COMPUTED_VALUE"""),"BLUE")</f>
        <v>BLUE</v>
      </c>
      <c r="G7855" s="20" t="str">
        <f>IFERROR(__xludf.DUMMYFUNCTION("""COMPUTED_VALUE"""),"Uncle Sams Cider (04/04/2023)")</f>
        <v>Uncle Sams Cider (04/04/2023)</v>
      </c>
      <c r="H7855" s="19"/>
    </row>
    <row r="7856">
      <c r="A7856" s="9"/>
      <c r="B7856" s="15"/>
      <c r="C7856" s="9">
        <f>IFERROR(__xludf.DUMMYFUNCTION("""COMPUTED_VALUE"""),45061.7477954513)</f>
        <v>45061.7478</v>
      </c>
      <c r="D7856" s="15">
        <f>IFERROR(__xludf.DUMMYFUNCTION("""COMPUTED_VALUE"""),1.015)</f>
        <v>1.015</v>
      </c>
      <c r="E7856" s="16">
        <f>IFERROR(__xludf.DUMMYFUNCTION("""COMPUTED_VALUE"""),64.0)</f>
        <v>64</v>
      </c>
      <c r="F7856" s="19" t="str">
        <f>IFERROR(__xludf.DUMMYFUNCTION("""COMPUTED_VALUE"""),"BLUE")</f>
        <v>BLUE</v>
      </c>
      <c r="G7856" s="20" t="str">
        <f>IFERROR(__xludf.DUMMYFUNCTION("""COMPUTED_VALUE"""),"Uncle Sams Cider (04/04/2023)")</f>
        <v>Uncle Sams Cider (04/04/2023)</v>
      </c>
      <c r="H7856" s="19"/>
    </row>
    <row r="7857">
      <c r="A7857" s="9"/>
      <c r="B7857" s="15"/>
      <c r="C7857" s="9">
        <f>IFERROR(__xludf.DUMMYFUNCTION("""COMPUTED_VALUE"""),45061.7373743171)</f>
        <v>45061.73737</v>
      </c>
      <c r="D7857" s="15">
        <f>IFERROR(__xludf.DUMMYFUNCTION("""COMPUTED_VALUE"""),1.015)</f>
        <v>1.015</v>
      </c>
      <c r="E7857" s="16">
        <f>IFERROR(__xludf.DUMMYFUNCTION("""COMPUTED_VALUE"""),65.0)</f>
        <v>65</v>
      </c>
      <c r="F7857" s="19" t="str">
        <f>IFERROR(__xludf.DUMMYFUNCTION("""COMPUTED_VALUE"""),"BLUE")</f>
        <v>BLUE</v>
      </c>
      <c r="G7857" s="20" t="str">
        <f>IFERROR(__xludf.DUMMYFUNCTION("""COMPUTED_VALUE"""),"Uncle Sams Cider (04/04/2023)")</f>
        <v>Uncle Sams Cider (04/04/2023)</v>
      </c>
      <c r="H7857" s="19"/>
    </row>
    <row r="7858">
      <c r="A7858" s="9"/>
      <c r="B7858" s="15"/>
      <c r="C7858" s="9">
        <f>IFERROR(__xludf.DUMMYFUNCTION("""COMPUTED_VALUE"""),45061.7269538541)</f>
        <v>45061.72695</v>
      </c>
      <c r="D7858" s="15">
        <f>IFERROR(__xludf.DUMMYFUNCTION("""COMPUTED_VALUE"""),1.015)</f>
        <v>1.015</v>
      </c>
      <c r="E7858" s="16">
        <f>IFERROR(__xludf.DUMMYFUNCTION("""COMPUTED_VALUE"""),65.0)</f>
        <v>65</v>
      </c>
      <c r="F7858" s="19" t="str">
        <f>IFERROR(__xludf.DUMMYFUNCTION("""COMPUTED_VALUE"""),"BLUE")</f>
        <v>BLUE</v>
      </c>
      <c r="G7858" s="20" t="str">
        <f>IFERROR(__xludf.DUMMYFUNCTION("""COMPUTED_VALUE"""),"Uncle Sams Cider (04/04/2023)")</f>
        <v>Uncle Sams Cider (04/04/2023)</v>
      </c>
      <c r="H7858" s="19"/>
    </row>
    <row r="7859">
      <c r="A7859" s="9"/>
      <c r="B7859" s="15"/>
      <c r="C7859" s="9">
        <f>IFERROR(__xludf.DUMMYFUNCTION("""COMPUTED_VALUE"""),45061.7165314351)</f>
        <v>45061.71653</v>
      </c>
      <c r="D7859" s="15">
        <f>IFERROR(__xludf.DUMMYFUNCTION("""COMPUTED_VALUE"""),1.015)</f>
        <v>1.015</v>
      </c>
      <c r="E7859" s="16">
        <f>IFERROR(__xludf.DUMMYFUNCTION("""COMPUTED_VALUE"""),65.0)</f>
        <v>65</v>
      </c>
      <c r="F7859" s="19" t="str">
        <f>IFERROR(__xludf.DUMMYFUNCTION("""COMPUTED_VALUE"""),"BLUE")</f>
        <v>BLUE</v>
      </c>
      <c r="G7859" s="20" t="str">
        <f>IFERROR(__xludf.DUMMYFUNCTION("""COMPUTED_VALUE"""),"Uncle Sams Cider (04/04/2023)")</f>
        <v>Uncle Sams Cider (04/04/2023)</v>
      </c>
      <c r="H7859" s="19"/>
    </row>
    <row r="7860">
      <c r="A7860" s="9"/>
      <c r="B7860" s="15"/>
      <c r="C7860" s="9">
        <f>IFERROR(__xludf.DUMMYFUNCTION("""COMPUTED_VALUE"""),45061.7060997338)</f>
        <v>45061.7061</v>
      </c>
      <c r="D7860" s="15">
        <f>IFERROR(__xludf.DUMMYFUNCTION("""COMPUTED_VALUE"""),1.015)</f>
        <v>1.015</v>
      </c>
      <c r="E7860" s="16">
        <f>IFERROR(__xludf.DUMMYFUNCTION("""COMPUTED_VALUE"""),65.0)</f>
        <v>65</v>
      </c>
      <c r="F7860" s="19" t="str">
        <f>IFERROR(__xludf.DUMMYFUNCTION("""COMPUTED_VALUE"""),"BLUE")</f>
        <v>BLUE</v>
      </c>
      <c r="G7860" s="20" t="str">
        <f>IFERROR(__xludf.DUMMYFUNCTION("""COMPUTED_VALUE"""),"Uncle Sams Cider (04/04/2023)")</f>
        <v>Uncle Sams Cider (04/04/2023)</v>
      </c>
      <c r="H7860" s="19"/>
    </row>
    <row r="7861">
      <c r="A7861" s="9"/>
      <c r="B7861" s="15"/>
      <c r="C7861" s="9">
        <f>IFERROR(__xludf.DUMMYFUNCTION("""COMPUTED_VALUE"""),45061.695678287)</f>
        <v>45061.69568</v>
      </c>
      <c r="D7861" s="15">
        <f>IFERROR(__xludf.DUMMYFUNCTION("""COMPUTED_VALUE"""),1.015)</f>
        <v>1.015</v>
      </c>
      <c r="E7861" s="16">
        <f>IFERROR(__xludf.DUMMYFUNCTION("""COMPUTED_VALUE"""),65.0)</f>
        <v>65</v>
      </c>
      <c r="F7861" s="19" t="str">
        <f>IFERROR(__xludf.DUMMYFUNCTION("""COMPUTED_VALUE"""),"BLUE")</f>
        <v>BLUE</v>
      </c>
      <c r="G7861" s="20" t="str">
        <f>IFERROR(__xludf.DUMMYFUNCTION("""COMPUTED_VALUE"""),"Uncle Sams Cider (04/04/2023)")</f>
        <v>Uncle Sams Cider (04/04/2023)</v>
      </c>
      <c r="H7861" s="19"/>
    </row>
    <row r="7862">
      <c r="A7862" s="9"/>
      <c r="B7862" s="15"/>
      <c r="C7862" s="9">
        <f>IFERROR(__xludf.DUMMYFUNCTION("""COMPUTED_VALUE"""),45061.6852577777)</f>
        <v>45061.68526</v>
      </c>
      <c r="D7862" s="15">
        <f>IFERROR(__xludf.DUMMYFUNCTION("""COMPUTED_VALUE"""),1.015)</f>
        <v>1.015</v>
      </c>
      <c r="E7862" s="16">
        <f>IFERROR(__xludf.DUMMYFUNCTION("""COMPUTED_VALUE"""),65.0)</f>
        <v>65</v>
      </c>
      <c r="F7862" s="19" t="str">
        <f>IFERROR(__xludf.DUMMYFUNCTION("""COMPUTED_VALUE"""),"BLUE")</f>
        <v>BLUE</v>
      </c>
      <c r="G7862" s="20" t="str">
        <f>IFERROR(__xludf.DUMMYFUNCTION("""COMPUTED_VALUE"""),"Uncle Sams Cider (04/04/2023)")</f>
        <v>Uncle Sams Cider (04/04/2023)</v>
      </c>
      <c r="H7862" s="19"/>
    </row>
    <row r="7863">
      <c r="A7863" s="9"/>
      <c r="B7863" s="15"/>
      <c r="C7863" s="9">
        <f>IFERROR(__xludf.DUMMYFUNCTION("""COMPUTED_VALUE"""),45061.6748363889)</f>
        <v>45061.67484</v>
      </c>
      <c r="D7863" s="15">
        <f>IFERROR(__xludf.DUMMYFUNCTION("""COMPUTED_VALUE"""),1.015)</f>
        <v>1.015</v>
      </c>
      <c r="E7863" s="16">
        <f>IFERROR(__xludf.DUMMYFUNCTION("""COMPUTED_VALUE"""),65.0)</f>
        <v>65</v>
      </c>
      <c r="F7863" s="19" t="str">
        <f>IFERROR(__xludf.DUMMYFUNCTION("""COMPUTED_VALUE"""),"BLUE")</f>
        <v>BLUE</v>
      </c>
      <c r="G7863" s="20" t="str">
        <f>IFERROR(__xludf.DUMMYFUNCTION("""COMPUTED_VALUE"""),"Uncle Sams Cider (04/04/2023)")</f>
        <v>Uncle Sams Cider (04/04/2023)</v>
      </c>
      <c r="H7863" s="19"/>
    </row>
    <row r="7864">
      <c r="A7864" s="9"/>
      <c r="B7864" s="15"/>
      <c r="C7864" s="9">
        <f>IFERROR(__xludf.DUMMYFUNCTION("""COMPUTED_VALUE"""),45061.6644154513)</f>
        <v>45061.66442</v>
      </c>
      <c r="D7864" s="15">
        <f>IFERROR(__xludf.DUMMYFUNCTION("""COMPUTED_VALUE"""),1.015)</f>
        <v>1.015</v>
      </c>
      <c r="E7864" s="16">
        <f>IFERROR(__xludf.DUMMYFUNCTION("""COMPUTED_VALUE"""),65.0)</f>
        <v>65</v>
      </c>
      <c r="F7864" s="19" t="str">
        <f>IFERROR(__xludf.DUMMYFUNCTION("""COMPUTED_VALUE"""),"BLUE")</f>
        <v>BLUE</v>
      </c>
      <c r="G7864" s="20" t="str">
        <f>IFERROR(__xludf.DUMMYFUNCTION("""COMPUTED_VALUE"""),"Uncle Sams Cider (04/04/2023)")</f>
        <v>Uncle Sams Cider (04/04/2023)</v>
      </c>
      <c r="H7864" s="19"/>
    </row>
    <row r="7865">
      <c r="A7865" s="9"/>
      <c r="B7865" s="15"/>
      <c r="C7865" s="9">
        <f>IFERROR(__xludf.DUMMYFUNCTION("""COMPUTED_VALUE"""),45061.6539920254)</f>
        <v>45061.65399</v>
      </c>
      <c r="D7865" s="15">
        <f>IFERROR(__xludf.DUMMYFUNCTION("""COMPUTED_VALUE"""),1.015)</f>
        <v>1.015</v>
      </c>
      <c r="E7865" s="16">
        <f>IFERROR(__xludf.DUMMYFUNCTION("""COMPUTED_VALUE"""),65.0)</f>
        <v>65</v>
      </c>
      <c r="F7865" s="19" t="str">
        <f>IFERROR(__xludf.DUMMYFUNCTION("""COMPUTED_VALUE"""),"BLUE")</f>
        <v>BLUE</v>
      </c>
      <c r="G7865" s="20" t="str">
        <f>IFERROR(__xludf.DUMMYFUNCTION("""COMPUTED_VALUE"""),"Uncle Sams Cider (04/04/2023)")</f>
        <v>Uncle Sams Cider (04/04/2023)</v>
      </c>
      <c r="H7865" s="19"/>
    </row>
    <row r="7866">
      <c r="A7866" s="9"/>
      <c r="B7866" s="15"/>
      <c r="C7866" s="9">
        <f>IFERROR(__xludf.DUMMYFUNCTION("""COMPUTED_VALUE"""),45061.6435719213)</f>
        <v>45061.64357</v>
      </c>
      <c r="D7866" s="15">
        <f>IFERROR(__xludf.DUMMYFUNCTION("""COMPUTED_VALUE"""),1.015)</f>
        <v>1.015</v>
      </c>
      <c r="E7866" s="16">
        <f>IFERROR(__xludf.DUMMYFUNCTION("""COMPUTED_VALUE"""),65.0)</f>
        <v>65</v>
      </c>
      <c r="F7866" s="19" t="str">
        <f>IFERROR(__xludf.DUMMYFUNCTION("""COMPUTED_VALUE"""),"BLUE")</f>
        <v>BLUE</v>
      </c>
      <c r="G7866" s="20" t="str">
        <f>IFERROR(__xludf.DUMMYFUNCTION("""COMPUTED_VALUE"""),"Uncle Sams Cider (04/04/2023)")</f>
        <v>Uncle Sams Cider (04/04/2023)</v>
      </c>
      <c r="H7866" s="19"/>
    </row>
    <row r="7867">
      <c r="A7867" s="9"/>
      <c r="B7867" s="15"/>
      <c r="C7867" s="9">
        <f>IFERROR(__xludf.DUMMYFUNCTION("""COMPUTED_VALUE"""),45061.6331510185)</f>
        <v>45061.63315</v>
      </c>
      <c r="D7867" s="15">
        <f>IFERROR(__xludf.DUMMYFUNCTION("""COMPUTED_VALUE"""),1.015)</f>
        <v>1.015</v>
      </c>
      <c r="E7867" s="16">
        <f>IFERROR(__xludf.DUMMYFUNCTION("""COMPUTED_VALUE"""),65.0)</f>
        <v>65</v>
      </c>
      <c r="F7867" s="19" t="str">
        <f>IFERROR(__xludf.DUMMYFUNCTION("""COMPUTED_VALUE"""),"BLUE")</f>
        <v>BLUE</v>
      </c>
      <c r="G7867" s="20" t="str">
        <f>IFERROR(__xludf.DUMMYFUNCTION("""COMPUTED_VALUE"""),"Uncle Sams Cider (04/04/2023)")</f>
        <v>Uncle Sams Cider (04/04/2023)</v>
      </c>
      <c r="H7867" s="19"/>
    </row>
    <row r="7868">
      <c r="A7868" s="9"/>
      <c r="B7868" s="15"/>
      <c r="C7868" s="9">
        <f>IFERROR(__xludf.DUMMYFUNCTION("""COMPUTED_VALUE"""),45061.6227305671)</f>
        <v>45061.62273</v>
      </c>
      <c r="D7868" s="15">
        <f>IFERROR(__xludf.DUMMYFUNCTION("""COMPUTED_VALUE"""),1.015)</f>
        <v>1.015</v>
      </c>
      <c r="E7868" s="16">
        <f>IFERROR(__xludf.DUMMYFUNCTION("""COMPUTED_VALUE"""),64.0)</f>
        <v>64</v>
      </c>
      <c r="F7868" s="19" t="str">
        <f>IFERROR(__xludf.DUMMYFUNCTION("""COMPUTED_VALUE"""),"BLUE")</f>
        <v>BLUE</v>
      </c>
      <c r="G7868" s="20" t="str">
        <f>IFERROR(__xludf.DUMMYFUNCTION("""COMPUTED_VALUE"""),"Uncle Sams Cider (04/04/2023)")</f>
        <v>Uncle Sams Cider (04/04/2023)</v>
      </c>
      <c r="H7868" s="19"/>
    </row>
    <row r="7869">
      <c r="A7869" s="9"/>
      <c r="B7869" s="15"/>
      <c r="C7869" s="9">
        <f>IFERROR(__xludf.DUMMYFUNCTION("""COMPUTED_VALUE"""),45061.6123115162)</f>
        <v>45061.61231</v>
      </c>
      <c r="D7869" s="15">
        <f>IFERROR(__xludf.DUMMYFUNCTION("""COMPUTED_VALUE"""),1.015)</f>
        <v>1.015</v>
      </c>
      <c r="E7869" s="16">
        <f>IFERROR(__xludf.DUMMYFUNCTION("""COMPUTED_VALUE"""),65.0)</f>
        <v>65</v>
      </c>
      <c r="F7869" s="19" t="str">
        <f>IFERROR(__xludf.DUMMYFUNCTION("""COMPUTED_VALUE"""),"BLUE")</f>
        <v>BLUE</v>
      </c>
      <c r="G7869" s="20" t="str">
        <f>IFERROR(__xludf.DUMMYFUNCTION("""COMPUTED_VALUE"""),"Uncle Sams Cider (04/04/2023)")</f>
        <v>Uncle Sams Cider (04/04/2023)</v>
      </c>
      <c r="H7869" s="19"/>
    </row>
    <row r="7870">
      <c r="A7870" s="9"/>
      <c r="B7870" s="15"/>
      <c r="C7870" s="9">
        <f>IFERROR(__xludf.DUMMYFUNCTION("""COMPUTED_VALUE"""),45061.6018901041)</f>
        <v>45061.60189</v>
      </c>
      <c r="D7870" s="15">
        <f>IFERROR(__xludf.DUMMYFUNCTION("""COMPUTED_VALUE"""),1.015)</f>
        <v>1.015</v>
      </c>
      <c r="E7870" s="16">
        <f>IFERROR(__xludf.DUMMYFUNCTION("""COMPUTED_VALUE"""),65.0)</f>
        <v>65</v>
      </c>
      <c r="F7870" s="19" t="str">
        <f>IFERROR(__xludf.DUMMYFUNCTION("""COMPUTED_VALUE"""),"BLUE")</f>
        <v>BLUE</v>
      </c>
      <c r="G7870" s="20" t="str">
        <f>IFERROR(__xludf.DUMMYFUNCTION("""COMPUTED_VALUE"""),"Uncle Sams Cider (04/04/2023)")</f>
        <v>Uncle Sams Cider (04/04/2023)</v>
      </c>
      <c r="H7870" s="19"/>
    </row>
    <row r="7871">
      <c r="A7871" s="9"/>
      <c r="B7871" s="15"/>
      <c r="C7871" s="9">
        <f>IFERROR(__xludf.DUMMYFUNCTION("""COMPUTED_VALUE"""),45061.5914684375)</f>
        <v>45061.59147</v>
      </c>
      <c r="D7871" s="15">
        <f>IFERROR(__xludf.DUMMYFUNCTION("""COMPUTED_VALUE"""),1.015)</f>
        <v>1.015</v>
      </c>
      <c r="E7871" s="16">
        <f>IFERROR(__xludf.DUMMYFUNCTION("""COMPUTED_VALUE"""),65.0)</f>
        <v>65</v>
      </c>
      <c r="F7871" s="19" t="str">
        <f>IFERROR(__xludf.DUMMYFUNCTION("""COMPUTED_VALUE"""),"BLUE")</f>
        <v>BLUE</v>
      </c>
      <c r="G7871" s="20" t="str">
        <f>IFERROR(__xludf.DUMMYFUNCTION("""COMPUTED_VALUE"""),"Uncle Sams Cider (04/04/2023)")</f>
        <v>Uncle Sams Cider (04/04/2023)</v>
      </c>
      <c r="H7871" s="19"/>
    </row>
    <row r="7872">
      <c r="A7872" s="9"/>
      <c r="B7872" s="15"/>
      <c r="C7872" s="9">
        <f>IFERROR(__xludf.DUMMYFUNCTION("""COMPUTED_VALUE"""),45061.5810371527)</f>
        <v>45061.58104</v>
      </c>
      <c r="D7872" s="15">
        <f>IFERROR(__xludf.DUMMYFUNCTION("""COMPUTED_VALUE"""),1.015)</f>
        <v>1.015</v>
      </c>
      <c r="E7872" s="16">
        <f>IFERROR(__xludf.DUMMYFUNCTION("""COMPUTED_VALUE"""),65.0)</f>
        <v>65</v>
      </c>
      <c r="F7872" s="19" t="str">
        <f>IFERROR(__xludf.DUMMYFUNCTION("""COMPUTED_VALUE"""),"BLUE")</f>
        <v>BLUE</v>
      </c>
      <c r="G7872" s="20" t="str">
        <f>IFERROR(__xludf.DUMMYFUNCTION("""COMPUTED_VALUE"""),"Uncle Sams Cider (04/04/2023)")</f>
        <v>Uncle Sams Cider (04/04/2023)</v>
      </c>
      <c r="H7872" s="19"/>
    </row>
    <row r="7873">
      <c r="A7873" s="9"/>
      <c r="B7873" s="15"/>
      <c r="C7873" s="9">
        <f>IFERROR(__xludf.DUMMYFUNCTION("""COMPUTED_VALUE"""),45061.5706178703)</f>
        <v>45061.57062</v>
      </c>
      <c r="D7873" s="15">
        <f>IFERROR(__xludf.DUMMYFUNCTION("""COMPUTED_VALUE"""),1.015)</f>
        <v>1.015</v>
      </c>
      <c r="E7873" s="16">
        <f>IFERROR(__xludf.DUMMYFUNCTION("""COMPUTED_VALUE"""),65.0)</f>
        <v>65</v>
      </c>
      <c r="F7873" s="19" t="str">
        <f>IFERROR(__xludf.DUMMYFUNCTION("""COMPUTED_VALUE"""),"BLUE")</f>
        <v>BLUE</v>
      </c>
      <c r="G7873" s="20" t="str">
        <f>IFERROR(__xludf.DUMMYFUNCTION("""COMPUTED_VALUE"""),"Uncle Sams Cider (04/04/2023)")</f>
        <v>Uncle Sams Cider (04/04/2023)</v>
      </c>
      <c r="H7873" s="19"/>
    </row>
    <row r="7874">
      <c r="A7874" s="9"/>
      <c r="B7874" s="15"/>
      <c r="C7874" s="9">
        <f>IFERROR(__xludf.DUMMYFUNCTION("""COMPUTED_VALUE"""),45061.560196956)</f>
        <v>45061.5602</v>
      </c>
      <c r="D7874" s="15">
        <f>IFERROR(__xludf.DUMMYFUNCTION("""COMPUTED_VALUE"""),1.015)</f>
        <v>1.015</v>
      </c>
      <c r="E7874" s="16">
        <f>IFERROR(__xludf.DUMMYFUNCTION("""COMPUTED_VALUE"""),65.0)</f>
        <v>65</v>
      </c>
      <c r="F7874" s="19" t="str">
        <f>IFERROR(__xludf.DUMMYFUNCTION("""COMPUTED_VALUE"""),"BLUE")</f>
        <v>BLUE</v>
      </c>
      <c r="G7874" s="20" t="str">
        <f>IFERROR(__xludf.DUMMYFUNCTION("""COMPUTED_VALUE"""),"Uncle Sams Cider (04/04/2023)")</f>
        <v>Uncle Sams Cider (04/04/2023)</v>
      </c>
      <c r="H7874" s="19"/>
    </row>
    <row r="7875">
      <c r="A7875" s="9"/>
      <c r="B7875" s="15"/>
      <c r="C7875" s="9">
        <f>IFERROR(__xludf.DUMMYFUNCTION("""COMPUTED_VALUE"""),45061.5497745833)</f>
        <v>45061.54977</v>
      </c>
      <c r="D7875" s="15">
        <f>IFERROR(__xludf.DUMMYFUNCTION("""COMPUTED_VALUE"""),1.015)</f>
        <v>1.015</v>
      </c>
      <c r="E7875" s="16">
        <f>IFERROR(__xludf.DUMMYFUNCTION("""COMPUTED_VALUE"""),65.0)</f>
        <v>65</v>
      </c>
      <c r="F7875" s="19" t="str">
        <f>IFERROR(__xludf.DUMMYFUNCTION("""COMPUTED_VALUE"""),"BLUE")</f>
        <v>BLUE</v>
      </c>
      <c r="G7875" s="20" t="str">
        <f>IFERROR(__xludf.DUMMYFUNCTION("""COMPUTED_VALUE"""),"Uncle Sams Cider (04/04/2023)")</f>
        <v>Uncle Sams Cider (04/04/2023)</v>
      </c>
      <c r="H7875" s="19"/>
    </row>
    <row r="7876">
      <c r="A7876" s="9"/>
      <c r="B7876" s="15"/>
      <c r="C7876" s="9">
        <f>IFERROR(__xludf.DUMMYFUNCTION("""COMPUTED_VALUE"""),45061.5393530208)</f>
        <v>45061.53935</v>
      </c>
      <c r="D7876" s="15">
        <f>IFERROR(__xludf.DUMMYFUNCTION("""COMPUTED_VALUE"""),1.015)</f>
        <v>1.015</v>
      </c>
      <c r="E7876" s="16">
        <f>IFERROR(__xludf.DUMMYFUNCTION("""COMPUTED_VALUE"""),64.0)</f>
        <v>64</v>
      </c>
      <c r="F7876" s="19" t="str">
        <f>IFERROR(__xludf.DUMMYFUNCTION("""COMPUTED_VALUE"""),"BLUE")</f>
        <v>BLUE</v>
      </c>
      <c r="G7876" s="20" t="str">
        <f>IFERROR(__xludf.DUMMYFUNCTION("""COMPUTED_VALUE"""),"Uncle Sams Cider (04/04/2023)")</f>
        <v>Uncle Sams Cider (04/04/2023)</v>
      </c>
      <c r="H7876" s="19"/>
    </row>
    <row r="7877">
      <c r="A7877" s="9"/>
      <c r="B7877" s="15"/>
      <c r="C7877" s="9">
        <f>IFERROR(__xludf.DUMMYFUNCTION("""COMPUTED_VALUE"""),45061.5289307638)</f>
        <v>45061.52893</v>
      </c>
      <c r="D7877" s="15">
        <f>IFERROR(__xludf.DUMMYFUNCTION("""COMPUTED_VALUE"""),1.015)</f>
        <v>1.015</v>
      </c>
      <c r="E7877" s="16">
        <f>IFERROR(__xludf.DUMMYFUNCTION("""COMPUTED_VALUE"""),65.0)</f>
        <v>65</v>
      </c>
      <c r="F7877" s="19" t="str">
        <f>IFERROR(__xludf.DUMMYFUNCTION("""COMPUTED_VALUE"""),"BLUE")</f>
        <v>BLUE</v>
      </c>
      <c r="G7877" s="20" t="str">
        <f>IFERROR(__xludf.DUMMYFUNCTION("""COMPUTED_VALUE"""),"Uncle Sams Cider (04/04/2023)")</f>
        <v>Uncle Sams Cider (04/04/2023)</v>
      </c>
      <c r="H7877" s="19"/>
    </row>
    <row r="7878">
      <c r="A7878" s="9"/>
      <c r="B7878" s="15"/>
      <c r="C7878" s="9">
        <f>IFERROR(__xludf.DUMMYFUNCTION("""COMPUTED_VALUE"""),45061.5185093634)</f>
        <v>45061.51851</v>
      </c>
      <c r="D7878" s="15">
        <f>IFERROR(__xludf.DUMMYFUNCTION("""COMPUTED_VALUE"""),1.015)</f>
        <v>1.015</v>
      </c>
      <c r="E7878" s="16">
        <f>IFERROR(__xludf.DUMMYFUNCTION("""COMPUTED_VALUE"""),65.0)</f>
        <v>65</v>
      </c>
      <c r="F7878" s="19" t="str">
        <f>IFERROR(__xludf.DUMMYFUNCTION("""COMPUTED_VALUE"""),"BLUE")</f>
        <v>BLUE</v>
      </c>
      <c r="G7878" s="20" t="str">
        <f>IFERROR(__xludf.DUMMYFUNCTION("""COMPUTED_VALUE"""),"Uncle Sams Cider (04/04/2023)")</f>
        <v>Uncle Sams Cider (04/04/2023)</v>
      </c>
      <c r="H7878" s="19"/>
    </row>
    <row r="7879">
      <c r="A7879" s="9"/>
      <c r="B7879" s="15"/>
      <c r="C7879" s="9">
        <f>IFERROR(__xludf.DUMMYFUNCTION("""COMPUTED_VALUE"""),45061.5080766435)</f>
        <v>45061.50808</v>
      </c>
      <c r="D7879" s="15">
        <f>IFERROR(__xludf.DUMMYFUNCTION("""COMPUTED_VALUE"""),1.015)</f>
        <v>1.015</v>
      </c>
      <c r="E7879" s="16">
        <f>IFERROR(__xludf.DUMMYFUNCTION("""COMPUTED_VALUE"""),65.0)</f>
        <v>65</v>
      </c>
      <c r="F7879" s="19" t="str">
        <f>IFERROR(__xludf.DUMMYFUNCTION("""COMPUTED_VALUE"""),"BLUE")</f>
        <v>BLUE</v>
      </c>
      <c r="G7879" s="20" t="str">
        <f>IFERROR(__xludf.DUMMYFUNCTION("""COMPUTED_VALUE"""),"Uncle Sams Cider (04/04/2023)")</f>
        <v>Uncle Sams Cider (04/04/2023)</v>
      </c>
      <c r="H7879" s="19"/>
    </row>
    <row r="7880">
      <c r="A7880" s="9"/>
      <c r="B7880" s="15"/>
      <c r="C7880" s="9">
        <f>IFERROR(__xludf.DUMMYFUNCTION("""COMPUTED_VALUE"""),45061.4976198379)</f>
        <v>45061.49762</v>
      </c>
      <c r="D7880" s="15">
        <f>IFERROR(__xludf.DUMMYFUNCTION("""COMPUTED_VALUE"""),1.015)</f>
        <v>1.015</v>
      </c>
      <c r="E7880" s="16">
        <f>IFERROR(__xludf.DUMMYFUNCTION("""COMPUTED_VALUE"""),65.0)</f>
        <v>65</v>
      </c>
      <c r="F7880" s="19" t="str">
        <f>IFERROR(__xludf.DUMMYFUNCTION("""COMPUTED_VALUE"""),"BLUE")</f>
        <v>BLUE</v>
      </c>
      <c r="G7880" s="20" t="str">
        <f>IFERROR(__xludf.DUMMYFUNCTION("""COMPUTED_VALUE"""),"Uncle Sams Cider (04/04/2023)")</f>
        <v>Uncle Sams Cider (04/04/2023)</v>
      </c>
      <c r="H7880" s="19"/>
    </row>
    <row r="7881">
      <c r="A7881" s="9"/>
      <c r="B7881" s="15"/>
      <c r="C7881" s="9">
        <f>IFERROR(__xludf.DUMMYFUNCTION("""COMPUTED_VALUE"""),45061.4871978588)</f>
        <v>45061.4872</v>
      </c>
      <c r="D7881" s="15">
        <f>IFERROR(__xludf.DUMMYFUNCTION("""COMPUTED_VALUE"""),1.015)</f>
        <v>1.015</v>
      </c>
      <c r="E7881" s="16">
        <f>IFERROR(__xludf.DUMMYFUNCTION("""COMPUTED_VALUE"""),65.0)</f>
        <v>65</v>
      </c>
      <c r="F7881" s="19" t="str">
        <f>IFERROR(__xludf.DUMMYFUNCTION("""COMPUTED_VALUE"""),"BLUE")</f>
        <v>BLUE</v>
      </c>
      <c r="G7881" s="20" t="str">
        <f>IFERROR(__xludf.DUMMYFUNCTION("""COMPUTED_VALUE"""),"Uncle Sams Cider (04/04/2023)")</f>
        <v>Uncle Sams Cider (04/04/2023)</v>
      </c>
      <c r="H7881" s="19"/>
    </row>
    <row r="7882">
      <c r="A7882" s="9"/>
      <c r="B7882" s="15"/>
      <c r="C7882" s="9">
        <f>IFERROR(__xludf.DUMMYFUNCTION("""COMPUTED_VALUE"""),45061.4767773379)</f>
        <v>45061.47678</v>
      </c>
      <c r="D7882" s="15">
        <f>IFERROR(__xludf.DUMMYFUNCTION("""COMPUTED_VALUE"""),1.015)</f>
        <v>1.015</v>
      </c>
      <c r="E7882" s="16">
        <f>IFERROR(__xludf.DUMMYFUNCTION("""COMPUTED_VALUE"""),65.0)</f>
        <v>65</v>
      </c>
      <c r="F7882" s="19" t="str">
        <f>IFERROR(__xludf.DUMMYFUNCTION("""COMPUTED_VALUE"""),"BLUE")</f>
        <v>BLUE</v>
      </c>
      <c r="G7882" s="20" t="str">
        <f>IFERROR(__xludf.DUMMYFUNCTION("""COMPUTED_VALUE"""),"Uncle Sams Cider (04/04/2023)")</f>
        <v>Uncle Sams Cider (04/04/2023)</v>
      </c>
      <c r="H7882" s="19"/>
    </row>
    <row r="7883">
      <c r="A7883" s="9"/>
      <c r="B7883" s="15"/>
      <c r="C7883" s="9">
        <f>IFERROR(__xludf.DUMMYFUNCTION("""COMPUTED_VALUE"""),45061.4663558333)</f>
        <v>45061.46636</v>
      </c>
      <c r="D7883" s="15">
        <f>IFERROR(__xludf.DUMMYFUNCTION("""COMPUTED_VALUE"""),1.015)</f>
        <v>1.015</v>
      </c>
      <c r="E7883" s="16">
        <f>IFERROR(__xludf.DUMMYFUNCTION("""COMPUTED_VALUE"""),65.0)</f>
        <v>65</v>
      </c>
      <c r="F7883" s="19" t="str">
        <f>IFERROR(__xludf.DUMMYFUNCTION("""COMPUTED_VALUE"""),"BLUE")</f>
        <v>BLUE</v>
      </c>
      <c r="G7883" s="20" t="str">
        <f>IFERROR(__xludf.DUMMYFUNCTION("""COMPUTED_VALUE"""),"Uncle Sams Cider (04/04/2023)")</f>
        <v>Uncle Sams Cider (04/04/2023)</v>
      </c>
      <c r="H7883" s="19"/>
    </row>
    <row r="7884">
      <c r="A7884" s="9"/>
      <c r="B7884" s="15"/>
      <c r="C7884" s="9">
        <f>IFERROR(__xludf.DUMMYFUNCTION("""COMPUTED_VALUE"""),45061.4559341782)</f>
        <v>45061.45593</v>
      </c>
      <c r="D7884" s="15">
        <f>IFERROR(__xludf.DUMMYFUNCTION("""COMPUTED_VALUE"""),1.015)</f>
        <v>1.015</v>
      </c>
      <c r="E7884" s="16">
        <f>IFERROR(__xludf.DUMMYFUNCTION("""COMPUTED_VALUE"""),65.0)</f>
        <v>65</v>
      </c>
      <c r="F7884" s="19" t="str">
        <f>IFERROR(__xludf.DUMMYFUNCTION("""COMPUTED_VALUE"""),"BLUE")</f>
        <v>BLUE</v>
      </c>
      <c r="G7884" s="20" t="str">
        <f>IFERROR(__xludf.DUMMYFUNCTION("""COMPUTED_VALUE"""),"Uncle Sams Cider (04/04/2023)")</f>
        <v>Uncle Sams Cider (04/04/2023)</v>
      </c>
      <c r="H7884" s="19"/>
    </row>
    <row r="7885">
      <c r="A7885" s="9"/>
      <c r="B7885" s="15"/>
      <c r="C7885" s="9">
        <f>IFERROR(__xludf.DUMMYFUNCTION("""COMPUTED_VALUE"""),45061.4455113194)</f>
        <v>45061.44551</v>
      </c>
      <c r="D7885" s="15">
        <f>IFERROR(__xludf.DUMMYFUNCTION("""COMPUTED_VALUE"""),1.015)</f>
        <v>1.015</v>
      </c>
      <c r="E7885" s="16">
        <f>IFERROR(__xludf.DUMMYFUNCTION("""COMPUTED_VALUE"""),65.0)</f>
        <v>65</v>
      </c>
      <c r="F7885" s="19" t="str">
        <f>IFERROR(__xludf.DUMMYFUNCTION("""COMPUTED_VALUE"""),"BLUE")</f>
        <v>BLUE</v>
      </c>
      <c r="G7885" s="20" t="str">
        <f>IFERROR(__xludf.DUMMYFUNCTION("""COMPUTED_VALUE"""),"Uncle Sams Cider (04/04/2023)")</f>
        <v>Uncle Sams Cider (04/04/2023)</v>
      </c>
      <c r="H7885" s="19"/>
    </row>
    <row r="7886">
      <c r="A7886" s="9"/>
      <c r="B7886" s="15"/>
      <c r="C7886" s="9">
        <f>IFERROR(__xludf.DUMMYFUNCTION("""COMPUTED_VALUE"""),45061.4350900115)</f>
        <v>45061.43509</v>
      </c>
      <c r="D7886" s="15">
        <f>IFERROR(__xludf.DUMMYFUNCTION("""COMPUTED_VALUE"""),1.015)</f>
        <v>1.015</v>
      </c>
      <c r="E7886" s="16">
        <f>IFERROR(__xludf.DUMMYFUNCTION("""COMPUTED_VALUE"""),65.0)</f>
        <v>65</v>
      </c>
      <c r="F7886" s="19" t="str">
        <f>IFERROR(__xludf.DUMMYFUNCTION("""COMPUTED_VALUE"""),"BLUE")</f>
        <v>BLUE</v>
      </c>
      <c r="G7886" s="20" t="str">
        <f>IFERROR(__xludf.DUMMYFUNCTION("""COMPUTED_VALUE"""),"Uncle Sams Cider (04/04/2023)")</f>
        <v>Uncle Sams Cider (04/04/2023)</v>
      </c>
      <c r="H7886" s="19"/>
    </row>
    <row r="7887">
      <c r="A7887" s="9"/>
      <c r="B7887" s="15"/>
      <c r="C7887" s="9">
        <f>IFERROR(__xludf.DUMMYFUNCTION("""COMPUTED_VALUE"""),45061.424668831)</f>
        <v>45061.42467</v>
      </c>
      <c r="D7887" s="15">
        <f>IFERROR(__xludf.DUMMYFUNCTION("""COMPUTED_VALUE"""),1.015)</f>
        <v>1.015</v>
      </c>
      <c r="E7887" s="16">
        <f>IFERROR(__xludf.DUMMYFUNCTION("""COMPUTED_VALUE"""),65.0)</f>
        <v>65</v>
      </c>
      <c r="F7887" s="19" t="str">
        <f>IFERROR(__xludf.DUMMYFUNCTION("""COMPUTED_VALUE"""),"BLUE")</f>
        <v>BLUE</v>
      </c>
      <c r="G7887" s="20" t="str">
        <f>IFERROR(__xludf.DUMMYFUNCTION("""COMPUTED_VALUE"""),"Uncle Sams Cider (04/04/2023)")</f>
        <v>Uncle Sams Cider (04/04/2023)</v>
      </c>
      <c r="H7887" s="19"/>
    </row>
    <row r="7888">
      <c r="A7888" s="9"/>
      <c r="B7888" s="15"/>
      <c r="C7888" s="9">
        <f>IFERROR(__xludf.DUMMYFUNCTION("""COMPUTED_VALUE"""),45061.4142376273)</f>
        <v>45061.41424</v>
      </c>
      <c r="D7888" s="15">
        <f>IFERROR(__xludf.DUMMYFUNCTION("""COMPUTED_VALUE"""),1.015)</f>
        <v>1.015</v>
      </c>
      <c r="E7888" s="16">
        <f>IFERROR(__xludf.DUMMYFUNCTION("""COMPUTED_VALUE"""),65.0)</f>
        <v>65</v>
      </c>
      <c r="F7888" s="19" t="str">
        <f>IFERROR(__xludf.DUMMYFUNCTION("""COMPUTED_VALUE"""),"BLUE")</f>
        <v>BLUE</v>
      </c>
      <c r="G7888" s="20" t="str">
        <f>IFERROR(__xludf.DUMMYFUNCTION("""COMPUTED_VALUE"""),"Uncle Sams Cider (04/04/2023)")</f>
        <v>Uncle Sams Cider (04/04/2023)</v>
      </c>
      <c r="H7888" s="19"/>
    </row>
    <row r="7889">
      <c r="A7889" s="9"/>
      <c r="B7889" s="15"/>
      <c r="C7889" s="9">
        <f>IFERROR(__xludf.DUMMYFUNCTION("""COMPUTED_VALUE"""),45061.4038173726)</f>
        <v>45061.40382</v>
      </c>
      <c r="D7889" s="15">
        <f>IFERROR(__xludf.DUMMYFUNCTION("""COMPUTED_VALUE"""),1.015)</f>
        <v>1.015</v>
      </c>
      <c r="E7889" s="16">
        <f>IFERROR(__xludf.DUMMYFUNCTION("""COMPUTED_VALUE"""),65.0)</f>
        <v>65</v>
      </c>
      <c r="F7889" s="19" t="str">
        <f>IFERROR(__xludf.DUMMYFUNCTION("""COMPUTED_VALUE"""),"BLUE")</f>
        <v>BLUE</v>
      </c>
      <c r="G7889" s="20" t="str">
        <f>IFERROR(__xludf.DUMMYFUNCTION("""COMPUTED_VALUE"""),"Uncle Sams Cider (04/04/2023)")</f>
        <v>Uncle Sams Cider (04/04/2023)</v>
      </c>
      <c r="H7889" s="19"/>
    </row>
    <row r="7890">
      <c r="A7890" s="9"/>
      <c r="B7890" s="15"/>
      <c r="C7890" s="9">
        <f>IFERROR(__xludf.DUMMYFUNCTION("""COMPUTED_VALUE"""),45061.3933952199)</f>
        <v>45061.3934</v>
      </c>
      <c r="D7890" s="15">
        <f>IFERROR(__xludf.DUMMYFUNCTION("""COMPUTED_VALUE"""),1.015)</f>
        <v>1.015</v>
      </c>
      <c r="E7890" s="16">
        <f>IFERROR(__xludf.DUMMYFUNCTION("""COMPUTED_VALUE"""),65.0)</f>
        <v>65</v>
      </c>
      <c r="F7890" s="19" t="str">
        <f>IFERROR(__xludf.DUMMYFUNCTION("""COMPUTED_VALUE"""),"BLUE")</f>
        <v>BLUE</v>
      </c>
      <c r="G7890" s="20" t="str">
        <f>IFERROR(__xludf.DUMMYFUNCTION("""COMPUTED_VALUE"""),"Uncle Sams Cider (04/04/2023)")</f>
        <v>Uncle Sams Cider (04/04/2023)</v>
      </c>
      <c r="H7890" s="19"/>
    </row>
    <row r="7891">
      <c r="A7891" s="9"/>
      <c r="B7891" s="15"/>
      <c r="C7891" s="9">
        <f>IFERROR(__xludf.DUMMYFUNCTION("""COMPUTED_VALUE"""),45061.3829749652)</f>
        <v>45061.38297</v>
      </c>
      <c r="D7891" s="15">
        <f>IFERROR(__xludf.DUMMYFUNCTION("""COMPUTED_VALUE"""),1.015)</f>
        <v>1.015</v>
      </c>
      <c r="E7891" s="16">
        <f>IFERROR(__xludf.DUMMYFUNCTION("""COMPUTED_VALUE"""),65.0)</f>
        <v>65</v>
      </c>
      <c r="F7891" s="19" t="str">
        <f>IFERROR(__xludf.DUMMYFUNCTION("""COMPUTED_VALUE"""),"BLUE")</f>
        <v>BLUE</v>
      </c>
      <c r="G7891" s="20" t="str">
        <f>IFERROR(__xludf.DUMMYFUNCTION("""COMPUTED_VALUE"""),"Uncle Sams Cider (04/04/2023)")</f>
        <v>Uncle Sams Cider (04/04/2023)</v>
      </c>
      <c r="H7891" s="19"/>
    </row>
    <row r="7892">
      <c r="A7892" s="9"/>
      <c r="B7892" s="15"/>
      <c r="C7892" s="9">
        <f>IFERROR(__xludf.DUMMYFUNCTION("""COMPUTED_VALUE"""),45061.3725527662)</f>
        <v>45061.37255</v>
      </c>
      <c r="D7892" s="15">
        <f>IFERROR(__xludf.DUMMYFUNCTION("""COMPUTED_VALUE"""),1.015)</f>
        <v>1.015</v>
      </c>
      <c r="E7892" s="16">
        <f>IFERROR(__xludf.DUMMYFUNCTION("""COMPUTED_VALUE"""),65.0)</f>
        <v>65</v>
      </c>
      <c r="F7892" s="19" t="str">
        <f>IFERROR(__xludf.DUMMYFUNCTION("""COMPUTED_VALUE"""),"BLUE")</f>
        <v>BLUE</v>
      </c>
      <c r="G7892" s="20" t="str">
        <f>IFERROR(__xludf.DUMMYFUNCTION("""COMPUTED_VALUE"""),"Uncle Sams Cider (04/04/2023)")</f>
        <v>Uncle Sams Cider (04/04/2023)</v>
      </c>
      <c r="H7892" s="19"/>
    </row>
    <row r="7893">
      <c r="A7893" s="9"/>
      <c r="B7893" s="15"/>
      <c r="C7893" s="9">
        <f>IFERROR(__xludf.DUMMYFUNCTION("""COMPUTED_VALUE"""),45061.3621316319)</f>
        <v>45061.36213</v>
      </c>
      <c r="D7893" s="15">
        <f>IFERROR(__xludf.DUMMYFUNCTION("""COMPUTED_VALUE"""),1.015)</f>
        <v>1.015</v>
      </c>
      <c r="E7893" s="16">
        <f>IFERROR(__xludf.DUMMYFUNCTION("""COMPUTED_VALUE"""),65.0)</f>
        <v>65</v>
      </c>
      <c r="F7893" s="19" t="str">
        <f>IFERROR(__xludf.DUMMYFUNCTION("""COMPUTED_VALUE"""),"BLUE")</f>
        <v>BLUE</v>
      </c>
      <c r="G7893" s="20" t="str">
        <f>IFERROR(__xludf.DUMMYFUNCTION("""COMPUTED_VALUE"""),"Uncle Sams Cider (04/04/2023)")</f>
        <v>Uncle Sams Cider (04/04/2023)</v>
      </c>
      <c r="H7893" s="19"/>
    </row>
    <row r="7894">
      <c r="A7894" s="9"/>
      <c r="B7894" s="15"/>
      <c r="C7894" s="9">
        <f>IFERROR(__xludf.DUMMYFUNCTION("""COMPUTED_VALUE"""),45061.3517100926)</f>
        <v>45061.35171</v>
      </c>
      <c r="D7894" s="15">
        <f>IFERROR(__xludf.DUMMYFUNCTION("""COMPUTED_VALUE"""),1.015)</f>
        <v>1.015</v>
      </c>
      <c r="E7894" s="16">
        <f>IFERROR(__xludf.DUMMYFUNCTION("""COMPUTED_VALUE"""),65.0)</f>
        <v>65</v>
      </c>
      <c r="F7894" s="19" t="str">
        <f>IFERROR(__xludf.DUMMYFUNCTION("""COMPUTED_VALUE"""),"BLUE")</f>
        <v>BLUE</v>
      </c>
      <c r="G7894" s="20" t="str">
        <f>IFERROR(__xludf.DUMMYFUNCTION("""COMPUTED_VALUE"""),"Uncle Sams Cider (04/04/2023)")</f>
        <v>Uncle Sams Cider (04/04/2023)</v>
      </c>
      <c r="H7894" s="19"/>
    </row>
    <row r="7895">
      <c r="A7895" s="9"/>
      <c r="B7895" s="15"/>
      <c r="C7895" s="9">
        <f>IFERROR(__xludf.DUMMYFUNCTION("""COMPUTED_VALUE"""),45061.3412908564)</f>
        <v>45061.34129</v>
      </c>
      <c r="D7895" s="15">
        <f>IFERROR(__xludf.DUMMYFUNCTION("""COMPUTED_VALUE"""),1.015)</f>
        <v>1.015</v>
      </c>
      <c r="E7895" s="16">
        <f>IFERROR(__xludf.DUMMYFUNCTION("""COMPUTED_VALUE"""),65.0)</f>
        <v>65</v>
      </c>
      <c r="F7895" s="19" t="str">
        <f>IFERROR(__xludf.DUMMYFUNCTION("""COMPUTED_VALUE"""),"BLUE")</f>
        <v>BLUE</v>
      </c>
      <c r="G7895" s="20" t="str">
        <f>IFERROR(__xludf.DUMMYFUNCTION("""COMPUTED_VALUE"""),"Uncle Sams Cider (04/04/2023)")</f>
        <v>Uncle Sams Cider (04/04/2023)</v>
      </c>
      <c r="H7895" s="19"/>
    </row>
    <row r="7896">
      <c r="A7896" s="9"/>
      <c r="B7896" s="15"/>
      <c r="C7896" s="9">
        <f>IFERROR(__xludf.DUMMYFUNCTION("""COMPUTED_VALUE"""),45061.330856956)</f>
        <v>45061.33086</v>
      </c>
      <c r="D7896" s="15">
        <f>IFERROR(__xludf.DUMMYFUNCTION("""COMPUTED_VALUE"""),1.015)</f>
        <v>1.015</v>
      </c>
      <c r="E7896" s="16">
        <f>IFERROR(__xludf.DUMMYFUNCTION("""COMPUTED_VALUE"""),65.0)</f>
        <v>65</v>
      </c>
      <c r="F7896" s="19" t="str">
        <f>IFERROR(__xludf.DUMMYFUNCTION("""COMPUTED_VALUE"""),"BLUE")</f>
        <v>BLUE</v>
      </c>
      <c r="G7896" s="20" t="str">
        <f>IFERROR(__xludf.DUMMYFUNCTION("""COMPUTED_VALUE"""),"Uncle Sams Cider (04/04/2023)")</f>
        <v>Uncle Sams Cider (04/04/2023)</v>
      </c>
      <c r="H7896" s="19"/>
    </row>
    <row r="7897">
      <c r="A7897" s="9"/>
      <c r="B7897" s="15"/>
      <c r="C7897" s="9">
        <f>IFERROR(__xludf.DUMMYFUNCTION("""COMPUTED_VALUE"""),45061.3204368402)</f>
        <v>45061.32044</v>
      </c>
      <c r="D7897" s="15">
        <f>IFERROR(__xludf.DUMMYFUNCTION("""COMPUTED_VALUE"""),1.015)</f>
        <v>1.015</v>
      </c>
      <c r="E7897" s="16">
        <f>IFERROR(__xludf.DUMMYFUNCTION("""COMPUTED_VALUE"""),65.0)</f>
        <v>65</v>
      </c>
      <c r="F7897" s="19" t="str">
        <f>IFERROR(__xludf.DUMMYFUNCTION("""COMPUTED_VALUE"""),"BLUE")</f>
        <v>BLUE</v>
      </c>
      <c r="G7897" s="20" t="str">
        <f>IFERROR(__xludf.DUMMYFUNCTION("""COMPUTED_VALUE"""),"Uncle Sams Cider (04/04/2023)")</f>
        <v>Uncle Sams Cider (04/04/2023)</v>
      </c>
      <c r="H7897" s="19"/>
    </row>
    <row r="7898">
      <c r="A7898" s="9"/>
      <c r="B7898" s="15"/>
      <c r="C7898" s="9">
        <f>IFERROR(__xludf.DUMMYFUNCTION("""COMPUTED_VALUE"""),45061.3100161111)</f>
        <v>45061.31002</v>
      </c>
      <c r="D7898" s="15">
        <f>IFERROR(__xludf.DUMMYFUNCTION("""COMPUTED_VALUE"""),1.015)</f>
        <v>1.015</v>
      </c>
      <c r="E7898" s="16">
        <f>IFERROR(__xludf.DUMMYFUNCTION("""COMPUTED_VALUE"""),65.0)</f>
        <v>65</v>
      </c>
      <c r="F7898" s="19" t="str">
        <f>IFERROR(__xludf.DUMMYFUNCTION("""COMPUTED_VALUE"""),"BLUE")</f>
        <v>BLUE</v>
      </c>
      <c r="G7898" s="20" t="str">
        <f>IFERROR(__xludf.DUMMYFUNCTION("""COMPUTED_VALUE"""),"Uncle Sams Cider (04/04/2023)")</f>
        <v>Uncle Sams Cider (04/04/2023)</v>
      </c>
      <c r="H7898" s="19"/>
    </row>
    <row r="7899">
      <c r="A7899" s="9"/>
      <c r="B7899" s="15"/>
      <c r="C7899" s="9">
        <f>IFERROR(__xludf.DUMMYFUNCTION("""COMPUTED_VALUE"""),45061.2995942129)</f>
        <v>45061.29959</v>
      </c>
      <c r="D7899" s="15">
        <f>IFERROR(__xludf.DUMMYFUNCTION("""COMPUTED_VALUE"""),1.015)</f>
        <v>1.015</v>
      </c>
      <c r="E7899" s="16">
        <f>IFERROR(__xludf.DUMMYFUNCTION("""COMPUTED_VALUE"""),65.0)</f>
        <v>65</v>
      </c>
      <c r="F7899" s="19" t="str">
        <f>IFERROR(__xludf.DUMMYFUNCTION("""COMPUTED_VALUE"""),"BLUE")</f>
        <v>BLUE</v>
      </c>
      <c r="G7899" s="20" t="str">
        <f>IFERROR(__xludf.DUMMYFUNCTION("""COMPUTED_VALUE"""),"Uncle Sams Cider (04/04/2023)")</f>
        <v>Uncle Sams Cider (04/04/2023)</v>
      </c>
      <c r="H7899" s="19"/>
    </row>
    <row r="7900">
      <c r="A7900" s="9"/>
      <c r="B7900" s="15"/>
      <c r="C7900" s="9">
        <f>IFERROR(__xludf.DUMMYFUNCTION("""COMPUTED_VALUE"""),45061.2891717245)</f>
        <v>45061.28917</v>
      </c>
      <c r="D7900" s="15">
        <f>IFERROR(__xludf.DUMMYFUNCTION("""COMPUTED_VALUE"""),1.015)</f>
        <v>1.015</v>
      </c>
      <c r="E7900" s="16">
        <f>IFERROR(__xludf.DUMMYFUNCTION("""COMPUTED_VALUE"""),65.0)</f>
        <v>65</v>
      </c>
      <c r="F7900" s="19" t="str">
        <f>IFERROR(__xludf.DUMMYFUNCTION("""COMPUTED_VALUE"""),"BLUE")</f>
        <v>BLUE</v>
      </c>
      <c r="G7900" s="20" t="str">
        <f>IFERROR(__xludf.DUMMYFUNCTION("""COMPUTED_VALUE"""),"Uncle Sams Cider (04/04/2023)")</f>
        <v>Uncle Sams Cider (04/04/2023)</v>
      </c>
      <c r="H7900" s="19"/>
    </row>
    <row r="7901">
      <c r="A7901" s="9"/>
      <c r="B7901" s="15"/>
      <c r="C7901" s="9">
        <f>IFERROR(__xludf.DUMMYFUNCTION("""COMPUTED_VALUE"""),45061.2787499189)</f>
        <v>45061.27875</v>
      </c>
      <c r="D7901" s="15">
        <f>IFERROR(__xludf.DUMMYFUNCTION("""COMPUTED_VALUE"""),1.015)</f>
        <v>1.015</v>
      </c>
      <c r="E7901" s="16">
        <f>IFERROR(__xludf.DUMMYFUNCTION("""COMPUTED_VALUE"""),65.0)</f>
        <v>65</v>
      </c>
      <c r="F7901" s="19" t="str">
        <f>IFERROR(__xludf.DUMMYFUNCTION("""COMPUTED_VALUE"""),"BLUE")</f>
        <v>BLUE</v>
      </c>
      <c r="G7901" s="20" t="str">
        <f>IFERROR(__xludf.DUMMYFUNCTION("""COMPUTED_VALUE"""),"Uncle Sams Cider (04/04/2023)")</f>
        <v>Uncle Sams Cider (04/04/2023)</v>
      </c>
      <c r="H7901" s="19"/>
    </row>
    <row r="7902">
      <c r="A7902" s="9"/>
      <c r="B7902" s="15"/>
      <c r="C7902" s="9">
        <f>IFERROR(__xludf.DUMMYFUNCTION("""COMPUTED_VALUE"""),45061.2683288888)</f>
        <v>45061.26833</v>
      </c>
      <c r="D7902" s="15">
        <f>IFERROR(__xludf.DUMMYFUNCTION("""COMPUTED_VALUE"""),1.015)</f>
        <v>1.015</v>
      </c>
      <c r="E7902" s="16">
        <f>IFERROR(__xludf.DUMMYFUNCTION("""COMPUTED_VALUE"""),65.0)</f>
        <v>65</v>
      </c>
      <c r="F7902" s="19" t="str">
        <f>IFERROR(__xludf.DUMMYFUNCTION("""COMPUTED_VALUE"""),"BLUE")</f>
        <v>BLUE</v>
      </c>
      <c r="G7902" s="20" t="str">
        <f>IFERROR(__xludf.DUMMYFUNCTION("""COMPUTED_VALUE"""),"Uncle Sams Cider (04/04/2023)")</f>
        <v>Uncle Sams Cider (04/04/2023)</v>
      </c>
      <c r="H7902" s="19"/>
    </row>
    <row r="7903">
      <c r="A7903" s="9"/>
      <c r="B7903" s="15"/>
      <c r="C7903" s="9">
        <f>IFERROR(__xludf.DUMMYFUNCTION("""COMPUTED_VALUE"""),45061.2579088078)</f>
        <v>45061.25791</v>
      </c>
      <c r="D7903" s="15">
        <f>IFERROR(__xludf.DUMMYFUNCTION("""COMPUTED_VALUE"""),1.015)</f>
        <v>1.015</v>
      </c>
      <c r="E7903" s="16">
        <f>IFERROR(__xludf.DUMMYFUNCTION("""COMPUTED_VALUE"""),65.0)</f>
        <v>65</v>
      </c>
      <c r="F7903" s="19" t="str">
        <f>IFERROR(__xludf.DUMMYFUNCTION("""COMPUTED_VALUE"""),"BLUE")</f>
        <v>BLUE</v>
      </c>
      <c r="G7903" s="20" t="str">
        <f>IFERROR(__xludf.DUMMYFUNCTION("""COMPUTED_VALUE"""),"Uncle Sams Cider (04/04/2023)")</f>
        <v>Uncle Sams Cider (04/04/2023)</v>
      </c>
      <c r="H7903" s="19"/>
    </row>
    <row r="7904">
      <c r="A7904" s="9"/>
      <c r="B7904" s="15"/>
      <c r="C7904" s="9">
        <f>IFERROR(__xludf.DUMMYFUNCTION("""COMPUTED_VALUE"""),45061.2474872916)</f>
        <v>45061.24749</v>
      </c>
      <c r="D7904" s="15">
        <f>IFERROR(__xludf.DUMMYFUNCTION("""COMPUTED_VALUE"""),1.015)</f>
        <v>1.015</v>
      </c>
      <c r="E7904" s="16">
        <f>IFERROR(__xludf.DUMMYFUNCTION("""COMPUTED_VALUE"""),65.0)</f>
        <v>65</v>
      </c>
      <c r="F7904" s="19" t="str">
        <f>IFERROR(__xludf.DUMMYFUNCTION("""COMPUTED_VALUE"""),"BLUE")</f>
        <v>BLUE</v>
      </c>
      <c r="G7904" s="20" t="str">
        <f>IFERROR(__xludf.DUMMYFUNCTION("""COMPUTED_VALUE"""),"Uncle Sams Cider (04/04/2023)")</f>
        <v>Uncle Sams Cider (04/04/2023)</v>
      </c>
      <c r="H7904" s="19"/>
    </row>
    <row r="7905">
      <c r="A7905" s="9"/>
      <c r="B7905" s="15"/>
      <c r="C7905" s="9">
        <f>IFERROR(__xludf.DUMMYFUNCTION("""COMPUTED_VALUE"""),45061.2370649652)</f>
        <v>45061.23706</v>
      </c>
      <c r="D7905" s="15">
        <f>IFERROR(__xludf.DUMMYFUNCTION("""COMPUTED_VALUE"""),1.015)</f>
        <v>1.015</v>
      </c>
      <c r="E7905" s="16">
        <f>IFERROR(__xludf.DUMMYFUNCTION("""COMPUTED_VALUE"""),65.0)</f>
        <v>65</v>
      </c>
      <c r="F7905" s="19" t="str">
        <f>IFERROR(__xludf.DUMMYFUNCTION("""COMPUTED_VALUE"""),"BLUE")</f>
        <v>BLUE</v>
      </c>
      <c r="G7905" s="20" t="str">
        <f>IFERROR(__xludf.DUMMYFUNCTION("""COMPUTED_VALUE"""),"Uncle Sams Cider (04/04/2023)")</f>
        <v>Uncle Sams Cider (04/04/2023)</v>
      </c>
      <c r="H7905" s="19"/>
    </row>
    <row r="7906">
      <c r="A7906" s="9"/>
      <c r="B7906" s="15"/>
      <c r="C7906" s="9">
        <f>IFERROR(__xludf.DUMMYFUNCTION("""COMPUTED_VALUE"""),45061.2266327314)</f>
        <v>45061.22663</v>
      </c>
      <c r="D7906" s="15">
        <f>IFERROR(__xludf.DUMMYFUNCTION("""COMPUTED_VALUE"""),1.015)</f>
        <v>1.015</v>
      </c>
      <c r="E7906" s="16">
        <f>IFERROR(__xludf.DUMMYFUNCTION("""COMPUTED_VALUE"""),65.0)</f>
        <v>65</v>
      </c>
      <c r="F7906" s="19" t="str">
        <f>IFERROR(__xludf.DUMMYFUNCTION("""COMPUTED_VALUE"""),"BLUE")</f>
        <v>BLUE</v>
      </c>
      <c r="G7906" s="20" t="str">
        <f>IFERROR(__xludf.DUMMYFUNCTION("""COMPUTED_VALUE"""),"Uncle Sams Cider (04/04/2023)")</f>
        <v>Uncle Sams Cider (04/04/2023)</v>
      </c>
      <c r="H7906" s="19"/>
    </row>
    <row r="7907">
      <c r="A7907" s="9"/>
      <c r="B7907" s="15"/>
      <c r="C7907" s="9">
        <f>IFERROR(__xludf.DUMMYFUNCTION("""COMPUTED_VALUE"""),45061.2162107175)</f>
        <v>45061.21621</v>
      </c>
      <c r="D7907" s="15">
        <f>IFERROR(__xludf.DUMMYFUNCTION("""COMPUTED_VALUE"""),1.015)</f>
        <v>1.015</v>
      </c>
      <c r="E7907" s="16">
        <f>IFERROR(__xludf.DUMMYFUNCTION("""COMPUTED_VALUE"""),65.0)</f>
        <v>65</v>
      </c>
      <c r="F7907" s="19" t="str">
        <f>IFERROR(__xludf.DUMMYFUNCTION("""COMPUTED_VALUE"""),"BLUE")</f>
        <v>BLUE</v>
      </c>
      <c r="G7907" s="20" t="str">
        <f>IFERROR(__xludf.DUMMYFUNCTION("""COMPUTED_VALUE"""),"Uncle Sams Cider (04/04/2023)")</f>
        <v>Uncle Sams Cider (04/04/2023)</v>
      </c>
      <c r="H7907" s="19"/>
    </row>
    <row r="7908">
      <c r="A7908" s="9"/>
      <c r="B7908" s="15"/>
      <c r="C7908" s="9">
        <f>IFERROR(__xludf.DUMMYFUNCTION("""COMPUTED_VALUE"""),45061.2057755787)</f>
        <v>45061.20578</v>
      </c>
      <c r="D7908" s="15">
        <f>IFERROR(__xludf.DUMMYFUNCTION("""COMPUTED_VALUE"""),1.015)</f>
        <v>1.015</v>
      </c>
      <c r="E7908" s="16">
        <f>IFERROR(__xludf.DUMMYFUNCTION("""COMPUTED_VALUE"""),65.0)</f>
        <v>65</v>
      </c>
      <c r="F7908" s="19" t="str">
        <f>IFERROR(__xludf.DUMMYFUNCTION("""COMPUTED_VALUE"""),"BLUE")</f>
        <v>BLUE</v>
      </c>
      <c r="G7908" s="20" t="str">
        <f>IFERROR(__xludf.DUMMYFUNCTION("""COMPUTED_VALUE"""),"Uncle Sams Cider (04/04/2023)")</f>
        <v>Uncle Sams Cider (04/04/2023)</v>
      </c>
      <c r="H7908" s="19"/>
    </row>
    <row r="7909">
      <c r="A7909" s="9"/>
      <c r="B7909" s="15"/>
      <c r="C7909" s="9">
        <f>IFERROR(__xludf.DUMMYFUNCTION("""COMPUTED_VALUE"""),45061.1953550231)</f>
        <v>45061.19536</v>
      </c>
      <c r="D7909" s="15">
        <f>IFERROR(__xludf.DUMMYFUNCTION("""COMPUTED_VALUE"""),1.015)</f>
        <v>1.015</v>
      </c>
      <c r="E7909" s="16">
        <f>IFERROR(__xludf.DUMMYFUNCTION("""COMPUTED_VALUE"""),65.0)</f>
        <v>65</v>
      </c>
      <c r="F7909" s="19" t="str">
        <f>IFERROR(__xludf.DUMMYFUNCTION("""COMPUTED_VALUE"""),"BLUE")</f>
        <v>BLUE</v>
      </c>
      <c r="G7909" s="20" t="str">
        <f>IFERROR(__xludf.DUMMYFUNCTION("""COMPUTED_VALUE"""),"Uncle Sams Cider (04/04/2023)")</f>
        <v>Uncle Sams Cider (04/04/2023)</v>
      </c>
      <c r="H7909" s="19"/>
    </row>
    <row r="7910">
      <c r="A7910" s="9"/>
      <c r="B7910" s="15"/>
      <c r="C7910" s="9">
        <f>IFERROR(__xludf.DUMMYFUNCTION("""COMPUTED_VALUE"""),45061.1849342824)</f>
        <v>45061.18493</v>
      </c>
      <c r="D7910" s="15">
        <f>IFERROR(__xludf.DUMMYFUNCTION("""COMPUTED_VALUE"""),1.015)</f>
        <v>1.015</v>
      </c>
      <c r="E7910" s="16">
        <f>IFERROR(__xludf.DUMMYFUNCTION("""COMPUTED_VALUE"""),65.0)</f>
        <v>65</v>
      </c>
      <c r="F7910" s="19" t="str">
        <f>IFERROR(__xludf.DUMMYFUNCTION("""COMPUTED_VALUE"""),"BLUE")</f>
        <v>BLUE</v>
      </c>
      <c r="G7910" s="20" t="str">
        <f>IFERROR(__xludf.DUMMYFUNCTION("""COMPUTED_VALUE"""),"Uncle Sams Cider (04/04/2023)")</f>
        <v>Uncle Sams Cider (04/04/2023)</v>
      </c>
      <c r="H7910" s="19"/>
    </row>
    <row r="7911">
      <c r="A7911" s="9"/>
      <c r="B7911" s="15"/>
      <c r="C7911" s="9">
        <f>IFERROR(__xludf.DUMMYFUNCTION("""COMPUTED_VALUE"""),45061.174511655)</f>
        <v>45061.17451</v>
      </c>
      <c r="D7911" s="15">
        <f>IFERROR(__xludf.DUMMYFUNCTION("""COMPUTED_VALUE"""),1.015)</f>
        <v>1.015</v>
      </c>
      <c r="E7911" s="16">
        <f>IFERROR(__xludf.DUMMYFUNCTION("""COMPUTED_VALUE"""),65.0)</f>
        <v>65</v>
      </c>
      <c r="F7911" s="19" t="str">
        <f>IFERROR(__xludf.DUMMYFUNCTION("""COMPUTED_VALUE"""),"BLUE")</f>
        <v>BLUE</v>
      </c>
      <c r="G7911" s="20" t="str">
        <f>IFERROR(__xludf.DUMMYFUNCTION("""COMPUTED_VALUE"""),"Uncle Sams Cider (04/04/2023)")</f>
        <v>Uncle Sams Cider (04/04/2023)</v>
      </c>
      <c r="H7911" s="19"/>
    </row>
    <row r="7912">
      <c r="A7912" s="9"/>
      <c r="B7912" s="15"/>
      <c r="C7912" s="9">
        <f>IFERROR(__xludf.DUMMYFUNCTION("""COMPUTED_VALUE"""),45061.1640878935)</f>
        <v>45061.16409</v>
      </c>
      <c r="D7912" s="15">
        <f>IFERROR(__xludf.DUMMYFUNCTION("""COMPUTED_VALUE"""),1.015)</f>
        <v>1.015</v>
      </c>
      <c r="E7912" s="16">
        <f>IFERROR(__xludf.DUMMYFUNCTION("""COMPUTED_VALUE"""),65.0)</f>
        <v>65</v>
      </c>
      <c r="F7912" s="19" t="str">
        <f>IFERROR(__xludf.DUMMYFUNCTION("""COMPUTED_VALUE"""),"BLUE")</f>
        <v>BLUE</v>
      </c>
      <c r="G7912" s="20" t="str">
        <f>IFERROR(__xludf.DUMMYFUNCTION("""COMPUTED_VALUE"""),"Uncle Sams Cider (04/04/2023)")</f>
        <v>Uncle Sams Cider (04/04/2023)</v>
      </c>
      <c r="H7912" s="19"/>
    </row>
    <row r="7913">
      <c r="A7913" s="9"/>
      <c r="B7913" s="15"/>
      <c r="C7913" s="9">
        <f>IFERROR(__xludf.DUMMYFUNCTION("""COMPUTED_VALUE"""),45061.1536665509)</f>
        <v>45061.15367</v>
      </c>
      <c r="D7913" s="15">
        <f>IFERROR(__xludf.DUMMYFUNCTION("""COMPUTED_VALUE"""),1.015)</f>
        <v>1.015</v>
      </c>
      <c r="E7913" s="16">
        <f>IFERROR(__xludf.DUMMYFUNCTION("""COMPUTED_VALUE"""),65.0)</f>
        <v>65</v>
      </c>
      <c r="F7913" s="19" t="str">
        <f>IFERROR(__xludf.DUMMYFUNCTION("""COMPUTED_VALUE"""),"BLUE")</f>
        <v>BLUE</v>
      </c>
      <c r="G7913" s="20" t="str">
        <f>IFERROR(__xludf.DUMMYFUNCTION("""COMPUTED_VALUE"""),"Uncle Sams Cider (04/04/2023)")</f>
        <v>Uncle Sams Cider (04/04/2023)</v>
      </c>
      <c r="H7913" s="19"/>
    </row>
    <row r="7914">
      <c r="A7914" s="9"/>
      <c r="B7914" s="15"/>
      <c r="C7914" s="9">
        <f>IFERROR(__xludf.DUMMYFUNCTION("""COMPUTED_VALUE"""),45061.1432454166)</f>
        <v>45061.14325</v>
      </c>
      <c r="D7914" s="15">
        <f>IFERROR(__xludf.DUMMYFUNCTION("""COMPUTED_VALUE"""),1.015)</f>
        <v>1.015</v>
      </c>
      <c r="E7914" s="16">
        <f>IFERROR(__xludf.DUMMYFUNCTION("""COMPUTED_VALUE"""),65.0)</f>
        <v>65</v>
      </c>
      <c r="F7914" s="19" t="str">
        <f>IFERROR(__xludf.DUMMYFUNCTION("""COMPUTED_VALUE"""),"BLUE")</f>
        <v>BLUE</v>
      </c>
      <c r="G7914" s="20" t="str">
        <f>IFERROR(__xludf.DUMMYFUNCTION("""COMPUTED_VALUE"""),"Uncle Sams Cider (04/04/2023)")</f>
        <v>Uncle Sams Cider (04/04/2023)</v>
      </c>
      <c r="H7914" s="19"/>
    </row>
    <row r="7915">
      <c r="A7915" s="9"/>
      <c r="B7915" s="15"/>
      <c r="C7915" s="9">
        <f>IFERROR(__xludf.DUMMYFUNCTION("""COMPUTED_VALUE"""),45061.1328243171)</f>
        <v>45061.13282</v>
      </c>
      <c r="D7915" s="15">
        <f>IFERROR(__xludf.DUMMYFUNCTION("""COMPUTED_VALUE"""),1.015)</f>
        <v>1.015</v>
      </c>
      <c r="E7915" s="16">
        <f>IFERROR(__xludf.DUMMYFUNCTION("""COMPUTED_VALUE"""),65.0)</f>
        <v>65</v>
      </c>
      <c r="F7915" s="19" t="str">
        <f>IFERROR(__xludf.DUMMYFUNCTION("""COMPUTED_VALUE"""),"BLUE")</f>
        <v>BLUE</v>
      </c>
      <c r="G7915" s="20" t="str">
        <f>IFERROR(__xludf.DUMMYFUNCTION("""COMPUTED_VALUE"""),"Uncle Sams Cider (04/04/2023)")</f>
        <v>Uncle Sams Cider (04/04/2023)</v>
      </c>
      <c r="H7915" s="19"/>
    </row>
    <row r="7916">
      <c r="A7916" s="9"/>
      <c r="B7916" s="15"/>
      <c r="C7916" s="9">
        <f>IFERROR(__xludf.DUMMYFUNCTION("""COMPUTED_VALUE"""),45061.1224053356)</f>
        <v>45061.12241</v>
      </c>
      <c r="D7916" s="15">
        <f>IFERROR(__xludf.DUMMYFUNCTION("""COMPUTED_VALUE"""),1.015)</f>
        <v>1.015</v>
      </c>
      <c r="E7916" s="16">
        <f>IFERROR(__xludf.DUMMYFUNCTION("""COMPUTED_VALUE"""),65.0)</f>
        <v>65</v>
      </c>
      <c r="F7916" s="19" t="str">
        <f>IFERROR(__xludf.DUMMYFUNCTION("""COMPUTED_VALUE"""),"BLUE")</f>
        <v>BLUE</v>
      </c>
      <c r="G7916" s="20" t="str">
        <f>IFERROR(__xludf.DUMMYFUNCTION("""COMPUTED_VALUE"""),"Uncle Sams Cider (04/04/2023)")</f>
        <v>Uncle Sams Cider (04/04/2023)</v>
      </c>
      <c r="H7916" s="19"/>
    </row>
    <row r="7917">
      <c r="A7917" s="9"/>
      <c r="B7917" s="15"/>
      <c r="C7917" s="9">
        <f>IFERROR(__xludf.DUMMYFUNCTION("""COMPUTED_VALUE"""),45061.111984375)</f>
        <v>45061.11198</v>
      </c>
      <c r="D7917" s="15">
        <f>IFERROR(__xludf.DUMMYFUNCTION("""COMPUTED_VALUE"""),1.015)</f>
        <v>1.015</v>
      </c>
      <c r="E7917" s="16">
        <f>IFERROR(__xludf.DUMMYFUNCTION("""COMPUTED_VALUE"""),65.0)</f>
        <v>65</v>
      </c>
      <c r="F7917" s="19" t="str">
        <f>IFERROR(__xludf.DUMMYFUNCTION("""COMPUTED_VALUE"""),"BLUE")</f>
        <v>BLUE</v>
      </c>
      <c r="G7917" s="20" t="str">
        <f>IFERROR(__xludf.DUMMYFUNCTION("""COMPUTED_VALUE"""),"Uncle Sams Cider (04/04/2023)")</f>
        <v>Uncle Sams Cider (04/04/2023)</v>
      </c>
      <c r="H7917" s="19"/>
    </row>
    <row r="7918">
      <c r="A7918" s="9"/>
      <c r="B7918" s="15"/>
      <c r="C7918" s="9">
        <f>IFERROR(__xludf.DUMMYFUNCTION("""COMPUTED_VALUE"""),45061.1015651157)</f>
        <v>45061.10157</v>
      </c>
      <c r="D7918" s="15">
        <f>IFERROR(__xludf.DUMMYFUNCTION("""COMPUTED_VALUE"""),1.015)</f>
        <v>1.015</v>
      </c>
      <c r="E7918" s="16">
        <f>IFERROR(__xludf.DUMMYFUNCTION("""COMPUTED_VALUE"""),65.0)</f>
        <v>65</v>
      </c>
      <c r="F7918" s="19" t="str">
        <f>IFERROR(__xludf.DUMMYFUNCTION("""COMPUTED_VALUE"""),"BLUE")</f>
        <v>BLUE</v>
      </c>
      <c r="G7918" s="20" t="str">
        <f>IFERROR(__xludf.DUMMYFUNCTION("""COMPUTED_VALUE"""),"Uncle Sams Cider (04/04/2023)")</f>
        <v>Uncle Sams Cider (04/04/2023)</v>
      </c>
      <c r="H7918" s="19"/>
    </row>
    <row r="7919">
      <c r="A7919" s="9"/>
      <c r="B7919" s="15"/>
      <c r="C7919" s="9">
        <f>IFERROR(__xludf.DUMMYFUNCTION("""COMPUTED_VALUE"""),45061.0911317708)</f>
        <v>45061.09113</v>
      </c>
      <c r="D7919" s="15">
        <f>IFERROR(__xludf.DUMMYFUNCTION("""COMPUTED_VALUE"""),1.015)</f>
        <v>1.015</v>
      </c>
      <c r="E7919" s="16">
        <f>IFERROR(__xludf.DUMMYFUNCTION("""COMPUTED_VALUE"""),65.0)</f>
        <v>65</v>
      </c>
      <c r="F7919" s="19" t="str">
        <f>IFERROR(__xludf.DUMMYFUNCTION("""COMPUTED_VALUE"""),"BLUE")</f>
        <v>BLUE</v>
      </c>
      <c r="G7919" s="20" t="str">
        <f>IFERROR(__xludf.DUMMYFUNCTION("""COMPUTED_VALUE"""),"Uncle Sams Cider (04/04/2023)")</f>
        <v>Uncle Sams Cider (04/04/2023)</v>
      </c>
      <c r="H7919" s="19"/>
    </row>
    <row r="7920">
      <c r="A7920" s="9"/>
      <c r="B7920" s="15"/>
      <c r="C7920" s="9">
        <f>IFERROR(__xludf.DUMMYFUNCTION("""COMPUTED_VALUE"""),45061.080698368)</f>
        <v>45061.0807</v>
      </c>
      <c r="D7920" s="15">
        <f>IFERROR(__xludf.DUMMYFUNCTION("""COMPUTED_VALUE"""),1.015)</f>
        <v>1.015</v>
      </c>
      <c r="E7920" s="16">
        <f>IFERROR(__xludf.DUMMYFUNCTION("""COMPUTED_VALUE"""),65.0)</f>
        <v>65</v>
      </c>
      <c r="F7920" s="19" t="str">
        <f>IFERROR(__xludf.DUMMYFUNCTION("""COMPUTED_VALUE"""),"BLUE")</f>
        <v>BLUE</v>
      </c>
      <c r="G7920" s="20" t="str">
        <f>IFERROR(__xludf.DUMMYFUNCTION("""COMPUTED_VALUE"""),"Uncle Sams Cider (04/04/2023)")</f>
        <v>Uncle Sams Cider (04/04/2023)</v>
      </c>
      <c r="H7920" s="19"/>
    </row>
    <row r="7921">
      <c r="A7921" s="9"/>
      <c r="B7921" s="15"/>
      <c r="C7921" s="9">
        <f>IFERROR(__xludf.DUMMYFUNCTION("""COMPUTED_VALUE"""),45061.0702770949)</f>
        <v>45061.07028</v>
      </c>
      <c r="D7921" s="15">
        <f>IFERROR(__xludf.DUMMYFUNCTION("""COMPUTED_VALUE"""),1.015)</f>
        <v>1.015</v>
      </c>
      <c r="E7921" s="16">
        <f>IFERROR(__xludf.DUMMYFUNCTION("""COMPUTED_VALUE"""),65.0)</f>
        <v>65</v>
      </c>
      <c r="F7921" s="19" t="str">
        <f>IFERROR(__xludf.DUMMYFUNCTION("""COMPUTED_VALUE"""),"BLUE")</f>
        <v>BLUE</v>
      </c>
      <c r="G7921" s="20" t="str">
        <f>IFERROR(__xludf.DUMMYFUNCTION("""COMPUTED_VALUE"""),"Uncle Sams Cider (04/04/2023)")</f>
        <v>Uncle Sams Cider (04/04/2023)</v>
      </c>
      <c r="H7921" s="19"/>
    </row>
    <row r="7922">
      <c r="A7922" s="9"/>
      <c r="B7922" s="15"/>
      <c r="C7922" s="9">
        <f>IFERROR(__xludf.DUMMYFUNCTION("""COMPUTED_VALUE"""),45061.0598574421)</f>
        <v>45061.05986</v>
      </c>
      <c r="D7922" s="15">
        <f>IFERROR(__xludf.DUMMYFUNCTION("""COMPUTED_VALUE"""),1.015)</f>
        <v>1.015</v>
      </c>
      <c r="E7922" s="16">
        <f>IFERROR(__xludf.DUMMYFUNCTION("""COMPUTED_VALUE"""),65.0)</f>
        <v>65</v>
      </c>
      <c r="F7922" s="19" t="str">
        <f>IFERROR(__xludf.DUMMYFUNCTION("""COMPUTED_VALUE"""),"BLUE")</f>
        <v>BLUE</v>
      </c>
      <c r="G7922" s="20" t="str">
        <f>IFERROR(__xludf.DUMMYFUNCTION("""COMPUTED_VALUE"""),"Uncle Sams Cider (04/04/2023)")</f>
        <v>Uncle Sams Cider (04/04/2023)</v>
      </c>
      <c r="H7922" s="19"/>
    </row>
    <row r="7923">
      <c r="A7923" s="9"/>
      <c r="B7923" s="15"/>
      <c r="C7923" s="9">
        <f>IFERROR(__xludf.DUMMYFUNCTION("""COMPUTED_VALUE"""),45061.0494364004)</f>
        <v>45061.04944</v>
      </c>
      <c r="D7923" s="15">
        <f>IFERROR(__xludf.DUMMYFUNCTION("""COMPUTED_VALUE"""),1.015)</f>
        <v>1.015</v>
      </c>
      <c r="E7923" s="16">
        <f>IFERROR(__xludf.DUMMYFUNCTION("""COMPUTED_VALUE"""),65.0)</f>
        <v>65</v>
      </c>
      <c r="F7923" s="19" t="str">
        <f>IFERROR(__xludf.DUMMYFUNCTION("""COMPUTED_VALUE"""),"BLUE")</f>
        <v>BLUE</v>
      </c>
      <c r="G7923" s="20" t="str">
        <f>IFERROR(__xludf.DUMMYFUNCTION("""COMPUTED_VALUE"""),"Uncle Sams Cider (04/04/2023)")</f>
        <v>Uncle Sams Cider (04/04/2023)</v>
      </c>
      <c r="H7923" s="19"/>
    </row>
    <row r="7924">
      <c r="A7924" s="9"/>
      <c r="B7924" s="15"/>
      <c r="C7924" s="9">
        <f>IFERROR(__xludf.DUMMYFUNCTION("""COMPUTED_VALUE"""),45061.0390155787)</f>
        <v>45061.03902</v>
      </c>
      <c r="D7924" s="15">
        <f>IFERROR(__xludf.DUMMYFUNCTION("""COMPUTED_VALUE"""),1.015)</f>
        <v>1.015</v>
      </c>
      <c r="E7924" s="16">
        <f>IFERROR(__xludf.DUMMYFUNCTION("""COMPUTED_VALUE"""),65.0)</f>
        <v>65</v>
      </c>
      <c r="F7924" s="19" t="str">
        <f>IFERROR(__xludf.DUMMYFUNCTION("""COMPUTED_VALUE"""),"BLUE")</f>
        <v>BLUE</v>
      </c>
      <c r="G7924" s="20" t="str">
        <f>IFERROR(__xludf.DUMMYFUNCTION("""COMPUTED_VALUE"""),"Uncle Sams Cider (04/04/2023)")</f>
        <v>Uncle Sams Cider (04/04/2023)</v>
      </c>
      <c r="H7924" s="19"/>
    </row>
    <row r="7925">
      <c r="A7925" s="9"/>
      <c r="B7925" s="15"/>
      <c r="C7925" s="9">
        <f>IFERROR(__xludf.DUMMYFUNCTION("""COMPUTED_VALUE"""),45061.0285946759)</f>
        <v>45061.02859</v>
      </c>
      <c r="D7925" s="15">
        <f>IFERROR(__xludf.DUMMYFUNCTION("""COMPUTED_VALUE"""),1.015)</f>
        <v>1.015</v>
      </c>
      <c r="E7925" s="16">
        <f>IFERROR(__xludf.DUMMYFUNCTION("""COMPUTED_VALUE"""),65.0)</f>
        <v>65</v>
      </c>
      <c r="F7925" s="19" t="str">
        <f>IFERROR(__xludf.DUMMYFUNCTION("""COMPUTED_VALUE"""),"BLUE")</f>
        <v>BLUE</v>
      </c>
      <c r="G7925" s="20" t="str">
        <f>IFERROR(__xludf.DUMMYFUNCTION("""COMPUTED_VALUE"""),"Uncle Sams Cider (04/04/2023)")</f>
        <v>Uncle Sams Cider (04/04/2023)</v>
      </c>
      <c r="H7925" s="19"/>
    </row>
    <row r="7926">
      <c r="A7926" s="9"/>
      <c r="B7926" s="15"/>
      <c r="C7926" s="9">
        <f>IFERROR(__xludf.DUMMYFUNCTION("""COMPUTED_VALUE"""),45061.0181742013)</f>
        <v>45061.01817</v>
      </c>
      <c r="D7926" s="15">
        <f>IFERROR(__xludf.DUMMYFUNCTION("""COMPUTED_VALUE"""),1.015)</f>
        <v>1.015</v>
      </c>
      <c r="E7926" s="16">
        <f>IFERROR(__xludf.DUMMYFUNCTION("""COMPUTED_VALUE"""),65.0)</f>
        <v>65</v>
      </c>
      <c r="F7926" s="19" t="str">
        <f>IFERROR(__xludf.DUMMYFUNCTION("""COMPUTED_VALUE"""),"BLUE")</f>
        <v>BLUE</v>
      </c>
      <c r="G7926" s="20" t="str">
        <f>IFERROR(__xludf.DUMMYFUNCTION("""COMPUTED_VALUE"""),"Uncle Sams Cider (04/04/2023)")</f>
        <v>Uncle Sams Cider (04/04/2023)</v>
      </c>
      <c r="H7926" s="19"/>
    </row>
    <row r="7927">
      <c r="A7927" s="9"/>
      <c r="B7927" s="15"/>
      <c r="C7927" s="9">
        <f>IFERROR(__xludf.DUMMYFUNCTION("""COMPUTED_VALUE"""),45061.0077533217)</f>
        <v>45061.00775</v>
      </c>
      <c r="D7927" s="15">
        <f>IFERROR(__xludf.DUMMYFUNCTION("""COMPUTED_VALUE"""),1.015)</f>
        <v>1.015</v>
      </c>
      <c r="E7927" s="16">
        <f>IFERROR(__xludf.DUMMYFUNCTION("""COMPUTED_VALUE"""),65.0)</f>
        <v>65</v>
      </c>
      <c r="F7927" s="19" t="str">
        <f>IFERROR(__xludf.DUMMYFUNCTION("""COMPUTED_VALUE"""),"BLUE")</f>
        <v>BLUE</v>
      </c>
      <c r="G7927" s="20" t="str">
        <f>IFERROR(__xludf.DUMMYFUNCTION("""COMPUTED_VALUE"""),"Uncle Sams Cider (04/04/2023)")</f>
        <v>Uncle Sams Cider (04/04/2023)</v>
      </c>
      <c r="H7927" s="19"/>
    </row>
    <row r="7928">
      <c r="A7928" s="9"/>
      <c r="B7928" s="15"/>
      <c r="C7928" s="9">
        <f>IFERROR(__xludf.DUMMYFUNCTION("""COMPUTED_VALUE"""),45060.9973320023)</f>
        <v>45060.99733</v>
      </c>
      <c r="D7928" s="15">
        <f>IFERROR(__xludf.DUMMYFUNCTION("""COMPUTED_VALUE"""),1.015)</f>
        <v>1.015</v>
      </c>
      <c r="E7928" s="16">
        <f>IFERROR(__xludf.DUMMYFUNCTION("""COMPUTED_VALUE"""),65.0)</f>
        <v>65</v>
      </c>
      <c r="F7928" s="19" t="str">
        <f>IFERROR(__xludf.DUMMYFUNCTION("""COMPUTED_VALUE"""),"BLUE")</f>
        <v>BLUE</v>
      </c>
      <c r="G7928" s="20" t="str">
        <f>IFERROR(__xludf.DUMMYFUNCTION("""COMPUTED_VALUE"""),"Uncle Sams Cider (04/04/2023)")</f>
        <v>Uncle Sams Cider (04/04/2023)</v>
      </c>
      <c r="H7928" s="19"/>
    </row>
    <row r="7929">
      <c r="A7929" s="9"/>
      <c r="B7929" s="15"/>
      <c r="C7929" s="9">
        <f>IFERROR(__xludf.DUMMYFUNCTION("""COMPUTED_VALUE"""),45060.9869108101)</f>
        <v>45060.98691</v>
      </c>
      <c r="D7929" s="15">
        <f>IFERROR(__xludf.DUMMYFUNCTION("""COMPUTED_VALUE"""),1.015)</f>
        <v>1.015</v>
      </c>
      <c r="E7929" s="16">
        <f>IFERROR(__xludf.DUMMYFUNCTION("""COMPUTED_VALUE"""),65.0)</f>
        <v>65</v>
      </c>
      <c r="F7929" s="19" t="str">
        <f>IFERROR(__xludf.DUMMYFUNCTION("""COMPUTED_VALUE"""),"BLUE")</f>
        <v>BLUE</v>
      </c>
      <c r="G7929" s="20" t="str">
        <f>IFERROR(__xludf.DUMMYFUNCTION("""COMPUTED_VALUE"""),"Uncle Sams Cider (04/04/2023)")</f>
        <v>Uncle Sams Cider (04/04/2023)</v>
      </c>
      <c r="H7929" s="19"/>
    </row>
    <row r="7930">
      <c r="A7930" s="9"/>
      <c r="B7930" s="15"/>
      <c r="C7930" s="9">
        <f>IFERROR(__xludf.DUMMYFUNCTION("""COMPUTED_VALUE"""),45060.9764894444)</f>
        <v>45060.97649</v>
      </c>
      <c r="D7930" s="15">
        <f>IFERROR(__xludf.DUMMYFUNCTION("""COMPUTED_VALUE"""),1.015)</f>
        <v>1.015</v>
      </c>
      <c r="E7930" s="16">
        <f>IFERROR(__xludf.DUMMYFUNCTION("""COMPUTED_VALUE"""),65.0)</f>
        <v>65</v>
      </c>
      <c r="F7930" s="19" t="str">
        <f>IFERROR(__xludf.DUMMYFUNCTION("""COMPUTED_VALUE"""),"BLUE")</f>
        <v>BLUE</v>
      </c>
      <c r="G7930" s="20" t="str">
        <f>IFERROR(__xludf.DUMMYFUNCTION("""COMPUTED_VALUE"""),"Uncle Sams Cider (04/04/2023)")</f>
        <v>Uncle Sams Cider (04/04/2023)</v>
      </c>
      <c r="H7930" s="19"/>
    </row>
    <row r="7931">
      <c r="A7931" s="9"/>
      <c r="B7931" s="15"/>
      <c r="C7931" s="9">
        <f>IFERROR(__xludf.DUMMYFUNCTION("""COMPUTED_VALUE"""),45060.9660554513)</f>
        <v>45060.96606</v>
      </c>
      <c r="D7931" s="15">
        <f>IFERROR(__xludf.DUMMYFUNCTION("""COMPUTED_VALUE"""),1.015)</f>
        <v>1.015</v>
      </c>
      <c r="E7931" s="16">
        <f>IFERROR(__xludf.DUMMYFUNCTION("""COMPUTED_VALUE"""),65.0)</f>
        <v>65</v>
      </c>
      <c r="F7931" s="19" t="str">
        <f>IFERROR(__xludf.DUMMYFUNCTION("""COMPUTED_VALUE"""),"BLUE")</f>
        <v>BLUE</v>
      </c>
      <c r="G7931" s="20" t="str">
        <f>IFERROR(__xludf.DUMMYFUNCTION("""COMPUTED_VALUE"""),"Uncle Sams Cider (04/04/2023)")</f>
        <v>Uncle Sams Cider (04/04/2023)</v>
      </c>
      <c r="H7931" s="19"/>
    </row>
    <row r="7932">
      <c r="A7932" s="9"/>
      <c r="B7932" s="15"/>
      <c r="C7932" s="9">
        <f>IFERROR(__xludf.DUMMYFUNCTION("""COMPUTED_VALUE"""),45060.9556224189)</f>
        <v>45060.95562</v>
      </c>
      <c r="D7932" s="15">
        <f>IFERROR(__xludf.DUMMYFUNCTION("""COMPUTED_VALUE"""),1.015)</f>
        <v>1.015</v>
      </c>
      <c r="E7932" s="16">
        <f>IFERROR(__xludf.DUMMYFUNCTION("""COMPUTED_VALUE"""),65.0)</f>
        <v>65</v>
      </c>
      <c r="F7932" s="19" t="str">
        <f>IFERROR(__xludf.DUMMYFUNCTION("""COMPUTED_VALUE"""),"BLUE")</f>
        <v>BLUE</v>
      </c>
      <c r="G7932" s="20" t="str">
        <f>IFERROR(__xludf.DUMMYFUNCTION("""COMPUTED_VALUE"""),"Uncle Sams Cider (04/04/2023)")</f>
        <v>Uncle Sams Cider (04/04/2023)</v>
      </c>
      <c r="H7932" s="19"/>
    </row>
    <row r="7933">
      <c r="A7933" s="9"/>
      <c r="B7933" s="15"/>
      <c r="C7933" s="9">
        <f>IFERROR(__xludf.DUMMYFUNCTION("""COMPUTED_VALUE"""),45060.9452015277)</f>
        <v>45060.9452</v>
      </c>
      <c r="D7933" s="15">
        <f>IFERROR(__xludf.DUMMYFUNCTION("""COMPUTED_VALUE"""),1.015)</f>
        <v>1.015</v>
      </c>
      <c r="E7933" s="16">
        <f>IFERROR(__xludf.DUMMYFUNCTION("""COMPUTED_VALUE"""),65.0)</f>
        <v>65</v>
      </c>
      <c r="F7933" s="19" t="str">
        <f>IFERROR(__xludf.DUMMYFUNCTION("""COMPUTED_VALUE"""),"BLUE")</f>
        <v>BLUE</v>
      </c>
      <c r="G7933" s="20" t="str">
        <f>IFERROR(__xludf.DUMMYFUNCTION("""COMPUTED_VALUE"""),"Uncle Sams Cider (04/04/2023)")</f>
        <v>Uncle Sams Cider (04/04/2023)</v>
      </c>
      <c r="H7933" s="19"/>
    </row>
    <row r="7934">
      <c r="A7934" s="9"/>
      <c r="B7934" s="15"/>
      <c r="C7934" s="9">
        <f>IFERROR(__xludf.DUMMYFUNCTION("""COMPUTED_VALUE"""),45060.9347670486)</f>
        <v>45060.93477</v>
      </c>
      <c r="D7934" s="15">
        <f>IFERROR(__xludf.DUMMYFUNCTION("""COMPUTED_VALUE"""),1.015)</f>
        <v>1.015</v>
      </c>
      <c r="E7934" s="16">
        <f>IFERROR(__xludf.DUMMYFUNCTION("""COMPUTED_VALUE"""),65.0)</f>
        <v>65</v>
      </c>
      <c r="F7934" s="19" t="str">
        <f>IFERROR(__xludf.DUMMYFUNCTION("""COMPUTED_VALUE"""),"BLUE")</f>
        <v>BLUE</v>
      </c>
      <c r="G7934" s="20" t="str">
        <f>IFERROR(__xludf.DUMMYFUNCTION("""COMPUTED_VALUE"""),"Uncle Sams Cider (04/04/2023)")</f>
        <v>Uncle Sams Cider (04/04/2023)</v>
      </c>
      <c r="H7934" s="19"/>
    </row>
    <row r="7935">
      <c r="A7935" s="9"/>
      <c r="B7935" s="15"/>
      <c r="C7935" s="9">
        <f>IFERROR(__xludf.DUMMYFUNCTION("""COMPUTED_VALUE"""),45060.9243450694)</f>
        <v>45060.92435</v>
      </c>
      <c r="D7935" s="15">
        <f>IFERROR(__xludf.DUMMYFUNCTION("""COMPUTED_VALUE"""),1.015)</f>
        <v>1.015</v>
      </c>
      <c r="E7935" s="16">
        <f>IFERROR(__xludf.DUMMYFUNCTION("""COMPUTED_VALUE"""),65.0)</f>
        <v>65</v>
      </c>
      <c r="F7935" s="19" t="str">
        <f>IFERROR(__xludf.DUMMYFUNCTION("""COMPUTED_VALUE"""),"BLUE")</f>
        <v>BLUE</v>
      </c>
      <c r="G7935" s="20" t="str">
        <f>IFERROR(__xludf.DUMMYFUNCTION("""COMPUTED_VALUE"""),"Uncle Sams Cider (04/04/2023)")</f>
        <v>Uncle Sams Cider (04/04/2023)</v>
      </c>
      <c r="H7935" s="19"/>
    </row>
    <row r="7936">
      <c r="A7936" s="9"/>
      <c r="B7936" s="15"/>
      <c r="C7936" s="9">
        <f>IFERROR(__xludf.DUMMYFUNCTION("""COMPUTED_VALUE"""),45060.9139245949)</f>
        <v>45060.91392</v>
      </c>
      <c r="D7936" s="15">
        <f>IFERROR(__xludf.DUMMYFUNCTION("""COMPUTED_VALUE"""),1.015)</f>
        <v>1.015</v>
      </c>
      <c r="E7936" s="16">
        <f>IFERROR(__xludf.DUMMYFUNCTION("""COMPUTED_VALUE"""),65.0)</f>
        <v>65</v>
      </c>
      <c r="F7936" s="19" t="str">
        <f>IFERROR(__xludf.DUMMYFUNCTION("""COMPUTED_VALUE"""),"BLUE")</f>
        <v>BLUE</v>
      </c>
      <c r="G7936" s="20" t="str">
        <f>IFERROR(__xludf.DUMMYFUNCTION("""COMPUTED_VALUE"""),"Uncle Sams Cider (04/04/2023)")</f>
        <v>Uncle Sams Cider (04/04/2023)</v>
      </c>
      <c r="H7936" s="19"/>
    </row>
    <row r="7937">
      <c r="A7937" s="9"/>
      <c r="B7937" s="15"/>
      <c r="C7937" s="9">
        <f>IFERROR(__xludf.DUMMYFUNCTION("""COMPUTED_VALUE"""),45060.9035032754)</f>
        <v>45060.9035</v>
      </c>
      <c r="D7937" s="15">
        <f>IFERROR(__xludf.DUMMYFUNCTION("""COMPUTED_VALUE"""),1.015)</f>
        <v>1.015</v>
      </c>
      <c r="E7937" s="16">
        <f>IFERROR(__xludf.DUMMYFUNCTION("""COMPUTED_VALUE"""),65.0)</f>
        <v>65</v>
      </c>
      <c r="F7937" s="19" t="str">
        <f>IFERROR(__xludf.DUMMYFUNCTION("""COMPUTED_VALUE"""),"BLUE")</f>
        <v>BLUE</v>
      </c>
      <c r="G7937" s="20" t="str">
        <f>IFERROR(__xludf.DUMMYFUNCTION("""COMPUTED_VALUE"""),"Uncle Sams Cider (04/04/2023)")</f>
        <v>Uncle Sams Cider (04/04/2023)</v>
      </c>
      <c r="H7937" s="19"/>
    </row>
    <row r="7938">
      <c r="A7938" s="9"/>
      <c r="B7938" s="15"/>
      <c r="C7938" s="9">
        <f>IFERROR(__xludf.DUMMYFUNCTION("""COMPUTED_VALUE"""),45060.8930564583)</f>
        <v>45060.89306</v>
      </c>
      <c r="D7938" s="15">
        <f>IFERROR(__xludf.DUMMYFUNCTION("""COMPUTED_VALUE"""),1.015)</f>
        <v>1.015</v>
      </c>
      <c r="E7938" s="16">
        <f>IFERROR(__xludf.DUMMYFUNCTION("""COMPUTED_VALUE"""),65.0)</f>
        <v>65</v>
      </c>
      <c r="F7938" s="19" t="str">
        <f>IFERROR(__xludf.DUMMYFUNCTION("""COMPUTED_VALUE"""),"BLUE")</f>
        <v>BLUE</v>
      </c>
      <c r="G7938" s="20" t="str">
        <f>IFERROR(__xludf.DUMMYFUNCTION("""COMPUTED_VALUE"""),"Uncle Sams Cider (04/04/2023)")</f>
        <v>Uncle Sams Cider (04/04/2023)</v>
      </c>
      <c r="H7938" s="19"/>
    </row>
    <row r="7939">
      <c r="A7939" s="9"/>
      <c r="B7939" s="15"/>
      <c r="C7939" s="9">
        <f>IFERROR(__xludf.DUMMYFUNCTION("""COMPUTED_VALUE"""),45060.8826349305)</f>
        <v>45060.88263</v>
      </c>
      <c r="D7939" s="15">
        <f>IFERROR(__xludf.DUMMYFUNCTION("""COMPUTED_VALUE"""),1.015)</f>
        <v>1.015</v>
      </c>
      <c r="E7939" s="16">
        <f>IFERROR(__xludf.DUMMYFUNCTION("""COMPUTED_VALUE"""),65.0)</f>
        <v>65</v>
      </c>
      <c r="F7939" s="19" t="str">
        <f>IFERROR(__xludf.DUMMYFUNCTION("""COMPUTED_VALUE"""),"BLUE")</f>
        <v>BLUE</v>
      </c>
      <c r="G7939" s="20" t="str">
        <f>IFERROR(__xludf.DUMMYFUNCTION("""COMPUTED_VALUE"""),"Uncle Sams Cider (04/04/2023)")</f>
        <v>Uncle Sams Cider (04/04/2023)</v>
      </c>
      <c r="H7939" s="19"/>
    </row>
    <row r="7940">
      <c r="A7940" s="9"/>
      <c r="B7940" s="15"/>
      <c r="C7940" s="9">
        <f>IFERROR(__xludf.DUMMYFUNCTION("""COMPUTED_VALUE"""),45060.8722148958)</f>
        <v>45060.87221</v>
      </c>
      <c r="D7940" s="15">
        <f>IFERROR(__xludf.DUMMYFUNCTION("""COMPUTED_VALUE"""),1.015)</f>
        <v>1.015</v>
      </c>
      <c r="E7940" s="16">
        <f>IFERROR(__xludf.DUMMYFUNCTION("""COMPUTED_VALUE"""),65.0)</f>
        <v>65</v>
      </c>
      <c r="F7940" s="19" t="str">
        <f>IFERROR(__xludf.DUMMYFUNCTION("""COMPUTED_VALUE"""),"BLUE")</f>
        <v>BLUE</v>
      </c>
      <c r="G7940" s="20" t="str">
        <f>IFERROR(__xludf.DUMMYFUNCTION("""COMPUTED_VALUE"""),"Uncle Sams Cider (04/04/2023)")</f>
        <v>Uncle Sams Cider (04/04/2023)</v>
      </c>
      <c r="H7940" s="19"/>
    </row>
    <row r="7941">
      <c r="A7941" s="9"/>
      <c r="B7941" s="15"/>
      <c r="C7941" s="9">
        <f>IFERROR(__xludf.DUMMYFUNCTION("""COMPUTED_VALUE"""),45060.8617932407)</f>
        <v>45060.86179</v>
      </c>
      <c r="D7941" s="15">
        <f>IFERROR(__xludf.DUMMYFUNCTION("""COMPUTED_VALUE"""),1.015)</f>
        <v>1.015</v>
      </c>
      <c r="E7941" s="16">
        <f>IFERROR(__xludf.DUMMYFUNCTION("""COMPUTED_VALUE"""),65.0)</f>
        <v>65</v>
      </c>
      <c r="F7941" s="19" t="str">
        <f>IFERROR(__xludf.DUMMYFUNCTION("""COMPUTED_VALUE"""),"BLUE")</f>
        <v>BLUE</v>
      </c>
      <c r="G7941" s="20" t="str">
        <f>IFERROR(__xludf.DUMMYFUNCTION("""COMPUTED_VALUE"""),"Uncle Sams Cider (04/04/2023)")</f>
        <v>Uncle Sams Cider (04/04/2023)</v>
      </c>
      <c r="H7941" s="19"/>
    </row>
    <row r="7942">
      <c r="A7942" s="9"/>
      <c r="B7942" s="15"/>
      <c r="C7942" s="9">
        <f>IFERROR(__xludf.DUMMYFUNCTION("""COMPUTED_VALUE"""),45060.8513613426)</f>
        <v>45060.85136</v>
      </c>
      <c r="D7942" s="15">
        <f>IFERROR(__xludf.DUMMYFUNCTION("""COMPUTED_VALUE"""),1.015)</f>
        <v>1.015</v>
      </c>
      <c r="E7942" s="16">
        <f>IFERROR(__xludf.DUMMYFUNCTION("""COMPUTED_VALUE"""),65.0)</f>
        <v>65</v>
      </c>
      <c r="F7942" s="19" t="str">
        <f>IFERROR(__xludf.DUMMYFUNCTION("""COMPUTED_VALUE"""),"BLUE")</f>
        <v>BLUE</v>
      </c>
      <c r="G7942" s="20" t="str">
        <f>IFERROR(__xludf.DUMMYFUNCTION("""COMPUTED_VALUE"""),"Uncle Sams Cider (04/04/2023)")</f>
        <v>Uncle Sams Cider (04/04/2023)</v>
      </c>
      <c r="H7942" s="19"/>
    </row>
    <row r="7943">
      <c r="A7943" s="9"/>
      <c r="B7943" s="15"/>
      <c r="C7943" s="9">
        <f>IFERROR(__xludf.DUMMYFUNCTION("""COMPUTED_VALUE"""),45060.8409291782)</f>
        <v>45060.84093</v>
      </c>
      <c r="D7943" s="15">
        <f>IFERROR(__xludf.DUMMYFUNCTION("""COMPUTED_VALUE"""),1.015)</f>
        <v>1.015</v>
      </c>
      <c r="E7943" s="16">
        <f>IFERROR(__xludf.DUMMYFUNCTION("""COMPUTED_VALUE"""),65.0)</f>
        <v>65</v>
      </c>
      <c r="F7943" s="19" t="str">
        <f>IFERROR(__xludf.DUMMYFUNCTION("""COMPUTED_VALUE"""),"BLUE")</f>
        <v>BLUE</v>
      </c>
      <c r="G7943" s="20" t="str">
        <f>IFERROR(__xludf.DUMMYFUNCTION("""COMPUTED_VALUE"""),"Uncle Sams Cider (04/04/2023)")</f>
        <v>Uncle Sams Cider (04/04/2023)</v>
      </c>
      <c r="H7943" s="19"/>
    </row>
    <row r="7944">
      <c r="A7944" s="9"/>
      <c r="B7944" s="15"/>
      <c r="C7944" s="9">
        <f>IFERROR(__xludf.DUMMYFUNCTION("""COMPUTED_VALUE"""),45060.830508449)</f>
        <v>45060.83051</v>
      </c>
      <c r="D7944" s="15">
        <f>IFERROR(__xludf.DUMMYFUNCTION("""COMPUTED_VALUE"""),1.015)</f>
        <v>1.015</v>
      </c>
      <c r="E7944" s="16">
        <f>IFERROR(__xludf.DUMMYFUNCTION("""COMPUTED_VALUE"""),65.0)</f>
        <v>65</v>
      </c>
      <c r="F7944" s="19" t="str">
        <f>IFERROR(__xludf.DUMMYFUNCTION("""COMPUTED_VALUE"""),"BLUE")</f>
        <v>BLUE</v>
      </c>
      <c r="G7944" s="20" t="str">
        <f>IFERROR(__xludf.DUMMYFUNCTION("""COMPUTED_VALUE"""),"Uncle Sams Cider (04/04/2023)")</f>
        <v>Uncle Sams Cider (04/04/2023)</v>
      </c>
      <c r="H7944" s="19"/>
    </row>
    <row r="7945">
      <c r="A7945" s="9"/>
      <c r="B7945" s="15"/>
      <c r="C7945" s="9">
        <f>IFERROR(__xludf.DUMMYFUNCTION("""COMPUTED_VALUE"""),45060.8200865046)</f>
        <v>45060.82009</v>
      </c>
      <c r="D7945" s="15">
        <f>IFERROR(__xludf.DUMMYFUNCTION("""COMPUTED_VALUE"""),1.015)</f>
        <v>1.015</v>
      </c>
      <c r="E7945" s="16">
        <f>IFERROR(__xludf.DUMMYFUNCTION("""COMPUTED_VALUE"""),65.0)</f>
        <v>65</v>
      </c>
      <c r="F7945" s="19" t="str">
        <f>IFERROR(__xludf.DUMMYFUNCTION("""COMPUTED_VALUE"""),"BLUE")</f>
        <v>BLUE</v>
      </c>
      <c r="G7945" s="20" t="str">
        <f>IFERROR(__xludf.DUMMYFUNCTION("""COMPUTED_VALUE"""),"Uncle Sams Cider (04/04/2023)")</f>
        <v>Uncle Sams Cider (04/04/2023)</v>
      </c>
      <c r="H7945" s="19"/>
    </row>
    <row r="7946">
      <c r="A7946" s="9"/>
      <c r="B7946" s="15"/>
      <c r="C7946" s="9">
        <f>IFERROR(__xludf.DUMMYFUNCTION("""COMPUTED_VALUE"""),45060.8096650347)</f>
        <v>45060.80967</v>
      </c>
      <c r="D7946" s="15">
        <f>IFERROR(__xludf.DUMMYFUNCTION("""COMPUTED_VALUE"""),1.015)</f>
        <v>1.015</v>
      </c>
      <c r="E7946" s="16">
        <f>IFERROR(__xludf.DUMMYFUNCTION("""COMPUTED_VALUE"""),65.0)</f>
        <v>65</v>
      </c>
      <c r="F7946" s="19" t="str">
        <f>IFERROR(__xludf.DUMMYFUNCTION("""COMPUTED_VALUE"""),"BLUE")</f>
        <v>BLUE</v>
      </c>
      <c r="G7946" s="20" t="str">
        <f>IFERROR(__xludf.DUMMYFUNCTION("""COMPUTED_VALUE"""),"Uncle Sams Cider (04/04/2023)")</f>
        <v>Uncle Sams Cider (04/04/2023)</v>
      </c>
      <c r="H7946" s="19"/>
    </row>
    <row r="7947">
      <c r="A7947" s="9"/>
      <c r="B7947" s="15"/>
      <c r="C7947" s="9">
        <f>IFERROR(__xludf.DUMMYFUNCTION("""COMPUTED_VALUE"""),45060.7992442476)</f>
        <v>45060.79924</v>
      </c>
      <c r="D7947" s="15">
        <f>IFERROR(__xludf.DUMMYFUNCTION("""COMPUTED_VALUE"""),1.015)</f>
        <v>1.015</v>
      </c>
      <c r="E7947" s="16">
        <f>IFERROR(__xludf.DUMMYFUNCTION("""COMPUTED_VALUE"""),65.0)</f>
        <v>65</v>
      </c>
      <c r="F7947" s="19" t="str">
        <f>IFERROR(__xludf.DUMMYFUNCTION("""COMPUTED_VALUE"""),"BLUE")</f>
        <v>BLUE</v>
      </c>
      <c r="G7947" s="20" t="str">
        <f>IFERROR(__xludf.DUMMYFUNCTION("""COMPUTED_VALUE"""),"Uncle Sams Cider (04/04/2023)")</f>
        <v>Uncle Sams Cider (04/04/2023)</v>
      </c>
      <c r="H7947" s="19"/>
    </row>
    <row r="7948">
      <c r="A7948" s="9"/>
      <c r="B7948" s="15"/>
      <c r="C7948" s="9">
        <f>IFERROR(__xludf.DUMMYFUNCTION("""COMPUTED_VALUE"""),45060.7888226041)</f>
        <v>45060.78882</v>
      </c>
      <c r="D7948" s="15">
        <f>IFERROR(__xludf.DUMMYFUNCTION("""COMPUTED_VALUE"""),1.015)</f>
        <v>1.015</v>
      </c>
      <c r="E7948" s="16">
        <f>IFERROR(__xludf.DUMMYFUNCTION("""COMPUTED_VALUE"""),65.0)</f>
        <v>65</v>
      </c>
      <c r="F7948" s="19" t="str">
        <f>IFERROR(__xludf.DUMMYFUNCTION("""COMPUTED_VALUE"""),"BLUE")</f>
        <v>BLUE</v>
      </c>
      <c r="G7948" s="20" t="str">
        <f>IFERROR(__xludf.DUMMYFUNCTION("""COMPUTED_VALUE"""),"Uncle Sams Cider (04/04/2023)")</f>
        <v>Uncle Sams Cider (04/04/2023)</v>
      </c>
      <c r="H7948" s="19"/>
    </row>
    <row r="7949">
      <c r="A7949" s="9"/>
      <c r="B7949" s="15"/>
      <c r="C7949" s="9">
        <f>IFERROR(__xludf.DUMMYFUNCTION("""COMPUTED_VALUE"""),45060.7784026273)</f>
        <v>45060.7784</v>
      </c>
      <c r="D7949" s="15">
        <f>IFERROR(__xludf.DUMMYFUNCTION("""COMPUTED_VALUE"""),1.015)</f>
        <v>1.015</v>
      </c>
      <c r="E7949" s="16">
        <f>IFERROR(__xludf.DUMMYFUNCTION("""COMPUTED_VALUE"""),65.0)</f>
        <v>65</v>
      </c>
      <c r="F7949" s="19" t="str">
        <f>IFERROR(__xludf.DUMMYFUNCTION("""COMPUTED_VALUE"""),"BLUE")</f>
        <v>BLUE</v>
      </c>
      <c r="G7949" s="20" t="str">
        <f>IFERROR(__xludf.DUMMYFUNCTION("""COMPUTED_VALUE"""),"Uncle Sams Cider (04/04/2023)")</f>
        <v>Uncle Sams Cider (04/04/2023)</v>
      </c>
      <c r="H7949" s="19"/>
    </row>
    <row r="7950">
      <c r="A7950" s="9"/>
      <c r="B7950" s="15"/>
      <c r="C7950" s="9">
        <f>IFERROR(__xludf.DUMMYFUNCTION("""COMPUTED_VALUE"""),45060.7679815277)</f>
        <v>45060.76798</v>
      </c>
      <c r="D7950" s="15">
        <f>IFERROR(__xludf.DUMMYFUNCTION("""COMPUTED_VALUE"""),1.015)</f>
        <v>1.015</v>
      </c>
      <c r="E7950" s="16">
        <f>IFERROR(__xludf.DUMMYFUNCTION("""COMPUTED_VALUE"""),65.0)</f>
        <v>65</v>
      </c>
      <c r="F7950" s="19" t="str">
        <f>IFERROR(__xludf.DUMMYFUNCTION("""COMPUTED_VALUE"""),"BLUE")</f>
        <v>BLUE</v>
      </c>
      <c r="G7950" s="20" t="str">
        <f>IFERROR(__xludf.DUMMYFUNCTION("""COMPUTED_VALUE"""),"Uncle Sams Cider (04/04/2023)")</f>
        <v>Uncle Sams Cider (04/04/2023)</v>
      </c>
      <c r="H7950" s="19"/>
    </row>
    <row r="7951">
      <c r="A7951" s="9"/>
      <c r="B7951" s="15"/>
      <c r="C7951" s="9">
        <f>IFERROR(__xludf.DUMMYFUNCTION("""COMPUTED_VALUE"""),45060.7575593402)</f>
        <v>45060.75756</v>
      </c>
      <c r="D7951" s="15">
        <f>IFERROR(__xludf.DUMMYFUNCTION("""COMPUTED_VALUE"""),1.015)</f>
        <v>1.015</v>
      </c>
      <c r="E7951" s="16">
        <f>IFERROR(__xludf.DUMMYFUNCTION("""COMPUTED_VALUE"""),65.0)</f>
        <v>65</v>
      </c>
      <c r="F7951" s="19" t="str">
        <f>IFERROR(__xludf.DUMMYFUNCTION("""COMPUTED_VALUE"""),"BLUE")</f>
        <v>BLUE</v>
      </c>
      <c r="G7951" s="20" t="str">
        <f>IFERROR(__xludf.DUMMYFUNCTION("""COMPUTED_VALUE"""),"Uncle Sams Cider (04/04/2023)")</f>
        <v>Uncle Sams Cider (04/04/2023)</v>
      </c>
      <c r="H7951" s="19"/>
    </row>
    <row r="7952">
      <c r="A7952" s="9"/>
      <c r="B7952" s="15"/>
      <c r="C7952" s="9">
        <f>IFERROR(__xludf.DUMMYFUNCTION("""COMPUTED_VALUE"""),45060.7471390162)</f>
        <v>45060.74714</v>
      </c>
      <c r="D7952" s="15">
        <f>IFERROR(__xludf.DUMMYFUNCTION("""COMPUTED_VALUE"""),1.015)</f>
        <v>1.015</v>
      </c>
      <c r="E7952" s="16">
        <f>IFERROR(__xludf.DUMMYFUNCTION("""COMPUTED_VALUE"""),65.0)</f>
        <v>65</v>
      </c>
      <c r="F7952" s="19" t="str">
        <f>IFERROR(__xludf.DUMMYFUNCTION("""COMPUTED_VALUE"""),"BLUE")</f>
        <v>BLUE</v>
      </c>
      <c r="G7952" s="20" t="str">
        <f>IFERROR(__xludf.DUMMYFUNCTION("""COMPUTED_VALUE"""),"Uncle Sams Cider (04/04/2023)")</f>
        <v>Uncle Sams Cider (04/04/2023)</v>
      </c>
      <c r="H7952" s="19"/>
    </row>
    <row r="7953">
      <c r="A7953" s="9"/>
      <c r="B7953" s="15"/>
      <c r="C7953" s="9">
        <f>IFERROR(__xludf.DUMMYFUNCTION("""COMPUTED_VALUE"""),45060.7367171064)</f>
        <v>45060.73672</v>
      </c>
      <c r="D7953" s="15">
        <f>IFERROR(__xludf.DUMMYFUNCTION("""COMPUTED_VALUE"""),1.015)</f>
        <v>1.015</v>
      </c>
      <c r="E7953" s="16">
        <f>IFERROR(__xludf.DUMMYFUNCTION("""COMPUTED_VALUE"""),65.0)</f>
        <v>65</v>
      </c>
      <c r="F7953" s="19" t="str">
        <f>IFERROR(__xludf.DUMMYFUNCTION("""COMPUTED_VALUE"""),"BLUE")</f>
        <v>BLUE</v>
      </c>
      <c r="G7953" s="20" t="str">
        <f>IFERROR(__xludf.DUMMYFUNCTION("""COMPUTED_VALUE"""),"Uncle Sams Cider (04/04/2023)")</f>
        <v>Uncle Sams Cider (04/04/2023)</v>
      </c>
      <c r="H7953" s="19"/>
    </row>
    <row r="7954">
      <c r="A7954" s="9"/>
      <c r="B7954" s="15"/>
      <c r="C7954" s="9">
        <f>IFERROR(__xludf.DUMMYFUNCTION("""COMPUTED_VALUE"""),45060.7262836574)</f>
        <v>45060.72628</v>
      </c>
      <c r="D7954" s="15">
        <f>IFERROR(__xludf.DUMMYFUNCTION("""COMPUTED_VALUE"""),1.015)</f>
        <v>1.015</v>
      </c>
      <c r="E7954" s="16">
        <f>IFERROR(__xludf.DUMMYFUNCTION("""COMPUTED_VALUE"""),65.0)</f>
        <v>65</v>
      </c>
      <c r="F7954" s="19" t="str">
        <f>IFERROR(__xludf.DUMMYFUNCTION("""COMPUTED_VALUE"""),"BLUE")</f>
        <v>BLUE</v>
      </c>
      <c r="G7954" s="20" t="str">
        <f>IFERROR(__xludf.DUMMYFUNCTION("""COMPUTED_VALUE"""),"Uncle Sams Cider (04/04/2023)")</f>
        <v>Uncle Sams Cider (04/04/2023)</v>
      </c>
      <c r="H7954" s="19"/>
    </row>
    <row r="7955">
      <c r="A7955" s="9"/>
      <c r="B7955" s="15"/>
      <c r="C7955" s="9">
        <f>IFERROR(__xludf.DUMMYFUNCTION("""COMPUTED_VALUE"""),45060.7158645601)</f>
        <v>45060.71586</v>
      </c>
      <c r="D7955" s="15">
        <f>IFERROR(__xludf.DUMMYFUNCTION("""COMPUTED_VALUE"""),1.015)</f>
        <v>1.015</v>
      </c>
      <c r="E7955" s="16">
        <f>IFERROR(__xludf.DUMMYFUNCTION("""COMPUTED_VALUE"""),65.0)</f>
        <v>65</v>
      </c>
      <c r="F7955" s="19" t="str">
        <f>IFERROR(__xludf.DUMMYFUNCTION("""COMPUTED_VALUE"""),"BLUE")</f>
        <v>BLUE</v>
      </c>
      <c r="G7955" s="20" t="str">
        <f>IFERROR(__xludf.DUMMYFUNCTION("""COMPUTED_VALUE"""),"Uncle Sams Cider (04/04/2023)")</f>
        <v>Uncle Sams Cider (04/04/2023)</v>
      </c>
      <c r="H7955" s="19"/>
    </row>
    <row r="7956">
      <c r="A7956" s="9"/>
      <c r="B7956" s="15"/>
      <c r="C7956" s="9">
        <f>IFERROR(__xludf.DUMMYFUNCTION("""COMPUTED_VALUE"""),45060.7054459143)</f>
        <v>45060.70545</v>
      </c>
      <c r="D7956" s="15">
        <f>IFERROR(__xludf.DUMMYFUNCTION("""COMPUTED_VALUE"""),1.015)</f>
        <v>1.015</v>
      </c>
      <c r="E7956" s="16">
        <f>IFERROR(__xludf.DUMMYFUNCTION("""COMPUTED_VALUE"""),65.0)</f>
        <v>65</v>
      </c>
      <c r="F7956" s="19" t="str">
        <f>IFERROR(__xludf.DUMMYFUNCTION("""COMPUTED_VALUE"""),"BLUE")</f>
        <v>BLUE</v>
      </c>
      <c r="G7956" s="20" t="str">
        <f>IFERROR(__xludf.DUMMYFUNCTION("""COMPUTED_VALUE"""),"Uncle Sams Cider (04/04/2023)")</f>
        <v>Uncle Sams Cider (04/04/2023)</v>
      </c>
      <c r="H7956" s="19"/>
    </row>
    <row r="7957">
      <c r="A7957" s="9"/>
      <c r="B7957" s="15"/>
      <c r="C7957" s="9">
        <f>IFERROR(__xludf.DUMMYFUNCTION("""COMPUTED_VALUE"""),45060.6950148726)</f>
        <v>45060.69501</v>
      </c>
      <c r="D7957" s="15">
        <f>IFERROR(__xludf.DUMMYFUNCTION("""COMPUTED_VALUE"""),1.015)</f>
        <v>1.015</v>
      </c>
      <c r="E7957" s="16">
        <f>IFERROR(__xludf.DUMMYFUNCTION("""COMPUTED_VALUE"""),65.0)</f>
        <v>65</v>
      </c>
      <c r="F7957" s="19" t="str">
        <f>IFERROR(__xludf.DUMMYFUNCTION("""COMPUTED_VALUE"""),"BLUE")</f>
        <v>BLUE</v>
      </c>
      <c r="G7957" s="20" t="str">
        <f>IFERROR(__xludf.DUMMYFUNCTION("""COMPUTED_VALUE"""),"Uncle Sams Cider (04/04/2023)")</f>
        <v>Uncle Sams Cider (04/04/2023)</v>
      </c>
      <c r="H7957" s="19"/>
    </row>
    <row r="7958">
      <c r="A7958" s="9"/>
      <c r="B7958" s="15"/>
      <c r="C7958" s="9">
        <f>IFERROR(__xludf.DUMMYFUNCTION("""COMPUTED_VALUE"""),45060.6845837615)</f>
        <v>45060.68458</v>
      </c>
      <c r="D7958" s="15">
        <f>IFERROR(__xludf.DUMMYFUNCTION("""COMPUTED_VALUE"""),1.015)</f>
        <v>1.015</v>
      </c>
      <c r="E7958" s="16">
        <f>IFERROR(__xludf.DUMMYFUNCTION("""COMPUTED_VALUE"""),65.0)</f>
        <v>65</v>
      </c>
      <c r="F7958" s="19" t="str">
        <f>IFERROR(__xludf.DUMMYFUNCTION("""COMPUTED_VALUE"""),"BLUE")</f>
        <v>BLUE</v>
      </c>
      <c r="G7958" s="20" t="str">
        <f>IFERROR(__xludf.DUMMYFUNCTION("""COMPUTED_VALUE"""),"Uncle Sams Cider (04/04/2023)")</f>
        <v>Uncle Sams Cider (04/04/2023)</v>
      </c>
      <c r="H7958" s="19"/>
    </row>
    <row r="7959">
      <c r="A7959" s="9"/>
      <c r="B7959" s="15"/>
      <c r="C7959" s="9">
        <f>IFERROR(__xludf.DUMMYFUNCTION("""COMPUTED_VALUE"""),45060.6741519328)</f>
        <v>45060.67415</v>
      </c>
      <c r="D7959" s="15">
        <f>IFERROR(__xludf.DUMMYFUNCTION("""COMPUTED_VALUE"""),1.015)</f>
        <v>1.015</v>
      </c>
      <c r="E7959" s="16">
        <f>IFERROR(__xludf.DUMMYFUNCTION("""COMPUTED_VALUE"""),65.0)</f>
        <v>65</v>
      </c>
      <c r="F7959" s="19" t="str">
        <f>IFERROR(__xludf.DUMMYFUNCTION("""COMPUTED_VALUE"""),"BLUE")</f>
        <v>BLUE</v>
      </c>
      <c r="G7959" s="20" t="str">
        <f>IFERROR(__xludf.DUMMYFUNCTION("""COMPUTED_VALUE"""),"Uncle Sams Cider (04/04/2023)")</f>
        <v>Uncle Sams Cider (04/04/2023)</v>
      </c>
      <c r="H7959" s="19"/>
    </row>
    <row r="7960">
      <c r="A7960" s="9"/>
      <c r="B7960" s="15"/>
      <c r="C7960" s="9">
        <f>IFERROR(__xludf.DUMMYFUNCTION("""COMPUTED_VALUE"""),45060.6637196527)</f>
        <v>45060.66372</v>
      </c>
      <c r="D7960" s="15">
        <f>IFERROR(__xludf.DUMMYFUNCTION("""COMPUTED_VALUE"""),1.016)</f>
        <v>1.016</v>
      </c>
      <c r="E7960" s="16">
        <f>IFERROR(__xludf.DUMMYFUNCTION("""COMPUTED_VALUE"""),65.0)</f>
        <v>65</v>
      </c>
      <c r="F7960" s="19" t="str">
        <f>IFERROR(__xludf.DUMMYFUNCTION("""COMPUTED_VALUE"""),"BLUE")</f>
        <v>BLUE</v>
      </c>
      <c r="G7960" s="20" t="str">
        <f>IFERROR(__xludf.DUMMYFUNCTION("""COMPUTED_VALUE"""),"Uncle Sams Cider (04/04/2023)")</f>
        <v>Uncle Sams Cider (04/04/2023)</v>
      </c>
      <c r="H7960" s="19"/>
    </row>
    <row r="7961">
      <c r="A7961" s="9"/>
      <c r="B7961" s="15"/>
      <c r="C7961" s="9">
        <f>IFERROR(__xludf.DUMMYFUNCTION("""COMPUTED_VALUE"""),45060.6532984259)</f>
        <v>45060.6533</v>
      </c>
      <c r="D7961" s="15">
        <f>IFERROR(__xludf.DUMMYFUNCTION("""COMPUTED_VALUE"""),1.015)</f>
        <v>1.015</v>
      </c>
      <c r="E7961" s="16">
        <f>IFERROR(__xludf.DUMMYFUNCTION("""COMPUTED_VALUE"""),65.0)</f>
        <v>65</v>
      </c>
      <c r="F7961" s="19" t="str">
        <f>IFERROR(__xludf.DUMMYFUNCTION("""COMPUTED_VALUE"""),"BLUE")</f>
        <v>BLUE</v>
      </c>
      <c r="G7961" s="20" t="str">
        <f>IFERROR(__xludf.DUMMYFUNCTION("""COMPUTED_VALUE"""),"Uncle Sams Cider (04/04/2023)")</f>
        <v>Uncle Sams Cider (04/04/2023)</v>
      </c>
      <c r="H7961" s="19"/>
    </row>
    <row r="7962">
      <c r="A7962" s="9"/>
      <c r="B7962" s="15"/>
      <c r="C7962" s="9">
        <f>IFERROR(__xludf.DUMMYFUNCTION("""COMPUTED_VALUE"""),45060.6428766898)</f>
        <v>45060.64288</v>
      </c>
      <c r="D7962" s="15">
        <f>IFERROR(__xludf.DUMMYFUNCTION("""COMPUTED_VALUE"""),1.016)</f>
        <v>1.016</v>
      </c>
      <c r="E7962" s="16">
        <f>IFERROR(__xludf.DUMMYFUNCTION("""COMPUTED_VALUE"""),65.0)</f>
        <v>65</v>
      </c>
      <c r="F7962" s="19" t="str">
        <f>IFERROR(__xludf.DUMMYFUNCTION("""COMPUTED_VALUE"""),"BLUE")</f>
        <v>BLUE</v>
      </c>
      <c r="G7962" s="20" t="str">
        <f>IFERROR(__xludf.DUMMYFUNCTION("""COMPUTED_VALUE"""),"Uncle Sams Cider (04/04/2023)")</f>
        <v>Uncle Sams Cider (04/04/2023)</v>
      </c>
      <c r="H7962" s="19"/>
    </row>
    <row r="7963">
      <c r="A7963" s="9"/>
      <c r="B7963" s="15"/>
      <c r="C7963" s="9">
        <f>IFERROR(__xludf.DUMMYFUNCTION("""COMPUTED_VALUE"""),45060.6324577777)</f>
        <v>45060.63246</v>
      </c>
      <c r="D7963" s="15">
        <f>IFERROR(__xludf.DUMMYFUNCTION("""COMPUTED_VALUE"""),1.015)</f>
        <v>1.015</v>
      </c>
      <c r="E7963" s="16">
        <f>IFERROR(__xludf.DUMMYFUNCTION("""COMPUTED_VALUE"""),65.0)</f>
        <v>65</v>
      </c>
      <c r="F7963" s="19" t="str">
        <f>IFERROR(__xludf.DUMMYFUNCTION("""COMPUTED_VALUE"""),"BLUE")</f>
        <v>BLUE</v>
      </c>
      <c r="G7963" s="20" t="str">
        <f>IFERROR(__xludf.DUMMYFUNCTION("""COMPUTED_VALUE"""),"Uncle Sams Cider (04/04/2023)")</f>
        <v>Uncle Sams Cider (04/04/2023)</v>
      </c>
      <c r="H7963" s="19"/>
    </row>
    <row r="7964">
      <c r="A7964" s="9"/>
      <c r="B7964" s="15"/>
      <c r="C7964" s="9">
        <f>IFERROR(__xludf.DUMMYFUNCTION("""COMPUTED_VALUE"""),45060.6220383564)</f>
        <v>45060.62204</v>
      </c>
      <c r="D7964" s="15">
        <f>IFERROR(__xludf.DUMMYFUNCTION("""COMPUTED_VALUE"""),1.015)</f>
        <v>1.015</v>
      </c>
      <c r="E7964" s="16">
        <f>IFERROR(__xludf.DUMMYFUNCTION("""COMPUTED_VALUE"""),65.0)</f>
        <v>65</v>
      </c>
      <c r="F7964" s="19" t="str">
        <f>IFERROR(__xludf.DUMMYFUNCTION("""COMPUTED_VALUE"""),"BLUE")</f>
        <v>BLUE</v>
      </c>
      <c r="G7964" s="20" t="str">
        <f>IFERROR(__xludf.DUMMYFUNCTION("""COMPUTED_VALUE"""),"Uncle Sams Cider (04/04/2023)")</f>
        <v>Uncle Sams Cider (04/04/2023)</v>
      </c>
      <c r="H7964" s="19"/>
    </row>
    <row r="7965">
      <c r="A7965" s="9"/>
      <c r="B7965" s="15"/>
      <c r="C7965" s="9">
        <f>IFERROR(__xludf.DUMMYFUNCTION("""COMPUTED_VALUE"""),45060.6116145138)</f>
        <v>45060.61161</v>
      </c>
      <c r="D7965" s="15">
        <f>IFERROR(__xludf.DUMMYFUNCTION("""COMPUTED_VALUE"""),1.015)</f>
        <v>1.015</v>
      </c>
      <c r="E7965" s="16">
        <f>IFERROR(__xludf.DUMMYFUNCTION("""COMPUTED_VALUE"""),65.0)</f>
        <v>65</v>
      </c>
      <c r="F7965" s="19" t="str">
        <f>IFERROR(__xludf.DUMMYFUNCTION("""COMPUTED_VALUE"""),"BLUE")</f>
        <v>BLUE</v>
      </c>
      <c r="G7965" s="20" t="str">
        <f>IFERROR(__xludf.DUMMYFUNCTION("""COMPUTED_VALUE"""),"Uncle Sams Cider (04/04/2023)")</f>
        <v>Uncle Sams Cider (04/04/2023)</v>
      </c>
      <c r="H7965" s="19"/>
    </row>
    <row r="7966">
      <c r="A7966" s="9"/>
      <c r="B7966" s="15"/>
      <c r="C7966" s="9">
        <f>IFERROR(__xludf.DUMMYFUNCTION("""COMPUTED_VALUE"""),45060.601182118)</f>
        <v>45060.60118</v>
      </c>
      <c r="D7966" s="15">
        <f>IFERROR(__xludf.DUMMYFUNCTION("""COMPUTED_VALUE"""),1.015)</f>
        <v>1.015</v>
      </c>
      <c r="E7966" s="16">
        <f>IFERROR(__xludf.DUMMYFUNCTION("""COMPUTED_VALUE"""),65.0)</f>
        <v>65</v>
      </c>
      <c r="F7966" s="19" t="str">
        <f>IFERROR(__xludf.DUMMYFUNCTION("""COMPUTED_VALUE"""),"BLUE")</f>
        <v>BLUE</v>
      </c>
      <c r="G7966" s="20" t="str">
        <f>IFERROR(__xludf.DUMMYFUNCTION("""COMPUTED_VALUE"""),"Uncle Sams Cider (04/04/2023)")</f>
        <v>Uncle Sams Cider (04/04/2023)</v>
      </c>
      <c r="H7966" s="19"/>
    </row>
    <row r="7967">
      <c r="A7967" s="9"/>
      <c r="B7967" s="15"/>
      <c r="C7967" s="9">
        <f>IFERROR(__xludf.DUMMYFUNCTION("""COMPUTED_VALUE"""),45060.5907638078)</f>
        <v>45060.59076</v>
      </c>
      <c r="D7967" s="15">
        <f>IFERROR(__xludf.DUMMYFUNCTION("""COMPUTED_VALUE"""),1.016)</f>
        <v>1.016</v>
      </c>
      <c r="E7967" s="16">
        <f>IFERROR(__xludf.DUMMYFUNCTION("""COMPUTED_VALUE"""),65.0)</f>
        <v>65</v>
      </c>
      <c r="F7967" s="19" t="str">
        <f>IFERROR(__xludf.DUMMYFUNCTION("""COMPUTED_VALUE"""),"BLUE")</f>
        <v>BLUE</v>
      </c>
      <c r="G7967" s="20" t="str">
        <f>IFERROR(__xludf.DUMMYFUNCTION("""COMPUTED_VALUE"""),"Uncle Sams Cider (04/04/2023)")</f>
        <v>Uncle Sams Cider (04/04/2023)</v>
      </c>
      <c r="H7967" s="19"/>
    </row>
    <row r="7968">
      <c r="A7968" s="9"/>
      <c r="B7968" s="15"/>
      <c r="C7968" s="9">
        <f>IFERROR(__xludf.DUMMYFUNCTION("""COMPUTED_VALUE"""),45060.5803425578)</f>
        <v>45060.58034</v>
      </c>
      <c r="D7968" s="15">
        <f>IFERROR(__xludf.DUMMYFUNCTION("""COMPUTED_VALUE"""),1.016)</f>
        <v>1.016</v>
      </c>
      <c r="E7968" s="16">
        <f>IFERROR(__xludf.DUMMYFUNCTION("""COMPUTED_VALUE"""),65.0)</f>
        <v>65</v>
      </c>
      <c r="F7968" s="19" t="str">
        <f>IFERROR(__xludf.DUMMYFUNCTION("""COMPUTED_VALUE"""),"BLUE")</f>
        <v>BLUE</v>
      </c>
      <c r="G7968" s="20" t="str">
        <f>IFERROR(__xludf.DUMMYFUNCTION("""COMPUTED_VALUE"""),"Uncle Sams Cider (04/04/2023)")</f>
        <v>Uncle Sams Cider (04/04/2023)</v>
      </c>
      <c r="H7968" s="19"/>
    </row>
    <row r="7969">
      <c r="A7969" s="9"/>
      <c r="B7969" s="15"/>
      <c r="C7969" s="9">
        <f>IFERROR(__xludf.DUMMYFUNCTION("""COMPUTED_VALUE"""),45060.5594885879)</f>
        <v>45060.55949</v>
      </c>
      <c r="D7969" s="15">
        <f>IFERROR(__xludf.DUMMYFUNCTION("""COMPUTED_VALUE"""),1.016)</f>
        <v>1.016</v>
      </c>
      <c r="E7969" s="16">
        <f>IFERROR(__xludf.DUMMYFUNCTION("""COMPUTED_VALUE"""),65.0)</f>
        <v>65</v>
      </c>
      <c r="F7969" s="19" t="str">
        <f>IFERROR(__xludf.DUMMYFUNCTION("""COMPUTED_VALUE"""),"BLUE")</f>
        <v>BLUE</v>
      </c>
      <c r="G7969" s="20" t="str">
        <f>IFERROR(__xludf.DUMMYFUNCTION("""COMPUTED_VALUE"""),"Uncle Sams Cider (04/04/2023)")</f>
        <v>Uncle Sams Cider (04/04/2023)</v>
      </c>
      <c r="H7969" s="19"/>
    </row>
    <row r="7970">
      <c r="A7970" s="9"/>
      <c r="B7970" s="15"/>
      <c r="C7970" s="9">
        <f>IFERROR(__xludf.DUMMYFUNCTION("""COMPUTED_VALUE"""),45060.5490656018)</f>
        <v>45060.54907</v>
      </c>
      <c r="D7970" s="15">
        <f>IFERROR(__xludf.DUMMYFUNCTION("""COMPUTED_VALUE"""),1.016)</f>
        <v>1.016</v>
      </c>
      <c r="E7970" s="16">
        <f>IFERROR(__xludf.DUMMYFUNCTION("""COMPUTED_VALUE"""),65.0)</f>
        <v>65</v>
      </c>
      <c r="F7970" s="19" t="str">
        <f>IFERROR(__xludf.DUMMYFUNCTION("""COMPUTED_VALUE"""),"BLUE")</f>
        <v>BLUE</v>
      </c>
      <c r="G7970" s="20" t="str">
        <f>IFERROR(__xludf.DUMMYFUNCTION("""COMPUTED_VALUE"""),"Uncle Sams Cider (04/04/2023)")</f>
        <v>Uncle Sams Cider (04/04/2023)</v>
      </c>
      <c r="H7970" s="19"/>
    </row>
    <row r="7971">
      <c r="A7971" s="9"/>
      <c r="B7971" s="15"/>
      <c r="C7971" s="9">
        <f>IFERROR(__xludf.DUMMYFUNCTION("""COMPUTED_VALUE"""),45060.5386220254)</f>
        <v>45060.53862</v>
      </c>
      <c r="D7971" s="15">
        <f>IFERROR(__xludf.DUMMYFUNCTION("""COMPUTED_VALUE"""),1.016)</f>
        <v>1.016</v>
      </c>
      <c r="E7971" s="16">
        <f>IFERROR(__xludf.DUMMYFUNCTION("""COMPUTED_VALUE"""),65.0)</f>
        <v>65</v>
      </c>
      <c r="F7971" s="19" t="str">
        <f>IFERROR(__xludf.DUMMYFUNCTION("""COMPUTED_VALUE"""),"BLUE")</f>
        <v>BLUE</v>
      </c>
      <c r="G7971" s="20" t="str">
        <f>IFERROR(__xludf.DUMMYFUNCTION("""COMPUTED_VALUE"""),"Uncle Sams Cider (04/04/2023)")</f>
        <v>Uncle Sams Cider (04/04/2023)</v>
      </c>
      <c r="H7971" s="19"/>
    </row>
    <row r="7972">
      <c r="A7972" s="9"/>
      <c r="B7972" s="15"/>
      <c r="C7972" s="9">
        <f>IFERROR(__xludf.DUMMYFUNCTION("""COMPUTED_VALUE"""),45060.5281986921)</f>
        <v>45060.5282</v>
      </c>
      <c r="D7972" s="15">
        <f>IFERROR(__xludf.DUMMYFUNCTION("""COMPUTED_VALUE"""),1.016)</f>
        <v>1.016</v>
      </c>
      <c r="E7972" s="16">
        <f>IFERROR(__xludf.DUMMYFUNCTION("""COMPUTED_VALUE"""),65.0)</f>
        <v>65</v>
      </c>
      <c r="F7972" s="19" t="str">
        <f>IFERROR(__xludf.DUMMYFUNCTION("""COMPUTED_VALUE"""),"BLUE")</f>
        <v>BLUE</v>
      </c>
      <c r="G7972" s="20" t="str">
        <f>IFERROR(__xludf.DUMMYFUNCTION("""COMPUTED_VALUE"""),"Uncle Sams Cider (04/04/2023)")</f>
        <v>Uncle Sams Cider (04/04/2023)</v>
      </c>
      <c r="H7972" s="19"/>
    </row>
    <row r="7973">
      <c r="A7973" s="9"/>
      <c r="B7973" s="15"/>
      <c r="C7973" s="9">
        <f>IFERROR(__xludf.DUMMYFUNCTION("""COMPUTED_VALUE"""),45060.5177763773)</f>
        <v>45060.51778</v>
      </c>
      <c r="D7973" s="15">
        <f>IFERROR(__xludf.DUMMYFUNCTION("""COMPUTED_VALUE"""),1.016)</f>
        <v>1.016</v>
      </c>
      <c r="E7973" s="16">
        <f>IFERROR(__xludf.DUMMYFUNCTION("""COMPUTED_VALUE"""),65.0)</f>
        <v>65</v>
      </c>
      <c r="F7973" s="19" t="str">
        <f>IFERROR(__xludf.DUMMYFUNCTION("""COMPUTED_VALUE"""),"BLUE")</f>
        <v>BLUE</v>
      </c>
      <c r="G7973" s="20" t="str">
        <f>IFERROR(__xludf.DUMMYFUNCTION("""COMPUTED_VALUE"""),"Uncle Sams Cider (04/04/2023)")</f>
        <v>Uncle Sams Cider (04/04/2023)</v>
      </c>
      <c r="H7973" s="19"/>
    </row>
    <row r="7974">
      <c r="A7974" s="9"/>
      <c r="B7974" s="15"/>
      <c r="C7974" s="9">
        <f>IFERROR(__xludf.DUMMYFUNCTION("""COMPUTED_VALUE"""),45060.5073438657)</f>
        <v>45060.50734</v>
      </c>
      <c r="D7974" s="15">
        <f>IFERROR(__xludf.DUMMYFUNCTION("""COMPUTED_VALUE"""),1.016)</f>
        <v>1.016</v>
      </c>
      <c r="E7974" s="16">
        <f>IFERROR(__xludf.DUMMYFUNCTION("""COMPUTED_VALUE"""),65.0)</f>
        <v>65</v>
      </c>
      <c r="F7974" s="19" t="str">
        <f>IFERROR(__xludf.DUMMYFUNCTION("""COMPUTED_VALUE"""),"BLUE")</f>
        <v>BLUE</v>
      </c>
      <c r="G7974" s="20" t="str">
        <f>IFERROR(__xludf.DUMMYFUNCTION("""COMPUTED_VALUE"""),"Uncle Sams Cider (04/04/2023)")</f>
        <v>Uncle Sams Cider (04/04/2023)</v>
      </c>
      <c r="H7974" s="19"/>
    </row>
    <row r="7975">
      <c r="A7975" s="9"/>
      <c r="B7975" s="15"/>
      <c r="C7975" s="9">
        <f>IFERROR(__xludf.DUMMYFUNCTION("""COMPUTED_VALUE"""),45060.4969231365)</f>
        <v>45060.49692</v>
      </c>
      <c r="D7975" s="15">
        <f>IFERROR(__xludf.DUMMYFUNCTION("""COMPUTED_VALUE"""),1.016)</f>
        <v>1.016</v>
      </c>
      <c r="E7975" s="16">
        <f>IFERROR(__xludf.DUMMYFUNCTION("""COMPUTED_VALUE"""),65.0)</f>
        <v>65</v>
      </c>
      <c r="F7975" s="19" t="str">
        <f>IFERROR(__xludf.DUMMYFUNCTION("""COMPUTED_VALUE"""),"BLUE")</f>
        <v>BLUE</v>
      </c>
      <c r="G7975" s="20" t="str">
        <f>IFERROR(__xludf.DUMMYFUNCTION("""COMPUTED_VALUE"""),"Uncle Sams Cider (04/04/2023)")</f>
        <v>Uncle Sams Cider (04/04/2023)</v>
      </c>
      <c r="H7975" s="19"/>
    </row>
    <row r="7976">
      <c r="A7976" s="9"/>
      <c r="B7976" s="15"/>
      <c r="C7976" s="9">
        <f>IFERROR(__xludf.DUMMYFUNCTION("""COMPUTED_VALUE"""),45060.4865030787)</f>
        <v>45060.4865</v>
      </c>
      <c r="D7976" s="15">
        <f>IFERROR(__xludf.DUMMYFUNCTION("""COMPUTED_VALUE"""),1.016)</f>
        <v>1.016</v>
      </c>
      <c r="E7976" s="16">
        <f>IFERROR(__xludf.DUMMYFUNCTION("""COMPUTED_VALUE"""),65.0)</f>
        <v>65</v>
      </c>
      <c r="F7976" s="19" t="str">
        <f>IFERROR(__xludf.DUMMYFUNCTION("""COMPUTED_VALUE"""),"BLUE")</f>
        <v>BLUE</v>
      </c>
      <c r="G7976" s="20" t="str">
        <f>IFERROR(__xludf.DUMMYFUNCTION("""COMPUTED_VALUE"""),"Uncle Sams Cider (04/04/2023)")</f>
        <v>Uncle Sams Cider (04/04/2023)</v>
      </c>
      <c r="H7976" s="19"/>
    </row>
    <row r="7977">
      <c r="A7977" s="9"/>
      <c r="B7977" s="15"/>
      <c r="C7977" s="9">
        <f>IFERROR(__xludf.DUMMYFUNCTION("""COMPUTED_VALUE"""),45060.4760829629)</f>
        <v>45060.47608</v>
      </c>
      <c r="D7977" s="15">
        <f>IFERROR(__xludf.DUMMYFUNCTION("""COMPUTED_VALUE"""),1.016)</f>
        <v>1.016</v>
      </c>
      <c r="E7977" s="16">
        <f>IFERROR(__xludf.DUMMYFUNCTION("""COMPUTED_VALUE"""),65.0)</f>
        <v>65</v>
      </c>
      <c r="F7977" s="19" t="str">
        <f>IFERROR(__xludf.DUMMYFUNCTION("""COMPUTED_VALUE"""),"BLUE")</f>
        <v>BLUE</v>
      </c>
      <c r="G7977" s="20" t="str">
        <f>IFERROR(__xludf.DUMMYFUNCTION("""COMPUTED_VALUE"""),"Uncle Sams Cider (04/04/2023)")</f>
        <v>Uncle Sams Cider (04/04/2023)</v>
      </c>
      <c r="H7977" s="19"/>
    </row>
    <row r="7978">
      <c r="A7978" s="9"/>
      <c r="B7978" s="15"/>
      <c r="C7978" s="9">
        <f>IFERROR(__xludf.DUMMYFUNCTION("""COMPUTED_VALUE"""),45060.4656617708)</f>
        <v>45060.46566</v>
      </c>
      <c r="D7978" s="15">
        <f>IFERROR(__xludf.DUMMYFUNCTION("""COMPUTED_VALUE"""),1.016)</f>
        <v>1.016</v>
      </c>
      <c r="E7978" s="16">
        <f>IFERROR(__xludf.DUMMYFUNCTION("""COMPUTED_VALUE"""),65.0)</f>
        <v>65</v>
      </c>
      <c r="F7978" s="19" t="str">
        <f>IFERROR(__xludf.DUMMYFUNCTION("""COMPUTED_VALUE"""),"BLUE")</f>
        <v>BLUE</v>
      </c>
      <c r="G7978" s="20" t="str">
        <f>IFERROR(__xludf.DUMMYFUNCTION("""COMPUTED_VALUE"""),"Uncle Sams Cider (04/04/2023)")</f>
        <v>Uncle Sams Cider (04/04/2023)</v>
      </c>
      <c r="H7978" s="19"/>
    </row>
    <row r="7979">
      <c r="A7979" s="9"/>
      <c r="B7979" s="15"/>
      <c r="C7979" s="9">
        <f>IFERROR(__xludf.DUMMYFUNCTION("""COMPUTED_VALUE"""),45060.4552285532)</f>
        <v>45060.45523</v>
      </c>
      <c r="D7979" s="15">
        <f>IFERROR(__xludf.DUMMYFUNCTION("""COMPUTED_VALUE"""),1.016)</f>
        <v>1.016</v>
      </c>
      <c r="E7979" s="16">
        <f>IFERROR(__xludf.DUMMYFUNCTION("""COMPUTED_VALUE"""),65.0)</f>
        <v>65</v>
      </c>
      <c r="F7979" s="19" t="str">
        <f>IFERROR(__xludf.DUMMYFUNCTION("""COMPUTED_VALUE"""),"BLUE")</f>
        <v>BLUE</v>
      </c>
      <c r="G7979" s="20" t="str">
        <f>IFERROR(__xludf.DUMMYFUNCTION("""COMPUTED_VALUE"""),"Uncle Sams Cider (04/04/2023)")</f>
        <v>Uncle Sams Cider (04/04/2023)</v>
      </c>
      <c r="H7979" s="19"/>
    </row>
    <row r="7980">
      <c r="A7980" s="9"/>
      <c r="B7980" s="15"/>
      <c r="C7980" s="9">
        <f>IFERROR(__xludf.DUMMYFUNCTION("""COMPUTED_VALUE"""),45060.4448056944)</f>
        <v>45060.44481</v>
      </c>
      <c r="D7980" s="15">
        <f>IFERROR(__xludf.DUMMYFUNCTION("""COMPUTED_VALUE"""),1.016)</f>
        <v>1.016</v>
      </c>
      <c r="E7980" s="16">
        <f>IFERROR(__xludf.DUMMYFUNCTION("""COMPUTED_VALUE"""),65.0)</f>
        <v>65</v>
      </c>
      <c r="F7980" s="19" t="str">
        <f>IFERROR(__xludf.DUMMYFUNCTION("""COMPUTED_VALUE"""),"BLUE")</f>
        <v>BLUE</v>
      </c>
      <c r="G7980" s="20" t="str">
        <f>IFERROR(__xludf.DUMMYFUNCTION("""COMPUTED_VALUE"""),"Uncle Sams Cider (04/04/2023)")</f>
        <v>Uncle Sams Cider (04/04/2023)</v>
      </c>
      <c r="H7980" s="19"/>
    </row>
    <row r="7981">
      <c r="A7981" s="9"/>
      <c r="B7981" s="15"/>
      <c r="C7981" s="9">
        <f>IFERROR(__xludf.DUMMYFUNCTION("""COMPUTED_VALUE"""),45060.4343848958)</f>
        <v>45060.43438</v>
      </c>
      <c r="D7981" s="15">
        <f>IFERROR(__xludf.DUMMYFUNCTION("""COMPUTED_VALUE"""),1.016)</f>
        <v>1.016</v>
      </c>
      <c r="E7981" s="16">
        <f>IFERROR(__xludf.DUMMYFUNCTION("""COMPUTED_VALUE"""),65.0)</f>
        <v>65</v>
      </c>
      <c r="F7981" s="19" t="str">
        <f>IFERROR(__xludf.DUMMYFUNCTION("""COMPUTED_VALUE"""),"BLUE")</f>
        <v>BLUE</v>
      </c>
      <c r="G7981" s="20" t="str">
        <f>IFERROR(__xludf.DUMMYFUNCTION("""COMPUTED_VALUE"""),"Uncle Sams Cider (04/04/2023)")</f>
        <v>Uncle Sams Cider (04/04/2023)</v>
      </c>
      <c r="H7981" s="19"/>
    </row>
    <row r="7982">
      <c r="A7982" s="9"/>
      <c r="B7982" s="15"/>
      <c r="C7982" s="9">
        <f>IFERROR(__xludf.DUMMYFUNCTION("""COMPUTED_VALUE"""),45060.4239536226)</f>
        <v>45060.42395</v>
      </c>
      <c r="D7982" s="15">
        <f>IFERROR(__xludf.DUMMYFUNCTION("""COMPUTED_VALUE"""),1.015)</f>
        <v>1.015</v>
      </c>
      <c r="E7982" s="16">
        <f>IFERROR(__xludf.DUMMYFUNCTION("""COMPUTED_VALUE"""),65.0)</f>
        <v>65</v>
      </c>
      <c r="F7982" s="19" t="str">
        <f>IFERROR(__xludf.DUMMYFUNCTION("""COMPUTED_VALUE"""),"BLUE")</f>
        <v>BLUE</v>
      </c>
      <c r="G7982" s="20" t="str">
        <f>IFERROR(__xludf.DUMMYFUNCTION("""COMPUTED_VALUE"""),"Uncle Sams Cider (04/04/2023)")</f>
        <v>Uncle Sams Cider (04/04/2023)</v>
      </c>
      <c r="H7982" s="19"/>
    </row>
    <row r="7983">
      <c r="A7983" s="9"/>
      <c r="B7983" s="15"/>
      <c r="C7983" s="9">
        <f>IFERROR(__xludf.DUMMYFUNCTION("""COMPUTED_VALUE"""),45060.41353375)</f>
        <v>45060.41353</v>
      </c>
      <c r="D7983" s="15">
        <f>IFERROR(__xludf.DUMMYFUNCTION("""COMPUTED_VALUE"""),1.016)</f>
        <v>1.016</v>
      </c>
      <c r="E7983" s="16">
        <f>IFERROR(__xludf.DUMMYFUNCTION("""COMPUTED_VALUE"""),65.0)</f>
        <v>65</v>
      </c>
      <c r="F7983" s="19" t="str">
        <f>IFERROR(__xludf.DUMMYFUNCTION("""COMPUTED_VALUE"""),"BLUE")</f>
        <v>BLUE</v>
      </c>
      <c r="G7983" s="20" t="str">
        <f>IFERROR(__xludf.DUMMYFUNCTION("""COMPUTED_VALUE"""),"Uncle Sams Cider (04/04/2023)")</f>
        <v>Uncle Sams Cider (04/04/2023)</v>
      </c>
      <c r="H7983" s="19"/>
    </row>
    <row r="7984">
      <c r="A7984" s="9"/>
      <c r="B7984" s="15"/>
      <c r="C7984" s="9">
        <f>IFERROR(__xludf.DUMMYFUNCTION("""COMPUTED_VALUE"""),45060.4031135416)</f>
        <v>45060.40311</v>
      </c>
      <c r="D7984" s="15">
        <f>IFERROR(__xludf.DUMMYFUNCTION("""COMPUTED_VALUE"""),1.016)</f>
        <v>1.016</v>
      </c>
      <c r="E7984" s="16">
        <f>IFERROR(__xludf.DUMMYFUNCTION("""COMPUTED_VALUE"""),65.0)</f>
        <v>65</v>
      </c>
      <c r="F7984" s="19" t="str">
        <f>IFERROR(__xludf.DUMMYFUNCTION("""COMPUTED_VALUE"""),"BLUE")</f>
        <v>BLUE</v>
      </c>
      <c r="G7984" s="20" t="str">
        <f>IFERROR(__xludf.DUMMYFUNCTION("""COMPUTED_VALUE"""),"Uncle Sams Cider (04/04/2023)")</f>
        <v>Uncle Sams Cider (04/04/2023)</v>
      </c>
      <c r="H7984" s="19"/>
    </row>
    <row r="7985">
      <c r="A7985" s="9"/>
      <c r="B7985" s="15"/>
      <c r="C7985" s="9">
        <f>IFERROR(__xludf.DUMMYFUNCTION("""COMPUTED_VALUE"""),45060.3926924421)</f>
        <v>45060.39269</v>
      </c>
      <c r="D7985" s="15">
        <f>IFERROR(__xludf.DUMMYFUNCTION("""COMPUTED_VALUE"""),1.016)</f>
        <v>1.016</v>
      </c>
      <c r="E7985" s="16">
        <f>IFERROR(__xludf.DUMMYFUNCTION("""COMPUTED_VALUE"""),65.0)</f>
        <v>65</v>
      </c>
      <c r="F7985" s="19" t="str">
        <f>IFERROR(__xludf.DUMMYFUNCTION("""COMPUTED_VALUE"""),"BLUE")</f>
        <v>BLUE</v>
      </c>
      <c r="G7985" s="20" t="str">
        <f>IFERROR(__xludf.DUMMYFUNCTION("""COMPUTED_VALUE"""),"Uncle Sams Cider (04/04/2023)")</f>
        <v>Uncle Sams Cider (04/04/2023)</v>
      </c>
      <c r="H7985" s="19"/>
    </row>
    <row r="7986">
      <c r="A7986" s="9"/>
      <c r="B7986" s="15"/>
      <c r="C7986" s="9">
        <f>IFERROR(__xludf.DUMMYFUNCTION("""COMPUTED_VALUE"""),45060.3822701504)</f>
        <v>45060.38227</v>
      </c>
      <c r="D7986" s="15">
        <f>IFERROR(__xludf.DUMMYFUNCTION("""COMPUTED_VALUE"""),1.016)</f>
        <v>1.016</v>
      </c>
      <c r="E7986" s="16">
        <f>IFERROR(__xludf.DUMMYFUNCTION("""COMPUTED_VALUE"""),65.0)</f>
        <v>65</v>
      </c>
      <c r="F7986" s="19" t="str">
        <f>IFERROR(__xludf.DUMMYFUNCTION("""COMPUTED_VALUE"""),"BLUE")</f>
        <v>BLUE</v>
      </c>
      <c r="G7986" s="20" t="str">
        <f>IFERROR(__xludf.DUMMYFUNCTION("""COMPUTED_VALUE"""),"Uncle Sams Cider (04/04/2023)")</f>
        <v>Uncle Sams Cider (04/04/2023)</v>
      </c>
      <c r="H7986" s="19"/>
    </row>
    <row r="7987">
      <c r="A7987" s="9"/>
      <c r="B7987" s="15"/>
      <c r="C7987" s="9">
        <f>IFERROR(__xludf.DUMMYFUNCTION("""COMPUTED_VALUE"""),45060.3718507407)</f>
        <v>45060.37185</v>
      </c>
      <c r="D7987" s="15">
        <f>IFERROR(__xludf.DUMMYFUNCTION("""COMPUTED_VALUE"""),1.016)</f>
        <v>1.016</v>
      </c>
      <c r="E7987" s="16">
        <f>IFERROR(__xludf.DUMMYFUNCTION("""COMPUTED_VALUE"""),65.0)</f>
        <v>65</v>
      </c>
      <c r="F7987" s="19" t="str">
        <f>IFERROR(__xludf.DUMMYFUNCTION("""COMPUTED_VALUE"""),"BLUE")</f>
        <v>BLUE</v>
      </c>
      <c r="G7987" s="20" t="str">
        <f>IFERROR(__xludf.DUMMYFUNCTION("""COMPUTED_VALUE"""),"Uncle Sams Cider (04/04/2023)")</f>
        <v>Uncle Sams Cider (04/04/2023)</v>
      </c>
      <c r="H7987" s="19"/>
    </row>
    <row r="7988">
      <c r="A7988" s="9"/>
      <c r="B7988" s="15"/>
      <c r="C7988" s="9">
        <f>IFERROR(__xludf.DUMMYFUNCTION("""COMPUTED_VALUE"""),45060.3614156828)</f>
        <v>45060.36142</v>
      </c>
      <c r="D7988" s="15">
        <f>IFERROR(__xludf.DUMMYFUNCTION("""COMPUTED_VALUE"""),1.016)</f>
        <v>1.016</v>
      </c>
      <c r="E7988" s="16">
        <f>IFERROR(__xludf.DUMMYFUNCTION("""COMPUTED_VALUE"""),65.0)</f>
        <v>65</v>
      </c>
      <c r="F7988" s="19" t="str">
        <f>IFERROR(__xludf.DUMMYFUNCTION("""COMPUTED_VALUE"""),"BLUE")</f>
        <v>BLUE</v>
      </c>
      <c r="G7988" s="20" t="str">
        <f>IFERROR(__xludf.DUMMYFUNCTION("""COMPUTED_VALUE"""),"Uncle Sams Cider (04/04/2023)")</f>
        <v>Uncle Sams Cider (04/04/2023)</v>
      </c>
      <c r="H7988" s="19"/>
    </row>
    <row r="7989">
      <c r="A7989" s="9"/>
      <c r="B7989" s="15"/>
      <c r="C7989" s="9">
        <f>IFERROR(__xludf.DUMMYFUNCTION("""COMPUTED_VALUE"""),45060.350995625)</f>
        <v>45060.351</v>
      </c>
      <c r="D7989" s="15">
        <f>IFERROR(__xludf.DUMMYFUNCTION("""COMPUTED_VALUE"""),1.016)</f>
        <v>1.016</v>
      </c>
      <c r="E7989" s="16">
        <f>IFERROR(__xludf.DUMMYFUNCTION("""COMPUTED_VALUE"""),65.0)</f>
        <v>65</v>
      </c>
      <c r="F7989" s="19" t="str">
        <f>IFERROR(__xludf.DUMMYFUNCTION("""COMPUTED_VALUE"""),"BLUE")</f>
        <v>BLUE</v>
      </c>
      <c r="G7989" s="20" t="str">
        <f>IFERROR(__xludf.DUMMYFUNCTION("""COMPUTED_VALUE"""),"Uncle Sams Cider (04/04/2023)")</f>
        <v>Uncle Sams Cider (04/04/2023)</v>
      </c>
      <c r="H7989" s="19"/>
    </row>
    <row r="7990">
      <c r="A7990" s="9"/>
      <c r="B7990" s="15"/>
      <c r="C7990" s="9">
        <f>IFERROR(__xludf.DUMMYFUNCTION("""COMPUTED_VALUE"""),45060.3405738194)</f>
        <v>45060.34057</v>
      </c>
      <c r="D7990" s="15">
        <f>IFERROR(__xludf.DUMMYFUNCTION("""COMPUTED_VALUE"""),1.016)</f>
        <v>1.016</v>
      </c>
      <c r="E7990" s="16">
        <f>IFERROR(__xludf.DUMMYFUNCTION("""COMPUTED_VALUE"""),65.0)</f>
        <v>65</v>
      </c>
      <c r="F7990" s="19" t="str">
        <f>IFERROR(__xludf.DUMMYFUNCTION("""COMPUTED_VALUE"""),"BLUE")</f>
        <v>BLUE</v>
      </c>
      <c r="G7990" s="20" t="str">
        <f>IFERROR(__xludf.DUMMYFUNCTION("""COMPUTED_VALUE"""),"Uncle Sams Cider (04/04/2023)")</f>
        <v>Uncle Sams Cider (04/04/2023)</v>
      </c>
      <c r="H7990" s="19"/>
    </row>
    <row r="7991">
      <c r="A7991" s="9"/>
      <c r="B7991" s="15"/>
      <c r="C7991" s="9">
        <f>IFERROR(__xludf.DUMMYFUNCTION("""COMPUTED_VALUE"""),45060.3301524305)</f>
        <v>45060.33015</v>
      </c>
      <c r="D7991" s="15">
        <f>IFERROR(__xludf.DUMMYFUNCTION("""COMPUTED_VALUE"""),1.016)</f>
        <v>1.016</v>
      </c>
      <c r="E7991" s="16">
        <f>IFERROR(__xludf.DUMMYFUNCTION("""COMPUTED_VALUE"""),65.0)</f>
        <v>65</v>
      </c>
      <c r="F7991" s="19" t="str">
        <f>IFERROR(__xludf.DUMMYFUNCTION("""COMPUTED_VALUE"""),"BLUE")</f>
        <v>BLUE</v>
      </c>
      <c r="G7991" s="20" t="str">
        <f>IFERROR(__xludf.DUMMYFUNCTION("""COMPUTED_VALUE"""),"Uncle Sams Cider (04/04/2023)")</f>
        <v>Uncle Sams Cider (04/04/2023)</v>
      </c>
      <c r="H7991" s="19"/>
    </row>
    <row r="7992">
      <c r="A7992" s="9"/>
      <c r="B7992" s="15"/>
      <c r="C7992" s="9">
        <f>IFERROR(__xludf.DUMMYFUNCTION("""COMPUTED_VALUE"""),45060.3197311689)</f>
        <v>45060.31973</v>
      </c>
      <c r="D7992" s="15">
        <f>IFERROR(__xludf.DUMMYFUNCTION("""COMPUTED_VALUE"""),1.015)</f>
        <v>1.015</v>
      </c>
      <c r="E7992" s="16">
        <f>IFERROR(__xludf.DUMMYFUNCTION("""COMPUTED_VALUE"""),65.0)</f>
        <v>65</v>
      </c>
      <c r="F7992" s="19" t="str">
        <f>IFERROR(__xludf.DUMMYFUNCTION("""COMPUTED_VALUE"""),"BLUE")</f>
        <v>BLUE</v>
      </c>
      <c r="G7992" s="20" t="str">
        <f>IFERROR(__xludf.DUMMYFUNCTION("""COMPUTED_VALUE"""),"Uncle Sams Cider (04/04/2023)")</f>
        <v>Uncle Sams Cider (04/04/2023)</v>
      </c>
      <c r="H7992" s="19"/>
    </row>
    <row r="7993">
      <c r="A7993" s="9"/>
      <c r="B7993" s="15"/>
      <c r="C7993" s="9">
        <f>IFERROR(__xludf.DUMMYFUNCTION("""COMPUTED_VALUE"""),45060.3093089699)</f>
        <v>45060.30931</v>
      </c>
      <c r="D7993" s="15">
        <f>IFERROR(__xludf.DUMMYFUNCTION("""COMPUTED_VALUE"""),1.016)</f>
        <v>1.016</v>
      </c>
      <c r="E7993" s="16">
        <f>IFERROR(__xludf.DUMMYFUNCTION("""COMPUTED_VALUE"""),65.0)</f>
        <v>65</v>
      </c>
      <c r="F7993" s="19" t="str">
        <f>IFERROR(__xludf.DUMMYFUNCTION("""COMPUTED_VALUE"""),"BLUE")</f>
        <v>BLUE</v>
      </c>
      <c r="G7993" s="20" t="str">
        <f>IFERROR(__xludf.DUMMYFUNCTION("""COMPUTED_VALUE"""),"Uncle Sams Cider (04/04/2023)")</f>
        <v>Uncle Sams Cider (04/04/2023)</v>
      </c>
      <c r="H7993" s="19"/>
    </row>
    <row r="7994">
      <c r="A7994" s="9"/>
      <c r="B7994" s="15"/>
      <c r="C7994" s="9">
        <f>IFERROR(__xludf.DUMMYFUNCTION("""COMPUTED_VALUE"""),45060.2988873148)</f>
        <v>45060.29889</v>
      </c>
      <c r="D7994" s="15">
        <f>IFERROR(__xludf.DUMMYFUNCTION("""COMPUTED_VALUE"""),1.016)</f>
        <v>1.016</v>
      </c>
      <c r="E7994" s="16">
        <f>IFERROR(__xludf.DUMMYFUNCTION("""COMPUTED_VALUE"""),65.0)</f>
        <v>65</v>
      </c>
      <c r="F7994" s="19" t="str">
        <f>IFERROR(__xludf.DUMMYFUNCTION("""COMPUTED_VALUE"""),"BLUE")</f>
        <v>BLUE</v>
      </c>
      <c r="G7994" s="20" t="str">
        <f>IFERROR(__xludf.DUMMYFUNCTION("""COMPUTED_VALUE"""),"Uncle Sams Cider (04/04/2023)")</f>
        <v>Uncle Sams Cider (04/04/2023)</v>
      </c>
      <c r="H7994" s="19"/>
    </row>
    <row r="7995">
      <c r="A7995" s="9"/>
      <c r="B7995" s="15"/>
      <c r="C7995" s="9">
        <f>IFERROR(__xludf.DUMMYFUNCTION("""COMPUTED_VALUE"""),45060.2884645949)</f>
        <v>45060.28846</v>
      </c>
      <c r="D7995" s="15">
        <f>IFERROR(__xludf.DUMMYFUNCTION("""COMPUTED_VALUE"""),1.016)</f>
        <v>1.016</v>
      </c>
      <c r="E7995" s="16">
        <f>IFERROR(__xludf.DUMMYFUNCTION("""COMPUTED_VALUE"""),65.0)</f>
        <v>65</v>
      </c>
      <c r="F7995" s="19" t="str">
        <f>IFERROR(__xludf.DUMMYFUNCTION("""COMPUTED_VALUE"""),"BLUE")</f>
        <v>BLUE</v>
      </c>
      <c r="G7995" s="20" t="str">
        <f>IFERROR(__xludf.DUMMYFUNCTION("""COMPUTED_VALUE"""),"Uncle Sams Cider (04/04/2023)")</f>
        <v>Uncle Sams Cider (04/04/2023)</v>
      </c>
      <c r="H7995" s="19"/>
    </row>
    <row r="7996">
      <c r="A7996" s="9"/>
      <c r="B7996" s="15"/>
      <c r="C7996" s="9">
        <f>IFERROR(__xludf.DUMMYFUNCTION("""COMPUTED_VALUE"""),45060.27804353)</f>
        <v>45060.27804</v>
      </c>
      <c r="D7996" s="15">
        <f>IFERROR(__xludf.DUMMYFUNCTION("""COMPUTED_VALUE"""),1.016)</f>
        <v>1.016</v>
      </c>
      <c r="E7996" s="16">
        <f>IFERROR(__xludf.DUMMYFUNCTION("""COMPUTED_VALUE"""),65.0)</f>
        <v>65</v>
      </c>
      <c r="F7996" s="19" t="str">
        <f>IFERROR(__xludf.DUMMYFUNCTION("""COMPUTED_VALUE"""),"BLUE")</f>
        <v>BLUE</v>
      </c>
      <c r="G7996" s="20" t="str">
        <f>IFERROR(__xludf.DUMMYFUNCTION("""COMPUTED_VALUE"""),"Uncle Sams Cider (04/04/2023)")</f>
        <v>Uncle Sams Cider (04/04/2023)</v>
      </c>
      <c r="H7996" s="19"/>
    </row>
    <row r="7997">
      <c r="A7997" s="9"/>
      <c r="B7997" s="15"/>
      <c r="C7997" s="9">
        <f>IFERROR(__xludf.DUMMYFUNCTION("""COMPUTED_VALUE"""),45060.2676221527)</f>
        <v>45060.26762</v>
      </c>
      <c r="D7997" s="15">
        <f>IFERROR(__xludf.DUMMYFUNCTION("""COMPUTED_VALUE"""),1.016)</f>
        <v>1.016</v>
      </c>
      <c r="E7997" s="16">
        <f>IFERROR(__xludf.DUMMYFUNCTION("""COMPUTED_VALUE"""),65.0)</f>
        <v>65</v>
      </c>
      <c r="F7997" s="19" t="str">
        <f>IFERROR(__xludf.DUMMYFUNCTION("""COMPUTED_VALUE"""),"BLUE")</f>
        <v>BLUE</v>
      </c>
      <c r="G7997" s="20" t="str">
        <f>IFERROR(__xludf.DUMMYFUNCTION("""COMPUTED_VALUE"""),"Uncle Sams Cider (04/04/2023)")</f>
        <v>Uncle Sams Cider (04/04/2023)</v>
      </c>
      <c r="H7997" s="19"/>
    </row>
    <row r="7998">
      <c r="A7998" s="9"/>
      <c r="B7998" s="15"/>
      <c r="C7998" s="9">
        <f>IFERROR(__xludf.DUMMYFUNCTION("""COMPUTED_VALUE"""),45060.2572017476)</f>
        <v>45060.2572</v>
      </c>
      <c r="D7998" s="15">
        <f>IFERROR(__xludf.DUMMYFUNCTION("""COMPUTED_VALUE"""),1.016)</f>
        <v>1.016</v>
      </c>
      <c r="E7998" s="16">
        <f>IFERROR(__xludf.DUMMYFUNCTION("""COMPUTED_VALUE"""),65.0)</f>
        <v>65</v>
      </c>
      <c r="F7998" s="19" t="str">
        <f>IFERROR(__xludf.DUMMYFUNCTION("""COMPUTED_VALUE"""),"BLUE")</f>
        <v>BLUE</v>
      </c>
      <c r="G7998" s="20" t="str">
        <f>IFERROR(__xludf.DUMMYFUNCTION("""COMPUTED_VALUE"""),"Uncle Sams Cider (04/04/2023)")</f>
        <v>Uncle Sams Cider (04/04/2023)</v>
      </c>
      <c r="H7998" s="19"/>
    </row>
    <row r="7999">
      <c r="A7999" s="9"/>
      <c r="B7999" s="15"/>
      <c r="C7999" s="9">
        <f>IFERROR(__xludf.DUMMYFUNCTION("""COMPUTED_VALUE"""),45060.2467816087)</f>
        <v>45060.24678</v>
      </c>
      <c r="D7999" s="15">
        <f>IFERROR(__xludf.DUMMYFUNCTION("""COMPUTED_VALUE"""),1.016)</f>
        <v>1.016</v>
      </c>
      <c r="E7999" s="16">
        <f>IFERROR(__xludf.DUMMYFUNCTION("""COMPUTED_VALUE"""),65.0)</f>
        <v>65</v>
      </c>
      <c r="F7999" s="19" t="str">
        <f>IFERROR(__xludf.DUMMYFUNCTION("""COMPUTED_VALUE"""),"BLUE")</f>
        <v>BLUE</v>
      </c>
      <c r="G7999" s="20" t="str">
        <f>IFERROR(__xludf.DUMMYFUNCTION("""COMPUTED_VALUE"""),"Uncle Sams Cider (04/04/2023)")</f>
        <v>Uncle Sams Cider (04/04/2023)</v>
      </c>
      <c r="H7999" s="19"/>
    </row>
    <row r="8000">
      <c r="A8000" s="9"/>
      <c r="B8000" s="15"/>
      <c r="C8000" s="9">
        <f>IFERROR(__xludf.DUMMYFUNCTION("""COMPUTED_VALUE"""),45060.2363607407)</f>
        <v>45060.23636</v>
      </c>
      <c r="D8000" s="15">
        <f>IFERROR(__xludf.DUMMYFUNCTION("""COMPUTED_VALUE"""),1.016)</f>
        <v>1.016</v>
      </c>
      <c r="E8000" s="16">
        <f>IFERROR(__xludf.DUMMYFUNCTION("""COMPUTED_VALUE"""),65.0)</f>
        <v>65</v>
      </c>
      <c r="F8000" s="19" t="str">
        <f>IFERROR(__xludf.DUMMYFUNCTION("""COMPUTED_VALUE"""),"BLUE")</f>
        <v>BLUE</v>
      </c>
      <c r="G8000" s="20" t="str">
        <f>IFERROR(__xludf.DUMMYFUNCTION("""COMPUTED_VALUE"""),"Uncle Sams Cider (04/04/2023)")</f>
        <v>Uncle Sams Cider (04/04/2023)</v>
      </c>
      <c r="H8000" s="19"/>
    </row>
    <row r="8001">
      <c r="A8001" s="9"/>
      <c r="B8001" s="15"/>
      <c r="C8001" s="9">
        <f>IFERROR(__xludf.DUMMYFUNCTION("""COMPUTED_VALUE"""),45060.2259183796)</f>
        <v>45060.22592</v>
      </c>
      <c r="D8001" s="15">
        <f>IFERROR(__xludf.DUMMYFUNCTION("""COMPUTED_VALUE"""),1.016)</f>
        <v>1.016</v>
      </c>
      <c r="E8001" s="16">
        <f>IFERROR(__xludf.DUMMYFUNCTION("""COMPUTED_VALUE"""),65.0)</f>
        <v>65</v>
      </c>
      <c r="F8001" s="19" t="str">
        <f>IFERROR(__xludf.DUMMYFUNCTION("""COMPUTED_VALUE"""),"BLUE")</f>
        <v>BLUE</v>
      </c>
      <c r="G8001" s="20" t="str">
        <f>IFERROR(__xludf.DUMMYFUNCTION("""COMPUTED_VALUE"""),"Uncle Sams Cider (04/04/2023)")</f>
        <v>Uncle Sams Cider (04/04/2023)</v>
      </c>
      <c r="H8001" s="19"/>
    </row>
    <row r="8002">
      <c r="A8002" s="9"/>
      <c r="B8002" s="15"/>
      <c r="C8002" s="9">
        <f>IFERROR(__xludf.DUMMYFUNCTION("""COMPUTED_VALUE"""),45060.2154966782)</f>
        <v>45060.2155</v>
      </c>
      <c r="D8002" s="15">
        <f>IFERROR(__xludf.DUMMYFUNCTION("""COMPUTED_VALUE"""),1.016)</f>
        <v>1.016</v>
      </c>
      <c r="E8002" s="16">
        <f>IFERROR(__xludf.DUMMYFUNCTION("""COMPUTED_VALUE"""),65.0)</f>
        <v>65</v>
      </c>
      <c r="F8002" s="19" t="str">
        <f>IFERROR(__xludf.DUMMYFUNCTION("""COMPUTED_VALUE"""),"BLUE")</f>
        <v>BLUE</v>
      </c>
      <c r="G8002" s="20" t="str">
        <f>IFERROR(__xludf.DUMMYFUNCTION("""COMPUTED_VALUE"""),"Uncle Sams Cider (04/04/2023)")</f>
        <v>Uncle Sams Cider (04/04/2023)</v>
      </c>
      <c r="H8002" s="19"/>
    </row>
    <row r="8003">
      <c r="A8003" s="9"/>
      <c r="B8003" s="15"/>
      <c r="C8003" s="9">
        <f>IFERROR(__xludf.DUMMYFUNCTION("""COMPUTED_VALUE"""),45060.20507625)</f>
        <v>45060.20508</v>
      </c>
      <c r="D8003" s="15">
        <f>IFERROR(__xludf.DUMMYFUNCTION("""COMPUTED_VALUE"""),1.016)</f>
        <v>1.016</v>
      </c>
      <c r="E8003" s="16">
        <f>IFERROR(__xludf.DUMMYFUNCTION("""COMPUTED_VALUE"""),65.0)</f>
        <v>65</v>
      </c>
      <c r="F8003" s="19" t="str">
        <f>IFERROR(__xludf.DUMMYFUNCTION("""COMPUTED_VALUE"""),"BLUE")</f>
        <v>BLUE</v>
      </c>
      <c r="G8003" s="20" t="str">
        <f>IFERROR(__xludf.DUMMYFUNCTION("""COMPUTED_VALUE"""),"Uncle Sams Cider (04/04/2023)")</f>
        <v>Uncle Sams Cider (04/04/2023)</v>
      </c>
      <c r="H8003" s="19"/>
    </row>
    <row r="8004">
      <c r="A8004" s="9"/>
      <c r="B8004" s="15"/>
      <c r="C8004" s="9">
        <f>IFERROR(__xludf.DUMMYFUNCTION("""COMPUTED_VALUE"""),45060.1946560879)</f>
        <v>45060.19466</v>
      </c>
      <c r="D8004" s="15">
        <f>IFERROR(__xludf.DUMMYFUNCTION("""COMPUTED_VALUE"""),1.016)</f>
        <v>1.016</v>
      </c>
      <c r="E8004" s="16">
        <f>IFERROR(__xludf.DUMMYFUNCTION("""COMPUTED_VALUE"""),65.0)</f>
        <v>65</v>
      </c>
      <c r="F8004" s="19" t="str">
        <f>IFERROR(__xludf.DUMMYFUNCTION("""COMPUTED_VALUE"""),"BLUE")</f>
        <v>BLUE</v>
      </c>
      <c r="G8004" s="20" t="str">
        <f>IFERROR(__xludf.DUMMYFUNCTION("""COMPUTED_VALUE"""),"Uncle Sams Cider (04/04/2023)")</f>
        <v>Uncle Sams Cider (04/04/2023)</v>
      </c>
      <c r="H8004" s="19"/>
    </row>
    <row r="8005">
      <c r="A8005" s="9"/>
      <c r="B8005" s="15"/>
      <c r="C8005" s="9">
        <f>IFERROR(__xludf.DUMMYFUNCTION("""COMPUTED_VALUE"""),45060.1842250925)</f>
        <v>45060.18423</v>
      </c>
      <c r="D8005" s="15">
        <f>IFERROR(__xludf.DUMMYFUNCTION("""COMPUTED_VALUE"""),1.016)</f>
        <v>1.016</v>
      </c>
      <c r="E8005" s="16">
        <f>IFERROR(__xludf.DUMMYFUNCTION("""COMPUTED_VALUE"""),65.0)</f>
        <v>65</v>
      </c>
      <c r="F8005" s="19" t="str">
        <f>IFERROR(__xludf.DUMMYFUNCTION("""COMPUTED_VALUE"""),"BLUE")</f>
        <v>BLUE</v>
      </c>
      <c r="G8005" s="20" t="str">
        <f>IFERROR(__xludf.DUMMYFUNCTION("""COMPUTED_VALUE"""),"Uncle Sams Cider (04/04/2023)")</f>
        <v>Uncle Sams Cider (04/04/2023)</v>
      </c>
      <c r="H8005" s="19"/>
    </row>
    <row r="8006">
      <c r="A8006" s="9"/>
      <c r="B8006" s="15"/>
      <c r="C8006" s="9">
        <f>IFERROR(__xludf.DUMMYFUNCTION("""COMPUTED_VALUE"""),45060.173803831)</f>
        <v>45060.1738</v>
      </c>
      <c r="D8006" s="15">
        <f>IFERROR(__xludf.DUMMYFUNCTION("""COMPUTED_VALUE"""),1.016)</f>
        <v>1.016</v>
      </c>
      <c r="E8006" s="16">
        <f>IFERROR(__xludf.DUMMYFUNCTION("""COMPUTED_VALUE"""),65.0)</f>
        <v>65</v>
      </c>
      <c r="F8006" s="19" t="str">
        <f>IFERROR(__xludf.DUMMYFUNCTION("""COMPUTED_VALUE"""),"BLUE")</f>
        <v>BLUE</v>
      </c>
      <c r="G8006" s="20" t="str">
        <f>IFERROR(__xludf.DUMMYFUNCTION("""COMPUTED_VALUE"""),"Uncle Sams Cider (04/04/2023)")</f>
        <v>Uncle Sams Cider (04/04/2023)</v>
      </c>
      <c r="H8006" s="19"/>
    </row>
    <row r="8007">
      <c r="A8007" s="9"/>
      <c r="B8007" s="15"/>
      <c r="C8007" s="9">
        <f>IFERROR(__xludf.DUMMYFUNCTION("""COMPUTED_VALUE"""),45060.1633594675)</f>
        <v>45060.16336</v>
      </c>
      <c r="D8007" s="15">
        <f>IFERROR(__xludf.DUMMYFUNCTION("""COMPUTED_VALUE"""),1.016)</f>
        <v>1.016</v>
      </c>
      <c r="E8007" s="16">
        <f>IFERROR(__xludf.DUMMYFUNCTION("""COMPUTED_VALUE"""),65.0)</f>
        <v>65</v>
      </c>
      <c r="F8007" s="19" t="str">
        <f>IFERROR(__xludf.DUMMYFUNCTION("""COMPUTED_VALUE"""),"BLUE")</f>
        <v>BLUE</v>
      </c>
      <c r="G8007" s="20" t="str">
        <f>IFERROR(__xludf.DUMMYFUNCTION("""COMPUTED_VALUE"""),"Uncle Sams Cider (04/04/2023)")</f>
        <v>Uncle Sams Cider (04/04/2023)</v>
      </c>
      <c r="H8007" s="19"/>
    </row>
    <row r="8008">
      <c r="A8008" s="9"/>
      <c r="B8008" s="15"/>
      <c r="C8008" s="9">
        <f>IFERROR(__xludf.DUMMYFUNCTION("""COMPUTED_VALUE"""),45060.152937581)</f>
        <v>45060.15294</v>
      </c>
      <c r="D8008" s="15">
        <f>IFERROR(__xludf.DUMMYFUNCTION("""COMPUTED_VALUE"""),1.016)</f>
        <v>1.016</v>
      </c>
      <c r="E8008" s="16">
        <f>IFERROR(__xludf.DUMMYFUNCTION("""COMPUTED_VALUE"""),65.0)</f>
        <v>65</v>
      </c>
      <c r="F8008" s="19" t="str">
        <f>IFERROR(__xludf.DUMMYFUNCTION("""COMPUTED_VALUE"""),"BLUE")</f>
        <v>BLUE</v>
      </c>
      <c r="G8008" s="20" t="str">
        <f>IFERROR(__xludf.DUMMYFUNCTION("""COMPUTED_VALUE"""),"Uncle Sams Cider (04/04/2023)")</f>
        <v>Uncle Sams Cider (04/04/2023)</v>
      </c>
      <c r="H8008" s="19"/>
    </row>
    <row r="8009">
      <c r="A8009" s="9"/>
      <c r="B8009" s="15"/>
      <c r="C8009" s="9">
        <f>IFERROR(__xludf.DUMMYFUNCTION("""COMPUTED_VALUE"""),45060.1425152199)</f>
        <v>45060.14252</v>
      </c>
      <c r="D8009" s="15">
        <f>IFERROR(__xludf.DUMMYFUNCTION("""COMPUTED_VALUE"""),1.016)</f>
        <v>1.016</v>
      </c>
      <c r="E8009" s="16">
        <f>IFERROR(__xludf.DUMMYFUNCTION("""COMPUTED_VALUE"""),65.0)</f>
        <v>65</v>
      </c>
      <c r="F8009" s="19" t="str">
        <f>IFERROR(__xludf.DUMMYFUNCTION("""COMPUTED_VALUE"""),"BLUE")</f>
        <v>BLUE</v>
      </c>
      <c r="G8009" s="20" t="str">
        <f>IFERROR(__xludf.DUMMYFUNCTION("""COMPUTED_VALUE"""),"Uncle Sams Cider (04/04/2023)")</f>
        <v>Uncle Sams Cider (04/04/2023)</v>
      </c>
      <c r="H8009" s="19"/>
    </row>
    <row r="8010">
      <c r="A8010" s="9"/>
      <c r="B8010" s="15"/>
      <c r="C8010" s="9">
        <f>IFERROR(__xludf.DUMMYFUNCTION("""COMPUTED_VALUE"""),45060.1320948264)</f>
        <v>45060.13209</v>
      </c>
      <c r="D8010" s="15">
        <f>IFERROR(__xludf.DUMMYFUNCTION("""COMPUTED_VALUE"""),1.016)</f>
        <v>1.016</v>
      </c>
      <c r="E8010" s="16">
        <f>IFERROR(__xludf.DUMMYFUNCTION("""COMPUTED_VALUE"""),65.0)</f>
        <v>65</v>
      </c>
      <c r="F8010" s="19" t="str">
        <f>IFERROR(__xludf.DUMMYFUNCTION("""COMPUTED_VALUE"""),"BLUE")</f>
        <v>BLUE</v>
      </c>
      <c r="G8010" s="20" t="str">
        <f>IFERROR(__xludf.DUMMYFUNCTION("""COMPUTED_VALUE"""),"Uncle Sams Cider (04/04/2023)")</f>
        <v>Uncle Sams Cider (04/04/2023)</v>
      </c>
      <c r="H8010" s="19"/>
    </row>
    <row r="8011">
      <c r="A8011" s="9"/>
      <c r="B8011" s="15"/>
      <c r="C8011" s="9">
        <f>IFERROR(__xludf.DUMMYFUNCTION("""COMPUTED_VALUE"""),45060.1216726388)</f>
        <v>45060.12167</v>
      </c>
      <c r="D8011" s="15">
        <f>IFERROR(__xludf.DUMMYFUNCTION("""COMPUTED_VALUE"""),1.016)</f>
        <v>1.016</v>
      </c>
      <c r="E8011" s="16">
        <f>IFERROR(__xludf.DUMMYFUNCTION("""COMPUTED_VALUE"""),65.0)</f>
        <v>65</v>
      </c>
      <c r="F8011" s="19" t="str">
        <f>IFERROR(__xludf.DUMMYFUNCTION("""COMPUTED_VALUE"""),"BLUE")</f>
        <v>BLUE</v>
      </c>
      <c r="G8011" s="20" t="str">
        <f>IFERROR(__xludf.DUMMYFUNCTION("""COMPUTED_VALUE"""),"Uncle Sams Cider (04/04/2023)")</f>
        <v>Uncle Sams Cider (04/04/2023)</v>
      </c>
      <c r="H8011" s="19"/>
    </row>
    <row r="8012">
      <c r="A8012" s="9"/>
      <c r="B8012" s="15"/>
      <c r="C8012" s="9">
        <f>IFERROR(__xludf.DUMMYFUNCTION("""COMPUTED_VALUE"""),45060.1112511226)</f>
        <v>45060.11125</v>
      </c>
      <c r="D8012" s="15">
        <f>IFERROR(__xludf.DUMMYFUNCTION("""COMPUTED_VALUE"""),1.016)</f>
        <v>1.016</v>
      </c>
      <c r="E8012" s="16">
        <f>IFERROR(__xludf.DUMMYFUNCTION("""COMPUTED_VALUE"""),65.0)</f>
        <v>65</v>
      </c>
      <c r="F8012" s="19" t="str">
        <f>IFERROR(__xludf.DUMMYFUNCTION("""COMPUTED_VALUE"""),"BLUE")</f>
        <v>BLUE</v>
      </c>
      <c r="G8012" s="20" t="str">
        <f>IFERROR(__xludf.DUMMYFUNCTION("""COMPUTED_VALUE"""),"Uncle Sams Cider (04/04/2023)")</f>
        <v>Uncle Sams Cider (04/04/2023)</v>
      </c>
      <c r="H8012" s="19"/>
    </row>
    <row r="8013">
      <c r="A8013" s="9"/>
      <c r="B8013" s="15"/>
      <c r="C8013" s="9">
        <f>IFERROR(__xludf.DUMMYFUNCTION("""COMPUTED_VALUE"""),45060.1008305092)</f>
        <v>45060.10083</v>
      </c>
      <c r="D8013" s="15">
        <f>IFERROR(__xludf.DUMMYFUNCTION("""COMPUTED_VALUE"""),1.016)</f>
        <v>1.016</v>
      </c>
      <c r="E8013" s="16">
        <f>IFERROR(__xludf.DUMMYFUNCTION("""COMPUTED_VALUE"""),65.0)</f>
        <v>65</v>
      </c>
      <c r="F8013" s="19" t="str">
        <f>IFERROR(__xludf.DUMMYFUNCTION("""COMPUTED_VALUE"""),"BLUE")</f>
        <v>BLUE</v>
      </c>
      <c r="G8013" s="20" t="str">
        <f>IFERROR(__xludf.DUMMYFUNCTION("""COMPUTED_VALUE"""),"Uncle Sams Cider (04/04/2023)")</f>
        <v>Uncle Sams Cider (04/04/2023)</v>
      </c>
      <c r="H8013" s="19"/>
    </row>
    <row r="8014">
      <c r="A8014" s="9"/>
      <c r="B8014" s="15"/>
      <c r="C8014" s="9">
        <f>IFERROR(__xludf.DUMMYFUNCTION("""COMPUTED_VALUE"""),45060.0904106134)</f>
        <v>45060.09041</v>
      </c>
      <c r="D8014" s="15">
        <f>IFERROR(__xludf.DUMMYFUNCTION("""COMPUTED_VALUE"""),1.016)</f>
        <v>1.016</v>
      </c>
      <c r="E8014" s="16">
        <f>IFERROR(__xludf.DUMMYFUNCTION("""COMPUTED_VALUE"""),65.0)</f>
        <v>65</v>
      </c>
      <c r="F8014" s="19" t="str">
        <f>IFERROR(__xludf.DUMMYFUNCTION("""COMPUTED_VALUE"""),"BLUE")</f>
        <v>BLUE</v>
      </c>
      <c r="G8014" s="20" t="str">
        <f>IFERROR(__xludf.DUMMYFUNCTION("""COMPUTED_VALUE"""),"Uncle Sams Cider (04/04/2023)")</f>
        <v>Uncle Sams Cider (04/04/2023)</v>
      </c>
      <c r="H8014" s="19"/>
    </row>
    <row r="8015">
      <c r="A8015" s="9"/>
      <c r="B8015" s="15"/>
      <c r="C8015" s="9">
        <f>IFERROR(__xludf.DUMMYFUNCTION("""COMPUTED_VALUE"""),45060.0799911226)</f>
        <v>45060.07999</v>
      </c>
      <c r="D8015" s="15">
        <f>IFERROR(__xludf.DUMMYFUNCTION("""COMPUTED_VALUE"""),1.016)</f>
        <v>1.016</v>
      </c>
      <c r="E8015" s="16">
        <f>IFERROR(__xludf.DUMMYFUNCTION("""COMPUTED_VALUE"""),65.0)</f>
        <v>65</v>
      </c>
      <c r="F8015" s="19" t="str">
        <f>IFERROR(__xludf.DUMMYFUNCTION("""COMPUTED_VALUE"""),"BLUE")</f>
        <v>BLUE</v>
      </c>
      <c r="G8015" s="20" t="str">
        <f>IFERROR(__xludf.DUMMYFUNCTION("""COMPUTED_VALUE"""),"Uncle Sams Cider (04/04/2023)")</f>
        <v>Uncle Sams Cider (04/04/2023)</v>
      </c>
      <c r="H8015" s="19"/>
    </row>
    <row r="8016">
      <c r="A8016" s="9"/>
      <c r="B8016" s="15"/>
      <c r="C8016" s="9">
        <f>IFERROR(__xludf.DUMMYFUNCTION("""COMPUTED_VALUE"""),45060.0695670254)</f>
        <v>45060.06957</v>
      </c>
      <c r="D8016" s="15">
        <f>IFERROR(__xludf.DUMMYFUNCTION("""COMPUTED_VALUE"""),1.016)</f>
        <v>1.016</v>
      </c>
      <c r="E8016" s="16">
        <f>IFERROR(__xludf.DUMMYFUNCTION("""COMPUTED_VALUE"""),65.0)</f>
        <v>65</v>
      </c>
      <c r="F8016" s="19" t="str">
        <f>IFERROR(__xludf.DUMMYFUNCTION("""COMPUTED_VALUE"""),"BLUE")</f>
        <v>BLUE</v>
      </c>
      <c r="G8016" s="20" t="str">
        <f>IFERROR(__xludf.DUMMYFUNCTION("""COMPUTED_VALUE"""),"Uncle Sams Cider (04/04/2023)")</f>
        <v>Uncle Sams Cider (04/04/2023)</v>
      </c>
      <c r="H8016" s="19"/>
    </row>
    <row r="8017">
      <c r="A8017" s="9"/>
      <c r="B8017" s="15"/>
      <c r="C8017" s="9">
        <f>IFERROR(__xludf.DUMMYFUNCTION("""COMPUTED_VALUE"""),45060.0591336805)</f>
        <v>45060.05913</v>
      </c>
      <c r="D8017" s="15">
        <f>IFERROR(__xludf.DUMMYFUNCTION("""COMPUTED_VALUE"""),1.016)</f>
        <v>1.016</v>
      </c>
      <c r="E8017" s="16">
        <f>IFERROR(__xludf.DUMMYFUNCTION("""COMPUTED_VALUE"""),65.0)</f>
        <v>65</v>
      </c>
      <c r="F8017" s="19" t="str">
        <f>IFERROR(__xludf.DUMMYFUNCTION("""COMPUTED_VALUE"""),"BLUE")</f>
        <v>BLUE</v>
      </c>
      <c r="G8017" s="20" t="str">
        <f>IFERROR(__xludf.DUMMYFUNCTION("""COMPUTED_VALUE"""),"Uncle Sams Cider (04/04/2023)")</f>
        <v>Uncle Sams Cider (04/04/2023)</v>
      </c>
      <c r="H8017" s="19"/>
    </row>
    <row r="8018">
      <c r="A8018" s="9"/>
      <c r="B8018" s="15"/>
      <c r="C8018" s="9">
        <f>IFERROR(__xludf.DUMMYFUNCTION("""COMPUTED_VALUE"""),45060.0487132176)</f>
        <v>45060.04871</v>
      </c>
      <c r="D8018" s="15">
        <f>IFERROR(__xludf.DUMMYFUNCTION("""COMPUTED_VALUE"""),1.016)</f>
        <v>1.016</v>
      </c>
      <c r="E8018" s="16">
        <f>IFERROR(__xludf.DUMMYFUNCTION("""COMPUTED_VALUE"""),65.0)</f>
        <v>65</v>
      </c>
      <c r="F8018" s="19" t="str">
        <f>IFERROR(__xludf.DUMMYFUNCTION("""COMPUTED_VALUE"""),"BLUE")</f>
        <v>BLUE</v>
      </c>
      <c r="G8018" s="20" t="str">
        <f>IFERROR(__xludf.DUMMYFUNCTION("""COMPUTED_VALUE"""),"Uncle Sams Cider (04/04/2023)")</f>
        <v>Uncle Sams Cider (04/04/2023)</v>
      </c>
      <c r="H8018" s="19"/>
    </row>
    <row r="8019">
      <c r="A8019" s="9"/>
      <c r="B8019" s="15"/>
      <c r="C8019" s="9">
        <f>IFERROR(__xludf.DUMMYFUNCTION("""COMPUTED_VALUE"""),45060.038293206)</f>
        <v>45060.03829</v>
      </c>
      <c r="D8019" s="15">
        <f>IFERROR(__xludf.DUMMYFUNCTION("""COMPUTED_VALUE"""),1.016)</f>
        <v>1.016</v>
      </c>
      <c r="E8019" s="16">
        <f>IFERROR(__xludf.DUMMYFUNCTION("""COMPUTED_VALUE"""),65.0)</f>
        <v>65</v>
      </c>
      <c r="F8019" s="19" t="str">
        <f>IFERROR(__xludf.DUMMYFUNCTION("""COMPUTED_VALUE"""),"BLUE")</f>
        <v>BLUE</v>
      </c>
      <c r="G8019" s="20" t="str">
        <f>IFERROR(__xludf.DUMMYFUNCTION("""COMPUTED_VALUE"""),"Uncle Sams Cider (04/04/2023)")</f>
        <v>Uncle Sams Cider (04/04/2023)</v>
      </c>
      <c r="H8019" s="19"/>
    </row>
    <row r="8020">
      <c r="A8020" s="9"/>
      <c r="B8020" s="15"/>
      <c r="C8020" s="9">
        <f>IFERROR(__xludf.DUMMYFUNCTION("""COMPUTED_VALUE"""),45060.027872037)</f>
        <v>45060.02787</v>
      </c>
      <c r="D8020" s="15">
        <f>IFERROR(__xludf.DUMMYFUNCTION("""COMPUTED_VALUE"""),1.016)</f>
        <v>1.016</v>
      </c>
      <c r="E8020" s="16">
        <f>IFERROR(__xludf.DUMMYFUNCTION("""COMPUTED_VALUE"""),65.0)</f>
        <v>65</v>
      </c>
      <c r="F8020" s="19" t="str">
        <f>IFERROR(__xludf.DUMMYFUNCTION("""COMPUTED_VALUE"""),"BLUE")</f>
        <v>BLUE</v>
      </c>
      <c r="G8020" s="20" t="str">
        <f>IFERROR(__xludf.DUMMYFUNCTION("""COMPUTED_VALUE"""),"Uncle Sams Cider (04/04/2023)")</f>
        <v>Uncle Sams Cider (04/04/2023)</v>
      </c>
      <c r="H8020" s="19"/>
    </row>
    <row r="8021">
      <c r="A8021" s="9"/>
      <c r="B8021" s="15"/>
      <c r="C8021" s="9">
        <f>IFERROR(__xludf.DUMMYFUNCTION("""COMPUTED_VALUE"""),45060.0174515509)</f>
        <v>45060.01745</v>
      </c>
      <c r="D8021" s="15">
        <f>IFERROR(__xludf.DUMMYFUNCTION("""COMPUTED_VALUE"""),1.016)</f>
        <v>1.016</v>
      </c>
      <c r="E8021" s="16">
        <f>IFERROR(__xludf.DUMMYFUNCTION("""COMPUTED_VALUE"""),65.0)</f>
        <v>65</v>
      </c>
      <c r="F8021" s="19" t="str">
        <f>IFERROR(__xludf.DUMMYFUNCTION("""COMPUTED_VALUE"""),"BLUE")</f>
        <v>BLUE</v>
      </c>
      <c r="G8021" s="20" t="str">
        <f>IFERROR(__xludf.DUMMYFUNCTION("""COMPUTED_VALUE"""),"Uncle Sams Cider (04/04/2023)")</f>
        <v>Uncle Sams Cider (04/04/2023)</v>
      </c>
      <c r="H8021" s="19"/>
    </row>
    <row r="8022">
      <c r="A8022" s="9"/>
      <c r="B8022" s="15"/>
      <c r="C8022" s="9">
        <f>IFERROR(__xludf.DUMMYFUNCTION("""COMPUTED_VALUE"""),45060.0070304398)</f>
        <v>45060.00703</v>
      </c>
      <c r="D8022" s="15">
        <f>IFERROR(__xludf.DUMMYFUNCTION("""COMPUTED_VALUE"""),1.016)</f>
        <v>1.016</v>
      </c>
      <c r="E8022" s="16">
        <f>IFERROR(__xludf.DUMMYFUNCTION("""COMPUTED_VALUE"""),65.0)</f>
        <v>65</v>
      </c>
      <c r="F8022" s="19" t="str">
        <f>IFERROR(__xludf.DUMMYFUNCTION("""COMPUTED_VALUE"""),"BLUE")</f>
        <v>BLUE</v>
      </c>
      <c r="G8022" s="20" t="str">
        <f>IFERROR(__xludf.DUMMYFUNCTION("""COMPUTED_VALUE"""),"Uncle Sams Cider (04/04/2023)")</f>
        <v>Uncle Sams Cider (04/04/2023)</v>
      </c>
      <c r="H8022" s="19"/>
    </row>
    <row r="8023">
      <c r="A8023" s="9"/>
      <c r="B8023" s="15"/>
      <c r="C8023" s="9">
        <f>IFERROR(__xludf.DUMMYFUNCTION("""COMPUTED_VALUE"""),45059.9966112847)</f>
        <v>45059.99661</v>
      </c>
      <c r="D8023" s="15">
        <f>IFERROR(__xludf.DUMMYFUNCTION("""COMPUTED_VALUE"""),1.016)</f>
        <v>1.016</v>
      </c>
      <c r="E8023" s="16">
        <f>IFERROR(__xludf.DUMMYFUNCTION("""COMPUTED_VALUE"""),65.0)</f>
        <v>65</v>
      </c>
      <c r="F8023" s="19" t="str">
        <f>IFERROR(__xludf.DUMMYFUNCTION("""COMPUTED_VALUE"""),"BLUE")</f>
        <v>BLUE</v>
      </c>
      <c r="G8023" s="20" t="str">
        <f>IFERROR(__xludf.DUMMYFUNCTION("""COMPUTED_VALUE"""),"Uncle Sams Cider (04/04/2023)")</f>
        <v>Uncle Sams Cider (04/04/2023)</v>
      </c>
      <c r="H8023" s="19"/>
    </row>
    <row r="8024">
      <c r="A8024" s="9"/>
      <c r="B8024" s="15"/>
      <c r="C8024" s="9">
        <f>IFERROR(__xludf.DUMMYFUNCTION("""COMPUTED_VALUE"""),45059.98619125)</f>
        <v>45059.98619</v>
      </c>
      <c r="D8024" s="15">
        <f>IFERROR(__xludf.DUMMYFUNCTION("""COMPUTED_VALUE"""),1.016)</f>
        <v>1.016</v>
      </c>
      <c r="E8024" s="16">
        <f>IFERROR(__xludf.DUMMYFUNCTION("""COMPUTED_VALUE"""),65.0)</f>
        <v>65</v>
      </c>
      <c r="F8024" s="19" t="str">
        <f>IFERROR(__xludf.DUMMYFUNCTION("""COMPUTED_VALUE"""),"BLUE")</f>
        <v>BLUE</v>
      </c>
      <c r="G8024" s="20" t="str">
        <f>IFERROR(__xludf.DUMMYFUNCTION("""COMPUTED_VALUE"""),"Uncle Sams Cider (04/04/2023)")</f>
        <v>Uncle Sams Cider (04/04/2023)</v>
      </c>
      <c r="H8024" s="19"/>
    </row>
    <row r="8025">
      <c r="A8025" s="9"/>
      <c r="B8025" s="15"/>
      <c r="C8025" s="9">
        <f>IFERROR(__xludf.DUMMYFUNCTION("""COMPUTED_VALUE"""),45059.9757696064)</f>
        <v>45059.97577</v>
      </c>
      <c r="D8025" s="15">
        <f>IFERROR(__xludf.DUMMYFUNCTION("""COMPUTED_VALUE"""),1.016)</f>
        <v>1.016</v>
      </c>
      <c r="E8025" s="16">
        <f>IFERROR(__xludf.DUMMYFUNCTION("""COMPUTED_VALUE"""),65.0)</f>
        <v>65</v>
      </c>
      <c r="F8025" s="19" t="str">
        <f>IFERROR(__xludf.DUMMYFUNCTION("""COMPUTED_VALUE"""),"BLUE")</f>
        <v>BLUE</v>
      </c>
      <c r="G8025" s="20" t="str">
        <f>IFERROR(__xludf.DUMMYFUNCTION("""COMPUTED_VALUE"""),"Uncle Sams Cider (04/04/2023)")</f>
        <v>Uncle Sams Cider (04/04/2023)</v>
      </c>
      <c r="H8025" s="19"/>
    </row>
    <row r="8026">
      <c r="A8026" s="9"/>
      <c r="B8026" s="15"/>
      <c r="C8026" s="9">
        <f>IFERROR(__xludf.DUMMYFUNCTION("""COMPUTED_VALUE"""),45059.9653502662)</f>
        <v>45059.96535</v>
      </c>
      <c r="D8026" s="15">
        <f>IFERROR(__xludf.DUMMYFUNCTION("""COMPUTED_VALUE"""),1.016)</f>
        <v>1.016</v>
      </c>
      <c r="E8026" s="16">
        <f>IFERROR(__xludf.DUMMYFUNCTION("""COMPUTED_VALUE"""),65.0)</f>
        <v>65</v>
      </c>
      <c r="F8026" s="19" t="str">
        <f>IFERROR(__xludf.DUMMYFUNCTION("""COMPUTED_VALUE"""),"BLUE")</f>
        <v>BLUE</v>
      </c>
      <c r="G8026" s="20" t="str">
        <f>IFERROR(__xludf.DUMMYFUNCTION("""COMPUTED_VALUE"""),"Uncle Sams Cider (04/04/2023)")</f>
        <v>Uncle Sams Cider (04/04/2023)</v>
      </c>
      <c r="H8026" s="19"/>
    </row>
    <row r="8027">
      <c r="A8027" s="9"/>
      <c r="B8027" s="15"/>
      <c r="C8027" s="9">
        <f>IFERROR(__xludf.DUMMYFUNCTION("""COMPUTED_VALUE"""),45059.9549280671)</f>
        <v>45059.95493</v>
      </c>
      <c r="D8027" s="15">
        <f>IFERROR(__xludf.DUMMYFUNCTION("""COMPUTED_VALUE"""),1.016)</f>
        <v>1.016</v>
      </c>
      <c r="E8027" s="16">
        <f>IFERROR(__xludf.DUMMYFUNCTION("""COMPUTED_VALUE"""),65.0)</f>
        <v>65</v>
      </c>
      <c r="F8027" s="19" t="str">
        <f>IFERROR(__xludf.DUMMYFUNCTION("""COMPUTED_VALUE"""),"BLUE")</f>
        <v>BLUE</v>
      </c>
      <c r="G8027" s="20" t="str">
        <f>IFERROR(__xludf.DUMMYFUNCTION("""COMPUTED_VALUE"""),"Uncle Sams Cider (04/04/2023)")</f>
        <v>Uncle Sams Cider (04/04/2023)</v>
      </c>
      <c r="H8027" s="19"/>
    </row>
    <row r="8028">
      <c r="A8028" s="9"/>
      <c r="B8028" s="15"/>
      <c r="C8028" s="9">
        <f>IFERROR(__xludf.DUMMYFUNCTION("""COMPUTED_VALUE"""),45059.9445079398)</f>
        <v>45059.94451</v>
      </c>
      <c r="D8028" s="15">
        <f>IFERROR(__xludf.DUMMYFUNCTION("""COMPUTED_VALUE"""),1.016)</f>
        <v>1.016</v>
      </c>
      <c r="E8028" s="16">
        <f>IFERROR(__xludf.DUMMYFUNCTION("""COMPUTED_VALUE"""),65.0)</f>
        <v>65</v>
      </c>
      <c r="F8028" s="19" t="str">
        <f>IFERROR(__xludf.DUMMYFUNCTION("""COMPUTED_VALUE"""),"BLUE")</f>
        <v>BLUE</v>
      </c>
      <c r="G8028" s="20" t="str">
        <f>IFERROR(__xludf.DUMMYFUNCTION("""COMPUTED_VALUE"""),"Uncle Sams Cider (04/04/2023)")</f>
        <v>Uncle Sams Cider (04/04/2023)</v>
      </c>
      <c r="H8028" s="19"/>
    </row>
    <row r="8029">
      <c r="A8029" s="9"/>
      <c r="B8029" s="15"/>
      <c r="C8029" s="9">
        <f>IFERROR(__xludf.DUMMYFUNCTION("""COMPUTED_VALUE"""),45059.9340855092)</f>
        <v>45059.93409</v>
      </c>
      <c r="D8029" s="15">
        <f>IFERROR(__xludf.DUMMYFUNCTION("""COMPUTED_VALUE"""),1.016)</f>
        <v>1.016</v>
      </c>
      <c r="E8029" s="16">
        <f>IFERROR(__xludf.DUMMYFUNCTION("""COMPUTED_VALUE"""),65.0)</f>
        <v>65</v>
      </c>
      <c r="F8029" s="19" t="str">
        <f>IFERROR(__xludf.DUMMYFUNCTION("""COMPUTED_VALUE"""),"BLUE")</f>
        <v>BLUE</v>
      </c>
      <c r="G8029" s="20" t="str">
        <f>IFERROR(__xludf.DUMMYFUNCTION("""COMPUTED_VALUE"""),"Uncle Sams Cider (04/04/2023)")</f>
        <v>Uncle Sams Cider (04/04/2023)</v>
      </c>
      <c r="H8029" s="19"/>
    </row>
    <row r="8030">
      <c r="A8030" s="9"/>
      <c r="B8030" s="15"/>
      <c r="C8030" s="9">
        <f>IFERROR(__xludf.DUMMYFUNCTION("""COMPUTED_VALUE"""),45059.9236636111)</f>
        <v>45059.92366</v>
      </c>
      <c r="D8030" s="15">
        <f>IFERROR(__xludf.DUMMYFUNCTION("""COMPUTED_VALUE"""),1.016)</f>
        <v>1.016</v>
      </c>
      <c r="E8030" s="16">
        <f>IFERROR(__xludf.DUMMYFUNCTION("""COMPUTED_VALUE"""),65.0)</f>
        <v>65</v>
      </c>
      <c r="F8030" s="19" t="str">
        <f>IFERROR(__xludf.DUMMYFUNCTION("""COMPUTED_VALUE"""),"BLUE")</f>
        <v>BLUE</v>
      </c>
      <c r="G8030" s="20" t="str">
        <f>IFERROR(__xludf.DUMMYFUNCTION("""COMPUTED_VALUE"""),"Uncle Sams Cider (04/04/2023)")</f>
        <v>Uncle Sams Cider (04/04/2023)</v>
      </c>
      <c r="H8030" s="19"/>
    </row>
    <row r="8031">
      <c r="A8031" s="9"/>
      <c r="B8031" s="15"/>
      <c r="C8031" s="9">
        <f>IFERROR(__xludf.DUMMYFUNCTION("""COMPUTED_VALUE"""),45059.9132435648)</f>
        <v>45059.91324</v>
      </c>
      <c r="D8031" s="15">
        <f>IFERROR(__xludf.DUMMYFUNCTION("""COMPUTED_VALUE"""),1.016)</f>
        <v>1.016</v>
      </c>
      <c r="E8031" s="16">
        <f>IFERROR(__xludf.DUMMYFUNCTION("""COMPUTED_VALUE"""),65.0)</f>
        <v>65</v>
      </c>
      <c r="F8031" s="19" t="str">
        <f>IFERROR(__xludf.DUMMYFUNCTION("""COMPUTED_VALUE"""),"BLUE")</f>
        <v>BLUE</v>
      </c>
      <c r="G8031" s="20" t="str">
        <f>IFERROR(__xludf.DUMMYFUNCTION("""COMPUTED_VALUE"""),"Uncle Sams Cider (04/04/2023)")</f>
        <v>Uncle Sams Cider (04/04/2023)</v>
      </c>
      <c r="H8031" s="19"/>
    </row>
    <row r="8032">
      <c r="A8032" s="9"/>
      <c r="B8032" s="15"/>
      <c r="C8032" s="9">
        <f>IFERROR(__xludf.DUMMYFUNCTION("""COMPUTED_VALUE"""),45059.902811331)</f>
        <v>45059.90281</v>
      </c>
      <c r="D8032" s="15">
        <f>IFERROR(__xludf.DUMMYFUNCTION("""COMPUTED_VALUE"""),1.016)</f>
        <v>1.016</v>
      </c>
      <c r="E8032" s="16">
        <f>IFERROR(__xludf.DUMMYFUNCTION("""COMPUTED_VALUE"""),65.0)</f>
        <v>65</v>
      </c>
      <c r="F8032" s="19" t="str">
        <f>IFERROR(__xludf.DUMMYFUNCTION("""COMPUTED_VALUE"""),"BLUE")</f>
        <v>BLUE</v>
      </c>
      <c r="G8032" s="20" t="str">
        <f>IFERROR(__xludf.DUMMYFUNCTION("""COMPUTED_VALUE"""),"Uncle Sams Cider (04/04/2023)")</f>
        <v>Uncle Sams Cider (04/04/2023)</v>
      </c>
      <c r="H8032" s="19"/>
    </row>
    <row r="8033">
      <c r="A8033" s="9"/>
      <c r="B8033" s="15"/>
      <c r="C8033" s="9">
        <f>IFERROR(__xludf.DUMMYFUNCTION("""COMPUTED_VALUE"""),45059.892389699)</f>
        <v>45059.89239</v>
      </c>
      <c r="D8033" s="15">
        <f>IFERROR(__xludf.DUMMYFUNCTION("""COMPUTED_VALUE"""),1.016)</f>
        <v>1.016</v>
      </c>
      <c r="E8033" s="16">
        <f>IFERROR(__xludf.DUMMYFUNCTION("""COMPUTED_VALUE"""),65.0)</f>
        <v>65</v>
      </c>
      <c r="F8033" s="19" t="str">
        <f>IFERROR(__xludf.DUMMYFUNCTION("""COMPUTED_VALUE"""),"BLUE")</f>
        <v>BLUE</v>
      </c>
      <c r="G8033" s="20" t="str">
        <f>IFERROR(__xludf.DUMMYFUNCTION("""COMPUTED_VALUE"""),"Uncle Sams Cider (04/04/2023)")</f>
        <v>Uncle Sams Cider (04/04/2023)</v>
      </c>
      <c r="H8033" s="19"/>
    </row>
    <row r="8034">
      <c r="A8034" s="9"/>
      <c r="B8034" s="15"/>
      <c r="C8034" s="9">
        <f>IFERROR(__xludf.DUMMYFUNCTION("""COMPUTED_VALUE"""),45059.8819571759)</f>
        <v>45059.88196</v>
      </c>
      <c r="D8034" s="15">
        <f>IFERROR(__xludf.DUMMYFUNCTION("""COMPUTED_VALUE"""),1.016)</f>
        <v>1.016</v>
      </c>
      <c r="E8034" s="16">
        <f>IFERROR(__xludf.DUMMYFUNCTION("""COMPUTED_VALUE"""),65.0)</f>
        <v>65</v>
      </c>
      <c r="F8034" s="19" t="str">
        <f>IFERROR(__xludf.DUMMYFUNCTION("""COMPUTED_VALUE"""),"BLUE")</f>
        <v>BLUE</v>
      </c>
      <c r="G8034" s="20" t="str">
        <f>IFERROR(__xludf.DUMMYFUNCTION("""COMPUTED_VALUE"""),"Uncle Sams Cider (04/04/2023)")</f>
        <v>Uncle Sams Cider (04/04/2023)</v>
      </c>
      <c r="H8034" s="19"/>
    </row>
    <row r="8035">
      <c r="A8035" s="9"/>
      <c r="B8035" s="15"/>
      <c r="C8035" s="9">
        <f>IFERROR(__xludf.DUMMYFUNCTION("""COMPUTED_VALUE"""),45059.8715239583)</f>
        <v>45059.87152</v>
      </c>
      <c r="D8035" s="15">
        <f>IFERROR(__xludf.DUMMYFUNCTION("""COMPUTED_VALUE"""),1.016)</f>
        <v>1.016</v>
      </c>
      <c r="E8035" s="16">
        <f>IFERROR(__xludf.DUMMYFUNCTION("""COMPUTED_VALUE"""),65.0)</f>
        <v>65</v>
      </c>
      <c r="F8035" s="19" t="str">
        <f>IFERROR(__xludf.DUMMYFUNCTION("""COMPUTED_VALUE"""),"BLUE")</f>
        <v>BLUE</v>
      </c>
      <c r="G8035" s="20" t="str">
        <f>IFERROR(__xludf.DUMMYFUNCTION("""COMPUTED_VALUE"""),"Uncle Sams Cider (04/04/2023)")</f>
        <v>Uncle Sams Cider (04/04/2023)</v>
      </c>
      <c r="H8035" s="19"/>
    </row>
    <row r="8036">
      <c r="A8036" s="9"/>
      <c r="B8036" s="15"/>
      <c r="C8036" s="9">
        <f>IFERROR(__xludf.DUMMYFUNCTION("""COMPUTED_VALUE"""),45059.8611023148)</f>
        <v>45059.8611</v>
      </c>
      <c r="D8036" s="15">
        <f>IFERROR(__xludf.DUMMYFUNCTION("""COMPUTED_VALUE"""),1.016)</f>
        <v>1.016</v>
      </c>
      <c r="E8036" s="16">
        <f>IFERROR(__xludf.DUMMYFUNCTION("""COMPUTED_VALUE"""),65.0)</f>
        <v>65</v>
      </c>
      <c r="F8036" s="19" t="str">
        <f>IFERROR(__xludf.DUMMYFUNCTION("""COMPUTED_VALUE"""),"BLUE")</f>
        <v>BLUE</v>
      </c>
      <c r="G8036" s="20" t="str">
        <f>IFERROR(__xludf.DUMMYFUNCTION("""COMPUTED_VALUE"""),"Uncle Sams Cider (04/04/2023)")</f>
        <v>Uncle Sams Cider (04/04/2023)</v>
      </c>
      <c r="H8036" s="19"/>
    </row>
    <row r="8037">
      <c r="A8037" s="9"/>
      <c r="B8037" s="15"/>
      <c r="C8037" s="9">
        <f>IFERROR(__xludf.DUMMYFUNCTION("""COMPUTED_VALUE"""),45059.8506803472)</f>
        <v>45059.85068</v>
      </c>
      <c r="D8037" s="15">
        <f>IFERROR(__xludf.DUMMYFUNCTION("""COMPUTED_VALUE"""),1.016)</f>
        <v>1.016</v>
      </c>
      <c r="E8037" s="16">
        <f>IFERROR(__xludf.DUMMYFUNCTION("""COMPUTED_VALUE"""),65.0)</f>
        <v>65</v>
      </c>
      <c r="F8037" s="19" t="str">
        <f>IFERROR(__xludf.DUMMYFUNCTION("""COMPUTED_VALUE"""),"BLUE")</f>
        <v>BLUE</v>
      </c>
      <c r="G8037" s="20" t="str">
        <f>IFERROR(__xludf.DUMMYFUNCTION("""COMPUTED_VALUE"""),"Uncle Sams Cider (04/04/2023)")</f>
        <v>Uncle Sams Cider (04/04/2023)</v>
      </c>
      <c r="H8037" s="19"/>
    </row>
    <row r="8038">
      <c r="A8038" s="9"/>
      <c r="B8038" s="15"/>
      <c r="C8038" s="9">
        <f>IFERROR(__xludf.DUMMYFUNCTION("""COMPUTED_VALUE"""),45059.8402236458)</f>
        <v>45059.84022</v>
      </c>
      <c r="D8038" s="15">
        <f>IFERROR(__xludf.DUMMYFUNCTION("""COMPUTED_VALUE"""),1.016)</f>
        <v>1.016</v>
      </c>
      <c r="E8038" s="16">
        <f>IFERROR(__xludf.DUMMYFUNCTION("""COMPUTED_VALUE"""),65.0)</f>
        <v>65</v>
      </c>
      <c r="F8038" s="19" t="str">
        <f>IFERROR(__xludf.DUMMYFUNCTION("""COMPUTED_VALUE"""),"BLUE")</f>
        <v>BLUE</v>
      </c>
      <c r="G8038" s="20" t="str">
        <f>IFERROR(__xludf.DUMMYFUNCTION("""COMPUTED_VALUE"""),"Uncle Sams Cider (04/04/2023)")</f>
        <v>Uncle Sams Cider (04/04/2023)</v>
      </c>
      <c r="H8038" s="19"/>
    </row>
    <row r="8039">
      <c r="A8039" s="9"/>
      <c r="B8039" s="15"/>
      <c r="C8039" s="9">
        <f>IFERROR(__xludf.DUMMYFUNCTION("""COMPUTED_VALUE"""),45059.8298021759)</f>
        <v>45059.8298</v>
      </c>
      <c r="D8039" s="15">
        <f>IFERROR(__xludf.DUMMYFUNCTION("""COMPUTED_VALUE"""),1.016)</f>
        <v>1.016</v>
      </c>
      <c r="E8039" s="16">
        <f>IFERROR(__xludf.DUMMYFUNCTION("""COMPUTED_VALUE"""),65.0)</f>
        <v>65</v>
      </c>
      <c r="F8039" s="19" t="str">
        <f>IFERROR(__xludf.DUMMYFUNCTION("""COMPUTED_VALUE"""),"BLUE")</f>
        <v>BLUE</v>
      </c>
      <c r="G8039" s="20" t="str">
        <f>IFERROR(__xludf.DUMMYFUNCTION("""COMPUTED_VALUE"""),"Uncle Sams Cider (04/04/2023)")</f>
        <v>Uncle Sams Cider (04/04/2023)</v>
      </c>
      <c r="H8039" s="19"/>
    </row>
    <row r="8040">
      <c r="A8040" s="9"/>
      <c r="B8040" s="15"/>
      <c r="C8040" s="9">
        <f>IFERROR(__xludf.DUMMYFUNCTION("""COMPUTED_VALUE"""),45059.8193784953)</f>
        <v>45059.81938</v>
      </c>
      <c r="D8040" s="15">
        <f>IFERROR(__xludf.DUMMYFUNCTION("""COMPUTED_VALUE"""),1.016)</f>
        <v>1.016</v>
      </c>
      <c r="E8040" s="16">
        <f>IFERROR(__xludf.DUMMYFUNCTION("""COMPUTED_VALUE"""),65.0)</f>
        <v>65</v>
      </c>
      <c r="F8040" s="19" t="str">
        <f>IFERROR(__xludf.DUMMYFUNCTION("""COMPUTED_VALUE"""),"BLUE")</f>
        <v>BLUE</v>
      </c>
      <c r="G8040" s="20" t="str">
        <f>IFERROR(__xludf.DUMMYFUNCTION("""COMPUTED_VALUE"""),"Uncle Sams Cider (04/04/2023)")</f>
        <v>Uncle Sams Cider (04/04/2023)</v>
      </c>
      <c r="H8040" s="19"/>
    </row>
    <row r="8041">
      <c r="A8041" s="9"/>
      <c r="B8041" s="15"/>
      <c r="C8041" s="9">
        <f>IFERROR(__xludf.DUMMYFUNCTION("""COMPUTED_VALUE"""),45059.8089578125)</f>
        <v>45059.80896</v>
      </c>
      <c r="D8041" s="15">
        <f>IFERROR(__xludf.DUMMYFUNCTION("""COMPUTED_VALUE"""),1.016)</f>
        <v>1.016</v>
      </c>
      <c r="E8041" s="16">
        <f>IFERROR(__xludf.DUMMYFUNCTION("""COMPUTED_VALUE"""),65.0)</f>
        <v>65</v>
      </c>
      <c r="F8041" s="19" t="str">
        <f>IFERROR(__xludf.DUMMYFUNCTION("""COMPUTED_VALUE"""),"BLUE")</f>
        <v>BLUE</v>
      </c>
      <c r="G8041" s="20" t="str">
        <f>IFERROR(__xludf.DUMMYFUNCTION("""COMPUTED_VALUE"""),"Uncle Sams Cider (04/04/2023)")</f>
        <v>Uncle Sams Cider (04/04/2023)</v>
      </c>
      <c r="H8041" s="19"/>
    </row>
    <row r="8042">
      <c r="A8042" s="9"/>
      <c r="B8042" s="15"/>
      <c r="C8042" s="9">
        <f>IFERROR(__xludf.DUMMYFUNCTION("""COMPUTED_VALUE"""),45059.7985239814)</f>
        <v>45059.79852</v>
      </c>
      <c r="D8042" s="15">
        <f>IFERROR(__xludf.DUMMYFUNCTION("""COMPUTED_VALUE"""),1.016)</f>
        <v>1.016</v>
      </c>
      <c r="E8042" s="16">
        <f>IFERROR(__xludf.DUMMYFUNCTION("""COMPUTED_VALUE"""),65.0)</f>
        <v>65</v>
      </c>
      <c r="F8042" s="19" t="str">
        <f>IFERROR(__xludf.DUMMYFUNCTION("""COMPUTED_VALUE"""),"BLUE")</f>
        <v>BLUE</v>
      </c>
      <c r="G8042" s="20" t="str">
        <f>IFERROR(__xludf.DUMMYFUNCTION("""COMPUTED_VALUE"""),"Uncle Sams Cider (04/04/2023)")</f>
        <v>Uncle Sams Cider (04/04/2023)</v>
      </c>
      <c r="H8042" s="19"/>
    </row>
    <row r="8043">
      <c r="A8043" s="9"/>
      <c r="B8043" s="15"/>
      <c r="C8043" s="9">
        <f>IFERROR(__xludf.DUMMYFUNCTION("""COMPUTED_VALUE"""),45059.7881049305)</f>
        <v>45059.7881</v>
      </c>
      <c r="D8043" s="15">
        <f>IFERROR(__xludf.DUMMYFUNCTION("""COMPUTED_VALUE"""),1.016)</f>
        <v>1.016</v>
      </c>
      <c r="E8043" s="16">
        <f>IFERROR(__xludf.DUMMYFUNCTION("""COMPUTED_VALUE"""),65.0)</f>
        <v>65</v>
      </c>
      <c r="F8043" s="19" t="str">
        <f>IFERROR(__xludf.DUMMYFUNCTION("""COMPUTED_VALUE"""),"BLUE")</f>
        <v>BLUE</v>
      </c>
      <c r="G8043" s="20" t="str">
        <f>IFERROR(__xludf.DUMMYFUNCTION("""COMPUTED_VALUE"""),"Uncle Sams Cider (04/04/2023)")</f>
        <v>Uncle Sams Cider (04/04/2023)</v>
      </c>
      <c r="H8043" s="19"/>
    </row>
    <row r="8044">
      <c r="A8044" s="9"/>
      <c r="B8044" s="15"/>
      <c r="C8044" s="9">
        <f>IFERROR(__xludf.DUMMYFUNCTION("""COMPUTED_VALUE"""),45059.7776837152)</f>
        <v>45059.77768</v>
      </c>
      <c r="D8044" s="15">
        <f>IFERROR(__xludf.DUMMYFUNCTION("""COMPUTED_VALUE"""),1.016)</f>
        <v>1.016</v>
      </c>
      <c r="E8044" s="16">
        <f>IFERROR(__xludf.DUMMYFUNCTION("""COMPUTED_VALUE"""),65.0)</f>
        <v>65</v>
      </c>
      <c r="F8044" s="19" t="str">
        <f>IFERROR(__xludf.DUMMYFUNCTION("""COMPUTED_VALUE"""),"BLUE")</f>
        <v>BLUE</v>
      </c>
      <c r="G8044" s="20" t="str">
        <f>IFERROR(__xludf.DUMMYFUNCTION("""COMPUTED_VALUE"""),"Uncle Sams Cider (04/04/2023)")</f>
        <v>Uncle Sams Cider (04/04/2023)</v>
      </c>
      <c r="H8044" s="19"/>
    </row>
    <row r="8045">
      <c r="A8045" s="9"/>
      <c r="B8045" s="15"/>
      <c r="C8045" s="9">
        <f>IFERROR(__xludf.DUMMYFUNCTION("""COMPUTED_VALUE"""),45059.7672611458)</f>
        <v>45059.76726</v>
      </c>
      <c r="D8045" s="15">
        <f>IFERROR(__xludf.DUMMYFUNCTION("""COMPUTED_VALUE"""),1.016)</f>
        <v>1.016</v>
      </c>
      <c r="E8045" s="16">
        <f>IFERROR(__xludf.DUMMYFUNCTION("""COMPUTED_VALUE"""),65.0)</f>
        <v>65</v>
      </c>
      <c r="F8045" s="19" t="str">
        <f>IFERROR(__xludf.DUMMYFUNCTION("""COMPUTED_VALUE"""),"BLUE")</f>
        <v>BLUE</v>
      </c>
      <c r="G8045" s="20" t="str">
        <f>IFERROR(__xludf.DUMMYFUNCTION("""COMPUTED_VALUE"""),"Uncle Sams Cider (04/04/2023)")</f>
        <v>Uncle Sams Cider (04/04/2023)</v>
      </c>
      <c r="H8045" s="19"/>
    </row>
    <row r="8046">
      <c r="A8046" s="9"/>
      <c r="B8046" s="15"/>
      <c r="C8046" s="9">
        <f>IFERROR(__xludf.DUMMYFUNCTION("""COMPUTED_VALUE"""),45059.7568408564)</f>
        <v>45059.75684</v>
      </c>
      <c r="D8046" s="15">
        <f>IFERROR(__xludf.DUMMYFUNCTION("""COMPUTED_VALUE"""),1.016)</f>
        <v>1.016</v>
      </c>
      <c r="E8046" s="16">
        <f>IFERROR(__xludf.DUMMYFUNCTION("""COMPUTED_VALUE"""),65.0)</f>
        <v>65</v>
      </c>
      <c r="F8046" s="19" t="str">
        <f>IFERROR(__xludf.DUMMYFUNCTION("""COMPUTED_VALUE"""),"BLUE")</f>
        <v>BLUE</v>
      </c>
      <c r="G8046" s="20" t="str">
        <f>IFERROR(__xludf.DUMMYFUNCTION("""COMPUTED_VALUE"""),"Uncle Sams Cider (04/04/2023)")</f>
        <v>Uncle Sams Cider (04/04/2023)</v>
      </c>
      <c r="H8046" s="19"/>
    </row>
    <row r="8047">
      <c r="A8047" s="9"/>
      <c r="B8047" s="15"/>
      <c r="C8047" s="9">
        <f>IFERROR(__xludf.DUMMYFUNCTION("""COMPUTED_VALUE"""),45059.7464082291)</f>
        <v>45059.74641</v>
      </c>
      <c r="D8047" s="15">
        <f>IFERROR(__xludf.DUMMYFUNCTION("""COMPUTED_VALUE"""),1.016)</f>
        <v>1.016</v>
      </c>
      <c r="E8047" s="16">
        <f>IFERROR(__xludf.DUMMYFUNCTION("""COMPUTED_VALUE"""),65.0)</f>
        <v>65</v>
      </c>
      <c r="F8047" s="19" t="str">
        <f>IFERROR(__xludf.DUMMYFUNCTION("""COMPUTED_VALUE"""),"BLUE")</f>
        <v>BLUE</v>
      </c>
      <c r="G8047" s="20" t="str">
        <f>IFERROR(__xludf.DUMMYFUNCTION("""COMPUTED_VALUE"""),"Uncle Sams Cider (04/04/2023)")</f>
        <v>Uncle Sams Cider (04/04/2023)</v>
      </c>
      <c r="H8047" s="19"/>
    </row>
    <row r="8048">
      <c r="A8048" s="9"/>
      <c r="B8048" s="15"/>
      <c r="C8048" s="9">
        <f>IFERROR(__xludf.DUMMYFUNCTION("""COMPUTED_VALUE"""),45059.73597625)</f>
        <v>45059.73598</v>
      </c>
      <c r="D8048" s="15">
        <f>IFERROR(__xludf.DUMMYFUNCTION("""COMPUTED_VALUE"""),1.016)</f>
        <v>1.016</v>
      </c>
      <c r="E8048" s="16">
        <f>IFERROR(__xludf.DUMMYFUNCTION("""COMPUTED_VALUE"""),65.0)</f>
        <v>65</v>
      </c>
      <c r="F8048" s="19" t="str">
        <f>IFERROR(__xludf.DUMMYFUNCTION("""COMPUTED_VALUE"""),"BLUE")</f>
        <v>BLUE</v>
      </c>
      <c r="G8048" s="20" t="str">
        <f>IFERROR(__xludf.DUMMYFUNCTION("""COMPUTED_VALUE"""),"Uncle Sams Cider (04/04/2023)")</f>
        <v>Uncle Sams Cider (04/04/2023)</v>
      </c>
      <c r="H8048" s="19"/>
    </row>
    <row r="8049">
      <c r="A8049" s="9"/>
      <c r="B8049" s="15"/>
      <c r="C8049" s="9">
        <f>IFERROR(__xludf.DUMMYFUNCTION("""COMPUTED_VALUE"""),45059.7255556481)</f>
        <v>45059.72556</v>
      </c>
      <c r="D8049" s="15">
        <f>IFERROR(__xludf.DUMMYFUNCTION("""COMPUTED_VALUE"""),1.016)</f>
        <v>1.016</v>
      </c>
      <c r="E8049" s="16">
        <f>IFERROR(__xludf.DUMMYFUNCTION("""COMPUTED_VALUE"""),65.0)</f>
        <v>65</v>
      </c>
      <c r="F8049" s="19" t="str">
        <f>IFERROR(__xludf.DUMMYFUNCTION("""COMPUTED_VALUE"""),"BLUE")</f>
        <v>BLUE</v>
      </c>
      <c r="G8049" s="20" t="str">
        <f>IFERROR(__xludf.DUMMYFUNCTION("""COMPUTED_VALUE"""),"Uncle Sams Cider (04/04/2023)")</f>
        <v>Uncle Sams Cider (04/04/2023)</v>
      </c>
      <c r="H8049" s="19"/>
    </row>
    <row r="8050">
      <c r="A8050" s="9"/>
      <c r="B8050" s="15"/>
      <c r="C8050" s="9">
        <f>IFERROR(__xludf.DUMMYFUNCTION("""COMPUTED_VALUE"""),45059.7151374189)</f>
        <v>45059.71514</v>
      </c>
      <c r="D8050" s="15">
        <f>IFERROR(__xludf.DUMMYFUNCTION("""COMPUTED_VALUE"""),1.016)</f>
        <v>1.016</v>
      </c>
      <c r="E8050" s="16">
        <f>IFERROR(__xludf.DUMMYFUNCTION("""COMPUTED_VALUE"""),65.0)</f>
        <v>65</v>
      </c>
      <c r="F8050" s="19" t="str">
        <f>IFERROR(__xludf.DUMMYFUNCTION("""COMPUTED_VALUE"""),"BLUE")</f>
        <v>BLUE</v>
      </c>
      <c r="G8050" s="20" t="str">
        <f>IFERROR(__xludf.DUMMYFUNCTION("""COMPUTED_VALUE"""),"Uncle Sams Cider (04/04/2023)")</f>
        <v>Uncle Sams Cider (04/04/2023)</v>
      </c>
      <c r="H8050" s="19"/>
    </row>
    <row r="8051">
      <c r="A8051" s="9"/>
      <c r="B8051" s="15"/>
      <c r="C8051" s="9">
        <f>IFERROR(__xludf.DUMMYFUNCTION("""COMPUTED_VALUE"""),45059.7047035301)</f>
        <v>45059.7047</v>
      </c>
      <c r="D8051" s="15">
        <f>IFERROR(__xludf.DUMMYFUNCTION("""COMPUTED_VALUE"""),1.016)</f>
        <v>1.016</v>
      </c>
      <c r="E8051" s="16">
        <f>IFERROR(__xludf.DUMMYFUNCTION("""COMPUTED_VALUE"""),65.0)</f>
        <v>65</v>
      </c>
      <c r="F8051" s="19" t="str">
        <f>IFERROR(__xludf.DUMMYFUNCTION("""COMPUTED_VALUE"""),"BLUE")</f>
        <v>BLUE</v>
      </c>
      <c r="G8051" s="20" t="str">
        <f>IFERROR(__xludf.DUMMYFUNCTION("""COMPUTED_VALUE"""),"Uncle Sams Cider (04/04/2023)")</f>
        <v>Uncle Sams Cider (04/04/2023)</v>
      </c>
      <c r="H8051" s="19"/>
    </row>
    <row r="8052">
      <c r="A8052" s="9"/>
      <c r="B8052" s="15"/>
      <c r="C8052" s="9">
        <f>IFERROR(__xludf.DUMMYFUNCTION("""COMPUTED_VALUE"""),45059.6942837847)</f>
        <v>45059.69428</v>
      </c>
      <c r="D8052" s="15">
        <f>IFERROR(__xludf.DUMMYFUNCTION("""COMPUTED_VALUE"""),1.016)</f>
        <v>1.016</v>
      </c>
      <c r="E8052" s="16">
        <f>IFERROR(__xludf.DUMMYFUNCTION("""COMPUTED_VALUE"""),65.0)</f>
        <v>65</v>
      </c>
      <c r="F8052" s="19" t="str">
        <f>IFERROR(__xludf.DUMMYFUNCTION("""COMPUTED_VALUE"""),"BLUE")</f>
        <v>BLUE</v>
      </c>
      <c r="G8052" s="20" t="str">
        <f>IFERROR(__xludf.DUMMYFUNCTION("""COMPUTED_VALUE"""),"Uncle Sams Cider (04/04/2023)")</f>
        <v>Uncle Sams Cider (04/04/2023)</v>
      </c>
      <c r="H8052" s="19"/>
    </row>
    <row r="8053">
      <c r="A8053" s="9"/>
      <c r="B8053" s="15"/>
      <c r="C8053" s="9">
        <f>IFERROR(__xludf.DUMMYFUNCTION("""COMPUTED_VALUE"""),45059.6838610185)</f>
        <v>45059.68386</v>
      </c>
      <c r="D8053" s="15">
        <f>IFERROR(__xludf.DUMMYFUNCTION("""COMPUTED_VALUE"""),1.016)</f>
        <v>1.016</v>
      </c>
      <c r="E8053" s="16">
        <f>IFERROR(__xludf.DUMMYFUNCTION("""COMPUTED_VALUE"""),65.0)</f>
        <v>65</v>
      </c>
      <c r="F8053" s="19" t="str">
        <f>IFERROR(__xludf.DUMMYFUNCTION("""COMPUTED_VALUE"""),"BLUE")</f>
        <v>BLUE</v>
      </c>
      <c r="G8053" s="20" t="str">
        <f>IFERROR(__xludf.DUMMYFUNCTION("""COMPUTED_VALUE"""),"Uncle Sams Cider (04/04/2023)")</f>
        <v>Uncle Sams Cider (04/04/2023)</v>
      </c>
      <c r="H8053" s="19"/>
    </row>
    <row r="8054">
      <c r="A8054" s="9"/>
      <c r="B8054" s="15"/>
      <c r="C8054" s="9">
        <f>IFERROR(__xludf.DUMMYFUNCTION("""COMPUTED_VALUE"""),45059.6734278009)</f>
        <v>45059.67343</v>
      </c>
      <c r="D8054" s="15">
        <f>IFERROR(__xludf.DUMMYFUNCTION("""COMPUTED_VALUE"""),1.016)</f>
        <v>1.016</v>
      </c>
      <c r="E8054" s="16">
        <f>IFERROR(__xludf.DUMMYFUNCTION("""COMPUTED_VALUE"""),65.0)</f>
        <v>65</v>
      </c>
      <c r="F8054" s="19" t="str">
        <f>IFERROR(__xludf.DUMMYFUNCTION("""COMPUTED_VALUE"""),"BLUE")</f>
        <v>BLUE</v>
      </c>
      <c r="G8054" s="20" t="str">
        <f>IFERROR(__xludf.DUMMYFUNCTION("""COMPUTED_VALUE"""),"Uncle Sams Cider (04/04/2023)")</f>
        <v>Uncle Sams Cider (04/04/2023)</v>
      </c>
      <c r="H8054" s="19"/>
    </row>
    <row r="8055">
      <c r="A8055" s="9"/>
      <c r="B8055" s="15"/>
      <c r="C8055" s="9">
        <f>IFERROR(__xludf.DUMMYFUNCTION("""COMPUTED_VALUE"""),45059.6629836458)</f>
        <v>45059.66298</v>
      </c>
      <c r="D8055" s="15">
        <f>IFERROR(__xludf.DUMMYFUNCTION("""COMPUTED_VALUE"""),1.016)</f>
        <v>1.016</v>
      </c>
      <c r="E8055" s="16">
        <f>IFERROR(__xludf.DUMMYFUNCTION("""COMPUTED_VALUE"""),64.0)</f>
        <v>64</v>
      </c>
      <c r="F8055" s="19" t="str">
        <f>IFERROR(__xludf.DUMMYFUNCTION("""COMPUTED_VALUE"""),"BLUE")</f>
        <v>BLUE</v>
      </c>
      <c r="G8055" s="20" t="str">
        <f>IFERROR(__xludf.DUMMYFUNCTION("""COMPUTED_VALUE"""),"Uncle Sams Cider (04/04/2023)")</f>
        <v>Uncle Sams Cider (04/04/2023)</v>
      </c>
      <c r="H8055" s="19"/>
    </row>
    <row r="8056">
      <c r="A8056" s="9"/>
      <c r="B8056" s="15"/>
      <c r="C8056" s="9">
        <f>IFERROR(__xludf.DUMMYFUNCTION("""COMPUTED_VALUE"""),45059.652562743)</f>
        <v>45059.65256</v>
      </c>
      <c r="D8056" s="15">
        <f>IFERROR(__xludf.DUMMYFUNCTION("""COMPUTED_VALUE"""),1.016)</f>
        <v>1.016</v>
      </c>
      <c r="E8056" s="16">
        <f>IFERROR(__xludf.DUMMYFUNCTION("""COMPUTED_VALUE"""),65.0)</f>
        <v>65</v>
      </c>
      <c r="F8056" s="19" t="str">
        <f>IFERROR(__xludf.DUMMYFUNCTION("""COMPUTED_VALUE"""),"BLUE")</f>
        <v>BLUE</v>
      </c>
      <c r="G8056" s="20" t="str">
        <f>IFERROR(__xludf.DUMMYFUNCTION("""COMPUTED_VALUE"""),"Uncle Sams Cider (04/04/2023)")</f>
        <v>Uncle Sams Cider (04/04/2023)</v>
      </c>
      <c r="H8056" s="19"/>
    </row>
    <row r="8057">
      <c r="A8057" s="9"/>
      <c r="B8057" s="15"/>
      <c r="C8057" s="9">
        <f>IFERROR(__xludf.DUMMYFUNCTION("""COMPUTED_VALUE"""),45059.6421426736)</f>
        <v>45059.64214</v>
      </c>
      <c r="D8057" s="15">
        <f>IFERROR(__xludf.DUMMYFUNCTION("""COMPUTED_VALUE"""),1.016)</f>
        <v>1.016</v>
      </c>
      <c r="E8057" s="16">
        <f>IFERROR(__xludf.DUMMYFUNCTION("""COMPUTED_VALUE"""),65.0)</f>
        <v>65</v>
      </c>
      <c r="F8057" s="19" t="str">
        <f>IFERROR(__xludf.DUMMYFUNCTION("""COMPUTED_VALUE"""),"BLUE")</f>
        <v>BLUE</v>
      </c>
      <c r="G8057" s="20" t="str">
        <f>IFERROR(__xludf.DUMMYFUNCTION("""COMPUTED_VALUE"""),"Uncle Sams Cider (04/04/2023)")</f>
        <v>Uncle Sams Cider (04/04/2023)</v>
      </c>
      <c r="H8057" s="19"/>
    </row>
    <row r="8058">
      <c r="A8058" s="9"/>
      <c r="B8058" s="15"/>
      <c r="C8058" s="9">
        <f>IFERROR(__xludf.DUMMYFUNCTION("""COMPUTED_VALUE"""),45059.6317206018)</f>
        <v>45059.63172</v>
      </c>
      <c r="D8058" s="15">
        <f>IFERROR(__xludf.DUMMYFUNCTION("""COMPUTED_VALUE"""),1.016)</f>
        <v>1.016</v>
      </c>
      <c r="E8058" s="16">
        <f>IFERROR(__xludf.DUMMYFUNCTION("""COMPUTED_VALUE"""),64.0)</f>
        <v>64</v>
      </c>
      <c r="F8058" s="19" t="str">
        <f>IFERROR(__xludf.DUMMYFUNCTION("""COMPUTED_VALUE"""),"BLUE")</f>
        <v>BLUE</v>
      </c>
      <c r="G8058" s="20" t="str">
        <f>IFERROR(__xludf.DUMMYFUNCTION("""COMPUTED_VALUE"""),"Uncle Sams Cider (04/04/2023)")</f>
        <v>Uncle Sams Cider (04/04/2023)</v>
      </c>
      <c r="H8058" s="19"/>
    </row>
    <row r="8059">
      <c r="A8059" s="9"/>
      <c r="B8059" s="15"/>
      <c r="C8059" s="9">
        <f>IFERROR(__xludf.DUMMYFUNCTION("""COMPUTED_VALUE"""),45059.6213004513)</f>
        <v>45059.6213</v>
      </c>
      <c r="D8059" s="15">
        <f>IFERROR(__xludf.DUMMYFUNCTION("""COMPUTED_VALUE"""),1.016)</f>
        <v>1.016</v>
      </c>
      <c r="E8059" s="16">
        <f>IFERROR(__xludf.DUMMYFUNCTION("""COMPUTED_VALUE"""),65.0)</f>
        <v>65</v>
      </c>
      <c r="F8059" s="19" t="str">
        <f>IFERROR(__xludf.DUMMYFUNCTION("""COMPUTED_VALUE"""),"BLUE")</f>
        <v>BLUE</v>
      </c>
      <c r="G8059" s="20" t="str">
        <f>IFERROR(__xludf.DUMMYFUNCTION("""COMPUTED_VALUE"""),"Uncle Sams Cider (04/04/2023)")</f>
        <v>Uncle Sams Cider (04/04/2023)</v>
      </c>
      <c r="H8059" s="19"/>
    </row>
    <row r="8060">
      <c r="A8060" s="9"/>
      <c r="B8060" s="15"/>
      <c r="C8060" s="9">
        <f>IFERROR(__xludf.DUMMYFUNCTION("""COMPUTED_VALUE"""),45059.610866655)</f>
        <v>45059.61087</v>
      </c>
      <c r="D8060" s="15">
        <f>IFERROR(__xludf.DUMMYFUNCTION("""COMPUTED_VALUE"""),1.016)</f>
        <v>1.016</v>
      </c>
      <c r="E8060" s="16">
        <f>IFERROR(__xludf.DUMMYFUNCTION("""COMPUTED_VALUE"""),65.0)</f>
        <v>65</v>
      </c>
      <c r="F8060" s="19" t="str">
        <f>IFERROR(__xludf.DUMMYFUNCTION("""COMPUTED_VALUE"""),"BLUE")</f>
        <v>BLUE</v>
      </c>
      <c r="G8060" s="20" t="str">
        <f>IFERROR(__xludf.DUMMYFUNCTION("""COMPUTED_VALUE"""),"Uncle Sams Cider (04/04/2023)")</f>
        <v>Uncle Sams Cider (04/04/2023)</v>
      </c>
      <c r="H8060" s="19"/>
    </row>
    <row r="8061">
      <c r="A8061" s="9"/>
      <c r="B8061" s="15"/>
      <c r="C8061" s="9">
        <f>IFERROR(__xludf.DUMMYFUNCTION("""COMPUTED_VALUE"""),45059.6004436574)</f>
        <v>45059.60044</v>
      </c>
      <c r="D8061" s="15">
        <f>IFERROR(__xludf.DUMMYFUNCTION("""COMPUTED_VALUE"""),1.016)</f>
        <v>1.016</v>
      </c>
      <c r="E8061" s="16">
        <f>IFERROR(__xludf.DUMMYFUNCTION("""COMPUTED_VALUE"""),65.0)</f>
        <v>65</v>
      </c>
      <c r="F8061" s="19" t="str">
        <f>IFERROR(__xludf.DUMMYFUNCTION("""COMPUTED_VALUE"""),"BLUE")</f>
        <v>BLUE</v>
      </c>
      <c r="G8061" s="20" t="str">
        <f>IFERROR(__xludf.DUMMYFUNCTION("""COMPUTED_VALUE"""),"Uncle Sams Cider (04/04/2023)")</f>
        <v>Uncle Sams Cider (04/04/2023)</v>
      </c>
      <c r="H8061" s="19"/>
    </row>
    <row r="8062">
      <c r="A8062" s="9"/>
      <c r="B8062" s="15"/>
      <c r="C8062" s="9">
        <f>IFERROR(__xludf.DUMMYFUNCTION("""COMPUTED_VALUE"""),45059.5900224421)</f>
        <v>45059.59002</v>
      </c>
      <c r="D8062" s="15">
        <f>IFERROR(__xludf.DUMMYFUNCTION("""COMPUTED_VALUE"""),1.016)</f>
        <v>1.016</v>
      </c>
      <c r="E8062" s="16">
        <f>IFERROR(__xludf.DUMMYFUNCTION("""COMPUTED_VALUE"""),64.0)</f>
        <v>64</v>
      </c>
      <c r="F8062" s="19" t="str">
        <f>IFERROR(__xludf.DUMMYFUNCTION("""COMPUTED_VALUE"""),"BLUE")</f>
        <v>BLUE</v>
      </c>
      <c r="G8062" s="20" t="str">
        <f>IFERROR(__xludf.DUMMYFUNCTION("""COMPUTED_VALUE"""),"Uncle Sams Cider (04/04/2023)")</f>
        <v>Uncle Sams Cider (04/04/2023)</v>
      </c>
      <c r="H8062" s="19"/>
    </row>
    <row r="8063">
      <c r="A8063" s="9"/>
      <c r="B8063" s="15"/>
      <c r="C8063" s="9">
        <f>IFERROR(__xludf.DUMMYFUNCTION("""COMPUTED_VALUE"""),45059.5795774421)</f>
        <v>45059.57958</v>
      </c>
      <c r="D8063" s="15">
        <f>IFERROR(__xludf.DUMMYFUNCTION("""COMPUTED_VALUE"""),1.016)</f>
        <v>1.016</v>
      </c>
      <c r="E8063" s="16">
        <f>IFERROR(__xludf.DUMMYFUNCTION("""COMPUTED_VALUE"""),64.0)</f>
        <v>64</v>
      </c>
      <c r="F8063" s="19" t="str">
        <f>IFERROR(__xludf.DUMMYFUNCTION("""COMPUTED_VALUE"""),"BLUE")</f>
        <v>BLUE</v>
      </c>
      <c r="G8063" s="20" t="str">
        <f>IFERROR(__xludf.DUMMYFUNCTION("""COMPUTED_VALUE"""),"Uncle Sams Cider (04/04/2023)")</f>
        <v>Uncle Sams Cider (04/04/2023)</v>
      </c>
      <c r="H8063" s="19"/>
    </row>
    <row r="8064">
      <c r="A8064" s="9"/>
      <c r="B8064" s="15"/>
      <c r="C8064" s="9">
        <f>IFERROR(__xludf.DUMMYFUNCTION("""COMPUTED_VALUE"""),45059.569156956)</f>
        <v>45059.56916</v>
      </c>
      <c r="D8064" s="15">
        <f>IFERROR(__xludf.DUMMYFUNCTION("""COMPUTED_VALUE"""),1.016)</f>
        <v>1.016</v>
      </c>
      <c r="E8064" s="16">
        <f>IFERROR(__xludf.DUMMYFUNCTION("""COMPUTED_VALUE"""),65.0)</f>
        <v>65</v>
      </c>
      <c r="F8064" s="19" t="str">
        <f>IFERROR(__xludf.DUMMYFUNCTION("""COMPUTED_VALUE"""),"BLUE")</f>
        <v>BLUE</v>
      </c>
      <c r="G8064" s="20" t="str">
        <f>IFERROR(__xludf.DUMMYFUNCTION("""COMPUTED_VALUE"""),"Uncle Sams Cider (04/04/2023)")</f>
        <v>Uncle Sams Cider (04/04/2023)</v>
      </c>
      <c r="H8064" s="19"/>
    </row>
    <row r="8065">
      <c r="A8065" s="9"/>
      <c r="B8065" s="15"/>
      <c r="C8065" s="9">
        <f>IFERROR(__xludf.DUMMYFUNCTION("""COMPUTED_VALUE"""),45059.5587235648)</f>
        <v>45059.55872</v>
      </c>
      <c r="D8065" s="15">
        <f>IFERROR(__xludf.DUMMYFUNCTION("""COMPUTED_VALUE"""),1.016)</f>
        <v>1.016</v>
      </c>
      <c r="E8065" s="16">
        <f>IFERROR(__xludf.DUMMYFUNCTION("""COMPUTED_VALUE"""),64.0)</f>
        <v>64</v>
      </c>
      <c r="F8065" s="19" t="str">
        <f>IFERROR(__xludf.DUMMYFUNCTION("""COMPUTED_VALUE"""),"BLUE")</f>
        <v>BLUE</v>
      </c>
      <c r="G8065" s="20" t="str">
        <f>IFERROR(__xludf.DUMMYFUNCTION("""COMPUTED_VALUE"""),"Uncle Sams Cider (04/04/2023)")</f>
        <v>Uncle Sams Cider (04/04/2023)</v>
      </c>
      <c r="H8065" s="19"/>
    </row>
    <row r="8066">
      <c r="A8066" s="9"/>
      <c r="B8066" s="15"/>
      <c r="C8066" s="9">
        <f>IFERROR(__xludf.DUMMYFUNCTION("""COMPUTED_VALUE"""),45059.5483014351)</f>
        <v>45059.5483</v>
      </c>
      <c r="D8066" s="15">
        <f>IFERROR(__xludf.DUMMYFUNCTION("""COMPUTED_VALUE"""),1.016)</f>
        <v>1.016</v>
      </c>
      <c r="E8066" s="16">
        <f>IFERROR(__xludf.DUMMYFUNCTION("""COMPUTED_VALUE"""),64.0)</f>
        <v>64</v>
      </c>
      <c r="F8066" s="19" t="str">
        <f>IFERROR(__xludf.DUMMYFUNCTION("""COMPUTED_VALUE"""),"BLUE")</f>
        <v>BLUE</v>
      </c>
      <c r="G8066" s="20" t="str">
        <f>IFERROR(__xludf.DUMMYFUNCTION("""COMPUTED_VALUE"""),"Uncle Sams Cider (04/04/2023)")</f>
        <v>Uncle Sams Cider (04/04/2023)</v>
      </c>
      <c r="H8066" s="19"/>
    </row>
    <row r="8067">
      <c r="A8067" s="9"/>
      <c r="B8067" s="15"/>
      <c r="C8067" s="9">
        <f>IFERROR(__xludf.DUMMYFUNCTION("""COMPUTED_VALUE"""),45059.5378800347)</f>
        <v>45059.53788</v>
      </c>
      <c r="D8067" s="15">
        <f>IFERROR(__xludf.DUMMYFUNCTION("""COMPUTED_VALUE"""),1.016)</f>
        <v>1.016</v>
      </c>
      <c r="E8067" s="16">
        <f>IFERROR(__xludf.DUMMYFUNCTION("""COMPUTED_VALUE"""),64.0)</f>
        <v>64</v>
      </c>
      <c r="F8067" s="19" t="str">
        <f>IFERROR(__xludf.DUMMYFUNCTION("""COMPUTED_VALUE"""),"BLUE")</f>
        <v>BLUE</v>
      </c>
      <c r="G8067" s="20" t="str">
        <f>IFERROR(__xludf.DUMMYFUNCTION("""COMPUTED_VALUE"""),"Uncle Sams Cider (04/04/2023)")</f>
        <v>Uncle Sams Cider (04/04/2023)</v>
      </c>
      <c r="H8067" s="19"/>
    </row>
    <row r="8068">
      <c r="A8068" s="9"/>
      <c r="B8068" s="15"/>
      <c r="C8068" s="9">
        <f>IFERROR(__xludf.DUMMYFUNCTION("""COMPUTED_VALUE"""),45059.5274591203)</f>
        <v>45059.52746</v>
      </c>
      <c r="D8068" s="15">
        <f>IFERROR(__xludf.DUMMYFUNCTION("""COMPUTED_VALUE"""),1.016)</f>
        <v>1.016</v>
      </c>
      <c r="E8068" s="16">
        <f>IFERROR(__xludf.DUMMYFUNCTION("""COMPUTED_VALUE"""),64.0)</f>
        <v>64</v>
      </c>
      <c r="F8068" s="19" t="str">
        <f>IFERROR(__xludf.DUMMYFUNCTION("""COMPUTED_VALUE"""),"BLUE")</f>
        <v>BLUE</v>
      </c>
      <c r="G8068" s="20" t="str">
        <f>IFERROR(__xludf.DUMMYFUNCTION("""COMPUTED_VALUE"""),"Uncle Sams Cider (04/04/2023)")</f>
        <v>Uncle Sams Cider (04/04/2023)</v>
      </c>
      <c r="H8068" s="19"/>
    </row>
    <row r="8069">
      <c r="A8069" s="9"/>
      <c r="B8069" s="15"/>
      <c r="C8069" s="9">
        <f>IFERROR(__xludf.DUMMYFUNCTION("""COMPUTED_VALUE"""),45059.5170271875)</f>
        <v>45059.51703</v>
      </c>
      <c r="D8069" s="15">
        <f>IFERROR(__xludf.DUMMYFUNCTION("""COMPUTED_VALUE"""),1.016)</f>
        <v>1.016</v>
      </c>
      <c r="E8069" s="16">
        <f>IFERROR(__xludf.DUMMYFUNCTION("""COMPUTED_VALUE"""),64.0)</f>
        <v>64</v>
      </c>
      <c r="F8069" s="19" t="str">
        <f>IFERROR(__xludf.DUMMYFUNCTION("""COMPUTED_VALUE"""),"BLUE")</f>
        <v>BLUE</v>
      </c>
      <c r="G8069" s="20" t="str">
        <f>IFERROR(__xludf.DUMMYFUNCTION("""COMPUTED_VALUE"""),"Uncle Sams Cider (04/04/2023)")</f>
        <v>Uncle Sams Cider (04/04/2023)</v>
      </c>
      <c r="H8069" s="19"/>
    </row>
    <row r="8070">
      <c r="A8070" s="9"/>
      <c r="B8070" s="15"/>
      <c r="C8070" s="9">
        <f>IFERROR(__xludf.DUMMYFUNCTION("""COMPUTED_VALUE"""),45059.5066050578)</f>
        <v>45059.50661</v>
      </c>
      <c r="D8070" s="15">
        <f>IFERROR(__xludf.DUMMYFUNCTION("""COMPUTED_VALUE"""),1.016)</f>
        <v>1.016</v>
      </c>
      <c r="E8070" s="16">
        <f>IFERROR(__xludf.DUMMYFUNCTION("""COMPUTED_VALUE"""),64.0)</f>
        <v>64</v>
      </c>
      <c r="F8070" s="19" t="str">
        <f>IFERROR(__xludf.DUMMYFUNCTION("""COMPUTED_VALUE"""),"BLUE")</f>
        <v>BLUE</v>
      </c>
      <c r="G8070" s="20" t="str">
        <f>IFERROR(__xludf.DUMMYFUNCTION("""COMPUTED_VALUE"""),"Uncle Sams Cider (04/04/2023)")</f>
        <v>Uncle Sams Cider (04/04/2023)</v>
      </c>
      <c r="H8070" s="19"/>
    </row>
    <row r="8071">
      <c r="A8071" s="9"/>
      <c r="B8071" s="15"/>
      <c r="C8071" s="9">
        <f>IFERROR(__xludf.DUMMYFUNCTION("""COMPUTED_VALUE"""),45059.496183449)</f>
        <v>45059.49618</v>
      </c>
      <c r="D8071" s="15">
        <f>IFERROR(__xludf.DUMMYFUNCTION("""COMPUTED_VALUE"""),1.016)</f>
        <v>1.016</v>
      </c>
      <c r="E8071" s="16">
        <f>IFERROR(__xludf.DUMMYFUNCTION("""COMPUTED_VALUE"""),64.0)</f>
        <v>64</v>
      </c>
      <c r="F8071" s="19" t="str">
        <f>IFERROR(__xludf.DUMMYFUNCTION("""COMPUTED_VALUE"""),"BLUE")</f>
        <v>BLUE</v>
      </c>
      <c r="G8071" s="20" t="str">
        <f>IFERROR(__xludf.DUMMYFUNCTION("""COMPUTED_VALUE"""),"Uncle Sams Cider (04/04/2023)")</f>
        <v>Uncle Sams Cider (04/04/2023)</v>
      </c>
      <c r="H8071" s="19"/>
    </row>
    <row r="8072">
      <c r="A8072" s="9"/>
      <c r="B8072" s="15"/>
      <c r="C8072" s="9">
        <f>IFERROR(__xludf.DUMMYFUNCTION("""COMPUTED_VALUE"""),45059.4857626504)</f>
        <v>45059.48576</v>
      </c>
      <c r="D8072" s="15">
        <f>IFERROR(__xludf.DUMMYFUNCTION("""COMPUTED_VALUE"""),1.016)</f>
        <v>1.016</v>
      </c>
      <c r="E8072" s="16">
        <f>IFERROR(__xludf.DUMMYFUNCTION("""COMPUTED_VALUE"""),64.0)</f>
        <v>64</v>
      </c>
      <c r="F8072" s="19" t="str">
        <f>IFERROR(__xludf.DUMMYFUNCTION("""COMPUTED_VALUE"""),"BLUE")</f>
        <v>BLUE</v>
      </c>
      <c r="G8072" s="20" t="str">
        <f>IFERROR(__xludf.DUMMYFUNCTION("""COMPUTED_VALUE"""),"Uncle Sams Cider (04/04/2023)")</f>
        <v>Uncle Sams Cider (04/04/2023)</v>
      </c>
      <c r="H8072" s="19"/>
    </row>
    <row r="8073">
      <c r="A8073" s="9"/>
      <c r="B8073" s="15"/>
      <c r="C8073" s="9">
        <f>IFERROR(__xludf.DUMMYFUNCTION("""COMPUTED_VALUE"""),45059.4753295833)</f>
        <v>45059.47533</v>
      </c>
      <c r="D8073" s="15">
        <f>IFERROR(__xludf.DUMMYFUNCTION("""COMPUTED_VALUE"""),1.016)</f>
        <v>1.016</v>
      </c>
      <c r="E8073" s="16">
        <f>IFERROR(__xludf.DUMMYFUNCTION("""COMPUTED_VALUE"""),64.0)</f>
        <v>64</v>
      </c>
      <c r="F8073" s="19" t="str">
        <f>IFERROR(__xludf.DUMMYFUNCTION("""COMPUTED_VALUE"""),"BLUE")</f>
        <v>BLUE</v>
      </c>
      <c r="G8073" s="20" t="str">
        <f>IFERROR(__xludf.DUMMYFUNCTION("""COMPUTED_VALUE"""),"Uncle Sams Cider (04/04/2023)")</f>
        <v>Uncle Sams Cider (04/04/2023)</v>
      </c>
      <c r="H8073" s="19"/>
    </row>
    <row r="8074">
      <c r="A8074" s="9"/>
      <c r="B8074" s="15"/>
      <c r="C8074" s="9">
        <f>IFERROR(__xludf.DUMMYFUNCTION("""COMPUTED_VALUE"""),45059.4648966782)</f>
        <v>45059.4649</v>
      </c>
      <c r="D8074" s="15">
        <f>IFERROR(__xludf.DUMMYFUNCTION("""COMPUTED_VALUE"""),1.016)</f>
        <v>1.016</v>
      </c>
      <c r="E8074" s="16">
        <f>IFERROR(__xludf.DUMMYFUNCTION("""COMPUTED_VALUE"""),64.0)</f>
        <v>64</v>
      </c>
      <c r="F8074" s="19" t="str">
        <f>IFERROR(__xludf.DUMMYFUNCTION("""COMPUTED_VALUE"""),"BLUE")</f>
        <v>BLUE</v>
      </c>
      <c r="G8074" s="20" t="str">
        <f>IFERROR(__xludf.DUMMYFUNCTION("""COMPUTED_VALUE"""),"Uncle Sams Cider (04/04/2023)")</f>
        <v>Uncle Sams Cider (04/04/2023)</v>
      </c>
      <c r="H8074" s="19"/>
    </row>
    <row r="8075">
      <c r="A8075" s="9"/>
      <c r="B8075" s="15"/>
      <c r="C8075" s="9">
        <f>IFERROR(__xludf.DUMMYFUNCTION("""COMPUTED_VALUE"""),45059.4544760532)</f>
        <v>45059.45448</v>
      </c>
      <c r="D8075" s="15">
        <f>IFERROR(__xludf.DUMMYFUNCTION("""COMPUTED_VALUE"""),1.016)</f>
        <v>1.016</v>
      </c>
      <c r="E8075" s="16">
        <f>IFERROR(__xludf.DUMMYFUNCTION("""COMPUTED_VALUE"""),64.0)</f>
        <v>64</v>
      </c>
      <c r="F8075" s="19" t="str">
        <f>IFERROR(__xludf.DUMMYFUNCTION("""COMPUTED_VALUE"""),"BLUE")</f>
        <v>BLUE</v>
      </c>
      <c r="G8075" s="20" t="str">
        <f>IFERROR(__xludf.DUMMYFUNCTION("""COMPUTED_VALUE"""),"Uncle Sams Cider (04/04/2023)")</f>
        <v>Uncle Sams Cider (04/04/2023)</v>
      </c>
      <c r="H8075" s="19"/>
    </row>
    <row r="8076">
      <c r="A8076" s="9"/>
      <c r="B8076" s="15"/>
      <c r="C8076" s="9">
        <f>IFERROR(__xludf.DUMMYFUNCTION("""COMPUTED_VALUE"""),45059.4440562731)</f>
        <v>45059.44406</v>
      </c>
      <c r="D8076" s="15">
        <f>IFERROR(__xludf.DUMMYFUNCTION("""COMPUTED_VALUE"""),1.016)</f>
        <v>1.016</v>
      </c>
      <c r="E8076" s="16">
        <f>IFERROR(__xludf.DUMMYFUNCTION("""COMPUTED_VALUE"""),64.0)</f>
        <v>64</v>
      </c>
      <c r="F8076" s="19" t="str">
        <f>IFERROR(__xludf.DUMMYFUNCTION("""COMPUTED_VALUE"""),"BLUE")</f>
        <v>BLUE</v>
      </c>
      <c r="G8076" s="20" t="str">
        <f>IFERROR(__xludf.DUMMYFUNCTION("""COMPUTED_VALUE"""),"Uncle Sams Cider (04/04/2023)")</f>
        <v>Uncle Sams Cider (04/04/2023)</v>
      </c>
      <c r="H8076" s="19"/>
    </row>
    <row r="8077">
      <c r="A8077" s="9"/>
      <c r="B8077" s="15"/>
      <c r="C8077" s="9">
        <f>IFERROR(__xludf.DUMMYFUNCTION("""COMPUTED_VALUE"""),45059.4336331134)</f>
        <v>45059.43363</v>
      </c>
      <c r="D8077" s="15">
        <f>IFERROR(__xludf.DUMMYFUNCTION("""COMPUTED_VALUE"""),1.016)</f>
        <v>1.016</v>
      </c>
      <c r="E8077" s="16">
        <f>IFERROR(__xludf.DUMMYFUNCTION("""COMPUTED_VALUE"""),64.0)</f>
        <v>64</v>
      </c>
      <c r="F8077" s="19" t="str">
        <f>IFERROR(__xludf.DUMMYFUNCTION("""COMPUTED_VALUE"""),"BLUE")</f>
        <v>BLUE</v>
      </c>
      <c r="G8077" s="20" t="str">
        <f>IFERROR(__xludf.DUMMYFUNCTION("""COMPUTED_VALUE"""),"Uncle Sams Cider (04/04/2023)")</f>
        <v>Uncle Sams Cider (04/04/2023)</v>
      </c>
      <c r="H8077" s="19"/>
    </row>
    <row r="8078">
      <c r="A8078" s="9"/>
      <c r="B8078" s="15"/>
      <c r="C8078" s="9">
        <f>IFERROR(__xludf.DUMMYFUNCTION("""COMPUTED_VALUE"""),45059.423209375)</f>
        <v>45059.42321</v>
      </c>
      <c r="D8078" s="15">
        <f>IFERROR(__xludf.DUMMYFUNCTION("""COMPUTED_VALUE"""),1.016)</f>
        <v>1.016</v>
      </c>
      <c r="E8078" s="16">
        <f>IFERROR(__xludf.DUMMYFUNCTION("""COMPUTED_VALUE"""),64.0)</f>
        <v>64</v>
      </c>
      <c r="F8078" s="19" t="str">
        <f>IFERROR(__xludf.DUMMYFUNCTION("""COMPUTED_VALUE"""),"BLUE")</f>
        <v>BLUE</v>
      </c>
      <c r="G8078" s="20" t="str">
        <f>IFERROR(__xludf.DUMMYFUNCTION("""COMPUTED_VALUE"""),"Uncle Sams Cider (04/04/2023)")</f>
        <v>Uncle Sams Cider (04/04/2023)</v>
      </c>
      <c r="H8078" s="19"/>
    </row>
    <row r="8079">
      <c r="A8079" s="9"/>
      <c r="B8079" s="15"/>
      <c r="C8079" s="9">
        <f>IFERROR(__xludf.DUMMYFUNCTION("""COMPUTED_VALUE"""),45059.4127882291)</f>
        <v>45059.41279</v>
      </c>
      <c r="D8079" s="15">
        <f>IFERROR(__xludf.DUMMYFUNCTION("""COMPUTED_VALUE"""),1.016)</f>
        <v>1.016</v>
      </c>
      <c r="E8079" s="16">
        <f>IFERROR(__xludf.DUMMYFUNCTION("""COMPUTED_VALUE"""),64.0)</f>
        <v>64</v>
      </c>
      <c r="F8079" s="19" t="str">
        <f>IFERROR(__xludf.DUMMYFUNCTION("""COMPUTED_VALUE"""),"BLUE")</f>
        <v>BLUE</v>
      </c>
      <c r="G8079" s="20" t="str">
        <f>IFERROR(__xludf.DUMMYFUNCTION("""COMPUTED_VALUE"""),"Uncle Sams Cider (04/04/2023)")</f>
        <v>Uncle Sams Cider (04/04/2023)</v>
      </c>
      <c r="H8079" s="19"/>
    </row>
    <row r="8080">
      <c r="A8080" s="9"/>
      <c r="B8080" s="15"/>
      <c r="C8080" s="9">
        <f>IFERROR(__xludf.DUMMYFUNCTION("""COMPUTED_VALUE"""),45059.4023561342)</f>
        <v>45059.40236</v>
      </c>
      <c r="D8080" s="15">
        <f>IFERROR(__xludf.DUMMYFUNCTION("""COMPUTED_VALUE"""),1.016)</f>
        <v>1.016</v>
      </c>
      <c r="E8080" s="16">
        <f>IFERROR(__xludf.DUMMYFUNCTION("""COMPUTED_VALUE"""),64.0)</f>
        <v>64</v>
      </c>
      <c r="F8080" s="19" t="str">
        <f>IFERROR(__xludf.DUMMYFUNCTION("""COMPUTED_VALUE"""),"BLUE")</f>
        <v>BLUE</v>
      </c>
      <c r="G8080" s="20" t="str">
        <f>IFERROR(__xludf.DUMMYFUNCTION("""COMPUTED_VALUE"""),"Uncle Sams Cider (04/04/2023)")</f>
        <v>Uncle Sams Cider (04/04/2023)</v>
      </c>
      <c r="H8080" s="19"/>
    </row>
    <row r="8081">
      <c r="A8081" s="9"/>
      <c r="B8081" s="15"/>
      <c r="C8081" s="9">
        <f>IFERROR(__xludf.DUMMYFUNCTION("""COMPUTED_VALUE"""),45059.391933831)</f>
        <v>45059.39193</v>
      </c>
      <c r="D8081" s="15">
        <f>IFERROR(__xludf.DUMMYFUNCTION("""COMPUTED_VALUE"""),1.016)</f>
        <v>1.016</v>
      </c>
      <c r="E8081" s="16">
        <f>IFERROR(__xludf.DUMMYFUNCTION("""COMPUTED_VALUE"""),64.0)</f>
        <v>64</v>
      </c>
      <c r="F8081" s="19" t="str">
        <f>IFERROR(__xludf.DUMMYFUNCTION("""COMPUTED_VALUE"""),"BLUE")</f>
        <v>BLUE</v>
      </c>
      <c r="G8081" s="20" t="str">
        <f>IFERROR(__xludf.DUMMYFUNCTION("""COMPUTED_VALUE"""),"Uncle Sams Cider (04/04/2023)")</f>
        <v>Uncle Sams Cider (04/04/2023)</v>
      </c>
      <c r="H8081" s="19"/>
    </row>
    <row r="8082">
      <c r="A8082" s="9"/>
      <c r="B8082" s="15"/>
      <c r="C8082" s="9">
        <f>IFERROR(__xludf.DUMMYFUNCTION("""COMPUTED_VALUE"""),45059.3815097222)</f>
        <v>45059.38151</v>
      </c>
      <c r="D8082" s="15">
        <f>IFERROR(__xludf.DUMMYFUNCTION("""COMPUTED_VALUE"""),1.016)</f>
        <v>1.016</v>
      </c>
      <c r="E8082" s="16">
        <f>IFERROR(__xludf.DUMMYFUNCTION("""COMPUTED_VALUE"""),64.0)</f>
        <v>64</v>
      </c>
      <c r="F8082" s="19" t="str">
        <f>IFERROR(__xludf.DUMMYFUNCTION("""COMPUTED_VALUE"""),"BLUE")</f>
        <v>BLUE</v>
      </c>
      <c r="G8082" s="20" t="str">
        <f>IFERROR(__xludf.DUMMYFUNCTION("""COMPUTED_VALUE"""),"Uncle Sams Cider (04/04/2023)")</f>
        <v>Uncle Sams Cider (04/04/2023)</v>
      </c>
      <c r="H8082" s="19"/>
    </row>
    <row r="8083">
      <c r="A8083" s="9"/>
      <c r="B8083" s="15"/>
      <c r="C8083" s="9">
        <f>IFERROR(__xludf.DUMMYFUNCTION("""COMPUTED_VALUE"""),45059.3710900115)</f>
        <v>45059.37109</v>
      </c>
      <c r="D8083" s="15">
        <f>IFERROR(__xludf.DUMMYFUNCTION("""COMPUTED_VALUE"""),1.016)</f>
        <v>1.016</v>
      </c>
      <c r="E8083" s="16">
        <f>IFERROR(__xludf.DUMMYFUNCTION("""COMPUTED_VALUE"""),64.0)</f>
        <v>64</v>
      </c>
      <c r="F8083" s="19" t="str">
        <f>IFERROR(__xludf.DUMMYFUNCTION("""COMPUTED_VALUE"""),"BLUE")</f>
        <v>BLUE</v>
      </c>
      <c r="G8083" s="20" t="str">
        <f>IFERROR(__xludf.DUMMYFUNCTION("""COMPUTED_VALUE"""),"Uncle Sams Cider (04/04/2023)")</f>
        <v>Uncle Sams Cider (04/04/2023)</v>
      </c>
      <c r="H8083" s="19"/>
    </row>
    <row r="8084">
      <c r="A8084" s="9"/>
      <c r="B8084" s="15"/>
      <c r="C8084" s="9">
        <f>IFERROR(__xludf.DUMMYFUNCTION("""COMPUTED_VALUE"""),45059.3606706712)</f>
        <v>45059.36067</v>
      </c>
      <c r="D8084" s="15">
        <f>IFERROR(__xludf.DUMMYFUNCTION("""COMPUTED_VALUE"""),1.016)</f>
        <v>1.016</v>
      </c>
      <c r="E8084" s="16">
        <f>IFERROR(__xludf.DUMMYFUNCTION("""COMPUTED_VALUE"""),64.0)</f>
        <v>64</v>
      </c>
      <c r="F8084" s="19" t="str">
        <f>IFERROR(__xludf.DUMMYFUNCTION("""COMPUTED_VALUE"""),"BLUE")</f>
        <v>BLUE</v>
      </c>
      <c r="G8084" s="20" t="str">
        <f>IFERROR(__xludf.DUMMYFUNCTION("""COMPUTED_VALUE"""),"Uncle Sams Cider (04/04/2023)")</f>
        <v>Uncle Sams Cider (04/04/2023)</v>
      </c>
      <c r="H8084" s="19"/>
    </row>
    <row r="8085">
      <c r="A8085" s="9"/>
      <c r="B8085" s="15"/>
      <c r="C8085" s="9">
        <f>IFERROR(__xludf.DUMMYFUNCTION("""COMPUTED_VALUE"""),45059.3502484143)</f>
        <v>45059.35025</v>
      </c>
      <c r="D8085" s="15">
        <f>IFERROR(__xludf.DUMMYFUNCTION("""COMPUTED_VALUE"""),1.016)</f>
        <v>1.016</v>
      </c>
      <c r="E8085" s="16">
        <f>IFERROR(__xludf.DUMMYFUNCTION("""COMPUTED_VALUE"""),64.0)</f>
        <v>64</v>
      </c>
      <c r="F8085" s="19" t="str">
        <f>IFERROR(__xludf.DUMMYFUNCTION("""COMPUTED_VALUE"""),"BLUE")</f>
        <v>BLUE</v>
      </c>
      <c r="G8085" s="20" t="str">
        <f>IFERROR(__xludf.DUMMYFUNCTION("""COMPUTED_VALUE"""),"Uncle Sams Cider (04/04/2023)")</f>
        <v>Uncle Sams Cider (04/04/2023)</v>
      </c>
      <c r="H8085" s="19"/>
    </row>
    <row r="8086">
      <c r="A8086" s="9"/>
      <c r="B8086" s="15"/>
      <c r="C8086" s="9">
        <f>IFERROR(__xludf.DUMMYFUNCTION("""COMPUTED_VALUE"""),45059.3398276157)</f>
        <v>45059.33983</v>
      </c>
      <c r="D8086" s="15">
        <f>IFERROR(__xludf.DUMMYFUNCTION("""COMPUTED_VALUE"""),1.016)</f>
        <v>1.016</v>
      </c>
      <c r="E8086" s="16">
        <f>IFERROR(__xludf.DUMMYFUNCTION("""COMPUTED_VALUE"""),64.0)</f>
        <v>64</v>
      </c>
      <c r="F8086" s="19" t="str">
        <f>IFERROR(__xludf.DUMMYFUNCTION("""COMPUTED_VALUE"""),"BLUE")</f>
        <v>BLUE</v>
      </c>
      <c r="G8086" s="20" t="str">
        <f>IFERROR(__xludf.DUMMYFUNCTION("""COMPUTED_VALUE"""),"Uncle Sams Cider (04/04/2023)")</f>
        <v>Uncle Sams Cider (04/04/2023)</v>
      </c>
      <c r="H8086" s="19"/>
    </row>
    <row r="8087">
      <c r="A8087" s="9"/>
      <c r="B8087" s="15"/>
      <c r="C8087" s="9">
        <f>IFERROR(__xludf.DUMMYFUNCTION("""COMPUTED_VALUE"""),45059.3293930902)</f>
        <v>45059.32939</v>
      </c>
      <c r="D8087" s="15">
        <f>IFERROR(__xludf.DUMMYFUNCTION("""COMPUTED_VALUE"""),1.017)</f>
        <v>1.017</v>
      </c>
      <c r="E8087" s="16">
        <f>IFERROR(__xludf.DUMMYFUNCTION("""COMPUTED_VALUE"""),64.0)</f>
        <v>64</v>
      </c>
      <c r="F8087" s="19" t="str">
        <f>IFERROR(__xludf.DUMMYFUNCTION("""COMPUTED_VALUE"""),"BLUE")</f>
        <v>BLUE</v>
      </c>
      <c r="G8087" s="20" t="str">
        <f>IFERROR(__xludf.DUMMYFUNCTION("""COMPUTED_VALUE"""),"Uncle Sams Cider (04/04/2023)")</f>
        <v>Uncle Sams Cider (04/04/2023)</v>
      </c>
      <c r="H8087" s="19"/>
    </row>
    <row r="8088">
      <c r="A8088" s="9"/>
      <c r="B8088" s="15"/>
      <c r="C8088" s="9">
        <f>IFERROR(__xludf.DUMMYFUNCTION("""COMPUTED_VALUE"""),45059.31897103)</f>
        <v>45059.31897</v>
      </c>
      <c r="D8088" s="15">
        <f>IFERROR(__xludf.DUMMYFUNCTION("""COMPUTED_VALUE"""),1.016)</f>
        <v>1.016</v>
      </c>
      <c r="E8088" s="16">
        <f>IFERROR(__xludf.DUMMYFUNCTION("""COMPUTED_VALUE"""),64.0)</f>
        <v>64</v>
      </c>
      <c r="F8088" s="19" t="str">
        <f>IFERROR(__xludf.DUMMYFUNCTION("""COMPUTED_VALUE"""),"BLUE")</f>
        <v>BLUE</v>
      </c>
      <c r="G8088" s="20" t="str">
        <f>IFERROR(__xludf.DUMMYFUNCTION("""COMPUTED_VALUE"""),"Uncle Sams Cider (04/04/2023)")</f>
        <v>Uncle Sams Cider (04/04/2023)</v>
      </c>
      <c r="H8088" s="19"/>
    </row>
    <row r="8089">
      <c r="A8089" s="9"/>
      <c r="B8089" s="15"/>
      <c r="C8089" s="9">
        <f>IFERROR(__xludf.DUMMYFUNCTION("""COMPUTED_VALUE"""),45059.3085396643)</f>
        <v>45059.30854</v>
      </c>
      <c r="D8089" s="15">
        <f>IFERROR(__xludf.DUMMYFUNCTION("""COMPUTED_VALUE"""),1.017)</f>
        <v>1.017</v>
      </c>
      <c r="E8089" s="16">
        <f>IFERROR(__xludf.DUMMYFUNCTION("""COMPUTED_VALUE"""),64.0)</f>
        <v>64</v>
      </c>
      <c r="F8089" s="19" t="str">
        <f>IFERROR(__xludf.DUMMYFUNCTION("""COMPUTED_VALUE"""),"BLUE")</f>
        <v>BLUE</v>
      </c>
      <c r="G8089" s="20" t="str">
        <f>IFERROR(__xludf.DUMMYFUNCTION("""COMPUTED_VALUE"""),"Uncle Sams Cider (04/04/2023)")</f>
        <v>Uncle Sams Cider (04/04/2023)</v>
      </c>
      <c r="H8089" s="19"/>
    </row>
    <row r="8090">
      <c r="A8090" s="9"/>
      <c r="B8090" s="15"/>
      <c r="C8090" s="9">
        <f>IFERROR(__xludf.DUMMYFUNCTION("""COMPUTED_VALUE"""),45059.2981189004)</f>
        <v>45059.29812</v>
      </c>
      <c r="D8090" s="15">
        <f>IFERROR(__xludf.DUMMYFUNCTION("""COMPUTED_VALUE"""),1.016)</f>
        <v>1.016</v>
      </c>
      <c r="E8090" s="16">
        <f>IFERROR(__xludf.DUMMYFUNCTION("""COMPUTED_VALUE"""),64.0)</f>
        <v>64</v>
      </c>
      <c r="F8090" s="19" t="str">
        <f>IFERROR(__xludf.DUMMYFUNCTION("""COMPUTED_VALUE"""),"BLUE")</f>
        <v>BLUE</v>
      </c>
      <c r="G8090" s="20" t="str">
        <f>IFERROR(__xludf.DUMMYFUNCTION("""COMPUTED_VALUE"""),"Uncle Sams Cider (04/04/2023)")</f>
        <v>Uncle Sams Cider (04/04/2023)</v>
      </c>
      <c r="H8090" s="19"/>
    </row>
    <row r="8091">
      <c r="A8091" s="9"/>
      <c r="B8091" s="15"/>
      <c r="C8091" s="9">
        <f>IFERROR(__xludf.DUMMYFUNCTION("""COMPUTED_VALUE"""),45059.2876988425)</f>
        <v>45059.2877</v>
      </c>
      <c r="D8091" s="15">
        <f>IFERROR(__xludf.DUMMYFUNCTION("""COMPUTED_VALUE"""),1.016)</f>
        <v>1.016</v>
      </c>
      <c r="E8091" s="16">
        <f>IFERROR(__xludf.DUMMYFUNCTION("""COMPUTED_VALUE"""),64.0)</f>
        <v>64</v>
      </c>
      <c r="F8091" s="19" t="str">
        <f>IFERROR(__xludf.DUMMYFUNCTION("""COMPUTED_VALUE"""),"BLUE")</f>
        <v>BLUE</v>
      </c>
      <c r="G8091" s="20" t="str">
        <f>IFERROR(__xludf.DUMMYFUNCTION("""COMPUTED_VALUE"""),"Uncle Sams Cider (04/04/2023)")</f>
        <v>Uncle Sams Cider (04/04/2023)</v>
      </c>
      <c r="H8091" s="19"/>
    </row>
    <row r="8092">
      <c r="A8092" s="9"/>
      <c r="B8092" s="15"/>
      <c r="C8092" s="9">
        <f>IFERROR(__xludf.DUMMYFUNCTION("""COMPUTED_VALUE"""),45059.2772656713)</f>
        <v>45059.27727</v>
      </c>
      <c r="D8092" s="15">
        <f>IFERROR(__xludf.DUMMYFUNCTION("""COMPUTED_VALUE"""),1.016)</f>
        <v>1.016</v>
      </c>
      <c r="E8092" s="16">
        <f>IFERROR(__xludf.DUMMYFUNCTION("""COMPUTED_VALUE"""),64.0)</f>
        <v>64</v>
      </c>
      <c r="F8092" s="19" t="str">
        <f>IFERROR(__xludf.DUMMYFUNCTION("""COMPUTED_VALUE"""),"BLUE")</f>
        <v>BLUE</v>
      </c>
      <c r="G8092" s="20" t="str">
        <f>IFERROR(__xludf.DUMMYFUNCTION("""COMPUTED_VALUE"""),"Uncle Sams Cider (04/04/2023)")</f>
        <v>Uncle Sams Cider (04/04/2023)</v>
      </c>
      <c r="H8092" s="19"/>
    </row>
    <row r="8093">
      <c r="A8093" s="9"/>
      <c r="B8093" s="15"/>
      <c r="C8093" s="9">
        <f>IFERROR(__xludf.DUMMYFUNCTION("""COMPUTED_VALUE"""),45059.2668453356)</f>
        <v>45059.26685</v>
      </c>
      <c r="D8093" s="15">
        <f>IFERROR(__xludf.DUMMYFUNCTION("""COMPUTED_VALUE"""),1.016)</f>
        <v>1.016</v>
      </c>
      <c r="E8093" s="16">
        <f>IFERROR(__xludf.DUMMYFUNCTION("""COMPUTED_VALUE"""),64.0)</f>
        <v>64</v>
      </c>
      <c r="F8093" s="19" t="str">
        <f>IFERROR(__xludf.DUMMYFUNCTION("""COMPUTED_VALUE"""),"BLUE")</f>
        <v>BLUE</v>
      </c>
      <c r="G8093" s="20" t="str">
        <f>IFERROR(__xludf.DUMMYFUNCTION("""COMPUTED_VALUE"""),"Uncle Sams Cider (04/04/2023)")</f>
        <v>Uncle Sams Cider (04/04/2023)</v>
      </c>
      <c r="H8093" s="19"/>
    </row>
    <row r="8094">
      <c r="A8094" s="9"/>
      <c r="B8094" s="15"/>
      <c r="C8094" s="9">
        <f>IFERROR(__xludf.DUMMYFUNCTION("""COMPUTED_VALUE"""),45059.2564227199)</f>
        <v>45059.25642</v>
      </c>
      <c r="D8094" s="15">
        <f>IFERROR(__xludf.DUMMYFUNCTION("""COMPUTED_VALUE"""),1.016)</f>
        <v>1.016</v>
      </c>
      <c r="E8094" s="16">
        <f>IFERROR(__xludf.DUMMYFUNCTION("""COMPUTED_VALUE"""),64.0)</f>
        <v>64</v>
      </c>
      <c r="F8094" s="19" t="str">
        <f>IFERROR(__xludf.DUMMYFUNCTION("""COMPUTED_VALUE"""),"BLUE")</f>
        <v>BLUE</v>
      </c>
      <c r="G8094" s="20" t="str">
        <f>IFERROR(__xludf.DUMMYFUNCTION("""COMPUTED_VALUE"""),"Uncle Sams Cider (04/04/2023)")</f>
        <v>Uncle Sams Cider (04/04/2023)</v>
      </c>
      <c r="H8094" s="19"/>
    </row>
    <row r="8095">
      <c r="A8095" s="9"/>
      <c r="B8095" s="15"/>
      <c r="C8095" s="9">
        <f>IFERROR(__xludf.DUMMYFUNCTION("""COMPUTED_VALUE"""),45059.2459891551)</f>
        <v>45059.24599</v>
      </c>
      <c r="D8095" s="15">
        <f>IFERROR(__xludf.DUMMYFUNCTION("""COMPUTED_VALUE"""),1.016)</f>
        <v>1.016</v>
      </c>
      <c r="E8095" s="16">
        <f>IFERROR(__xludf.DUMMYFUNCTION("""COMPUTED_VALUE"""),64.0)</f>
        <v>64</v>
      </c>
      <c r="F8095" s="19" t="str">
        <f>IFERROR(__xludf.DUMMYFUNCTION("""COMPUTED_VALUE"""),"BLUE")</f>
        <v>BLUE</v>
      </c>
      <c r="G8095" s="20" t="str">
        <f>IFERROR(__xludf.DUMMYFUNCTION("""COMPUTED_VALUE"""),"Uncle Sams Cider (04/04/2023)")</f>
        <v>Uncle Sams Cider (04/04/2023)</v>
      </c>
      <c r="H8095" s="19"/>
    </row>
    <row r="8096">
      <c r="A8096" s="9"/>
      <c r="B8096" s="15"/>
      <c r="C8096" s="9">
        <f>IFERROR(__xludf.DUMMYFUNCTION("""COMPUTED_VALUE"""),45059.2355689467)</f>
        <v>45059.23557</v>
      </c>
      <c r="D8096" s="15">
        <f>IFERROR(__xludf.DUMMYFUNCTION("""COMPUTED_VALUE"""),1.016)</f>
        <v>1.016</v>
      </c>
      <c r="E8096" s="16">
        <f>IFERROR(__xludf.DUMMYFUNCTION("""COMPUTED_VALUE"""),64.0)</f>
        <v>64</v>
      </c>
      <c r="F8096" s="19" t="str">
        <f>IFERROR(__xludf.DUMMYFUNCTION("""COMPUTED_VALUE"""),"BLUE")</f>
        <v>BLUE</v>
      </c>
      <c r="G8096" s="20" t="str">
        <f>IFERROR(__xludf.DUMMYFUNCTION("""COMPUTED_VALUE"""),"Uncle Sams Cider (04/04/2023)")</f>
        <v>Uncle Sams Cider (04/04/2023)</v>
      </c>
      <c r="H8096" s="19"/>
    </row>
    <row r="8097">
      <c r="A8097" s="9"/>
      <c r="B8097" s="15"/>
      <c r="C8097" s="9">
        <f>IFERROR(__xludf.DUMMYFUNCTION("""COMPUTED_VALUE"""),45059.2251351041)</f>
        <v>45059.22514</v>
      </c>
      <c r="D8097" s="15">
        <f>IFERROR(__xludf.DUMMYFUNCTION("""COMPUTED_VALUE"""),1.016)</f>
        <v>1.016</v>
      </c>
      <c r="E8097" s="16">
        <f>IFERROR(__xludf.DUMMYFUNCTION("""COMPUTED_VALUE"""),64.0)</f>
        <v>64</v>
      </c>
      <c r="F8097" s="19" t="str">
        <f>IFERROR(__xludf.DUMMYFUNCTION("""COMPUTED_VALUE"""),"BLUE")</f>
        <v>BLUE</v>
      </c>
      <c r="G8097" s="20" t="str">
        <f>IFERROR(__xludf.DUMMYFUNCTION("""COMPUTED_VALUE"""),"Uncle Sams Cider (04/04/2023)")</f>
        <v>Uncle Sams Cider (04/04/2023)</v>
      </c>
      <c r="H8097" s="19"/>
    </row>
    <row r="8098">
      <c r="A8098" s="9"/>
      <c r="B8098" s="15"/>
      <c r="C8098" s="9">
        <f>IFERROR(__xludf.DUMMYFUNCTION("""COMPUTED_VALUE"""),45059.2147138078)</f>
        <v>45059.21471</v>
      </c>
      <c r="D8098" s="15">
        <f>IFERROR(__xludf.DUMMYFUNCTION("""COMPUTED_VALUE"""),1.016)</f>
        <v>1.016</v>
      </c>
      <c r="E8098" s="16">
        <f>IFERROR(__xludf.DUMMYFUNCTION("""COMPUTED_VALUE"""),64.0)</f>
        <v>64</v>
      </c>
      <c r="F8098" s="19" t="str">
        <f>IFERROR(__xludf.DUMMYFUNCTION("""COMPUTED_VALUE"""),"BLUE")</f>
        <v>BLUE</v>
      </c>
      <c r="G8098" s="20" t="str">
        <f>IFERROR(__xludf.DUMMYFUNCTION("""COMPUTED_VALUE"""),"Uncle Sams Cider (04/04/2023)")</f>
        <v>Uncle Sams Cider (04/04/2023)</v>
      </c>
      <c r="H8098" s="19"/>
    </row>
    <row r="8099">
      <c r="A8099" s="9"/>
      <c r="B8099" s="15"/>
      <c r="C8099" s="9">
        <f>IFERROR(__xludf.DUMMYFUNCTION("""COMPUTED_VALUE"""),45059.2042934375)</f>
        <v>45059.20429</v>
      </c>
      <c r="D8099" s="15">
        <f>IFERROR(__xludf.DUMMYFUNCTION("""COMPUTED_VALUE"""),1.016)</f>
        <v>1.016</v>
      </c>
      <c r="E8099" s="16">
        <f>IFERROR(__xludf.DUMMYFUNCTION("""COMPUTED_VALUE"""),64.0)</f>
        <v>64</v>
      </c>
      <c r="F8099" s="19" t="str">
        <f>IFERROR(__xludf.DUMMYFUNCTION("""COMPUTED_VALUE"""),"BLUE")</f>
        <v>BLUE</v>
      </c>
      <c r="G8099" s="20" t="str">
        <f>IFERROR(__xludf.DUMMYFUNCTION("""COMPUTED_VALUE"""),"Uncle Sams Cider (04/04/2023)")</f>
        <v>Uncle Sams Cider (04/04/2023)</v>
      </c>
      <c r="H8099" s="19"/>
    </row>
    <row r="8100">
      <c r="A8100" s="9"/>
      <c r="B8100" s="15"/>
      <c r="C8100" s="9">
        <f>IFERROR(__xludf.DUMMYFUNCTION("""COMPUTED_VALUE"""),45059.1938727199)</f>
        <v>45059.19387</v>
      </c>
      <c r="D8100" s="15">
        <f>IFERROR(__xludf.DUMMYFUNCTION("""COMPUTED_VALUE"""),1.017)</f>
        <v>1.017</v>
      </c>
      <c r="E8100" s="16">
        <f>IFERROR(__xludf.DUMMYFUNCTION("""COMPUTED_VALUE"""),64.0)</f>
        <v>64</v>
      </c>
      <c r="F8100" s="19" t="str">
        <f>IFERROR(__xludf.DUMMYFUNCTION("""COMPUTED_VALUE"""),"BLUE")</f>
        <v>BLUE</v>
      </c>
      <c r="G8100" s="20" t="str">
        <f>IFERROR(__xludf.DUMMYFUNCTION("""COMPUTED_VALUE"""),"Uncle Sams Cider (04/04/2023)")</f>
        <v>Uncle Sams Cider (04/04/2023)</v>
      </c>
      <c r="H8100" s="19"/>
    </row>
    <row r="8101">
      <c r="A8101" s="9"/>
      <c r="B8101" s="15"/>
      <c r="C8101" s="9">
        <f>IFERROR(__xludf.DUMMYFUNCTION("""COMPUTED_VALUE"""),45059.1834520833)</f>
        <v>45059.18345</v>
      </c>
      <c r="D8101" s="15">
        <f>IFERROR(__xludf.DUMMYFUNCTION("""COMPUTED_VALUE"""),1.016)</f>
        <v>1.016</v>
      </c>
      <c r="E8101" s="16">
        <f>IFERROR(__xludf.DUMMYFUNCTION("""COMPUTED_VALUE"""),64.0)</f>
        <v>64</v>
      </c>
      <c r="F8101" s="19" t="str">
        <f>IFERROR(__xludf.DUMMYFUNCTION("""COMPUTED_VALUE"""),"BLUE")</f>
        <v>BLUE</v>
      </c>
      <c r="G8101" s="20" t="str">
        <f>IFERROR(__xludf.DUMMYFUNCTION("""COMPUTED_VALUE"""),"Uncle Sams Cider (04/04/2023)")</f>
        <v>Uncle Sams Cider (04/04/2023)</v>
      </c>
      <c r="H8101" s="19"/>
    </row>
    <row r="8102">
      <c r="A8102" s="9"/>
      <c r="B8102" s="15"/>
      <c r="C8102" s="9">
        <f>IFERROR(__xludf.DUMMYFUNCTION("""COMPUTED_VALUE"""),45059.1730327777)</f>
        <v>45059.17303</v>
      </c>
      <c r="D8102" s="15">
        <f>IFERROR(__xludf.DUMMYFUNCTION("""COMPUTED_VALUE"""),1.016)</f>
        <v>1.016</v>
      </c>
      <c r="E8102" s="16">
        <f>IFERROR(__xludf.DUMMYFUNCTION("""COMPUTED_VALUE"""),64.0)</f>
        <v>64</v>
      </c>
      <c r="F8102" s="19" t="str">
        <f>IFERROR(__xludf.DUMMYFUNCTION("""COMPUTED_VALUE"""),"BLUE")</f>
        <v>BLUE</v>
      </c>
      <c r="G8102" s="20" t="str">
        <f>IFERROR(__xludf.DUMMYFUNCTION("""COMPUTED_VALUE"""),"Uncle Sams Cider (04/04/2023)")</f>
        <v>Uncle Sams Cider (04/04/2023)</v>
      </c>
      <c r="H8102" s="19"/>
    </row>
    <row r="8103">
      <c r="A8103" s="9"/>
      <c r="B8103" s="15"/>
      <c r="C8103" s="9">
        <f>IFERROR(__xludf.DUMMYFUNCTION("""COMPUTED_VALUE"""),45059.1626125231)</f>
        <v>45059.16261</v>
      </c>
      <c r="D8103" s="15">
        <f>IFERROR(__xludf.DUMMYFUNCTION("""COMPUTED_VALUE"""),1.017)</f>
        <v>1.017</v>
      </c>
      <c r="E8103" s="16">
        <f>IFERROR(__xludf.DUMMYFUNCTION("""COMPUTED_VALUE"""),64.0)</f>
        <v>64</v>
      </c>
      <c r="F8103" s="19" t="str">
        <f>IFERROR(__xludf.DUMMYFUNCTION("""COMPUTED_VALUE"""),"BLUE")</f>
        <v>BLUE</v>
      </c>
      <c r="G8103" s="20" t="str">
        <f>IFERROR(__xludf.DUMMYFUNCTION("""COMPUTED_VALUE"""),"Uncle Sams Cider (04/04/2023)")</f>
        <v>Uncle Sams Cider (04/04/2023)</v>
      </c>
      <c r="H8103" s="19"/>
    </row>
    <row r="8104">
      <c r="A8104" s="9"/>
      <c r="B8104" s="15"/>
      <c r="C8104" s="9">
        <f>IFERROR(__xludf.DUMMYFUNCTION("""COMPUTED_VALUE"""),45059.1521912615)</f>
        <v>45059.15219</v>
      </c>
      <c r="D8104" s="15">
        <f>IFERROR(__xludf.DUMMYFUNCTION("""COMPUTED_VALUE"""),1.017)</f>
        <v>1.017</v>
      </c>
      <c r="E8104" s="16">
        <f>IFERROR(__xludf.DUMMYFUNCTION("""COMPUTED_VALUE"""),64.0)</f>
        <v>64</v>
      </c>
      <c r="F8104" s="19" t="str">
        <f>IFERROR(__xludf.DUMMYFUNCTION("""COMPUTED_VALUE"""),"BLUE")</f>
        <v>BLUE</v>
      </c>
      <c r="G8104" s="20" t="str">
        <f>IFERROR(__xludf.DUMMYFUNCTION("""COMPUTED_VALUE"""),"Uncle Sams Cider (04/04/2023)")</f>
        <v>Uncle Sams Cider (04/04/2023)</v>
      </c>
      <c r="H8104" s="19"/>
    </row>
    <row r="8105">
      <c r="A8105" s="9"/>
      <c r="B8105" s="15"/>
      <c r="C8105" s="9">
        <f>IFERROR(__xludf.DUMMYFUNCTION("""COMPUTED_VALUE"""),45059.14176978)</f>
        <v>45059.14177</v>
      </c>
      <c r="D8105" s="15">
        <f>IFERROR(__xludf.DUMMYFUNCTION("""COMPUTED_VALUE"""),1.016)</f>
        <v>1.016</v>
      </c>
      <c r="E8105" s="16">
        <f>IFERROR(__xludf.DUMMYFUNCTION("""COMPUTED_VALUE"""),64.0)</f>
        <v>64</v>
      </c>
      <c r="F8105" s="19" t="str">
        <f>IFERROR(__xludf.DUMMYFUNCTION("""COMPUTED_VALUE"""),"BLUE")</f>
        <v>BLUE</v>
      </c>
      <c r="G8105" s="20" t="str">
        <f>IFERROR(__xludf.DUMMYFUNCTION("""COMPUTED_VALUE"""),"Uncle Sams Cider (04/04/2023)")</f>
        <v>Uncle Sams Cider (04/04/2023)</v>
      </c>
      <c r="H8105" s="19"/>
    </row>
    <row r="8106">
      <c r="A8106" s="9"/>
      <c r="B8106" s="15"/>
      <c r="C8106" s="9">
        <f>IFERROR(__xludf.DUMMYFUNCTION("""COMPUTED_VALUE"""),45059.1313494675)</f>
        <v>45059.13135</v>
      </c>
      <c r="D8106" s="15">
        <f>IFERROR(__xludf.DUMMYFUNCTION("""COMPUTED_VALUE"""),1.017)</f>
        <v>1.017</v>
      </c>
      <c r="E8106" s="16">
        <f>IFERROR(__xludf.DUMMYFUNCTION("""COMPUTED_VALUE"""),64.0)</f>
        <v>64</v>
      </c>
      <c r="F8106" s="19" t="str">
        <f>IFERROR(__xludf.DUMMYFUNCTION("""COMPUTED_VALUE"""),"BLUE")</f>
        <v>BLUE</v>
      </c>
      <c r="G8106" s="20" t="str">
        <f>IFERROR(__xludf.DUMMYFUNCTION("""COMPUTED_VALUE"""),"Uncle Sams Cider (04/04/2023)")</f>
        <v>Uncle Sams Cider (04/04/2023)</v>
      </c>
      <c r="H8106" s="19"/>
    </row>
    <row r="8107">
      <c r="A8107" s="9"/>
      <c r="B8107" s="15"/>
      <c r="C8107" s="9">
        <f>IFERROR(__xludf.DUMMYFUNCTION("""COMPUTED_VALUE"""),45059.1209295486)</f>
        <v>45059.12093</v>
      </c>
      <c r="D8107" s="15">
        <f>IFERROR(__xludf.DUMMYFUNCTION("""COMPUTED_VALUE"""),1.016)</f>
        <v>1.016</v>
      </c>
      <c r="E8107" s="16">
        <f>IFERROR(__xludf.DUMMYFUNCTION("""COMPUTED_VALUE"""),64.0)</f>
        <v>64</v>
      </c>
      <c r="F8107" s="19" t="str">
        <f>IFERROR(__xludf.DUMMYFUNCTION("""COMPUTED_VALUE"""),"BLUE")</f>
        <v>BLUE</v>
      </c>
      <c r="G8107" s="20" t="str">
        <f>IFERROR(__xludf.DUMMYFUNCTION("""COMPUTED_VALUE"""),"Uncle Sams Cider (04/04/2023)")</f>
        <v>Uncle Sams Cider (04/04/2023)</v>
      </c>
      <c r="H8107" s="19"/>
    </row>
    <row r="8108">
      <c r="A8108" s="9"/>
      <c r="B8108" s="15"/>
      <c r="C8108" s="9">
        <f>IFERROR(__xludf.DUMMYFUNCTION("""COMPUTED_VALUE"""),45059.110509074)</f>
        <v>45059.11051</v>
      </c>
      <c r="D8108" s="15">
        <f>IFERROR(__xludf.DUMMYFUNCTION("""COMPUTED_VALUE"""),1.017)</f>
        <v>1.017</v>
      </c>
      <c r="E8108" s="16">
        <f>IFERROR(__xludf.DUMMYFUNCTION("""COMPUTED_VALUE"""),64.0)</f>
        <v>64</v>
      </c>
      <c r="F8108" s="19" t="str">
        <f>IFERROR(__xludf.DUMMYFUNCTION("""COMPUTED_VALUE"""),"BLUE")</f>
        <v>BLUE</v>
      </c>
      <c r="G8108" s="20" t="str">
        <f>IFERROR(__xludf.DUMMYFUNCTION("""COMPUTED_VALUE"""),"Uncle Sams Cider (04/04/2023)")</f>
        <v>Uncle Sams Cider (04/04/2023)</v>
      </c>
      <c r="H8108" s="19"/>
    </row>
    <row r="8109">
      <c r="A8109" s="9"/>
      <c r="B8109" s="15"/>
      <c r="C8109" s="9">
        <f>IFERROR(__xludf.DUMMYFUNCTION("""COMPUTED_VALUE"""),45059.1000879629)</f>
        <v>45059.10009</v>
      </c>
      <c r="D8109" s="15">
        <f>IFERROR(__xludf.DUMMYFUNCTION("""COMPUTED_VALUE"""),1.017)</f>
        <v>1.017</v>
      </c>
      <c r="E8109" s="16">
        <f>IFERROR(__xludf.DUMMYFUNCTION("""COMPUTED_VALUE"""),64.0)</f>
        <v>64</v>
      </c>
      <c r="F8109" s="19" t="str">
        <f>IFERROR(__xludf.DUMMYFUNCTION("""COMPUTED_VALUE"""),"BLUE")</f>
        <v>BLUE</v>
      </c>
      <c r="G8109" s="20" t="str">
        <f>IFERROR(__xludf.DUMMYFUNCTION("""COMPUTED_VALUE"""),"Uncle Sams Cider (04/04/2023)")</f>
        <v>Uncle Sams Cider (04/04/2023)</v>
      </c>
      <c r="H8109" s="19"/>
    </row>
    <row r="8110">
      <c r="A8110" s="9"/>
      <c r="B8110" s="15"/>
      <c r="C8110" s="9">
        <f>IFERROR(__xludf.DUMMYFUNCTION("""COMPUTED_VALUE"""),45059.0896677199)</f>
        <v>45059.08967</v>
      </c>
      <c r="D8110" s="15">
        <f>IFERROR(__xludf.DUMMYFUNCTION("""COMPUTED_VALUE"""),1.017)</f>
        <v>1.017</v>
      </c>
      <c r="E8110" s="16">
        <f>IFERROR(__xludf.DUMMYFUNCTION("""COMPUTED_VALUE"""),64.0)</f>
        <v>64</v>
      </c>
      <c r="F8110" s="19" t="str">
        <f>IFERROR(__xludf.DUMMYFUNCTION("""COMPUTED_VALUE"""),"BLUE")</f>
        <v>BLUE</v>
      </c>
      <c r="G8110" s="20" t="str">
        <f>IFERROR(__xludf.DUMMYFUNCTION("""COMPUTED_VALUE"""),"Uncle Sams Cider (04/04/2023)")</f>
        <v>Uncle Sams Cider (04/04/2023)</v>
      </c>
      <c r="H8110" s="19"/>
    </row>
    <row r="8111">
      <c r="A8111" s="9"/>
      <c r="B8111" s="15"/>
      <c r="C8111" s="9">
        <f>IFERROR(__xludf.DUMMYFUNCTION("""COMPUTED_VALUE"""),45059.0792463541)</f>
        <v>45059.07925</v>
      </c>
      <c r="D8111" s="15">
        <f>IFERROR(__xludf.DUMMYFUNCTION("""COMPUTED_VALUE"""),1.017)</f>
        <v>1.017</v>
      </c>
      <c r="E8111" s="16">
        <f>IFERROR(__xludf.DUMMYFUNCTION("""COMPUTED_VALUE"""),64.0)</f>
        <v>64</v>
      </c>
      <c r="F8111" s="19" t="str">
        <f>IFERROR(__xludf.DUMMYFUNCTION("""COMPUTED_VALUE"""),"BLUE")</f>
        <v>BLUE</v>
      </c>
      <c r="G8111" s="20" t="str">
        <f>IFERROR(__xludf.DUMMYFUNCTION("""COMPUTED_VALUE"""),"Uncle Sams Cider (04/04/2023)")</f>
        <v>Uncle Sams Cider (04/04/2023)</v>
      </c>
      <c r="H8111" s="19"/>
    </row>
    <row r="8112">
      <c r="A8112" s="9"/>
      <c r="B8112" s="15"/>
      <c r="C8112" s="9">
        <f>IFERROR(__xludf.DUMMYFUNCTION("""COMPUTED_VALUE"""),45059.068823993)</f>
        <v>45059.06882</v>
      </c>
      <c r="D8112" s="15">
        <f>IFERROR(__xludf.DUMMYFUNCTION("""COMPUTED_VALUE"""),1.016)</f>
        <v>1.016</v>
      </c>
      <c r="E8112" s="16">
        <f>IFERROR(__xludf.DUMMYFUNCTION("""COMPUTED_VALUE"""),64.0)</f>
        <v>64</v>
      </c>
      <c r="F8112" s="19" t="str">
        <f>IFERROR(__xludf.DUMMYFUNCTION("""COMPUTED_VALUE"""),"BLUE")</f>
        <v>BLUE</v>
      </c>
      <c r="G8112" s="20" t="str">
        <f>IFERROR(__xludf.DUMMYFUNCTION("""COMPUTED_VALUE"""),"Uncle Sams Cider (04/04/2023)")</f>
        <v>Uncle Sams Cider (04/04/2023)</v>
      </c>
      <c r="H8112" s="19"/>
    </row>
    <row r="8113">
      <c r="A8113" s="9"/>
      <c r="B8113" s="15"/>
      <c r="C8113" s="9">
        <f>IFERROR(__xludf.DUMMYFUNCTION("""COMPUTED_VALUE"""),45059.0584042361)</f>
        <v>45059.0584</v>
      </c>
      <c r="D8113" s="15">
        <f>IFERROR(__xludf.DUMMYFUNCTION("""COMPUTED_VALUE"""),1.016)</f>
        <v>1.016</v>
      </c>
      <c r="E8113" s="16">
        <f>IFERROR(__xludf.DUMMYFUNCTION("""COMPUTED_VALUE"""),64.0)</f>
        <v>64</v>
      </c>
      <c r="F8113" s="19" t="str">
        <f>IFERROR(__xludf.DUMMYFUNCTION("""COMPUTED_VALUE"""),"BLUE")</f>
        <v>BLUE</v>
      </c>
      <c r="G8113" s="20" t="str">
        <f>IFERROR(__xludf.DUMMYFUNCTION("""COMPUTED_VALUE"""),"Uncle Sams Cider (04/04/2023)")</f>
        <v>Uncle Sams Cider (04/04/2023)</v>
      </c>
      <c r="H8113" s="19"/>
    </row>
    <row r="8114">
      <c r="A8114" s="9"/>
      <c r="B8114" s="15"/>
      <c r="C8114" s="9">
        <f>IFERROR(__xludf.DUMMYFUNCTION("""COMPUTED_VALUE"""),45059.0479710416)</f>
        <v>45059.04797</v>
      </c>
      <c r="D8114" s="15">
        <f>IFERROR(__xludf.DUMMYFUNCTION("""COMPUTED_VALUE"""),1.017)</f>
        <v>1.017</v>
      </c>
      <c r="E8114" s="16">
        <f>IFERROR(__xludf.DUMMYFUNCTION("""COMPUTED_VALUE"""),64.0)</f>
        <v>64</v>
      </c>
      <c r="F8114" s="19" t="str">
        <f>IFERROR(__xludf.DUMMYFUNCTION("""COMPUTED_VALUE"""),"BLUE")</f>
        <v>BLUE</v>
      </c>
      <c r="G8114" s="20" t="str">
        <f>IFERROR(__xludf.DUMMYFUNCTION("""COMPUTED_VALUE"""),"Uncle Sams Cider (04/04/2023)")</f>
        <v>Uncle Sams Cider (04/04/2023)</v>
      </c>
      <c r="H8114" s="19"/>
    </row>
    <row r="8115">
      <c r="A8115" s="9"/>
      <c r="B8115" s="15"/>
      <c r="C8115" s="9">
        <f>IFERROR(__xludf.DUMMYFUNCTION("""COMPUTED_VALUE"""),45059.0375498264)</f>
        <v>45059.03755</v>
      </c>
      <c r="D8115" s="15">
        <f>IFERROR(__xludf.DUMMYFUNCTION("""COMPUTED_VALUE"""),1.016)</f>
        <v>1.016</v>
      </c>
      <c r="E8115" s="16">
        <f>IFERROR(__xludf.DUMMYFUNCTION("""COMPUTED_VALUE"""),64.0)</f>
        <v>64</v>
      </c>
      <c r="F8115" s="19" t="str">
        <f>IFERROR(__xludf.DUMMYFUNCTION("""COMPUTED_VALUE"""),"BLUE")</f>
        <v>BLUE</v>
      </c>
      <c r="G8115" s="20" t="str">
        <f>IFERROR(__xludf.DUMMYFUNCTION("""COMPUTED_VALUE"""),"Uncle Sams Cider (04/04/2023)")</f>
        <v>Uncle Sams Cider (04/04/2023)</v>
      </c>
      <c r="H8115" s="19"/>
    </row>
    <row r="8116">
      <c r="A8116" s="9"/>
      <c r="B8116" s="15"/>
      <c r="C8116" s="9">
        <f>IFERROR(__xludf.DUMMYFUNCTION("""COMPUTED_VALUE"""),45059.0271278125)</f>
        <v>45059.02713</v>
      </c>
      <c r="D8116" s="15">
        <f>IFERROR(__xludf.DUMMYFUNCTION("""COMPUTED_VALUE"""),1.016)</f>
        <v>1.016</v>
      </c>
      <c r="E8116" s="16">
        <f>IFERROR(__xludf.DUMMYFUNCTION("""COMPUTED_VALUE"""),64.0)</f>
        <v>64</v>
      </c>
      <c r="F8116" s="19" t="str">
        <f>IFERROR(__xludf.DUMMYFUNCTION("""COMPUTED_VALUE"""),"BLUE")</f>
        <v>BLUE</v>
      </c>
      <c r="G8116" s="20" t="str">
        <f>IFERROR(__xludf.DUMMYFUNCTION("""COMPUTED_VALUE"""),"Uncle Sams Cider (04/04/2023)")</f>
        <v>Uncle Sams Cider (04/04/2023)</v>
      </c>
      <c r="H8116" s="19"/>
    </row>
    <row r="8117">
      <c r="A8117" s="9"/>
      <c r="B8117" s="15"/>
      <c r="C8117" s="9">
        <f>IFERROR(__xludf.DUMMYFUNCTION("""COMPUTED_VALUE"""),45059.0167061921)</f>
        <v>45059.01671</v>
      </c>
      <c r="D8117" s="15">
        <f>IFERROR(__xludf.DUMMYFUNCTION("""COMPUTED_VALUE"""),1.016)</f>
        <v>1.016</v>
      </c>
      <c r="E8117" s="16">
        <f>IFERROR(__xludf.DUMMYFUNCTION("""COMPUTED_VALUE"""),64.0)</f>
        <v>64</v>
      </c>
      <c r="F8117" s="19" t="str">
        <f>IFERROR(__xludf.DUMMYFUNCTION("""COMPUTED_VALUE"""),"BLUE")</f>
        <v>BLUE</v>
      </c>
      <c r="G8117" s="20" t="str">
        <f>IFERROR(__xludf.DUMMYFUNCTION("""COMPUTED_VALUE"""),"Uncle Sams Cider (04/04/2023)")</f>
        <v>Uncle Sams Cider (04/04/2023)</v>
      </c>
      <c r="H8117" s="19"/>
    </row>
    <row r="8118">
      <c r="A8118" s="9"/>
      <c r="B8118" s="15"/>
      <c r="C8118" s="9">
        <f>IFERROR(__xludf.DUMMYFUNCTION("""COMPUTED_VALUE"""),45059.0062763078)</f>
        <v>45059.00628</v>
      </c>
      <c r="D8118" s="15">
        <f>IFERROR(__xludf.DUMMYFUNCTION("""COMPUTED_VALUE"""),1.017)</f>
        <v>1.017</v>
      </c>
      <c r="E8118" s="16">
        <f>IFERROR(__xludf.DUMMYFUNCTION("""COMPUTED_VALUE"""),64.0)</f>
        <v>64</v>
      </c>
      <c r="F8118" s="19" t="str">
        <f>IFERROR(__xludf.DUMMYFUNCTION("""COMPUTED_VALUE"""),"BLUE")</f>
        <v>BLUE</v>
      </c>
      <c r="G8118" s="20" t="str">
        <f>IFERROR(__xludf.DUMMYFUNCTION("""COMPUTED_VALUE"""),"Uncle Sams Cider (04/04/2023)")</f>
        <v>Uncle Sams Cider (04/04/2023)</v>
      </c>
      <c r="H8118" s="19"/>
    </row>
    <row r="8119">
      <c r="A8119" s="9"/>
      <c r="B8119" s="15"/>
      <c r="C8119" s="9">
        <f>IFERROR(__xludf.DUMMYFUNCTION("""COMPUTED_VALUE"""),45058.9958543287)</f>
        <v>45058.99585</v>
      </c>
      <c r="D8119" s="15">
        <f>IFERROR(__xludf.DUMMYFUNCTION("""COMPUTED_VALUE"""),1.017)</f>
        <v>1.017</v>
      </c>
      <c r="E8119" s="16">
        <f>IFERROR(__xludf.DUMMYFUNCTION("""COMPUTED_VALUE"""),64.0)</f>
        <v>64</v>
      </c>
      <c r="F8119" s="19" t="str">
        <f>IFERROR(__xludf.DUMMYFUNCTION("""COMPUTED_VALUE"""),"BLUE")</f>
        <v>BLUE</v>
      </c>
      <c r="G8119" s="20" t="str">
        <f>IFERROR(__xludf.DUMMYFUNCTION("""COMPUTED_VALUE"""),"Uncle Sams Cider (04/04/2023)")</f>
        <v>Uncle Sams Cider (04/04/2023)</v>
      </c>
      <c r="H8119" s="19"/>
    </row>
    <row r="8120">
      <c r="A8120" s="9"/>
      <c r="B8120" s="15"/>
      <c r="C8120" s="9">
        <f>IFERROR(__xludf.DUMMYFUNCTION("""COMPUTED_VALUE"""),45058.9854337731)</f>
        <v>45058.98543</v>
      </c>
      <c r="D8120" s="15">
        <f>IFERROR(__xludf.DUMMYFUNCTION("""COMPUTED_VALUE"""),1.017)</f>
        <v>1.017</v>
      </c>
      <c r="E8120" s="16">
        <f>IFERROR(__xludf.DUMMYFUNCTION("""COMPUTED_VALUE"""),64.0)</f>
        <v>64</v>
      </c>
      <c r="F8120" s="19" t="str">
        <f>IFERROR(__xludf.DUMMYFUNCTION("""COMPUTED_VALUE"""),"BLUE")</f>
        <v>BLUE</v>
      </c>
      <c r="G8120" s="20" t="str">
        <f>IFERROR(__xludf.DUMMYFUNCTION("""COMPUTED_VALUE"""),"Uncle Sams Cider (04/04/2023)")</f>
        <v>Uncle Sams Cider (04/04/2023)</v>
      </c>
      <c r="H8120" s="19"/>
    </row>
    <row r="8121">
      <c r="A8121" s="9"/>
      <c r="B8121" s="15"/>
      <c r="C8121" s="9">
        <f>IFERROR(__xludf.DUMMYFUNCTION("""COMPUTED_VALUE"""),45058.9750107638)</f>
        <v>45058.97501</v>
      </c>
      <c r="D8121" s="15">
        <f>IFERROR(__xludf.DUMMYFUNCTION("""COMPUTED_VALUE"""),1.017)</f>
        <v>1.017</v>
      </c>
      <c r="E8121" s="16">
        <f>IFERROR(__xludf.DUMMYFUNCTION("""COMPUTED_VALUE"""),64.0)</f>
        <v>64</v>
      </c>
      <c r="F8121" s="19" t="str">
        <f>IFERROR(__xludf.DUMMYFUNCTION("""COMPUTED_VALUE"""),"BLUE")</f>
        <v>BLUE</v>
      </c>
      <c r="G8121" s="20" t="str">
        <f>IFERROR(__xludf.DUMMYFUNCTION("""COMPUTED_VALUE"""),"Uncle Sams Cider (04/04/2023)")</f>
        <v>Uncle Sams Cider (04/04/2023)</v>
      </c>
      <c r="H8121" s="19"/>
    </row>
    <row r="8122">
      <c r="A8122" s="9"/>
      <c r="B8122" s="15"/>
      <c r="C8122" s="9">
        <f>IFERROR(__xludf.DUMMYFUNCTION("""COMPUTED_VALUE"""),45058.9645886921)</f>
        <v>45058.96459</v>
      </c>
      <c r="D8122" s="15">
        <f>IFERROR(__xludf.DUMMYFUNCTION("""COMPUTED_VALUE"""),1.017)</f>
        <v>1.017</v>
      </c>
      <c r="E8122" s="16">
        <f>IFERROR(__xludf.DUMMYFUNCTION("""COMPUTED_VALUE"""),64.0)</f>
        <v>64</v>
      </c>
      <c r="F8122" s="19" t="str">
        <f>IFERROR(__xludf.DUMMYFUNCTION("""COMPUTED_VALUE"""),"BLUE")</f>
        <v>BLUE</v>
      </c>
      <c r="G8122" s="20" t="str">
        <f>IFERROR(__xludf.DUMMYFUNCTION("""COMPUTED_VALUE"""),"Uncle Sams Cider (04/04/2023)")</f>
        <v>Uncle Sams Cider (04/04/2023)</v>
      </c>
      <c r="H8122" s="19"/>
    </row>
    <row r="8123">
      <c r="A8123" s="9"/>
      <c r="B8123" s="15"/>
      <c r="C8123" s="9">
        <f>IFERROR(__xludf.DUMMYFUNCTION("""COMPUTED_VALUE"""),45058.9541686458)</f>
        <v>45058.95417</v>
      </c>
      <c r="D8123" s="15">
        <f>IFERROR(__xludf.DUMMYFUNCTION("""COMPUTED_VALUE"""),1.017)</f>
        <v>1.017</v>
      </c>
      <c r="E8123" s="16">
        <f>IFERROR(__xludf.DUMMYFUNCTION("""COMPUTED_VALUE"""),64.0)</f>
        <v>64</v>
      </c>
      <c r="F8123" s="19" t="str">
        <f>IFERROR(__xludf.DUMMYFUNCTION("""COMPUTED_VALUE"""),"BLUE")</f>
        <v>BLUE</v>
      </c>
      <c r="G8123" s="20" t="str">
        <f>IFERROR(__xludf.DUMMYFUNCTION("""COMPUTED_VALUE"""),"Uncle Sams Cider (04/04/2023)")</f>
        <v>Uncle Sams Cider (04/04/2023)</v>
      </c>
      <c r="H8123" s="19"/>
    </row>
    <row r="8124">
      <c r="A8124" s="9"/>
      <c r="B8124" s="15"/>
      <c r="C8124" s="9">
        <f>IFERROR(__xludf.DUMMYFUNCTION("""COMPUTED_VALUE"""),45058.943724375)</f>
        <v>45058.94372</v>
      </c>
      <c r="D8124" s="15">
        <f>IFERROR(__xludf.DUMMYFUNCTION("""COMPUTED_VALUE"""),1.017)</f>
        <v>1.017</v>
      </c>
      <c r="E8124" s="16">
        <f>IFERROR(__xludf.DUMMYFUNCTION("""COMPUTED_VALUE"""),64.0)</f>
        <v>64</v>
      </c>
      <c r="F8124" s="19" t="str">
        <f>IFERROR(__xludf.DUMMYFUNCTION("""COMPUTED_VALUE"""),"BLUE")</f>
        <v>BLUE</v>
      </c>
      <c r="G8124" s="20" t="str">
        <f>IFERROR(__xludf.DUMMYFUNCTION("""COMPUTED_VALUE"""),"Uncle Sams Cider (04/04/2023)")</f>
        <v>Uncle Sams Cider (04/04/2023)</v>
      </c>
      <c r="H8124" s="19"/>
    </row>
    <row r="8125">
      <c r="A8125" s="9"/>
      <c r="B8125" s="15"/>
      <c r="C8125" s="9">
        <f>IFERROR(__xludf.DUMMYFUNCTION("""COMPUTED_VALUE"""),45058.9333018287)</f>
        <v>45058.9333</v>
      </c>
      <c r="D8125" s="15">
        <f>IFERROR(__xludf.DUMMYFUNCTION("""COMPUTED_VALUE"""),1.017)</f>
        <v>1.017</v>
      </c>
      <c r="E8125" s="16">
        <f>IFERROR(__xludf.DUMMYFUNCTION("""COMPUTED_VALUE"""),64.0)</f>
        <v>64</v>
      </c>
      <c r="F8125" s="19" t="str">
        <f>IFERROR(__xludf.DUMMYFUNCTION("""COMPUTED_VALUE"""),"BLUE")</f>
        <v>BLUE</v>
      </c>
      <c r="G8125" s="20" t="str">
        <f>IFERROR(__xludf.DUMMYFUNCTION("""COMPUTED_VALUE"""),"Uncle Sams Cider (04/04/2023)")</f>
        <v>Uncle Sams Cider (04/04/2023)</v>
      </c>
      <c r="H8125" s="19"/>
    </row>
    <row r="8126">
      <c r="A8126" s="9"/>
      <c r="B8126" s="15"/>
      <c r="C8126" s="9">
        <f>IFERROR(__xludf.DUMMYFUNCTION("""COMPUTED_VALUE"""),45058.922880324)</f>
        <v>45058.92288</v>
      </c>
      <c r="D8126" s="15">
        <f>IFERROR(__xludf.DUMMYFUNCTION("""COMPUTED_VALUE"""),1.017)</f>
        <v>1.017</v>
      </c>
      <c r="E8126" s="16">
        <f>IFERROR(__xludf.DUMMYFUNCTION("""COMPUTED_VALUE"""),64.0)</f>
        <v>64</v>
      </c>
      <c r="F8126" s="19" t="str">
        <f>IFERROR(__xludf.DUMMYFUNCTION("""COMPUTED_VALUE"""),"BLUE")</f>
        <v>BLUE</v>
      </c>
      <c r="G8126" s="20" t="str">
        <f>IFERROR(__xludf.DUMMYFUNCTION("""COMPUTED_VALUE"""),"Uncle Sams Cider (04/04/2023)")</f>
        <v>Uncle Sams Cider (04/04/2023)</v>
      </c>
      <c r="H8126" s="19"/>
    </row>
    <row r="8127">
      <c r="A8127" s="9"/>
      <c r="B8127" s="15"/>
      <c r="C8127" s="9">
        <f>IFERROR(__xludf.DUMMYFUNCTION("""COMPUTED_VALUE"""),45058.9124584722)</f>
        <v>45058.91246</v>
      </c>
      <c r="D8127" s="15">
        <f>IFERROR(__xludf.DUMMYFUNCTION("""COMPUTED_VALUE"""),1.017)</f>
        <v>1.017</v>
      </c>
      <c r="E8127" s="16">
        <f>IFERROR(__xludf.DUMMYFUNCTION("""COMPUTED_VALUE"""),64.0)</f>
        <v>64</v>
      </c>
      <c r="F8127" s="19" t="str">
        <f>IFERROR(__xludf.DUMMYFUNCTION("""COMPUTED_VALUE"""),"BLUE")</f>
        <v>BLUE</v>
      </c>
      <c r="G8127" s="20" t="str">
        <f>IFERROR(__xludf.DUMMYFUNCTION("""COMPUTED_VALUE"""),"Uncle Sams Cider (04/04/2023)")</f>
        <v>Uncle Sams Cider (04/04/2023)</v>
      </c>
      <c r="H8127" s="19"/>
    </row>
    <row r="8128">
      <c r="A8128" s="9"/>
      <c r="B8128" s="15"/>
      <c r="C8128" s="9">
        <f>IFERROR(__xludf.DUMMYFUNCTION("""COMPUTED_VALUE"""),45058.9020370139)</f>
        <v>45058.90204</v>
      </c>
      <c r="D8128" s="15">
        <f>IFERROR(__xludf.DUMMYFUNCTION("""COMPUTED_VALUE"""),1.017)</f>
        <v>1.017</v>
      </c>
      <c r="E8128" s="16">
        <f>IFERROR(__xludf.DUMMYFUNCTION("""COMPUTED_VALUE"""),64.0)</f>
        <v>64</v>
      </c>
      <c r="F8128" s="19" t="str">
        <f>IFERROR(__xludf.DUMMYFUNCTION("""COMPUTED_VALUE"""),"BLUE")</f>
        <v>BLUE</v>
      </c>
      <c r="G8128" s="20" t="str">
        <f>IFERROR(__xludf.DUMMYFUNCTION("""COMPUTED_VALUE"""),"Uncle Sams Cider (04/04/2023)")</f>
        <v>Uncle Sams Cider (04/04/2023)</v>
      </c>
      <c r="H8128" s="19"/>
    </row>
    <row r="8129">
      <c r="A8129" s="9"/>
      <c r="B8129" s="15"/>
      <c r="C8129" s="9">
        <f>IFERROR(__xludf.DUMMYFUNCTION("""COMPUTED_VALUE"""),45058.8916166551)</f>
        <v>45058.89162</v>
      </c>
      <c r="D8129" s="15">
        <f>IFERROR(__xludf.DUMMYFUNCTION("""COMPUTED_VALUE"""),1.017)</f>
        <v>1.017</v>
      </c>
      <c r="E8129" s="16">
        <f>IFERROR(__xludf.DUMMYFUNCTION("""COMPUTED_VALUE"""),64.0)</f>
        <v>64</v>
      </c>
      <c r="F8129" s="19" t="str">
        <f>IFERROR(__xludf.DUMMYFUNCTION("""COMPUTED_VALUE"""),"BLUE")</f>
        <v>BLUE</v>
      </c>
      <c r="G8129" s="20" t="str">
        <f>IFERROR(__xludf.DUMMYFUNCTION("""COMPUTED_VALUE"""),"Uncle Sams Cider (04/04/2023)")</f>
        <v>Uncle Sams Cider (04/04/2023)</v>
      </c>
      <c r="H8129" s="19"/>
    </row>
    <row r="8130">
      <c r="A8130" s="9"/>
      <c r="B8130" s="15"/>
      <c r="C8130" s="9">
        <f>IFERROR(__xludf.DUMMYFUNCTION("""COMPUTED_VALUE"""),45058.8811946759)</f>
        <v>45058.88119</v>
      </c>
      <c r="D8130" s="15">
        <f>IFERROR(__xludf.DUMMYFUNCTION("""COMPUTED_VALUE"""),1.017)</f>
        <v>1.017</v>
      </c>
      <c r="E8130" s="16">
        <f>IFERROR(__xludf.DUMMYFUNCTION("""COMPUTED_VALUE"""),64.0)</f>
        <v>64</v>
      </c>
      <c r="F8130" s="19" t="str">
        <f>IFERROR(__xludf.DUMMYFUNCTION("""COMPUTED_VALUE"""),"BLUE")</f>
        <v>BLUE</v>
      </c>
      <c r="G8130" s="20" t="str">
        <f>IFERROR(__xludf.DUMMYFUNCTION("""COMPUTED_VALUE"""),"Uncle Sams Cider (04/04/2023)")</f>
        <v>Uncle Sams Cider (04/04/2023)</v>
      </c>
      <c r="H8130" s="19"/>
    </row>
    <row r="8131">
      <c r="A8131" s="9"/>
      <c r="B8131" s="15"/>
      <c r="C8131" s="9">
        <f>IFERROR(__xludf.DUMMYFUNCTION("""COMPUTED_VALUE"""),45058.8707746064)</f>
        <v>45058.87077</v>
      </c>
      <c r="D8131" s="15">
        <f>IFERROR(__xludf.DUMMYFUNCTION("""COMPUTED_VALUE"""),1.017)</f>
        <v>1.017</v>
      </c>
      <c r="E8131" s="16">
        <f>IFERROR(__xludf.DUMMYFUNCTION("""COMPUTED_VALUE"""),64.0)</f>
        <v>64</v>
      </c>
      <c r="F8131" s="19" t="str">
        <f>IFERROR(__xludf.DUMMYFUNCTION("""COMPUTED_VALUE"""),"BLUE")</f>
        <v>BLUE</v>
      </c>
      <c r="G8131" s="20" t="str">
        <f>IFERROR(__xludf.DUMMYFUNCTION("""COMPUTED_VALUE"""),"Uncle Sams Cider (04/04/2023)")</f>
        <v>Uncle Sams Cider (04/04/2023)</v>
      </c>
      <c r="H8131" s="19"/>
    </row>
    <row r="8132">
      <c r="A8132" s="9"/>
      <c r="B8132" s="15"/>
      <c r="C8132" s="9">
        <f>IFERROR(__xludf.DUMMYFUNCTION("""COMPUTED_VALUE"""),45058.8603534143)</f>
        <v>45058.86035</v>
      </c>
      <c r="D8132" s="15">
        <f>IFERROR(__xludf.DUMMYFUNCTION("""COMPUTED_VALUE"""),1.017)</f>
        <v>1.017</v>
      </c>
      <c r="E8132" s="16">
        <f>IFERROR(__xludf.DUMMYFUNCTION("""COMPUTED_VALUE"""),64.0)</f>
        <v>64</v>
      </c>
      <c r="F8132" s="19" t="str">
        <f>IFERROR(__xludf.DUMMYFUNCTION("""COMPUTED_VALUE"""),"BLUE")</f>
        <v>BLUE</v>
      </c>
      <c r="G8132" s="20" t="str">
        <f>IFERROR(__xludf.DUMMYFUNCTION("""COMPUTED_VALUE"""),"Uncle Sams Cider (04/04/2023)")</f>
        <v>Uncle Sams Cider (04/04/2023)</v>
      </c>
      <c r="H8132" s="19"/>
    </row>
    <row r="8133">
      <c r="A8133" s="9"/>
      <c r="B8133" s="15"/>
      <c r="C8133" s="9">
        <f>IFERROR(__xludf.DUMMYFUNCTION("""COMPUTED_VALUE"""),45058.8499190393)</f>
        <v>45058.84992</v>
      </c>
      <c r="D8133" s="15">
        <f>IFERROR(__xludf.DUMMYFUNCTION("""COMPUTED_VALUE"""),1.017)</f>
        <v>1.017</v>
      </c>
      <c r="E8133" s="16">
        <f>IFERROR(__xludf.DUMMYFUNCTION("""COMPUTED_VALUE"""),64.0)</f>
        <v>64</v>
      </c>
      <c r="F8133" s="19" t="str">
        <f>IFERROR(__xludf.DUMMYFUNCTION("""COMPUTED_VALUE"""),"BLUE")</f>
        <v>BLUE</v>
      </c>
      <c r="G8133" s="20" t="str">
        <f>IFERROR(__xludf.DUMMYFUNCTION("""COMPUTED_VALUE"""),"Uncle Sams Cider (04/04/2023)")</f>
        <v>Uncle Sams Cider (04/04/2023)</v>
      </c>
      <c r="H8133" s="19"/>
    </row>
    <row r="8134">
      <c r="A8134" s="9"/>
      <c r="B8134" s="15"/>
      <c r="C8134" s="9">
        <f>IFERROR(__xludf.DUMMYFUNCTION("""COMPUTED_VALUE"""),45058.8394975347)</f>
        <v>45058.8395</v>
      </c>
      <c r="D8134" s="15">
        <f>IFERROR(__xludf.DUMMYFUNCTION("""COMPUTED_VALUE"""),1.017)</f>
        <v>1.017</v>
      </c>
      <c r="E8134" s="16">
        <f>IFERROR(__xludf.DUMMYFUNCTION("""COMPUTED_VALUE"""),64.0)</f>
        <v>64</v>
      </c>
      <c r="F8134" s="19" t="str">
        <f>IFERROR(__xludf.DUMMYFUNCTION("""COMPUTED_VALUE"""),"BLUE")</f>
        <v>BLUE</v>
      </c>
      <c r="G8134" s="20" t="str">
        <f>IFERROR(__xludf.DUMMYFUNCTION("""COMPUTED_VALUE"""),"Uncle Sams Cider (04/04/2023)")</f>
        <v>Uncle Sams Cider (04/04/2023)</v>
      </c>
      <c r="H8134" s="19"/>
    </row>
    <row r="8135">
      <c r="A8135" s="9"/>
      <c r="B8135" s="15"/>
      <c r="C8135" s="9">
        <f>IFERROR(__xludf.DUMMYFUNCTION("""COMPUTED_VALUE"""),45058.8290744328)</f>
        <v>45058.82907</v>
      </c>
      <c r="D8135" s="15">
        <f>IFERROR(__xludf.DUMMYFUNCTION("""COMPUTED_VALUE"""),1.017)</f>
        <v>1.017</v>
      </c>
      <c r="E8135" s="16">
        <f>IFERROR(__xludf.DUMMYFUNCTION("""COMPUTED_VALUE"""),64.0)</f>
        <v>64</v>
      </c>
      <c r="F8135" s="19" t="str">
        <f>IFERROR(__xludf.DUMMYFUNCTION("""COMPUTED_VALUE"""),"BLUE")</f>
        <v>BLUE</v>
      </c>
      <c r="G8135" s="20" t="str">
        <f>IFERROR(__xludf.DUMMYFUNCTION("""COMPUTED_VALUE"""),"Uncle Sams Cider (04/04/2023)")</f>
        <v>Uncle Sams Cider (04/04/2023)</v>
      </c>
      <c r="H8135" s="19"/>
    </row>
    <row r="8136">
      <c r="A8136" s="9"/>
      <c r="B8136" s="15"/>
      <c r="C8136" s="9">
        <f>IFERROR(__xludf.DUMMYFUNCTION("""COMPUTED_VALUE"""),45058.8186402777)</f>
        <v>45058.81864</v>
      </c>
      <c r="D8136" s="15">
        <f>IFERROR(__xludf.DUMMYFUNCTION("""COMPUTED_VALUE"""),1.017)</f>
        <v>1.017</v>
      </c>
      <c r="E8136" s="16">
        <f>IFERROR(__xludf.DUMMYFUNCTION("""COMPUTED_VALUE"""),64.0)</f>
        <v>64</v>
      </c>
      <c r="F8136" s="19" t="str">
        <f>IFERROR(__xludf.DUMMYFUNCTION("""COMPUTED_VALUE"""),"BLUE")</f>
        <v>BLUE</v>
      </c>
      <c r="G8136" s="20" t="str">
        <f>IFERROR(__xludf.DUMMYFUNCTION("""COMPUTED_VALUE"""),"Uncle Sams Cider (04/04/2023)")</f>
        <v>Uncle Sams Cider (04/04/2023)</v>
      </c>
      <c r="H8136" s="19"/>
    </row>
    <row r="8137">
      <c r="A8137" s="9"/>
      <c r="B8137" s="15"/>
      <c r="C8137" s="9">
        <f>IFERROR(__xludf.DUMMYFUNCTION("""COMPUTED_VALUE"""),45058.8082167361)</f>
        <v>45058.80822</v>
      </c>
      <c r="D8137" s="15">
        <f>IFERROR(__xludf.DUMMYFUNCTION("""COMPUTED_VALUE"""),1.017)</f>
        <v>1.017</v>
      </c>
      <c r="E8137" s="16">
        <f>IFERROR(__xludf.DUMMYFUNCTION("""COMPUTED_VALUE"""),64.0)</f>
        <v>64</v>
      </c>
      <c r="F8137" s="19" t="str">
        <f>IFERROR(__xludf.DUMMYFUNCTION("""COMPUTED_VALUE"""),"BLUE")</f>
        <v>BLUE</v>
      </c>
      <c r="G8137" s="20" t="str">
        <f>IFERROR(__xludf.DUMMYFUNCTION("""COMPUTED_VALUE"""),"Uncle Sams Cider (04/04/2023)")</f>
        <v>Uncle Sams Cider (04/04/2023)</v>
      </c>
      <c r="H8137" s="19"/>
    </row>
    <row r="8138">
      <c r="A8138" s="9"/>
      <c r="B8138" s="15"/>
      <c r="C8138" s="9">
        <f>IFERROR(__xludf.DUMMYFUNCTION("""COMPUTED_VALUE"""),45058.7977982523)</f>
        <v>45058.7978</v>
      </c>
      <c r="D8138" s="15">
        <f>IFERROR(__xludf.DUMMYFUNCTION("""COMPUTED_VALUE"""),1.017)</f>
        <v>1.017</v>
      </c>
      <c r="E8138" s="16">
        <f>IFERROR(__xludf.DUMMYFUNCTION("""COMPUTED_VALUE"""),64.0)</f>
        <v>64</v>
      </c>
      <c r="F8138" s="19" t="str">
        <f>IFERROR(__xludf.DUMMYFUNCTION("""COMPUTED_VALUE"""),"BLUE")</f>
        <v>BLUE</v>
      </c>
      <c r="G8138" s="20" t="str">
        <f>IFERROR(__xludf.DUMMYFUNCTION("""COMPUTED_VALUE"""),"Uncle Sams Cider (04/04/2023)")</f>
        <v>Uncle Sams Cider (04/04/2023)</v>
      </c>
      <c r="H8138" s="19"/>
    </row>
    <row r="8139">
      <c r="A8139" s="9"/>
      <c r="B8139" s="15"/>
      <c r="C8139" s="9">
        <f>IFERROR(__xludf.DUMMYFUNCTION("""COMPUTED_VALUE"""),45058.7873769676)</f>
        <v>45058.78738</v>
      </c>
      <c r="D8139" s="15">
        <f>IFERROR(__xludf.DUMMYFUNCTION("""COMPUTED_VALUE"""),1.017)</f>
        <v>1.017</v>
      </c>
      <c r="E8139" s="16">
        <f>IFERROR(__xludf.DUMMYFUNCTION("""COMPUTED_VALUE"""),64.0)</f>
        <v>64</v>
      </c>
      <c r="F8139" s="19" t="str">
        <f>IFERROR(__xludf.DUMMYFUNCTION("""COMPUTED_VALUE"""),"BLUE")</f>
        <v>BLUE</v>
      </c>
      <c r="G8139" s="20" t="str">
        <f>IFERROR(__xludf.DUMMYFUNCTION("""COMPUTED_VALUE"""),"Uncle Sams Cider (04/04/2023)")</f>
        <v>Uncle Sams Cider (04/04/2023)</v>
      </c>
      <c r="H8139" s="19"/>
    </row>
    <row r="8140">
      <c r="A8140" s="9"/>
      <c r="B8140" s="15"/>
      <c r="C8140" s="9">
        <f>IFERROR(__xludf.DUMMYFUNCTION("""COMPUTED_VALUE"""),45058.7769572106)</f>
        <v>45058.77696</v>
      </c>
      <c r="D8140" s="15">
        <f>IFERROR(__xludf.DUMMYFUNCTION("""COMPUTED_VALUE"""),1.017)</f>
        <v>1.017</v>
      </c>
      <c r="E8140" s="16">
        <f>IFERROR(__xludf.DUMMYFUNCTION("""COMPUTED_VALUE"""),64.0)</f>
        <v>64</v>
      </c>
      <c r="F8140" s="19" t="str">
        <f>IFERROR(__xludf.DUMMYFUNCTION("""COMPUTED_VALUE"""),"BLUE")</f>
        <v>BLUE</v>
      </c>
      <c r="G8140" s="20" t="str">
        <f>IFERROR(__xludf.DUMMYFUNCTION("""COMPUTED_VALUE"""),"Uncle Sams Cider (04/04/2023)")</f>
        <v>Uncle Sams Cider (04/04/2023)</v>
      </c>
      <c r="H8140" s="19"/>
    </row>
    <row r="8141">
      <c r="A8141" s="9"/>
      <c r="B8141" s="15"/>
      <c r="C8141" s="9">
        <f>IFERROR(__xludf.DUMMYFUNCTION("""COMPUTED_VALUE"""),45058.7665353935)</f>
        <v>45058.76654</v>
      </c>
      <c r="D8141" s="15">
        <f>IFERROR(__xludf.DUMMYFUNCTION("""COMPUTED_VALUE"""),1.017)</f>
        <v>1.017</v>
      </c>
      <c r="E8141" s="16">
        <f>IFERROR(__xludf.DUMMYFUNCTION("""COMPUTED_VALUE"""),64.0)</f>
        <v>64</v>
      </c>
      <c r="F8141" s="19" t="str">
        <f>IFERROR(__xludf.DUMMYFUNCTION("""COMPUTED_VALUE"""),"BLUE")</f>
        <v>BLUE</v>
      </c>
      <c r="G8141" s="20" t="str">
        <f>IFERROR(__xludf.DUMMYFUNCTION("""COMPUTED_VALUE"""),"Uncle Sams Cider (04/04/2023)")</f>
        <v>Uncle Sams Cider (04/04/2023)</v>
      </c>
      <c r="H8141" s="19"/>
    </row>
    <row r="8142">
      <c r="A8142" s="9"/>
      <c r="B8142" s="15"/>
      <c r="C8142" s="9">
        <f>IFERROR(__xludf.DUMMYFUNCTION("""COMPUTED_VALUE"""),45058.7561147222)</f>
        <v>45058.75611</v>
      </c>
      <c r="D8142" s="15">
        <f>IFERROR(__xludf.DUMMYFUNCTION("""COMPUTED_VALUE"""),1.017)</f>
        <v>1.017</v>
      </c>
      <c r="E8142" s="16">
        <f>IFERROR(__xludf.DUMMYFUNCTION("""COMPUTED_VALUE"""),64.0)</f>
        <v>64</v>
      </c>
      <c r="F8142" s="19" t="str">
        <f>IFERROR(__xludf.DUMMYFUNCTION("""COMPUTED_VALUE"""),"BLUE")</f>
        <v>BLUE</v>
      </c>
      <c r="G8142" s="20" t="str">
        <f>IFERROR(__xludf.DUMMYFUNCTION("""COMPUTED_VALUE"""),"Uncle Sams Cider (04/04/2023)")</f>
        <v>Uncle Sams Cider (04/04/2023)</v>
      </c>
      <c r="H8142" s="19"/>
    </row>
    <row r="8143">
      <c r="A8143" s="9"/>
      <c r="B8143" s="15"/>
      <c r="C8143" s="9">
        <f>IFERROR(__xludf.DUMMYFUNCTION("""COMPUTED_VALUE"""),45058.7456938773)</f>
        <v>45058.74569</v>
      </c>
      <c r="D8143" s="15">
        <f>IFERROR(__xludf.DUMMYFUNCTION("""COMPUTED_VALUE"""),1.017)</f>
        <v>1.017</v>
      </c>
      <c r="E8143" s="16">
        <f>IFERROR(__xludf.DUMMYFUNCTION("""COMPUTED_VALUE"""),64.0)</f>
        <v>64</v>
      </c>
      <c r="F8143" s="19" t="str">
        <f>IFERROR(__xludf.DUMMYFUNCTION("""COMPUTED_VALUE"""),"BLUE")</f>
        <v>BLUE</v>
      </c>
      <c r="G8143" s="20" t="str">
        <f>IFERROR(__xludf.DUMMYFUNCTION("""COMPUTED_VALUE"""),"Uncle Sams Cider (04/04/2023)")</f>
        <v>Uncle Sams Cider (04/04/2023)</v>
      </c>
      <c r="H8143" s="19"/>
    </row>
    <row r="8144">
      <c r="A8144" s="9"/>
      <c r="B8144" s="15"/>
      <c r="C8144" s="9">
        <f>IFERROR(__xludf.DUMMYFUNCTION("""COMPUTED_VALUE"""),45058.7352630208)</f>
        <v>45058.73526</v>
      </c>
      <c r="D8144" s="15">
        <f>IFERROR(__xludf.DUMMYFUNCTION("""COMPUTED_VALUE"""),1.017)</f>
        <v>1.017</v>
      </c>
      <c r="E8144" s="16">
        <f>IFERROR(__xludf.DUMMYFUNCTION("""COMPUTED_VALUE"""),64.0)</f>
        <v>64</v>
      </c>
      <c r="F8144" s="19" t="str">
        <f>IFERROR(__xludf.DUMMYFUNCTION("""COMPUTED_VALUE"""),"BLUE")</f>
        <v>BLUE</v>
      </c>
      <c r="G8144" s="20" t="str">
        <f>IFERROR(__xludf.DUMMYFUNCTION("""COMPUTED_VALUE"""),"Uncle Sams Cider (04/04/2023)")</f>
        <v>Uncle Sams Cider (04/04/2023)</v>
      </c>
      <c r="H8144" s="19"/>
    </row>
    <row r="8145">
      <c r="A8145" s="9"/>
      <c r="B8145" s="15"/>
      <c r="C8145" s="9">
        <f>IFERROR(__xludf.DUMMYFUNCTION("""COMPUTED_VALUE"""),45058.7248410069)</f>
        <v>45058.72484</v>
      </c>
      <c r="D8145" s="15">
        <f>IFERROR(__xludf.DUMMYFUNCTION("""COMPUTED_VALUE"""),1.017)</f>
        <v>1.017</v>
      </c>
      <c r="E8145" s="16">
        <f>IFERROR(__xludf.DUMMYFUNCTION("""COMPUTED_VALUE"""),64.0)</f>
        <v>64</v>
      </c>
      <c r="F8145" s="19" t="str">
        <f>IFERROR(__xludf.DUMMYFUNCTION("""COMPUTED_VALUE"""),"BLUE")</f>
        <v>BLUE</v>
      </c>
      <c r="G8145" s="20" t="str">
        <f>IFERROR(__xludf.DUMMYFUNCTION("""COMPUTED_VALUE"""),"Uncle Sams Cider (04/04/2023)")</f>
        <v>Uncle Sams Cider (04/04/2023)</v>
      </c>
      <c r="H8145" s="19"/>
    </row>
    <row r="8146">
      <c r="A8146" s="9"/>
      <c r="B8146" s="15"/>
      <c r="C8146" s="9">
        <f>IFERROR(__xludf.DUMMYFUNCTION("""COMPUTED_VALUE"""),45058.7144182407)</f>
        <v>45058.71442</v>
      </c>
      <c r="D8146" s="15">
        <f>IFERROR(__xludf.DUMMYFUNCTION("""COMPUTED_VALUE"""),1.017)</f>
        <v>1.017</v>
      </c>
      <c r="E8146" s="16">
        <f>IFERROR(__xludf.DUMMYFUNCTION("""COMPUTED_VALUE"""),64.0)</f>
        <v>64</v>
      </c>
      <c r="F8146" s="19" t="str">
        <f>IFERROR(__xludf.DUMMYFUNCTION("""COMPUTED_VALUE"""),"BLUE")</f>
        <v>BLUE</v>
      </c>
      <c r="G8146" s="20" t="str">
        <f>IFERROR(__xludf.DUMMYFUNCTION("""COMPUTED_VALUE"""),"Uncle Sams Cider (04/04/2023)")</f>
        <v>Uncle Sams Cider (04/04/2023)</v>
      </c>
      <c r="H8146" s="19"/>
    </row>
    <row r="8147">
      <c r="A8147" s="9"/>
      <c r="B8147" s="15"/>
      <c r="C8147" s="9">
        <f>IFERROR(__xludf.DUMMYFUNCTION("""COMPUTED_VALUE"""),45058.7039981481)</f>
        <v>45058.704</v>
      </c>
      <c r="D8147" s="15">
        <f>IFERROR(__xludf.DUMMYFUNCTION("""COMPUTED_VALUE"""),1.017)</f>
        <v>1.017</v>
      </c>
      <c r="E8147" s="16">
        <f>IFERROR(__xludf.DUMMYFUNCTION("""COMPUTED_VALUE"""),64.0)</f>
        <v>64</v>
      </c>
      <c r="F8147" s="19" t="str">
        <f>IFERROR(__xludf.DUMMYFUNCTION("""COMPUTED_VALUE"""),"BLUE")</f>
        <v>BLUE</v>
      </c>
      <c r="G8147" s="20" t="str">
        <f>IFERROR(__xludf.DUMMYFUNCTION("""COMPUTED_VALUE"""),"Uncle Sams Cider (04/04/2023)")</f>
        <v>Uncle Sams Cider (04/04/2023)</v>
      </c>
      <c r="H8147" s="19"/>
    </row>
    <row r="8148">
      <c r="A8148" s="9"/>
      <c r="B8148" s="15"/>
      <c r="C8148" s="9">
        <f>IFERROR(__xludf.DUMMYFUNCTION("""COMPUTED_VALUE"""),45058.6935776157)</f>
        <v>45058.69358</v>
      </c>
      <c r="D8148" s="15">
        <f>IFERROR(__xludf.DUMMYFUNCTION("""COMPUTED_VALUE"""),1.017)</f>
        <v>1.017</v>
      </c>
      <c r="E8148" s="16">
        <f>IFERROR(__xludf.DUMMYFUNCTION("""COMPUTED_VALUE"""),64.0)</f>
        <v>64</v>
      </c>
      <c r="F8148" s="19" t="str">
        <f>IFERROR(__xludf.DUMMYFUNCTION("""COMPUTED_VALUE"""),"BLUE")</f>
        <v>BLUE</v>
      </c>
      <c r="G8148" s="20" t="str">
        <f>IFERROR(__xludf.DUMMYFUNCTION("""COMPUTED_VALUE"""),"Uncle Sams Cider (04/04/2023)")</f>
        <v>Uncle Sams Cider (04/04/2023)</v>
      </c>
      <c r="H8148" s="19"/>
    </row>
    <row r="8149">
      <c r="A8149" s="9"/>
      <c r="B8149" s="15"/>
      <c r="C8149" s="9">
        <f>IFERROR(__xludf.DUMMYFUNCTION("""COMPUTED_VALUE"""),45058.6831457175)</f>
        <v>45058.68315</v>
      </c>
      <c r="D8149" s="15">
        <f>IFERROR(__xludf.DUMMYFUNCTION("""COMPUTED_VALUE"""),1.017)</f>
        <v>1.017</v>
      </c>
      <c r="E8149" s="16">
        <f>IFERROR(__xludf.DUMMYFUNCTION("""COMPUTED_VALUE"""),63.0)</f>
        <v>63</v>
      </c>
      <c r="F8149" s="19" t="str">
        <f>IFERROR(__xludf.DUMMYFUNCTION("""COMPUTED_VALUE"""),"BLUE")</f>
        <v>BLUE</v>
      </c>
      <c r="G8149" s="20" t="str">
        <f>IFERROR(__xludf.DUMMYFUNCTION("""COMPUTED_VALUE"""),"Uncle Sams Cider (04/04/2023)")</f>
        <v>Uncle Sams Cider (04/04/2023)</v>
      </c>
      <c r="H8149" s="19"/>
    </row>
    <row r="8150">
      <c r="A8150" s="9"/>
      <c r="B8150" s="15"/>
      <c r="C8150" s="9">
        <f>IFERROR(__xludf.DUMMYFUNCTION("""COMPUTED_VALUE"""),45058.6727241435)</f>
        <v>45058.67272</v>
      </c>
      <c r="D8150" s="15">
        <f>IFERROR(__xludf.DUMMYFUNCTION("""COMPUTED_VALUE"""),1.017)</f>
        <v>1.017</v>
      </c>
      <c r="E8150" s="16">
        <f>IFERROR(__xludf.DUMMYFUNCTION("""COMPUTED_VALUE"""),64.0)</f>
        <v>64</v>
      </c>
      <c r="F8150" s="19" t="str">
        <f>IFERROR(__xludf.DUMMYFUNCTION("""COMPUTED_VALUE"""),"BLUE")</f>
        <v>BLUE</v>
      </c>
      <c r="G8150" s="20" t="str">
        <f>IFERROR(__xludf.DUMMYFUNCTION("""COMPUTED_VALUE"""),"Uncle Sams Cider (04/04/2023)")</f>
        <v>Uncle Sams Cider (04/04/2023)</v>
      </c>
      <c r="H8150" s="19"/>
    </row>
    <row r="8151">
      <c r="A8151" s="9"/>
      <c r="B8151" s="15"/>
      <c r="C8151" s="9">
        <f>IFERROR(__xludf.DUMMYFUNCTION("""COMPUTED_VALUE"""),45058.6622799074)</f>
        <v>45058.66228</v>
      </c>
      <c r="D8151" s="15">
        <f>IFERROR(__xludf.DUMMYFUNCTION("""COMPUTED_VALUE"""),1.017)</f>
        <v>1.017</v>
      </c>
      <c r="E8151" s="16">
        <f>IFERROR(__xludf.DUMMYFUNCTION("""COMPUTED_VALUE"""),64.0)</f>
        <v>64</v>
      </c>
      <c r="F8151" s="19" t="str">
        <f>IFERROR(__xludf.DUMMYFUNCTION("""COMPUTED_VALUE"""),"BLUE")</f>
        <v>BLUE</v>
      </c>
      <c r="G8151" s="20" t="str">
        <f>IFERROR(__xludf.DUMMYFUNCTION("""COMPUTED_VALUE"""),"Uncle Sams Cider (04/04/2023)")</f>
        <v>Uncle Sams Cider (04/04/2023)</v>
      </c>
      <c r="H8151" s="19"/>
    </row>
    <row r="8152">
      <c r="A8152" s="9"/>
      <c r="B8152" s="15"/>
      <c r="C8152" s="9">
        <f>IFERROR(__xludf.DUMMYFUNCTION("""COMPUTED_VALUE"""),45058.6518605092)</f>
        <v>45058.65186</v>
      </c>
      <c r="D8152" s="15">
        <f>IFERROR(__xludf.DUMMYFUNCTION("""COMPUTED_VALUE"""),1.017)</f>
        <v>1.017</v>
      </c>
      <c r="E8152" s="16">
        <f>IFERROR(__xludf.DUMMYFUNCTION("""COMPUTED_VALUE"""),64.0)</f>
        <v>64</v>
      </c>
      <c r="F8152" s="19" t="str">
        <f>IFERROR(__xludf.DUMMYFUNCTION("""COMPUTED_VALUE"""),"BLUE")</f>
        <v>BLUE</v>
      </c>
      <c r="G8152" s="20" t="str">
        <f>IFERROR(__xludf.DUMMYFUNCTION("""COMPUTED_VALUE"""),"Uncle Sams Cider (04/04/2023)")</f>
        <v>Uncle Sams Cider (04/04/2023)</v>
      </c>
      <c r="H8152" s="19"/>
    </row>
    <row r="8153">
      <c r="A8153" s="9"/>
      <c r="B8153" s="15"/>
      <c r="C8153" s="9">
        <f>IFERROR(__xludf.DUMMYFUNCTION("""COMPUTED_VALUE"""),45058.6414401967)</f>
        <v>45058.64144</v>
      </c>
      <c r="D8153" s="15">
        <f>IFERROR(__xludf.DUMMYFUNCTION("""COMPUTED_VALUE"""),1.017)</f>
        <v>1.017</v>
      </c>
      <c r="E8153" s="16">
        <f>IFERROR(__xludf.DUMMYFUNCTION("""COMPUTED_VALUE"""),64.0)</f>
        <v>64</v>
      </c>
      <c r="F8153" s="19" t="str">
        <f>IFERROR(__xludf.DUMMYFUNCTION("""COMPUTED_VALUE"""),"BLUE")</f>
        <v>BLUE</v>
      </c>
      <c r="G8153" s="20" t="str">
        <f>IFERROR(__xludf.DUMMYFUNCTION("""COMPUTED_VALUE"""),"Uncle Sams Cider (04/04/2023)")</f>
        <v>Uncle Sams Cider (04/04/2023)</v>
      </c>
      <c r="H8153" s="19"/>
    </row>
    <row r="8154">
      <c r="A8154" s="9"/>
      <c r="B8154" s="15"/>
      <c r="C8154" s="9">
        <f>IFERROR(__xludf.DUMMYFUNCTION("""COMPUTED_VALUE"""),45058.631019456)</f>
        <v>45058.63102</v>
      </c>
      <c r="D8154" s="15">
        <f>IFERROR(__xludf.DUMMYFUNCTION("""COMPUTED_VALUE"""),1.017)</f>
        <v>1.017</v>
      </c>
      <c r="E8154" s="16">
        <f>IFERROR(__xludf.DUMMYFUNCTION("""COMPUTED_VALUE"""),64.0)</f>
        <v>64</v>
      </c>
      <c r="F8154" s="19" t="str">
        <f>IFERROR(__xludf.DUMMYFUNCTION("""COMPUTED_VALUE"""),"BLUE")</f>
        <v>BLUE</v>
      </c>
      <c r="G8154" s="20" t="str">
        <f>IFERROR(__xludf.DUMMYFUNCTION("""COMPUTED_VALUE"""),"Uncle Sams Cider (04/04/2023)")</f>
        <v>Uncle Sams Cider (04/04/2023)</v>
      </c>
      <c r="H8154" s="19"/>
    </row>
    <row r="8155">
      <c r="A8155" s="9"/>
      <c r="B8155" s="15"/>
      <c r="C8155" s="9">
        <f>IFERROR(__xludf.DUMMYFUNCTION("""COMPUTED_VALUE"""),45058.6205975115)</f>
        <v>45058.6206</v>
      </c>
      <c r="D8155" s="15">
        <f>IFERROR(__xludf.DUMMYFUNCTION("""COMPUTED_VALUE"""),1.017)</f>
        <v>1.017</v>
      </c>
      <c r="E8155" s="16">
        <f>IFERROR(__xludf.DUMMYFUNCTION("""COMPUTED_VALUE"""),64.0)</f>
        <v>64</v>
      </c>
      <c r="F8155" s="19" t="str">
        <f>IFERROR(__xludf.DUMMYFUNCTION("""COMPUTED_VALUE"""),"BLUE")</f>
        <v>BLUE</v>
      </c>
      <c r="G8155" s="20" t="str">
        <f>IFERROR(__xludf.DUMMYFUNCTION("""COMPUTED_VALUE"""),"Uncle Sams Cider (04/04/2023)")</f>
        <v>Uncle Sams Cider (04/04/2023)</v>
      </c>
      <c r="H8155" s="19"/>
    </row>
    <row r="8156">
      <c r="A8156" s="9"/>
      <c r="B8156" s="15"/>
      <c r="C8156" s="9">
        <f>IFERROR(__xludf.DUMMYFUNCTION("""COMPUTED_VALUE"""),45058.6101519328)</f>
        <v>45058.61015</v>
      </c>
      <c r="D8156" s="15">
        <f>IFERROR(__xludf.DUMMYFUNCTION("""COMPUTED_VALUE"""),1.017)</f>
        <v>1.017</v>
      </c>
      <c r="E8156" s="16">
        <f>IFERROR(__xludf.DUMMYFUNCTION("""COMPUTED_VALUE"""),64.0)</f>
        <v>64</v>
      </c>
      <c r="F8156" s="19" t="str">
        <f>IFERROR(__xludf.DUMMYFUNCTION("""COMPUTED_VALUE"""),"BLUE")</f>
        <v>BLUE</v>
      </c>
      <c r="G8156" s="20" t="str">
        <f>IFERROR(__xludf.DUMMYFUNCTION("""COMPUTED_VALUE"""),"Uncle Sams Cider (04/04/2023)")</f>
        <v>Uncle Sams Cider (04/04/2023)</v>
      </c>
      <c r="H8156" s="19"/>
    </row>
    <row r="8157">
      <c r="A8157" s="9"/>
      <c r="B8157" s="15"/>
      <c r="C8157" s="9">
        <f>IFERROR(__xludf.DUMMYFUNCTION("""COMPUTED_VALUE"""),45058.5997211574)</f>
        <v>45058.59972</v>
      </c>
      <c r="D8157" s="15">
        <f>IFERROR(__xludf.DUMMYFUNCTION("""COMPUTED_VALUE"""),1.017)</f>
        <v>1.017</v>
      </c>
      <c r="E8157" s="16">
        <f>IFERROR(__xludf.DUMMYFUNCTION("""COMPUTED_VALUE"""),64.0)</f>
        <v>64</v>
      </c>
      <c r="F8157" s="19" t="str">
        <f>IFERROR(__xludf.DUMMYFUNCTION("""COMPUTED_VALUE"""),"BLUE")</f>
        <v>BLUE</v>
      </c>
      <c r="G8157" s="20" t="str">
        <f>IFERROR(__xludf.DUMMYFUNCTION("""COMPUTED_VALUE"""),"Uncle Sams Cider (04/04/2023)")</f>
        <v>Uncle Sams Cider (04/04/2023)</v>
      </c>
      <c r="H8157" s="19"/>
    </row>
    <row r="8158">
      <c r="A8158" s="9"/>
      <c r="B8158" s="15"/>
      <c r="C8158" s="9">
        <f>IFERROR(__xludf.DUMMYFUNCTION("""COMPUTED_VALUE"""),45058.5892862037)</f>
        <v>45058.58929</v>
      </c>
      <c r="D8158" s="15">
        <f>IFERROR(__xludf.DUMMYFUNCTION("""COMPUTED_VALUE"""),1.017)</f>
        <v>1.017</v>
      </c>
      <c r="E8158" s="16">
        <f>IFERROR(__xludf.DUMMYFUNCTION("""COMPUTED_VALUE"""),64.0)</f>
        <v>64</v>
      </c>
      <c r="F8158" s="19" t="str">
        <f>IFERROR(__xludf.DUMMYFUNCTION("""COMPUTED_VALUE"""),"BLUE")</f>
        <v>BLUE</v>
      </c>
      <c r="G8158" s="20" t="str">
        <f>IFERROR(__xludf.DUMMYFUNCTION("""COMPUTED_VALUE"""),"Uncle Sams Cider (04/04/2023)")</f>
        <v>Uncle Sams Cider (04/04/2023)</v>
      </c>
      <c r="H8158" s="19"/>
    </row>
    <row r="8159">
      <c r="A8159" s="9"/>
      <c r="B8159" s="15"/>
      <c r="C8159" s="9">
        <f>IFERROR(__xludf.DUMMYFUNCTION("""COMPUTED_VALUE"""),45058.5788529861)</f>
        <v>45058.57885</v>
      </c>
      <c r="D8159" s="15">
        <f>IFERROR(__xludf.DUMMYFUNCTION("""COMPUTED_VALUE"""),1.017)</f>
        <v>1.017</v>
      </c>
      <c r="E8159" s="16">
        <f>IFERROR(__xludf.DUMMYFUNCTION("""COMPUTED_VALUE"""),64.0)</f>
        <v>64</v>
      </c>
      <c r="F8159" s="19" t="str">
        <f>IFERROR(__xludf.DUMMYFUNCTION("""COMPUTED_VALUE"""),"BLUE")</f>
        <v>BLUE</v>
      </c>
      <c r="G8159" s="20" t="str">
        <f>IFERROR(__xludf.DUMMYFUNCTION("""COMPUTED_VALUE"""),"Uncle Sams Cider (04/04/2023)")</f>
        <v>Uncle Sams Cider (04/04/2023)</v>
      </c>
      <c r="H8159" s="19"/>
    </row>
    <row r="8160">
      <c r="A8160" s="9"/>
      <c r="B8160" s="15"/>
      <c r="C8160" s="9">
        <f>IFERROR(__xludf.DUMMYFUNCTION("""COMPUTED_VALUE"""),45058.5684320601)</f>
        <v>45058.56843</v>
      </c>
      <c r="D8160" s="15">
        <f>IFERROR(__xludf.DUMMYFUNCTION("""COMPUTED_VALUE"""),1.017)</f>
        <v>1.017</v>
      </c>
      <c r="E8160" s="16">
        <f>IFERROR(__xludf.DUMMYFUNCTION("""COMPUTED_VALUE"""),63.0)</f>
        <v>63</v>
      </c>
      <c r="F8160" s="19" t="str">
        <f>IFERROR(__xludf.DUMMYFUNCTION("""COMPUTED_VALUE"""),"BLUE")</f>
        <v>BLUE</v>
      </c>
      <c r="G8160" s="20" t="str">
        <f>IFERROR(__xludf.DUMMYFUNCTION("""COMPUTED_VALUE"""),"Uncle Sams Cider (04/04/2023)")</f>
        <v>Uncle Sams Cider (04/04/2023)</v>
      </c>
      <c r="H8160" s="19"/>
    </row>
    <row r="8161">
      <c r="A8161" s="9"/>
      <c r="B8161" s="15"/>
      <c r="C8161" s="9">
        <f>IFERROR(__xludf.DUMMYFUNCTION("""COMPUTED_VALUE"""),45058.5580122338)</f>
        <v>45058.55801</v>
      </c>
      <c r="D8161" s="15">
        <f>IFERROR(__xludf.DUMMYFUNCTION("""COMPUTED_VALUE"""),1.017)</f>
        <v>1.017</v>
      </c>
      <c r="E8161" s="16">
        <f>IFERROR(__xludf.DUMMYFUNCTION("""COMPUTED_VALUE"""),63.0)</f>
        <v>63</v>
      </c>
      <c r="F8161" s="19" t="str">
        <f>IFERROR(__xludf.DUMMYFUNCTION("""COMPUTED_VALUE"""),"BLUE")</f>
        <v>BLUE</v>
      </c>
      <c r="G8161" s="20" t="str">
        <f>IFERROR(__xludf.DUMMYFUNCTION("""COMPUTED_VALUE"""),"Uncle Sams Cider (04/04/2023)")</f>
        <v>Uncle Sams Cider (04/04/2023)</v>
      </c>
      <c r="H8161" s="19"/>
    </row>
    <row r="8162">
      <c r="A8162" s="9"/>
      <c r="B8162" s="15"/>
      <c r="C8162" s="9">
        <f>IFERROR(__xludf.DUMMYFUNCTION("""COMPUTED_VALUE"""),45058.5475897801)</f>
        <v>45058.54759</v>
      </c>
      <c r="D8162" s="15">
        <f>IFERROR(__xludf.DUMMYFUNCTION("""COMPUTED_VALUE"""),1.017)</f>
        <v>1.017</v>
      </c>
      <c r="E8162" s="16">
        <f>IFERROR(__xludf.DUMMYFUNCTION("""COMPUTED_VALUE"""),63.0)</f>
        <v>63</v>
      </c>
      <c r="F8162" s="19" t="str">
        <f>IFERROR(__xludf.DUMMYFUNCTION("""COMPUTED_VALUE"""),"BLUE")</f>
        <v>BLUE</v>
      </c>
      <c r="G8162" s="20" t="str">
        <f>IFERROR(__xludf.DUMMYFUNCTION("""COMPUTED_VALUE"""),"Uncle Sams Cider (04/04/2023)")</f>
        <v>Uncle Sams Cider (04/04/2023)</v>
      </c>
      <c r="H8162" s="19"/>
    </row>
    <row r="8163">
      <c r="A8163" s="9"/>
      <c r="B8163" s="15"/>
      <c r="C8163" s="9">
        <f>IFERROR(__xludf.DUMMYFUNCTION("""COMPUTED_VALUE"""),45058.5371679861)</f>
        <v>45058.53717</v>
      </c>
      <c r="D8163" s="15">
        <f>IFERROR(__xludf.DUMMYFUNCTION("""COMPUTED_VALUE"""),1.017)</f>
        <v>1.017</v>
      </c>
      <c r="E8163" s="16">
        <f>IFERROR(__xludf.DUMMYFUNCTION("""COMPUTED_VALUE"""),63.0)</f>
        <v>63</v>
      </c>
      <c r="F8163" s="19" t="str">
        <f>IFERROR(__xludf.DUMMYFUNCTION("""COMPUTED_VALUE"""),"BLUE")</f>
        <v>BLUE</v>
      </c>
      <c r="G8163" s="20" t="str">
        <f>IFERROR(__xludf.DUMMYFUNCTION("""COMPUTED_VALUE"""),"Uncle Sams Cider (04/04/2023)")</f>
        <v>Uncle Sams Cider (04/04/2023)</v>
      </c>
      <c r="H8163" s="19"/>
    </row>
    <row r="8164">
      <c r="A8164" s="9"/>
      <c r="B8164" s="15"/>
      <c r="C8164" s="9">
        <f>IFERROR(__xludf.DUMMYFUNCTION("""COMPUTED_VALUE"""),45058.5267464583)</f>
        <v>45058.52675</v>
      </c>
      <c r="D8164" s="15">
        <f>IFERROR(__xludf.DUMMYFUNCTION("""COMPUTED_VALUE"""),1.017)</f>
        <v>1.017</v>
      </c>
      <c r="E8164" s="16">
        <f>IFERROR(__xludf.DUMMYFUNCTION("""COMPUTED_VALUE"""),63.0)</f>
        <v>63</v>
      </c>
      <c r="F8164" s="19" t="str">
        <f>IFERROR(__xludf.DUMMYFUNCTION("""COMPUTED_VALUE"""),"BLUE")</f>
        <v>BLUE</v>
      </c>
      <c r="G8164" s="20" t="str">
        <f>IFERROR(__xludf.DUMMYFUNCTION("""COMPUTED_VALUE"""),"Uncle Sams Cider (04/04/2023)")</f>
        <v>Uncle Sams Cider (04/04/2023)</v>
      </c>
      <c r="H8164" s="19"/>
    </row>
    <row r="8165">
      <c r="A8165" s="9"/>
      <c r="B8165" s="15"/>
      <c r="C8165" s="9">
        <f>IFERROR(__xludf.DUMMYFUNCTION("""COMPUTED_VALUE"""),45058.5163242939)</f>
        <v>45058.51632</v>
      </c>
      <c r="D8165" s="15">
        <f>IFERROR(__xludf.DUMMYFUNCTION("""COMPUTED_VALUE"""),1.017)</f>
        <v>1.017</v>
      </c>
      <c r="E8165" s="16">
        <f>IFERROR(__xludf.DUMMYFUNCTION("""COMPUTED_VALUE"""),63.0)</f>
        <v>63</v>
      </c>
      <c r="F8165" s="19" t="str">
        <f>IFERROR(__xludf.DUMMYFUNCTION("""COMPUTED_VALUE"""),"BLUE")</f>
        <v>BLUE</v>
      </c>
      <c r="G8165" s="20" t="str">
        <f>IFERROR(__xludf.DUMMYFUNCTION("""COMPUTED_VALUE"""),"Uncle Sams Cider (04/04/2023)")</f>
        <v>Uncle Sams Cider (04/04/2023)</v>
      </c>
      <c r="H8165" s="19"/>
    </row>
    <row r="8166">
      <c r="A8166" s="9"/>
      <c r="B8166" s="15"/>
      <c r="C8166" s="9">
        <f>IFERROR(__xludf.DUMMYFUNCTION("""COMPUTED_VALUE"""),45058.5059042013)</f>
        <v>45058.5059</v>
      </c>
      <c r="D8166" s="15">
        <f>IFERROR(__xludf.DUMMYFUNCTION("""COMPUTED_VALUE"""),1.017)</f>
        <v>1.017</v>
      </c>
      <c r="E8166" s="16">
        <f>IFERROR(__xludf.DUMMYFUNCTION("""COMPUTED_VALUE"""),63.0)</f>
        <v>63</v>
      </c>
      <c r="F8166" s="19" t="str">
        <f>IFERROR(__xludf.DUMMYFUNCTION("""COMPUTED_VALUE"""),"BLUE")</f>
        <v>BLUE</v>
      </c>
      <c r="G8166" s="20" t="str">
        <f>IFERROR(__xludf.DUMMYFUNCTION("""COMPUTED_VALUE"""),"Uncle Sams Cider (04/04/2023)")</f>
        <v>Uncle Sams Cider (04/04/2023)</v>
      </c>
      <c r="H8166" s="19"/>
    </row>
    <row r="8167">
      <c r="A8167" s="9"/>
      <c r="B8167" s="15"/>
      <c r="C8167" s="9">
        <f>IFERROR(__xludf.DUMMYFUNCTION("""COMPUTED_VALUE"""),45058.4954850463)</f>
        <v>45058.49549</v>
      </c>
      <c r="D8167" s="15">
        <f>IFERROR(__xludf.DUMMYFUNCTION("""COMPUTED_VALUE"""),1.017)</f>
        <v>1.017</v>
      </c>
      <c r="E8167" s="16">
        <f>IFERROR(__xludf.DUMMYFUNCTION("""COMPUTED_VALUE"""),63.0)</f>
        <v>63</v>
      </c>
      <c r="F8167" s="19" t="str">
        <f>IFERROR(__xludf.DUMMYFUNCTION("""COMPUTED_VALUE"""),"BLUE")</f>
        <v>BLUE</v>
      </c>
      <c r="G8167" s="20" t="str">
        <f>IFERROR(__xludf.DUMMYFUNCTION("""COMPUTED_VALUE"""),"Uncle Sams Cider (04/04/2023)")</f>
        <v>Uncle Sams Cider (04/04/2023)</v>
      </c>
      <c r="H8167" s="19"/>
    </row>
    <row r="8168">
      <c r="A8168" s="9"/>
      <c r="B8168" s="15"/>
      <c r="C8168" s="9">
        <f>IFERROR(__xludf.DUMMYFUNCTION("""COMPUTED_VALUE"""),45058.4850639699)</f>
        <v>45058.48506</v>
      </c>
      <c r="D8168" s="15">
        <f>IFERROR(__xludf.DUMMYFUNCTION("""COMPUTED_VALUE"""),1.017)</f>
        <v>1.017</v>
      </c>
      <c r="E8168" s="16">
        <f>IFERROR(__xludf.DUMMYFUNCTION("""COMPUTED_VALUE"""),63.0)</f>
        <v>63</v>
      </c>
      <c r="F8168" s="19" t="str">
        <f>IFERROR(__xludf.DUMMYFUNCTION("""COMPUTED_VALUE"""),"BLUE")</f>
        <v>BLUE</v>
      </c>
      <c r="G8168" s="20" t="str">
        <f>IFERROR(__xludf.DUMMYFUNCTION("""COMPUTED_VALUE"""),"Uncle Sams Cider (04/04/2023)")</f>
        <v>Uncle Sams Cider (04/04/2023)</v>
      </c>
      <c r="H8168" s="19"/>
    </row>
    <row r="8169">
      <c r="A8169" s="9"/>
      <c r="B8169" s="15"/>
      <c r="C8169" s="9">
        <f>IFERROR(__xludf.DUMMYFUNCTION("""COMPUTED_VALUE"""),45058.4746431134)</f>
        <v>45058.47464</v>
      </c>
      <c r="D8169" s="15">
        <f>IFERROR(__xludf.DUMMYFUNCTION("""COMPUTED_VALUE"""),1.017)</f>
        <v>1.017</v>
      </c>
      <c r="E8169" s="16">
        <f>IFERROR(__xludf.DUMMYFUNCTION("""COMPUTED_VALUE"""),63.0)</f>
        <v>63</v>
      </c>
      <c r="F8169" s="19" t="str">
        <f>IFERROR(__xludf.DUMMYFUNCTION("""COMPUTED_VALUE"""),"BLUE")</f>
        <v>BLUE</v>
      </c>
      <c r="G8169" s="20" t="str">
        <f>IFERROR(__xludf.DUMMYFUNCTION("""COMPUTED_VALUE"""),"Uncle Sams Cider (04/04/2023)")</f>
        <v>Uncle Sams Cider (04/04/2023)</v>
      </c>
      <c r="H8169" s="19"/>
    </row>
    <row r="8170">
      <c r="A8170" s="9"/>
      <c r="B8170" s="15"/>
      <c r="C8170" s="9">
        <f>IFERROR(__xludf.DUMMYFUNCTION("""COMPUTED_VALUE"""),45058.4642219791)</f>
        <v>45058.46422</v>
      </c>
      <c r="D8170" s="15">
        <f>IFERROR(__xludf.DUMMYFUNCTION("""COMPUTED_VALUE"""),1.017)</f>
        <v>1.017</v>
      </c>
      <c r="E8170" s="16">
        <f>IFERROR(__xludf.DUMMYFUNCTION("""COMPUTED_VALUE"""),63.0)</f>
        <v>63</v>
      </c>
      <c r="F8170" s="19" t="str">
        <f>IFERROR(__xludf.DUMMYFUNCTION("""COMPUTED_VALUE"""),"BLUE")</f>
        <v>BLUE</v>
      </c>
      <c r="G8170" s="20" t="str">
        <f>IFERROR(__xludf.DUMMYFUNCTION("""COMPUTED_VALUE"""),"Uncle Sams Cider (04/04/2023)")</f>
        <v>Uncle Sams Cider (04/04/2023)</v>
      </c>
      <c r="H8170" s="19"/>
    </row>
    <row r="8171">
      <c r="A8171" s="9"/>
      <c r="B8171" s="15"/>
      <c r="C8171" s="9">
        <f>IFERROR(__xludf.DUMMYFUNCTION("""COMPUTED_VALUE"""),45058.4537901388)</f>
        <v>45058.45379</v>
      </c>
      <c r="D8171" s="15">
        <f>IFERROR(__xludf.DUMMYFUNCTION("""COMPUTED_VALUE"""),1.017)</f>
        <v>1.017</v>
      </c>
      <c r="E8171" s="16">
        <f>IFERROR(__xludf.DUMMYFUNCTION("""COMPUTED_VALUE"""),63.0)</f>
        <v>63</v>
      </c>
      <c r="F8171" s="19" t="str">
        <f>IFERROR(__xludf.DUMMYFUNCTION("""COMPUTED_VALUE"""),"BLUE")</f>
        <v>BLUE</v>
      </c>
      <c r="G8171" s="20" t="str">
        <f>IFERROR(__xludf.DUMMYFUNCTION("""COMPUTED_VALUE"""),"Uncle Sams Cider (04/04/2023)")</f>
        <v>Uncle Sams Cider (04/04/2023)</v>
      </c>
      <c r="H8171" s="19"/>
    </row>
    <row r="8172">
      <c r="A8172" s="9"/>
      <c r="B8172" s="15"/>
      <c r="C8172" s="9">
        <f>IFERROR(__xludf.DUMMYFUNCTION("""COMPUTED_VALUE"""),45058.4433700925)</f>
        <v>45058.44337</v>
      </c>
      <c r="D8172" s="15">
        <f>IFERROR(__xludf.DUMMYFUNCTION("""COMPUTED_VALUE"""),1.017)</f>
        <v>1.017</v>
      </c>
      <c r="E8172" s="16">
        <f>IFERROR(__xludf.DUMMYFUNCTION("""COMPUTED_VALUE"""),63.0)</f>
        <v>63</v>
      </c>
      <c r="F8172" s="19" t="str">
        <f>IFERROR(__xludf.DUMMYFUNCTION("""COMPUTED_VALUE"""),"BLUE")</f>
        <v>BLUE</v>
      </c>
      <c r="G8172" s="20" t="str">
        <f>IFERROR(__xludf.DUMMYFUNCTION("""COMPUTED_VALUE"""),"Uncle Sams Cider (04/04/2023)")</f>
        <v>Uncle Sams Cider (04/04/2023)</v>
      </c>
      <c r="H8172" s="19"/>
    </row>
    <row r="8173">
      <c r="A8173" s="9"/>
      <c r="B8173" s="15"/>
      <c r="C8173" s="9">
        <f>IFERROR(__xludf.DUMMYFUNCTION("""COMPUTED_VALUE"""),45058.432950243)</f>
        <v>45058.43295</v>
      </c>
      <c r="D8173" s="15">
        <f>IFERROR(__xludf.DUMMYFUNCTION("""COMPUTED_VALUE"""),1.017)</f>
        <v>1.017</v>
      </c>
      <c r="E8173" s="16">
        <f>IFERROR(__xludf.DUMMYFUNCTION("""COMPUTED_VALUE"""),63.0)</f>
        <v>63</v>
      </c>
      <c r="F8173" s="19" t="str">
        <f>IFERROR(__xludf.DUMMYFUNCTION("""COMPUTED_VALUE"""),"BLUE")</f>
        <v>BLUE</v>
      </c>
      <c r="G8173" s="20" t="str">
        <f>IFERROR(__xludf.DUMMYFUNCTION("""COMPUTED_VALUE"""),"Uncle Sams Cider (04/04/2023)")</f>
        <v>Uncle Sams Cider (04/04/2023)</v>
      </c>
      <c r="H8173" s="19"/>
    </row>
    <row r="8174">
      <c r="A8174" s="9"/>
      <c r="B8174" s="15"/>
      <c r="C8174" s="9">
        <f>IFERROR(__xludf.DUMMYFUNCTION("""COMPUTED_VALUE"""),45058.422530324)</f>
        <v>45058.42253</v>
      </c>
      <c r="D8174" s="15">
        <f>IFERROR(__xludf.DUMMYFUNCTION("""COMPUTED_VALUE"""),1.017)</f>
        <v>1.017</v>
      </c>
      <c r="E8174" s="16">
        <f>IFERROR(__xludf.DUMMYFUNCTION("""COMPUTED_VALUE"""),63.0)</f>
        <v>63</v>
      </c>
      <c r="F8174" s="19" t="str">
        <f>IFERROR(__xludf.DUMMYFUNCTION("""COMPUTED_VALUE"""),"BLUE")</f>
        <v>BLUE</v>
      </c>
      <c r="G8174" s="20" t="str">
        <f>IFERROR(__xludf.DUMMYFUNCTION("""COMPUTED_VALUE"""),"Uncle Sams Cider (04/04/2023)")</f>
        <v>Uncle Sams Cider (04/04/2023)</v>
      </c>
      <c r="H8174" s="19"/>
    </row>
    <row r="8175">
      <c r="A8175" s="9"/>
      <c r="B8175" s="15"/>
      <c r="C8175" s="9">
        <f>IFERROR(__xludf.DUMMYFUNCTION("""COMPUTED_VALUE"""),45058.4120975694)</f>
        <v>45058.4121</v>
      </c>
      <c r="D8175" s="15">
        <f>IFERROR(__xludf.DUMMYFUNCTION("""COMPUTED_VALUE"""),1.017)</f>
        <v>1.017</v>
      </c>
      <c r="E8175" s="16">
        <f>IFERROR(__xludf.DUMMYFUNCTION("""COMPUTED_VALUE"""),63.0)</f>
        <v>63</v>
      </c>
      <c r="F8175" s="19" t="str">
        <f>IFERROR(__xludf.DUMMYFUNCTION("""COMPUTED_VALUE"""),"BLUE")</f>
        <v>BLUE</v>
      </c>
      <c r="G8175" s="20" t="str">
        <f>IFERROR(__xludf.DUMMYFUNCTION("""COMPUTED_VALUE"""),"Uncle Sams Cider (04/04/2023)")</f>
        <v>Uncle Sams Cider (04/04/2023)</v>
      </c>
      <c r="H8175" s="19"/>
    </row>
    <row r="8176">
      <c r="A8176" s="9"/>
      <c r="B8176" s="15"/>
      <c r="C8176" s="9">
        <f>IFERROR(__xludf.DUMMYFUNCTION("""COMPUTED_VALUE"""),45058.4016766782)</f>
        <v>45058.40168</v>
      </c>
      <c r="D8176" s="15">
        <f>IFERROR(__xludf.DUMMYFUNCTION("""COMPUTED_VALUE"""),1.017)</f>
        <v>1.017</v>
      </c>
      <c r="E8176" s="16">
        <f>IFERROR(__xludf.DUMMYFUNCTION("""COMPUTED_VALUE"""),63.0)</f>
        <v>63</v>
      </c>
      <c r="F8176" s="19" t="str">
        <f>IFERROR(__xludf.DUMMYFUNCTION("""COMPUTED_VALUE"""),"BLUE")</f>
        <v>BLUE</v>
      </c>
      <c r="G8176" s="20" t="str">
        <f>IFERROR(__xludf.DUMMYFUNCTION("""COMPUTED_VALUE"""),"Uncle Sams Cider (04/04/2023)")</f>
        <v>Uncle Sams Cider (04/04/2023)</v>
      </c>
      <c r="H8176" s="19"/>
    </row>
    <row r="8177">
      <c r="A8177" s="9"/>
      <c r="B8177" s="15"/>
      <c r="C8177" s="9">
        <f>IFERROR(__xludf.DUMMYFUNCTION("""COMPUTED_VALUE"""),45058.3912416666)</f>
        <v>45058.39124</v>
      </c>
      <c r="D8177" s="15">
        <f>IFERROR(__xludf.DUMMYFUNCTION("""COMPUTED_VALUE"""),1.017)</f>
        <v>1.017</v>
      </c>
      <c r="E8177" s="16">
        <f>IFERROR(__xludf.DUMMYFUNCTION("""COMPUTED_VALUE"""),63.0)</f>
        <v>63</v>
      </c>
      <c r="F8177" s="19" t="str">
        <f>IFERROR(__xludf.DUMMYFUNCTION("""COMPUTED_VALUE"""),"BLUE")</f>
        <v>BLUE</v>
      </c>
      <c r="G8177" s="20" t="str">
        <f>IFERROR(__xludf.DUMMYFUNCTION("""COMPUTED_VALUE"""),"Uncle Sams Cider (04/04/2023)")</f>
        <v>Uncle Sams Cider (04/04/2023)</v>
      </c>
      <c r="H8177" s="19"/>
    </row>
    <row r="8178">
      <c r="A8178" s="9"/>
      <c r="B8178" s="15"/>
      <c r="C8178" s="9">
        <f>IFERROR(__xludf.DUMMYFUNCTION("""COMPUTED_VALUE"""),45058.380807824)</f>
        <v>45058.38081</v>
      </c>
      <c r="D8178" s="15">
        <f>IFERROR(__xludf.DUMMYFUNCTION("""COMPUTED_VALUE"""),1.017)</f>
        <v>1.017</v>
      </c>
      <c r="E8178" s="16">
        <f>IFERROR(__xludf.DUMMYFUNCTION("""COMPUTED_VALUE"""),63.0)</f>
        <v>63</v>
      </c>
      <c r="F8178" s="19" t="str">
        <f>IFERROR(__xludf.DUMMYFUNCTION("""COMPUTED_VALUE"""),"BLUE")</f>
        <v>BLUE</v>
      </c>
      <c r="G8178" s="20" t="str">
        <f>IFERROR(__xludf.DUMMYFUNCTION("""COMPUTED_VALUE"""),"Uncle Sams Cider (04/04/2023)")</f>
        <v>Uncle Sams Cider (04/04/2023)</v>
      </c>
      <c r="H8178" s="19"/>
    </row>
    <row r="8179">
      <c r="A8179" s="9"/>
      <c r="B8179" s="15"/>
      <c r="C8179" s="9">
        <f>IFERROR(__xludf.DUMMYFUNCTION("""COMPUTED_VALUE"""),45058.3703865856)</f>
        <v>45058.37039</v>
      </c>
      <c r="D8179" s="15">
        <f>IFERROR(__xludf.DUMMYFUNCTION("""COMPUTED_VALUE"""),1.017)</f>
        <v>1.017</v>
      </c>
      <c r="E8179" s="16">
        <f>IFERROR(__xludf.DUMMYFUNCTION("""COMPUTED_VALUE"""),63.0)</f>
        <v>63</v>
      </c>
      <c r="F8179" s="19" t="str">
        <f>IFERROR(__xludf.DUMMYFUNCTION("""COMPUTED_VALUE"""),"BLUE")</f>
        <v>BLUE</v>
      </c>
      <c r="G8179" s="20" t="str">
        <f>IFERROR(__xludf.DUMMYFUNCTION("""COMPUTED_VALUE"""),"Uncle Sams Cider (04/04/2023)")</f>
        <v>Uncle Sams Cider (04/04/2023)</v>
      </c>
      <c r="H8179" s="19"/>
    </row>
    <row r="8180">
      <c r="A8180" s="9"/>
      <c r="B8180" s="15"/>
      <c r="C8180" s="9">
        <f>IFERROR(__xludf.DUMMYFUNCTION("""COMPUTED_VALUE"""),45058.359965081)</f>
        <v>45058.35997</v>
      </c>
      <c r="D8180" s="15">
        <f>IFERROR(__xludf.DUMMYFUNCTION("""COMPUTED_VALUE"""),1.017)</f>
        <v>1.017</v>
      </c>
      <c r="E8180" s="16">
        <f>IFERROR(__xludf.DUMMYFUNCTION("""COMPUTED_VALUE"""),63.0)</f>
        <v>63</v>
      </c>
      <c r="F8180" s="19" t="str">
        <f>IFERROR(__xludf.DUMMYFUNCTION("""COMPUTED_VALUE"""),"BLUE")</f>
        <v>BLUE</v>
      </c>
      <c r="G8180" s="20" t="str">
        <f>IFERROR(__xludf.DUMMYFUNCTION("""COMPUTED_VALUE"""),"Uncle Sams Cider (04/04/2023)")</f>
        <v>Uncle Sams Cider (04/04/2023)</v>
      </c>
      <c r="H8180" s="19"/>
    </row>
    <row r="8181">
      <c r="A8181" s="9"/>
      <c r="B8181" s="15"/>
      <c r="C8181" s="9">
        <f>IFERROR(__xludf.DUMMYFUNCTION("""COMPUTED_VALUE"""),45058.3495465162)</f>
        <v>45058.34955</v>
      </c>
      <c r="D8181" s="15">
        <f>IFERROR(__xludf.DUMMYFUNCTION("""COMPUTED_VALUE"""),1.017)</f>
        <v>1.017</v>
      </c>
      <c r="E8181" s="16">
        <f>IFERROR(__xludf.DUMMYFUNCTION("""COMPUTED_VALUE"""),63.0)</f>
        <v>63</v>
      </c>
      <c r="F8181" s="19" t="str">
        <f>IFERROR(__xludf.DUMMYFUNCTION("""COMPUTED_VALUE"""),"BLUE")</f>
        <v>BLUE</v>
      </c>
      <c r="G8181" s="20" t="str">
        <f>IFERROR(__xludf.DUMMYFUNCTION("""COMPUTED_VALUE"""),"Uncle Sams Cider (04/04/2023)")</f>
        <v>Uncle Sams Cider (04/04/2023)</v>
      </c>
      <c r="H8181" s="19"/>
    </row>
    <row r="8182">
      <c r="A8182" s="9"/>
      <c r="B8182" s="15"/>
      <c r="C8182" s="9">
        <f>IFERROR(__xludf.DUMMYFUNCTION("""COMPUTED_VALUE"""),45058.3391244675)</f>
        <v>45058.33912</v>
      </c>
      <c r="D8182" s="15">
        <f>IFERROR(__xludf.DUMMYFUNCTION("""COMPUTED_VALUE"""),1.017)</f>
        <v>1.017</v>
      </c>
      <c r="E8182" s="16">
        <f>IFERROR(__xludf.DUMMYFUNCTION("""COMPUTED_VALUE"""),63.0)</f>
        <v>63</v>
      </c>
      <c r="F8182" s="19" t="str">
        <f>IFERROR(__xludf.DUMMYFUNCTION("""COMPUTED_VALUE"""),"BLUE")</f>
        <v>BLUE</v>
      </c>
      <c r="G8182" s="20" t="str">
        <f>IFERROR(__xludf.DUMMYFUNCTION("""COMPUTED_VALUE"""),"Uncle Sams Cider (04/04/2023)")</f>
        <v>Uncle Sams Cider (04/04/2023)</v>
      </c>
      <c r="H8182" s="19"/>
    </row>
    <row r="8183">
      <c r="A8183" s="9"/>
      <c r="B8183" s="15"/>
      <c r="C8183" s="9">
        <f>IFERROR(__xludf.DUMMYFUNCTION("""COMPUTED_VALUE"""),45058.328656574)</f>
        <v>45058.32866</v>
      </c>
      <c r="D8183" s="15">
        <f>IFERROR(__xludf.DUMMYFUNCTION("""COMPUTED_VALUE"""),1.017)</f>
        <v>1.017</v>
      </c>
      <c r="E8183" s="16">
        <f>IFERROR(__xludf.DUMMYFUNCTION("""COMPUTED_VALUE"""),63.0)</f>
        <v>63</v>
      </c>
      <c r="F8183" s="19" t="str">
        <f>IFERROR(__xludf.DUMMYFUNCTION("""COMPUTED_VALUE"""),"BLUE")</f>
        <v>BLUE</v>
      </c>
      <c r="G8183" s="20" t="str">
        <f>IFERROR(__xludf.DUMMYFUNCTION("""COMPUTED_VALUE"""),"Uncle Sams Cider (04/04/2023)")</f>
        <v>Uncle Sams Cider (04/04/2023)</v>
      </c>
      <c r="H8183" s="19"/>
    </row>
    <row r="8184">
      <c r="A8184" s="9"/>
      <c r="B8184" s="15"/>
      <c r="C8184" s="9">
        <f>IFERROR(__xludf.DUMMYFUNCTION("""COMPUTED_VALUE"""),45058.3182234027)</f>
        <v>45058.31822</v>
      </c>
      <c r="D8184" s="15">
        <f>IFERROR(__xludf.DUMMYFUNCTION("""COMPUTED_VALUE"""),1.017)</f>
        <v>1.017</v>
      </c>
      <c r="E8184" s="16">
        <f>IFERROR(__xludf.DUMMYFUNCTION("""COMPUTED_VALUE"""),63.0)</f>
        <v>63</v>
      </c>
      <c r="F8184" s="19" t="str">
        <f>IFERROR(__xludf.DUMMYFUNCTION("""COMPUTED_VALUE"""),"BLUE")</f>
        <v>BLUE</v>
      </c>
      <c r="G8184" s="20" t="str">
        <f>IFERROR(__xludf.DUMMYFUNCTION("""COMPUTED_VALUE"""),"Uncle Sams Cider (04/04/2023)")</f>
        <v>Uncle Sams Cider (04/04/2023)</v>
      </c>
      <c r="H8184" s="19"/>
    </row>
    <row r="8185">
      <c r="A8185" s="9"/>
      <c r="B8185" s="15"/>
      <c r="C8185" s="9">
        <f>IFERROR(__xludf.DUMMYFUNCTION("""COMPUTED_VALUE"""),45058.3078028009)</f>
        <v>45058.3078</v>
      </c>
      <c r="D8185" s="15">
        <f>IFERROR(__xludf.DUMMYFUNCTION("""COMPUTED_VALUE"""),1.017)</f>
        <v>1.017</v>
      </c>
      <c r="E8185" s="16">
        <f>IFERROR(__xludf.DUMMYFUNCTION("""COMPUTED_VALUE"""),63.0)</f>
        <v>63</v>
      </c>
      <c r="F8185" s="19" t="str">
        <f>IFERROR(__xludf.DUMMYFUNCTION("""COMPUTED_VALUE"""),"BLUE")</f>
        <v>BLUE</v>
      </c>
      <c r="G8185" s="20" t="str">
        <f>IFERROR(__xludf.DUMMYFUNCTION("""COMPUTED_VALUE"""),"Uncle Sams Cider (04/04/2023)")</f>
        <v>Uncle Sams Cider (04/04/2023)</v>
      </c>
      <c r="H8185" s="19"/>
    </row>
    <row r="8186">
      <c r="A8186" s="9"/>
      <c r="B8186" s="15"/>
      <c r="C8186" s="9">
        <f>IFERROR(__xludf.DUMMYFUNCTION("""COMPUTED_VALUE"""),45058.2973822338)</f>
        <v>45058.29738</v>
      </c>
      <c r="D8186" s="15">
        <f>IFERROR(__xludf.DUMMYFUNCTION("""COMPUTED_VALUE"""),1.017)</f>
        <v>1.017</v>
      </c>
      <c r="E8186" s="16">
        <f>IFERROR(__xludf.DUMMYFUNCTION("""COMPUTED_VALUE"""),63.0)</f>
        <v>63</v>
      </c>
      <c r="F8186" s="19" t="str">
        <f>IFERROR(__xludf.DUMMYFUNCTION("""COMPUTED_VALUE"""),"BLUE")</f>
        <v>BLUE</v>
      </c>
      <c r="G8186" s="20" t="str">
        <f>IFERROR(__xludf.DUMMYFUNCTION("""COMPUTED_VALUE"""),"Uncle Sams Cider (04/04/2023)")</f>
        <v>Uncle Sams Cider (04/04/2023)</v>
      </c>
      <c r="H8186" s="19"/>
    </row>
    <row r="8187">
      <c r="A8187" s="9"/>
      <c r="B8187" s="15"/>
      <c r="C8187" s="9">
        <f>IFERROR(__xludf.DUMMYFUNCTION("""COMPUTED_VALUE"""),45058.2869618402)</f>
        <v>45058.28696</v>
      </c>
      <c r="D8187" s="15">
        <f>IFERROR(__xludf.DUMMYFUNCTION("""COMPUTED_VALUE"""),1.017)</f>
        <v>1.017</v>
      </c>
      <c r="E8187" s="16">
        <f>IFERROR(__xludf.DUMMYFUNCTION("""COMPUTED_VALUE"""),63.0)</f>
        <v>63</v>
      </c>
      <c r="F8187" s="19" t="str">
        <f>IFERROR(__xludf.DUMMYFUNCTION("""COMPUTED_VALUE"""),"BLUE")</f>
        <v>BLUE</v>
      </c>
      <c r="G8187" s="20" t="str">
        <f>IFERROR(__xludf.DUMMYFUNCTION("""COMPUTED_VALUE"""),"Uncle Sams Cider (04/04/2023)")</f>
        <v>Uncle Sams Cider (04/04/2023)</v>
      </c>
      <c r="H8187" s="19"/>
    </row>
    <row r="8188">
      <c r="A8188" s="9"/>
      <c r="B8188" s="15"/>
      <c r="C8188" s="9">
        <f>IFERROR(__xludf.DUMMYFUNCTION("""COMPUTED_VALUE"""),45058.2765410995)</f>
        <v>45058.27654</v>
      </c>
      <c r="D8188" s="15">
        <f>IFERROR(__xludf.DUMMYFUNCTION("""COMPUTED_VALUE"""),1.017)</f>
        <v>1.017</v>
      </c>
      <c r="E8188" s="16">
        <f>IFERROR(__xludf.DUMMYFUNCTION("""COMPUTED_VALUE"""),63.0)</f>
        <v>63</v>
      </c>
      <c r="F8188" s="19" t="str">
        <f>IFERROR(__xludf.DUMMYFUNCTION("""COMPUTED_VALUE"""),"BLUE")</f>
        <v>BLUE</v>
      </c>
      <c r="G8188" s="20" t="str">
        <f>IFERROR(__xludf.DUMMYFUNCTION("""COMPUTED_VALUE"""),"Uncle Sams Cider (04/04/2023)")</f>
        <v>Uncle Sams Cider (04/04/2023)</v>
      </c>
      <c r="H8188" s="19"/>
    </row>
    <row r="8189">
      <c r="A8189" s="9"/>
      <c r="B8189" s="15"/>
      <c r="C8189" s="9">
        <f>IFERROR(__xludf.DUMMYFUNCTION("""COMPUTED_VALUE"""),45058.2661190509)</f>
        <v>45058.26612</v>
      </c>
      <c r="D8189" s="15">
        <f>IFERROR(__xludf.DUMMYFUNCTION("""COMPUTED_VALUE"""),1.017)</f>
        <v>1.017</v>
      </c>
      <c r="E8189" s="16">
        <f>IFERROR(__xludf.DUMMYFUNCTION("""COMPUTED_VALUE"""),63.0)</f>
        <v>63</v>
      </c>
      <c r="F8189" s="19" t="str">
        <f>IFERROR(__xludf.DUMMYFUNCTION("""COMPUTED_VALUE"""),"BLUE")</f>
        <v>BLUE</v>
      </c>
      <c r="G8189" s="20" t="str">
        <f>IFERROR(__xludf.DUMMYFUNCTION("""COMPUTED_VALUE"""),"Uncle Sams Cider (04/04/2023)")</f>
        <v>Uncle Sams Cider (04/04/2023)</v>
      </c>
      <c r="H8189" s="19"/>
    </row>
    <row r="8190">
      <c r="A8190" s="9"/>
      <c r="B8190" s="15"/>
      <c r="C8190" s="9">
        <f>IFERROR(__xludf.DUMMYFUNCTION("""COMPUTED_VALUE"""),45058.2556981828)</f>
        <v>45058.2557</v>
      </c>
      <c r="D8190" s="15">
        <f>IFERROR(__xludf.DUMMYFUNCTION("""COMPUTED_VALUE"""),1.017)</f>
        <v>1.017</v>
      </c>
      <c r="E8190" s="16">
        <f>IFERROR(__xludf.DUMMYFUNCTION("""COMPUTED_VALUE"""),63.0)</f>
        <v>63</v>
      </c>
      <c r="F8190" s="19" t="str">
        <f>IFERROR(__xludf.DUMMYFUNCTION("""COMPUTED_VALUE"""),"BLUE")</f>
        <v>BLUE</v>
      </c>
      <c r="G8190" s="20" t="str">
        <f>IFERROR(__xludf.DUMMYFUNCTION("""COMPUTED_VALUE"""),"Uncle Sams Cider (04/04/2023)")</f>
        <v>Uncle Sams Cider (04/04/2023)</v>
      </c>
      <c r="H8190" s="19"/>
    </row>
    <row r="8191">
      <c r="A8191" s="9"/>
      <c r="B8191" s="15"/>
      <c r="C8191" s="9">
        <f>IFERROR(__xludf.DUMMYFUNCTION("""COMPUTED_VALUE"""),45058.2452540162)</f>
        <v>45058.24525</v>
      </c>
      <c r="D8191" s="15">
        <f>IFERROR(__xludf.DUMMYFUNCTION("""COMPUTED_VALUE"""),1.017)</f>
        <v>1.017</v>
      </c>
      <c r="E8191" s="16">
        <f>IFERROR(__xludf.DUMMYFUNCTION("""COMPUTED_VALUE"""),63.0)</f>
        <v>63</v>
      </c>
      <c r="F8191" s="19" t="str">
        <f>IFERROR(__xludf.DUMMYFUNCTION("""COMPUTED_VALUE"""),"BLUE")</f>
        <v>BLUE</v>
      </c>
      <c r="G8191" s="20" t="str">
        <f>IFERROR(__xludf.DUMMYFUNCTION("""COMPUTED_VALUE"""),"Uncle Sams Cider (04/04/2023)")</f>
        <v>Uncle Sams Cider (04/04/2023)</v>
      </c>
      <c r="H8191" s="19"/>
    </row>
    <row r="8192">
      <c r="A8192" s="9"/>
      <c r="B8192" s="15"/>
      <c r="C8192" s="9">
        <f>IFERROR(__xludf.DUMMYFUNCTION("""COMPUTED_VALUE"""),45058.2348354051)</f>
        <v>45058.23484</v>
      </c>
      <c r="D8192" s="15">
        <f>IFERROR(__xludf.DUMMYFUNCTION("""COMPUTED_VALUE"""),1.018)</f>
        <v>1.018</v>
      </c>
      <c r="E8192" s="16">
        <f>IFERROR(__xludf.DUMMYFUNCTION("""COMPUTED_VALUE"""),63.0)</f>
        <v>63</v>
      </c>
      <c r="F8192" s="19" t="str">
        <f>IFERROR(__xludf.DUMMYFUNCTION("""COMPUTED_VALUE"""),"BLUE")</f>
        <v>BLUE</v>
      </c>
      <c r="G8192" s="20" t="str">
        <f>IFERROR(__xludf.DUMMYFUNCTION("""COMPUTED_VALUE"""),"Uncle Sams Cider (04/04/2023)")</f>
        <v>Uncle Sams Cider (04/04/2023)</v>
      </c>
      <c r="H8192" s="19"/>
    </row>
    <row r="8193">
      <c r="A8193" s="9"/>
      <c r="B8193" s="15"/>
      <c r="C8193" s="9">
        <f>IFERROR(__xludf.DUMMYFUNCTION("""COMPUTED_VALUE"""),45058.2244025578)</f>
        <v>45058.2244</v>
      </c>
      <c r="D8193" s="15">
        <f>IFERROR(__xludf.DUMMYFUNCTION("""COMPUTED_VALUE"""),1.017)</f>
        <v>1.017</v>
      </c>
      <c r="E8193" s="16">
        <f>IFERROR(__xludf.DUMMYFUNCTION("""COMPUTED_VALUE"""),63.0)</f>
        <v>63</v>
      </c>
      <c r="F8193" s="19" t="str">
        <f>IFERROR(__xludf.DUMMYFUNCTION("""COMPUTED_VALUE"""),"BLUE")</f>
        <v>BLUE</v>
      </c>
      <c r="G8193" s="20" t="str">
        <f>IFERROR(__xludf.DUMMYFUNCTION("""COMPUTED_VALUE"""),"Uncle Sams Cider (04/04/2023)")</f>
        <v>Uncle Sams Cider (04/04/2023)</v>
      </c>
      <c r="H8193" s="19"/>
    </row>
    <row r="8194">
      <c r="A8194" s="9"/>
      <c r="B8194" s="15"/>
      <c r="C8194" s="9">
        <f>IFERROR(__xludf.DUMMYFUNCTION("""COMPUTED_VALUE"""),45058.2139802893)</f>
        <v>45058.21398</v>
      </c>
      <c r="D8194" s="15">
        <f>IFERROR(__xludf.DUMMYFUNCTION("""COMPUTED_VALUE"""),1.017)</f>
        <v>1.017</v>
      </c>
      <c r="E8194" s="16">
        <f>IFERROR(__xludf.DUMMYFUNCTION("""COMPUTED_VALUE"""),63.0)</f>
        <v>63</v>
      </c>
      <c r="F8194" s="19" t="str">
        <f>IFERROR(__xludf.DUMMYFUNCTION("""COMPUTED_VALUE"""),"BLUE")</f>
        <v>BLUE</v>
      </c>
      <c r="G8194" s="20" t="str">
        <f>IFERROR(__xludf.DUMMYFUNCTION("""COMPUTED_VALUE"""),"Uncle Sams Cider (04/04/2023)")</f>
        <v>Uncle Sams Cider (04/04/2023)</v>
      </c>
      <c r="H8194" s="19"/>
    </row>
    <row r="8195">
      <c r="A8195" s="9"/>
      <c r="B8195" s="15"/>
      <c r="C8195" s="9">
        <f>IFERROR(__xludf.DUMMYFUNCTION("""COMPUTED_VALUE"""),45058.2035357291)</f>
        <v>45058.20354</v>
      </c>
      <c r="D8195" s="15">
        <f>IFERROR(__xludf.DUMMYFUNCTION("""COMPUTED_VALUE"""),1.017)</f>
        <v>1.017</v>
      </c>
      <c r="E8195" s="16">
        <f>IFERROR(__xludf.DUMMYFUNCTION("""COMPUTED_VALUE"""),63.0)</f>
        <v>63</v>
      </c>
      <c r="F8195" s="19" t="str">
        <f>IFERROR(__xludf.DUMMYFUNCTION("""COMPUTED_VALUE"""),"BLUE")</f>
        <v>BLUE</v>
      </c>
      <c r="G8195" s="20" t="str">
        <f>IFERROR(__xludf.DUMMYFUNCTION("""COMPUTED_VALUE"""),"Uncle Sams Cider (04/04/2023)")</f>
        <v>Uncle Sams Cider (04/04/2023)</v>
      </c>
      <c r="H8195" s="19"/>
    </row>
    <row r="8196">
      <c r="A8196" s="9"/>
      <c r="B8196" s="15"/>
      <c r="C8196" s="9">
        <f>IFERROR(__xludf.DUMMYFUNCTION("""COMPUTED_VALUE"""),45058.1931144676)</f>
        <v>45058.19311</v>
      </c>
      <c r="D8196" s="15">
        <f>IFERROR(__xludf.DUMMYFUNCTION("""COMPUTED_VALUE"""),1.017)</f>
        <v>1.017</v>
      </c>
      <c r="E8196" s="16">
        <f>IFERROR(__xludf.DUMMYFUNCTION("""COMPUTED_VALUE"""),63.0)</f>
        <v>63</v>
      </c>
      <c r="F8196" s="19" t="str">
        <f>IFERROR(__xludf.DUMMYFUNCTION("""COMPUTED_VALUE"""),"BLUE")</f>
        <v>BLUE</v>
      </c>
      <c r="G8196" s="20" t="str">
        <f>IFERROR(__xludf.DUMMYFUNCTION("""COMPUTED_VALUE"""),"Uncle Sams Cider (04/04/2023)")</f>
        <v>Uncle Sams Cider (04/04/2023)</v>
      </c>
      <c r="H8196" s="19"/>
    </row>
    <row r="8197">
      <c r="A8197" s="9"/>
      <c r="B8197" s="15"/>
      <c r="C8197" s="9">
        <f>IFERROR(__xludf.DUMMYFUNCTION("""COMPUTED_VALUE"""),45058.182693912)</f>
        <v>45058.18269</v>
      </c>
      <c r="D8197" s="15">
        <f>IFERROR(__xludf.DUMMYFUNCTION("""COMPUTED_VALUE"""),1.017)</f>
        <v>1.017</v>
      </c>
      <c r="E8197" s="16">
        <f>IFERROR(__xludf.DUMMYFUNCTION("""COMPUTED_VALUE"""),63.0)</f>
        <v>63</v>
      </c>
      <c r="F8197" s="19" t="str">
        <f>IFERROR(__xludf.DUMMYFUNCTION("""COMPUTED_VALUE"""),"BLUE")</f>
        <v>BLUE</v>
      </c>
      <c r="G8197" s="20" t="str">
        <f>IFERROR(__xludf.DUMMYFUNCTION("""COMPUTED_VALUE"""),"Uncle Sams Cider (04/04/2023)")</f>
        <v>Uncle Sams Cider (04/04/2023)</v>
      </c>
      <c r="H8197" s="19"/>
    </row>
    <row r="8198">
      <c r="A8198" s="9"/>
      <c r="B8198" s="15"/>
      <c r="C8198" s="9">
        <f>IFERROR(__xludf.DUMMYFUNCTION("""COMPUTED_VALUE"""),45058.1722734606)</f>
        <v>45058.17227</v>
      </c>
      <c r="D8198" s="15">
        <f>IFERROR(__xludf.DUMMYFUNCTION("""COMPUTED_VALUE"""),1.017)</f>
        <v>1.017</v>
      </c>
      <c r="E8198" s="16">
        <f>IFERROR(__xludf.DUMMYFUNCTION("""COMPUTED_VALUE"""),63.0)</f>
        <v>63</v>
      </c>
      <c r="F8198" s="19" t="str">
        <f>IFERROR(__xludf.DUMMYFUNCTION("""COMPUTED_VALUE"""),"BLUE")</f>
        <v>BLUE</v>
      </c>
      <c r="G8198" s="20" t="str">
        <f>IFERROR(__xludf.DUMMYFUNCTION("""COMPUTED_VALUE"""),"Uncle Sams Cider (04/04/2023)")</f>
        <v>Uncle Sams Cider (04/04/2023)</v>
      </c>
      <c r="H8198" s="19"/>
    </row>
    <row r="8199">
      <c r="A8199" s="9"/>
      <c r="B8199" s="15"/>
      <c r="C8199" s="9">
        <f>IFERROR(__xludf.DUMMYFUNCTION("""COMPUTED_VALUE"""),45058.1618525925)</f>
        <v>45058.16185</v>
      </c>
      <c r="D8199" s="15">
        <f>IFERROR(__xludf.DUMMYFUNCTION("""COMPUTED_VALUE"""),1.017)</f>
        <v>1.017</v>
      </c>
      <c r="E8199" s="16">
        <f>IFERROR(__xludf.DUMMYFUNCTION("""COMPUTED_VALUE"""),63.0)</f>
        <v>63</v>
      </c>
      <c r="F8199" s="19" t="str">
        <f>IFERROR(__xludf.DUMMYFUNCTION("""COMPUTED_VALUE"""),"BLUE")</f>
        <v>BLUE</v>
      </c>
      <c r="G8199" s="20" t="str">
        <f>IFERROR(__xludf.DUMMYFUNCTION("""COMPUTED_VALUE"""),"Uncle Sams Cider (04/04/2023)")</f>
        <v>Uncle Sams Cider (04/04/2023)</v>
      </c>
      <c r="H8199" s="19"/>
    </row>
    <row r="8200">
      <c r="A8200" s="9"/>
      <c r="B8200" s="15"/>
      <c r="C8200" s="9">
        <f>IFERROR(__xludf.DUMMYFUNCTION("""COMPUTED_VALUE"""),45058.1514311805)</f>
        <v>45058.15143</v>
      </c>
      <c r="D8200" s="15">
        <f>IFERROR(__xludf.DUMMYFUNCTION("""COMPUTED_VALUE"""),1.017)</f>
        <v>1.017</v>
      </c>
      <c r="E8200" s="16">
        <f>IFERROR(__xludf.DUMMYFUNCTION("""COMPUTED_VALUE"""),63.0)</f>
        <v>63</v>
      </c>
      <c r="F8200" s="19" t="str">
        <f>IFERROR(__xludf.DUMMYFUNCTION("""COMPUTED_VALUE"""),"BLUE")</f>
        <v>BLUE</v>
      </c>
      <c r="G8200" s="20" t="str">
        <f>IFERROR(__xludf.DUMMYFUNCTION("""COMPUTED_VALUE"""),"Uncle Sams Cider (04/04/2023)")</f>
        <v>Uncle Sams Cider (04/04/2023)</v>
      </c>
      <c r="H8200" s="19"/>
    </row>
    <row r="8201">
      <c r="A8201" s="9"/>
      <c r="B8201" s="15"/>
      <c r="C8201" s="9">
        <f>IFERROR(__xludf.DUMMYFUNCTION("""COMPUTED_VALUE"""),45058.1410094675)</f>
        <v>45058.14101</v>
      </c>
      <c r="D8201" s="15">
        <f>IFERROR(__xludf.DUMMYFUNCTION("""COMPUTED_VALUE"""),1.017)</f>
        <v>1.017</v>
      </c>
      <c r="E8201" s="16">
        <f>IFERROR(__xludf.DUMMYFUNCTION("""COMPUTED_VALUE"""),63.0)</f>
        <v>63</v>
      </c>
      <c r="F8201" s="19" t="str">
        <f>IFERROR(__xludf.DUMMYFUNCTION("""COMPUTED_VALUE"""),"BLUE")</f>
        <v>BLUE</v>
      </c>
      <c r="G8201" s="20" t="str">
        <f>IFERROR(__xludf.DUMMYFUNCTION("""COMPUTED_VALUE"""),"Uncle Sams Cider (04/04/2023)")</f>
        <v>Uncle Sams Cider (04/04/2023)</v>
      </c>
      <c r="H8201" s="19"/>
    </row>
    <row r="8202">
      <c r="A8202" s="9"/>
      <c r="B8202" s="15"/>
      <c r="C8202" s="9">
        <f>IFERROR(__xludf.DUMMYFUNCTION("""COMPUTED_VALUE"""),45058.1305880787)</f>
        <v>45058.13059</v>
      </c>
      <c r="D8202" s="15">
        <f>IFERROR(__xludf.DUMMYFUNCTION("""COMPUTED_VALUE"""),1.017)</f>
        <v>1.017</v>
      </c>
      <c r="E8202" s="16">
        <f>IFERROR(__xludf.DUMMYFUNCTION("""COMPUTED_VALUE"""),63.0)</f>
        <v>63</v>
      </c>
      <c r="F8202" s="19" t="str">
        <f>IFERROR(__xludf.DUMMYFUNCTION("""COMPUTED_VALUE"""),"BLUE")</f>
        <v>BLUE</v>
      </c>
      <c r="G8202" s="20" t="str">
        <f>IFERROR(__xludf.DUMMYFUNCTION("""COMPUTED_VALUE"""),"Uncle Sams Cider (04/04/2023)")</f>
        <v>Uncle Sams Cider (04/04/2023)</v>
      </c>
      <c r="H8202" s="19"/>
    </row>
    <row r="8203">
      <c r="A8203" s="9"/>
      <c r="B8203" s="15"/>
      <c r="C8203" s="9">
        <f>IFERROR(__xludf.DUMMYFUNCTION("""COMPUTED_VALUE"""),45058.1201665972)</f>
        <v>45058.12017</v>
      </c>
      <c r="D8203" s="15">
        <f>IFERROR(__xludf.DUMMYFUNCTION("""COMPUTED_VALUE"""),1.017)</f>
        <v>1.017</v>
      </c>
      <c r="E8203" s="16">
        <f>IFERROR(__xludf.DUMMYFUNCTION("""COMPUTED_VALUE"""),63.0)</f>
        <v>63</v>
      </c>
      <c r="F8203" s="19" t="str">
        <f>IFERROR(__xludf.DUMMYFUNCTION("""COMPUTED_VALUE"""),"BLUE")</f>
        <v>BLUE</v>
      </c>
      <c r="G8203" s="20" t="str">
        <f>IFERROR(__xludf.DUMMYFUNCTION("""COMPUTED_VALUE"""),"Uncle Sams Cider (04/04/2023)")</f>
        <v>Uncle Sams Cider (04/04/2023)</v>
      </c>
      <c r="H8203" s="19"/>
    </row>
    <row r="8204">
      <c r="A8204" s="9"/>
      <c r="B8204" s="15"/>
      <c r="C8204" s="9">
        <f>IFERROR(__xludf.DUMMYFUNCTION("""COMPUTED_VALUE"""),45058.1097460532)</f>
        <v>45058.10975</v>
      </c>
      <c r="D8204" s="15">
        <f>IFERROR(__xludf.DUMMYFUNCTION("""COMPUTED_VALUE"""),1.017)</f>
        <v>1.017</v>
      </c>
      <c r="E8204" s="16">
        <f>IFERROR(__xludf.DUMMYFUNCTION("""COMPUTED_VALUE"""),63.0)</f>
        <v>63</v>
      </c>
      <c r="F8204" s="19" t="str">
        <f>IFERROR(__xludf.DUMMYFUNCTION("""COMPUTED_VALUE"""),"BLUE")</f>
        <v>BLUE</v>
      </c>
      <c r="G8204" s="20" t="str">
        <f>IFERROR(__xludf.DUMMYFUNCTION("""COMPUTED_VALUE"""),"Uncle Sams Cider (04/04/2023)")</f>
        <v>Uncle Sams Cider (04/04/2023)</v>
      </c>
      <c r="H8204" s="19"/>
    </row>
    <row r="8205">
      <c r="A8205" s="9"/>
      <c r="B8205" s="15"/>
      <c r="C8205" s="9">
        <f>IFERROR(__xludf.DUMMYFUNCTION("""COMPUTED_VALUE"""),45058.0993240162)</f>
        <v>45058.09932</v>
      </c>
      <c r="D8205" s="15">
        <f>IFERROR(__xludf.DUMMYFUNCTION("""COMPUTED_VALUE"""),1.017)</f>
        <v>1.017</v>
      </c>
      <c r="E8205" s="16">
        <f>IFERROR(__xludf.DUMMYFUNCTION("""COMPUTED_VALUE"""),63.0)</f>
        <v>63</v>
      </c>
      <c r="F8205" s="19" t="str">
        <f>IFERROR(__xludf.DUMMYFUNCTION("""COMPUTED_VALUE"""),"BLUE")</f>
        <v>BLUE</v>
      </c>
      <c r="G8205" s="20" t="str">
        <f>IFERROR(__xludf.DUMMYFUNCTION("""COMPUTED_VALUE"""),"Uncle Sams Cider (04/04/2023)")</f>
        <v>Uncle Sams Cider (04/04/2023)</v>
      </c>
      <c r="H8205" s="19"/>
    </row>
    <row r="8206">
      <c r="A8206" s="9"/>
      <c r="B8206" s="15"/>
      <c r="C8206" s="9">
        <f>IFERROR(__xludf.DUMMYFUNCTION("""COMPUTED_VALUE"""),45058.0889062384)</f>
        <v>45058.08891</v>
      </c>
      <c r="D8206" s="15">
        <f>IFERROR(__xludf.DUMMYFUNCTION("""COMPUTED_VALUE"""),1.017)</f>
        <v>1.017</v>
      </c>
      <c r="E8206" s="16">
        <f>IFERROR(__xludf.DUMMYFUNCTION("""COMPUTED_VALUE"""),63.0)</f>
        <v>63</v>
      </c>
      <c r="F8206" s="19" t="str">
        <f>IFERROR(__xludf.DUMMYFUNCTION("""COMPUTED_VALUE"""),"BLUE")</f>
        <v>BLUE</v>
      </c>
      <c r="G8206" s="20" t="str">
        <f>IFERROR(__xludf.DUMMYFUNCTION("""COMPUTED_VALUE"""),"Uncle Sams Cider (04/04/2023)")</f>
        <v>Uncle Sams Cider (04/04/2023)</v>
      </c>
      <c r="H8206" s="19"/>
    </row>
    <row r="8207">
      <c r="A8207" s="9"/>
      <c r="B8207" s="15"/>
      <c r="C8207" s="9">
        <f>IFERROR(__xludf.DUMMYFUNCTION("""COMPUTED_VALUE"""),45058.0784861226)</f>
        <v>45058.07849</v>
      </c>
      <c r="D8207" s="15">
        <f>IFERROR(__xludf.DUMMYFUNCTION("""COMPUTED_VALUE"""),1.017)</f>
        <v>1.017</v>
      </c>
      <c r="E8207" s="16">
        <f>IFERROR(__xludf.DUMMYFUNCTION("""COMPUTED_VALUE"""),63.0)</f>
        <v>63</v>
      </c>
      <c r="F8207" s="19" t="str">
        <f>IFERROR(__xludf.DUMMYFUNCTION("""COMPUTED_VALUE"""),"BLUE")</f>
        <v>BLUE</v>
      </c>
      <c r="G8207" s="20" t="str">
        <f>IFERROR(__xludf.DUMMYFUNCTION("""COMPUTED_VALUE"""),"Uncle Sams Cider (04/04/2023)")</f>
        <v>Uncle Sams Cider (04/04/2023)</v>
      </c>
      <c r="H8207" s="19"/>
    </row>
    <row r="8208">
      <c r="A8208" s="9"/>
      <c r="B8208" s="15"/>
      <c r="C8208" s="9">
        <f>IFERROR(__xludf.DUMMYFUNCTION("""COMPUTED_VALUE"""),45058.068053993)</f>
        <v>45058.06805</v>
      </c>
      <c r="D8208" s="15">
        <f>IFERROR(__xludf.DUMMYFUNCTION("""COMPUTED_VALUE"""),1.017)</f>
        <v>1.017</v>
      </c>
      <c r="E8208" s="16">
        <f>IFERROR(__xludf.DUMMYFUNCTION("""COMPUTED_VALUE"""),63.0)</f>
        <v>63</v>
      </c>
      <c r="F8208" s="19" t="str">
        <f>IFERROR(__xludf.DUMMYFUNCTION("""COMPUTED_VALUE"""),"BLUE")</f>
        <v>BLUE</v>
      </c>
      <c r="G8208" s="20" t="str">
        <f>IFERROR(__xludf.DUMMYFUNCTION("""COMPUTED_VALUE"""),"Uncle Sams Cider (04/04/2023)")</f>
        <v>Uncle Sams Cider (04/04/2023)</v>
      </c>
      <c r="H8208" s="19"/>
    </row>
    <row r="8209">
      <c r="A8209" s="9"/>
      <c r="B8209" s="15"/>
      <c r="C8209" s="9">
        <f>IFERROR(__xludf.DUMMYFUNCTION("""COMPUTED_VALUE"""),45058.0576103125)</f>
        <v>45058.05761</v>
      </c>
      <c r="D8209" s="15">
        <f>IFERROR(__xludf.DUMMYFUNCTION("""COMPUTED_VALUE"""),1.017)</f>
        <v>1.017</v>
      </c>
      <c r="E8209" s="16">
        <f>IFERROR(__xludf.DUMMYFUNCTION("""COMPUTED_VALUE"""),63.0)</f>
        <v>63</v>
      </c>
      <c r="F8209" s="19" t="str">
        <f>IFERROR(__xludf.DUMMYFUNCTION("""COMPUTED_VALUE"""),"BLUE")</f>
        <v>BLUE</v>
      </c>
      <c r="G8209" s="20" t="str">
        <f>IFERROR(__xludf.DUMMYFUNCTION("""COMPUTED_VALUE"""),"Uncle Sams Cider (04/04/2023)")</f>
        <v>Uncle Sams Cider (04/04/2023)</v>
      </c>
      <c r="H8209" s="19"/>
    </row>
    <row r="8210">
      <c r="A8210" s="9"/>
      <c r="B8210" s="15"/>
      <c r="C8210" s="9">
        <f>IFERROR(__xludf.DUMMYFUNCTION("""COMPUTED_VALUE"""),45058.0471895486)</f>
        <v>45058.04719</v>
      </c>
      <c r="D8210" s="15">
        <f>IFERROR(__xludf.DUMMYFUNCTION("""COMPUTED_VALUE"""),1.017)</f>
        <v>1.017</v>
      </c>
      <c r="E8210" s="16">
        <f>IFERROR(__xludf.DUMMYFUNCTION("""COMPUTED_VALUE"""),63.0)</f>
        <v>63</v>
      </c>
      <c r="F8210" s="19" t="str">
        <f>IFERROR(__xludf.DUMMYFUNCTION("""COMPUTED_VALUE"""),"BLUE")</f>
        <v>BLUE</v>
      </c>
      <c r="G8210" s="20" t="str">
        <f>IFERROR(__xludf.DUMMYFUNCTION("""COMPUTED_VALUE"""),"Uncle Sams Cider (04/04/2023)")</f>
        <v>Uncle Sams Cider (04/04/2023)</v>
      </c>
      <c r="H8210" s="19"/>
    </row>
    <row r="8211">
      <c r="A8211" s="9"/>
      <c r="B8211" s="15"/>
      <c r="C8211" s="9">
        <f>IFERROR(__xludf.DUMMYFUNCTION("""COMPUTED_VALUE"""),45058.0367567939)</f>
        <v>45058.03676</v>
      </c>
      <c r="D8211" s="15">
        <f>IFERROR(__xludf.DUMMYFUNCTION("""COMPUTED_VALUE"""),1.017)</f>
        <v>1.017</v>
      </c>
      <c r="E8211" s="16">
        <f>IFERROR(__xludf.DUMMYFUNCTION("""COMPUTED_VALUE"""),63.0)</f>
        <v>63</v>
      </c>
      <c r="F8211" s="19" t="str">
        <f>IFERROR(__xludf.DUMMYFUNCTION("""COMPUTED_VALUE"""),"BLUE")</f>
        <v>BLUE</v>
      </c>
      <c r="G8211" s="20" t="str">
        <f>IFERROR(__xludf.DUMMYFUNCTION("""COMPUTED_VALUE"""),"Uncle Sams Cider (04/04/2023)")</f>
        <v>Uncle Sams Cider (04/04/2023)</v>
      </c>
      <c r="H8211" s="19"/>
    </row>
    <row r="8212">
      <c r="A8212" s="9"/>
      <c r="B8212" s="15"/>
      <c r="C8212" s="9">
        <f>IFERROR(__xludf.DUMMYFUNCTION("""COMPUTED_VALUE"""),45058.0263343171)</f>
        <v>45058.02633</v>
      </c>
      <c r="D8212" s="15">
        <f>IFERROR(__xludf.DUMMYFUNCTION("""COMPUTED_VALUE"""),1.017)</f>
        <v>1.017</v>
      </c>
      <c r="E8212" s="16">
        <f>IFERROR(__xludf.DUMMYFUNCTION("""COMPUTED_VALUE"""),63.0)</f>
        <v>63</v>
      </c>
      <c r="F8212" s="19" t="str">
        <f>IFERROR(__xludf.DUMMYFUNCTION("""COMPUTED_VALUE"""),"BLUE")</f>
        <v>BLUE</v>
      </c>
      <c r="G8212" s="20" t="str">
        <f>IFERROR(__xludf.DUMMYFUNCTION("""COMPUTED_VALUE"""),"Uncle Sams Cider (04/04/2023)")</f>
        <v>Uncle Sams Cider (04/04/2023)</v>
      </c>
      <c r="H8212" s="19"/>
    </row>
    <row r="8213">
      <c r="A8213" s="9"/>
      <c r="B8213" s="15"/>
      <c r="C8213" s="9">
        <f>IFERROR(__xludf.DUMMYFUNCTION("""COMPUTED_VALUE"""),45058.0159135185)</f>
        <v>45058.01591</v>
      </c>
      <c r="D8213" s="15">
        <f>IFERROR(__xludf.DUMMYFUNCTION("""COMPUTED_VALUE"""),1.017)</f>
        <v>1.017</v>
      </c>
      <c r="E8213" s="16">
        <f>IFERROR(__xludf.DUMMYFUNCTION("""COMPUTED_VALUE"""),63.0)</f>
        <v>63</v>
      </c>
      <c r="F8213" s="19" t="str">
        <f>IFERROR(__xludf.DUMMYFUNCTION("""COMPUTED_VALUE"""),"BLUE")</f>
        <v>BLUE</v>
      </c>
      <c r="G8213" s="20" t="str">
        <f>IFERROR(__xludf.DUMMYFUNCTION("""COMPUTED_VALUE"""),"Uncle Sams Cider (04/04/2023)")</f>
        <v>Uncle Sams Cider (04/04/2023)</v>
      </c>
      <c r="H8213" s="19"/>
    </row>
    <row r="8214">
      <c r="A8214" s="9"/>
      <c r="B8214" s="15"/>
      <c r="C8214" s="9">
        <f>IFERROR(__xludf.DUMMYFUNCTION("""COMPUTED_VALUE"""),45058.0054927777)</f>
        <v>45058.00549</v>
      </c>
      <c r="D8214" s="15">
        <f>IFERROR(__xludf.DUMMYFUNCTION("""COMPUTED_VALUE"""),1.017)</f>
        <v>1.017</v>
      </c>
      <c r="E8214" s="16">
        <f>IFERROR(__xludf.DUMMYFUNCTION("""COMPUTED_VALUE"""),63.0)</f>
        <v>63</v>
      </c>
      <c r="F8214" s="19" t="str">
        <f>IFERROR(__xludf.DUMMYFUNCTION("""COMPUTED_VALUE"""),"BLUE")</f>
        <v>BLUE</v>
      </c>
      <c r="G8214" s="20" t="str">
        <f>IFERROR(__xludf.DUMMYFUNCTION("""COMPUTED_VALUE"""),"Uncle Sams Cider (04/04/2023)")</f>
        <v>Uncle Sams Cider (04/04/2023)</v>
      </c>
      <c r="H8214" s="19"/>
    </row>
    <row r="8215">
      <c r="A8215" s="9"/>
      <c r="B8215" s="15"/>
      <c r="C8215" s="9">
        <f>IFERROR(__xludf.DUMMYFUNCTION("""COMPUTED_VALUE"""),45057.995071331)</f>
        <v>45057.99507</v>
      </c>
      <c r="D8215" s="15">
        <f>IFERROR(__xludf.DUMMYFUNCTION("""COMPUTED_VALUE"""),1.017)</f>
        <v>1.017</v>
      </c>
      <c r="E8215" s="16">
        <f>IFERROR(__xludf.DUMMYFUNCTION("""COMPUTED_VALUE"""),63.0)</f>
        <v>63</v>
      </c>
      <c r="F8215" s="19" t="str">
        <f>IFERROR(__xludf.DUMMYFUNCTION("""COMPUTED_VALUE"""),"BLUE")</f>
        <v>BLUE</v>
      </c>
      <c r="G8215" s="20" t="str">
        <f>IFERROR(__xludf.DUMMYFUNCTION("""COMPUTED_VALUE"""),"Uncle Sams Cider (04/04/2023)")</f>
        <v>Uncle Sams Cider (04/04/2023)</v>
      </c>
      <c r="H8215" s="19"/>
    </row>
    <row r="8216">
      <c r="A8216" s="9"/>
      <c r="B8216" s="15"/>
      <c r="C8216" s="9">
        <f>IFERROR(__xludf.DUMMYFUNCTION("""COMPUTED_VALUE"""),45057.9846494907)</f>
        <v>45057.98465</v>
      </c>
      <c r="D8216" s="15">
        <f>IFERROR(__xludf.DUMMYFUNCTION("""COMPUTED_VALUE"""),1.017)</f>
        <v>1.017</v>
      </c>
      <c r="E8216" s="16">
        <f>IFERROR(__xludf.DUMMYFUNCTION("""COMPUTED_VALUE"""),63.0)</f>
        <v>63</v>
      </c>
      <c r="F8216" s="19" t="str">
        <f>IFERROR(__xludf.DUMMYFUNCTION("""COMPUTED_VALUE"""),"BLUE")</f>
        <v>BLUE</v>
      </c>
      <c r="G8216" s="20" t="str">
        <f>IFERROR(__xludf.DUMMYFUNCTION("""COMPUTED_VALUE"""),"Uncle Sams Cider (04/04/2023)")</f>
        <v>Uncle Sams Cider (04/04/2023)</v>
      </c>
      <c r="H8216" s="19"/>
    </row>
    <row r="8217">
      <c r="A8217" s="9"/>
      <c r="B8217" s="15"/>
      <c r="C8217" s="9">
        <f>IFERROR(__xludf.DUMMYFUNCTION("""COMPUTED_VALUE"""),45057.9742275463)</f>
        <v>45057.97423</v>
      </c>
      <c r="D8217" s="15">
        <f>IFERROR(__xludf.DUMMYFUNCTION("""COMPUTED_VALUE"""),1.017)</f>
        <v>1.017</v>
      </c>
      <c r="E8217" s="16">
        <f>IFERROR(__xludf.DUMMYFUNCTION("""COMPUTED_VALUE"""),63.0)</f>
        <v>63</v>
      </c>
      <c r="F8217" s="19" t="str">
        <f>IFERROR(__xludf.DUMMYFUNCTION("""COMPUTED_VALUE"""),"BLUE")</f>
        <v>BLUE</v>
      </c>
      <c r="G8217" s="20" t="str">
        <f>IFERROR(__xludf.DUMMYFUNCTION("""COMPUTED_VALUE"""),"Uncle Sams Cider (04/04/2023)")</f>
        <v>Uncle Sams Cider (04/04/2023)</v>
      </c>
      <c r="H8217" s="19"/>
    </row>
    <row r="8218">
      <c r="A8218" s="9"/>
      <c r="B8218" s="15"/>
      <c r="C8218" s="9">
        <f>IFERROR(__xludf.DUMMYFUNCTION("""COMPUTED_VALUE"""),45057.9638060648)</f>
        <v>45057.96381</v>
      </c>
      <c r="D8218" s="15">
        <f>IFERROR(__xludf.DUMMYFUNCTION("""COMPUTED_VALUE"""),1.017)</f>
        <v>1.017</v>
      </c>
      <c r="E8218" s="16">
        <f>IFERROR(__xludf.DUMMYFUNCTION("""COMPUTED_VALUE"""),63.0)</f>
        <v>63</v>
      </c>
      <c r="F8218" s="19" t="str">
        <f>IFERROR(__xludf.DUMMYFUNCTION("""COMPUTED_VALUE"""),"BLUE")</f>
        <v>BLUE</v>
      </c>
      <c r="G8218" s="20" t="str">
        <f>IFERROR(__xludf.DUMMYFUNCTION("""COMPUTED_VALUE"""),"Uncle Sams Cider (04/04/2023)")</f>
        <v>Uncle Sams Cider (04/04/2023)</v>
      </c>
      <c r="H8218" s="19"/>
    </row>
    <row r="8219">
      <c r="A8219" s="9"/>
      <c r="B8219" s="15"/>
      <c r="C8219" s="9">
        <f>IFERROR(__xludf.DUMMYFUNCTION("""COMPUTED_VALUE"""),45057.953385787)</f>
        <v>45057.95339</v>
      </c>
      <c r="D8219" s="15">
        <f>IFERROR(__xludf.DUMMYFUNCTION("""COMPUTED_VALUE"""),1.017)</f>
        <v>1.017</v>
      </c>
      <c r="E8219" s="16">
        <f>IFERROR(__xludf.DUMMYFUNCTION("""COMPUTED_VALUE"""),63.0)</f>
        <v>63</v>
      </c>
      <c r="F8219" s="19" t="str">
        <f>IFERROR(__xludf.DUMMYFUNCTION("""COMPUTED_VALUE"""),"BLUE")</f>
        <v>BLUE</v>
      </c>
      <c r="G8219" s="20" t="str">
        <f>IFERROR(__xludf.DUMMYFUNCTION("""COMPUTED_VALUE"""),"Uncle Sams Cider (04/04/2023)")</f>
        <v>Uncle Sams Cider (04/04/2023)</v>
      </c>
      <c r="H8219" s="19"/>
    </row>
    <row r="8220">
      <c r="A8220" s="9"/>
      <c r="B8220" s="15"/>
      <c r="C8220" s="9">
        <f>IFERROR(__xludf.DUMMYFUNCTION("""COMPUTED_VALUE"""),45057.9429655092)</f>
        <v>45057.94297</v>
      </c>
      <c r="D8220" s="15">
        <f>IFERROR(__xludf.DUMMYFUNCTION("""COMPUTED_VALUE"""),1.017)</f>
        <v>1.017</v>
      </c>
      <c r="E8220" s="16">
        <f>IFERROR(__xludf.DUMMYFUNCTION("""COMPUTED_VALUE"""),63.0)</f>
        <v>63</v>
      </c>
      <c r="F8220" s="19" t="str">
        <f>IFERROR(__xludf.DUMMYFUNCTION("""COMPUTED_VALUE"""),"BLUE")</f>
        <v>BLUE</v>
      </c>
      <c r="G8220" s="20" t="str">
        <f>IFERROR(__xludf.DUMMYFUNCTION("""COMPUTED_VALUE"""),"Uncle Sams Cider (04/04/2023)")</f>
        <v>Uncle Sams Cider (04/04/2023)</v>
      </c>
      <c r="H8220" s="19"/>
    </row>
    <row r="8221">
      <c r="A8221" s="9"/>
      <c r="B8221" s="15"/>
      <c r="C8221" s="9">
        <f>IFERROR(__xludf.DUMMYFUNCTION("""COMPUTED_VALUE"""),45057.9325218287)</f>
        <v>45057.93252</v>
      </c>
      <c r="D8221" s="15">
        <f>IFERROR(__xludf.DUMMYFUNCTION("""COMPUTED_VALUE"""),1.018)</f>
        <v>1.018</v>
      </c>
      <c r="E8221" s="16">
        <f>IFERROR(__xludf.DUMMYFUNCTION("""COMPUTED_VALUE"""),63.0)</f>
        <v>63</v>
      </c>
      <c r="F8221" s="19" t="str">
        <f>IFERROR(__xludf.DUMMYFUNCTION("""COMPUTED_VALUE"""),"BLUE")</f>
        <v>BLUE</v>
      </c>
      <c r="G8221" s="20" t="str">
        <f>IFERROR(__xludf.DUMMYFUNCTION("""COMPUTED_VALUE"""),"Uncle Sams Cider (04/04/2023)")</f>
        <v>Uncle Sams Cider (04/04/2023)</v>
      </c>
      <c r="H8221" s="19"/>
    </row>
    <row r="8222">
      <c r="A8222" s="9"/>
      <c r="B8222" s="15"/>
      <c r="C8222" s="9">
        <f>IFERROR(__xludf.DUMMYFUNCTION("""COMPUTED_VALUE"""),45057.9221015277)</f>
        <v>45057.9221</v>
      </c>
      <c r="D8222" s="15">
        <f>IFERROR(__xludf.DUMMYFUNCTION("""COMPUTED_VALUE"""),1.017)</f>
        <v>1.017</v>
      </c>
      <c r="E8222" s="16">
        <f>IFERROR(__xludf.DUMMYFUNCTION("""COMPUTED_VALUE"""),63.0)</f>
        <v>63</v>
      </c>
      <c r="F8222" s="19" t="str">
        <f>IFERROR(__xludf.DUMMYFUNCTION("""COMPUTED_VALUE"""),"BLUE")</f>
        <v>BLUE</v>
      </c>
      <c r="G8222" s="20" t="str">
        <f>IFERROR(__xludf.DUMMYFUNCTION("""COMPUTED_VALUE"""),"Uncle Sams Cider (04/04/2023)")</f>
        <v>Uncle Sams Cider (04/04/2023)</v>
      </c>
      <c r="H8222" s="19"/>
    </row>
    <row r="8223">
      <c r="A8223" s="9"/>
      <c r="B8223" s="15"/>
      <c r="C8223" s="9">
        <f>IFERROR(__xludf.DUMMYFUNCTION("""COMPUTED_VALUE"""),45057.9116800578)</f>
        <v>45057.91168</v>
      </c>
      <c r="D8223" s="15">
        <f>IFERROR(__xludf.DUMMYFUNCTION("""COMPUTED_VALUE"""),1.018)</f>
        <v>1.018</v>
      </c>
      <c r="E8223" s="16">
        <f>IFERROR(__xludf.DUMMYFUNCTION("""COMPUTED_VALUE"""),63.0)</f>
        <v>63</v>
      </c>
      <c r="F8223" s="19" t="str">
        <f>IFERROR(__xludf.DUMMYFUNCTION("""COMPUTED_VALUE"""),"BLUE")</f>
        <v>BLUE</v>
      </c>
      <c r="G8223" s="20" t="str">
        <f>IFERROR(__xludf.DUMMYFUNCTION("""COMPUTED_VALUE"""),"Uncle Sams Cider (04/04/2023)")</f>
        <v>Uncle Sams Cider (04/04/2023)</v>
      </c>
      <c r="H8223" s="19"/>
    </row>
    <row r="8224">
      <c r="A8224" s="9"/>
      <c r="B8224" s="15"/>
      <c r="C8224" s="9">
        <f>IFERROR(__xludf.DUMMYFUNCTION("""COMPUTED_VALUE"""),45057.9012599421)</f>
        <v>45057.90126</v>
      </c>
      <c r="D8224" s="15">
        <f>IFERROR(__xludf.DUMMYFUNCTION("""COMPUTED_VALUE"""),1.017)</f>
        <v>1.017</v>
      </c>
      <c r="E8224" s="16">
        <f>IFERROR(__xludf.DUMMYFUNCTION("""COMPUTED_VALUE"""),63.0)</f>
        <v>63</v>
      </c>
      <c r="F8224" s="19" t="str">
        <f>IFERROR(__xludf.DUMMYFUNCTION("""COMPUTED_VALUE"""),"BLUE")</f>
        <v>BLUE</v>
      </c>
      <c r="G8224" s="20" t="str">
        <f>IFERROR(__xludf.DUMMYFUNCTION("""COMPUTED_VALUE"""),"Uncle Sams Cider (04/04/2023)")</f>
        <v>Uncle Sams Cider (04/04/2023)</v>
      </c>
      <c r="H8224" s="19"/>
    </row>
    <row r="8225">
      <c r="A8225" s="9"/>
      <c r="B8225" s="15"/>
      <c r="C8225" s="9">
        <f>IFERROR(__xludf.DUMMYFUNCTION("""COMPUTED_VALUE"""),45057.8908395833)</f>
        <v>45057.89084</v>
      </c>
      <c r="D8225" s="15">
        <f>IFERROR(__xludf.DUMMYFUNCTION("""COMPUTED_VALUE"""),1.017)</f>
        <v>1.017</v>
      </c>
      <c r="E8225" s="16">
        <f>IFERROR(__xludf.DUMMYFUNCTION("""COMPUTED_VALUE"""),63.0)</f>
        <v>63</v>
      </c>
      <c r="F8225" s="19" t="str">
        <f>IFERROR(__xludf.DUMMYFUNCTION("""COMPUTED_VALUE"""),"BLUE")</f>
        <v>BLUE</v>
      </c>
      <c r="G8225" s="20" t="str">
        <f>IFERROR(__xludf.DUMMYFUNCTION("""COMPUTED_VALUE"""),"Uncle Sams Cider (04/04/2023)")</f>
        <v>Uncle Sams Cider (04/04/2023)</v>
      </c>
      <c r="H8225" s="19"/>
    </row>
    <row r="8226">
      <c r="A8226" s="9"/>
      <c r="B8226" s="15"/>
      <c r="C8226" s="9">
        <f>IFERROR(__xludf.DUMMYFUNCTION("""COMPUTED_VALUE"""),45057.8804180092)</f>
        <v>45057.88042</v>
      </c>
      <c r="D8226" s="15">
        <f>IFERROR(__xludf.DUMMYFUNCTION("""COMPUTED_VALUE"""),1.018)</f>
        <v>1.018</v>
      </c>
      <c r="E8226" s="16">
        <f>IFERROR(__xludf.DUMMYFUNCTION("""COMPUTED_VALUE"""),63.0)</f>
        <v>63</v>
      </c>
      <c r="F8226" s="19" t="str">
        <f>IFERROR(__xludf.DUMMYFUNCTION("""COMPUTED_VALUE"""),"BLUE")</f>
        <v>BLUE</v>
      </c>
      <c r="G8226" s="20" t="str">
        <f>IFERROR(__xludf.DUMMYFUNCTION("""COMPUTED_VALUE"""),"Uncle Sams Cider (04/04/2023)")</f>
        <v>Uncle Sams Cider (04/04/2023)</v>
      </c>
      <c r="H8226" s="19"/>
    </row>
    <row r="8227">
      <c r="A8227" s="9"/>
      <c r="B8227" s="15"/>
      <c r="C8227" s="9">
        <f>IFERROR(__xludf.DUMMYFUNCTION("""COMPUTED_VALUE"""),45057.8699980902)</f>
        <v>45057.87</v>
      </c>
      <c r="D8227" s="15">
        <f>IFERROR(__xludf.DUMMYFUNCTION("""COMPUTED_VALUE"""),1.017)</f>
        <v>1.017</v>
      </c>
      <c r="E8227" s="16">
        <f>IFERROR(__xludf.DUMMYFUNCTION("""COMPUTED_VALUE"""),63.0)</f>
        <v>63</v>
      </c>
      <c r="F8227" s="19" t="str">
        <f>IFERROR(__xludf.DUMMYFUNCTION("""COMPUTED_VALUE"""),"BLUE")</f>
        <v>BLUE</v>
      </c>
      <c r="G8227" s="20" t="str">
        <f>IFERROR(__xludf.DUMMYFUNCTION("""COMPUTED_VALUE"""),"Uncle Sams Cider (04/04/2023)")</f>
        <v>Uncle Sams Cider (04/04/2023)</v>
      </c>
      <c r="H8227" s="19"/>
    </row>
    <row r="8228">
      <c r="A8228" s="9"/>
      <c r="B8228" s="15"/>
      <c r="C8228" s="9">
        <f>IFERROR(__xludf.DUMMYFUNCTION("""COMPUTED_VALUE"""),45057.8595758796)</f>
        <v>45057.85958</v>
      </c>
      <c r="D8228" s="15">
        <f>IFERROR(__xludf.DUMMYFUNCTION("""COMPUTED_VALUE"""),1.017)</f>
        <v>1.017</v>
      </c>
      <c r="E8228" s="16">
        <f>IFERROR(__xludf.DUMMYFUNCTION("""COMPUTED_VALUE"""),63.0)</f>
        <v>63</v>
      </c>
      <c r="F8228" s="19" t="str">
        <f>IFERROR(__xludf.DUMMYFUNCTION("""COMPUTED_VALUE"""),"BLUE")</f>
        <v>BLUE</v>
      </c>
      <c r="G8228" s="20" t="str">
        <f>IFERROR(__xludf.DUMMYFUNCTION("""COMPUTED_VALUE"""),"Uncle Sams Cider (04/04/2023)")</f>
        <v>Uncle Sams Cider (04/04/2023)</v>
      </c>
      <c r="H8228" s="19"/>
    </row>
    <row r="8229">
      <c r="A8229" s="9"/>
      <c r="B8229" s="15"/>
      <c r="C8229" s="9">
        <f>IFERROR(__xludf.DUMMYFUNCTION("""COMPUTED_VALUE"""),45057.8491432986)</f>
        <v>45057.84914</v>
      </c>
      <c r="D8229" s="15">
        <f>IFERROR(__xludf.DUMMYFUNCTION("""COMPUTED_VALUE"""),1.017)</f>
        <v>1.017</v>
      </c>
      <c r="E8229" s="16">
        <f>IFERROR(__xludf.DUMMYFUNCTION("""COMPUTED_VALUE"""),63.0)</f>
        <v>63</v>
      </c>
      <c r="F8229" s="19" t="str">
        <f>IFERROR(__xludf.DUMMYFUNCTION("""COMPUTED_VALUE"""),"BLUE")</f>
        <v>BLUE</v>
      </c>
      <c r="G8229" s="20" t="str">
        <f>IFERROR(__xludf.DUMMYFUNCTION("""COMPUTED_VALUE"""),"Uncle Sams Cider (04/04/2023)")</f>
        <v>Uncle Sams Cider (04/04/2023)</v>
      </c>
      <c r="H8229" s="19"/>
    </row>
    <row r="8230">
      <c r="A8230" s="9"/>
      <c r="B8230" s="15"/>
      <c r="C8230" s="9">
        <f>IFERROR(__xludf.DUMMYFUNCTION("""COMPUTED_VALUE"""),45057.8387228703)</f>
        <v>45057.83872</v>
      </c>
      <c r="D8230" s="15">
        <f>IFERROR(__xludf.DUMMYFUNCTION("""COMPUTED_VALUE"""),1.017)</f>
        <v>1.017</v>
      </c>
      <c r="E8230" s="16">
        <f>IFERROR(__xludf.DUMMYFUNCTION("""COMPUTED_VALUE"""),63.0)</f>
        <v>63</v>
      </c>
      <c r="F8230" s="19" t="str">
        <f>IFERROR(__xludf.DUMMYFUNCTION("""COMPUTED_VALUE"""),"BLUE")</f>
        <v>BLUE</v>
      </c>
      <c r="G8230" s="20" t="str">
        <f>IFERROR(__xludf.DUMMYFUNCTION("""COMPUTED_VALUE"""),"Uncle Sams Cider (04/04/2023)")</f>
        <v>Uncle Sams Cider (04/04/2023)</v>
      </c>
      <c r="H8230" s="19"/>
    </row>
    <row r="8231">
      <c r="A8231" s="9"/>
      <c r="B8231" s="15"/>
      <c r="C8231" s="9">
        <f>IFERROR(__xludf.DUMMYFUNCTION("""COMPUTED_VALUE"""),45057.8283015277)</f>
        <v>45057.8283</v>
      </c>
      <c r="D8231" s="15">
        <f>IFERROR(__xludf.DUMMYFUNCTION("""COMPUTED_VALUE"""),1.017)</f>
        <v>1.017</v>
      </c>
      <c r="E8231" s="16">
        <f>IFERROR(__xludf.DUMMYFUNCTION("""COMPUTED_VALUE"""),63.0)</f>
        <v>63</v>
      </c>
      <c r="F8231" s="19" t="str">
        <f>IFERROR(__xludf.DUMMYFUNCTION("""COMPUTED_VALUE"""),"BLUE")</f>
        <v>BLUE</v>
      </c>
      <c r="G8231" s="20" t="str">
        <f>IFERROR(__xludf.DUMMYFUNCTION("""COMPUTED_VALUE"""),"Uncle Sams Cider (04/04/2023)")</f>
        <v>Uncle Sams Cider (04/04/2023)</v>
      </c>
      <c r="H8231" s="19"/>
    </row>
    <row r="8232">
      <c r="A8232" s="9"/>
      <c r="B8232" s="15"/>
      <c r="C8232" s="9">
        <f>IFERROR(__xludf.DUMMYFUNCTION("""COMPUTED_VALUE"""),45057.8178810995)</f>
        <v>45057.81788</v>
      </c>
      <c r="D8232" s="15">
        <f>IFERROR(__xludf.DUMMYFUNCTION("""COMPUTED_VALUE"""),1.018)</f>
        <v>1.018</v>
      </c>
      <c r="E8232" s="16">
        <f>IFERROR(__xludf.DUMMYFUNCTION("""COMPUTED_VALUE"""),63.0)</f>
        <v>63</v>
      </c>
      <c r="F8232" s="19" t="str">
        <f>IFERROR(__xludf.DUMMYFUNCTION("""COMPUTED_VALUE"""),"BLUE")</f>
        <v>BLUE</v>
      </c>
      <c r="G8232" s="20" t="str">
        <f>IFERROR(__xludf.DUMMYFUNCTION("""COMPUTED_VALUE"""),"Uncle Sams Cider (04/04/2023)")</f>
        <v>Uncle Sams Cider (04/04/2023)</v>
      </c>
      <c r="H8232" s="19"/>
    </row>
    <row r="8233">
      <c r="A8233" s="9"/>
      <c r="B8233" s="15"/>
      <c r="C8233" s="9">
        <f>IFERROR(__xludf.DUMMYFUNCTION("""COMPUTED_VALUE"""),45057.807459699)</f>
        <v>45057.80746</v>
      </c>
      <c r="D8233" s="15">
        <f>IFERROR(__xludf.DUMMYFUNCTION("""COMPUTED_VALUE"""),1.018)</f>
        <v>1.018</v>
      </c>
      <c r="E8233" s="16">
        <f>IFERROR(__xludf.DUMMYFUNCTION("""COMPUTED_VALUE"""),63.0)</f>
        <v>63</v>
      </c>
      <c r="F8233" s="19" t="str">
        <f>IFERROR(__xludf.DUMMYFUNCTION("""COMPUTED_VALUE"""),"BLUE")</f>
        <v>BLUE</v>
      </c>
      <c r="G8233" s="20" t="str">
        <f>IFERROR(__xludf.DUMMYFUNCTION("""COMPUTED_VALUE"""),"Uncle Sams Cider (04/04/2023)")</f>
        <v>Uncle Sams Cider (04/04/2023)</v>
      </c>
      <c r="H8233" s="19"/>
    </row>
    <row r="8234">
      <c r="A8234" s="9"/>
      <c r="B8234" s="15"/>
      <c r="C8234" s="9">
        <f>IFERROR(__xludf.DUMMYFUNCTION("""COMPUTED_VALUE"""),45057.7970403588)</f>
        <v>45057.79704</v>
      </c>
      <c r="D8234" s="15">
        <f>IFERROR(__xludf.DUMMYFUNCTION("""COMPUTED_VALUE"""),1.017)</f>
        <v>1.017</v>
      </c>
      <c r="E8234" s="16">
        <f>IFERROR(__xludf.DUMMYFUNCTION("""COMPUTED_VALUE"""),63.0)</f>
        <v>63</v>
      </c>
      <c r="F8234" s="19" t="str">
        <f>IFERROR(__xludf.DUMMYFUNCTION("""COMPUTED_VALUE"""),"BLUE")</f>
        <v>BLUE</v>
      </c>
      <c r="G8234" s="20" t="str">
        <f>IFERROR(__xludf.DUMMYFUNCTION("""COMPUTED_VALUE"""),"Uncle Sams Cider (04/04/2023)")</f>
        <v>Uncle Sams Cider (04/04/2023)</v>
      </c>
      <c r="H8234" s="19"/>
    </row>
    <row r="8235">
      <c r="A8235" s="9"/>
      <c r="B8235" s="15"/>
      <c r="C8235" s="9">
        <f>IFERROR(__xludf.DUMMYFUNCTION("""COMPUTED_VALUE"""),45057.7866054513)</f>
        <v>45057.78661</v>
      </c>
      <c r="D8235" s="15">
        <f>IFERROR(__xludf.DUMMYFUNCTION("""COMPUTED_VALUE"""),1.017)</f>
        <v>1.017</v>
      </c>
      <c r="E8235" s="16">
        <f>IFERROR(__xludf.DUMMYFUNCTION("""COMPUTED_VALUE"""),63.0)</f>
        <v>63</v>
      </c>
      <c r="F8235" s="19" t="str">
        <f>IFERROR(__xludf.DUMMYFUNCTION("""COMPUTED_VALUE"""),"BLUE")</f>
        <v>BLUE</v>
      </c>
      <c r="G8235" s="20" t="str">
        <f>IFERROR(__xludf.DUMMYFUNCTION("""COMPUTED_VALUE"""),"Uncle Sams Cider (04/04/2023)")</f>
        <v>Uncle Sams Cider (04/04/2023)</v>
      </c>
      <c r="H8235" s="19"/>
    </row>
    <row r="8236">
      <c r="A8236" s="9"/>
      <c r="B8236" s="15"/>
      <c r="C8236" s="9">
        <f>IFERROR(__xludf.DUMMYFUNCTION("""COMPUTED_VALUE"""),45057.7761839004)</f>
        <v>45057.77618</v>
      </c>
      <c r="D8236" s="15">
        <f>IFERROR(__xludf.DUMMYFUNCTION("""COMPUTED_VALUE"""),1.018)</f>
        <v>1.018</v>
      </c>
      <c r="E8236" s="16">
        <f>IFERROR(__xludf.DUMMYFUNCTION("""COMPUTED_VALUE"""),63.0)</f>
        <v>63</v>
      </c>
      <c r="F8236" s="19" t="str">
        <f>IFERROR(__xludf.DUMMYFUNCTION("""COMPUTED_VALUE"""),"BLUE")</f>
        <v>BLUE</v>
      </c>
      <c r="G8236" s="20" t="str">
        <f>IFERROR(__xludf.DUMMYFUNCTION("""COMPUTED_VALUE"""),"Uncle Sams Cider (04/04/2023)")</f>
        <v>Uncle Sams Cider (04/04/2023)</v>
      </c>
      <c r="H8236" s="19"/>
    </row>
    <row r="8237">
      <c r="A8237" s="9"/>
      <c r="B8237" s="15"/>
      <c r="C8237" s="9">
        <f>IFERROR(__xludf.DUMMYFUNCTION("""COMPUTED_VALUE"""),45057.7657603009)</f>
        <v>45057.76576</v>
      </c>
      <c r="D8237" s="15">
        <f>IFERROR(__xludf.DUMMYFUNCTION("""COMPUTED_VALUE"""),1.018)</f>
        <v>1.018</v>
      </c>
      <c r="E8237" s="16">
        <f>IFERROR(__xludf.DUMMYFUNCTION("""COMPUTED_VALUE"""),63.0)</f>
        <v>63</v>
      </c>
      <c r="F8237" s="19" t="str">
        <f>IFERROR(__xludf.DUMMYFUNCTION("""COMPUTED_VALUE"""),"BLUE")</f>
        <v>BLUE</v>
      </c>
      <c r="G8237" s="20" t="str">
        <f>IFERROR(__xludf.DUMMYFUNCTION("""COMPUTED_VALUE"""),"Uncle Sams Cider (04/04/2023)")</f>
        <v>Uncle Sams Cider (04/04/2023)</v>
      </c>
      <c r="H8237" s="19"/>
    </row>
    <row r="8238">
      <c r="A8238" s="9"/>
      <c r="B8238" s="15"/>
      <c r="C8238" s="9">
        <f>IFERROR(__xludf.DUMMYFUNCTION("""COMPUTED_VALUE"""),45057.7553391435)</f>
        <v>45057.75534</v>
      </c>
      <c r="D8238" s="15">
        <f>IFERROR(__xludf.DUMMYFUNCTION("""COMPUTED_VALUE"""),1.018)</f>
        <v>1.018</v>
      </c>
      <c r="E8238" s="16">
        <f>IFERROR(__xludf.DUMMYFUNCTION("""COMPUTED_VALUE"""),63.0)</f>
        <v>63</v>
      </c>
      <c r="F8238" s="19" t="str">
        <f>IFERROR(__xludf.DUMMYFUNCTION("""COMPUTED_VALUE"""),"BLUE")</f>
        <v>BLUE</v>
      </c>
      <c r="G8238" s="20" t="str">
        <f>IFERROR(__xludf.DUMMYFUNCTION("""COMPUTED_VALUE"""),"Uncle Sams Cider (04/04/2023)")</f>
        <v>Uncle Sams Cider (04/04/2023)</v>
      </c>
      <c r="H8238" s="19"/>
    </row>
    <row r="8239">
      <c r="A8239" s="9"/>
      <c r="B8239" s="15"/>
      <c r="C8239" s="9">
        <f>IFERROR(__xludf.DUMMYFUNCTION("""COMPUTED_VALUE"""),45057.7449183449)</f>
        <v>45057.74492</v>
      </c>
      <c r="D8239" s="15">
        <f>IFERROR(__xludf.DUMMYFUNCTION("""COMPUTED_VALUE"""),1.018)</f>
        <v>1.018</v>
      </c>
      <c r="E8239" s="16">
        <f>IFERROR(__xludf.DUMMYFUNCTION("""COMPUTED_VALUE"""),63.0)</f>
        <v>63</v>
      </c>
      <c r="F8239" s="19" t="str">
        <f>IFERROR(__xludf.DUMMYFUNCTION("""COMPUTED_VALUE"""),"BLUE")</f>
        <v>BLUE</v>
      </c>
      <c r="G8239" s="20" t="str">
        <f>IFERROR(__xludf.DUMMYFUNCTION("""COMPUTED_VALUE"""),"Uncle Sams Cider (04/04/2023)")</f>
        <v>Uncle Sams Cider (04/04/2023)</v>
      </c>
      <c r="H8239" s="19"/>
    </row>
    <row r="8240">
      <c r="A8240" s="9"/>
      <c r="B8240" s="15"/>
      <c r="C8240" s="9">
        <f>IFERROR(__xludf.DUMMYFUNCTION("""COMPUTED_VALUE"""),45057.7344976504)</f>
        <v>45057.7345</v>
      </c>
      <c r="D8240" s="15">
        <f>IFERROR(__xludf.DUMMYFUNCTION("""COMPUTED_VALUE"""),1.017)</f>
        <v>1.017</v>
      </c>
      <c r="E8240" s="16">
        <f>IFERROR(__xludf.DUMMYFUNCTION("""COMPUTED_VALUE"""),63.0)</f>
        <v>63</v>
      </c>
      <c r="F8240" s="19" t="str">
        <f>IFERROR(__xludf.DUMMYFUNCTION("""COMPUTED_VALUE"""),"BLUE")</f>
        <v>BLUE</v>
      </c>
      <c r="G8240" s="20" t="str">
        <f>IFERROR(__xludf.DUMMYFUNCTION("""COMPUTED_VALUE"""),"Uncle Sams Cider (04/04/2023)")</f>
        <v>Uncle Sams Cider (04/04/2023)</v>
      </c>
      <c r="H8240" s="19"/>
    </row>
    <row r="8241">
      <c r="A8241" s="9"/>
      <c r="B8241" s="15"/>
      <c r="C8241" s="9">
        <f>IFERROR(__xludf.DUMMYFUNCTION("""COMPUTED_VALUE"""),45057.724064699)</f>
        <v>45057.72406</v>
      </c>
      <c r="D8241" s="15">
        <f>IFERROR(__xludf.DUMMYFUNCTION("""COMPUTED_VALUE"""),1.018)</f>
        <v>1.018</v>
      </c>
      <c r="E8241" s="16">
        <f>IFERROR(__xludf.DUMMYFUNCTION("""COMPUTED_VALUE"""),63.0)</f>
        <v>63</v>
      </c>
      <c r="F8241" s="19" t="str">
        <f>IFERROR(__xludf.DUMMYFUNCTION("""COMPUTED_VALUE"""),"BLUE")</f>
        <v>BLUE</v>
      </c>
      <c r="G8241" s="20" t="str">
        <f>IFERROR(__xludf.DUMMYFUNCTION("""COMPUTED_VALUE"""),"Uncle Sams Cider (04/04/2023)")</f>
        <v>Uncle Sams Cider (04/04/2023)</v>
      </c>
      <c r="H8241" s="19"/>
    </row>
    <row r="8242">
      <c r="A8242" s="9"/>
      <c r="B8242" s="15"/>
      <c r="C8242" s="9">
        <f>IFERROR(__xludf.DUMMYFUNCTION("""COMPUTED_VALUE"""),45057.7136433912)</f>
        <v>45057.71364</v>
      </c>
      <c r="D8242" s="15">
        <f>IFERROR(__xludf.DUMMYFUNCTION("""COMPUTED_VALUE"""),1.018)</f>
        <v>1.018</v>
      </c>
      <c r="E8242" s="16">
        <f>IFERROR(__xludf.DUMMYFUNCTION("""COMPUTED_VALUE"""),63.0)</f>
        <v>63</v>
      </c>
      <c r="F8242" s="19" t="str">
        <f>IFERROR(__xludf.DUMMYFUNCTION("""COMPUTED_VALUE"""),"BLUE")</f>
        <v>BLUE</v>
      </c>
      <c r="G8242" s="20" t="str">
        <f>IFERROR(__xludf.DUMMYFUNCTION("""COMPUTED_VALUE"""),"Uncle Sams Cider (04/04/2023)")</f>
        <v>Uncle Sams Cider (04/04/2023)</v>
      </c>
      <c r="H8242" s="19"/>
    </row>
    <row r="8243">
      <c r="A8243" s="9"/>
      <c r="B8243" s="15"/>
      <c r="C8243" s="9">
        <f>IFERROR(__xludf.DUMMYFUNCTION("""COMPUTED_VALUE"""),45057.7032229166)</f>
        <v>45057.70322</v>
      </c>
      <c r="D8243" s="15">
        <f>IFERROR(__xludf.DUMMYFUNCTION("""COMPUTED_VALUE"""),1.018)</f>
        <v>1.018</v>
      </c>
      <c r="E8243" s="16">
        <f>IFERROR(__xludf.DUMMYFUNCTION("""COMPUTED_VALUE"""),63.0)</f>
        <v>63</v>
      </c>
      <c r="F8243" s="19" t="str">
        <f>IFERROR(__xludf.DUMMYFUNCTION("""COMPUTED_VALUE"""),"BLUE")</f>
        <v>BLUE</v>
      </c>
      <c r="G8243" s="20" t="str">
        <f>IFERROR(__xludf.DUMMYFUNCTION("""COMPUTED_VALUE"""),"Uncle Sams Cider (04/04/2023)")</f>
        <v>Uncle Sams Cider (04/04/2023)</v>
      </c>
      <c r="H8243" s="19"/>
    </row>
    <row r="8244">
      <c r="A8244" s="9"/>
      <c r="B8244" s="15"/>
      <c r="C8244" s="9">
        <f>IFERROR(__xludf.DUMMYFUNCTION("""COMPUTED_VALUE"""),45057.6928040162)</f>
        <v>45057.6928</v>
      </c>
      <c r="D8244" s="15">
        <f>IFERROR(__xludf.DUMMYFUNCTION("""COMPUTED_VALUE"""),1.017)</f>
        <v>1.017</v>
      </c>
      <c r="E8244" s="16">
        <f>IFERROR(__xludf.DUMMYFUNCTION("""COMPUTED_VALUE"""),63.0)</f>
        <v>63</v>
      </c>
      <c r="F8244" s="19" t="str">
        <f>IFERROR(__xludf.DUMMYFUNCTION("""COMPUTED_VALUE"""),"BLUE")</f>
        <v>BLUE</v>
      </c>
      <c r="G8244" s="20" t="str">
        <f>IFERROR(__xludf.DUMMYFUNCTION("""COMPUTED_VALUE"""),"Uncle Sams Cider (04/04/2023)")</f>
        <v>Uncle Sams Cider (04/04/2023)</v>
      </c>
      <c r="H8244" s="19"/>
    </row>
    <row r="8245">
      <c r="A8245" s="9"/>
      <c r="B8245" s="15"/>
      <c r="C8245" s="9">
        <f>IFERROR(__xludf.DUMMYFUNCTION("""COMPUTED_VALUE"""),45057.682381412)</f>
        <v>45057.68238</v>
      </c>
      <c r="D8245" s="15">
        <f>IFERROR(__xludf.DUMMYFUNCTION("""COMPUTED_VALUE"""),1.018)</f>
        <v>1.018</v>
      </c>
      <c r="E8245" s="16">
        <f>IFERROR(__xludf.DUMMYFUNCTION("""COMPUTED_VALUE"""),63.0)</f>
        <v>63</v>
      </c>
      <c r="F8245" s="19" t="str">
        <f>IFERROR(__xludf.DUMMYFUNCTION("""COMPUTED_VALUE"""),"BLUE")</f>
        <v>BLUE</v>
      </c>
      <c r="G8245" s="20" t="str">
        <f>IFERROR(__xludf.DUMMYFUNCTION("""COMPUTED_VALUE"""),"Uncle Sams Cider (04/04/2023)")</f>
        <v>Uncle Sams Cider (04/04/2023)</v>
      </c>
      <c r="H8245" s="19"/>
    </row>
    <row r="8246">
      <c r="A8246" s="9"/>
      <c r="B8246" s="15"/>
      <c r="C8246" s="9">
        <f>IFERROR(__xludf.DUMMYFUNCTION("""COMPUTED_VALUE"""),45057.6719488194)</f>
        <v>45057.67195</v>
      </c>
      <c r="D8246" s="15">
        <f>IFERROR(__xludf.DUMMYFUNCTION("""COMPUTED_VALUE"""),1.018)</f>
        <v>1.018</v>
      </c>
      <c r="E8246" s="16">
        <f>IFERROR(__xludf.DUMMYFUNCTION("""COMPUTED_VALUE"""),63.0)</f>
        <v>63</v>
      </c>
      <c r="F8246" s="19" t="str">
        <f>IFERROR(__xludf.DUMMYFUNCTION("""COMPUTED_VALUE"""),"BLUE")</f>
        <v>BLUE</v>
      </c>
      <c r="G8246" s="20" t="str">
        <f>IFERROR(__xludf.DUMMYFUNCTION("""COMPUTED_VALUE"""),"Uncle Sams Cider (04/04/2023)")</f>
        <v>Uncle Sams Cider (04/04/2023)</v>
      </c>
      <c r="H8246" s="19"/>
    </row>
    <row r="8247">
      <c r="A8247" s="9"/>
      <c r="B8247" s="15"/>
      <c r="C8247" s="9">
        <f>IFERROR(__xludf.DUMMYFUNCTION("""COMPUTED_VALUE"""),45057.6615279166)</f>
        <v>45057.66153</v>
      </c>
      <c r="D8247" s="15">
        <f>IFERROR(__xludf.DUMMYFUNCTION("""COMPUTED_VALUE"""),1.018)</f>
        <v>1.018</v>
      </c>
      <c r="E8247" s="16">
        <f>IFERROR(__xludf.DUMMYFUNCTION("""COMPUTED_VALUE"""),63.0)</f>
        <v>63</v>
      </c>
      <c r="F8247" s="19" t="str">
        <f>IFERROR(__xludf.DUMMYFUNCTION("""COMPUTED_VALUE"""),"BLUE")</f>
        <v>BLUE</v>
      </c>
      <c r="G8247" s="20" t="str">
        <f>IFERROR(__xludf.DUMMYFUNCTION("""COMPUTED_VALUE"""),"Uncle Sams Cider (04/04/2023)")</f>
        <v>Uncle Sams Cider (04/04/2023)</v>
      </c>
      <c r="H8247" s="19"/>
    </row>
    <row r="8248">
      <c r="A8248" s="9"/>
      <c r="B8248" s="15"/>
      <c r="C8248" s="9">
        <f>IFERROR(__xludf.DUMMYFUNCTION("""COMPUTED_VALUE"""),45057.651095706)</f>
        <v>45057.6511</v>
      </c>
      <c r="D8248" s="15">
        <f>IFERROR(__xludf.DUMMYFUNCTION("""COMPUTED_VALUE"""),1.018)</f>
        <v>1.018</v>
      </c>
      <c r="E8248" s="16">
        <f>IFERROR(__xludf.DUMMYFUNCTION("""COMPUTED_VALUE"""),63.0)</f>
        <v>63</v>
      </c>
      <c r="F8248" s="19" t="str">
        <f>IFERROR(__xludf.DUMMYFUNCTION("""COMPUTED_VALUE"""),"BLUE")</f>
        <v>BLUE</v>
      </c>
      <c r="G8248" s="20" t="str">
        <f>IFERROR(__xludf.DUMMYFUNCTION("""COMPUTED_VALUE"""),"Uncle Sams Cider (04/04/2023)")</f>
        <v>Uncle Sams Cider (04/04/2023)</v>
      </c>
      <c r="H8248" s="19"/>
    </row>
    <row r="8249">
      <c r="A8249" s="9"/>
      <c r="B8249" s="15"/>
      <c r="C8249" s="9">
        <f>IFERROR(__xludf.DUMMYFUNCTION("""COMPUTED_VALUE"""),45057.640674375)</f>
        <v>45057.64067</v>
      </c>
      <c r="D8249" s="15">
        <f>IFERROR(__xludf.DUMMYFUNCTION("""COMPUTED_VALUE"""),1.018)</f>
        <v>1.018</v>
      </c>
      <c r="E8249" s="16">
        <f>IFERROR(__xludf.DUMMYFUNCTION("""COMPUTED_VALUE"""),63.0)</f>
        <v>63</v>
      </c>
      <c r="F8249" s="19" t="str">
        <f>IFERROR(__xludf.DUMMYFUNCTION("""COMPUTED_VALUE"""),"BLUE")</f>
        <v>BLUE</v>
      </c>
      <c r="G8249" s="20" t="str">
        <f>IFERROR(__xludf.DUMMYFUNCTION("""COMPUTED_VALUE"""),"Uncle Sams Cider (04/04/2023)")</f>
        <v>Uncle Sams Cider (04/04/2023)</v>
      </c>
      <c r="H8249" s="19"/>
    </row>
    <row r="8250">
      <c r="A8250" s="9"/>
      <c r="B8250" s="15"/>
      <c r="C8250" s="9">
        <f>IFERROR(__xludf.DUMMYFUNCTION("""COMPUTED_VALUE"""),45057.6302533101)</f>
        <v>45057.63025</v>
      </c>
      <c r="D8250" s="15">
        <f>IFERROR(__xludf.DUMMYFUNCTION("""COMPUTED_VALUE"""),1.018)</f>
        <v>1.018</v>
      </c>
      <c r="E8250" s="16">
        <f>IFERROR(__xludf.DUMMYFUNCTION("""COMPUTED_VALUE"""),63.0)</f>
        <v>63</v>
      </c>
      <c r="F8250" s="19" t="str">
        <f>IFERROR(__xludf.DUMMYFUNCTION("""COMPUTED_VALUE"""),"BLUE")</f>
        <v>BLUE</v>
      </c>
      <c r="G8250" s="20" t="str">
        <f>IFERROR(__xludf.DUMMYFUNCTION("""COMPUTED_VALUE"""),"Uncle Sams Cider (04/04/2023)")</f>
        <v>Uncle Sams Cider (04/04/2023)</v>
      </c>
      <c r="H8250" s="19"/>
    </row>
    <row r="8251">
      <c r="A8251" s="9"/>
      <c r="B8251" s="15"/>
      <c r="C8251" s="9">
        <f>IFERROR(__xludf.DUMMYFUNCTION("""COMPUTED_VALUE"""),45057.6198324074)</f>
        <v>45057.61983</v>
      </c>
      <c r="D8251" s="15">
        <f>IFERROR(__xludf.DUMMYFUNCTION("""COMPUTED_VALUE"""),1.018)</f>
        <v>1.018</v>
      </c>
      <c r="E8251" s="16">
        <f>IFERROR(__xludf.DUMMYFUNCTION("""COMPUTED_VALUE"""),63.0)</f>
        <v>63</v>
      </c>
      <c r="F8251" s="19" t="str">
        <f>IFERROR(__xludf.DUMMYFUNCTION("""COMPUTED_VALUE"""),"BLUE")</f>
        <v>BLUE</v>
      </c>
      <c r="G8251" s="20" t="str">
        <f>IFERROR(__xludf.DUMMYFUNCTION("""COMPUTED_VALUE"""),"Uncle Sams Cider (04/04/2023)")</f>
        <v>Uncle Sams Cider (04/04/2023)</v>
      </c>
      <c r="H8251" s="19"/>
    </row>
    <row r="8252">
      <c r="A8252" s="9"/>
      <c r="B8252" s="15"/>
      <c r="C8252" s="9">
        <f>IFERROR(__xludf.DUMMYFUNCTION("""COMPUTED_VALUE"""),45057.6093881365)</f>
        <v>45057.60939</v>
      </c>
      <c r="D8252" s="15">
        <f>IFERROR(__xludf.DUMMYFUNCTION("""COMPUTED_VALUE"""),1.018)</f>
        <v>1.018</v>
      </c>
      <c r="E8252" s="16">
        <f>IFERROR(__xludf.DUMMYFUNCTION("""COMPUTED_VALUE"""),63.0)</f>
        <v>63</v>
      </c>
      <c r="F8252" s="19" t="str">
        <f>IFERROR(__xludf.DUMMYFUNCTION("""COMPUTED_VALUE"""),"BLUE")</f>
        <v>BLUE</v>
      </c>
      <c r="G8252" s="20" t="str">
        <f>IFERROR(__xludf.DUMMYFUNCTION("""COMPUTED_VALUE"""),"Uncle Sams Cider (04/04/2023)")</f>
        <v>Uncle Sams Cider (04/04/2023)</v>
      </c>
      <c r="H8252" s="19"/>
    </row>
    <row r="8253">
      <c r="A8253" s="9"/>
      <c r="B8253" s="15"/>
      <c r="C8253" s="9">
        <f>IFERROR(__xludf.DUMMYFUNCTION("""COMPUTED_VALUE"""),45057.5989555555)</f>
        <v>45057.59896</v>
      </c>
      <c r="D8253" s="15">
        <f>IFERROR(__xludf.DUMMYFUNCTION("""COMPUTED_VALUE"""),1.018)</f>
        <v>1.018</v>
      </c>
      <c r="E8253" s="16">
        <f>IFERROR(__xludf.DUMMYFUNCTION("""COMPUTED_VALUE"""),63.0)</f>
        <v>63</v>
      </c>
      <c r="F8253" s="19" t="str">
        <f>IFERROR(__xludf.DUMMYFUNCTION("""COMPUTED_VALUE"""),"BLUE")</f>
        <v>BLUE</v>
      </c>
      <c r="G8253" s="20" t="str">
        <f>IFERROR(__xludf.DUMMYFUNCTION("""COMPUTED_VALUE"""),"Uncle Sams Cider (04/04/2023)")</f>
        <v>Uncle Sams Cider (04/04/2023)</v>
      </c>
      <c r="H8253" s="19"/>
    </row>
    <row r="8254">
      <c r="A8254" s="9"/>
      <c r="B8254" s="15"/>
      <c r="C8254" s="9">
        <f>IFERROR(__xludf.DUMMYFUNCTION("""COMPUTED_VALUE"""),45057.5885353935)</f>
        <v>45057.58854</v>
      </c>
      <c r="D8254" s="15">
        <f>IFERROR(__xludf.DUMMYFUNCTION("""COMPUTED_VALUE"""),1.018)</f>
        <v>1.018</v>
      </c>
      <c r="E8254" s="16">
        <f>IFERROR(__xludf.DUMMYFUNCTION("""COMPUTED_VALUE"""),63.0)</f>
        <v>63</v>
      </c>
      <c r="F8254" s="19" t="str">
        <f>IFERROR(__xludf.DUMMYFUNCTION("""COMPUTED_VALUE"""),"BLUE")</f>
        <v>BLUE</v>
      </c>
      <c r="G8254" s="20" t="str">
        <f>IFERROR(__xludf.DUMMYFUNCTION("""COMPUTED_VALUE"""),"Uncle Sams Cider (04/04/2023)")</f>
        <v>Uncle Sams Cider (04/04/2023)</v>
      </c>
      <c r="H8254" s="19"/>
    </row>
    <row r="8255">
      <c r="A8255" s="9"/>
      <c r="B8255" s="15"/>
      <c r="C8255" s="9">
        <f>IFERROR(__xludf.DUMMYFUNCTION("""COMPUTED_VALUE"""),45057.5780909953)</f>
        <v>45057.57809</v>
      </c>
      <c r="D8255" s="15">
        <f>IFERROR(__xludf.DUMMYFUNCTION("""COMPUTED_VALUE"""),1.018)</f>
        <v>1.018</v>
      </c>
      <c r="E8255" s="16">
        <f>IFERROR(__xludf.DUMMYFUNCTION("""COMPUTED_VALUE"""),63.0)</f>
        <v>63</v>
      </c>
      <c r="F8255" s="19" t="str">
        <f>IFERROR(__xludf.DUMMYFUNCTION("""COMPUTED_VALUE"""),"BLUE")</f>
        <v>BLUE</v>
      </c>
      <c r="G8255" s="20" t="str">
        <f>IFERROR(__xludf.DUMMYFUNCTION("""COMPUTED_VALUE"""),"Uncle Sams Cider (04/04/2023)")</f>
        <v>Uncle Sams Cider (04/04/2023)</v>
      </c>
      <c r="H8255" s="19"/>
    </row>
    <row r="8256">
      <c r="A8256" s="9"/>
      <c r="B8256" s="15"/>
      <c r="C8256" s="9">
        <f>IFERROR(__xludf.DUMMYFUNCTION("""COMPUTED_VALUE"""),45057.5676707175)</f>
        <v>45057.56767</v>
      </c>
      <c r="D8256" s="15">
        <f>IFERROR(__xludf.DUMMYFUNCTION("""COMPUTED_VALUE"""),1.018)</f>
        <v>1.018</v>
      </c>
      <c r="E8256" s="16">
        <f>IFERROR(__xludf.DUMMYFUNCTION("""COMPUTED_VALUE"""),63.0)</f>
        <v>63</v>
      </c>
      <c r="F8256" s="19" t="str">
        <f>IFERROR(__xludf.DUMMYFUNCTION("""COMPUTED_VALUE"""),"BLUE")</f>
        <v>BLUE</v>
      </c>
      <c r="G8256" s="20" t="str">
        <f>IFERROR(__xludf.DUMMYFUNCTION("""COMPUTED_VALUE"""),"Uncle Sams Cider (04/04/2023)")</f>
        <v>Uncle Sams Cider (04/04/2023)</v>
      </c>
      <c r="H8256" s="19"/>
    </row>
    <row r="8257">
      <c r="A8257" s="9"/>
      <c r="B8257" s="15"/>
      <c r="C8257" s="9">
        <f>IFERROR(__xludf.DUMMYFUNCTION("""COMPUTED_VALUE"""),45057.5572498379)</f>
        <v>45057.55725</v>
      </c>
      <c r="D8257" s="15">
        <f>IFERROR(__xludf.DUMMYFUNCTION("""COMPUTED_VALUE"""),1.018)</f>
        <v>1.018</v>
      </c>
      <c r="E8257" s="16">
        <f>IFERROR(__xludf.DUMMYFUNCTION("""COMPUTED_VALUE"""),63.0)</f>
        <v>63</v>
      </c>
      <c r="F8257" s="19" t="str">
        <f>IFERROR(__xludf.DUMMYFUNCTION("""COMPUTED_VALUE"""),"BLUE")</f>
        <v>BLUE</v>
      </c>
      <c r="G8257" s="20" t="str">
        <f>IFERROR(__xludf.DUMMYFUNCTION("""COMPUTED_VALUE"""),"Uncle Sams Cider (04/04/2023)")</f>
        <v>Uncle Sams Cider (04/04/2023)</v>
      </c>
      <c r="H8257" s="19"/>
    </row>
    <row r="8258">
      <c r="A8258" s="9"/>
      <c r="B8258" s="15"/>
      <c r="C8258" s="9">
        <f>IFERROR(__xludf.DUMMYFUNCTION("""COMPUTED_VALUE"""),45057.5468297222)</f>
        <v>45057.54683</v>
      </c>
      <c r="D8258" s="15">
        <f>IFERROR(__xludf.DUMMYFUNCTION("""COMPUTED_VALUE"""),1.018)</f>
        <v>1.018</v>
      </c>
      <c r="E8258" s="16">
        <f>IFERROR(__xludf.DUMMYFUNCTION("""COMPUTED_VALUE"""),63.0)</f>
        <v>63</v>
      </c>
      <c r="F8258" s="19" t="str">
        <f>IFERROR(__xludf.DUMMYFUNCTION("""COMPUTED_VALUE"""),"BLUE")</f>
        <v>BLUE</v>
      </c>
      <c r="G8258" s="20" t="str">
        <f>IFERROR(__xludf.DUMMYFUNCTION("""COMPUTED_VALUE"""),"Uncle Sams Cider (04/04/2023)")</f>
        <v>Uncle Sams Cider (04/04/2023)</v>
      </c>
      <c r="H8258" s="19"/>
    </row>
    <row r="8259">
      <c r="A8259" s="9"/>
      <c r="B8259" s="15"/>
      <c r="C8259" s="9">
        <f>IFERROR(__xludf.DUMMYFUNCTION("""COMPUTED_VALUE"""),45057.5364095486)</f>
        <v>45057.53641</v>
      </c>
      <c r="D8259" s="15">
        <f>IFERROR(__xludf.DUMMYFUNCTION("""COMPUTED_VALUE"""),1.018)</f>
        <v>1.018</v>
      </c>
      <c r="E8259" s="16">
        <f>IFERROR(__xludf.DUMMYFUNCTION("""COMPUTED_VALUE"""),63.0)</f>
        <v>63</v>
      </c>
      <c r="F8259" s="19" t="str">
        <f>IFERROR(__xludf.DUMMYFUNCTION("""COMPUTED_VALUE"""),"BLUE")</f>
        <v>BLUE</v>
      </c>
      <c r="G8259" s="20" t="str">
        <f>IFERROR(__xludf.DUMMYFUNCTION("""COMPUTED_VALUE"""),"Uncle Sams Cider (04/04/2023)")</f>
        <v>Uncle Sams Cider (04/04/2023)</v>
      </c>
      <c r="H8259" s="19"/>
    </row>
    <row r="8260">
      <c r="A8260" s="9"/>
      <c r="B8260" s="15"/>
      <c r="C8260" s="9">
        <f>IFERROR(__xludf.DUMMYFUNCTION("""COMPUTED_VALUE"""),45057.5259776041)</f>
        <v>45057.52598</v>
      </c>
      <c r="D8260" s="15">
        <f>IFERROR(__xludf.DUMMYFUNCTION("""COMPUTED_VALUE"""),1.018)</f>
        <v>1.018</v>
      </c>
      <c r="E8260" s="16">
        <f>IFERROR(__xludf.DUMMYFUNCTION("""COMPUTED_VALUE"""),63.0)</f>
        <v>63</v>
      </c>
      <c r="F8260" s="19" t="str">
        <f>IFERROR(__xludf.DUMMYFUNCTION("""COMPUTED_VALUE"""),"BLUE")</f>
        <v>BLUE</v>
      </c>
      <c r="G8260" s="20" t="str">
        <f>IFERROR(__xludf.DUMMYFUNCTION("""COMPUTED_VALUE"""),"Uncle Sams Cider (04/04/2023)")</f>
        <v>Uncle Sams Cider (04/04/2023)</v>
      </c>
      <c r="H8260" s="19"/>
    </row>
    <row r="8261">
      <c r="A8261" s="9"/>
      <c r="B8261" s="15"/>
      <c r="C8261" s="9">
        <f>IFERROR(__xludf.DUMMYFUNCTION("""COMPUTED_VALUE"""),45057.5155334838)</f>
        <v>45057.51553</v>
      </c>
      <c r="D8261" s="15">
        <f>IFERROR(__xludf.DUMMYFUNCTION("""COMPUTED_VALUE"""),1.018)</f>
        <v>1.018</v>
      </c>
      <c r="E8261" s="16">
        <f>IFERROR(__xludf.DUMMYFUNCTION("""COMPUTED_VALUE"""),63.0)</f>
        <v>63</v>
      </c>
      <c r="F8261" s="19" t="str">
        <f>IFERROR(__xludf.DUMMYFUNCTION("""COMPUTED_VALUE"""),"BLUE")</f>
        <v>BLUE</v>
      </c>
      <c r="G8261" s="20" t="str">
        <f>IFERROR(__xludf.DUMMYFUNCTION("""COMPUTED_VALUE"""),"Uncle Sams Cider (04/04/2023)")</f>
        <v>Uncle Sams Cider (04/04/2023)</v>
      </c>
      <c r="H8261" s="19"/>
    </row>
    <row r="8262">
      <c r="A8262" s="9"/>
      <c r="B8262" s="15"/>
      <c r="C8262" s="9">
        <f>IFERROR(__xludf.DUMMYFUNCTION("""COMPUTED_VALUE"""),45057.5051130902)</f>
        <v>45057.50511</v>
      </c>
      <c r="D8262" s="15">
        <f>IFERROR(__xludf.DUMMYFUNCTION("""COMPUTED_VALUE"""),1.018)</f>
        <v>1.018</v>
      </c>
      <c r="E8262" s="16">
        <f>IFERROR(__xludf.DUMMYFUNCTION("""COMPUTED_VALUE"""),63.0)</f>
        <v>63</v>
      </c>
      <c r="F8262" s="19" t="str">
        <f>IFERROR(__xludf.DUMMYFUNCTION("""COMPUTED_VALUE"""),"BLUE")</f>
        <v>BLUE</v>
      </c>
      <c r="G8262" s="20" t="str">
        <f>IFERROR(__xludf.DUMMYFUNCTION("""COMPUTED_VALUE"""),"Uncle Sams Cider (04/04/2023)")</f>
        <v>Uncle Sams Cider (04/04/2023)</v>
      </c>
      <c r="H8262" s="19"/>
    </row>
    <row r="8263">
      <c r="A8263" s="9"/>
      <c r="B8263" s="15"/>
      <c r="C8263" s="9">
        <f>IFERROR(__xludf.DUMMYFUNCTION("""COMPUTED_VALUE"""),45057.4946908101)</f>
        <v>45057.49469</v>
      </c>
      <c r="D8263" s="15">
        <f>IFERROR(__xludf.DUMMYFUNCTION("""COMPUTED_VALUE"""),1.018)</f>
        <v>1.018</v>
      </c>
      <c r="E8263" s="16">
        <f>IFERROR(__xludf.DUMMYFUNCTION("""COMPUTED_VALUE"""),63.0)</f>
        <v>63</v>
      </c>
      <c r="F8263" s="19" t="str">
        <f>IFERROR(__xludf.DUMMYFUNCTION("""COMPUTED_VALUE"""),"BLUE")</f>
        <v>BLUE</v>
      </c>
      <c r="G8263" s="20" t="str">
        <f>IFERROR(__xludf.DUMMYFUNCTION("""COMPUTED_VALUE"""),"Uncle Sams Cider (04/04/2023)")</f>
        <v>Uncle Sams Cider (04/04/2023)</v>
      </c>
      <c r="H8263" s="19"/>
    </row>
    <row r="8264">
      <c r="A8264" s="9"/>
      <c r="B8264" s="15"/>
      <c r="C8264" s="9">
        <f>IFERROR(__xludf.DUMMYFUNCTION("""COMPUTED_VALUE"""),45057.4842686342)</f>
        <v>45057.48427</v>
      </c>
      <c r="D8264" s="15">
        <f>IFERROR(__xludf.DUMMYFUNCTION("""COMPUTED_VALUE"""),1.018)</f>
        <v>1.018</v>
      </c>
      <c r="E8264" s="16">
        <f>IFERROR(__xludf.DUMMYFUNCTION("""COMPUTED_VALUE"""),63.0)</f>
        <v>63</v>
      </c>
      <c r="F8264" s="19" t="str">
        <f>IFERROR(__xludf.DUMMYFUNCTION("""COMPUTED_VALUE"""),"BLUE")</f>
        <v>BLUE</v>
      </c>
      <c r="G8264" s="20" t="str">
        <f>IFERROR(__xludf.DUMMYFUNCTION("""COMPUTED_VALUE"""),"Uncle Sams Cider (04/04/2023)")</f>
        <v>Uncle Sams Cider (04/04/2023)</v>
      </c>
      <c r="H8264" s="19"/>
    </row>
    <row r="8265">
      <c r="A8265" s="9"/>
      <c r="B8265" s="15"/>
      <c r="C8265" s="9">
        <f>IFERROR(__xludf.DUMMYFUNCTION("""COMPUTED_VALUE"""),45057.4738472453)</f>
        <v>45057.47385</v>
      </c>
      <c r="D8265" s="15">
        <f>IFERROR(__xludf.DUMMYFUNCTION("""COMPUTED_VALUE"""),1.018)</f>
        <v>1.018</v>
      </c>
      <c r="E8265" s="16">
        <f>IFERROR(__xludf.DUMMYFUNCTION("""COMPUTED_VALUE"""),63.0)</f>
        <v>63</v>
      </c>
      <c r="F8265" s="19" t="str">
        <f>IFERROR(__xludf.DUMMYFUNCTION("""COMPUTED_VALUE"""),"BLUE")</f>
        <v>BLUE</v>
      </c>
      <c r="G8265" s="20" t="str">
        <f>IFERROR(__xludf.DUMMYFUNCTION("""COMPUTED_VALUE"""),"Uncle Sams Cider (04/04/2023)")</f>
        <v>Uncle Sams Cider (04/04/2023)</v>
      </c>
      <c r="H8265" s="19"/>
    </row>
    <row r="8266">
      <c r="A8266" s="9"/>
      <c r="B8266" s="15"/>
      <c r="C8266" s="9">
        <f>IFERROR(__xludf.DUMMYFUNCTION("""COMPUTED_VALUE"""),45057.4634258333)</f>
        <v>45057.46343</v>
      </c>
      <c r="D8266" s="15">
        <f>IFERROR(__xludf.DUMMYFUNCTION("""COMPUTED_VALUE"""),1.018)</f>
        <v>1.018</v>
      </c>
      <c r="E8266" s="16">
        <f>IFERROR(__xludf.DUMMYFUNCTION("""COMPUTED_VALUE"""),63.0)</f>
        <v>63</v>
      </c>
      <c r="F8266" s="19" t="str">
        <f>IFERROR(__xludf.DUMMYFUNCTION("""COMPUTED_VALUE"""),"BLUE")</f>
        <v>BLUE</v>
      </c>
      <c r="G8266" s="20" t="str">
        <f>IFERROR(__xludf.DUMMYFUNCTION("""COMPUTED_VALUE"""),"Uncle Sams Cider (04/04/2023)")</f>
        <v>Uncle Sams Cider (04/04/2023)</v>
      </c>
      <c r="H8266" s="19"/>
    </row>
    <row r="8267">
      <c r="A8267" s="9"/>
      <c r="B8267" s="15"/>
      <c r="C8267" s="9">
        <f>IFERROR(__xludf.DUMMYFUNCTION("""COMPUTED_VALUE"""),45057.4530046296)</f>
        <v>45057.453</v>
      </c>
      <c r="D8267" s="15">
        <f>IFERROR(__xludf.DUMMYFUNCTION("""COMPUTED_VALUE"""),1.018)</f>
        <v>1.018</v>
      </c>
      <c r="E8267" s="16">
        <f>IFERROR(__xludf.DUMMYFUNCTION("""COMPUTED_VALUE"""),63.0)</f>
        <v>63</v>
      </c>
      <c r="F8267" s="19" t="str">
        <f>IFERROR(__xludf.DUMMYFUNCTION("""COMPUTED_VALUE"""),"BLUE")</f>
        <v>BLUE</v>
      </c>
      <c r="G8267" s="20" t="str">
        <f>IFERROR(__xludf.DUMMYFUNCTION("""COMPUTED_VALUE"""),"Uncle Sams Cider (04/04/2023)")</f>
        <v>Uncle Sams Cider (04/04/2023)</v>
      </c>
      <c r="H8267" s="19"/>
    </row>
    <row r="8268">
      <c r="A8268" s="9"/>
      <c r="B8268" s="15"/>
      <c r="C8268" s="9">
        <f>IFERROR(__xludf.DUMMYFUNCTION("""COMPUTED_VALUE"""),45057.4425829861)</f>
        <v>45057.44258</v>
      </c>
      <c r="D8268" s="15">
        <f>IFERROR(__xludf.DUMMYFUNCTION("""COMPUTED_VALUE"""),1.018)</f>
        <v>1.018</v>
      </c>
      <c r="E8268" s="16">
        <f>IFERROR(__xludf.DUMMYFUNCTION("""COMPUTED_VALUE"""),63.0)</f>
        <v>63</v>
      </c>
      <c r="F8268" s="19" t="str">
        <f>IFERROR(__xludf.DUMMYFUNCTION("""COMPUTED_VALUE"""),"BLUE")</f>
        <v>BLUE</v>
      </c>
      <c r="G8268" s="20" t="str">
        <f>IFERROR(__xludf.DUMMYFUNCTION("""COMPUTED_VALUE"""),"Uncle Sams Cider (04/04/2023)")</f>
        <v>Uncle Sams Cider (04/04/2023)</v>
      </c>
      <c r="H8268" s="19"/>
    </row>
    <row r="8269">
      <c r="A8269" s="9"/>
      <c r="B8269" s="15"/>
      <c r="C8269" s="9">
        <f>IFERROR(__xludf.DUMMYFUNCTION("""COMPUTED_VALUE"""),45057.4321627546)</f>
        <v>45057.43216</v>
      </c>
      <c r="D8269" s="15">
        <f>IFERROR(__xludf.DUMMYFUNCTION("""COMPUTED_VALUE"""),1.018)</f>
        <v>1.018</v>
      </c>
      <c r="E8269" s="16">
        <f>IFERROR(__xludf.DUMMYFUNCTION("""COMPUTED_VALUE"""),63.0)</f>
        <v>63</v>
      </c>
      <c r="F8269" s="19" t="str">
        <f>IFERROR(__xludf.DUMMYFUNCTION("""COMPUTED_VALUE"""),"BLUE")</f>
        <v>BLUE</v>
      </c>
      <c r="G8269" s="20" t="str">
        <f>IFERROR(__xludf.DUMMYFUNCTION("""COMPUTED_VALUE"""),"Uncle Sams Cider (04/04/2023)")</f>
        <v>Uncle Sams Cider (04/04/2023)</v>
      </c>
      <c r="H8269" s="19"/>
    </row>
    <row r="8270">
      <c r="A8270" s="9"/>
      <c r="B8270" s="15"/>
      <c r="C8270" s="9">
        <f>IFERROR(__xludf.DUMMYFUNCTION("""COMPUTED_VALUE"""),45057.4217443634)</f>
        <v>45057.42174</v>
      </c>
      <c r="D8270" s="15">
        <f>IFERROR(__xludf.DUMMYFUNCTION("""COMPUTED_VALUE"""),1.018)</f>
        <v>1.018</v>
      </c>
      <c r="E8270" s="16">
        <f>IFERROR(__xludf.DUMMYFUNCTION("""COMPUTED_VALUE"""),63.0)</f>
        <v>63</v>
      </c>
      <c r="F8270" s="19" t="str">
        <f>IFERROR(__xludf.DUMMYFUNCTION("""COMPUTED_VALUE"""),"BLUE")</f>
        <v>BLUE</v>
      </c>
      <c r="G8270" s="20" t="str">
        <f>IFERROR(__xludf.DUMMYFUNCTION("""COMPUTED_VALUE"""),"Uncle Sams Cider (04/04/2023)")</f>
        <v>Uncle Sams Cider (04/04/2023)</v>
      </c>
      <c r="H8270" s="19"/>
    </row>
    <row r="8271">
      <c r="A8271" s="9"/>
      <c r="B8271" s="15"/>
      <c r="C8271" s="9">
        <f>IFERROR(__xludf.DUMMYFUNCTION("""COMPUTED_VALUE"""),45057.4112898148)</f>
        <v>45057.41129</v>
      </c>
      <c r="D8271" s="15">
        <f>IFERROR(__xludf.DUMMYFUNCTION("""COMPUTED_VALUE"""),1.018)</f>
        <v>1.018</v>
      </c>
      <c r="E8271" s="16">
        <f>IFERROR(__xludf.DUMMYFUNCTION("""COMPUTED_VALUE"""),63.0)</f>
        <v>63</v>
      </c>
      <c r="F8271" s="19" t="str">
        <f>IFERROR(__xludf.DUMMYFUNCTION("""COMPUTED_VALUE"""),"BLUE")</f>
        <v>BLUE</v>
      </c>
      <c r="G8271" s="20" t="str">
        <f>IFERROR(__xludf.DUMMYFUNCTION("""COMPUTED_VALUE"""),"Uncle Sams Cider (04/04/2023)")</f>
        <v>Uncle Sams Cider (04/04/2023)</v>
      </c>
      <c r="H8271" s="19"/>
    </row>
    <row r="8272">
      <c r="A8272" s="9"/>
      <c r="B8272" s="15"/>
      <c r="C8272" s="9">
        <f>IFERROR(__xludf.DUMMYFUNCTION("""COMPUTED_VALUE"""),45057.4008681134)</f>
        <v>45057.40087</v>
      </c>
      <c r="D8272" s="15">
        <f>IFERROR(__xludf.DUMMYFUNCTION("""COMPUTED_VALUE"""),1.018)</f>
        <v>1.018</v>
      </c>
      <c r="E8272" s="16">
        <f>IFERROR(__xludf.DUMMYFUNCTION("""COMPUTED_VALUE"""),63.0)</f>
        <v>63</v>
      </c>
      <c r="F8272" s="19" t="str">
        <f>IFERROR(__xludf.DUMMYFUNCTION("""COMPUTED_VALUE"""),"BLUE")</f>
        <v>BLUE</v>
      </c>
      <c r="G8272" s="20" t="str">
        <f>IFERROR(__xludf.DUMMYFUNCTION("""COMPUTED_VALUE"""),"Uncle Sams Cider (04/04/2023)")</f>
        <v>Uncle Sams Cider (04/04/2023)</v>
      </c>
      <c r="H8272" s="19"/>
    </row>
    <row r="8273">
      <c r="A8273" s="9"/>
      <c r="B8273" s="15"/>
      <c r="C8273" s="9">
        <f>IFERROR(__xludf.DUMMYFUNCTION("""COMPUTED_VALUE"""),45057.3904473379)</f>
        <v>45057.39045</v>
      </c>
      <c r="D8273" s="15">
        <f>IFERROR(__xludf.DUMMYFUNCTION("""COMPUTED_VALUE"""),1.018)</f>
        <v>1.018</v>
      </c>
      <c r="E8273" s="16">
        <f>IFERROR(__xludf.DUMMYFUNCTION("""COMPUTED_VALUE"""),63.0)</f>
        <v>63</v>
      </c>
      <c r="F8273" s="19" t="str">
        <f>IFERROR(__xludf.DUMMYFUNCTION("""COMPUTED_VALUE"""),"BLUE")</f>
        <v>BLUE</v>
      </c>
      <c r="G8273" s="20" t="str">
        <f>IFERROR(__xludf.DUMMYFUNCTION("""COMPUTED_VALUE"""),"Uncle Sams Cider (04/04/2023)")</f>
        <v>Uncle Sams Cider (04/04/2023)</v>
      </c>
      <c r="H8273" s="19"/>
    </row>
    <row r="8274">
      <c r="A8274" s="9"/>
      <c r="B8274" s="15"/>
      <c r="C8274" s="9">
        <f>IFERROR(__xludf.DUMMYFUNCTION("""COMPUTED_VALUE"""),45057.3800254282)</f>
        <v>45057.38003</v>
      </c>
      <c r="D8274" s="15">
        <f>IFERROR(__xludf.DUMMYFUNCTION("""COMPUTED_VALUE"""),1.018)</f>
        <v>1.018</v>
      </c>
      <c r="E8274" s="16">
        <f>IFERROR(__xludf.DUMMYFUNCTION("""COMPUTED_VALUE"""),63.0)</f>
        <v>63</v>
      </c>
      <c r="F8274" s="19" t="str">
        <f>IFERROR(__xludf.DUMMYFUNCTION("""COMPUTED_VALUE"""),"BLUE")</f>
        <v>BLUE</v>
      </c>
      <c r="G8274" s="20" t="str">
        <f>IFERROR(__xludf.DUMMYFUNCTION("""COMPUTED_VALUE"""),"Uncle Sams Cider (04/04/2023)")</f>
        <v>Uncle Sams Cider (04/04/2023)</v>
      </c>
      <c r="H8274" s="19"/>
    </row>
    <row r="8275">
      <c r="A8275" s="9"/>
      <c r="B8275" s="15"/>
      <c r="C8275" s="9">
        <f>IFERROR(__xludf.DUMMYFUNCTION("""COMPUTED_VALUE"""),45057.369603831)</f>
        <v>45057.3696</v>
      </c>
      <c r="D8275" s="15">
        <f>IFERROR(__xludf.DUMMYFUNCTION("""COMPUTED_VALUE"""),1.018)</f>
        <v>1.018</v>
      </c>
      <c r="E8275" s="16">
        <f>IFERROR(__xludf.DUMMYFUNCTION("""COMPUTED_VALUE"""),63.0)</f>
        <v>63</v>
      </c>
      <c r="F8275" s="19" t="str">
        <f>IFERROR(__xludf.DUMMYFUNCTION("""COMPUTED_VALUE"""),"BLUE")</f>
        <v>BLUE</v>
      </c>
      <c r="G8275" s="20" t="str">
        <f>IFERROR(__xludf.DUMMYFUNCTION("""COMPUTED_VALUE"""),"Uncle Sams Cider (04/04/2023)")</f>
        <v>Uncle Sams Cider (04/04/2023)</v>
      </c>
      <c r="H8275" s="19"/>
    </row>
    <row r="8276">
      <c r="A8276" s="9"/>
      <c r="B8276" s="15"/>
      <c r="C8276" s="9">
        <f>IFERROR(__xludf.DUMMYFUNCTION("""COMPUTED_VALUE"""),45057.3591834375)</f>
        <v>45057.35918</v>
      </c>
      <c r="D8276" s="15">
        <f>IFERROR(__xludf.DUMMYFUNCTION("""COMPUTED_VALUE"""),1.018)</f>
        <v>1.018</v>
      </c>
      <c r="E8276" s="16">
        <f>IFERROR(__xludf.DUMMYFUNCTION("""COMPUTED_VALUE"""),63.0)</f>
        <v>63</v>
      </c>
      <c r="F8276" s="19" t="str">
        <f>IFERROR(__xludf.DUMMYFUNCTION("""COMPUTED_VALUE"""),"BLUE")</f>
        <v>BLUE</v>
      </c>
      <c r="G8276" s="20" t="str">
        <f>IFERROR(__xludf.DUMMYFUNCTION("""COMPUTED_VALUE"""),"Uncle Sams Cider (04/04/2023)")</f>
        <v>Uncle Sams Cider (04/04/2023)</v>
      </c>
      <c r="H8276" s="19"/>
    </row>
    <row r="8277">
      <c r="A8277" s="9"/>
      <c r="B8277" s="15"/>
      <c r="C8277" s="9">
        <f>IFERROR(__xludf.DUMMYFUNCTION("""COMPUTED_VALUE"""),45057.348763449)</f>
        <v>45057.34876</v>
      </c>
      <c r="D8277" s="15">
        <f>IFERROR(__xludf.DUMMYFUNCTION("""COMPUTED_VALUE"""),1.018)</f>
        <v>1.018</v>
      </c>
      <c r="E8277" s="16">
        <f>IFERROR(__xludf.DUMMYFUNCTION("""COMPUTED_VALUE"""),63.0)</f>
        <v>63</v>
      </c>
      <c r="F8277" s="19" t="str">
        <f>IFERROR(__xludf.DUMMYFUNCTION("""COMPUTED_VALUE"""),"BLUE")</f>
        <v>BLUE</v>
      </c>
      <c r="G8277" s="20" t="str">
        <f>IFERROR(__xludf.DUMMYFUNCTION("""COMPUTED_VALUE"""),"Uncle Sams Cider (04/04/2023)")</f>
        <v>Uncle Sams Cider (04/04/2023)</v>
      </c>
      <c r="H8277" s="19"/>
    </row>
    <row r="8278">
      <c r="A8278" s="9"/>
      <c r="B8278" s="15"/>
      <c r="C8278" s="9">
        <f>IFERROR(__xludf.DUMMYFUNCTION("""COMPUTED_VALUE"""),45057.3383413888)</f>
        <v>45057.33834</v>
      </c>
      <c r="D8278" s="15">
        <f>IFERROR(__xludf.DUMMYFUNCTION("""COMPUTED_VALUE"""),1.018)</f>
        <v>1.018</v>
      </c>
      <c r="E8278" s="16">
        <f>IFERROR(__xludf.DUMMYFUNCTION("""COMPUTED_VALUE"""),63.0)</f>
        <v>63</v>
      </c>
      <c r="F8278" s="19" t="str">
        <f>IFERROR(__xludf.DUMMYFUNCTION("""COMPUTED_VALUE"""),"BLUE")</f>
        <v>BLUE</v>
      </c>
      <c r="G8278" s="20" t="str">
        <f>IFERROR(__xludf.DUMMYFUNCTION("""COMPUTED_VALUE"""),"Uncle Sams Cider (04/04/2023)")</f>
        <v>Uncle Sams Cider (04/04/2023)</v>
      </c>
      <c r="H8278" s="19"/>
    </row>
    <row r="8279">
      <c r="A8279" s="9"/>
      <c r="B8279" s="15"/>
      <c r="C8279" s="9">
        <f>IFERROR(__xludf.DUMMYFUNCTION("""COMPUTED_VALUE"""),45057.3279099652)</f>
        <v>45057.32791</v>
      </c>
      <c r="D8279" s="15">
        <f>IFERROR(__xludf.DUMMYFUNCTION("""COMPUTED_VALUE"""),1.018)</f>
        <v>1.018</v>
      </c>
      <c r="E8279" s="16">
        <f>IFERROR(__xludf.DUMMYFUNCTION("""COMPUTED_VALUE"""),63.0)</f>
        <v>63</v>
      </c>
      <c r="F8279" s="19" t="str">
        <f>IFERROR(__xludf.DUMMYFUNCTION("""COMPUTED_VALUE"""),"BLUE")</f>
        <v>BLUE</v>
      </c>
      <c r="G8279" s="20" t="str">
        <f>IFERROR(__xludf.DUMMYFUNCTION("""COMPUTED_VALUE"""),"Uncle Sams Cider (04/04/2023)")</f>
        <v>Uncle Sams Cider (04/04/2023)</v>
      </c>
      <c r="H8279" s="19"/>
    </row>
    <row r="8280">
      <c r="A8280" s="9"/>
      <c r="B8280" s="15"/>
      <c r="C8280" s="9">
        <f>IFERROR(__xludf.DUMMYFUNCTION("""COMPUTED_VALUE"""),45057.3174896412)</f>
        <v>45057.31749</v>
      </c>
      <c r="D8280" s="15">
        <f>IFERROR(__xludf.DUMMYFUNCTION("""COMPUTED_VALUE"""),1.018)</f>
        <v>1.018</v>
      </c>
      <c r="E8280" s="16">
        <f>IFERROR(__xludf.DUMMYFUNCTION("""COMPUTED_VALUE"""),63.0)</f>
        <v>63</v>
      </c>
      <c r="F8280" s="19" t="str">
        <f>IFERROR(__xludf.DUMMYFUNCTION("""COMPUTED_VALUE"""),"BLUE")</f>
        <v>BLUE</v>
      </c>
      <c r="G8280" s="20" t="str">
        <f>IFERROR(__xludf.DUMMYFUNCTION("""COMPUTED_VALUE"""),"Uncle Sams Cider (04/04/2023)")</f>
        <v>Uncle Sams Cider (04/04/2023)</v>
      </c>
      <c r="H8280" s="19"/>
    </row>
    <row r="8281">
      <c r="A8281" s="9"/>
      <c r="B8281" s="15"/>
      <c r="C8281" s="9">
        <f>IFERROR(__xludf.DUMMYFUNCTION("""COMPUTED_VALUE"""),45057.3070455902)</f>
        <v>45057.30705</v>
      </c>
      <c r="D8281" s="15">
        <f>IFERROR(__xludf.DUMMYFUNCTION("""COMPUTED_VALUE"""),1.018)</f>
        <v>1.018</v>
      </c>
      <c r="E8281" s="16">
        <f>IFERROR(__xludf.DUMMYFUNCTION("""COMPUTED_VALUE"""),63.0)</f>
        <v>63</v>
      </c>
      <c r="F8281" s="19" t="str">
        <f>IFERROR(__xludf.DUMMYFUNCTION("""COMPUTED_VALUE"""),"BLUE")</f>
        <v>BLUE</v>
      </c>
      <c r="G8281" s="20" t="str">
        <f>IFERROR(__xludf.DUMMYFUNCTION("""COMPUTED_VALUE"""),"Uncle Sams Cider (04/04/2023)")</f>
        <v>Uncle Sams Cider (04/04/2023)</v>
      </c>
      <c r="H8281" s="19"/>
    </row>
    <row r="8282">
      <c r="A8282" s="9"/>
      <c r="B8282" s="15"/>
      <c r="C8282" s="9">
        <f>IFERROR(__xludf.DUMMYFUNCTION("""COMPUTED_VALUE"""),45057.296624699)</f>
        <v>45057.29662</v>
      </c>
      <c r="D8282" s="15">
        <f>IFERROR(__xludf.DUMMYFUNCTION("""COMPUTED_VALUE"""),1.018)</f>
        <v>1.018</v>
      </c>
      <c r="E8282" s="16">
        <f>IFERROR(__xludf.DUMMYFUNCTION("""COMPUTED_VALUE"""),63.0)</f>
        <v>63</v>
      </c>
      <c r="F8282" s="19" t="str">
        <f>IFERROR(__xludf.DUMMYFUNCTION("""COMPUTED_VALUE"""),"BLUE")</f>
        <v>BLUE</v>
      </c>
      <c r="G8282" s="20" t="str">
        <f>IFERROR(__xludf.DUMMYFUNCTION("""COMPUTED_VALUE"""),"Uncle Sams Cider (04/04/2023)")</f>
        <v>Uncle Sams Cider (04/04/2023)</v>
      </c>
      <c r="H8282" s="19"/>
    </row>
    <row r="8283">
      <c r="A8283" s="9"/>
      <c r="B8283" s="15"/>
      <c r="C8283" s="9">
        <f>IFERROR(__xludf.DUMMYFUNCTION("""COMPUTED_VALUE"""),45057.2862037384)</f>
        <v>45057.2862</v>
      </c>
      <c r="D8283" s="15">
        <f>IFERROR(__xludf.DUMMYFUNCTION("""COMPUTED_VALUE"""),1.018)</f>
        <v>1.018</v>
      </c>
      <c r="E8283" s="16">
        <f>IFERROR(__xludf.DUMMYFUNCTION("""COMPUTED_VALUE"""),63.0)</f>
        <v>63</v>
      </c>
      <c r="F8283" s="19" t="str">
        <f>IFERROR(__xludf.DUMMYFUNCTION("""COMPUTED_VALUE"""),"BLUE")</f>
        <v>BLUE</v>
      </c>
      <c r="G8283" s="20" t="str">
        <f>IFERROR(__xludf.DUMMYFUNCTION("""COMPUTED_VALUE"""),"Uncle Sams Cider (04/04/2023)")</f>
        <v>Uncle Sams Cider (04/04/2023)</v>
      </c>
      <c r="H8283" s="19"/>
    </row>
    <row r="8284">
      <c r="A8284" s="9"/>
      <c r="B8284" s="15"/>
      <c r="C8284" s="9">
        <f>IFERROR(__xludf.DUMMYFUNCTION("""COMPUTED_VALUE"""),45057.2757805787)</f>
        <v>45057.27578</v>
      </c>
      <c r="D8284" s="15">
        <f>IFERROR(__xludf.DUMMYFUNCTION("""COMPUTED_VALUE"""),1.018)</f>
        <v>1.018</v>
      </c>
      <c r="E8284" s="16">
        <f>IFERROR(__xludf.DUMMYFUNCTION("""COMPUTED_VALUE"""),63.0)</f>
        <v>63</v>
      </c>
      <c r="F8284" s="19" t="str">
        <f>IFERROR(__xludf.DUMMYFUNCTION("""COMPUTED_VALUE"""),"BLUE")</f>
        <v>BLUE</v>
      </c>
      <c r="G8284" s="20" t="str">
        <f>IFERROR(__xludf.DUMMYFUNCTION("""COMPUTED_VALUE"""),"Uncle Sams Cider (04/04/2023)")</f>
        <v>Uncle Sams Cider (04/04/2023)</v>
      </c>
      <c r="H8284" s="19"/>
    </row>
    <row r="8285">
      <c r="A8285" s="9"/>
      <c r="B8285" s="15"/>
      <c r="C8285" s="9">
        <f>IFERROR(__xludf.DUMMYFUNCTION("""COMPUTED_VALUE"""),45057.2653472106)</f>
        <v>45057.26535</v>
      </c>
      <c r="D8285" s="15">
        <f>IFERROR(__xludf.DUMMYFUNCTION("""COMPUTED_VALUE"""),1.018)</f>
        <v>1.018</v>
      </c>
      <c r="E8285" s="16">
        <f>IFERROR(__xludf.DUMMYFUNCTION("""COMPUTED_VALUE"""),63.0)</f>
        <v>63</v>
      </c>
      <c r="F8285" s="19" t="str">
        <f>IFERROR(__xludf.DUMMYFUNCTION("""COMPUTED_VALUE"""),"BLUE")</f>
        <v>BLUE</v>
      </c>
      <c r="G8285" s="20" t="str">
        <f>IFERROR(__xludf.DUMMYFUNCTION("""COMPUTED_VALUE"""),"Uncle Sams Cider (04/04/2023)")</f>
        <v>Uncle Sams Cider (04/04/2023)</v>
      </c>
      <c r="H8285" s="19"/>
    </row>
    <row r="8286">
      <c r="A8286" s="9"/>
      <c r="B8286" s="15"/>
      <c r="C8286" s="9">
        <f>IFERROR(__xludf.DUMMYFUNCTION("""COMPUTED_VALUE"""),45057.2549267013)</f>
        <v>45057.25493</v>
      </c>
      <c r="D8286" s="15">
        <f>IFERROR(__xludf.DUMMYFUNCTION("""COMPUTED_VALUE"""),1.018)</f>
        <v>1.018</v>
      </c>
      <c r="E8286" s="16">
        <f>IFERROR(__xludf.DUMMYFUNCTION("""COMPUTED_VALUE"""),63.0)</f>
        <v>63</v>
      </c>
      <c r="F8286" s="19" t="str">
        <f>IFERROR(__xludf.DUMMYFUNCTION("""COMPUTED_VALUE"""),"BLUE")</f>
        <v>BLUE</v>
      </c>
      <c r="G8286" s="20" t="str">
        <f>IFERROR(__xludf.DUMMYFUNCTION("""COMPUTED_VALUE"""),"Uncle Sams Cider (04/04/2023)")</f>
        <v>Uncle Sams Cider (04/04/2023)</v>
      </c>
      <c r="H8286" s="19"/>
    </row>
    <row r="8287">
      <c r="A8287" s="9"/>
      <c r="B8287" s="15"/>
      <c r="C8287" s="9">
        <f>IFERROR(__xludf.DUMMYFUNCTION("""COMPUTED_VALUE"""),45057.2444950231)</f>
        <v>45057.2445</v>
      </c>
      <c r="D8287" s="15">
        <f>IFERROR(__xludf.DUMMYFUNCTION("""COMPUTED_VALUE"""),1.018)</f>
        <v>1.018</v>
      </c>
      <c r="E8287" s="16">
        <f>IFERROR(__xludf.DUMMYFUNCTION("""COMPUTED_VALUE"""),63.0)</f>
        <v>63</v>
      </c>
      <c r="F8287" s="19" t="str">
        <f>IFERROR(__xludf.DUMMYFUNCTION("""COMPUTED_VALUE"""),"BLUE")</f>
        <v>BLUE</v>
      </c>
      <c r="G8287" s="20" t="str">
        <f>IFERROR(__xludf.DUMMYFUNCTION("""COMPUTED_VALUE"""),"Uncle Sams Cider (04/04/2023)")</f>
        <v>Uncle Sams Cider (04/04/2023)</v>
      </c>
      <c r="H8287" s="19"/>
    </row>
    <row r="8288">
      <c r="A8288" s="9"/>
      <c r="B8288" s="15"/>
      <c r="C8288" s="9">
        <f>IFERROR(__xludf.DUMMYFUNCTION("""COMPUTED_VALUE"""),45057.2340752083)</f>
        <v>45057.23408</v>
      </c>
      <c r="D8288" s="15">
        <f>IFERROR(__xludf.DUMMYFUNCTION("""COMPUTED_VALUE"""),1.018)</f>
        <v>1.018</v>
      </c>
      <c r="E8288" s="16">
        <f>IFERROR(__xludf.DUMMYFUNCTION("""COMPUTED_VALUE"""),63.0)</f>
        <v>63</v>
      </c>
      <c r="F8288" s="19" t="str">
        <f>IFERROR(__xludf.DUMMYFUNCTION("""COMPUTED_VALUE"""),"BLUE")</f>
        <v>BLUE</v>
      </c>
      <c r="G8288" s="20" t="str">
        <f>IFERROR(__xludf.DUMMYFUNCTION("""COMPUTED_VALUE"""),"Uncle Sams Cider (04/04/2023)")</f>
        <v>Uncle Sams Cider (04/04/2023)</v>
      </c>
      <c r="H8288" s="19"/>
    </row>
    <row r="8289">
      <c r="A8289" s="9"/>
      <c r="B8289" s="15"/>
      <c r="C8289" s="9">
        <f>IFERROR(__xludf.DUMMYFUNCTION("""COMPUTED_VALUE"""),45057.2236305902)</f>
        <v>45057.22363</v>
      </c>
      <c r="D8289" s="15">
        <f>IFERROR(__xludf.DUMMYFUNCTION("""COMPUTED_VALUE"""),1.018)</f>
        <v>1.018</v>
      </c>
      <c r="E8289" s="16">
        <f>IFERROR(__xludf.DUMMYFUNCTION("""COMPUTED_VALUE"""),63.0)</f>
        <v>63</v>
      </c>
      <c r="F8289" s="19" t="str">
        <f>IFERROR(__xludf.DUMMYFUNCTION("""COMPUTED_VALUE"""),"BLUE")</f>
        <v>BLUE</v>
      </c>
      <c r="G8289" s="20" t="str">
        <f>IFERROR(__xludf.DUMMYFUNCTION("""COMPUTED_VALUE"""),"Uncle Sams Cider (04/04/2023)")</f>
        <v>Uncle Sams Cider (04/04/2023)</v>
      </c>
      <c r="H8289" s="19"/>
    </row>
    <row r="8290">
      <c r="A8290" s="9"/>
      <c r="B8290" s="15"/>
      <c r="C8290" s="9">
        <f>IFERROR(__xludf.DUMMYFUNCTION("""COMPUTED_VALUE"""),45057.2132084722)</f>
        <v>45057.21321</v>
      </c>
      <c r="D8290" s="15">
        <f>IFERROR(__xludf.DUMMYFUNCTION("""COMPUTED_VALUE"""),1.018)</f>
        <v>1.018</v>
      </c>
      <c r="E8290" s="16">
        <f>IFERROR(__xludf.DUMMYFUNCTION("""COMPUTED_VALUE"""),63.0)</f>
        <v>63</v>
      </c>
      <c r="F8290" s="19" t="str">
        <f>IFERROR(__xludf.DUMMYFUNCTION("""COMPUTED_VALUE"""),"BLUE")</f>
        <v>BLUE</v>
      </c>
      <c r="G8290" s="20" t="str">
        <f>IFERROR(__xludf.DUMMYFUNCTION("""COMPUTED_VALUE"""),"Uncle Sams Cider (04/04/2023)")</f>
        <v>Uncle Sams Cider (04/04/2023)</v>
      </c>
      <c r="H8290" s="19"/>
    </row>
    <row r="8291">
      <c r="A8291" s="9"/>
      <c r="B8291" s="15"/>
      <c r="C8291" s="9">
        <f>IFERROR(__xludf.DUMMYFUNCTION("""COMPUTED_VALUE"""),45057.2027744791)</f>
        <v>45057.20277</v>
      </c>
      <c r="D8291" s="15">
        <f>IFERROR(__xludf.DUMMYFUNCTION("""COMPUTED_VALUE"""),1.018)</f>
        <v>1.018</v>
      </c>
      <c r="E8291" s="16">
        <f>IFERROR(__xludf.DUMMYFUNCTION("""COMPUTED_VALUE"""),63.0)</f>
        <v>63</v>
      </c>
      <c r="F8291" s="19" t="str">
        <f>IFERROR(__xludf.DUMMYFUNCTION("""COMPUTED_VALUE"""),"BLUE")</f>
        <v>BLUE</v>
      </c>
      <c r="G8291" s="20" t="str">
        <f>IFERROR(__xludf.DUMMYFUNCTION("""COMPUTED_VALUE"""),"Uncle Sams Cider (04/04/2023)")</f>
        <v>Uncle Sams Cider (04/04/2023)</v>
      </c>
      <c r="H8291" s="19"/>
    </row>
    <row r="8292">
      <c r="A8292" s="9"/>
      <c r="B8292" s="15"/>
      <c r="C8292" s="9">
        <f>IFERROR(__xludf.DUMMYFUNCTION("""COMPUTED_VALUE"""),45057.1923539583)</f>
        <v>45057.19235</v>
      </c>
      <c r="D8292" s="15">
        <f>IFERROR(__xludf.DUMMYFUNCTION("""COMPUTED_VALUE"""),1.018)</f>
        <v>1.018</v>
      </c>
      <c r="E8292" s="16">
        <f>IFERROR(__xludf.DUMMYFUNCTION("""COMPUTED_VALUE"""),63.0)</f>
        <v>63</v>
      </c>
      <c r="F8292" s="19" t="str">
        <f>IFERROR(__xludf.DUMMYFUNCTION("""COMPUTED_VALUE"""),"BLUE")</f>
        <v>BLUE</v>
      </c>
      <c r="G8292" s="20" t="str">
        <f>IFERROR(__xludf.DUMMYFUNCTION("""COMPUTED_VALUE"""),"Uncle Sams Cider (04/04/2023)")</f>
        <v>Uncle Sams Cider (04/04/2023)</v>
      </c>
      <c r="H8292" s="19"/>
    </row>
    <row r="8293">
      <c r="A8293" s="9"/>
      <c r="B8293" s="15"/>
      <c r="C8293" s="9">
        <f>IFERROR(__xludf.DUMMYFUNCTION("""COMPUTED_VALUE"""),45057.1819098495)</f>
        <v>45057.18191</v>
      </c>
      <c r="D8293" s="15">
        <f>IFERROR(__xludf.DUMMYFUNCTION("""COMPUTED_VALUE"""),1.018)</f>
        <v>1.018</v>
      </c>
      <c r="E8293" s="16">
        <f>IFERROR(__xludf.DUMMYFUNCTION("""COMPUTED_VALUE"""),63.0)</f>
        <v>63</v>
      </c>
      <c r="F8293" s="19" t="str">
        <f>IFERROR(__xludf.DUMMYFUNCTION("""COMPUTED_VALUE"""),"BLUE")</f>
        <v>BLUE</v>
      </c>
      <c r="G8293" s="20" t="str">
        <f>IFERROR(__xludf.DUMMYFUNCTION("""COMPUTED_VALUE"""),"Uncle Sams Cider (04/04/2023)")</f>
        <v>Uncle Sams Cider (04/04/2023)</v>
      </c>
      <c r="H8293" s="19"/>
    </row>
    <row r="8294">
      <c r="A8294" s="9"/>
      <c r="B8294" s="15"/>
      <c r="C8294" s="9">
        <f>IFERROR(__xludf.DUMMYFUNCTION("""COMPUTED_VALUE"""),45057.1714892592)</f>
        <v>45057.17149</v>
      </c>
      <c r="D8294" s="15">
        <f>IFERROR(__xludf.DUMMYFUNCTION("""COMPUTED_VALUE"""),1.018)</f>
        <v>1.018</v>
      </c>
      <c r="E8294" s="16">
        <f>IFERROR(__xludf.DUMMYFUNCTION("""COMPUTED_VALUE"""),63.0)</f>
        <v>63</v>
      </c>
      <c r="F8294" s="19" t="str">
        <f>IFERROR(__xludf.DUMMYFUNCTION("""COMPUTED_VALUE"""),"BLUE")</f>
        <v>BLUE</v>
      </c>
      <c r="G8294" s="20" t="str">
        <f>IFERROR(__xludf.DUMMYFUNCTION("""COMPUTED_VALUE"""),"Uncle Sams Cider (04/04/2023)")</f>
        <v>Uncle Sams Cider (04/04/2023)</v>
      </c>
      <c r="H8294" s="19"/>
    </row>
    <row r="8295">
      <c r="A8295" s="9"/>
      <c r="B8295" s="15"/>
      <c r="C8295" s="9">
        <f>IFERROR(__xludf.DUMMYFUNCTION("""COMPUTED_VALUE"""),45057.1610675231)</f>
        <v>45057.16107</v>
      </c>
      <c r="D8295" s="15">
        <f>IFERROR(__xludf.DUMMYFUNCTION("""COMPUTED_VALUE"""),1.018)</f>
        <v>1.018</v>
      </c>
      <c r="E8295" s="16">
        <f>IFERROR(__xludf.DUMMYFUNCTION("""COMPUTED_VALUE"""),63.0)</f>
        <v>63</v>
      </c>
      <c r="F8295" s="19" t="str">
        <f>IFERROR(__xludf.DUMMYFUNCTION("""COMPUTED_VALUE"""),"BLUE")</f>
        <v>BLUE</v>
      </c>
      <c r="G8295" s="20" t="str">
        <f>IFERROR(__xludf.DUMMYFUNCTION("""COMPUTED_VALUE"""),"Uncle Sams Cider (04/04/2023)")</f>
        <v>Uncle Sams Cider (04/04/2023)</v>
      </c>
      <c r="H8295" s="19"/>
    </row>
    <row r="8296">
      <c r="A8296" s="9"/>
      <c r="B8296" s="15"/>
      <c r="C8296" s="9">
        <f>IFERROR(__xludf.DUMMYFUNCTION("""COMPUTED_VALUE"""),45057.1506457986)</f>
        <v>45057.15065</v>
      </c>
      <c r="D8296" s="15">
        <f>IFERROR(__xludf.DUMMYFUNCTION("""COMPUTED_VALUE"""),1.018)</f>
        <v>1.018</v>
      </c>
      <c r="E8296" s="16">
        <f>IFERROR(__xludf.DUMMYFUNCTION("""COMPUTED_VALUE"""),63.0)</f>
        <v>63</v>
      </c>
      <c r="F8296" s="19" t="str">
        <f>IFERROR(__xludf.DUMMYFUNCTION("""COMPUTED_VALUE"""),"BLUE")</f>
        <v>BLUE</v>
      </c>
      <c r="G8296" s="20" t="str">
        <f>IFERROR(__xludf.DUMMYFUNCTION("""COMPUTED_VALUE"""),"Uncle Sams Cider (04/04/2023)")</f>
        <v>Uncle Sams Cider (04/04/2023)</v>
      </c>
      <c r="H8296" s="19"/>
    </row>
    <row r="8297">
      <c r="A8297" s="9"/>
      <c r="B8297" s="15"/>
      <c r="C8297" s="9">
        <f>IFERROR(__xludf.DUMMYFUNCTION("""COMPUTED_VALUE"""),45057.1402248263)</f>
        <v>45057.14022</v>
      </c>
      <c r="D8297" s="15">
        <f>IFERROR(__xludf.DUMMYFUNCTION("""COMPUTED_VALUE"""),1.018)</f>
        <v>1.018</v>
      </c>
      <c r="E8297" s="16">
        <f>IFERROR(__xludf.DUMMYFUNCTION("""COMPUTED_VALUE"""),63.0)</f>
        <v>63</v>
      </c>
      <c r="F8297" s="19" t="str">
        <f>IFERROR(__xludf.DUMMYFUNCTION("""COMPUTED_VALUE"""),"BLUE")</f>
        <v>BLUE</v>
      </c>
      <c r="G8297" s="20" t="str">
        <f>IFERROR(__xludf.DUMMYFUNCTION("""COMPUTED_VALUE"""),"Uncle Sams Cider (04/04/2023)")</f>
        <v>Uncle Sams Cider (04/04/2023)</v>
      </c>
      <c r="H8297" s="19"/>
    </row>
    <row r="8298">
      <c r="A8298" s="9"/>
      <c r="B8298" s="15"/>
      <c r="C8298" s="9">
        <f>IFERROR(__xludf.DUMMYFUNCTION("""COMPUTED_VALUE"""),45057.1298024189)</f>
        <v>45057.1298</v>
      </c>
      <c r="D8298" s="15">
        <f>IFERROR(__xludf.DUMMYFUNCTION("""COMPUTED_VALUE"""),1.018)</f>
        <v>1.018</v>
      </c>
      <c r="E8298" s="16">
        <f>IFERROR(__xludf.DUMMYFUNCTION("""COMPUTED_VALUE"""),63.0)</f>
        <v>63</v>
      </c>
      <c r="F8298" s="19" t="str">
        <f>IFERROR(__xludf.DUMMYFUNCTION("""COMPUTED_VALUE"""),"BLUE")</f>
        <v>BLUE</v>
      </c>
      <c r="G8298" s="20" t="str">
        <f>IFERROR(__xludf.DUMMYFUNCTION("""COMPUTED_VALUE"""),"Uncle Sams Cider (04/04/2023)")</f>
        <v>Uncle Sams Cider (04/04/2023)</v>
      </c>
      <c r="H8298" s="19"/>
    </row>
    <row r="8299">
      <c r="A8299" s="9"/>
      <c r="B8299" s="15"/>
      <c r="C8299" s="9">
        <f>IFERROR(__xludf.DUMMYFUNCTION("""COMPUTED_VALUE"""),45057.1193800578)</f>
        <v>45057.11938</v>
      </c>
      <c r="D8299" s="15">
        <f>IFERROR(__xludf.DUMMYFUNCTION("""COMPUTED_VALUE"""),1.018)</f>
        <v>1.018</v>
      </c>
      <c r="E8299" s="16">
        <f>IFERROR(__xludf.DUMMYFUNCTION("""COMPUTED_VALUE"""),63.0)</f>
        <v>63</v>
      </c>
      <c r="F8299" s="19" t="str">
        <f>IFERROR(__xludf.DUMMYFUNCTION("""COMPUTED_VALUE"""),"BLUE")</f>
        <v>BLUE</v>
      </c>
      <c r="G8299" s="20" t="str">
        <f>IFERROR(__xludf.DUMMYFUNCTION("""COMPUTED_VALUE"""),"Uncle Sams Cider (04/04/2023)")</f>
        <v>Uncle Sams Cider (04/04/2023)</v>
      </c>
      <c r="H8299" s="19"/>
    </row>
    <row r="8300">
      <c r="A8300" s="9"/>
      <c r="B8300" s="15"/>
      <c r="C8300" s="9">
        <f>IFERROR(__xludf.DUMMYFUNCTION("""COMPUTED_VALUE"""),45057.1089575578)</f>
        <v>45057.10896</v>
      </c>
      <c r="D8300" s="15">
        <f>IFERROR(__xludf.DUMMYFUNCTION("""COMPUTED_VALUE"""),1.018)</f>
        <v>1.018</v>
      </c>
      <c r="E8300" s="16">
        <f>IFERROR(__xludf.DUMMYFUNCTION("""COMPUTED_VALUE"""),63.0)</f>
        <v>63</v>
      </c>
      <c r="F8300" s="19" t="str">
        <f>IFERROR(__xludf.DUMMYFUNCTION("""COMPUTED_VALUE"""),"BLUE")</f>
        <v>BLUE</v>
      </c>
      <c r="G8300" s="20" t="str">
        <f>IFERROR(__xludf.DUMMYFUNCTION("""COMPUTED_VALUE"""),"Uncle Sams Cider (04/04/2023)")</f>
        <v>Uncle Sams Cider (04/04/2023)</v>
      </c>
      <c r="H8300" s="19"/>
    </row>
    <row r="8301">
      <c r="A8301" s="9"/>
      <c r="B8301" s="15"/>
      <c r="C8301" s="9">
        <f>IFERROR(__xludf.DUMMYFUNCTION("""COMPUTED_VALUE"""),45057.0985373148)</f>
        <v>45057.09854</v>
      </c>
      <c r="D8301" s="15">
        <f>IFERROR(__xludf.DUMMYFUNCTION("""COMPUTED_VALUE"""),1.018)</f>
        <v>1.018</v>
      </c>
      <c r="E8301" s="16">
        <f>IFERROR(__xludf.DUMMYFUNCTION("""COMPUTED_VALUE"""),63.0)</f>
        <v>63</v>
      </c>
      <c r="F8301" s="19" t="str">
        <f>IFERROR(__xludf.DUMMYFUNCTION("""COMPUTED_VALUE"""),"BLUE")</f>
        <v>BLUE</v>
      </c>
      <c r="G8301" s="20" t="str">
        <f>IFERROR(__xludf.DUMMYFUNCTION("""COMPUTED_VALUE"""),"Uncle Sams Cider (04/04/2023)")</f>
        <v>Uncle Sams Cider (04/04/2023)</v>
      </c>
      <c r="H8301" s="19"/>
    </row>
    <row r="8302">
      <c r="A8302" s="9"/>
      <c r="B8302" s="15"/>
      <c r="C8302" s="9">
        <f>IFERROR(__xludf.DUMMYFUNCTION("""COMPUTED_VALUE"""),45057.0881165624)</f>
        <v>45057.08812</v>
      </c>
      <c r="D8302" s="15">
        <f>IFERROR(__xludf.DUMMYFUNCTION("""COMPUTED_VALUE"""),1.018)</f>
        <v>1.018</v>
      </c>
      <c r="E8302" s="16">
        <f>IFERROR(__xludf.DUMMYFUNCTION("""COMPUTED_VALUE"""),63.0)</f>
        <v>63</v>
      </c>
      <c r="F8302" s="19" t="str">
        <f>IFERROR(__xludf.DUMMYFUNCTION("""COMPUTED_VALUE"""),"BLUE")</f>
        <v>BLUE</v>
      </c>
      <c r="G8302" s="20" t="str">
        <f>IFERROR(__xludf.DUMMYFUNCTION("""COMPUTED_VALUE"""),"Uncle Sams Cider (04/04/2023)")</f>
        <v>Uncle Sams Cider (04/04/2023)</v>
      </c>
      <c r="H8302" s="19"/>
    </row>
    <row r="8303">
      <c r="A8303" s="9"/>
      <c r="B8303" s="15"/>
      <c r="C8303" s="9">
        <f>IFERROR(__xludf.DUMMYFUNCTION("""COMPUTED_VALUE"""),45057.0776959606)</f>
        <v>45057.0777</v>
      </c>
      <c r="D8303" s="15">
        <f>IFERROR(__xludf.DUMMYFUNCTION("""COMPUTED_VALUE"""),1.018)</f>
        <v>1.018</v>
      </c>
      <c r="E8303" s="16">
        <f>IFERROR(__xludf.DUMMYFUNCTION("""COMPUTED_VALUE"""),63.0)</f>
        <v>63</v>
      </c>
      <c r="F8303" s="19" t="str">
        <f>IFERROR(__xludf.DUMMYFUNCTION("""COMPUTED_VALUE"""),"BLUE")</f>
        <v>BLUE</v>
      </c>
      <c r="G8303" s="20" t="str">
        <f>IFERROR(__xludf.DUMMYFUNCTION("""COMPUTED_VALUE"""),"Uncle Sams Cider (04/04/2023)")</f>
        <v>Uncle Sams Cider (04/04/2023)</v>
      </c>
      <c r="H8303" s="19"/>
    </row>
    <row r="8304">
      <c r="A8304" s="9"/>
      <c r="B8304" s="15"/>
      <c r="C8304" s="9">
        <f>IFERROR(__xludf.DUMMYFUNCTION("""COMPUTED_VALUE"""),45057.067275243)</f>
        <v>45057.06728</v>
      </c>
      <c r="D8304" s="15">
        <f>IFERROR(__xludf.DUMMYFUNCTION("""COMPUTED_VALUE"""),1.018)</f>
        <v>1.018</v>
      </c>
      <c r="E8304" s="16">
        <f>IFERROR(__xludf.DUMMYFUNCTION("""COMPUTED_VALUE"""),63.0)</f>
        <v>63</v>
      </c>
      <c r="F8304" s="19" t="str">
        <f>IFERROR(__xludf.DUMMYFUNCTION("""COMPUTED_VALUE"""),"BLUE")</f>
        <v>BLUE</v>
      </c>
      <c r="G8304" s="20" t="str">
        <f>IFERROR(__xludf.DUMMYFUNCTION("""COMPUTED_VALUE"""),"Uncle Sams Cider (04/04/2023)")</f>
        <v>Uncle Sams Cider (04/04/2023)</v>
      </c>
      <c r="H8304" s="19"/>
    </row>
    <row r="8305">
      <c r="A8305" s="9"/>
      <c r="B8305" s="15"/>
      <c r="C8305" s="9">
        <f>IFERROR(__xludf.DUMMYFUNCTION("""COMPUTED_VALUE"""),45057.0568405671)</f>
        <v>45057.05684</v>
      </c>
      <c r="D8305" s="15">
        <f>IFERROR(__xludf.DUMMYFUNCTION("""COMPUTED_VALUE"""),1.018)</f>
        <v>1.018</v>
      </c>
      <c r="E8305" s="16">
        <f>IFERROR(__xludf.DUMMYFUNCTION("""COMPUTED_VALUE"""),63.0)</f>
        <v>63</v>
      </c>
      <c r="F8305" s="19" t="str">
        <f>IFERROR(__xludf.DUMMYFUNCTION("""COMPUTED_VALUE"""),"BLUE")</f>
        <v>BLUE</v>
      </c>
      <c r="G8305" s="20" t="str">
        <f>IFERROR(__xludf.DUMMYFUNCTION("""COMPUTED_VALUE"""),"Uncle Sams Cider (04/04/2023)")</f>
        <v>Uncle Sams Cider (04/04/2023)</v>
      </c>
      <c r="H8305" s="19"/>
    </row>
    <row r="8306">
      <c r="A8306" s="9"/>
      <c r="B8306" s="15"/>
      <c r="C8306" s="9">
        <f>IFERROR(__xludf.DUMMYFUNCTION("""COMPUTED_VALUE"""),45057.0359994791)</f>
        <v>45057.036</v>
      </c>
      <c r="D8306" s="15">
        <f>IFERROR(__xludf.DUMMYFUNCTION("""COMPUTED_VALUE"""),1.018)</f>
        <v>1.018</v>
      </c>
      <c r="E8306" s="16">
        <f>IFERROR(__xludf.DUMMYFUNCTION("""COMPUTED_VALUE"""),63.0)</f>
        <v>63</v>
      </c>
      <c r="F8306" s="19" t="str">
        <f>IFERROR(__xludf.DUMMYFUNCTION("""COMPUTED_VALUE"""),"BLUE")</f>
        <v>BLUE</v>
      </c>
      <c r="G8306" s="20" t="str">
        <f>IFERROR(__xludf.DUMMYFUNCTION("""COMPUTED_VALUE"""),"Uncle Sams Cider (04/04/2023)")</f>
        <v>Uncle Sams Cider (04/04/2023)</v>
      </c>
      <c r="H8306" s="19"/>
    </row>
    <row r="8307">
      <c r="A8307" s="9"/>
      <c r="B8307" s="15"/>
      <c r="C8307" s="9">
        <f>IFERROR(__xludf.DUMMYFUNCTION("""COMPUTED_VALUE"""),45057.0255670601)</f>
        <v>45057.02557</v>
      </c>
      <c r="D8307" s="15">
        <f>IFERROR(__xludf.DUMMYFUNCTION("""COMPUTED_VALUE"""),1.018)</f>
        <v>1.018</v>
      </c>
      <c r="E8307" s="16">
        <f>IFERROR(__xludf.DUMMYFUNCTION("""COMPUTED_VALUE"""),63.0)</f>
        <v>63</v>
      </c>
      <c r="F8307" s="19" t="str">
        <f>IFERROR(__xludf.DUMMYFUNCTION("""COMPUTED_VALUE"""),"BLUE")</f>
        <v>BLUE</v>
      </c>
      <c r="G8307" s="20" t="str">
        <f>IFERROR(__xludf.DUMMYFUNCTION("""COMPUTED_VALUE"""),"Uncle Sams Cider (04/04/2023)")</f>
        <v>Uncle Sams Cider (04/04/2023)</v>
      </c>
      <c r="H8307" s="19"/>
    </row>
    <row r="8308">
      <c r="A8308" s="9"/>
      <c r="B8308" s="15"/>
      <c r="C8308" s="9">
        <f>IFERROR(__xludf.DUMMYFUNCTION("""COMPUTED_VALUE"""),45057.0151459838)</f>
        <v>45057.01515</v>
      </c>
      <c r="D8308" s="15">
        <f>IFERROR(__xludf.DUMMYFUNCTION("""COMPUTED_VALUE"""),1.018)</f>
        <v>1.018</v>
      </c>
      <c r="E8308" s="16">
        <f>IFERROR(__xludf.DUMMYFUNCTION("""COMPUTED_VALUE"""),63.0)</f>
        <v>63</v>
      </c>
      <c r="F8308" s="19" t="str">
        <f>IFERROR(__xludf.DUMMYFUNCTION("""COMPUTED_VALUE"""),"BLUE")</f>
        <v>BLUE</v>
      </c>
      <c r="G8308" s="20" t="str">
        <f>IFERROR(__xludf.DUMMYFUNCTION("""COMPUTED_VALUE"""),"Uncle Sams Cider (04/04/2023)")</f>
        <v>Uncle Sams Cider (04/04/2023)</v>
      </c>
      <c r="H8308" s="19"/>
    </row>
    <row r="8309">
      <c r="A8309" s="9"/>
      <c r="B8309" s="15"/>
      <c r="C8309" s="9">
        <f>IFERROR(__xludf.DUMMYFUNCTION("""COMPUTED_VALUE"""),45057.0047125)</f>
        <v>45057.00471</v>
      </c>
      <c r="D8309" s="15">
        <f>IFERROR(__xludf.DUMMYFUNCTION("""COMPUTED_VALUE"""),1.018)</f>
        <v>1.018</v>
      </c>
      <c r="E8309" s="16">
        <f>IFERROR(__xludf.DUMMYFUNCTION("""COMPUTED_VALUE"""),63.0)</f>
        <v>63</v>
      </c>
      <c r="F8309" s="19" t="str">
        <f>IFERROR(__xludf.DUMMYFUNCTION("""COMPUTED_VALUE"""),"BLUE")</f>
        <v>BLUE</v>
      </c>
      <c r="G8309" s="20" t="str">
        <f>IFERROR(__xludf.DUMMYFUNCTION("""COMPUTED_VALUE"""),"Uncle Sams Cider (04/04/2023)")</f>
        <v>Uncle Sams Cider (04/04/2023)</v>
      </c>
      <c r="H8309" s="19"/>
    </row>
    <row r="8310">
      <c r="A8310" s="9"/>
      <c r="B8310" s="15"/>
      <c r="C8310" s="9">
        <f>IFERROR(__xludf.DUMMYFUNCTION("""COMPUTED_VALUE"""),45056.9942908912)</f>
        <v>45056.99429</v>
      </c>
      <c r="D8310" s="15">
        <f>IFERROR(__xludf.DUMMYFUNCTION("""COMPUTED_VALUE"""),1.018)</f>
        <v>1.018</v>
      </c>
      <c r="E8310" s="16">
        <f>IFERROR(__xludf.DUMMYFUNCTION("""COMPUTED_VALUE"""),63.0)</f>
        <v>63</v>
      </c>
      <c r="F8310" s="19" t="str">
        <f>IFERROR(__xludf.DUMMYFUNCTION("""COMPUTED_VALUE"""),"BLUE")</f>
        <v>BLUE</v>
      </c>
      <c r="G8310" s="20" t="str">
        <f>IFERROR(__xludf.DUMMYFUNCTION("""COMPUTED_VALUE"""),"Uncle Sams Cider (04/04/2023)")</f>
        <v>Uncle Sams Cider (04/04/2023)</v>
      </c>
      <c r="H8310" s="19"/>
    </row>
    <row r="8311">
      <c r="A8311" s="9"/>
      <c r="B8311" s="15"/>
      <c r="C8311" s="9">
        <f>IFERROR(__xludf.DUMMYFUNCTION("""COMPUTED_VALUE"""),45056.9838700231)</f>
        <v>45056.98387</v>
      </c>
      <c r="D8311" s="15">
        <f>IFERROR(__xludf.DUMMYFUNCTION("""COMPUTED_VALUE"""),1.018)</f>
        <v>1.018</v>
      </c>
      <c r="E8311" s="16">
        <f>IFERROR(__xludf.DUMMYFUNCTION("""COMPUTED_VALUE"""),63.0)</f>
        <v>63</v>
      </c>
      <c r="F8311" s="19" t="str">
        <f>IFERROR(__xludf.DUMMYFUNCTION("""COMPUTED_VALUE"""),"BLUE")</f>
        <v>BLUE</v>
      </c>
      <c r="G8311" s="20" t="str">
        <f>IFERROR(__xludf.DUMMYFUNCTION("""COMPUTED_VALUE"""),"Uncle Sams Cider (04/04/2023)")</f>
        <v>Uncle Sams Cider (04/04/2023)</v>
      </c>
      <c r="H8311" s="19"/>
    </row>
    <row r="8312">
      <c r="A8312" s="9"/>
      <c r="B8312" s="15"/>
      <c r="C8312" s="9">
        <f>IFERROR(__xludf.DUMMYFUNCTION("""COMPUTED_VALUE"""),45056.9734485185)</f>
        <v>45056.97345</v>
      </c>
      <c r="D8312" s="15">
        <f>IFERROR(__xludf.DUMMYFUNCTION("""COMPUTED_VALUE"""),1.018)</f>
        <v>1.018</v>
      </c>
      <c r="E8312" s="16">
        <f>IFERROR(__xludf.DUMMYFUNCTION("""COMPUTED_VALUE"""),63.0)</f>
        <v>63</v>
      </c>
      <c r="F8312" s="19" t="str">
        <f>IFERROR(__xludf.DUMMYFUNCTION("""COMPUTED_VALUE"""),"BLUE")</f>
        <v>BLUE</v>
      </c>
      <c r="G8312" s="20" t="str">
        <f>IFERROR(__xludf.DUMMYFUNCTION("""COMPUTED_VALUE"""),"Uncle Sams Cider (04/04/2023)")</f>
        <v>Uncle Sams Cider (04/04/2023)</v>
      </c>
      <c r="H8312" s="19"/>
    </row>
    <row r="8313">
      <c r="A8313" s="9"/>
      <c r="B8313" s="15"/>
      <c r="C8313" s="9">
        <f>IFERROR(__xludf.DUMMYFUNCTION("""COMPUTED_VALUE"""),45056.9630289583)</f>
        <v>45056.96303</v>
      </c>
      <c r="D8313" s="15">
        <f>IFERROR(__xludf.DUMMYFUNCTION("""COMPUTED_VALUE"""),1.018)</f>
        <v>1.018</v>
      </c>
      <c r="E8313" s="16">
        <f>IFERROR(__xludf.DUMMYFUNCTION("""COMPUTED_VALUE"""),63.0)</f>
        <v>63</v>
      </c>
      <c r="F8313" s="19" t="str">
        <f>IFERROR(__xludf.DUMMYFUNCTION("""COMPUTED_VALUE"""),"BLUE")</f>
        <v>BLUE</v>
      </c>
      <c r="G8313" s="20" t="str">
        <f>IFERROR(__xludf.DUMMYFUNCTION("""COMPUTED_VALUE"""),"Uncle Sams Cider (04/04/2023)")</f>
        <v>Uncle Sams Cider (04/04/2023)</v>
      </c>
      <c r="H8313" s="19"/>
    </row>
    <row r="8314">
      <c r="A8314" s="9"/>
      <c r="B8314" s="15"/>
      <c r="C8314" s="9">
        <f>IFERROR(__xludf.DUMMYFUNCTION("""COMPUTED_VALUE"""),45056.9526088426)</f>
        <v>45056.95261</v>
      </c>
      <c r="D8314" s="15">
        <f>IFERROR(__xludf.DUMMYFUNCTION("""COMPUTED_VALUE"""),1.018)</f>
        <v>1.018</v>
      </c>
      <c r="E8314" s="16">
        <f>IFERROR(__xludf.DUMMYFUNCTION("""COMPUTED_VALUE"""),63.0)</f>
        <v>63</v>
      </c>
      <c r="F8314" s="19" t="str">
        <f>IFERROR(__xludf.DUMMYFUNCTION("""COMPUTED_VALUE"""),"BLUE")</f>
        <v>BLUE</v>
      </c>
      <c r="G8314" s="20" t="str">
        <f>IFERROR(__xludf.DUMMYFUNCTION("""COMPUTED_VALUE"""),"Uncle Sams Cider (04/04/2023)")</f>
        <v>Uncle Sams Cider (04/04/2023)</v>
      </c>
      <c r="H8314" s="19"/>
    </row>
    <row r="8315">
      <c r="A8315" s="9"/>
      <c r="B8315" s="15"/>
      <c r="C8315" s="9">
        <f>IFERROR(__xludf.DUMMYFUNCTION("""COMPUTED_VALUE"""),45056.9421876736)</f>
        <v>45056.94219</v>
      </c>
      <c r="D8315" s="15">
        <f>IFERROR(__xludf.DUMMYFUNCTION("""COMPUTED_VALUE"""),1.018)</f>
        <v>1.018</v>
      </c>
      <c r="E8315" s="16">
        <f>IFERROR(__xludf.DUMMYFUNCTION("""COMPUTED_VALUE"""),63.0)</f>
        <v>63</v>
      </c>
      <c r="F8315" s="19" t="str">
        <f>IFERROR(__xludf.DUMMYFUNCTION("""COMPUTED_VALUE"""),"BLUE")</f>
        <v>BLUE</v>
      </c>
      <c r="G8315" s="20" t="str">
        <f>IFERROR(__xludf.DUMMYFUNCTION("""COMPUTED_VALUE"""),"Uncle Sams Cider (04/04/2023)")</f>
        <v>Uncle Sams Cider (04/04/2023)</v>
      </c>
      <c r="H8315" s="19"/>
    </row>
    <row r="8316">
      <c r="A8316" s="9"/>
      <c r="B8316" s="15"/>
      <c r="C8316" s="9">
        <f>IFERROR(__xludf.DUMMYFUNCTION("""COMPUTED_VALUE"""),45056.9317664467)</f>
        <v>45056.93177</v>
      </c>
      <c r="D8316" s="15">
        <f>IFERROR(__xludf.DUMMYFUNCTION("""COMPUTED_VALUE"""),1.018)</f>
        <v>1.018</v>
      </c>
      <c r="E8316" s="16">
        <f>IFERROR(__xludf.DUMMYFUNCTION("""COMPUTED_VALUE"""),63.0)</f>
        <v>63</v>
      </c>
      <c r="F8316" s="19" t="str">
        <f>IFERROR(__xludf.DUMMYFUNCTION("""COMPUTED_VALUE"""),"BLUE")</f>
        <v>BLUE</v>
      </c>
      <c r="G8316" s="20" t="str">
        <f>IFERROR(__xludf.DUMMYFUNCTION("""COMPUTED_VALUE"""),"Uncle Sams Cider (04/04/2023)")</f>
        <v>Uncle Sams Cider (04/04/2023)</v>
      </c>
      <c r="H8316" s="19"/>
    </row>
    <row r="8317">
      <c r="A8317" s="9"/>
      <c r="B8317" s="15"/>
      <c r="C8317" s="9">
        <f>IFERROR(__xludf.DUMMYFUNCTION("""COMPUTED_VALUE"""),45056.921345324)</f>
        <v>45056.92135</v>
      </c>
      <c r="D8317" s="15">
        <f>IFERROR(__xludf.DUMMYFUNCTION("""COMPUTED_VALUE"""),1.018)</f>
        <v>1.018</v>
      </c>
      <c r="E8317" s="16">
        <f>IFERROR(__xludf.DUMMYFUNCTION("""COMPUTED_VALUE"""),63.0)</f>
        <v>63</v>
      </c>
      <c r="F8317" s="19" t="str">
        <f>IFERROR(__xludf.DUMMYFUNCTION("""COMPUTED_VALUE"""),"BLUE")</f>
        <v>BLUE</v>
      </c>
      <c r="G8317" s="20" t="str">
        <f>IFERROR(__xludf.DUMMYFUNCTION("""COMPUTED_VALUE"""),"Uncle Sams Cider (04/04/2023)")</f>
        <v>Uncle Sams Cider (04/04/2023)</v>
      </c>
      <c r="H8317" s="19"/>
    </row>
    <row r="8318">
      <c r="A8318" s="9"/>
      <c r="B8318" s="15"/>
      <c r="C8318" s="9">
        <f>IFERROR(__xludf.DUMMYFUNCTION("""COMPUTED_VALUE"""),45056.9109236458)</f>
        <v>45056.91092</v>
      </c>
      <c r="D8318" s="15">
        <f>IFERROR(__xludf.DUMMYFUNCTION("""COMPUTED_VALUE"""),1.018)</f>
        <v>1.018</v>
      </c>
      <c r="E8318" s="16">
        <f>IFERROR(__xludf.DUMMYFUNCTION("""COMPUTED_VALUE"""),63.0)</f>
        <v>63</v>
      </c>
      <c r="F8318" s="19" t="str">
        <f>IFERROR(__xludf.DUMMYFUNCTION("""COMPUTED_VALUE"""),"BLUE")</f>
        <v>BLUE</v>
      </c>
      <c r="G8318" s="20" t="str">
        <f>IFERROR(__xludf.DUMMYFUNCTION("""COMPUTED_VALUE"""),"Uncle Sams Cider (04/04/2023)")</f>
        <v>Uncle Sams Cider (04/04/2023)</v>
      </c>
      <c r="H8318" s="19"/>
    </row>
    <row r="8319">
      <c r="A8319" s="9"/>
      <c r="B8319" s="15"/>
      <c r="C8319" s="9">
        <f>IFERROR(__xludf.DUMMYFUNCTION("""COMPUTED_VALUE"""),45056.9005026041)</f>
        <v>45056.9005</v>
      </c>
      <c r="D8319" s="15">
        <f>IFERROR(__xludf.DUMMYFUNCTION("""COMPUTED_VALUE"""),1.018)</f>
        <v>1.018</v>
      </c>
      <c r="E8319" s="16">
        <f>IFERROR(__xludf.DUMMYFUNCTION("""COMPUTED_VALUE"""),63.0)</f>
        <v>63</v>
      </c>
      <c r="F8319" s="19" t="str">
        <f>IFERROR(__xludf.DUMMYFUNCTION("""COMPUTED_VALUE"""),"BLUE")</f>
        <v>BLUE</v>
      </c>
      <c r="G8319" s="20" t="str">
        <f>IFERROR(__xludf.DUMMYFUNCTION("""COMPUTED_VALUE"""),"Uncle Sams Cider (04/04/2023)")</f>
        <v>Uncle Sams Cider (04/04/2023)</v>
      </c>
      <c r="H8319" s="19"/>
    </row>
    <row r="8320">
      <c r="A8320" s="9"/>
      <c r="B8320" s="15"/>
      <c r="C8320" s="9">
        <f>IFERROR(__xludf.DUMMYFUNCTION("""COMPUTED_VALUE"""),45056.890080949)</f>
        <v>45056.89008</v>
      </c>
      <c r="D8320" s="15">
        <f>IFERROR(__xludf.DUMMYFUNCTION("""COMPUTED_VALUE"""),1.018)</f>
        <v>1.018</v>
      </c>
      <c r="E8320" s="16">
        <f>IFERROR(__xludf.DUMMYFUNCTION("""COMPUTED_VALUE"""),63.0)</f>
        <v>63</v>
      </c>
      <c r="F8320" s="19" t="str">
        <f>IFERROR(__xludf.DUMMYFUNCTION("""COMPUTED_VALUE"""),"BLUE")</f>
        <v>BLUE</v>
      </c>
      <c r="G8320" s="20" t="str">
        <f>IFERROR(__xludf.DUMMYFUNCTION("""COMPUTED_VALUE"""),"Uncle Sams Cider (04/04/2023)")</f>
        <v>Uncle Sams Cider (04/04/2023)</v>
      </c>
      <c r="H8320" s="19"/>
    </row>
    <row r="8321">
      <c r="A8321" s="9"/>
      <c r="B8321" s="15"/>
      <c r="C8321" s="9">
        <f>IFERROR(__xludf.DUMMYFUNCTION("""COMPUTED_VALUE"""),45056.8796594676)</f>
        <v>45056.87966</v>
      </c>
      <c r="D8321" s="15">
        <f>IFERROR(__xludf.DUMMYFUNCTION("""COMPUTED_VALUE"""),1.018)</f>
        <v>1.018</v>
      </c>
      <c r="E8321" s="16">
        <f>IFERROR(__xludf.DUMMYFUNCTION("""COMPUTED_VALUE"""),63.0)</f>
        <v>63</v>
      </c>
      <c r="F8321" s="19" t="str">
        <f>IFERROR(__xludf.DUMMYFUNCTION("""COMPUTED_VALUE"""),"BLUE")</f>
        <v>BLUE</v>
      </c>
      <c r="G8321" s="20" t="str">
        <f>IFERROR(__xludf.DUMMYFUNCTION("""COMPUTED_VALUE"""),"Uncle Sams Cider (04/04/2023)")</f>
        <v>Uncle Sams Cider (04/04/2023)</v>
      </c>
      <c r="H8321" s="19"/>
    </row>
    <row r="8322">
      <c r="A8322" s="9"/>
      <c r="B8322" s="15"/>
      <c r="C8322" s="9">
        <f>IFERROR(__xludf.DUMMYFUNCTION("""COMPUTED_VALUE"""),45056.8692392361)</f>
        <v>45056.86924</v>
      </c>
      <c r="D8322" s="15">
        <f>IFERROR(__xludf.DUMMYFUNCTION("""COMPUTED_VALUE"""),1.018)</f>
        <v>1.018</v>
      </c>
      <c r="E8322" s="16">
        <f>IFERROR(__xludf.DUMMYFUNCTION("""COMPUTED_VALUE"""),63.0)</f>
        <v>63</v>
      </c>
      <c r="F8322" s="19" t="str">
        <f>IFERROR(__xludf.DUMMYFUNCTION("""COMPUTED_VALUE"""),"BLUE")</f>
        <v>BLUE</v>
      </c>
      <c r="G8322" s="20" t="str">
        <f>IFERROR(__xludf.DUMMYFUNCTION("""COMPUTED_VALUE"""),"Uncle Sams Cider (04/04/2023)")</f>
        <v>Uncle Sams Cider (04/04/2023)</v>
      </c>
      <c r="H8322" s="19"/>
    </row>
    <row r="8323">
      <c r="A8323" s="9"/>
      <c r="B8323" s="15"/>
      <c r="C8323" s="9">
        <f>IFERROR(__xludf.DUMMYFUNCTION("""COMPUTED_VALUE"""),45056.8588048263)</f>
        <v>45056.8588</v>
      </c>
      <c r="D8323" s="15">
        <f>IFERROR(__xludf.DUMMYFUNCTION("""COMPUTED_VALUE"""),1.018)</f>
        <v>1.018</v>
      </c>
      <c r="E8323" s="16">
        <f>IFERROR(__xludf.DUMMYFUNCTION("""COMPUTED_VALUE"""),63.0)</f>
        <v>63</v>
      </c>
      <c r="F8323" s="19" t="str">
        <f>IFERROR(__xludf.DUMMYFUNCTION("""COMPUTED_VALUE"""),"BLUE")</f>
        <v>BLUE</v>
      </c>
      <c r="G8323" s="20" t="str">
        <f>IFERROR(__xludf.DUMMYFUNCTION("""COMPUTED_VALUE"""),"Uncle Sams Cider (04/04/2023)")</f>
        <v>Uncle Sams Cider (04/04/2023)</v>
      </c>
      <c r="H8323" s="19"/>
    </row>
    <row r="8324">
      <c r="A8324" s="9"/>
      <c r="B8324" s="15"/>
      <c r="C8324" s="9">
        <f>IFERROR(__xludf.DUMMYFUNCTION("""COMPUTED_VALUE"""),45056.8483839699)</f>
        <v>45056.84838</v>
      </c>
      <c r="D8324" s="15">
        <f>IFERROR(__xludf.DUMMYFUNCTION("""COMPUTED_VALUE"""),1.018)</f>
        <v>1.018</v>
      </c>
      <c r="E8324" s="16">
        <f>IFERROR(__xludf.DUMMYFUNCTION("""COMPUTED_VALUE"""),63.0)</f>
        <v>63</v>
      </c>
      <c r="F8324" s="19" t="str">
        <f>IFERROR(__xludf.DUMMYFUNCTION("""COMPUTED_VALUE"""),"BLUE")</f>
        <v>BLUE</v>
      </c>
      <c r="G8324" s="20" t="str">
        <f>IFERROR(__xludf.DUMMYFUNCTION("""COMPUTED_VALUE"""),"Uncle Sams Cider (04/04/2023)")</f>
        <v>Uncle Sams Cider (04/04/2023)</v>
      </c>
      <c r="H8324" s="19"/>
    </row>
    <row r="8325">
      <c r="A8325" s="9"/>
      <c r="B8325" s="15"/>
      <c r="C8325" s="9">
        <f>IFERROR(__xludf.DUMMYFUNCTION("""COMPUTED_VALUE"""),45056.8379648379)</f>
        <v>45056.83796</v>
      </c>
      <c r="D8325" s="15">
        <f>IFERROR(__xludf.DUMMYFUNCTION("""COMPUTED_VALUE"""),1.018)</f>
        <v>1.018</v>
      </c>
      <c r="E8325" s="16">
        <f>IFERROR(__xludf.DUMMYFUNCTION("""COMPUTED_VALUE"""),63.0)</f>
        <v>63</v>
      </c>
      <c r="F8325" s="19" t="str">
        <f>IFERROR(__xludf.DUMMYFUNCTION("""COMPUTED_VALUE"""),"BLUE")</f>
        <v>BLUE</v>
      </c>
      <c r="G8325" s="20" t="str">
        <f>IFERROR(__xludf.DUMMYFUNCTION("""COMPUTED_VALUE"""),"Uncle Sams Cider (04/04/2023)")</f>
        <v>Uncle Sams Cider (04/04/2023)</v>
      </c>
      <c r="H8325" s="19"/>
    </row>
    <row r="8326">
      <c r="A8326" s="9"/>
      <c r="B8326" s="15"/>
      <c r="C8326" s="9">
        <f>IFERROR(__xludf.DUMMYFUNCTION("""COMPUTED_VALUE"""),45056.8275434375)</f>
        <v>45056.82754</v>
      </c>
      <c r="D8326" s="15">
        <f>IFERROR(__xludf.DUMMYFUNCTION("""COMPUTED_VALUE"""),1.018)</f>
        <v>1.018</v>
      </c>
      <c r="E8326" s="16">
        <f>IFERROR(__xludf.DUMMYFUNCTION("""COMPUTED_VALUE"""),63.0)</f>
        <v>63</v>
      </c>
      <c r="F8326" s="19" t="str">
        <f>IFERROR(__xludf.DUMMYFUNCTION("""COMPUTED_VALUE"""),"BLUE")</f>
        <v>BLUE</v>
      </c>
      <c r="G8326" s="20" t="str">
        <f>IFERROR(__xludf.DUMMYFUNCTION("""COMPUTED_VALUE"""),"Uncle Sams Cider (04/04/2023)")</f>
        <v>Uncle Sams Cider (04/04/2023)</v>
      </c>
      <c r="H8326" s="19"/>
    </row>
    <row r="8327">
      <c r="A8327" s="9"/>
      <c r="B8327" s="15"/>
      <c r="C8327" s="9">
        <f>IFERROR(__xludf.DUMMYFUNCTION("""COMPUTED_VALUE"""),45056.8171096296)</f>
        <v>45056.81711</v>
      </c>
      <c r="D8327" s="15">
        <f>IFERROR(__xludf.DUMMYFUNCTION("""COMPUTED_VALUE"""),1.018)</f>
        <v>1.018</v>
      </c>
      <c r="E8327" s="16">
        <f>IFERROR(__xludf.DUMMYFUNCTION("""COMPUTED_VALUE"""),63.0)</f>
        <v>63</v>
      </c>
      <c r="F8327" s="19" t="str">
        <f>IFERROR(__xludf.DUMMYFUNCTION("""COMPUTED_VALUE"""),"BLUE")</f>
        <v>BLUE</v>
      </c>
      <c r="G8327" s="20" t="str">
        <f>IFERROR(__xludf.DUMMYFUNCTION("""COMPUTED_VALUE"""),"Uncle Sams Cider (04/04/2023)")</f>
        <v>Uncle Sams Cider (04/04/2023)</v>
      </c>
      <c r="H8327" s="19"/>
    </row>
    <row r="8328">
      <c r="A8328" s="9"/>
      <c r="B8328" s="15"/>
      <c r="C8328" s="9">
        <f>IFERROR(__xludf.DUMMYFUNCTION("""COMPUTED_VALUE"""),45056.8066905787)</f>
        <v>45056.80669</v>
      </c>
      <c r="D8328" s="15">
        <f>IFERROR(__xludf.DUMMYFUNCTION("""COMPUTED_VALUE"""),1.018)</f>
        <v>1.018</v>
      </c>
      <c r="E8328" s="16">
        <f>IFERROR(__xludf.DUMMYFUNCTION("""COMPUTED_VALUE"""),63.0)</f>
        <v>63</v>
      </c>
      <c r="F8328" s="19" t="str">
        <f>IFERROR(__xludf.DUMMYFUNCTION("""COMPUTED_VALUE"""),"BLUE")</f>
        <v>BLUE</v>
      </c>
      <c r="G8328" s="20" t="str">
        <f>IFERROR(__xludf.DUMMYFUNCTION("""COMPUTED_VALUE"""),"Uncle Sams Cider (04/04/2023)")</f>
        <v>Uncle Sams Cider (04/04/2023)</v>
      </c>
      <c r="H8328" s="19"/>
    </row>
    <row r="8329">
      <c r="A8329" s="9"/>
      <c r="B8329" s="15"/>
      <c r="C8329" s="9">
        <f>IFERROR(__xludf.DUMMYFUNCTION("""COMPUTED_VALUE"""),45056.7962674652)</f>
        <v>45056.79627</v>
      </c>
      <c r="D8329" s="15">
        <f>IFERROR(__xludf.DUMMYFUNCTION("""COMPUTED_VALUE"""),1.018)</f>
        <v>1.018</v>
      </c>
      <c r="E8329" s="16">
        <f>IFERROR(__xludf.DUMMYFUNCTION("""COMPUTED_VALUE"""),63.0)</f>
        <v>63</v>
      </c>
      <c r="F8329" s="19" t="str">
        <f>IFERROR(__xludf.DUMMYFUNCTION("""COMPUTED_VALUE"""),"BLUE")</f>
        <v>BLUE</v>
      </c>
      <c r="G8329" s="20" t="str">
        <f>IFERROR(__xludf.DUMMYFUNCTION("""COMPUTED_VALUE"""),"Uncle Sams Cider (04/04/2023)")</f>
        <v>Uncle Sams Cider (04/04/2023)</v>
      </c>
      <c r="H8329" s="19"/>
    </row>
    <row r="8330">
      <c r="A8330" s="9"/>
      <c r="B8330" s="15"/>
      <c r="C8330" s="9">
        <f>IFERROR(__xludf.DUMMYFUNCTION("""COMPUTED_VALUE"""),45056.7858472106)</f>
        <v>45056.78585</v>
      </c>
      <c r="D8330" s="15">
        <f>IFERROR(__xludf.DUMMYFUNCTION("""COMPUTED_VALUE"""),1.018)</f>
        <v>1.018</v>
      </c>
      <c r="E8330" s="16">
        <f>IFERROR(__xludf.DUMMYFUNCTION("""COMPUTED_VALUE"""),63.0)</f>
        <v>63</v>
      </c>
      <c r="F8330" s="19" t="str">
        <f>IFERROR(__xludf.DUMMYFUNCTION("""COMPUTED_VALUE"""),"BLUE")</f>
        <v>BLUE</v>
      </c>
      <c r="G8330" s="20" t="str">
        <f>IFERROR(__xludf.DUMMYFUNCTION("""COMPUTED_VALUE"""),"Uncle Sams Cider (04/04/2023)")</f>
        <v>Uncle Sams Cider (04/04/2023)</v>
      </c>
      <c r="H8330" s="19"/>
    </row>
    <row r="8331">
      <c r="A8331" s="9"/>
      <c r="B8331" s="15"/>
      <c r="C8331" s="9">
        <f>IFERROR(__xludf.DUMMYFUNCTION("""COMPUTED_VALUE"""),45056.7754138888)</f>
        <v>45056.77541</v>
      </c>
      <c r="D8331" s="15">
        <f>IFERROR(__xludf.DUMMYFUNCTION("""COMPUTED_VALUE"""),1.018)</f>
        <v>1.018</v>
      </c>
      <c r="E8331" s="16">
        <f>IFERROR(__xludf.DUMMYFUNCTION("""COMPUTED_VALUE"""),63.0)</f>
        <v>63</v>
      </c>
      <c r="F8331" s="19" t="str">
        <f>IFERROR(__xludf.DUMMYFUNCTION("""COMPUTED_VALUE"""),"BLUE")</f>
        <v>BLUE</v>
      </c>
      <c r="G8331" s="20" t="str">
        <f>IFERROR(__xludf.DUMMYFUNCTION("""COMPUTED_VALUE"""),"Uncle Sams Cider (04/04/2023)")</f>
        <v>Uncle Sams Cider (04/04/2023)</v>
      </c>
      <c r="H8331" s="19"/>
    </row>
    <row r="8332">
      <c r="A8332" s="9"/>
      <c r="B8332" s="15"/>
      <c r="C8332" s="9">
        <f>IFERROR(__xludf.DUMMYFUNCTION("""COMPUTED_VALUE"""),45056.7649817824)</f>
        <v>45056.76498</v>
      </c>
      <c r="D8332" s="15">
        <f>IFERROR(__xludf.DUMMYFUNCTION("""COMPUTED_VALUE"""),1.018)</f>
        <v>1.018</v>
      </c>
      <c r="E8332" s="16">
        <f>IFERROR(__xludf.DUMMYFUNCTION("""COMPUTED_VALUE"""),63.0)</f>
        <v>63</v>
      </c>
      <c r="F8332" s="19" t="str">
        <f>IFERROR(__xludf.DUMMYFUNCTION("""COMPUTED_VALUE"""),"BLUE")</f>
        <v>BLUE</v>
      </c>
      <c r="G8332" s="20" t="str">
        <f>IFERROR(__xludf.DUMMYFUNCTION("""COMPUTED_VALUE"""),"Uncle Sams Cider (04/04/2023)")</f>
        <v>Uncle Sams Cider (04/04/2023)</v>
      </c>
      <c r="H8332" s="19"/>
    </row>
    <row r="8333">
      <c r="A8333" s="9"/>
      <c r="B8333" s="15"/>
      <c r="C8333" s="9">
        <f>IFERROR(__xludf.DUMMYFUNCTION("""COMPUTED_VALUE"""),45056.7545609027)</f>
        <v>45056.75456</v>
      </c>
      <c r="D8333" s="15">
        <f>IFERROR(__xludf.DUMMYFUNCTION("""COMPUTED_VALUE"""),1.018)</f>
        <v>1.018</v>
      </c>
      <c r="E8333" s="16">
        <f>IFERROR(__xludf.DUMMYFUNCTION("""COMPUTED_VALUE"""),63.0)</f>
        <v>63</v>
      </c>
      <c r="F8333" s="19" t="str">
        <f>IFERROR(__xludf.DUMMYFUNCTION("""COMPUTED_VALUE"""),"BLUE")</f>
        <v>BLUE</v>
      </c>
      <c r="G8333" s="20" t="str">
        <f>IFERROR(__xludf.DUMMYFUNCTION("""COMPUTED_VALUE"""),"Uncle Sams Cider (04/04/2023)")</f>
        <v>Uncle Sams Cider (04/04/2023)</v>
      </c>
      <c r="H8333" s="19"/>
    </row>
    <row r="8334">
      <c r="A8334" s="9"/>
      <c r="B8334" s="15"/>
      <c r="C8334" s="9">
        <f>IFERROR(__xludf.DUMMYFUNCTION("""COMPUTED_VALUE"""),45056.744115706)</f>
        <v>45056.74412</v>
      </c>
      <c r="D8334" s="15">
        <f>IFERROR(__xludf.DUMMYFUNCTION("""COMPUTED_VALUE"""),1.018)</f>
        <v>1.018</v>
      </c>
      <c r="E8334" s="16">
        <f>IFERROR(__xludf.DUMMYFUNCTION("""COMPUTED_VALUE"""),63.0)</f>
        <v>63</v>
      </c>
      <c r="F8334" s="19" t="str">
        <f>IFERROR(__xludf.DUMMYFUNCTION("""COMPUTED_VALUE"""),"BLUE")</f>
        <v>BLUE</v>
      </c>
      <c r="G8334" s="20" t="str">
        <f>IFERROR(__xludf.DUMMYFUNCTION("""COMPUTED_VALUE"""),"Uncle Sams Cider (04/04/2023)")</f>
        <v>Uncle Sams Cider (04/04/2023)</v>
      </c>
      <c r="H8334" s="19"/>
    </row>
    <row r="8335">
      <c r="A8335" s="9"/>
      <c r="B8335" s="15"/>
      <c r="C8335" s="9">
        <f>IFERROR(__xludf.DUMMYFUNCTION("""COMPUTED_VALUE"""),45056.7336948379)</f>
        <v>45056.73369</v>
      </c>
      <c r="D8335" s="15">
        <f>IFERROR(__xludf.DUMMYFUNCTION("""COMPUTED_VALUE"""),1.018)</f>
        <v>1.018</v>
      </c>
      <c r="E8335" s="16">
        <f>IFERROR(__xludf.DUMMYFUNCTION("""COMPUTED_VALUE"""),63.0)</f>
        <v>63</v>
      </c>
      <c r="F8335" s="19" t="str">
        <f>IFERROR(__xludf.DUMMYFUNCTION("""COMPUTED_VALUE"""),"BLUE")</f>
        <v>BLUE</v>
      </c>
      <c r="G8335" s="20" t="str">
        <f>IFERROR(__xludf.DUMMYFUNCTION("""COMPUTED_VALUE"""),"Uncle Sams Cider (04/04/2023)")</f>
        <v>Uncle Sams Cider (04/04/2023)</v>
      </c>
      <c r="H8335" s="19"/>
    </row>
    <row r="8336">
      <c r="A8336" s="9"/>
      <c r="B8336" s="15"/>
      <c r="C8336" s="9">
        <f>IFERROR(__xludf.DUMMYFUNCTION("""COMPUTED_VALUE"""),45056.7232738888)</f>
        <v>45056.72327</v>
      </c>
      <c r="D8336" s="15">
        <f>IFERROR(__xludf.DUMMYFUNCTION("""COMPUTED_VALUE"""),1.018)</f>
        <v>1.018</v>
      </c>
      <c r="E8336" s="16">
        <f>IFERROR(__xludf.DUMMYFUNCTION("""COMPUTED_VALUE"""),63.0)</f>
        <v>63</v>
      </c>
      <c r="F8336" s="19" t="str">
        <f>IFERROR(__xludf.DUMMYFUNCTION("""COMPUTED_VALUE"""),"BLUE")</f>
        <v>BLUE</v>
      </c>
      <c r="G8336" s="20" t="str">
        <f>IFERROR(__xludf.DUMMYFUNCTION("""COMPUTED_VALUE"""),"Uncle Sams Cider (04/04/2023)")</f>
        <v>Uncle Sams Cider (04/04/2023)</v>
      </c>
      <c r="H8336" s="19"/>
    </row>
    <row r="8337">
      <c r="A8337" s="9"/>
      <c r="B8337" s="15"/>
      <c r="C8337" s="9">
        <f>IFERROR(__xludf.DUMMYFUNCTION("""COMPUTED_VALUE"""),45056.7128516435)</f>
        <v>45056.71285</v>
      </c>
      <c r="D8337" s="15">
        <f>IFERROR(__xludf.DUMMYFUNCTION("""COMPUTED_VALUE"""),1.018)</f>
        <v>1.018</v>
      </c>
      <c r="E8337" s="16">
        <f>IFERROR(__xludf.DUMMYFUNCTION("""COMPUTED_VALUE"""),63.0)</f>
        <v>63</v>
      </c>
      <c r="F8337" s="19" t="str">
        <f>IFERROR(__xludf.DUMMYFUNCTION("""COMPUTED_VALUE"""),"BLUE")</f>
        <v>BLUE</v>
      </c>
      <c r="G8337" s="20" t="str">
        <f>IFERROR(__xludf.DUMMYFUNCTION("""COMPUTED_VALUE"""),"Uncle Sams Cider (04/04/2023)")</f>
        <v>Uncle Sams Cider (04/04/2023)</v>
      </c>
      <c r="H8337" s="19"/>
    </row>
    <row r="8338">
      <c r="A8338" s="9"/>
      <c r="B8338" s="15"/>
      <c r="C8338" s="9">
        <f>IFERROR(__xludf.DUMMYFUNCTION("""COMPUTED_VALUE"""),45056.7024323379)</f>
        <v>45056.70243</v>
      </c>
      <c r="D8338" s="15">
        <f>IFERROR(__xludf.DUMMYFUNCTION("""COMPUTED_VALUE"""),1.018)</f>
        <v>1.018</v>
      </c>
      <c r="E8338" s="16">
        <f>IFERROR(__xludf.DUMMYFUNCTION("""COMPUTED_VALUE"""),63.0)</f>
        <v>63</v>
      </c>
      <c r="F8338" s="19" t="str">
        <f>IFERROR(__xludf.DUMMYFUNCTION("""COMPUTED_VALUE"""),"BLUE")</f>
        <v>BLUE</v>
      </c>
      <c r="G8338" s="20" t="str">
        <f>IFERROR(__xludf.DUMMYFUNCTION("""COMPUTED_VALUE"""),"Uncle Sams Cider (04/04/2023)")</f>
        <v>Uncle Sams Cider (04/04/2023)</v>
      </c>
      <c r="H8338" s="19"/>
    </row>
    <row r="8339">
      <c r="A8339" s="9"/>
      <c r="B8339" s="15"/>
      <c r="C8339" s="9">
        <f>IFERROR(__xludf.DUMMYFUNCTION("""COMPUTED_VALUE"""),45056.6920125578)</f>
        <v>45056.69201</v>
      </c>
      <c r="D8339" s="15">
        <f>IFERROR(__xludf.DUMMYFUNCTION("""COMPUTED_VALUE"""),1.018)</f>
        <v>1.018</v>
      </c>
      <c r="E8339" s="16">
        <f>IFERROR(__xludf.DUMMYFUNCTION("""COMPUTED_VALUE"""),63.0)</f>
        <v>63</v>
      </c>
      <c r="F8339" s="19" t="str">
        <f>IFERROR(__xludf.DUMMYFUNCTION("""COMPUTED_VALUE"""),"BLUE")</f>
        <v>BLUE</v>
      </c>
      <c r="G8339" s="20" t="str">
        <f>IFERROR(__xludf.DUMMYFUNCTION("""COMPUTED_VALUE"""),"Uncle Sams Cider (04/04/2023)")</f>
        <v>Uncle Sams Cider (04/04/2023)</v>
      </c>
      <c r="H8339" s="19"/>
    </row>
    <row r="8340">
      <c r="A8340" s="9"/>
      <c r="B8340" s="15"/>
      <c r="C8340" s="9">
        <f>IFERROR(__xludf.DUMMYFUNCTION("""COMPUTED_VALUE"""),45056.681590324)</f>
        <v>45056.68159</v>
      </c>
      <c r="D8340" s="15">
        <f>IFERROR(__xludf.DUMMYFUNCTION("""COMPUTED_VALUE"""),1.018)</f>
        <v>1.018</v>
      </c>
      <c r="E8340" s="16">
        <f>IFERROR(__xludf.DUMMYFUNCTION("""COMPUTED_VALUE"""),63.0)</f>
        <v>63</v>
      </c>
      <c r="F8340" s="19" t="str">
        <f>IFERROR(__xludf.DUMMYFUNCTION("""COMPUTED_VALUE"""),"BLUE")</f>
        <v>BLUE</v>
      </c>
      <c r="G8340" s="20" t="str">
        <f>IFERROR(__xludf.DUMMYFUNCTION("""COMPUTED_VALUE"""),"Uncle Sams Cider (04/04/2023)")</f>
        <v>Uncle Sams Cider (04/04/2023)</v>
      </c>
      <c r="H8340" s="19"/>
    </row>
    <row r="8341">
      <c r="A8341" s="9"/>
      <c r="B8341" s="15"/>
      <c r="C8341" s="9">
        <f>IFERROR(__xludf.DUMMYFUNCTION("""COMPUTED_VALUE"""),45056.6711567361)</f>
        <v>45056.67116</v>
      </c>
      <c r="D8341" s="15">
        <f>IFERROR(__xludf.DUMMYFUNCTION("""COMPUTED_VALUE"""),1.018)</f>
        <v>1.018</v>
      </c>
      <c r="E8341" s="16">
        <f>IFERROR(__xludf.DUMMYFUNCTION("""COMPUTED_VALUE"""),63.0)</f>
        <v>63</v>
      </c>
      <c r="F8341" s="19" t="str">
        <f>IFERROR(__xludf.DUMMYFUNCTION("""COMPUTED_VALUE"""),"BLUE")</f>
        <v>BLUE</v>
      </c>
      <c r="G8341" s="20" t="str">
        <f>IFERROR(__xludf.DUMMYFUNCTION("""COMPUTED_VALUE"""),"Uncle Sams Cider (04/04/2023)")</f>
        <v>Uncle Sams Cider (04/04/2023)</v>
      </c>
      <c r="H8341" s="19"/>
    </row>
    <row r="8342">
      <c r="A8342" s="9"/>
      <c r="B8342" s="15"/>
      <c r="C8342" s="9">
        <f>IFERROR(__xludf.DUMMYFUNCTION("""COMPUTED_VALUE"""),45056.6607243171)</f>
        <v>45056.66072</v>
      </c>
      <c r="D8342" s="15">
        <f>IFERROR(__xludf.DUMMYFUNCTION("""COMPUTED_VALUE"""),1.018)</f>
        <v>1.018</v>
      </c>
      <c r="E8342" s="16">
        <f>IFERROR(__xludf.DUMMYFUNCTION("""COMPUTED_VALUE"""),63.0)</f>
        <v>63</v>
      </c>
      <c r="F8342" s="19" t="str">
        <f>IFERROR(__xludf.DUMMYFUNCTION("""COMPUTED_VALUE"""),"BLUE")</f>
        <v>BLUE</v>
      </c>
      <c r="G8342" s="20" t="str">
        <f>IFERROR(__xludf.DUMMYFUNCTION("""COMPUTED_VALUE"""),"Uncle Sams Cider (04/04/2023)")</f>
        <v>Uncle Sams Cider (04/04/2023)</v>
      </c>
      <c r="H8342" s="19"/>
    </row>
    <row r="8343">
      <c r="A8343" s="9"/>
      <c r="B8343" s="15"/>
      <c r="C8343" s="9">
        <f>IFERROR(__xludf.DUMMYFUNCTION("""COMPUTED_VALUE"""),45056.6502923726)</f>
        <v>45056.65029</v>
      </c>
      <c r="D8343" s="15">
        <f>IFERROR(__xludf.DUMMYFUNCTION("""COMPUTED_VALUE"""),1.018)</f>
        <v>1.018</v>
      </c>
      <c r="E8343" s="16">
        <f>IFERROR(__xludf.DUMMYFUNCTION("""COMPUTED_VALUE"""),63.0)</f>
        <v>63</v>
      </c>
      <c r="F8343" s="19" t="str">
        <f>IFERROR(__xludf.DUMMYFUNCTION("""COMPUTED_VALUE"""),"BLUE")</f>
        <v>BLUE</v>
      </c>
      <c r="G8343" s="20" t="str">
        <f>IFERROR(__xludf.DUMMYFUNCTION("""COMPUTED_VALUE"""),"Uncle Sams Cider (04/04/2023)")</f>
        <v>Uncle Sams Cider (04/04/2023)</v>
      </c>
      <c r="H8343" s="19"/>
    </row>
    <row r="8344">
      <c r="A8344" s="9"/>
      <c r="B8344" s="15"/>
      <c r="C8344" s="9">
        <f>IFERROR(__xludf.DUMMYFUNCTION("""COMPUTED_VALUE"""),45056.6398619444)</f>
        <v>45056.63986</v>
      </c>
      <c r="D8344" s="15">
        <f>IFERROR(__xludf.DUMMYFUNCTION("""COMPUTED_VALUE"""),1.018)</f>
        <v>1.018</v>
      </c>
      <c r="E8344" s="16">
        <f>IFERROR(__xludf.DUMMYFUNCTION("""COMPUTED_VALUE"""),63.0)</f>
        <v>63</v>
      </c>
      <c r="F8344" s="19" t="str">
        <f>IFERROR(__xludf.DUMMYFUNCTION("""COMPUTED_VALUE"""),"BLUE")</f>
        <v>BLUE</v>
      </c>
      <c r="G8344" s="20" t="str">
        <f>IFERROR(__xludf.DUMMYFUNCTION("""COMPUTED_VALUE"""),"Uncle Sams Cider (04/04/2023)")</f>
        <v>Uncle Sams Cider (04/04/2023)</v>
      </c>
      <c r="H8344" s="19"/>
    </row>
    <row r="8345">
      <c r="A8345" s="9"/>
      <c r="B8345" s="15"/>
      <c r="C8345" s="9">
        <f>IFERROR(__xludf.DUMMYFUNCTION("""COMPUTED_VALUE"""),45056.6294196759)</f>
        <v>45056.62942</v>
      </c>
      <c r="D8345" s="15">
        <f>IFERROR(__xludf.DUMMYFUNCTION("""COMPUTED_VALUE"""),1.018)</f>
        <v>1.018</v>
      </c>
      <c r="E8345" s="16">
        <f>IFERROR(__xludf.DUMMYFUNCTION("""COMPUTED_VALUE"""),63.0)</f>
        <v>63</v>
      </c>
      <c r="F8345" s="19" t="str">
        <f>IFERROR(__xludf.DUMMYFUNCTION("""COMPUTED_VALUE"""),"BLUE")</f>
        <v>BLUE</v>
      </c>
      <c r="G8345" s="20" t="str">
        <f>IFERROR(__xludf.DUMMYFUNCTION("""COMPUTED_VALUE"""),"Uncle Sams Cider (04/04/2023)")</f>
        <v>Uncle Sams Cider (04/04/2023)</v>
      </c>
      <c r="H8345" s="19"/>
    </row>
    <row r="8346">
      <c r="A8346" s="9"/>
      <c r="B8346" s="15"/>
      <c r="C8346" s="9">
        <f>IFERROR(__xludf.DUMMYFUNCTION("""COMPUTED_VALUE"""),45056.6189986458)</f>
        <v>45056.619</v>
      </c>
      <c r="D8346" s="15">
        <f>IFERROR(__xludf.DUMMYFUNCTION("""COMPUTED_VALUE"""),1.018)</f>
        <v>1.018</v>
      </c>
      <c r="E8346" s="16">
        <f>IFERROR(__xludf.DUMMYFUNCTION("""COMPUTED_VALUE"""),63.0)</f>
        <v>63</v>
      </c>
      <c r="F8346" s="19" t="str">
        <f>IFERROR(__xludf.DUMMYFUNCTION("""COMPUTED_VALUE"""),"BLUE")</f>
        <v>BLUE</v>
      </c>
      <c r="G8346" s="20" t="str">
        <f>IFERROR(__xludf.DUMMYFUNCTION("""COMPUTED_VALUE"""),"Uncle Sams Cider (04/04/2023)")</f>
        <v>Uncle Sams Cider (04/04/2023)</v>
      </c>
      <c r="H8346" s="19"/>
    </row>
    <row r="8347">
      <c r="A8347" s="9"/>
      <c r="B8347" s="15"/>
      <c r="C8347" s="9">
        <f>IFERROR(__xludf.DUMMYFUNCTION("""COMPUTED_VALUE"""),45056.6085771875)</f>
        <v>45056.60858</v>
      </c>
      <c r="D8347" s="15">
        <f>IFERROR(__xludf.DUMMYFUNCTION("""COMPUTED_VALUE"""),1.018)</f>
        <v>1.018</v>
      </c>
      <c r="E8347" s="16">
        <f>IFERROR(__xludf.DUMMYFUNCTION("""COMPUTED_VALUE"""),63.0)</f>
        <v>63</v>
      </c>
      <c r="F8347" s="19" t="str">
        <f>IFERROR(__xludf.DUMMYFUNCTION("""COMPUTED_VALUE"""),"BLUE")</f>
        <v>BLUE</v>
      </c>
      <c r="G8347" s="20" t="str">
        <f>IFERROR(__xludf.DUMMYFUNCTION("""COMPUTED_VALUE"""),"Uncle Sams Cider (04/04/2023)")</f>
        <v>Uncle Sams Cider (04/04/2023)</v>
      </c>
      <c r="H8347" s="19"/>
    </row>
    <row r="8348">
      <c r="A8348" s="9"/>
      <c r="B8348" s="15"/>
      <c r="C8348" s="9">
        <f>IFERROR(__xludf.DUMMYFUNCTION("""COMPUTED_VALUE"""),45056.5981451157)</f>
        <v>45056.59815</v>
      </c>
      <c r="D8348" s="15">
        <f>IFERROR(__xludf.DUMMYFUNCTION("""COMPUTED_VALUE"""),1.018)</f>
        <v>1.018</v>
      </c>
      <c r="E8348" s="16">
        <f>IFERROR(__xludf.DUMMYFUNCTION("""COMPUTED_VALUE"""),63.0)</f>
        <v>63</v>
      </c>
      <c r="F8348" s="19" t="str">
        <f>IFERROR(__xludf.DUMMYFUNCTION("""COMPUTED_VALUE"""),"BLUE")</f>
        <v>BLUE</v>
      </c>
      <c r="G8348" s="20" t="str">
        <f>IFERROR(__xludf.DUMMYFUNCTION("""COMPUTED_VALUE"""),"Uncle Sams Cider (04/04/2023)")</f>
        <v>Uncle Sams Cider (04/04/2023)</v>
      </c>
      <c r="H8348" s="19"/>
    </row>
    <row r="8349">
      <c r="A8349" s="9"/>
      <c r="B8349" s="15"/>
      <c r="C8349" s="9">
        <f>IFERROR(__xludf.DUMMYFUNCTION("""COMPUTED_VALUE"""),45056.5877242129)</f>
        <v>45056.58772</v>
      </c>
      <c r="D8349" s="15">
        <f>IFERROR(__xludf.DUMMYFUNCTION("""COMPUTED_VALUE"""),1.018)</f>
        <v>1.018</v>
      </c>
      <c r="E8349" s="16">
        <f>IFERROR(__xludf.DUMMYFUNCTION("""COMPUTED_VALUE"""),63.0)</f>
        <v>63</v>
      </c>
      <c r="F8349" s="19" t="str">
        <f>IFERROR(__xludf.DUMMYFUNCTION("""COMPUTED_VALUE"""),"BLUE")</f>
        <v>BLUE</v>
      </c>
      <c r="G8349" s="20" t="str">
        <f>IFERROR(__xludf.DUMMYFUNCTION("""COMPUTED_VALUE"""),"Uncle Sams Cider (04/04/2023)")</f>
        <v>Uncle Sams Cider (04/04/2023)</v>
      </c>
      <c r="H8349" s="19"/>
    </row>
    <row r="8350">
      <c r="A8350" s="9"/>
      <c r="B8350" s="15"/>
      <c r="C8350" s="9">
        <f>IFERROR(__xludf.DUMMYFUNCTION("""COMPUTED_VALUE"""),45056.5773027314)</f>
        <v>45056.5773</v>
      </c>
      <c r="D8350" s="15">
        <f>IFERROR(__xludf.DUMMYFUNCTION("""COMPUTED_VALUE"""),1.018)</f>
        <v>1.018</v>
      </c>
      <c r="E8350" s="16">
        <f>IFERROR(__xludf.DUMMYFUNCTION("""COMPUTED_VALUE"""),63.0)</f>
        <v>63</v>
      </c>
      <c r="F8350" s="19" t="str">
        <f>IFERROR(__xludf.DUMMYFUNCTION("""COMPUTED_VALUE"""),"BLUE")</f>
        <v>BLUE</v>
      </c>
      <c r="G8350" s="20" t="str">
        <f>IFERROR(__xludf.DUMMYFUNCTION("""COMPUTED_VALUE"""),"Uncle Sams Cider (04/04/2023)")</f>
        <v>Uncle Sams Cider (04/04/2023)</v>
      </c>
      <c r="H8350" s="19"/>
    </row>
    <row r="8351">
      <c r="A8351" s="9"/>
      <c r="B8351" s="15"/>
      <c r="C8351" s="9">
        <f>IFERROR(__xludf.DUMMYFUNCTION("""COMPUTED_VALUE"""),45056.5668811458)</f>
        <v>45056.56688</v>
      </c>
      <c r="D8351" s="15">
        <f>IFERROR(__xludf.DUMMYFUNCTION("""COMPUTED_VALUE"""),1.019)</f>
        <v>1.019</v>
      </c>
      <c r="E8351" s="16">
        <f>IFERROR(__xludf.DUMMYFUNCTION("""COMPUTED_VALUE"""),63.0)</f>
        <v>63</v>
      </c>
      <c r="F8351" s="19" t="str">
        <f>IFERROR(__xludf.DUMMYFUNCTION("""COMPUTED_VALUE"""),"BLUE")</f>
        <v>BLUE</v>
      </c>
      <c r="G8351" s="20" t="str">
        <f>IFERROR(__xludf.DUMMYFUNCTION("""COMPUTED_VALUE"""),"Uncle Sams Cider (04/04/2023)")</f>
        <v>Uncle Sams Cider (04/04/2023)</v>
      </c>
      <c r="H8351" s="19"/>
    </row>
    <row r="8352">
      <c r="A8352" s="9"/>
      <c r="B8352" s="15"/>
      <c r="C8352" s="9">
        <f>IFERROR(__xludf.DUMMYFUNCTION("""COMPUTED_VALUE"""),45056.5564487384)</f>
        <v>45056.55645</v>
      </c>
      <c r="D8352" s="15">
        <f>IFERROR(__xludf.DUMMYFUNCTION("""COMPUTED_VALUE"""),1.018)</f>
        <v>1.018</v>
      </c>
      <c r="E8352" s="16">
        <f>IFERROR(__xludf.DUMMYFUNCTION("""COMPUTED_VALUE"""),63.0)</f>
        <v>63</v>
      </c>
      <c r="F8352" s="19" t="str">
        <f>IFERROR(__xludf.DUMMYFUNCTION("""COMPUTED_VALUE"""),"BLUE")</f>
        <v>BLUE</v>
      </c>
      <c r="G8352" s="20" t="str">
        <f>IFERROR(__xludf.DUMMYFUNCTION("""COMPUTED_VALUE"""),"Uncle Sams Cider (04/04/2023)")</f>
        <v>Uncle Sams Cider (04/04/2023)</v>
      </c>
      <c r="H8352" s="19"/>
    </row>
    <row r="8353">
      <c r="A8353" s="9"/>
      <c r="B8353" s="15"/>
      <c r="C8353" s="9">
        <f>IFERROR(__xludf.DUMMYFUNCTION("""COMPUTED_VALUE"""),45056.5460287268)</f>
        <v>45056.54603</v>
      </c>
      <c r="D8353" s="15">
        <f>IFERROR(__xludf.DUMMYFUNCTION("""COMPUTED_VALUE"""),1.019)</f>
        <v>1.019</v>
      </c>
      <c r="E8353" s="16">
        <f>IFERROR(__xludf.DUMMYFUNCTION("""COMPUTED_VALUE"""),63.0)</f>
        <v>63</v>
      </c>
      <c r="F8353" s="19" t="str">
        <f>IFERROR(__xludf.DUMMYFUNCTION("""COMPUTED_VALUE"""),"BLUE")</f>
        <v>BLUE</v>
      </c>
      <c r="G8353" s="20" t="str">
        <f>IFERROR(__xludf.DUMMYFUNCTION("""COMPUTED_VALUE"""),"Uncle Sams Cider (04/04/2023)")</f>
        <v>Uncle Sams Cider (04/04/2023)</v>
      </c>
      <c r="H8353" s="19"/>
    </row>
    <row r="8354">
      <c r="A8354" s="9"/>
      <c r="B8354" s="15"/>
      <c r="C8354" s="9">
        <f>IFERROR(__xludf.DUMMYFUNCTION("""COMPUTED_VALUE"""),45056.5355969444)</f>
        <v>45056.5356</v>
      </c>
      <c r="D8354" s="15">
        <f>IFERROR(__xludf.DUMMYFUNCTION("""COMPUTED_VALUE"""),1.018)</f>
        <v>1.018</v>
      </c>
      <c r="E8354" s="16">
        <f>IFERROR(__xludf.DUMMYFUNCTION("""COMPUTED_VALUE"""),63.0)</f>
        <v>63</v>
      </c>
      <c r="F8354" s="19" t="str">
        <f>IFERROR(__xludf.DUMMYFUNCTION("""COMPUTED_VALUE"""),"BLUE")</f>
        <v>BLUE</v>
      </c>
      <c r="G8354" s="20" t="str">
        <f>IFERROR(__xludf.DUMMYFUNCTION("""COMPUTED_VALUE"""),"Uncle Sams Cider (04/04/2023)")</f>
        <v>Uncle Sams Cider (04/04/2023)</v>
      </c>
      <c r="H8354" s="19"/>
    </row>
    <row r="8355">
      <c r="A8355" s="9"/>
      <c r="B8355" s="15"/>
      <c r="C8355" s="9">
        <f>IFERROR(__xludf.DUMMYFUNCTION("""COMPUTED_VALUE"""),45056.5251767361)</f>
        <v>45056.52518</v>
      </c>
      <c r="D8355" s="15">
        <f>IFERROR(__xludf.DUMMYFUNCTION("""COMPUTED_VALUE"""),1.019)</f>
        <v>1.019</v>
      </c>
      <c r="E8355" s="16">
        <f>IFERROR(__xludf.DUMMYFUNCTION("""COMPUTED_VALUE"""),63.0)</f>
        <v>63</v>
      </c>
      <c r="F8355" s="19" t="str">
        <f>IFERROR(__xludf.DUMMYFUNCTION("""COMPUTED_VALUE"""),"BLUE")</f>
        <v>BLUE</v>
      </c>
      <c r="G8355" s="20" t="str">
        <f>IFERROR(__xludf.DUMMYFUNCTION("""COMPUTED_VALUE"""),"Uncle Sams Cider (04/04/2023)")</f>
        <v>Uncle Sams Cider (04/04/2023)</v>
      </c>
      <c r="H8355" s="19"/>
    </row>
    <row r="8356">
      <c r="A8356" s="9"/>
      <c r="B8356" s="15"/>
      <c r="C8356" s="9">
        <f>IFERROR(__xludf.DUMMYFUNCTION("""COMPUTED_VALUE"""),45056.5147556481)</f>
        <v>45056.51476</v>
      </c>
      <c r="D8356" s="15">
        <f>IFERROR(__xludf.DUMMYFUNCTION("""COMPUTED_VALUE"""),1.018)</f>
        <v>1.018</v>
      </c>
      <c r="E8356" s="16">
        <f>IFERROR(__xludf.DUMMYFUNCTION("""COMPUTED_VALUE"""),63.0)</f>
        <v>63</v>
      </c>
      <c r="F8356" s="19" t="str">
        <f>IFERROR(__xludf.DUMMYFUNCTION("""COMPUTED_VALUE"""),"BLUE")</f>
        <v>BLUE</v>
      </c>
      <c r="G8356" s="20" t="str">
        <f>IFERROR(__xludf.DUMMYFUNCTION("""COMPUTED_VALUE"""),"Uncle Sams Cider (04/04/2023)")</f>
        <v>Uncle Sams Cider (04/04/2023)</v>
      </c>
      <c r="H8356" s="19"/>
    </row>
    <row r="8357">
      <c r="A8357" s="9"/>
      <c r="B8357" s="15"/>
      <c r="C8357" s="9">
        <f>IFERROR(__xludf.DUMMYFUNCTION("""COMPUTED_VALUE"""),45056.5043357754)</f>
        <v>45056.50434</v>
      </c>
      <c r="D8357" s="15">
        <f>IFERROR(__xludf.DUMMYFUNCTION("""COMPUTED_VALUE"""),1.018)</f>
        <v>1.018</v>
      </c>
      <c r="E8357" s="16">
        <f>IFERROR(__xludf.DUMMYFUNCTION("""COMPUTED_VALUE"""),63.0)</f>
        <v>63</v>
      </c>
      <c r="F8357" s="19" t="str">
        <f>IFERROR(__xludf.DUMMYFUNCTION("""COMPUTED_VALUE"""),"BLUE")</f>
        <v>BLUE</v>
      </c>
      <c r="G8357" s="20" t="str">
        <f>IFERROR(__xludf.DUMMYFUNCTION("""COMPUTED_VALUE"""),"Uncle Sams Cider (04/04/2023)")</f>
        <v>Uncle Sams Cider (04/04/2023)</v>
      </c>
      <c r="H8357" s="19"/>
    </row>
    <row r="8358">
      <c r="A8358" s="9"/>
      <c r="B8358" s="15"/>
      <c r="C8358" s="9">
        <f>IFERROR(__xludf.DUMMYFUNCTION("""COMPUTED_VALUE"""),45056.4939146527)</f>
        <v>45056.49391</v>
      </c>
      <c r="D8358" s="15">
        <f>IFERROR(__xludf.DUMMYFUNCTION("""COMPUTED_VALUE"""),1.019)</f>
        <v>1.019</v>
      </c>
      <c r="E8358" s="16">
        <f>IFERROR(__xludf.DUMMYFUNCTION("""COMPUTED_VALUE"""),63.0)</f>
        <v>63</v>
      </c>
      <c r="F8358" s="19" t="str">
        <f>IFERROR(__xludf.DUMMYFUNCTION("""COMPUTED_VALUE"""),"BLUE")</f>
        <v>BLUE</v>
      </c>
      <c r="G8358" s="20" t="str">
        <f>IFERROR(__xludf.DUMMYFUNCTION("""COMPUTED_VALUE"""),"Uncle Sams Cider (04/04/2023)")</f>
        <v>Uncle Sams Cider (04/04/2023)</v>
      </c>
      <c r="H8358" s="19"/>
    </row>
    <row r="8359">
      <c r="A8359" s="9"/>
      <c r="B8359" s="15"/>
      <c r="C8359" s="9">
        <f>IFERROR(__xludf.DUMMYFUNCTION("""COMPUTED_VALUE"""),45056.4834932175)</f>
        <v>45056.48349</v>
      </c>
      <c r="D8359" s="15">
        <f>IFERROR(__xludf.DUMMYFUNCTION("""COMPUTED_VALUE"""),1.018)</f>
        <v>1.018</v>
      </c>
      <c r="E8359" s="16">
        <f>IFERROR(__xludf.DUMMYFUNCTION("""COMPUTED_VALUE"""),63.0)</f>
        <v>63</v>
      </c>
      <c r="F8359" s="19" t="str">
        <f>IFERROR(__xludf.DUMMYFUNCTION("""COMPUTED_VALUE"""),"BLUE")</f>
        <v>BLUE</v>
      </c>
      <c r="G8359" s="20" t="str">
        <f>IFERROR(__xludf.DUMMYFUNCTION("""COMPUTED_VALUE"""),"Uncle Sams Cider (04/04/2023)")</f>
        <v>Uncle Sams Cider (04/04/2023)</v>
      </c>
      <c r="H8359" s="19"/>
    </row>
    <row r="8360">
      <c r="A8360" s="9"/>
      <c r="B8360" s="15"/>
      <c r="C8360" s="9">
        <f>IFERROR(__xludf.DUMMYFUNCTION("""COMPUTED_VALUE"""),45056.473073125)</f>
        <v>45056.47307</v>
      </c>
      <c r="D8360" s="15">
        <f>IFERROR(__xludf.DUMMYFUNCTION("""COMPUTED_VALUE"""),1.018)</f>
        <v>1.018</v>
      </c>
      <c r="E8360" s="16">
        <f>IFERROR(__xludf.DUMMYFUNCTION("""COMPUTED_VALUE"""),63.0)</f>
        <v>63</v>
      </c>
      <c r="F8360" s="19" t="str">
        <f>IFERROR(__xludf.DUMMYFUNCTION("""COMPUTED_VALUE"""),"BLUE")</f>
        <v>BLUE</v>
      </c>
      <c r="G8360" s="20" t="str">
        <f>IFERROR(__xludf.DUMMYFUNCTION("""COMPUTED_VALUE"""),"Uncle Sams Cider (04/04/2023)")</f>
        <v>Uncle Sams Cider (04/04/2023)</v>
      </c>
      <c r="H8360" s="19"/>
    </row>
    <row r="8361">
      <c r="A8361" s="9"/>
      <c r="B8361" s="15"/>
      <c r="C8361" s="9">
        <f>IFERROR(__xludf.DUMMYFUNCTION("""COMPUTED_VALUE"""),45056.4626395138)</f>
        <v>45056.46264</v>
      </c>
      <c r="D8361" s="15">
        <f>IFERROR(__xludf.DUMMYFUNCTION("""COMPUTED_VALUE"""),1.018)</f>
        <v>1.018</v>
      </c>
      <c r="E8361" s="16">
        <f>IFERROR(__xludf.DUMMYFUNCTION("""COMPUTED_VALUE"""),63.0)</f>
        <v>63</v>
      </c>
      <c r="F8361" s="19" t="str">
        <f>IFERROR(__xludf.DUMMYFUNCTION("""COMPUTED_VALUE"""),"BLUE")</f>
        <v>BLUE</v>
      </c>
      <c r="G8361" s="20" t="str">
        <f>IFERROR(__xludf.DUMMYFUNCTION("""COMPUTED_VALUE"""),"Uncle Sams Cider (04/04/2023)")</f>
        <v>Uncle Sams Cider (04/04/2023)</v>
      </c>
      <c r="H8361" s="19"/>
    </row>
    <row r="8362">
      <c r="A8362" s="9"/>
      <c r="B8362" s="15"/>
      <c r="C8362" s="9">
        <f>IFERROR(__xludf.DUMMYFUNCTION("""COMPUTED_VALUE"""),45056.4522187152)</f>
        <v>45056.45222</v>
      </c>
      <c r="D8362" s="15">
        <f>IFERROR(__xludf.DUMMYFUNCTION("""COMPUTED_VALUE"""),1.018)</f>
        <v>1.018</v>
      </c>
      <c r="E8362" s="16">
        <f>IFERROR(__xludf.DUMMYFUNCTION("""COMPUTED_VALUE"""),63.0)</f>
        <v>63</v>
      </c>
      <c r="F8362" s="19" t="str">
        <f>IFERROR(__xludf.DUMMYFUNCTION("""COMPUTED_VALUE"""),"BLUE")</f>
        <v>BLUE</v>
      </c>
      <c r="G8362" s="20" t="str">
        <f>IFERROR(__xludf.DUMMYFUNCTION("""COMPUTED_VALUE"""),"Uncle Sams Cider (04/04/2023)")</f>
        <v>Uncle Sams Cider (04/04/2023)</v>
      </c>
      <c r="H8362" s="19"/>
    </row>
    <row r="8363">
      <c r="A8363" s="9"/>
      <c r="B8363" s="15"/>
      <c r="C8363" s="9">
        <f>IFERROR(__xludf.DUMMYFUNCTION("""COMPUTED_VALUE"""),45056.4417967939)</f>
        <v>45056.4418</v>
      </c>
      <c r="D8363" s="15">
        <f>IFERROR(__xludf.DUMMYFUNCTION("""COMPUTED_VALUE"""),1.018)</f>
        <v>1.018</v>
      </c>
      <c r="E8363" s="16">
        <f>IFERROR(__xludf.DUMMYFUNCTION("""COMPUTED_VALUE"""),63.0)</f>
        <v>63</v>
      </c>
      <c r="F8363" s="19" t="str">
        <f>IFERROR(__xludf.DUMMYFUNCTION("""COMPUTED_VALUE"""),"BLUE")</f>
        <v>BLUE</v>
      </c>
      <c r="G8363" s="20" t="str">
        <f>IFERROR(__xludf.DUMMYFUNCTION("""COMPUTED_VALUE"""),"Uncle Sams Cider (04/04/2023)")</f>
        <v>Uncle Sams Cider (04/04/2023)</v>
      </c>
      <c r="H8363" s="19"/>
    </row>
    <row r="8364">
      <c r="A8364" s="9"/>
      <c r="B8364" s="15"/>
      <c r="C8364" s="9">
        <f>IFERROR(__xludf.DUMMYFUNCTION("""COMPUTED_VALUE"""),45056.431363368)</f>
        <v>45056.43136</v>
      </c>
      <c r="D8364" s="15">
        <f>IFERROR(__xludf.DUMMYFUNCTION("""COMPUTED_VALUE"""),1.018)</f>
        <v>1.018</v>
      </c>
      <c r="E8364" s="16">
        <f>IFERROR(__xludf.DUMMYFUNCTION("""COMPUTED_VALUE"""),63.0)</f>
        <v>63</v>
      </c>
      <c r="F8364" s="19" t="str">
        <f>IFERROR(__xludf.DUMMYFUNCTION("""COMPUTED_VALUE"""),"BLUE")</f>
        <v>BLUE</v>
      </c>
      <c r="G8364" s="20" t="str">
        <f>IFERROR(__xludf.DUMMYFUNCTION("""COMPUTED_VALUE"""),"Uncle Sams Cider (04/04/2023)")</f>
        <v>Uncle Sams Cider (04/04/2023)</v>
      </c>
      <c r="H8364" s="19"/>
    </row>
    <row r="8365">
      <c r="A8365" s="9"/>
      <c r="B8365" s="15"/>
      <c r="C8365" s="9">
        <f>IFERROR(__xludf.DUMMYFUNCTION("""COMPUTED_VALUE"""),45056.4209438773)</f>
        <v>45056.42094</v>
      </c>
      <c r="D8365" s="15">
        <f>IFERROR(__xludf.DUMMYFUNCTION("""COMPUTED_VALUE"""),1.019)</f>
        <v>1.019</v>
      </c>
      <c r="E8365" s="16">
        <f>IFERROR(__xludf.DUMMYFUNCTION("""COMPUTED_VALUE"""),63.0)</f>
        <v>63</v>
      </c>
      <c r="F8365" s="19" t="str">
        <f>IFERROR(__xludf.DUMMYFUNCTION("""COMPUTED_VALUE"""),"BLUE")</f>
        <v>BLUE</v>
      </c>
      <c r="G8365" s="20" t="str">
        <f>IFERROR(__xludf.DUMMYFUNCTION("""COMPUTED_VALUE"""),"Uncle Sams Cider (04/04/2023)")</f>
        <v>Uncle Sams Cider (04/04/2023)</v>
      </c>
      <c r="H8365" s="19"/>
    </row>
    <row r="8366">
      <c r="A8366" s="9"/>
      <c r="B8366" s="15"/>
      <c r="C8366" s="9">
        <f>IFERROR(__xludf.DUMMYFUNCTION("""COMPUTED_VALUE"""),45056.4105231828)</f>
        <v>45056.41052</v>
      </c>
      <c r="D8366" s="15">
        <f>IFERROR(__xludf.DUMMYFUNCTION("""COMPUTED_VALUE"""),1.018)</f>
        <v>1.018</v>
      </c>
      <c r="E8366" s="16">
        <f>IFERROR(__xludf.DUMMYFUNCTION("""COMPUTED_VALUE"""),63.0)</f>
        <v>63</v>
      </c>
      <c r="F8366" s="19" t="str">
        <f>IFERROR(__xludf.DUMMYFUNCTION("""COMPUTED_VALUE"""),"BLUE")</f>
        <v>BLUE</v>
      </c>
      <c r="G8366" s="20" t="str">
        <f>IFERROR(__xludf.DUMMYFUNCTION("""COMPUTED_VALUE"""),"Uncle Sams Cider (04/04/2023)")</f>
        <v>Uncle Sams Cider (04/04/2023)</v>
      </c>
      <c r="H8366" s="19"/>
    </row>
    <row r="8367">
      <c r="A8367" s="9"/>
      <c r="B8367" s="15"/>
      <c r="C8367" s="9">
        <f>IFERROR(__xludf.DUMMYFUNCTION("""COMPUTED_VALUE"""),45056.400100868)</f>
        <v>45056.4001</v>
      </c>
      <c r="D8367" s="15">
        <f>IFERROR(__xludf.DUMMYFUNCTION("""COMPUTED_VALUE"""),1.018)</f>
        <v>1.018</v>
      </c>
      <c r="E8367" s="16">
        <f>IFERROR(__xludf.DUMMYFUNCTION("""COMPUTED_VALUE"""),63.0)</f>
        <v>63</v>
      </c>
      <c r="F8367" s="19" t="str">
        <f>IFERROR(__xludf.DUMMYFUNCTION("""COMPUTED_VALUE"""),"BLUE")</f>
        <v>BLUE</v>
      </c>
      <c r="G8367" s="20" t="str">
        <f>IFERROR(__xludf.DUMMYFUNCTION("""COMPUTED_VALUE"""),"Uncle Sams Cider (04/04/2023)")</f>
        <v>Uncle Sams Cider (04/04/2023)</v>
      </c>
      <c r="H8367" s="19"/>
    </row>
    <row r="8368">
      <c r="A8368" s="9"/>
      <c r="B8368" s="15"/>
      <c r="C8368" s="9">
        <f>IFERROR(__xludf.DUMMYFUNCTION("""COMPUTED_VALUE"""),45056.3896804513)</f>
        <v>45056.38968</v>
      </c>
      <c r="D8368" s="15">
        <f>IFERROR(__xludf.DUMMYFUNCTION("""COMPUTED_VALUE"""),1.019)</f>
        <v>1.019</v>
      </c>
      <c r="E8368" s="16">
        <f>IFERROR(__xludf.DUMMYFUNCTION("""COMPUTED_VALUE"""),63.0)</f>
        <v>63</v>
      </c>
      <c r="F8368" s="19" t="str">
        <f>IFERROR(__xludf.DUMMYFUNCTION("""COMPUTED_VALUE"""),"BLUE")</f>
        <v>BLUE</v>
      </c>
      <c r="G8368" s="20" t="str">
        <f>IFERROR(__xludf.DUMMYFUNCTION("""COMPUTED_VALUE"""),"Uncle Sams Cider (04/04/2023)")</f>
        <v>Uncle Sams Cider (04/04/2023)</v>
      </c>
      <c r="H8368" s="19"/>
    </row>
    <row r="8369">
      <c r="A8369" s="9"/>
      <c r="B8369" s="15"/>
      <c r="C8369" s="9">
        <f>IFERROR(__xludf.DUMMYFUNCTION("""COMPUTED_VALUE"""),45056.3792604861)</f>
        <v>45056.37926</v>
      </c>
      <c r="D8369" s="15">
        <f>IFERROR(__xludf.DUMMYFUNCTION("""COMPUTED_VALUE"""),1.018)</f>
        <v>1.018</v>
      </c>
      <c r="E8369" s="16">
        <f>IFERROR(__xludf.DUMMYFUNCTION("""COMPUTED_VALUE"""),63.0)</f>
        <v>63</v>
      </c>
      <c r="F8369" s="19" t="str">
        <f>IFERROR(__xludf.DUMMYFUNCTION("""COMPUTED_VALUE"""),"BLUE")</f>
        <v>BLUE</v>
      </c>
      <c r="G8369" s="20" t="str">
        <f>IFERROR(__xludf.DUMMYFUNCTION("""COMPUTED_VALUE"""),"Uncle Sams Cider (04/04/2023)")</f>
        <v>Uncle Sams Cider (04/04/2023)</v>
      </c>
      <c r="H8369" s="19"/>
    </row>
    <row r="8370">
      <c r="A8370" s="9"/>
      <c r="B8370" s="15"/>
      <c r="C8370" s="9">
        <f>IFERROR(__xludf.DUMMYFUNCTION("""COMPUTED_VALUE"""),45056.368837662)</f>
        <v>45056.36884</v>
      </c>
      <c r="D8370" s="15">
        <f>IFERROR(__xludf.DUMMYFUNCTION("""COMPUTED_VALUE"""),1.019)</f>
        <v>1.019</v>
      </c>
      <c r="E8370" s="16">
        <f>IFERROR(__xludf.DUMMYFUNCTION("""COMPUTED_VALUE"""),63.0)</f>
        <v>63</v>
      </c>
      <c r="F8370" s="19" t="str">
        <f>IFERROR(__xludf.DUMMYFUNCTION("""COMPUTED_VALUE"""),"BLUE")</f>
        <v>BLUE</v>
      </c>
      <c r="G8370" s="20" t="str">
        <f>IFERROR(__xludf.DUMMYFUNCTION("""COMPUTED_VALUE"""),"Uncle Sams Cider (04/04/2023)")</f>
        <v>Uncle Sams Cider (04/04/2023)</v>
      </c>
      <c r="H8370" s="19"/>
    </row>
    <row r="8371">
      <c r="A8371" s="9"/>
      <c r="B8371" s="15"/>
      <c r="C8371" s="9">
        <f>IFERROR(__xludf.DUMMYFUNCTION("""COMPUTED_VALUE"""),45056.358415706)</f>
        <v>45056.35842</v>
      </c>
      <c r="D8371" s="15">
        <f>IFERROR(__xludf.DUMMYFUNCTION("""COMPUTED_VALUE"""),1.018)</f>
        <v>1.018</v>
      </c>
      <c r="E8371" s="16">
        <f>IFERROR(__xludf.DUMMYFUNCTION("""COMPUTED_VALUE"""),63.0)</f>
        <v>63</v>
      </c>
      <c r="F8371" s="19" t="str">
        <f>IFERROR(__xludf.DUMMYFUNCTION("""COMPUTED_VALUE"""),"BLUE")</f>
        <v>BLUE</v>
      </c>
      <c r="G8371" s="20" t="str">
        <f>IFERROR(__xludf.DUMMYFUNCTION("""COMPUTED_VALUE"""),"Uncle Sams Cider (04/04/2023)")</f>
        <v>Uncle Sams Cider (04/04/2023)</v>
      </c>
      <c r="H8371" s="19"/>
    </row>
    <row r="8372">
      <c r="A8372" s="9"/>
      <c r="B8372" s="15"/>
      <c r="C8372" s="9">
        <f>IFERROR(__xludf.DUMMYFUNCTION("""COMPUTED_VALUE"""),45056.3479948148)</f>
        <v>45056.34799</v>
      </c>
      <c r="D8372" s="15">
        <f>IFERROR(__xludf.DUMMYFUNCTION("""COMPUTED_VALUE"""),1.019)</f>
        <v>1.019</v>
      </c>
      <c r="E8372" s="16">
        <f>IFERROR(__xludf.DUMMYFUNCTION("""COMPUTED_VALUE"""),63.0)</f>
        <v>63</v>
      </c>
      <c r="F8372" s="19" t="str">
        <f>IFERROR(__xludf.DUMMYFUNCTION("""COMPUTED_VALUE"""),"BLUE")</f>
        <v>BLUE</v>
      </c>
      <c r="G8372" s="20" t="str">
        <f>IFERROR(__xludf.DUMMYFUNCTION("""COMPUTED_VALUE"""),"Uncle Sams Cider (04/04/2023)")</f>
        <v>Uncle Sams Cider (04/04/2023)</v>
      </c>
      <c r="H8372" s="19"/>
    </row>
    <row r="8373">
      <c r="A8373" s="9"/>
      <c r="B8373" s="15"/>
      <c r="C8373" s="9">
        <f>IFERROR(__xludf.DUMMYFUNCTION("""COMPUTED_VALUE"""),45056.3375743865)</f>
        <v>45056.33757</v>
      </c>
      <c r="D8373" s="15">
        <f>IFERROR(__xludf.DUMMYFUNCTION("""COMPUTED_VALUE"""),1.018)</f>
        <v>1.018</v>
      </c>
      <c r="E8373" s="16">
        <f>IFERROR(__xludf.DUMMYFUNCTION("""COMPUTED_VALUE"""),63.0)</f>
        <v>63</v>
      </c>
      <c r="F8373" s="19" t="str">
        <f>IFERROR(__xludf.DUMMYFUNCTION("""COMPUTED_VALUE"""),"BLUE")</f>
        <v>BLUE</v>
      </c>
      <c r="G8373" s="20" t="str">
        <f>IFERROR(__xludf.DUMMYFUNCTION("""COMPUTED_VALUE"""),"Uncle Sams Cider (04/04/2023)")</f>
        <v>Uncle Sams Cider (04/04/2023)</v>
      </c>
      <c r="H8373" s="19"/>
    </row>
    <row r="8374">
      <c r="A8374" s="9"/>
      <c r="B8374" s="15"/>
      <c r="C8374" s="9">
        <f>IFERROR(__xludf.DUMMYFUNCTION("""COMPUTED_VALUE"""),45056.3271544097)</f>
        <v>45056.32715</v>
      </c>
      <c r="D8374" s="15">
        <f>IFERROR(__xludf.DUMMYFUNCTION("""COMPUTED_VALUE"""),1.018)</f>
        <v>1.018</v>
      </c>
      <c r="E8374" s="16">
        <f>IFERROR(__xludf.DUMMYFUNCTION("""COMPUTED_VALUE"""),63.0)</f>
        <v>63</v>
      </c>
      <c r="F8374" s="19" t="str">
        <f>IFERROR(__xludf.DUMMYFUNCTION("""COMPUTED_VALUE"""),"BLUE")</f>
        <v>BLUE</v>
      </c>
      <c r="G8374" s="20" t="str">
        <f>IFERROR(__xludf.DUMMYFUNCTION("""COMPUTED_VALUE"""),"Uncle Sams Cider (04/04/2023)")</f>
        <v>Uncle Sams Cider (04/04/2023)</v>
      </c>
      <c r="H8374" s="19"/>
    </row>
    <row r="8375">
      <c r="A8375" s="9"/>
      <c r="B8375" s="15"/>
      <c r="C8375" s="9">
        <f>IFERROR(__xludf.DUMMYFUNCTION("""COMPUTED_VALUE"""),45056.3167335763)</f>
        <v>45056.31673</v>
      </c>
      <c r="D8375" s="15">
        <f>IFERROR(__xludf.DUMMYFUNCTION("""COMPUTED_VALUE"""),1.019)</f>
        <v>1.019</v>
      </c>
      <c r="E8375" s="16">
        <f>IFERROR(__xludf.DUMMYFUNCTION("""COMPUTED_VALUE"""),63.0)</f>
        <v>63</v>
      </c>
      <c r="F8375" s="19" t="str">
        <f>IFERROR(__xludf.DUMMYFUNCTION("""COMPUTED_VALUE"""),"BLUE")</f>
        <v>BLUE</v>
      </c>
      <c r="G8375" s="20" t="str">
        <f>IFERROR(__xludf.DUMMYFUNCTION("""COMPUTED_VALUE"""),"Uncle Sams Cider (04/04/2023)")</f>
        <v>Uncle Sams Cider (04/04/2023)</v>
      </c>
      <c r="H8375" s="19"/>
    </row>
    <row r="8376">
      <c r="A8376" s="9"/>
      <c r="B8376" s="15"/>
      <c r="C8376" s="9">
        <f>IFERROR(__xludf.DUMMYFUNCTION("""COMPUTED_VALUE"""),45056.3063107523)</f>
        <v>45056.30631</v>
      </c>
      <c r="D8376" s="15">
        <f>IFERROR(__xludf.DUMMYFUNCTION("""COMPUTED_VALUE"""),1.019)</f>
        <v>1.019</v>
      </c>
      <c r="E8376" s="16">
        <f>IFERROR(__xludf.DUMMYFUNCTION("""COMPUTED_VALUE"""),63.0)</f>
        <v>63</v>
      </c>
      <c r="F8376" s="19" t="str">
        <f>IFERROR(__xludf.DUMMYFUNCTION("""COMPUTED_VALUE"""),"BLUE")</f>
        <v>BLUE</v>
      </c>
      <c r="G8376" s="20" t="str">
        <f>IFERROR(__xludf.DUMMYFUNCTION("""COMPUTED_VALUE"""),"Uncle Sams Cider (04/04/2023)")</f>
        <v>Uncle Sams Cider (04/04/2023)</v>
      </c>
      <c r="H8376" s="19"/>
    </row>
    <row r="8377">
      <c r="A8377" s="9"/>
      <c r="B8377" s="15"/>
      <c r="C8377" s="9">
        <f>IFERROR(__xludf.DUMMYFUNCTION("""COMPUTED_VALUE"""),45056.295877824)</f>
        <v>45056.29588</v>
      </c>
      <c r="D8377" s="15">
        <f>IFERROR(__xludf.DUMMYFUNCTION("""COMPUTED_VALUE"""),1.019)</f>
        <v>1.019</v>
      </c>
      <c r="E8377" s="16">
        <f>IFERROR(__xludf.DUMMYFUNCTION("""COMPUTED_VALUE"""),63.0)</f>
        <v>63</v>
      </c>
      <c r="F8377" s="19" t="str">
        <f>IFERROR(__xludf.DUMMYFUNCTION("""COMPUTED_VALUE"""),"BLUE")</f>
        <v>BLUE</v>
      </c>
      <c r="G8377" s="20" t="str">
        <f>IFERROR(__xludf.DUMMYFUNCTION("""COMPUTED_VALUE"""),"Uncle Sams Cider (04/04/2023)")</f>
        <v>Uncle Sams Cider (04/04/2023)</v>
      </c>
      <c r="H8377" s="19"/>
    </row>
    <row r="8378">
      <c r="A8378" s="9"/>
      <c r="B8378" s="15"/>
      <c r="C8378" s="9">
        <f>IFERROR(__xludf.DUMMYFUNCTION("""COMPUTED_VALUE"""),45056.2854563425)</f>
        <v>45056.28546</v>
      </c>
      <c r="D8378" s="15">
        <f>IFERROR(__xludf.DUMMYFUNCTION("""COMPUTED_VALUE"""),1.019)</f>
        <v>1.019</v>
      </c>
      <c r="E8378" s="16">
        <f>IFERROR(__xludf.DUMMYFUNCTION("""COMPUTED_VALUE"""),63.0)</f>
        <v>63</v>
      </c>
      <c r="F8378" s="19" t="str">
        <f>IFERROR(__xludf.DUMMYFUNCTION("""COMPUTED_VALUE"""),"BLUE")</f>
        <v>BLUE</v>
      </c>
      <c r="G8378" s="20" t="str">
        <f>IFERROR(__xludf.DUMMYFUNCTION("""COMPUTED_VALUE"""),"Uncle Sams Cider (04/04/2023)")</f>
        <v>Uncle Sams Cider (04/04/2023)</v>
      </c>
      <c r="H8378" s="19"/>
    </row>
    <row r="8379">
      <c r="A8379" s="9"/>
      <c r="B8379" s="15"/>
      <c r="C8379" s="9">
        <f>IFERROR(__xludf.DUMMYFUNCTION("""COMPUTED_VALUE"""),45056.2750347801)</f>
        <v>45056.27503</v>
      </c>
      <c r="D8379" s="15">
        <f>IFERROR(__xludf.DUMMYFUNCTION("""COMPUTED_VALUE"""),1.019)</f>
        <v>1.019</v>
      </c>
      <c r="E8379" s="16">
        <f>IFERROR(__xludf.DUMMYFUNCTION("""COMPUTED_VALUE"""),63.0)</f>
        <v>63</v>
      </c>
      <c r="F8379" s="19" t="str">
        <f>IFERROR(__xludf.DUMMYFUNCTION("""COMPUTED_VALUE"""),"BLUE")</f>
        <v>BLUE</v>
      </c>
      <c r="G8379" s="20" t="str">
        <f>IFERROR(__xludf.DUMMYFUNCTION("""COMPUTED_VALUE"""),"Uncle Sams Cider (04/04/2023)")</f>
        <v>Uncle Sams Cider (04/04/2023)</v>
      </c>
      <c r="H8379" s="19"/>
    </row>
    <row r="8380">
      <c r="A8380" s="9"/>
      <c r="B8380" s="15"/>
      <c r="C8380" s="9">
        <f>IFERROR(__xludf.DUMMYFUNCTION("""COMPUTED_VALUE"""),45056.2646125)</f>
        <v>45056.26461</v>
      </c>
      <c r="D8380" s="15">
        <f>IFERROR(__xludf.DUMMYFUNCTION("""COMPUTED_VALUE"""),1.019)</f>
        <v>1.019</v>
      </c>
      <c r="E8380" s="16">
        <f>IFERROR(__xludf.DUMMYFUNCTION("""COMPUTED_VALUE"""),63.0)</f>
        <v>63</v>
      </c>
      <c r="F8380" s="19" t="str">
        <f>IFERROR(__xludf.DUMMYFUNCTION("""COMPUTED_VALUE"""),"BLUE")</f>
        <v>BLUE</v>
      </c>
      <c r="G8380" s="20" t="str">
        <f>IFERROR(__xludf.DUMMYFUNCTION("""COMPUTED_VALUE"""),"Uncle Sams Cider (04/04/2023)")</f>
        <v>Uncle Sams Cider (04/04/2023)</v>
      </c>
      <c r="H8380" s="19"/>
    </row>
    <row r="8381">
      <c r="A8381" s="9"/>
      <c r="B8381" s="15"/>
      <c r="C8381" s="9">
        <f>IFERROR(__xludf.DUMMYFUNCTION("""COMPUTED_VALUE"""),45056.2541908912)</f>
        <v>45056.25419</v>
      </c>
      <c r="D8381" s="15">
        <f>IFERROR(__xludf.DUMMYFUNCTION("""COMPUTED_VALUE"""),1.019)</f>
        <v>1.019</v>
      </c>
      <c r="E8381" s="16">
        <f>IFERROR(__xludf.DUMMYFUNCTION("""COMPUTED_VALUE"""),63.0)</f>
        <v>63</v>
      </c>
      <c r="F8381" s="19" t="str">
        <f>IFERROR(__xludf.DUMMYFUNCTION("""COMPUTED_VALUE"""),"BLUE")</f>
        <v>BLUE</v>
      </c>
      <c r="G8381" s="20" t="str">
        <f>IFERROR(__xludf.DUMMYFUNCTION("""COMPUTED_VALUE"""),"Uncle Sams Cider (04/04/2023)")</f>
        <v>Uncle Sams Cider (04/04/2023)</v>
      </c>
      <c r="H8381" s="19"/>
    </row>
    <row r="8382">
      <c r="A8382" s="9"/>
      <c r="B8382" s="15"/>
      <c r="C8382" s="9">
        <f>IFERROR(__xludf.DUMMYFUNCTION("""COMPUTED_VALUE"""),45056.2437686226)</f>
        <v>45056.24377</v>
      </c>
      <c r="D8382" s="15">
        <f>IFERROR(__xludf.DUMMYFUNCTION("""COMPUTED_VALUE"""),1.019)</f>
        <v>1.019</v>
      </c>
      <c r="E8382" s="16">
        <f>IFERROR(__xludf.DUMMYFUNCTION("""COMPUTED_VALUE"""),63.0)</f>
        <v>63</v>
      </c>
      <c r="F8382" s="19" t="str">
        <f>IFERROR(__xludf.DUMMYFUNCTION("""COMPUTED_VALUE"""),"BLUE")</f>
        <v>BLUE</v>
      </c>
      <c r="G8382" s="20" t="str">
        <f>IFERROR(__xludf.DUMMYFUNCTION("""COMPUTED_VALUE"""),"Uncle Sams Cider (04/04/2023)")</f>
        <v>Uncle Sams Cider (04/04/2023)</v>
      </c>
      <c r="H8382" s="19"/>
    </row>
    <row r="8383">
      <c r="A8383" s="9"/>
      <c r="B8383" s="15"/>
      <c r="C8383" s="9">
        <f>IFERROR(__xludf.DUMMYFUNCTION("""COMPUTED_VALUE"""),45056.2333244328)</f>
        <v>45056.23332</v>
      </c>
      <c r="D8383" s="15">
        <f>IFERROR(__xludf.DUMMYFUNCTION("""COMPUTED_VALUE"""),1.019)</f>
        <v>1.019</v>
      </c>
      <c r="E8383" s="16">
        <f>IFERROR(__xludf.DUMMYFUNCTION("""COMPUTED_VALUE"""),63.0)</f>
        <v>63</v>
      </c>
      <c r="F8383" s="19" t="str">
        <f>IFERROR(__xludf.DUMMYFUNCTION("""COMPUTED_VALUE"""),"BLUE")</f>
        <v>BLUE</v>
      </c>
      <c r="G8383" s="20" t="str">
        <f>IFERROR(__xludf.DUMMYFUNCTION("""COMPUTED_VALUE"""),"Uncle Sams Cider (04/04/2023)")</f>
        <v>Uncle Sams Cider (04/04/2023)</v>
      </c>
      <c r="H8383" s="19"/>
    </row>
    <row r="8384">
      <c r="A8384" s="9"/>
      <c r="B8384" s="15"/>
      <c r="C8384" s="9">
        <f>IFERROR(__xludf.DUMMYFUNCTION("""COMPUTED_VALUE"""),45056.2228800578)</f>
        <v>45056.22288</v>
      </c>
      <c r="D8384" s="15">
        <f>IFERROR(__xludf.DUMMYFUNCTION("""COMPUTED_VALUE"""),1.019)</f>
        <v>1.019</v>
      </c>
      <c r="E8384" s="16">
        <f>IFERROR(__xludf.DUMMYFUNCTION("""COMPUTED_VALUE"""),63.0)</f>
        <v>63</v>
      </c>
      <c r="F8384" s="19" t="str">
        <f>IFERROR(__xludf.DUMMYFUNCTION("""COMPUTED_VALUE"""),"BLUE")</f>
        <v>BLUE</v>
      </c>
      <c r="G8384" s="20" t="str">
        <f>IFERROR(__xludf.DUMMYFUNCTION("""COMPUTED_VALUE"""),"Uncle Sams Cider (04/04/2023)")</f>
        <v>Uncle Sams Cider (04/04/2023)</v>
      </c>
      <c r="H8384" s="19"/>
    </row>
    <row r="8385">
      <c r="A8385" s="9"/>
      <c r="B8385" s="15"/>
      <c r="C8385" s="9">
        <f>IFERROR(__xludf.DUMMYFUNCTION("""COMPUTED_VALUE"""),45056.2124583912)</f>
        <v>45056.21246</v>
      </c>
      <c r="D8385" s="15">
        <f>IFERROR(__xludf.DUMMYFUNCTION("""COMPUTED_VALUE"""),1.019)</f>
        <v>1.019</v>
      </c>
      <c r="E8385" s="16">
        <f>IFERROR(__xludf.DUMMYFUNCTION("""COMPUTED_VALUE"""),63.0)</f>
        <v>63</v>
      </c>
      <c r="F8385" s="19" t="str">
        <f>IFERROR(__xludf.DUMMYFUNCTION("""COMPUTED_VALUE"""),"BLUE")</f>
        <v>BLUE</v>
      </c>
      <c r="G8385" s="20" t="str">
        <f>IFERROR(__xludf.DUMMYFUNCTION("""COMPUTED_VALUE"""),"Uncle Sams Cider (04/04/2023)")</f>
        <v>Uncle Sams Cider (04/04/2023)</v>
      </c>
      <c r="H8385" s="19"/>
    </row>
    <row r="8386">
      <c r="A8386" s="9"/>
      <c r="B8386" s="15"/>
      <c r="C8386" s="9">
        <f>IFERROR(__xludf.DUMMYFUNCTION("""COMPUTED_VALUE"""),45056.2020259722)</f>
        <v>45056.20203</v>
      </c>
      <c r="D8386" s="15">
        <f>IFERROR(__xludf.DUMMYFUNCTION("""COMPUTED_VALUE"""),1.019)</f>
        <v>1.019</v>
      </c>
      <c r="E8386" s="16">
        <f>IFERROR(__xludf.DUMMYFUNCTION("""COMPUTED_VALUE"""),63.0)</f>
        <v>63</v>
      </c>
      <c r="F8386" s="19" t="str">
        <f>IFERROR(__xludf.DUMMYFUNCTION("""COMPUTED_VALUE"""),"BLUE")</f>
        <v>BLUE</v>
      </c>
      <c r="G8386" s="20" t="str">
        <f>IFERROR(__xludf.DUMMYFUNCTION("""COMPUTED_VALUE"""),"Uncle Sams Cider (04/04/2023)")</f>
        <v>Uncle Sams Cider (04/04/2023)</v>
      </c>
      <c r="H8386" s="19"/>
    </row>
    <row r="8387">
      <c r="A8387" s="9"/>
      <c r="B8387" s="15"/>
      <c r="C8387" s="9">
        <f>IFERROR(__xludf.DUMMYFUNCTION("""COMPUTED_VALUE"""),45056.1916049074)</f>
        <v>45056.1916</v>
      </c>
      <c r="D8387" s="15">
        <f>IFERROR(__xludf.DUMMYFUNCTION("""COMPUTED_VALUE"""),1.019)</f>
        <v>1.019</v>
      </c>
      <c r="E8387" s="16">
        <f>IFERROR(__xludf.DUMMYFUNCTION("""COMPUTED_VALUE"""),63.0)</f>
        <v>63</v>
      </c>
      <c r="F8387" s="19" t="str">
        <f>IFERROR(__xludf.DUMMYFUNCTION("""COMPUTED_VALUE"""),"BLUE")</f>
        <v>BLUE</v>
      </c>
      <c r="G8387" s="20" t="str">
        <f>IFERROR(__xludf.DUMMYFUNCTION("""COMPUTED_VALUE"""),"Uncle Sams Cider (04/04/2023)")</f>
        <v>Uncle Sams Cider (04/04/2023)</v>
      </c>
      <c r="H8387" s="19"/>
    </row>
    <row r="8388">
      <c r="A8388" s="9"/>
      <c r="B8388" s="15"/>
      <c r="C8388" s="9">
        <f>IFERROR(__xludf.DUMMYFUNCTION("""COMPUTED_VALUE"""),45056.1811836574)</f>
        <v>45056.18118</v>
      </c>
      <c r="D8388" s="15">
        <f>IFERROR(__xludf.DUMMYFUNCTION("""COMPUTED_VALUE"""),1.019)</f>
        <v>1.019</v>
      </c>
      <c r="E8388" s="16">
        <f>IFERROR(__xludf.DUMMYFUNCTION("""COMPUTED_VALUE"""),63.0)</f>
        <v>63</v>
      </c>
      <c r="F8388" s="19" t="str">
        <f>IFERROR(__xludf.DUMMYFUNCTION("""COMPUTED_VALUE"""),"BLUE")</f>
        <v>BLUE</v>
      </c>
      <c r="G8388" s="20" t="str">
        <f>IFERROR(__xludf.DUMMYFUNCTION("""COMPUTED_VALUE"""),"Uncle Sams Cider (04/04/2023)")</f>
        <v>Uncle Sams Cider (04/04/2023)</v>
      </c>
      <c r="H8388" s="19"/>
    </row>
    <row r="8389">
      <c r="A8389" s="9"/>
      <c r="B8389" s="15"/>
      <c r="C8389" s="9">
        <f>IFERROR(__xludf.DUMMYFUNCTION("""COMPUTED_VALUE"""),45056.1707634722)</f>
        <v>45056.17076</v>
      </c>
      <c r="D8389" s="15">
        <f>IFERROR(__xludf.DUMMYFUNCTION("""COMPUTED_VALUE"""),1.019)</f>
        <v>1.019</v>
      </c>
      <c r="E8389" s="16">
        <f>IFERROR(__xludf.DUMMYFUNCTION("""COMPUTED_VALUE"""),63.0)</f>
        <v>63</v>
      </c>
      <c r="F8389" s="19" t="str">
        <f>IFERROR(__xludf.DUMMYFUNCTION("""COMPUTED_VALUE"""),"BLUE")</f>
        <v>BLUE</v>
      </c>
      <c r="G8389" s="20" t="str">
        <f>IFERROR(__xludf.DUMMYFUNCTION("""COMPUTED_VALUE"""),"Uncle Sams Cider (04/04/2023)")</f>
        <v>Uncle Sams Cider (04/04/2023)</v>
      </c>
      <c r="H8389" s="19"/>
    </row>
    <row r="8390">
      <c r="A8390" s="9"/>
      <c r="B8390" s="15"/>
      <c r="C8390" s="9">
        <f>IFERROR(__xludf.DUMMYFUNCTION("""COMPUTED_VALUE"""),45056.1603311111)</f>
        <v>45056.16033</v>
      </c>
      <c r="D8390" s="15">
        <f>IFERROR(__xludf.DUMMYFUNCTION("""COMPUTED_VALUE"""),1.019)</f>
        <v>1.019</v>
      </c>
      <c r="E8390" s="16">
        <f>IFERROR(__xludf.DUMMYFUNCTION("""COMPUTED_VALUE"""),63.0)</f>
        <v>63</v>
      </c>
      <c r="F8390" s="19" t="str">
        <f>IFERROR(__xludf.DUMMYFUNCTION("""COMPUTED_VALUE"""),"BLUE")</f>
        <v>BLUE</v>
      </c>
      <c r="G8390" s="20" t="str">
        <f>IFERROR(__xludf.DUMMYFUNCTION("""COMPUTED_VALUE"""),"Uncle Sams Cider (04/04/2023)")</f>
        <v>Uncle Sams Cider (04/04/2023)</v>
      </c>
      <c r="H8390" s="19"/>
    </row>
    <row r="8391">
      <c r="A8391" s="9"/>
      <c r="B8391" s="15"/>
      <c r="C8391" s="9">
        <f>IFERROR(__xludf.DUMMYFUNCTION("""COMPUTED_VALUE"""),45056.1498875115)</f>
        <v>45056.14989</v>
      </c>
      <c r="D8391" s="15">
        <f>IFERROR(__xludf.DUMMYFUNCTION("""COMPUTED_VALUE"""),1.019)</f>
        <v>1.019</v>
      </c>
      <c r="E8391" s="16">
        <f>IFERROR(__xludf.DUMMYFUNCTION("""COMPUTED_VALUE"""),63.0)</f>
        <v>63</v>
      </c>
      <c r="F8391" s="19" t="str">
        <f>IFERROR(__xludf.DUMMYFUNCTION("""COMPUTED_VALUE"""),"BLUE")</f>
        <v>BLUE</v>
      </c>
      <c r="G8391" s="20" t="str">
        <f>IFERROR(__xludf.DUMMYFUNCTION("""COMPUTED_VALUE"""),"Uncle Sams Cider (04/04/2023)")</f>
        <v>Uncle Sams Cider (04/04/2023)</v>
      </c>
      <c r="H8391" s="19"/>
    </row>
    <row r="8392">
      <c r="A8392" s="9"/>
      <c r="B8392" s="15"/>
      <c r="C8392" s="9">
        <f>IFERROR(__xludf.DUMMYFUNCTION("""COMPUTED_VALUE"""),45056.1394655902)</f>
        <v>45056.13947</v>
      </c>
      <c r="D8392" s="15">
        <f>IFERROR(__xludf.DUMMYFUNCTION("""COMPUTED_VALUE"""),1.019)</f>
        <v>1.019</v>
      </c>
      <c r="E8392" s="16">
        <f>IFERROR(__xludf.DUMMYFUNCTION("""COMPUTED_VALUE"""),63.0)</f>
        <v>63</v>
      </c>
      <c r="F8392" s="19" t="str">
        <f>IFERROR(__xludf.DUMMYFUNCTION("""COMPUTED_VALUE"""),"BLUE")</f>
        <v>BLUE</v>
      </c>
      <c r="G8392" s="20" t="str">
        <f>IFERROR(__xludf.DUMMYFUNCTION("""COMPUTED_VALUE"""),"Uncle Sams Cider (04/04/2023)")</f>
        <v>Uncle Sams Cider (04/04/2023)</v>
      </c>
      <c r="H8392" s="19"/>
    </row>
    <row r="8393">
      <c r="A8393" s="9"/>
      <c r="B8393" s="15"/>
      <c r="C8393" s="9">
        <f>IFERROR(__xludf.DUMMYFUNCTION("""COMPUTED_VALUE"""),45056.129032662)</f>
        <v>45056.12903</v>
      </c>
      <c r="D8393" s="15">
        <f>IFERROR(__xludf.DUMMYFUNCTION("""COMPUTED_VALUE"""),1.019)</f>
        <v>1.019</v>
      </c>
      <c r="E8393" s="16">
        <f>IFERROR(__xludf.DUMMYFUNCTION("""COMPUTED_VALUE"""),63.0)</f>
        <v>63</v>
      </c>
      <c r="F8393" s="19" t="str">
        <f>IFERROR(__xludf.DUMMYFUNCTION("""COMPUTED_VALUE"""),"BLUE")</f>
        <v>BLUE</v>
      </c>
      <c r="G8393" s="20" t="str">
        <f>IFERROR(__xludf.DUMMYFUNCTION("""COMPUTED_VALUE"""),"Uncle Sams Cider (04/04/2023)")</f>
        <v>Uncle Sams Cider (04/04/2023)</v>
      </c>
      <c r="H8393" s="19"/>
    </row>
    <row r="8394">
      <c r="A8394" s="9"/>
      <c r="B8394" s="15"/>
      <c r="C8394" s="9">
        <f>IFERROR(__xludf.DUMMYFUNCTION("""COMPUTED_VALUE"""),45056.1186122222)</f>
        <v>45056.11861</v>
      </c>
      <c r="D8394" s="15">
        <f>IFERROR(__xludf.DUMMYFUNCTION("""COMPUTED_VALUE"""),1.019)</f>
        <v>1.019</v>
      </c>
      <c r="E8394" s="16">
        <f>IFERROR(__xludf.DUMMYFUNCTION("""COMPUTED_VALUE"""),63.0)</f>
        <v>63</v>
      </c>
      <c r="F8394" s="19" t="str">
        <f>IFERROR(__xludf.DUMMYFUNCTION("""COMPUTED_VALUE"""),"BLUE")</f>
        <v>BLUE</v>
      </c>
      <c r="G8394" s="20" t="str">
        <f>IFERROR(__xludf.DUMMYFUNCTION("""COMPUTED_VALUE"""),"Uncle Sams Cider (04/04/2023)")</f>
        <v>Uncle Sams Cider (04/04/2023)</v>
      </c>
      <c r="H8394" s="19"/>
    </row>
    <row r="8395">
      <c r="A8395" s="9"/>
      <c r="B8395" s="15"/>
      <c r="C8395" s="9">
        <f>IFERROR(__xludf.DUMMYFUNCTION("""COMPUTED_VALUE"""),45056.1081903356)</f>
        <v>45056.10819</v>
      </c>
      <c r="D8395" s="15">
        <f>IFERROR(__xludf.DUMMYFUNCTION("""COMPUTED_VALUE"""),1.019)</f>
        <v>1.019</v>
      </c>
      <c r="E8395" s="16">
        <f>IFERROR(__xludf.DUMMYFUNCTION("""COMPUTED_VALUE"""),63.0)</f>
        <v>63</v>
      </c>
      <c r="F8395" s="19" t="str">
        <f>IFERROR(__xludf.DUMMYFUNCTION("""COMPUTED_VALUE"""),"BLUE")</f>
        <v>BLUE</v>
      </c>
      <c r="G8395" s="20" t="str">
        <f>IFERROR(__xludf.DUMMYFUNCTION("""COMPUTED_VALUE"""),"Uncle Sams Cider (04/04/2023)")</f>
        <v>Uncle Sams Cider (04/04/2023)</v>
      </c>
      <c r="H8395" s="19"/>
    </row>
    <row r="8396">
      <c r="A8396" s="9"/>
      <c r="B8396" s="15"/>
      <c r="C8396" s="9">
        <f>IFERROR(__xludf.DUMMYFUNCTION("""COMPUTED_VALUE"""),45056.0977574189)</f>
        <v>45056.09776</v>
      </c>
      <c r="D8396" s="15">
        <f>IFERROR(__xludf.DUMMYFUNCTION("""COMPUTED_VALUE"""),1.019)</f>
        <v>1.019</v>
      </c>
      <c r="E8396" s="16">
        <f>IFERROR(__xludf.DUMMYFUNCTION("""COMPUTED_VALUE"""),63.0)</f>
        <v>63</v>
      </c>
      <c r="F8396" s="19" t="str">
        <f>IFERROR(__xludf.DUMMYFUNCTION("""COMPUTED_VALUE"""),"BLUE")</f>
        <v>BLUE</v>
      </c>
      <c r="G8396" s="20" t="str">
        <f>IFERROR(__xludf.DUMMYFUNCTION("""COMPUTED_VALUE"""),"Uncle Sams Cider (04/04/2023)")</f>
        <v>Uncle Sams Cider (04/04/2023)</v>
      </c>
      <c r="H8396" s="19"/>
    </row>
    <row r="8397">
      <c r="A8397" s="9"/>
      <c r="B8397" s="15"/>
      <c r="C8397" s="9">
        <f>IFERROR(__xludf.DUMMYFUNCTION("""COMPUTED_VALUE"""),45056.0873235532)</f>
        <v>45056.08732</v>
      </c>
      <c r="D8397" s="15">
        <f>IFERROR(__xludf.DUMMYFUNCTION("""COMPUTED_VALUE"""),1.019)</f>
        <v>1.019</v>
      </c>
      <c r="E8397" s="16">
        <f>IFERROR(__xludf.DUMMYFUNCTION("""COMPUTED_VALUE"""),63.0)</f>
        <v>63</v>
      </c>
      <c r="F8397" s="19" t="str">
        <f>IFERROR(__xludf.DUMMYFUNCTION("""COMPUTED_VALUE"""),"BLUE")</f>
        <v>BLUE</v>
      </c>
      <c r="G8397" s="20" t="str">
        <f>IFERROR(__xludf.DUMMYFUNCTION("""COMPUTED_VALUE"""),"Uncle Sams Cider (04/04/2023)")</f>
        <v>Uncle Sams Cider (04/04/2023)</v>
      </c>
      <c r="H8397" s="19"/>
    </row>
    <row r="8398">
      <c r="A8398" s="9"/>
      <c r="B8398" s="15"/>
      <c r="C8398" s="9">
        <f>IFERROR(__xludf.DUMMYFUNCTION("""COMPUTED_VALUE"""),45056.0768907754)</f>
        <v>45056.07689</v>
      </c>
      <c r="D8398" s="15">
        <f>IFERROR(__xludf.DUMMYFUNCTION("""COMPUTED_VALUE"""),1.019)</f>
        <v>1.019</v>
      </c>
      <c r="E8398" s="16">
        <f>IFERROR(__xludf.DUMMYFUNCTION("""COMPUTED_VALUE"""),63.0)</f>
        <v>63</v>
      </c>
      <c r="F8398" s="19" t="str">
        <f>IFERROR(__xludf.DUMMYFUNCTION("""COMPUTED_VALUE"""),"BLUE")</f>
        <v>BLUE</v>
      </c>
      <c r="G8398" s="20" t="str">
        <f>IFERROR(__xludf.DUMMYFUNCTION("""COMPUTED_VALUE"""),"Uncle Sams Cider (04/04/2023)")</f>
        <v>Uncle Sams Cider (04/04/2023)</v>
      </c>
      <c r="H8398" s="19"/>
    </row>
    <row r="8399">
      <c r="A8399" s="9"/>
      <c r="B8399" s="15"/>
      <c r="C8399" s="9">
        <f>IFERROR(__xludf.DUMMYFUNCTION("""COMPUTED_VALUE"""),45056.0664701388)</f>
        <v>45056.06647</v>
      </c>
      <c r="D8399" s="15">
        <f>IFERROR(__xludf.DUMMYFUNCTION("""COMPUTED_VALUE"""),1.019)</f>
        <v>1.019</v>
      </c>
      <c r="E8399" s="16">
        <f>IFERROR(__xludf.DUMMYFUNCTION("""COMPUTED_VALUE"""),63.0)</f>
        <v>63</v>
      </c>
      <c r="F8399" s="19" t="str">
        <f>IFERROR(__xludf.DUMMYFUNCTION("""COMPUTED_VALUE"""),"BLUE")</f>
        <v>BLUE</v>
      </c>
      <c r="G8399" s="20" t="str">
        <f>IFERROR(__xludf.DUMMYFUNCTION("""COMPUTED_VALUE"""),"Uncle Sams Cider (04/04/2023)")</f>
        <v>Uncle Sams Cider (04/04/2023)</v>
      </c>
      <c r="H8399" s="19"/>
    </row>
    <row r="8400">
      <c r="A8400" s="9"/>
      <c r="B8400" s="15"/>
      <c r="C8400" s="9">
        <f>IFERROR(__xludf.DUMMYFUNCTION("""COMPUTED_VALUE"""),45056.0456166898)</f>
        <v>45056.04562</v>
      </c>
      <c r="D8400" s="15">
        <f>IFERROR(__xludf.DUMMYFUNCTION("""COMPUTED_VALUE"""),1.019)</f>
        <v>1.019</v>
      </c>
      <c r="E8400" s="16">
        <f>IFERROR(__xludf.DUMMYFUNCTION("""COMPUTED_VALUE"""),63.0)</f>
        <v>63</v>
      </c>
      <c r="F8400" s="19" t="str">
        <f>IFERROR(__xludf.DUMMYFUNCTION("""COMPUTED_VALUE"""),"BLUE")</f>
        <v>BLUE</v>
      </c>
      <c r="G8400" s="20" t="str">
        <f>IFERROR(__xludf.DUMMYFUNCTION("""COMPUTED_VALUE"""),"Uncle Sams Cider (04/04/2023)")</f>
        <v>Uncle Sams Cider (04/04/2023)</v>
      </c>
      <c r="H8400" s="19"/>
    </row>
    <row r="8401">
      <c r="A8401" s="9"/>
      <c r="B8401" s="15"/>
      <c r="C8401" s="9">
        <f>IFERROR(__xludf.DUMMYFUNCTION("""COMPUTED_VALUE"""),45056.0351828472)</f>
        <v>45056.03518</v>
      </c>
      <c r="D8401" s="15">
        <f>IFERROR(__xludf.DUMMYFUNCTION("""COMPUTED_VALUE"""),1.019)</f>
        <v>1.019</v>
      </c>
      <c r="E8401" s="16">
        <f>IFERROR(__xludf.DUMMYFUNCTION("""COMPUTED_VALUE"""),63.0)</f>
        <v>63</v>
      </c>
      <c r="F8401" s="19" t="str">
        <f>IFERROR(__xludf.DUMMYFUNCTION("""COMPUTED_VALUE"""),"BLUE")</f>
        <v>BLUE</v>
      </c>
      <c r="G8401" s="20" t="str">
        <f>IFERROR(__xludf.DUMMYFUNCTION("""COMPUTED_VALUE"""),"Uncle Sams Cider (04/04/2023)")</f>
        <v>Uncle Sams Cider (04/04/2023)</v>
      </c>
      <c r="H8401" s="19"/>
    </row>
    <row r="8402">
      <c r="A8402" s="9"/>
      <c r="B8402" s="15"/>
      <c r="C8402" s="9">
        <f>IFERROR(__xludf.DUMMYFUNCTION("""COMPUTED_VALUE"""),45056.0143391898)</f>
        <v>45056.01434</v>
      </c>
      <c r="D8402" s="15">
        <f>IFERROR(__xludf.DUMMYFUNCTION("""COMPUTED_VALUE"""),1.019)</f>
        <v>1.019</v>
      </c>
      <c r="E8402" s="16">
        <f>IFERROR(__xludf.DUMMYFUNCTION("""COMPUTED_VALUE"""),63.0)</f>
        <v>63</v>
      </c>
      <c r="F8402" s="19" t="str">
        <f>IFERROR(__xludf.DUMMYFUNCTION("""COMPUTED_VALUE"""),"BLUE")</f>
        <v>BLUE</v>
      </c>
      <c r="G8402" s="20" t="str">
        <f>IFERROR(__xludf.DUMMYFUNCTION("""COMPUTED_VALUE"""),"Uncle Sams Cider (04/04/2023)")</f>
        <v>Uncle Sams Cider (04/04/2023)</v>
      </c>
      <c r="H8402" s="19"/>
    </row>
    <row r="8403">
      <c r="A8403" s="9"/>
      <c r="B8403" s="15"/>
      <c r="C8403" s="9">
        <f>IFERROR(__xludf.DUMMYFUNCTION("""COMPUTED_VALUE"""),45056.0039194097)</f>
        <v>45056.00392</v>
      </c>
      <c r="D8403" s="15">
        <f>IFERROR(__xludf.DUMMYFUNCTION("""COMPUTED_VALUE"""),1.019)</f>
        <v>1.019</v>
      </c>
      <c r="E8403" s="16">
        <f>IFERROR(__xludf.DUMMYFUNCTION("""COMPUTED_VALUE"""),63.0)</f>
        <v>63</v>
      </c>
      <c r="F8403" s="19" t="str">
        <f>IFERROR(__xludf.DUMMYFUNCTION("""COMPUTED_VALUE"""),"BLUE")</f>
        <v>BLUE</v>
      </c>
      <c r="G8403" s="20" t="str">
        <f>IFERROR(__xludf.DUMMYFUNCTION("""COMPUTED_VALUE"""),"Uncle Sams Cider (04/04/2023)")</f>
        <v>Uncle Sams Cider (04/04/2023)</v>
      </c>
      <c r="H8403" s="19"/>
    </row>
    <row r="8404">
      <c r="A8404" s="9"/>
      <c r="B8404" s="15"/>
      <c r="C8404" s="9">
        <f>IFERROR(__xludf.DUMMYFUNCTION("""COMPUTED_VALUE"""),45055.9934859838)</f>
        <v>45055.99349</v>
      </c>
      <c r="D8404" s="15">
        <f>IFERROR(__xludf.DUMMYFUNCTION("""COMPUTED_VALUE"""),1.019)</f>
        <v>1.019</v>
      </c>
      <c r="E8404" s="16">
        <f>IFERROR(__xludf.DUMMYFUNCTION("""COMPUTED_VALUE"""),63.0)</f>
        <v>63</v>
      </c>
      <c r="F8404" s="19" t="str">
        <f>IFERROR(__xludf.DUMMYFUNCTION("""COMPUTED_VALUE"""),"BLUE")</f>
        <v>BLUE</v>
      </c>
      <c r="G8404" s="20" t="str">
        <f>IFERROR(__xludf.DUMMYFUNCTION("""COMPUTED_VALUE"""),"Uncle Sams Cider (04/04/2023)")</f>
        <v>Uncle Sams Cider (04/04/2023)</v>
      </c>
      <c r="H8404" s="19"/>
    </row>
    <row r="8405">
      <c r="A8405" s="9"/>
      <c r="B8405" s="15"/>
      <c r="C8405" s="9">
        <f>IFERROR(__xludf.DUMMYFUNCTION("""COMPUTED_VALUE"""),45055.9830642592)</f>
        <v>45055.98306</v>
      </c>
      <c r="D8405" s="15">
        <f>IFERROR(__xludf.DUMMYFUNCTION("""COMPUTED_VALUE"""),1.019)</f>
        <v>1.019</v>
      </c>
      <c r="E8405" s="16">
        <f>IFERROR(__xludf.DUMMYFUNCTION("""COMPUTED_VALUE"""),63.0)</f>
        <v>63</v>
      </c>
      <c r="F8405" s="19" t="str">
        <f>IFERROR(__xludf.DUMMYFUNCTION("""COMPUTED_VALUE"""),"BLUE")</f>
        <v>BLUE</v>
      </c>
      <c r="G8405" s="20" t="str">
        <f>IFERROR(__xludf.DUMMYFUNCTION("""COMPUTED_VALUE"""),"Uncle Sams Cider (04/04/2023)")</f>
        <v>Uncle Sams Cider (04/04/2023)</v>
      </c>
      <c r="H8405" s="19"/>
    </row>
    <row r="8406">
      <c r="A8406" s="9"/>
      <c r="B8406" s="15"/>
      <c r="C8406" s="9">
        <f>IFERROR(__xludf.DUMMYFUNCTION("""COMPUTED_VALUE"""),45055.9726443402)</f>
        <v>45055.97264</v>
      </c>
      <c r="D8406" s="15">
        <f>IFERROR(__xludf.DUMMYFUNCTION("""COMPUTED_VALUE"""),1.019)</f>
        <v>1.019</v>
      </c>
      <c r="E8406" s="16">
        <f>IFERROR(__xludf.DUMMYFUNCTION("""COMPUTED_VALUE"""),63.0)</f>
        <v>63</v>
      </c>
      <c r="F8406" s="19" t="str">
        <f>IFERROR(__xludf.DUMMYFUNCTION("""COMPUTED_VALUE"""),"BLUE")</f>
        <v>BLUE</v>
      </c>
      <c r="G8406" s="20" t="str">
        <f>IFERROR(__xludf.DUMMYFUNCTION("""COMPUTED_VALUE"""),"Uncle Sams Cider (04/04/2023)")</f>
        <v>Uncle Sams Cider (04/04/2023)</v>
      </c>
      <c r="H8406" s="19"/>
    </row>
    <row r="8407">
      <c r="A8407" s="9"/>
      <c r="B8407" s="15"/>
      <c r="C8407" s="9">
        <f>IFERROR(__xludf.DUMMYFUNCTION("""COMPUTED_VALUE"""),45055.9622232986)</f>
        <v>45055.96222</v>
      </c>
      <c r="D8407" s="15">
        <f>IFERROR(__xludf.DUMMYFUNCTION("""COMPUTED_VALUE"""),1.019)</f>
        <v>1.019</v>
      </c>
      <c r="E8407" s="16">
        <f>IFERROR(__xludf.DUMMYFUNCTION("""COMPUTED_VALUE"""),63.0)</f>
        <v>63</v>
      </c>
      <c r="F8407" s="19" t="str">
        <f>IFERROR(__xludf.DUMMYFUNCTION("""COMPUTED_VALUE"""),"BLUE")</f>
        <v>BLUE</v>
      </c>
      <c r="G8407" s="20" t="str">
        <f>IFERROR(__xludf.DUMMYFUNCTION("""COMPUTED_VALUE"""),"Uncle Sams Cider (04/04/2023)")</f>
        <v>Uncle Sams Cider (04/04/2023)</v>
      </c>
      <c r="H8407" s="19"/>
    </row>
    <row r="8408">
      <c r="A8408" s="9"/>
      <c r="B8408" s="15"/>
      <c r="C8408" s="9">
        <f>IFERROR(__xludf.DUMMYFUNCTION("""COMPUTED_VALUE"""),45055.9517793981)</f>
        <v>45055.95178</v>
      </c>
      <c r="D8408" s="15">
        <f>IFERROR(__xludf.DUMMYFUNCTION("""COMPUTED_VALUE"""),1.019)</f>
        <v>1.019</v>
      </c>
      <c r="E8408" s="16">
        <f>IFERROR(__xludf.DUMMYFUNCTION("""COMPUTED_VALUE"""),63.0)</f>
        <v>63</v>
      </c>
      <c r="F8408" s="19" t="str">
        <f>IFERROR(__xludf.DUMMYFUNCTION("""COMPUTED_VALUE"""),"BLUE")</f>
        <v>BLUE</v>
      </c>
      <c r="G8408" s="20" t="str">
        <f>IFERROR(__xludf.DUMMYFUNCTION("""COMPUTED_VALUE"""),"Uncle Sams Cider (04/04/2023)")</f>
        <v>Uncle Sams Cider (04/04/2023)</v>
      </c>
      <c r="H8408" s="19"/>
    </row>
    <row r="8409">
      <c r="A8409" s="9"/>
      <c r="B8409" s="15"/>
      <c r="C8409" s="9">
        <f>IFERROR(__xludf.DUMMYFUNCTION("""COMPUTED_VALUE"""),45055.9413592245)</f>
        <v>45055.94136</v>
      </c>
      <c r="D8409" s="15">
        <f>IFERROR(__xludf.DUMMYFUNCTION("""COMPUTED_VALUE"""),1.019)</f>
        <v>1.019</v>
      </c>
      <c r="E8409" s="16">
        <f>IFERROR(__xludf.DUMMYFUNCTION("""COMPUTED_VALUE"""),63.0)</f>
        <v>63</v>
      </c>
      <c r="F8409" s="19" t="str">
        <f>IFERROR(__xludf.DUMMYFUNCTION("""COMPUTED_VALUE"""),"BLUE")</f>
        <v>BLUE</v>
      </c>
      <c r="G8409" s="20" t="str">
        <f>IFERROR(__xludf.DUMMYFUNCTION("""COMPUTED_VALUE"""),"Uncle Sams Cider (04/04/2023)")</f>
        <v>Uncle Sams Cider (04/04/2023)</v>
      </c>
      <c r="H8409" s="19"/>
    </row>
    <row r="8410">
      <c r="A8410" s="9"/>
      <c r="B8410" s="15"/>
      <c r="C8410" s="9">
        <f>IFERROR(__xludf.DUMMYFUNCTION("""COMPUTED_VALUE"""),45055.9309373263)</f>
        <v>45055.93094</v>
      </c>
      <c r="D8410" s="15">
        <f>IFERROR(__xludf.DUMMYFUNCTION("""COMPUTED_VALUE"""),1.019)</f>
        <v>1.019</v>
      </c>
      <c r="E8410" s="16">
        <f>IFERROR(__xludf.DUMMYFUNCTION("""COMPUTED_VALUE"""),63.0)</f>
        <v>63</v>
      </c>
      <c r="F8410" s="19" t="str">
        <f>IFERROR(__xludf.DUMMYFUNCTION("""COMPUTED_VALUE"""),"BLUE")</f>
        <v>BLUE</v>
      </c>
      <c r="G8410" s="20" t="str">
        <f>IFERROR(__xludf.DUMMYFUNCTION("""COMPUTED_VALUE"""),"Uncle Sams Cider (04/04/2023)")</f>
        <v>Uncle Sams Cider (04/04/2023)</v>
      </c>
      <c r="H8410" s="19"/>
    </row>
    <row r="8411">
      <c r="A8411" s="9"/>
      <c r="B8411" s="15"/>
      <c r="C8411" s="9">
        <f>IFERROR(__xludf.DUMMYFUNCTION("""COMPUTED_VALUE"""),45055.9205145486)</f>
        <v>45055.92051</v>
      </c>
      <c r="D8411" s="15">
        <f>IFERROR(__xludf.DUMMYFUNCTION("""COMPUTED_VALUE"""),1.019)</f>
        <v>1.019</v>
      </c>
      <c r="E8411" s="16">
        <f>IFERROR(__xludf.DUMMYFUNCTION("""COMPUTED_VALUE"""),63.0)</f>
        <v>63</v>
      </c>
      <c r="F8411" s="19" t="str">
        <f>IFERROR(__xludf.DUMMYFUNCTION("""COMPUTED_VALUE"""),"BLUE")</f>
        <v>BLUE</v>
      </c>
      <c r="G8411" s="20" t="str">
        <f>IFERROR(__xludf.DUMMYFUNCTION("""COMPUTED_VALUE"""),"Uncle Sams Cider (04/04/2023)")</f>
        <v>Uncle Sams Cider (04/04/2023)</v>
      </c>
      <c r="H8411" s="19"/>
    </row>
    <row r="8412">
      <c r="A8412" s="9"/>
      <c r="B8412" s="15"/>
      <c r="C8412" s="9">
        <f>IFERROR(__xludf.DUMMYFUNCTION("""COMPUTED_VALUE"""),45055.9100924884)</f>
        <v>45055.91009</v>
      </c>
      <c r="D8412" s="15">
        <f>IFERROR(__xludf.DUMMYFUNCTION("""COMPUTED_VALUE"""),1.019)</f>
        <v>1.019</v>
      </c>
      <c r="E8412" s="16">
        <f>IFERROR(__xludf.DUMMYFUNCTION("""COMPUTED_VALUE"""),63.0)</f>
        <v>63</v>
      </c>
      <c r="F8412" s="19" t="str">
        <f>IFERROR(__xludf.DUMMYFUNCTION("""COMPUTED_VALUE"""),"BLUE")</f>
        <v>BLUE</v>
      </c>
      <c r="G8412" s="20" t="str">
        <f>IFERROR(__xludf.DUMMYFUNCTION("""COMPUTED_VALUE"""),"Uncle Sams Cider (04/04/2023)")</f>
        <v>Uncle Sams Cider (04/04/2023)</v>
      </c>
      <c r="H8412" s="19"/>
    </row>
    <row r="8413">
      <c r="A8413" s="9"/>
      <c r="B8413" s="15"/>
      <c r="C8413" s="9">
        <f>IFERROR(__xludf.DUMMYFUNCTION("""COMPUTED_VALUE"""),45055.8996722106)</f>
        <v>45055.89967</v>
      </c>
      <c r="D8413" s="15">
        <f>IFERROR(__xludf.DUMMYFUNCTION("""COMPUTED_VALUE"""),1.019)</f>
        <v>1.019</v>
      </c>
      <c r="E8413" s="16">
        <f>IFERROR(__xludf.DUMMYFUNCTION("""COMPUTED_VALUE"""),63.0)</f>
        <v>63</v>
      </c>
      <c r="F8413" s="19" t="str">
        <f>IFERROR(__xludf.DUMMYFUNCTION("""COMPUTED_VALUE"""),"BLUE")</f>
        <v>BLUE</v>
      </c>
      <c r="G8413" s="20" t="str">
        <f>IFERROR(__xludf.DUMMYFUNCTION("""COMPUTED_VALUE"""),"Uncle Sams Cider (04/04/2023)")</f>
        <v>Uncle Sams Cider (04/04/2023)</v>
      </c>
      <c r="H8413" s="19"/>
    </row>
    <row r="8414">
      <c r="A8414" s="9"/>
      <c r="B8414" s="15"/>
      <c r="C8414" s="9">
        <f>IFERROR(__xludf.DUMMYFUNCTION("""COMPUTED_VALUE"""),45055.8892525)</f>
        <v>45055.88925</v>
      </c>
      <c r="D8414" s="15">
        <f>IFERROR(__xludf.DUMMYFUNCTION("""COMPUTED_VALUE"""),1.019)</f>
        <v>1.019</v>
      </c>
      <c r="E8414" s="16">
        <f>IFERROR(__xludf.DUMMYFUNCTION("""COMPUTED_VALUE"""),63.0)</f>
        <v>63</v>
      </c>
      <c r="F8414" s="19" t="str">
        <f>IFERROR(__xludf.DUMMYFUNCTION("""COMPUTED_VALUE"""),"BLUE")</f>
        <v>BLUE</v>
      </c>
      <c r="G8414" s="20" t="str">
        <f>IFERROR(__xludf.DUMMYFUNCTION("""COMPUTED_VALUE"""),"Uncle Sams Cider (04/04/2023)")</f>
        <v>Uncle Sams Cider (04/04/2023)</v>
      </c>
      <c r="H8414" s="19"/>
    </row>
    <row r="8415">
      <c r="A8415" s="9"/>
      <c r="B8415" s="15"/>
      <c r="C8415" s="9">
        <f>IFERROR(__xludf.DUMMYFUNCTION("""COMPUTED_VALUE"""),45055.87881875)</f>
        <v>45055.87882</v>
      </c>
      <c r="D8415" s="15">
        <f>IFERROR(__xludf.DUMMYFUNCTION("""COMPUTED_VALUE"""),1.019)</f>
        <v>1.019</v>
      </c>
      <c r="E8415" s="16">
        <f>IFERROR(__xludf.DUMMYFUNCTION("""COMPUTED_VALUE"""),63.0)</f>
        <v>63</v>
      </c>
      <c r="F8415" s="19" t="str">
        <f>IFERROR(__xludf.DUMMYFUNCTION("""COMPUTED_VALUE"""),"BLUE")</f>
        <v>BLUE</v>
      </c>
      <c r="G8415" s="20" t="str">
        <f>IFERROR(__xludf.DUMMYFUNCTION("""COMPUTED_VALUE"""),"Uncle Sams Cider (04/04/2023)")</f>
        <v>Uncle Sams Cider (04/04/2023)</v>
      </c>
      <c r="H8415" s="19"/>
    </row>
    <row r="8416">
      <c r="A8416" s="9"/>
      <c r="B8416" s="15"/>
      <c r="C8416" s="9">
        <f>IFERROR(__xludf.DUMMYFUNCTION("""COMPUTED_VALUE"""),45055.8683980787)</f>
        <v>45055.8684</v>
      </c>
      <c r="D8416" s="15">
        <f>IFERROR(__xludf.DUMMYFUNCTION("""COMPUTED_VALUE"""),1.019)</f>
        <v>1.019</v>
      </c>
      <c r="E8416" s="16">
        <f>IFERROR(__xludf.DUMMYFUNCTION("""COMPUTED_VALUE"""),63.0)</f>
        <v>63</v>
      </c>
      <c r="F8416" s="19" t="str">
        <f>IFERROR(__xludf.DUMMYFUNCTION("""COMPUTED_VALUE"""),"BLUE")</f>
        <v>BLUE</v>
      </c>
      <c r="G8416" s="20" t="str">
        <f>IFERROR(__xludf.DUMMYFUNCTION("""COMPUTED_VALUE"""),"Uncle Sams Cider (04/04/2023)")</f>
        <v>Uncle Sams Cider (04/04/2023)</v>
      </c>
      <c r="H8416" s="19"/>
    </row>
    <row r="8417">
      <c r="A8417" s="9"/>
      <c r="B8417" s="15"/>
      <c r="C8417" s="9">
        <f>IFERROR(__xludf.DUMMYFUNCTION("""COMPUTED_VALUE"""),45055.8579766203)</f>
        <v>45055.85798</v>
      </c>
      <c r="D8417" s="15">
        <f>IFERROR(__xludf.DUMMYFUNCTION("""COMPUTED_VALUE"""),1.019)</f>
        <v>1.019</v>
      </c>
      <c r="E8417" s="16">
        <f>IFERROR(__xludf.DUMMYFUNCTION("""COMPUTED_VALUE"""),63.0)</f>
        <v>63</v>
      </c>
      <c r="F8417" s="19" t="str">
        <f>IFERROR(__xludf.DUMMYFUNCTION("""COMPUTED_VALUE"""),"BLUE")</f>
        <v>BLUE</v>
      </c>
      <c r="G8417" s="20" t="str">
        <f>IFERROR(__xludf.DUMMYFUNCTION("""COMPUTED_VALUE"""),"Uncle Sams Cider (04/04/2023)")</f>
        <v>Uncle Sams Cider (04/04/2023)</v>
      </c>
      <c r="H8417" s="19"/>
    </row>
    <row r="8418">
      <c r="A8418" s="9"/>
      <c r="B8418" s="15"/>
      <c r="C8418" s="9">
        <f>IFERROR(__xludf.DUMMYFUNCTION("""COMPUTED_VALUE"""),45055.8475542592)</f>
        <v>45055.84755</v>
      </c>
      <c r="D8418" s="15">
        <f>IFERROR(__xludf.DUMMYFUNCTION("""COMPUTED_VALUE"""),1.019)</f>
        <v>1.019</v>
      </c>
      <c r="E8418" s="16">
        <f>IFERROR(__xludf.DUMMYFUNCTION("""COMPUTED_VALUE"""),63.0)</f>
        <v>63</v>
      </c>
      <c r="F8418" s="19" t="str">
        <f>IFERROR(__xludf.DUMMYFUNCTION("""COMPUTED_VALUE"""),"BLUE")</f>
        <v>BLUE</v>
      </c>
      <c r="G8418" s="20" t="str">
        <f>IFERROR(__xludf.DUMMYFUNCTION("""COMPUTED_VALUE"""),"Uncle Sams Cider (04/04/2023)")</f>
        <v>Uncle Sams Cider (04/04/2023)</v>
      </c>
      <c r="H8418" s="19"/>
    </row>
    <row r="8419">
      <c r="A8419" s="9"/>
      <c r="B8419" s="15"/>
      <c r="C8419" s="9">
        <f>IFERROR(__xludf.DUMMYFUNCTION("""COMPUTED_VALUE"""),45055.8371336458)</f>
        <v>45055.83713</v>
      </c>
      <c r="D8419" s="15">
        <f>IFERROR(__xludf.DUMMYFUNCTION("""COMPUTED_VALUE"""),1.019)</f>
        <v>1.019</v>
      </c>
      <c r="E8419" s="16">
        <f>IFERROR(__xludf.DUMMYFUNCTION("""COMPUTED_VALUE"""),63.0)</f>
        <v>63</v>
      </c>
      <c r="F8419" s="19" t="str">
        <f>IFERROR(__xludf.DUMMYFUNCTION("""COMPUTED_VALUE"""),"BLUE")</f>
        <v>BLUE</v>
      </c>
      <c r="G8419" s="20" t="str">
        <f>IFERROR(__xludf.DUMMYFUNCTION("""COMPUTED_VALUE"""),"Uncle Sams Cider (04/04/2023)")</f>
        <v>Uncle Sams Cider (04/04/2023)</v>
      </c>
      <c r="H8419" s="19"/>
    </row>
    <row r="8420">
      <c r="A8420" s="9"/>
      <c r="B8420" s="15"/>
      <c r="C8420" s="9">
        <f>IFERROR(__xludf.DUMMYFUNCTION("""COMPUTED_VALUE"""),45055.8267120023)</f>
        <v>45055.82671</v>
      </c>
      <c r="D8420" s="15">
        <f>IFERROR(__xludf.DUMMYFUNCTION("""COMPUTED_VALUE"""),1.019)</f>
        <v>1.019</v>
      </c>
      <c r="E8420" s="16">
        <f>IFERROR(__xludf.DUMMYFUNCTION("""COMPUTED_VALUE"""),63.0)</f>
        <v>63</v>
      </c>
      <c r="F8420" s="19" t="str">
        <f>IFERROR(__xludf.DUMMYFUNCTION("""COMPUTED_VALUE"""),"BLUE")</f>
        <v>BLUE</v>
      </c>
      <c r="G8420" s="20" t="str">
        <f>IFERROR(__xludf.DUMMYFUNCTION("""COMPUTED_VALUE"""),"Uncle Sams Cider (04/04/2023)")</f>
        <v>Uncle Sams Cider (04/04/2023)</v>
      </c>
      <c r="H8420" s="19"/>
    </row>
    <row r="8421">
      <c r="A8421" s="9"/>
      <c r="B8421" s="15"/>
      <c r="C8421" s="9">
        <f>IFERROR(__xludf.DUMMYFUNCTION("""COMPUTED_VALUE"""),45055.8162785069)</f>
        <v>45055.81628</v>
      </c>
      <c r="D8421" s="15">
        <f>IFERROR(__xludf.DUMMYFUNCTION("""COMPUTED_VALUE"""),1.019)</f>
        <v>1.019</v>
      </c>
      <c r="E8421" s="16">
        <f>IFERROR(__xludf.DUMMYFUNCTION("""COMPUTED_VALUE"""),63.0)</f>
        <v>63</v>
      </c>
      <c r="F8421" s="19" t="str">
        <f>IFERROR(__xludf.DUMMYFUNCTION("""COMPUTED_VALUE"""),"BLUE")</f>
        <v>BLUE</v>
      </c>
      <c r="G8421" s="20" t="str">
        <f>IFERROR(__xludf.DUMMYFUNCTION("""COMPUTED_VALUE"""),"Uncle Sams Cider (04/04/2023)")</f>
        <v>Uncle Sams Cider (04/04/2023)</v>
      </c>
      <c r="H8421" s="19"/>
    </row>
    <row r="8422">
      <c r="A8422" s="9"/>
      <c r="B8422" s="15"/>
      <c r="C8422" s="9">
        <f>IFERROR(__xludf.DUMMYFUNCTION("""COMPUTED_VALUE"""),45055.8058557638)</f>
        <v>45055.80586</v>
      </c>
      <c r="D8422" s="15">
        <f>IFERROR(__xludf.DUMMYFUNCTION("""COMPUTED_VALUE"""),1.019)</f>
        <v>1.019</v>
      </c>
      <c r="E8422" s="16">
        <f>IFERROR(__xludf.DUMMYFUNCTION("""COMPUTED_VALUE"""),63.0)</f>
        <v>63</v>
      </c>
      <c r="F8422" s="19" t="str">
        <f>IFERROR(__xludf.DUMMYFUNCTION("""COMPUTED_VALUE"""),"BLUE")</f>
        <v>BLUE</v>
      </c>
      <c r="G8422" s="20" t="str">
        <f>IFERROR(__xludf.DUMMYFUNCTION("""COMPUTED_VALUE"""),"Uncle Sams Cider (04/04/2023)")</f>
        <v>Uncle Sams Cider (04/04/2023)</v>
      </c>
      <c r="H8422" s="19"/>
    </row>
    <row r="8423">
      <c r="A8423" s="9"/>
      <c r="B8423" s="15"/>
      <c r="C8423" s="9">
        <f>IFERROR(__xludf.DUMMYFUNCTION("""COMPUTED_VALUE"""),45055.7954019097)</f>
        <v>45055.7954</v>
      </c>
      <c r="D8423" s="15">
        <f>IFERROR(__xludf.DUMMYFUNCTION("""COMPUTED_VALUE"""),1.019)</f>
        <v>1.019</v>
      </c>
      <c r="E8423" s="16">
        <f>IFERROR(__xludf.DUMMYFUNCTION("""COMPUTED_VALUE"""),63.0)</f>
        <v>63</v>
      </c>
      <c r="F8423" s="19" t="str">
        <f>IFERROR(__xludf.DUMMYFUNCTION("""COMPUTED_VALUE"""),"BLUE")</f>
        <v>BLUE</v>
      </c>
      <c r="G8423" s="20" t="str">
        <f>IFERROR(__xludf.DUMMYFUNCTION("""COMPUTED_VALUE"""),"Uncle Sams Cider (04/04/2023)")</f>
        <v>Uncle Sams Cider (04/04/2023)</v>
      </c>
      <c r="H8423" s="19"/>
    </row>
    <row r="8424">
      <c r="A8424" s="9"/>
      <c r="B8424" s="15"/>
      <c r="C8424" s="9">
        <f>IFERROR(__xludf.DUMMYFUNCTION("""COMPUTED_VALUE"""),45055.7849812268)</f>
        <v>45055.78498</v>
      </c>
      <c r="D8424" s="15">
        <f>IFERROR(__xludf.DUMMYFUNCTION("""COMPUTED_VALUE"""),1.019)</f>
        <v>1.019</v>
      </c>
      <c r="E8424" s="16">
        <f>IFERROR(__xludf.DUMMYFUNCTION("""COMPUTED_VALUE"""),63.0)</f>
        <v>63</v>
      </c>
      <c r="F8424" s="19" t="str">
        <f>IFERROR(__xludf.DUMMYFUNCTION("""COMPUTED_VALUE"""),"BLUE")</f>
        <v>BLUE</v>
      </c>
      <c r="G8424" s="20" t="str">
        <f>IFERROR(__xludf.DUMMYFUNCTION("""COMPUTED_VALUE"""),"Uncle Sams Cider (04/04/2023)")</f>
        <v>Uncle Sams Cider (04/04/2023)</v>
      </c>
      <c r="H8424" s="19"/>
    </row>
    <row r="8425">
      <c r="A8425" s="9"/>
      <c r="B8425" s="15"/>
      <c r="C8425" s="9">
        <f>IFERROR(__xludf.DUMMYFUNCTION("""COMPUTED_VALUE"""),45055.7745612268)</f>
        <v>45055.77456</v>
      </c>
      <c r="D8425" s="15">
        <f>IFERROR(__xludf.DUMMYFUNCTION("""COMPUTED_VALUE"""),1.019)</f>
        <v>1.019</v>
      </c>
      <c r="E8425" s="16">
        <f>IFERROR(__xludf.DUMMYFUNCTION("""COMPUTED_VALUE"""),63.0)</f>
        <v>63</v>
      </c>
      <c r="F8425" s="19" t="str">
        <f>IFERROR(__xludf.DUMMYFUNCTION("""COMPUTED_VALUE"""),"BLUE")</f>
        <v>BLUE</v>
      </c>
      <c r="G8425" s="20" t="str">
        <f>IFERROR(__xludf.DUMMYFUNCTION("""COMPUTED_VALUE"""),"Uncle Sams Cider (04/04/2023)")</f>
        <v>Uncle Sams Cider (04/04/2023)</v>
      </c>
      <c r="H8425" s="19"/>
    </row>
    <row r="8426">
      <c r="A8426" s="9"/>
      <c r="B8426" s="15"/>
      <c r="C8426" s="9">
        <f>IFERROR(__xludf.DUMMYFUNCTION("""COMPUTED_VALUE"""),45055.7641275694)</f>
        <v>45055.76413</v>
      </c>
      <c r="D8426" s="15">
        <f>IFERROR(__xludf.DUMMYFUNCTION("""COMPUTED_VALUE"""),1.019)</f>
        <v>1.019</v>
      </c>
      <c r="E8426" s="16">
        <f>IFERROR(__xludf.DUMMYFUNCTION("""COMPUTED_VALUE"""),63.0)</f>
        <v>63</v>
      </c>
      <c r="F8426" s="19" t="str">
        <f>IFERROR(__xludf.DUMMYFUNCTION("""COMPUTED_VALUE"""),"BLUE")</f>
        <v>BLUE</v>
      </c>
      <c r="G8426" s="20" t="str">
        <f>IFERROR(__xludf.DUMMYFUNCTION("""COMPUTED_VALUE"""),"Uncle Sams Cider (04/04/2023)")</f>
        <v>Uncle Sams Cider (04/04/2023)</v>
      </c>
      <c r="H8426" s="19"/>
    </row>
    <row r="8427">
      <c r="A8427" s="9"/>
      <c r="B8427" s="15"/>
      <c r="C8427" s="9">
        <f>IFERROR(__xludf.DUMMYFUNCTION("""COMPUTED_VALUE"""),45055.7537077777)</f>
        <v>45055.75371</v>
      </c>
      <c r="D8427" s="15">
        <f>IFERROR(__xludf.DUMMYFUNCTION("""COMPUTED_VALUE"""),1.019)</f>
        <v>1.019</v>
      </c>
      <c r="E8427" s="16">
        <f>IFERROR(__xludf.DUMMYFUNCTION("""COMPUTED_VALUE"""),63.0)</f>
        <v>63</v>
      </c>
      <c r="F8427" s="19" t="str">
        <f>IFERROR(__xludf.DUMMYFUNCTION("""COMPUTED_VALUE"""),"BLUE")</f>
        <v>BLUE</v>
      </c>
      <c r="G8427" s="20" t="str">
        <f>IFERROR(__xludf.DUMMYFUNCTION("""COMPUTED_VALUE"""),"Uncle Sams Cider (04/04/2023)")</f>
        <v>Uncle Sams Cider (04/04/2023)</v>
      </c>
      <c r="H8427" s="19"/>
    </row>
    <row r="8428">
      <c r="A8428" s="9"/>
      <c r="B8428" s="15"/>
      <c r="C8428" s="9">
        <f>IFERROR(__xludf.DUMMYFUNCTION("""COMPUTED_VALUE"""),45055.743275)</f>
        <v>45055.74328</v>
      </c>
      <c r="D8428" s="15">
        <f>IFERROR(__xludf.DUMMYFUNCTION("""COMPUTED_VALUE"""),1.019)</f>
        <v>1.019</v>
      </c>
      <c r="E8428" s="16">
        <f>IFERROR(__xludf.DUMMYFUNCTION("""COMPUTED_VALUE"""),63.0)</f>
        <v>63</v>
      </c>
      <c r="F8428" s="19" t="str">
        <f>IFERROR(__xludf.DUMMYFUNCTION("""COMPUTED_VALUE"""),"BLUE")</f>
        <v>BLUE</v>
      </c>
      <c r="G8428" s="20" t="str">
        <f>IFERROR(__xludf.DUMMYFUNCTION("""COMPUTED_VALUE"""),"Uncle Sams Cider (04/04/2023)")</f>
        <v>Uncle Sams Cider (04/04/2023)</v>
      </c>
      <c r="H8428" s="19"/>
    </row>
    <row r="8429">
      <c r="A8429" s="9"/>
      <c r="B8429" s="15"/>
      <c r="C8429" s="9">
        <f>IFERROR(__xludf.DUMMYFUNCTION("""COMPUTED_VALUE"""),45055.7328418518)</f>
        <v>45055.73284</v>
      </c>
      <c r="D8429" s="15">
        <f>IFERROR(__xludf.DUMMYFUNCTION("""COMPUTED_VALUE"""),1.019)</f>
        <v>1.019</v>
      </c>
      <c r="E8429" s="16">
        <f>IFERROR(__xludf.DUMMYFUNCTION("""COMPUTED_VALUE"""),63.0)</f>
        <v>63</v>
      </c>
      <c r="F8429" s="19" t="str">
        <f>IFERROR(__xludf.DUMMYFUNCTION("""COMPUTED_VALUE"""),"BLUE")</f>
        <v>BLUE</v>
      </c>
      <c r="G8429" s="20" t="str">
        <f>IFERROR(__xludf.DUMMYFUNCTION("""COMPUTED_VALUE"""),"Uncle Sams Cider (04/04/2023)")</f>
        <v>Uncle Sams Cider (04/04/2023)</v>
      </c>
      <c r="H8429" s="19"/>
    </row>
    <row r="8430">
      <c r="A8430" s="9"/>
      <c r="B8430" s="15"/>
      <c r="C8430" s="9">
        <f>IFERROR(__xludf.DUMMYFUNCTION("""COMPUTED_VALUE"""),45055.7224120601)</f>
        <v>45055.72241</v>
      </c>
      <c r="D8430" s="15">
        <f>IFERROR(__xludf.DUMMYFUNCTION("""COMPUTED_VALUE"""),1.019)</f>
        <v>1.019</v>
      </c>
      <c r="E8430" s="16">
        <f>IFERROR(__xludf.DUMMYFUNCTION("""COMPUTED_VALUE"""),63.0)</f>
        <v>63</v>
      </c>
      <c r="F8430" s="19" t="str">
        <f>IFERROR(__xludf.DUMMYFUNCTION("""COMPUTED_VALUE"""),"BLUE")</f>
        <v>BLUE</v>
      </c>
      <c r="G8430" s="20" t="str">
        <f>IFERROR(__xludf.DUMMYFUNCTION("""COMPUTED_VALUE"""),"Uncle Sams Cider (04/04/2023)")</f>
        <v>Uncle Sams Cider (04/04/2023)</v>
      </c>
      <c r="H8430" s="19"/>
    </row>
    <row r="8431">
      <c r="A8431" s="9"/>
      <c r="B8431" s="15"/>
      <c r="C8431" s="9">
        <f>IFERROR(__xludf.DUMMYFUNCTION("""COMPUTED_VALUE"""),45055.7119557638)</f>
        <v>45055.71196</v>
      </c>
      <c r="D8431" s="15">
        <f>IFERROR(__xludf.DUMMYFUNCTION("""COMPUTED_VALUE"""),1.019)</f>
        <v>1.019</v>
      </c>
      <c r="E8431" s="16">
        <f>IFERROR(__xludf.DUMMYFUNCTION("""COMPUTED_VALUE"""),63.0)</f>
        <v>63</v>
      </c>
      <c r="F8431" s="19" t="str">
        <f>IFERROR(__xludf.DUMMYFUNCTION("""COMPUTED_VALUE"""),"BLUE")</f>
        <v>BLUE</v>
      </c>
      <c r="G8431" s="20" t="str">
        <f>IFERROR(__xludf.DUMMYFUNCTION("""COMPUTED_VALUE"""),"Uncle Sams Cider (04/04/2023)")</f>
        <v>Uncle Sams Cider (04/04/2023)</v>
      </c>
      <c r="H8431" s="19"/>
    </row>
    <row r="8432">
      <c r="A8432" s="9"/>
      <c r="B8432" s="15"/>
      <c r="C8432" s="9">
        <f>IFERROR(__xludf.DUMMYFUNCTION("""COMPUTED_VALUE"""),45055.7015338541)</f>
        <v>45055.70153</v>
      </c>
      <c r="D8432" s="15">
        <f>IFERROR(__xludf.DUMMYFUNCTION("""COMPUTED_VALUE"""),1.019)</f>
        <v>1.019</v>
      </c>
      <c r="E8432" s="16">
        <f>IFERROR(__xludf.DUMMYFUNCTION("""COMPUTED_VALUE"""),63.0)</f>
        <v>63</v>
      </c>
      <c r="F8432" s="19" t="str">
        <f>IFERROR(__xludf.DUMMYFUNCTION("""COMPUTED_VALUE"""),"BLUE")</f>
        <v>BLUE</v>
      </c>
      <c r="G8432" s="20" t="str">
        <f>IFERROR(__xludf.DUMMYFUNCTION("""COMPUTED_VALUE"""),"Uncle Sams Cider (04/04/2023)")</f>
        <v>Uncle Sams Cider (04/04/2023)</v>
      </c>
      <c r="H8432" s="19"/>
    </row>
    <row r="8433">
      <c r="A8433" s="9"/>
      <c r="B8433" s="15"/>
      <c r="C8433" s="9">
        <f>IFERROR(__xludf.DUMMYFUNCTION("""COMPUTED_VALUE"""),45055.6911091898)</f>
        <v>45055.69111</v>
      </c>
      <c r="D8433" s="15">
        <f>IFERROR(__xludf.DUMMYFUNCTION("""COMPUTED_VALUE"""),1.019)</f>
        <v>1.019</v>
      </c>
      <c r="E8433" s="16">
        <f>IFERROR(__xludf.DUMMYFUNCTION("""COMPUTED_VALUE"""),63.0)</f>
        <v>63</v>
      </c>
      <c r="F8433" s="19" t="str">
        <f>IFERROR(__xludf.DUMMYFUNCTION("""COMPUTED_VALUE"""),"BLUE")</f>
        <v>BLUE</v>
      </c>
      <c r="G8433" s="20" t="str">
        <f>IFERROR(__xludf.DUMMYFUNCTION("""COMPUTED_VALUE"""),"Uncle Sams Cider (04/04/2023)")</f>
        <v>Uncle Sams Cider (04/04/2023)</v>
      </c>
      <c r="H8433" s="19"/>
    </row>
    <row r="8434">
      <c r="A8434" s="9"/>
      <c r="B8434" s="15"/>
      <c r="C8434" s="9">
        <f>IFERROR(__xludf.DUMMYFUNCTION("""COMPUTED_VALUE"""),45055.6806883912)</f>
        <v>45055.68069</v>
      </c>
      <c r="D8434" s="15">
        <f>IFERROR(__xludf.DUMMYFUNCTION("""COMPUTED_VALUE"""),1.019)</f>
        <v>1.019</v>
      </c>
      <c r="E8434" s="16">
        <f>IFERROR(__xludf.DUMMYFUNCTION("""COMPUTED_VALUE"""),63.0)</f>
        <v>63</v>
      </c>
      <c r="F8434" s="19" t="str">
        <f>IFERROR(__xludf.DUMMYFUNCTION("""COMPUTED_VALUE"""),"BLUE")</f>
        <v>BLUE</v>
      </c>
      <c r="G8434" s="20" t="str">
        <f>IFERROR(__xludf.DUMMYFUNCTION("""COMPUTED_VALUE"""),"Uncle Sams Cider (04/04/2023)")</f>
        <v>Uncle Sams Cider (04/04/2023)</v>
      </c>
      <c r="H8434" s="19"/>
    </row>
    <row r="8435">
      <c r="A8435" s="9"/>
      <c r="B8435" s="15"/>
      <c r="C8435" s="9">
        <f>IFERROR(__xludf.DUMMYFUNCTION("""COMPUTED_VALUE"""),45055.6702569213)</f>
        <v>45055.67026</v>
      </c>
      <c r="D8435" s="15">
        <f>IFERROR(__xludf.DUMMYFUNCTION("""COMPUTED_VALUE"""),1.019)</f>
        <v>1.019</v>
      </c>
      <c r="E8435" s="16">
        <f>IFERROR(__xludf.DUMMYFUNCTION("""COMPUTED_VALUE"""),63.0)</f>
        <v>63</v>
      </c>
      <c r="F8435" s="19" t="str">
        <f>IFERROR(__xludf.DUMMYFUNCTION("""COMPUTED_VALUE"""),"BLUE")</f>
        <v>BLUE</v>
      </c>
      <c r="G8435" s="20" t="str">
        <f>IFERROR(__xludf.DUMMYFUNCTION("""COMPUTED_VALUE"""),"Uncle Sams Cider (04/04/2023)")</f>
        <v>Uncle Sams Cider (04/04/2023)</v>
      </c>
      <c r="H8435" s="19"/>
    </row>
    <row r="8436">
      <c r="A8436" s="9"/>
      <c r="B8436" s="15"/>
      <c r="C8436" s="9">
        <f>IFERROR(__xludf.DUMMYFUNCTION("""COMPUTED_VALUE"""),45055.6598360416)</f>
        <v>45055.65984</v>
      </c>
      <c r="D8436" s="15">
        <f>IFERROR(__xludf.DUMMYFUNCTION("""COMPUTED_VALUE"""),1.019)</f>
        <v>1.019</v>
      </c>
      <c r="E8436" s="16">
        <f>IFERROR(__xludf.DUMMYFUNCTION("""COMPUTED_VALUE"""),63.0)</f>
        <v>63</v>
      </c>
      <c r="F8436" s="19" t="str">
        <f>IFERROR(__xludf.DUMMYFUNCTION("""COMPUTED_VALUE"""),"BLUE")</f>
        <v>BLUE</v>
      </c>
      <c r="G8436" s="20" t="str">
        <f>IFERROR(__xludf.DUMMYFUNCTION("""COMPUTED_VALUE"""),"Uncle Sams Cider (04/04/2023)")</f>
        <v>Uncle Sams Cider (04/04/2023)</v>
      </c>
      <c r="H8436" s="19"/>
    </row>
    <row r="8437">
      <c r="A8437" s="9"/>
      <c r="B8437" s="15"/>
      <c r="C8437" s="9">
        <f>IFERROR(__xludf.DUMMYFUNCTION("""COMPUTED_VALUE"""),45055.6494158101)</f>
        <v>45055.64942</v>
      </c>
      <c r="D8437" s="15">
        <f>IFERROR(__xludf.DUMMYFUNCTION("""COMPUTED_VALUE"""),1.019)</f>
        <v>1.019</v>
      </c>
      <c r="E8437" s="16">
        <f>IFERROR(__xludf.DUMMYFUNCTION("""COMPUTED_VALUE"""),63.0)</f>
        <v>63</v>
      </c>
      <c r="F8437" s="19" t="str">
        <f>IFERROR(__xludf.DUMMYFUNCTION("""COMPUTED_VALUE"""),"BLUE")</f>
        <v>BLUE</v>
      </c>
      <c r="G8437" s="20" t="str">
        <f>IFERROR(__xludf.DUMMYFUNCTION("""COMPUTED_VALUE"""),"Uncle Sams Cider (04/04/2023)")</f>
        <v>Uncle Sams Cider (04/04/2023)</v>
      </c>
      <c r="H8437" s="19"/>
    </row>
    <row r="8438">
      <c r="A8438" s="9"/>
      <c r="B8438" s="15"/>
      <c r="C8438" s="9">
        <f>IFERROR(__xludf.DUMMYFUNCTION("""COMPUTED_VALUE"""),45055.6389934953)</f>
        <v>45055.63899</v>
      </c>
      <c r="D8438" s="15">
        <f>IFERROR(__xludf.DUMMYFUNCTION("""COMPUTED_VALUE"""),1.019)</f>
        <v>1.019</v>
      </c>
      <c r="E8438" s="16">
        <f>IFERROR(__xludf.DUMMYFUNCTION("""COMPUTED_VALUE"""),63.0)</f>
        <v>63</v>
      </c>
      <c r="F8438" s="19" t="str">
        <f>IFERROR(__xludf.DUMMYFUNCTION("""COMPUTED_VALUE"""),"BLUE")</f>
        <v>BLUE</v>
      </c>
      <c r="G8438" s="20" t="str">
        <f>IFERROR(__xludf.DUMMYFUNCTION("""COMPUTED_VALUE"""),"Uncle Sams Cider (04/04/2023)")</f>
        <v>Uncle Sams Cider (04/04/2023)</v>
      </c>
      <c r="H8438" s="19"/>
    </row>
    <row r="8439">
      <c r="A8439" s="9"/>
      <c r="B8439" s="15"/>
      <c r="C8439" s="9">
        <f>IFERROR(__xludf.DUMMYFUNCTION("""COMPUTED_VALUE"""),45055.6285731944)</f>
        <v>45055.62857</v>
      </c>
      <c r="D8439" s="15">
        <f>IFERROR(__xludf.DUMMYFUNCTION("""COMPUTED_VALUE"""),1.019)</f>
        <v>1.019</v>
      </c>
      <c r="E8439" s="16">
        <f>IFERROR(__xludf.DUMMYFUNCTION("""COMPUTED_VALUE"""),63.0)</f>
        <v>63</v>
      </c>
      <c r="F8439" s="19" t="str">
        <f>IFERROR(__xludf.DUMMYFUNCTION("""COMPUTED_VALUE"""),"BLUE")</f>
        <v>BLUE</v>
      </c>
      <c r="G8439" s="20" t="str">
        <f>IFERROR(__xludf.DUMMYFUNCTION("""COMPUTED_VALUE"""),"Uncle Sams Cider (04/04/2023)")</f>
        <v>Uncle Sams Cider (04/04/2023)</v>
      </c>
      <c r="H8439" s="19"/>
    </row>
    <row r="8440">
      <c r="A8440" s="9"/>
      <c r="B8440" s="15"/>
      <c r="C8440" s="9">
        <f>IFERROR(__xludf.DUMMYFUNCTION("""COMPUTED_VALUE"""),45055.6181426388)</f>
        <v>45055.61814</v>
      </c>
      <c r="D8440" s="15">
        <f>IFERROR(__xludf.DUMMYFUNCTION("""COMPUTED_VALUE"""),1.019)</f>
        <v>1.019</v>
      </c>
      <c r="E8440" s="16">
        <f>IFERROR(__xludf.DUMMYFUNCTION("""COMPUTED_VALUE"""),63.0)</f>
        <v>63</v>
      </c>
      <c r="F8440" s="19" t="str">
        <f>IFERROR(__xludf.DUMMYFUNCTION("""COMPUTED_VALUE"""),"BLUE")</f>
        <v>BLUE</v>
      </c>
      <c r="G8440" s="20" t="str">
        <f>IFERROR(__xludf.DUMMYFUNCTION("""COMPUTED_VALUE"""),"Uncle Sams Cider (04/04/2023)")</f>
        <v>Uncle Sams Cider (04/04/2023)</v>
      </c>
      <c r="H8440" s="19"/>
    </row>
    <row r="8441">
      <c r="A8441" s="9"/>
      <c r="B8441" s="15"/>
      <c r="C8441" s="9">
        <f>IFERROR(__xludf.DUMMYFUNCTION("""COMPUTED_VALUE"""),45055.6077118518)</f>
        <v>45055.60771</v>
      </c>
      <c r="D8441" s="15">
        <f>IFERROR(__xludf.DUMMYFUNCTION("""COMPUTED_VALUE"""),1.019)</f>
        <v>1.019</v>
      </c>
      <c r="E8441" s="16">
        <f>IFERROR(__xludf.DUMMYFUNCTION("""COMPUTED_VALUE"""),63.0)</f>
        <v>63</v>
      </c>
      <c r="F8441" s="19" t="str">
        <f>IFERROR(__xludf.DUMMYFUNCTION("""COMPUTED_VALUE"""),"BLUE")</f>
        <v>BLUE</v>
      </c>
      <c r="G8441" s="20" t="str">
        <f>IFERROR(__xludf.DUMMYFUNCTION("""COMPUTED_VALUE"""),"Uncle Sams Cider (04/04/2023)")</f>
        <v>Uncle Sams Cider (04/04/2023)</v>
      </c>
      <c r="H8441" s="19"/>
    </row>
    <row r="8442">
      <c r="A8442" s="9"/>
      <c r="B8442" s="15"/>
      <c r="C8442" s="9">
        <f>IFERROR(__xludf.DUMMYFUNCTION("""COMPUTED_VALUE"""),45055.597291331)</f>
        <v>45055.59729</v>
      </c>
      <c r="D8442" s="15">
        <f>IFERROR(__xludf.DUMMYFUNCTION("""COMPUTED_VALUE"""),1.019)</f>
        <v>1.019</v>
      </c>
      <c r="E8442" s="16">
        <f>IFERROR(__xludf.DUMMYFUNCTION("""COMPUTED_VALUE"""),63.0)</f>
        <v>63</v>
      </c>
      <c r="F8442" s="19" t="str">
        <f>IFERROR(__xludf.DUMMYFUNCTION("""COMPUTED_VALUE"""),"BLUE")</f>
        <v>BLUE</v>
      </c>
      <c r="G8442" s="20" t="str">
        <f>IFERROR(__xludf.DUMMYFUNCTION("""COMPUTED_VALUE"""),"Uncle Sams Cider (04/04/2023)")</f>
        <v>Uncle Sams Cider (04/04/2023)</v>
      </c>
      <c r="H8442" s="19"/>
    </row>
    <row r="8443">
      <c r="A8443" s="9"/>
      <c r="B8443" s="15"/>
      <c r="C8443" s="9">
        <f>IFERROR(__xludf.DUMMYFUNCTION("""COMPUTED_VALUE"""),45055.5868579166)</f>
        <v>45055.58686</v>
      </c>
      <c r="D8443" s="15">
        <f>IFERROR(__xludf.DUMMYFUNCTION("""COMPUTED_VALUE"""),1.019)</f>
        <v>1.019</v>
      </c>
      <c r="E8443" s="16">
        <f>IFERROR(__xludf.DUMMYFUNCTION("""COMPUTED_VALUE"""),63.0)</f>
        <v>63</v>
      </c>
      <c r="F8443" s="19" t="str">
        <f>IFERROR(__xludf.DUMMYFUNCTION("""COMPUTED_VALUE"""),"BLUE")</f>
        <v>BLUE</v>
      </c>
      <c r="G8443" s="20" t="str">
        <f>IFERROR(__xludf.DUMMYFUNCTION("""COMPUTED_VALUE"""),"Uncle Sams Cider (04/04/2023)")</f>
        <v>Uncle Sams Cider (04/04/2023)</v>
      </c>
      <c r="H8443" s="19"/>
    </row>
    <row r="8444">
      <c r="A8444" s="9"/>
      <c r="B8444" s="15"/>
      <c r="C8444" s="9">
        <f>IFERROR(__xludf.DUMMYFUNCTION("""COMPUTED_VALUE"""),45055.5764364583)</f>
        <v>45055.57644</v>
      </c>
      <c r="D8444" s="15">
        <f>IFERROR(__xludf.DUMMYFUNCTION("""COMPUTED_VALUE"""),1.019)</f>
        <v>1.019</v>
      </c>
      <c r="E8444" s="16">
        <f>IFERROR(__xludf.DUMMYFUNCTION("""COMPUTED_VALUE"""),63.0)</f>
        <v>63</v>
      </c>
      <c r="F8444" s="19" t="str">
        <f>IFERROR(__xludf.DUMMYFUNCTION("""COMPUTED_VALUE"""),"BLUE")</f>
        <v>BLUE</v>
      </c>
      <c r="G8444" s="20" t="str">
        <f>IFERROR(__xludf.DUMMYFUNCTION("""COMPUTED_VALUE"""),"Uncle Sams Cider (04/04/2023)")</f>
        <v>Uncle Sams Cider (04/04/2023)</v>
      </c>
      <c r="H8444" s="19"/>
    </row>
    <row r="8445">
      <c r="A8445" s="9"/>
      <c r="B8445" s="15"/>
      <c r="C8445" s="9">
        <f>IFERROR(__xludf.DUMMYFUNCTION("""COMPUTED_VALUE"""),45055.5660151736)</f>
        <v>45055.56602</v>
      </c>
      <c r="D8445" s="15">
        <f>IFERROR(__xludf.DUMMYFUNCTION("""COMPUTED_VALUE"""),1.019)</f>
        <v>1.019</v>
      </c>
      <c r="E8445" s="16">
        <f>IFERROR(__xludf.DUMMYFUNCTION("""COMPUTED_VALUE"""),63.0)</f>
        <v>63</v>
      </c>
      <c r="F8445" s="19" t="str">
        <f>IFERROR(__xludf.DUMMYFUNCTION("""COMPUTED_VALUE"""),"BLUE")</f>
        <v>BLUE</v>
      </c>
      <c r="G8445" s="20" t="str">
        <f>IFERROR(__xludf.DUMMYFUNCTION("""COMPUTED_VALUE"""),"Uncle Sams Cider (04/04/2023)")</f>
        <v>Uncle Sams Cider (04/04/2023)</v>
      </c>
      <c r="H8445" s="19"/>
    </row>
    <row r="8446">
      <c r="A8446" s="9"/>
      <c r="B8446" s="15"/>
      <c r="C8446" s="9">
        <f>IFERROR(__xludf.DUMMYFUNCTION("""COMPUTED_VALUE"""),45055.5555836921)</f>
        <v>45055.55558</v>
      </c>
      <c r="D8446" s="15">
        <f>IFERROR(__xludf.DUMMYFUNCTION("""COMPUTED_VALUE"""),1.019)</f>
        <v>1.019</v>
      </c>
      <c r="E8446" s="16">
        <f>IFERROR(__xludf.DUMMYFUNCTION("""COMPUTED_VALUE"""),63.0)</f>
        <v>63</v>
      </c>
      <c r="F8446" s="19" t="str">
        <f>IFERROR(__xludf.DUMMYFUNCTION("""COMPUTED_VALUE"""),"BLUE")</f>
        <v>BLUE</v>
      </c>
      <c r="G8446" s="20" t="str">
        <f>IFERROR(__xludf.DUMMYFUNCTION("""COMPUTED_VALUE"""),"Uncle Sams Cider (04/04/2023)")</f>
        <v>Uncle Sams Cider (04/04/2023)</v>
      </c>
      <c r="H8446" s="19"/>
    </row>
    <row r="8447">
      <c r="A8447" s="9"/>
      <c r="B8447" s="15"/>
      <c r="C8447" s="9">
        <f>IFERROR(__xludf.DUMMYFUNCTION("""COMPUTED_VALUE"""),45055.5451629861)</f>
        <v>45055.54516</v>
      </c>
      <c r="D8447" s="15">
        <f>IFERROR(__xludf.DUMMYFUNCTION("""COMPUTED_VALUE"""),1.019)</f>
        <v>1.019</v>
      </c>
      <c r="E8447" s="16">
        <f>IFERROR(__xludf.DUMMYFUNCTION("""COMPUTED_VALUE"""),63.0)</f>
        <v>63</v>
      </c>
      <c r="F8447" s="19" t="str">
        <f>IFERROR(__xludf.DUMMYFUNCTION("""COMPUTED_VALUE"""),"BLUE")</f>
        <v>BLUE</v>
      </c>
      <c r="G8447" s="20" t="str">
        <f>IFERROR(__xludf.DUMMYFUNCTION("""COMPUTED_VALUE"""),"Uncle Sams Cider (04/04/2023)")</f>
        <v>Uncle Sams Cider (04/04/2023)</v>
      </c>
      <c r="H8447" s="19"/>
    </row>
    <row r="8448">
      <c r="A8448" s="9"/>
      <c r="B8448" s="15"/>
      <c r="C8448" s="9">
        <f>IFERROR(__xludf.DUMMYFUNCTION("""COMPUTED_VALUE"""),45055.5347430902)</f>
        <v>45055.53474</v>
      </c>
      <c r="D8448" s="15">
        <f>IFERROR(__xludf.DUMMYFUNCTION("""COMPUTED_VALUE"""),1.019)</f>
        <v>1.019</v>
      </c>
      <c r="E8448" s="16">
        <f>IFERROR(__xludf.DUMMYFUNCTION("""COMPUTED_VALUE"""),63.0)</f>
        <v>63</v>
      </c>
      <c r="F8448" s="19" t="str">
        <f>IFERROR(__xludf.DUMMYFUNCTION("""COMPUTED_VALUE"""),"BLUE")</f>
        <v>BLUE</v>
      </c>
      <c r="G8448" s="20" t="str">
        <f>IFERROR(__xludf.DUMMYFUNCTION("""COMPUTED_VALUE"""),"Uncle Sams Cider (04/04/2023)")</f>
        <v>Uncle Sams Cider (04/04/2023)</v>
      </c>
      <c r="H8448" s="19"/>
    </row>
    <row r="8449">
      <c r="A8449" s="9"/>
      <c r="B8449" s="15"/>
      <c r="C8449" s="9">
        <f>IFERROR(__xludf.DUMMYFUNCTION("""COMPUTED_VALUE"""),45055.5243232291)</f>
        <v>45055.52432</v>
      </c>
      <c r="D8449" s="15">
        <f>IFERROR(__xludf.DUMMYFUNCTION("""COMPUTED_VALUE"""),1.019)</f>
        <v>1.019</v>
      </c>
      <c r="E8449" s="16">
        <f>IFERROR(__xludf.DUMMYFUNCTION("""COMPUTED_VALUE"""),63.0)</f>
        <v>63</v>
      </c>
      <c r="F8449" s="19" t="str">
        <f>IFERROR(__xludf.DUMMYFUNCTION("""COMPUTED_VALUE"""),"BLUE")</f>
        <v>BLUE</v>
      </c>
      <c r="G8449" s="20" t="str">
        <f>IFERROR(__xludf.DUMMYFUNCTION("""COMPUTED_VALUE"""),"Uncle Sams Cider (04/04/2023)")</f>
        <v>Uncle Sams Cider (04/04/2023)</v>
      </c>
      <c r="H8449" s="19"/>
    </row>
    <row r="8450">
      <c r="A8450" s="9"/>
      <c r="B8450" s="15"/>
      <c r="C8450" s="9">
        <f>IFERROR(__xludf.DUMMYFUNCTION("""COMPUTED_VALUE"""),45055.5139011921)</f>
        <v>45055.5139</v>
      </c>
      <c r="D8450" s="15">
        <f>IFERROR(__xludf.DUMMYFUNCTION("""COMPUTED_VALUE"""),1.019)</f>
        <v>1.019</v>
      </c>
      <c r="E8450" s="16">
        <f>IFERROR(__xludf.DUMMYFUNCTION("""COMPUTED_VALUE"""),63.0)</f>
        <v>63</v>
      </c>
      <c r="F8450" s="19" t="str">
        <f>IFERROR(__xludf.DUMMYFUNCTION("""COMPUTED_VALUE"""),"BLUE")</f>
        <v>BLUE</v>
      </c>
      <c r="G8450" s="20" t="str">
        <f>IFERROR(__xludf.DUMMYFUNCTION("""COMPUTED_VALUE"""),"Uncle Sams Cider (04/04/2023)")</f>
        <v>Uncle Sams Cider (04/04/2023)</v>
      </c>
      <c r="H8450" s="19"/>
    </row>
    <row r="8451">
      <c r="A8451" s="9"/>
      <c r="B8451" s="15"/>
      <c r="C8451" s="9">
        <f>IFERROR(__xludf.DUMMYFUNCTION("""COMPUTED_VALUE"""),45055.5034812037)</f>
        <v>45055.50348</v>
      </c>
      <c r="D8451" s="15">
        <f>IFERROR(__xludf.DUMMYFUNCTION("""COMPUTED_VALUE"""),1.019)</f>
        <v>1.019</v>
      </c>
      <c r="E8451" s="16">
        <f>IFERROR(__xludf.DUMMYFUNCTION("""COMPUTED_VALUE"""),63.0)</f>
        <v>63</v>
      </c>
      <c r="F8451" s="19" t="str">
        <f>IFERROR(__xludf.DUMMYFUNCTION("""COMPUTED_VALUE"""),"BLUE")</f>
        <v>BLUE</v>
      </c>
      <c r="G8451" s="20" t="str">
        <f>IFERROR(__xludf.DUMMYFUNCTION("""COMPUTED_VALUE"""),"Uncle Sams Cider (04/04/2023)")</f>
        <v>Uncle Sams Cider (04/04/2023)</v>
      </c>
      <c r="H8451" s="19"/>
    </row>
    <row r="8452">
      <c r="A8452" s="9"/>
      <c r="B8452" s="15"/>
      <c r="C8452" s="9">
        <f>IFERROR(__xludf.DUMMYFUNCTION("""COMPUTED_VALUE"""),45055.4930608217)</f>
        <v>45055.49306</v>
      </c>
      <c r="D8452" s="15">
        <f>IFERROR(__xludf.DUMMYFUNCTION("""COMPUTED_VALUE"""),1.019)</f>
        <v>1.019</v>
      </c>
      <c r="E8452" s="16">
        <f>IFERROR(__xludf.DUMMYFUNCTION("""COMPUTED_VALUE"""),63.0)</f>
        <v>63</v>
      </c>
      <c r="F8452" s="19" t="str">
        <f>IFERROR(__xludf.DUMMYFUNCTION("""COMPUTED_VALUE"""),"BLUE")</f>
        <v>BLUE</v>
      </c>
      <c r="G8452" s="20" t="str">
        <f>IFERROR(__xludf.DUMMYFUNCTION("""COMPUTED_VALUE"""),"Uncle Sams Cider (04/04/2023)")</f>
        <v>Uncle Sams Cider (04/04/2023)</v>
      </c>
      <c r="H8452" s="19"/>
    </row>
    <row r="8453">
      <c r="A8453" s="9"/>
      <c r="B8453" s="15"/>
      <c r="C8453" s="9">
        <f>IFERROR(__xludf.DUMMYFUNCTION("""COMPUTED_VALUE"""),45055.482638449)</f>
        <v>45055.48264</v>
      </c>
      <c r="D8453" s="15">
        <f>IFERROR(__xludf.DUMMYFUNCTION("""COMPUTED_VALUE"""),1.02)</f>
        <v>1.02</v>
      </c>
      <c r="E8453" s="16">
        <f>IFERROR(__xludf.DUMMYFUNCTION("""COMPUTED_VALUE"""),63.0)</f>
        <v>63</v>
      </c>
      <c r="F8453" s="19" t="str">
        <f>IFERROR(__xludf.DUMMYFUNCTION("""COMPUTED_VALUE"""),"BLUE")</f>
        <v>BLUE</v>
      </c>
      <c r="G8453" s="20" t="str">
        <f>IFERROR(__xludf.DUMMYFUNCTION("""COMPUTED_VALUE"""),"Uncle Sams Cider (04/04/2023)")</f>
        <v>Uncle Sams Cider (04/04/2023)</v>
      </c>
      <c r="H8453" s="19"/>
    </row>
    <row r="8454">
      <c r="A8454" s="9"/>
      <c r="B8454" s="15"/>
      <c r="C8454" s="9">
        <f>IFERROR(__xludf.DUMMYFUNCTION("""COMPUTED_VALUE"""),45055.4722174537)</f>
        <v>45055.47222</v>
      </c>
      <c r="D8454" s="15">
        <f>IFERROR(__xludf.DUMMYFUNCTION("""COMPUTED_VALUE"""),1.019)</f>
        <v>1.019</v>
      </c>
      <c r="E8454" s="16">
        <f>IFERROR(__xludf.DUMMYFUNCTION("""COMPUTED_VALUE"""),63.0)</f>
        <v>63</v>
      </c>
      <c r="F8454" s="19" t="str">
        <f>IFERROR(__xludf.DUMMYFUNCTION("""COMPUTED_VALUE"""),"BLUE")</f>
        <v>BLUE</v>
      </c>
      <c r="G8454" s="20" t="str">
        <f>IFERROR(__xludf.DUMMYFUNCTION("""COMPUTED_VALUE"""),"Uncle Sams Cider (04/04/2023)")</f>
        <v>Uncle Sams Cider (04/04/2023)</v>
      </c>
      <c r="H8454" s="19"/>
    </row>
    <row r="8455">
      <c r="A8455" s="9"/>
      <c r="B8455" s="15"/>
      <c r="C8455" s="9">
        <f>IFERROR(__xludf.DUMMYFUNCTION("""COMPUTED_VALUE"""),45055.4617947222)</f>
        <v>45055.46179</v>
      </c>
      <c r="D8455" s="15">
        <f>IFERROR(__xludf.DUMMYFUNCTION("""COMPUTED_VALUE"""),1.019)</f>
        <v>1.019</v>
      </c>
      <c r="E8455" s="16">
        <f>IFERROR(__xludf.DUMMYFUNCTION("""COMPUTED_VALUE"""),63.0)</f>
        <v>63</v>
      </c>
      <c r="F8455" s="19" t="str">
        <f>IFERROR(__xludf.DUMMYFUNCTION("""COMPUTED_VALUE"""),"BLUE")</f>
        <v>BLUE</v>
      </c>
      <c r="G8455" s="20" t="str">
        <f>IFERROR(__xludf.DUMMYFUNCTION("""COMPUTED_VALUE"""),"Uncle Sams Cider (04/04/2023)")</f>
        <v>Uncle Sams Cider (04/04/2023)</v>
      </c>
      <c r="H8455" s="19"/>
    </row>
    <row r="8456">
      <c r="A8456" s="9"/>
      <c r="B8456" s="15"/>
      <c r="C8456" s="9">
        <f>IFERROR(__xludf.DUMMYFUNCTION("""COMPUTED_VALUE"""),45055.4513728356)</f>
        <v>45055.45137</v>
      </c>
      <c r="D8456" s="15">
        <f>IFERROR(__xludf.DUMMYFUNCTION("""COMPUTED_VALUE"""),1.02)</f>
        <v>1.02</v>
      </c>
      <c r="E8456" s="16">
        <f>IFERROR(__xludf.DUMMYFUNCTION("""COMPUTED_VALUE"""),63.0)</f>
        <v>63</v>
      </c>
      <c r="F8456" s="19" t="str">
        <f>IFERROR(__xludf.DUMMYFUNCTION("""COMPUTED_VALUE"""),"BLUE")</f>
        <v>BLUE</v>
      </c>
      <c r="G8456" s="20" t="str">
        <f>IFERROR(__xludf.DUMMYFUNCTION("""COMPUTED_VALUE"""),"Uncle Sams Cider (04/04/2023)")</f>
        <v>Uncle Sams Cider (04/04/2023)</v>
      </c>
      <c r="H8456" s="19"/>
    </row>
    <row r="8457">
      <c r="A8457" s="9"/>
      <c r="B8457" s="15"/>
      <c r="C8457" s="9">
        <f>IFERROR(__xludf.DUMMYFUNCTION("""COMPUTED_VALUE"""),45055.440951655)</f>
        <v>45055.44095</v>
      </c>
      <c r="D8457" s="15">
        <f>IFERROR(__xludf.DUMMYFUNCTION("""COMPUTED_VALUE"""),1.019)</f>
        <v>1.019</v>
      </c>
      <c r="E8457" s="16">
        <f>IFERROR(__xludf.DUMMYFUNCTION("""COMPUTED_VALUE"""),63.0)</f>
        <v>63</v>
      </c>
      <c r="F8457" s="19" t="str">
        <f>IFERROR(__xludf.DUMMYFUNCTION("""COMPUTED_VALUE"""),"BLUE")</f>
        <v>BLUE</v>
      </c>
      <c r="G8457" s="20" t="str">
        <f>IFERROR(__xludf.DUMMYFUNCTION("""COMPUTED_VALUE"""),"Uncle Sams Cider (04/04/2023)")</f>
        <v>Uncle Sams Cider (04/04/2023)</v>
      </c>
      <c r="H8457" s="19"/>
    </row>
    <row r="8458">
      <c r="A8458" s="9"/>
      <c r="B8458" s="15"/>
      <c r="C8458" s="9">
        <f>IFERROR(__xludf.DUMMYFUNCTION("""COMPUTED_VALUE"""),45055.4305200231)</f>
        <v>45055.43052</v>
      </c>
      <c r="D8458" s="15">
        <f>IFERROR(__xludf.DUMMYFUNCTION("""COMPUTED_VALUE"""),1.02)</f>
        <v>1.02</v>
      </c>
      <c r="E8458" s="16">
        <f>IFERROR(__xludf.DUMMYFUNCTION("""COMPUTED_VALUE"""),63.0)</f>
        <v>63</v>
      </c>
      <c r="F8458" s="19" t="str">
        <f>IFERROR(__xludf.DUMMYFUNCTION("""COMPUTED_VALUE"""),"BLUE")</f>
        <v>BLUE</v>
      </c>
      <c r="G8458" s="20" t="str">
        <f>IFERROR(__xludf.DUMMYFUNCTION("""COMPUTED_VALUE"""),"Uncle Sams Cider (04/04/2023)")</f>
        <v>Uncle Sams Cider (04/04/2023)</v>
      </c>
      <c r="H8458" s="19"/>
    </row>
    <row r="8459">
      <c r="A8459" s="9"/>
      <c r="B8459" s="15"/>
      <c r="C8459" s="9">
        <f>IFERROR(__xludf.DUMMYFUNCTION("""COMPUTED_VALUE"""),45055.4200994212)</f>
        <v>45055.4201</v>
      </c>
      <c r="D8459" s="15">
        <f>IFERROR(__xludf.DUMMYFUNCTION("""COMPUTED_VALUE"""),1.019)</f>
        <v>1.019</v>
      </c>
      <c r="E8459" s="16">
        <f>IFERROR(__xludf.DUMMYFUNCTION("""COMPUTED_VALUE"""),63.0)</f>
        <v>63</v>
      </c>
      <c r="F8459" s="19" t="str">
        <f>IFERROR(__xludf.DUMMYFUNCTION("""COMPUTED_VALUE"""),"BLUE")</f>
        <v>BLUE</v>
      </c>
      <c r="G8459" s="20" t="str">
        <f>IFERROR(__xludf.DUMMYFUNCTION("""COMPUTED_VALUE"""),"Uncle Sams Cider (04/04/2023)")</f>
        <v>Uncle Sams Cider (04/04/2023)</v>
      </c>
      <c r="H8459" s="19"/>
    </row>
    <row r="8460">
      <c r="A8460" s="9"/>
      <c r="B8460" s="15"/>
      <c r="C8460" s="9">
        <f>IFERROR(__xludf.DUMMYFUNCTION("""COMPUTED_VALUE"""),45055.4096772453)</f>
        <v>45055.40968</v>
      </c>
      <c r="D8460" s="15">
        <f>IFERROR(__xludf.DUMMYFUNCTION("""COMPUTED_VALUE"""),1.019)</f>
        <v>1.019</v>
      </c>
      <c r="E8460" s="16">
        <f>IFERROR(__xludf.DUMMYFUNCTION("""COMPUTED_VALUE"""),63.0)</f>
        <v>63</v>
      </c>
      <c r="F8460" s="19" t="str">
        <f>IFERROR(__xludf.DUMMYFUNCTION("""COMPUTED_VALUE"""),"BLUE")</f>
        <v>BLUE</v>
      </c>
      <c r="G8460" s="20" t="str">
        <f>IFERROR(__xludf.DUMMYFUNCTION("""COMPUTED_VALUE"""),"Uncle Sams Cider (04/04/2023)")</f>
        <v>Uncle Sams Cider (04/04/2023)</v>
      </c>
      <c r="H8460" s="19"/>
    </row>
    <row r="8461">
      <c r="A8461" s="9"/>
      <c r="B8461" s="15"/>
      <c r="C8461" s="9">
        <f>IFERROR(__xludf.DUMMYFUNCTION("""COMPUTED_VALUE"""),45055.399256956)</f>
        <v>45055.39926</v>
      </c>
      <c r="D8461" s="15">
        <f>IFERROR(__xludf.DUMMYFUNCTION("""COMPUTED_VALUE"""),1.019)</f>
        <v>1.019</v>
      </c>
      <c r="E8461" s="16">
        <f>IFERROR(__xludf.DUMMYFUNCTION("""COMPUTED_VALUE"""),63.0)</f>
        <v>63</v>
      </c>
      <c r="F8461" s="19" t="str">
        <f>IFERROR(__xludf.DUMMYFUNCTION("""COMPUTED_VALUE"""),"BLUE")</f>
        <v>BLUE</v>
      </c>
      <c r="G8461" s="20" t="str">
        <f>IFERROR(__xludf.DUMMYFUNCTION("""COMPUTED_VALUE"""),"Uncle Sams Cider (04/04/2023)")</f>
        <v>Uncle Sams Cider (04/04/2023)</v>
      </c>
      <c r="H8461" s="19"/>
    </row>
    <row r="8462">
      <c r="A8462" s="9"/>
      <c r="B8462" s="15"/>
      <c r="C8462" s="9">
        <f>IFERROR(__xludf.DUMMYFUNCTION("""COMPUTED_VALUE"""),45055.3888358796)</f>
        <v>45055.38884</v>
      </c>
      <c r="D8462" s="15">
        <f>IFERROR(__xludf.DUMMYFUNCTION("""COMPUTED_VALUE"""),1.02)</f>
        <v>1.02</v>
      </c>
      <c r="E8462" s="16">
        <f>IFERROR(__xludf.DUMMYFUNCTION("""COMPUTED_VALUE"""),63.0)</f>
        <v>63</v>
      </c>
      <c r="F8462" s="19" t="str">
        <f>IFERROR(__xludf.DUMMYFUNCTION("""COMPUTED_VALUE"""),"BLUE")</f>
        <v>BLUE</v>
      </c>
      <c r="G8462" s="20" t="str">
        <f>IFERROR(__xludf.DUMMYFUNCTION("""COMPUTED_VALUE"""),"Uncle Sams Cider (04/04/2023)")</f>
        <v>Uncle Sams Cider (04/04/2023)</v>
      </c>
      <c r="H8462" s="19"/>
    </row>
    <row r="8463">
      <c r="A8463" s="9"/>
      <c r="B8463" s="15"/>
      <c r="C8463" s="9">
        <f>IFERROR(__xludf.DUMMYFUNCTION("""COMPUTED_VALUE"""),45055.3679923842)</f>
        <v>45055.36799</v>
      </c>
      <c r="D8463" s="15">
        <f>IFERROR(__xludf.DUMMYFUNCTION("""COMPUTED_VALUE"""),1.02)</f>
        <v>1.02</v>
      </c>
      <c r="E8463" s="16">
        <f>IFERROR(__xludf.DUMMYFUNCTION("""COMPUTED_VALUE"""),63.0)</f>
        <v>63</v>
      </c>
      <c r="F8463" s="19" t="str">
        <f>IFERROR(__xludf.DUMMYFUNCTION("""COMPUTED_VALUE"""),"BLUE")</f>
        <v>BLUE</v>
      </c>
      <c r="G8463" s="20" t="str">
        <f>IFERROR(__xludf.DUMMYFUNCTION("""COMPUTED_VALUE"""),"Uncle Sams Cider (04/04/2023)")</f>
        <v>Uncle Sams Cider (04/04/2023)</v>
      </c>
      <c r="H8463" s="19"/>
    </row>
    <row r="8464">
      <c r="A8464" s="9"/>
      <c r="B8464" s="15"/>
      <c r="C8464" s="9">
        <f>IFERROR(__xludf.DUMMYFUNCTION("""COMPUTED_VALUE"""),45055.3575703819)</f>
        <v>45055.35757</v>
      </c>
      <c r="D8464" s="15">
        <f>IFERROR(__xludf.DUMMYFUNCTION("""COMPUTED_VALUE"""),1.02)</f>
        <v>1.02</v>
      </c>
      <c r="E8464" s="16">
        <f>IFERROR(__xludf.DUMMYFUNCTION("""COMPUTED_VALUE"""),63.0)</f>
        <v>63</v>
      </c>
      <c r="F8464" s="19" t="str">
        <f>IFERROR(__xludf.DUMMYFUNCTION("""COMPUTED_VALUE"""),"BLUE")</f>
        <v>BLUE</v>
      </c>
      <c r="G8464" s="20" t="str">
        <f>IFERROR(__xludf.DUMMYFUNCTION("""COMPUTED_VALUE"""),"Uncle Sams Cider (04/04/2023)")</f>
        <v>Uncle Sams Cider (04/04/2023)</v>
      </c>
      <c r="H8464" s="19"/>
    </row>
    <row r="8465">
      <c r="A8465" s="9"/>
      <c r="B8465" s="15"/>
      <c r="C8465" s="9">
        <f>IFERROR(__xludf.DUMMYFUNCTION("""COMPUTED_VALUE"""),45055.3471483449)</f>
        <v>45055.34715</v>
      </c>
      <c r="D8465" s="15">
        <f>IFERROR(__xludf.DUMMYFUNCTION("""COMPUTED_VALUE"""),1.019)</f>
        <v>1.019</v>
      </c>
      <c r="E8465" s="16">
        <f>IFERROR(__xludf.DUMMYFUNCTION("""COMPUTED_VALUE"""),63.0)</f>
        <v>63</v>
      </c>
      <c r="F8465" s="19" t="str">
        <f>IFERROR(__xludf.DUMMYFUNCTION("""COMPUTED_VALUE"""),"BLUE")</f>
        <v>BLUE</v>
      </c>
      <c r="G8465" s="20" t="str">
        <f>IFERROR(__xludf.DUMMYFUNCTION("""COMPUTED_VALUE"""),"Uncle Sams Cider (04/04/2023)")</f>
        <v>Uncle Sams Cider (04/04/2023)</v>
      </c>
      <c r="H8465" s="19"/>
    </row>
    <row r="8466">
      <c r="A8466" s="9"/>
      <c r="B8466" s="15"/>
      <c r="C8466" s="9">
        <f>IFERROR(__xludf.DUMMYFUNCTION("""COMPUTED_VALUE"""),45055.3367272916)</f>
        <v>45055.33673</v>
      </c>
      <c r="D8466" s="15">
        <f>IFERROR(__xludf.DUMMYFUNCTION("""COMPUTED_VALUE"""),1.02)</f>
        <v>1.02</v>
      </c>
      <c r="E8466" s="16">
        <f>IFERROR(__xludf.DUMMYFUNCTION("""COMPUTED_VALUE"""),63.0)</f>
        <v>63</v>
      </c>
      <c r="F8466" s="19" t="str">
        <f>IFERROR(__xludf.DUMMYFUNCTION("""COMPUTED_VALUE"""),"BLUE")</f>
        <v>BLUE</v>
      </c>
      <c r="G8466" s="20" t="str">
        <f>IFERROR(__xludf.DUMMYFUNCTION("""COMPUTED_VALUE"""),"Uncle Sams Cider (04/04/2023)")</f>
        <v>Uncle Sams Cider (04/04/2023)</v>
      </c>
      <c r="H8466" s="19"/>
    </row>
    <row r="8467">
      <c r="A8467" s="9"/>
      <c r="B8467" s="15"/>
      <c r="C8467" s="9">
        <f>IFERROR(__xludf.DUMMYFUNCTION("""COMPUTED_VALUE"""),45055.3263059375)</f>
        <v>45055.32631</v>
      </c>
      <c r="D8467" s="15">
        <f>IFERROR(__xludf.DUMMYFUNCTION("""COMPUTED_VALUE"""),1.02)</f>
        <v>1.02</v>
      </c>
      <c r="E8467" s="16">
        <f>IFERROR(__xludf.DUMMYFUNCTION("""COMPUTED_VALUE"""),62.0)</f>
        <v>62</v>
      </c>
      <c r="F8467" s="19" t="str">
        <f>IFERROR(__xludf.DUMMYFUNCTION("""COMPUTED_VALUE"""),"BLUE")</f>
        <v>BLUE</v>
      </c>
      <c r="G8467" s="20" t="str">
        <f>IFERROR(__xludf.DUMMYFUNCTION("""COMPUTED_VALUE"""),"Uncle Sams Cider (04/04/2023)")</f>
        <v>Uncle Sams Cider (04/04/2023)</v>
      </c>
      <c r="H8467" s="19"/>
    </row>
    <row r="8468">
      <c r="A8468" s="9"/>
      <c r="B8468" s="15"/>
      <c r="C8468" s="9">
        <f>IFERROR(__xludf.DUMMYFUNCTION("""COMPUTED_VALUE"""),45055.3158738773)</f>
        <v>45055.31587</v>
      </c>
      <c r="D8468" s="15">
        <f>IFERROR(__xludf.DUMMYFUNCTION("""COMPUTED_VALUE"""),1.02)</f>
        <v>1.02</v>
      </c>
      <c r="E8468" s="16">
        <f>IFERROR(__xludf.DUMMYFUNCTION("""COMPUTED_VALUE"""),63.0)</f>
        <v>63</v>
      </c>
      <c r="F8468" s="19" t="str">
        <f>IFERROR(__xludf.DUMMYFUNCTION("""COMPUTED_VALUE"""),"BLUE")</f>
        <v>BLUE</v>
      </c>
      <c r="G8468" s="20" t="str">
        <f>IFERROR(__xludf.DUMMYFUNCTION("""COMPUTED_VALUE"""),"Uncle Sams Cider (04/04/2023)")</f>
        <v>Uncle Sams Cider (04/04/2023)</v>
      </c>
      <c r="H8468" s="19"/>
    </row>
    <row r="8469">
      <c r="A8469" s="9"/>
      <c r="B8469" s="15"/>
      <c r="C8469" s="9">
        <f>IFERROR(__xludf.DUMMYFUNCTION("""COMPUTED_VALUE"""),45055.305452824)</f>
        <v>45055.30545</v>
      </c>
      <c r="D8469" s="15">
        <f>IFERROR(__xludf.DUMMYFUNCTION("""COMPUTED_VALUE"""),1.02)</f>
        <v>1.02</v>
      </c>
      <c r="E8469" s="16">
        <f>IFERROR(__xludf.DUMMYFUNCTION("""COMPUTED_VALUE"""),62.0)</f>
        <v>62</v>
      </c>
      <c r="F8469" s="19" t="str">
        <f>IFERROR(__xludf.DUMMYFUNCTION("""COMPUTED_VALUE"""),"BLUE")</f>
        <v>BLUE</v>
      </c>
      <c r="G8469" s="20" t="str">
        <f>IFERROR(__xludf.DUMMYFUNCTION("""COMPUTED_VALUE"""),"Uncle Sams Cider (04/04/2023)")</f>
        <v>Uncle Sams Cider (04/04/2023)</v>
      </c>
      <c r="H8469" s="19"/>
    </row>
    <row r="8470">
      <c r="A8470" s="9"/>
      <c r="B8470" s="15"/>
      <c r="C8470" s="9">
        <f>IFERROR(__xludf.DUMMYFUNCTION("""COMPUTED_VALUE"""),45055.2950337152)</f>
        <v>45055.29503</v>
      </c>
      <c r="D8470" s="15">
        <f>IFERROR(__xludf.DUMMYFUNCTION("""COMPUTED_VALUE"""),1.02)</f>
        <v>1.02</v>
      </c>
      <c r="E8470" s="16">
        <f>IFERROR(__xludf.DUMMYFUNCTION("""COMPUTED_VALUE"""),62.0)</f>
        <v>62</v>
      </c>
      <c r="F8470" s="19" t="str">
        <f>IFERROR(__xludf.DUMMYFUNCTION("""COMPUTED_VALUE"""),"BLUE")</f>
        <v>BLUE</v>
      </c>
      <c r="G8470" s="20" t="str">
        <f>IFERROR(__xludf.DUMMYFUNCTION("""COMPUTED_VALUE"""),"Uncle Sams Cider (04/04/2023)")</f>
        <v>Uncle Sams Cider (04/04/2023)</v>
      </c>
      <c r="H8470" s="19"/>
    </row>
    <row r="8471">
      <c r="A8471" s="9"/>
      <c r="B8471" s="15"/>
      <c r="C8471" s="9">
        <f>IFERROR(__xludf.DUMMYFUNCTION("""COMPUTED_VALUE"""),45055.284613125)</f>
        <v>45055.28461</v>
      </c>
      <c r="D8471" s="15">
        <f>IFERROR(__xludf.DUMMYFUNCTION("""COMPUTED_VALUE"""),1.02)</f>
        <v>1.02</v>
      </c>
      <c r="E8471" s="16">
        <f>IFERROR(__xludf.DUMMYFUNCTION("""COMPUTED_VALUE"""),62.0)</f>
        <v>62</v>
      </c>
      <c r="F8471" s="19" t="str">
        <f>IFERROR(__xludf.DUMMYFUNCTION("""COMPUTED_VALUE"""),"BLUE")</f>
        <v>BLUE</v>
      </c>
      <c r="G8471" s="20" t="str">
        <f>IFERROR(__xludf.DUMMYFUNCTION("""COMPUTED_VALUE"""),"Uncle Sams Cider (04/04/2023)")</f>
        <v>Uncle Sams Cider (04/04/2023)</v>
      </c>
      <c r="H8471" s="19"/>
    </row>
    <row r="8472">
      <c r="A8472" s="9"/>
      <c r="B8472" s="15"/>
      <c r="C8472" s="9">
        <f>IFERROR(__xludf.DUMMYFUNCTION("""COMPUTED_VALUE"""),45055.274189537)</f>
        <v>45055.27419</v>
      </c>
      <c r="D8472" s="15">
        <f>IFERROR(__xludf.DUMMYFUNCTION("""COMPUTED_VALUE"""),1.02)</f>
        <v>1.02</v>
      </c>
      <c r="E8472" s="16">
        <f>IFERROR(__xludf.DUMMYFUNCTION("""COMPUTED_VALUE"""),62.0)</f>
        <v>62</v>
      </c>
      <c r="F8472" s="19" t="str">
        <f>IFERROR(__xludf.DUMMYFUNCTION("""COMPUTED_VALUE"""),"BLUE")</f>
        <v>BLUE</v>
      </c>
      <c r="G8472" s="20" t="str">
        <f>IFERROR(__xludf.DUMMYFUNCTION("""COMPUTED_VALUE"""),"Uncle Sams Cider (04/04/2023)")</f>
        <v>Uncle Sams Cider (04/04/2023)</v>
      </c>
      <c r="H8472" s="19"/>
    </row>
    <row r="8473">
      <c r="A8473" s="9"/>
      <c r="B8473" s="15"/>
      <c r="C8473" s="9">
        <f>IFERROR(__xludf.DUMMYFUNCTION("""COMPUTED_VALUE"""),45055.2533467939)</f>
        <v>45055.25335</v>
      </c>
      <c r="D8473" s="15">
        <f>IFERROR(__xludf.DUMMYFUNCTION("""COMPUTED_VALUE"""),1.02)</f>
        <v>1.02</v>
      </c>
      <c r="E8473" s="16">
        <f>IFERROR(__xludf.DUMMYFUNCTION("""COMPUTED_VALUE"""),62.0)</f>
        <v>62</v>
      </c>
      <c r="F8473" s="19" t="str">
        <f>IFERROR(__xludf.DUMMYFUNCTION("""COMPUTED_VALUE"""),"BLUE")</f>
        <v>BLUE</v>
      </c>
      <c r="G8473" s="20" t="str">
        <f>IFERROR(__xludf.DUMMYFUNCTION("""COMPUTED_VALUE"""),"Uncle Sams Cider (04/04/2023)")</f>
        <v>Uncle Sams Cider (04/04/2023)</v>
      </c>
      <c r="H8473" s="19"/>
    </row>
    <row r="8474">
      <c r="A8474" s="9"/>
      <c r="B8474" s="15"/>
      <c r="C8474" s="9">
        <f>IFERROR(__xludf.DUMMYFUNCTION("""COMPUTED_VALUE"""),45055.2429261111)</f>
        <v>45055.24293</v>
      </c>
      <c r="D8474" s="15">
        <f>IFERROR(__xludf.DUMMYFUNCTION("""COMPUTED_VALUE"""),1.02)</f>
        <v>1.02</v>
      </c>
      <c r="E8474" s="16">
        <f>IFERROR(__xludf.DUMMYFUNCTION("""COMPUTED_VALUE"""),62.0)</f>
        <v>62</v>
      </c>
      <c r="F8474" s="19" t="str">
        <f>IFERROR(__xludf.DUMMYFUNCTION("""COMPUTED_VALUE"""),"BLUE")</f>
        <v>BLUE</v>
      </c>
      <c r="G8474" s="20" t="str">
        <f>IFERROR(__xludf.DUMMYFUNCTION("""COMPUTED_VALUE"""),"Uncle Sams Cider (04/04/2023)")</f>
        <v>Uncle Sams Cider (04/04/2023)</v>
      </c>
      <c r="H8474" s="19"/>
    </row>
    <row r="8475">
      <c r="A8475" s="9"/>
      <c r="B8475" s="15"/>
      <c r="C8475" s="9">
        <f>IFERROR(__xludf.DUMMYFUNCTION("""COMPUTED_VALUE"""),45055.2325030787)</f>
        <v>45055.2325</v>
      </c>
      <c r="D8475" s="15">
        <f>IFERROR(__xludf.DUMMYFUNCTION("""COMPUTED_VALUE"""),1.02)</f>
        <v>1.02</v>
      </c>
      <c r="E8475" s="16">
        <f>IFERROR(__xludf.DUMMYFUNCTION("""COMPUTED_VALUE"""),62.0)</f>
        <v>62</v>
      </c>
      <c r="F8475" s="19" t="str">
        <f>IFERROR(__xludf.DUMMYFUNCTION("""COMPUTED_VALUE"""),"BLUE")</f>
        <v>BLUE</v>
      </c>
      <c r="G8475" s="20" t="str">
        <f>IFERROR(__xludf.DUMMYFUNCTION("""COMPUTED_VALUE"""),"Uncle Sams Cider (04/04/2023)")</f>
        <v>Uncle Sams Cider (04/04/2023)</v>
      </c>
      <c r="H8475" s="19"/>
    </row>
    <row r="8476">
      <c r="A8476" s="9"/>
      <c r="B8476" s="15"/>
      <c r="C8476" s="9">
        <f>IFERROR(__xludf.DUMMYFUNCTION("""COMPUTED_VALUE"""),45055.2220816898)</f>
        <v>45055.22208</v>
      </c>
      <c r="D8476" s="15">
        <f>IFERROR(__xludf.DUMMYFUNCTION("""COMPUTED_VALUE"""),1.02)</f>
        <v>1.02</v>
      </c>
      <c r="E8476" s="16">
        <f>IFERROR(__xludf.DUMMYFUNCTION("""COMPUTED_VALUE"""),62.0)</f>
        <v>62</v>
      </c>
      <c r="F8476" s="19" t="str">
        <f>IFERROR(__xludf.DUMMYFUNCTION("""COMPUTED_VALUE"""),"BLUE")</f>
        <v>BLUE</v>
      </c>
      <c r="G8476" s="20" t="str">
        <f>IFERROR(__xludf.DUMMYFUNCTION("""COMPUTED_VALUE"""),"Uncle Sams Cider (04/04/2023)")</f>
        <v>Uncle Sams Cider (04/04/2023)</v>
      </c>
      <c r="H8476" s="19"/>
    </row>
    <row r="8477">
      <c r="A8477" s="9"/>
      <c r="B8477" s="15"/>
      <c r="C8477" s="9">
        <f>IFERROR(__xludf.DUMMYFUNCTION("""COMPUTED_VALUE"""),45055.2116488194)</f>
        <v>45055.21165</v>
      </c>
      <c r="D8477" s="15">
        <f>IFERROR(__xludf.DUMMYFUNCTION("""COMPUTED_VALUE"""),1.02)</f>
        <v>1.02</v>
      </c>
      <c r="E8477" s="16">
        <f>IFERROR(__xludf.DUMMYFUNCTION("""COMPUTED_VALUE"""),62.0)</f>
        <v>62</v>
      </c>
      <c r="F8477" s="19" t="str">
        <f>IFERROR(__xludf.DUMMYFUNCTION("""COMPUTED_VALUE"""),"BLUE")</f>
        <v>BLUE</v>
      </c>
      <c r="G8477" s="20" t="str">
        <f>IFERROR(__xludf.DUMMYFUNCTION("""COMPUTED_VALUE"""),"Uncle Sams Cider (04/04/2023)")</f>
        <v>Uncle Sams Cider (04/04/2023)</v>
      </c>
      <c r="H8477" s="19"/>
    </row>
    <row r="8478">
      <c r="A8478" s="9"/>
      <c r="B8478" s="15"/>
      <c r="C8478" s="9">
        <f>IFERROR(__xludf.DUMMYFUNCTION("""COMPUTED_VALUE"""),45055.2012249189)</f>
        <v>45055.20122</v>
      </c>
      <c r="D8478" s="15">
        <f>IFERROR(__xludf.DUMMYFUNCTION("""COMPUTED_VALUE"""),1.02)</f>
        <v>1.02</v>
      </c>
      <c r="E8478" s="16">
        <f>IFERROR(__xludf.DUMMYFUNCTION("""COMPUTED_VALUE"""),62.0)</f>
        <v>62</v>
      </c>
      <c r="F8478" s="19" t="str">
        <f>IFERROR(__xludf.DUMMYFUNCTION("""COMPUTED_VALUE"""),"BLUE")</f>
        <v>BLUE</v>
      </c>
      <c r="G8478" s="20" t="str">
        <f>IFERROR(__xludf.DUMMYFUNCTION("""COMPUTED_VALUE"""),"Uncle Sams Cider (04/04/2023)")</f>
        <v>Uncle Sams Cider (04/04/2023)</v>
      </c>
      <c r="H8478" s="19"/>
    </row>
    <row r="8479">
      <c r="A8479" s="9"/>
      <c r="B8479" s="15"/>
      <c r="C8479" s="9">
        <f>IFERROR(__xludf.DUMMYFUNCTION("""COMPUTED_VALUE"""),45055.1908056597)</f>
        <v>45055.19081</v>
      </c>
      <c r="D8479" s="15">
        <f>IFERROR(__xludf.DUMMYFUNCTION("""COMPUTED_VALUE"""),1.02)</f>
        <v>1.02</v>
      </c>
      <c r="E8479" s="16">
        <f>IFERROR(__xludf.DUMMYFUNCTION("""COMPUTED_VALUE"""),62.0)</f>
        <v>62</v>
      </c>
      <c r="F8479" s="19" t="str">
        <f>IFERROR(__xludf.DUMMYFUNCTION("""COMPUTED_VALUE"""),"BLUE")</f>
        <v>BLUE</v>
      </c>
      <c r="G8479" s="20" t="str">
        <f>IFERROR(__xludf.DUMMYFUNCTION("""COMPUTED_VALUE"""),"Uncle Sams Cider (04/04/2023)")</f>
        <v>Uncle Sams Cider (04/04/2023)</v>
      </c>
      <c r="H8479" s="19"/>
    </row>
    <row r="8480">
      <c r="A8480" s="9"/>
      <c r="B8480" s="15"/>
      <c r="C8480" s="9">
        <f>IFERROR(__xludf.DUMMYFUNCTION("""COMPUTED_VALUE"""),45055.1803860532)</f>
        <v>45055.18039</v>
      </c>
      <c r="D8480" s="15">
        <f>IFERROR(__xludf.DUMMYFUNCTION("""COMPUTED_VALUE"""),1.02)</f>
        <v>1.02</v>
      </c>
      <c r="E8480" s="16">
        <f>IFERROR(__xludf.DUMMYFUNCTION("""COMPUTED_VALUE"""),62.0)</f>
        <v>62</v>
      </c>
      <c r="F8480" s="19" t="str">
        <f>IFERROR(__xludf.DUMMYFUNCTION("""COMPUTED_VALUE"""),"BLUE")</f>
        <v>BLUE</v>
      </c>
      <c r="G8480" s="20" t="str">
        <f>IFERROR(__xludf.DUMMYFUNCTION("""COMPUTED_VALUE"""),"Uncle Sams Cider (04/04/2023)")</f>
        <v>Uncle Sams Cider (04/04/2023)</v>
      </c>
      <c r="H8480" s="19"/>
    </row>
    <row r="8481">
      <c r="A8481" s="9"/>
      <c r="B8481" s="15"/>
      <c r="C8481" s="9">
        <f>IFERROR(__xludf.DUMMYFUNCTION("""COMPUTED_VALUE"""),45055.1699644444)</f>
        <v>45055.16996</v>
      </c>
      <c r="D8481" s="15">
        <f>IFERROR(__xludf.DUMMYFUNCTION("""COMPUTED_VALUE"""),1.02)</f>
        <v>1.02</v>
      </c>
      <c r="E8481" s="16">
        <f>IFERROR(__xludf.DUMMYFUNCTION("""COMPUTED_VALUE"""),62.0)</f>
        <v>62</v>
      </c>
      <c r="F8481" s="19" t="str">
        <f>IFERROR(__xludf.DUMMYFUNCTION("""COMPUTED_VALUE"""),"BLUE")</f>
        <v>BLUE</v>
      </c>
      <c r="G8481" s="20" t="str">
        <f>IFERROR(__xludf.DUMMYFUNCTION("""COMPUTED_VALUE"""),"Uncle Sams Cider (04/04/2023)")</f>
        <v>Uncle Sams Cider (04/04/2023)</v>
      </c>
      <c r="H8481" s="19"/>
    </row>
    <row r="8482">
      <c r="A8482" s="9"/>
      <c r="B8482" s="15"/>
      <c r="C8482" s="9">
        <f>IFERROR(__xludf.DUMMYFUNCTION("""COMPUTED_VALUE"""),45055.1595424074)</f>
        <v>45055.15954</v>
      </c>
      <c r="D8482" s="15">
        <f>IFERROR(__xludf.DUMMYFUNCTION("""COMPUTED_VALUE"""),1.02)</f>
        <v>1.02</v>
      </c>
      <c r="E8482" s="16">
        <f>IFERROR(__xludf.DUMMYFUNCTION("""COMPUTED_VALUE"""),62.0)</f>
        <v>62</v>
      </c>
      <c r="F8482" s="19" t="str">
        <f>IFERROR(__xludf.DUMMYFUNCTION("""COMPUTED_VALUE"""),"BLUE")</f>
        <v>BLUE</v>
      </c>
      <c r="G8482" s="20" t="str">
        <f>IFERROR(__xludf.DUMMYFUNCTION("""COMPUTED_VALUE"""),"Uncle Sams Cider (04/04/2023)")</f>
        <v>Uncle Sams Cider (04/04/2023)</v>
      </c>
      <c r="H8482" s="19"/>
    </row>
    <row r="8483">
      <c r="A8483" s="9"/>
      <c r="B8483" s="15"/>
      <c r="C8483" s="9">
        <f>IFERROR(__xludf.DUMMYFUNCTION("""COMPUTED_VALUE"""),45055.1491230324)</f>
        <v>45055.14912</v>
      </c>
      <c r="D8483" s="15">
        <f>IFERROR(__xludf.DUMMYFUNCTION("""COMPUTED_VALUE"""),1.02)</f>
        <v>1.02</v>
      </c>
      <c r="E8483" s="16">
        <f>IFERROR(__xludf.DUMMYFUNCTION("""COMPUTED_VALUE"""),62.0)</f>
        <v>62</v>
      </c>
      <c r="F8483" s="19" t="str">
        <f>IFERROR(__xludf.DUMMYFUNCTION("""COMPUTED_VALUE"""),"BLUE")</f>
        <v>BLUE</v>
      </c>
      <c r="G8483" s="20" t="str">
        <f>IFERROR(__xludf.DUMMYFUNCTION("""COMPUTED_VALUE"""),"Uncle Sams Cider (04/04/2023)")</f>
        <v>Uncle Sams Cider (04/04/2023)</v>
      </c>
      <c r="H8483" s="19"/>
    </row>
    <row r="8484">
      <c r="A8484" s="9"/>
      <c r="B8484" s="15"/>
      <c r="C8484" s="9">
        <f>IFERROR(__xludf.DUMMYFUNCTION("""COMPUTED_VALUE"""),45055.1387020138)</f>
        <v>45055.1387</v>
      </c>
      <c r="D8484" s="15">
        <f>IFERROR(__xludf.DUMMYFUNCTION("""COMPUTED_VALUE"""),1.02)</f>
        <v>1.02</v>
      </c>
      <c r="E8484" s="16">
        <f>IFERROR(__xludf.DUMMYFUNCTION("""COMPUTED_VALUE"""),62.0)</f>
        <v>62</v>
      </c>
      <c r="F8484" s="19" t="str">
        <f>IFERROR(__xludf.DUMMYFUNCTION("""COMPUTED_VALUE"""),"BLUE")</f>
        <v>BLUE</v>
      </c>
      <c r="G8484" s="20" t="str">
        <f>IFERROR(__xludf.DUMMYFUNCTION("""COMPUTED_VALUE"""),"Uncle Sams Cider (04/04/2023)")</f>
        <v>Uncle Sams Cider (04/04/2023)</v>
      </c>
      <c r="H8484" s="19"/>
    </row>
    <row r="8485">
      <c r="A8485" s="9"/>
      <c r="B8485" s="15"/>
      <c r="C8485" s="9">
        <f>IFERROR(__xludf.DUMMYFUNCTION("""COMPUTED_VALUE"""),45055.1282688425)</f>
        <v>45055.12827</v>
      </c>
      <c r="D8485" s="15">
        <f>IFERROR(__xludf.DUMMYFUNCTION("""COMPUTED_VALUE"""),1.02)</f>
        <v>1.02</v>
      </c>
      <c r="E8485" s="16">
        <f>IFERROR(__xludf.DUMMYFUNCTION("""COMPUTED_VALUE"""),62.0)</f>
        <v>62</v>
      </c>
      <c r="F8485" s="19" t="str">
        <f>IFERROR(__xludf.DUMMYFUNCTION("""COMPUTED_VALUE"""),"BLUE")</f>
        <v>BLUE</v>
      </c>
      <c r="G8485" s="20" t="str">
        <f>IFERROR(__xludf.DUMMYFUNCTION("""COMPUTED_VALUE"""),"Uncle Sams Cider (04/04/2023)")</f>
        <v>Uncle Sams Cider (04/04/2023)</v>
      </c>
      <c r="H8485" s="19"/>
    </row>
    <row r="8486">
      <c r="A8486" s="9"/>
      <c r="B8486" s="15"/>
      <c r="C8486" s="9">
        <f>IFERROR(__xludf.DUMMYFUNCTION("""COMPUTED_VALUE"""),45055.1178454861)</f>
        <v>45055.11785</v>
      </c>
      <c r="D8486" s="15">
        <f>IFERROR(__xludf.DUMMYFUNCTION("""COMPUTED_VALUE"""),1.02)</f>
        <v>1.02</v>
      </c>
      <c r="E8486" s="16">
        <f>IFERROR(__xludf.DUMMYFUNCTION("""COMPUTED_VALUE"""),62.0)</f>
        <v>62</v>
      </c>
      <c r="F8486" s="19" t="str">
        <f>IFERROR(__xludf.DUMMYFUNCTION("""COMPUTED_VALUE"""),"BLUE")</f>
        <v>BLUE</v>
      </c>
      <c r="G8486" s="20" t="str">
        <f>IFERROR(__xludf.DUMMYFUNCTION("""COMPUTED_VALUE"""),"Uncle Sams Cider (04/04/2023)")</f>
        <v>Uncle Sams Cider (04/04/2023)</v>
      </c>
      <c r="H8486" s="19"/>
    </row>
    <row r="8487">
      <c r="A8487" s="9"/>
      <c r="B8487" s="15"/>
      <c r="C8487" s="9">
        <f>IFERROR(__xludf.DUMMYFUNCTION("""COMPUTED_VALUE"""),45055.1074248495)</f>
        <v>45055.10742</v>
      </c>
      <c r="D8487" s="15">
        <f>IFERROR(__xludf.DUMMYFUNCTION("""COMPUTED_VALUE"""),1.02)</f>
        <v>1.02</v>
      </c>
      <c r="E8487" s="16">
        <f>IFERROR(__xludf.DUMMYFUNCTION("""COMPUTED_VALUE"""),62.0)</f>
        <v>62</v>
      </c>
      <c r="F8487" s="19" t="str">
        <f>IFERROR(__xludf.DUMMYFUNCTION("""COMPUTED_VALUE"""),"BLUE")</f>
        <v>BLUE</v>
      </c>
      <c r="G8487" s="20" t="str">
        <f>IFERROR(__xludf.DUMMYFUNCTION("""COMPUTED_VALUE"""),"Uncle Sams Cider (04/04/2023)")</f>
        <v>Uncle Sams Cider (04/04/2023)</v>
      </c>
      <c r="H8487" s="19"/>
    </row>
    <row r="8488">
      <c r="A8488" s="9"/>
      <c r="B8488" s="15"/>
      <c r="C8488" s="9">
        <f>IFERROR(__xludf.DUMMYFUNCTION("""COMPUTED_VALUE"""),45055.0970034375)</f>
        <v>45055.097</v>
      </c>
      <c r="D8488" s="15">
        <f>IFERROR(__xludf.DUMMYFUNCTION("""COMPUTED_VALUE"""),1.02)</f>
        <v>1.02</v>
      </c>
      <c r="E8488" s="16">
        <f>IFERROR(__xludf.DUMMYFUNCTION("""COMPUTED_VALUE"""),62.0)</f>
        <v>62</v>
      </c>
      <c r="F8488" s="19" t="str">
        <f>IFERROR(__xludf.DUMMYFUNCTION("""COMPUTED_VALUE"""),"BLUE")</f>
        <v>BLUE</v>
      </c>
      <c r="G8488" s="20" t="str">
        <f>IFERROR(__xludf.DUMMYFUNCTION("""COMPUTED_VALUE"""),"Uncle Sams Cider (04/04/2023)")</f>
        <v>Uncle Sams Cider (04/04/2023)</v>
      </c>
      <c r="H8488" s="19"/>
    </row>
    <row r="8489">
      <c r="A8489" s="9"/>
      <c r="B8489" s="15"/>
      <c r="C8489" s="9">
        <f>IFERROR(__xludf.DUMMYFUNCTION("""COMPUTED_VALUE"""),45055.0865831018)</f>
        <v>45055.08658</v>
      </c>
      <c r="D8489" s="15">
        <f>IFERROR(__xludf.DUMMYFUNCTION("""COMPUTED_VALUE"""),1.02)</f>
        <v>1.02</v>
      </c>
      <c r="E8489" s="16">
        <f>IFERROR(__xludf.DUMMYFUNCTION("""COMPUTED_VALUE"""),62.0)</f>
        <v>62</v>
      </c>
      <c r="F8489" s="19" t="str">
        <f>IFERROR(__xludf.DUMMYFUNCTION("""COMPUTED_VALUE"""),"BLUE")</f>
        <v>BLUE</v>
      </c>
      <c r="G8489" s="20" t="str">
        <f>IFERROR(__xludf.DUMMYFUNCTION("""COMPUTED_VALUE"""),"Uncle Sams Cider (04/04/2023)")</f>
        <v>Uncle Sams Cider (04/04/2023)</v>
      </c>
      <c r="H8489" s="19"/>
    </row>
    <row r="8490">
      <c r="A8490" s="9"/>
      <c r="B8490" s="15"/>
      <c r="C8490" s="9">
        <f>IFERROR(__xludf.DUMMYFUNCTION("""COMPUTED_VALUE"""),45055.0761615856)</f>
        <v>45055.07616</v>
      </c>
      <c r="D8490" s="15">
        <f>IFERROR(__xludf.DUMMYFUNCTION("""COMPUTED_VALUE"""),1.02)</f>
        <v>1.02</v>
      </c>
      <c r="E8490" s="16">
        <f>IFERROR(__xludf.DUMMYFUNCTION("""COMPUTED_VALUE"""),62.0)</f>
        <v>62</v>
      </c>
      <c r="F8490" s="19" t="str">
        <f>IFERROR(__xludf.DUMMYFUNCTION("""COMPUTED_VALUE"""),"BLUE")</f>
        <v>BLUE</v>
      </c>
      <c r="G8490" s="20" t="str">
        <f>IFERROR(__xludf.DUMMYFUNCTION("""COMPUTED_VALUE"""),"Uncle Sams Cider (04/04/2023)")</f>
        <v>Uncle Sams Cider (04/04/2023)</v>
      </c>
      <c r="H8490" s="19"/>
    </row>
    <row r="8491">
      <c r="A8491" s="9"/>
      <c r="B8491" s="15"/>
      <c r="C8491" s="9">
        <f>IFERROR(__xludf.DUMMYFUNCTION("""COMPUTED_VALUE"""),45055.0657400925)</f>
        <v>45055.06574</v>
      </c>
      <c r="D8491" s="15">
        <f>IFERROR(__xludf.DUMMYFUNCTION("""COMPUTED_VALUE"""),1.02)</f>
        <v>1.02</v>
      </c>
      <c r="E8491" s="16">
        <f>IFERROR(__xludf.DUMMYFUNCTION("""COMPUTED_VALUE"""),62.0)</f>
        <v>62</v>
      </c>
      <c r="F8491" s="19" t="str">
        <f>IFERROR(__xludf.DUMMYFUNCTION("""COMPUTED_VALUE"""),"BLUE")</f>
        <v>BLUE</v>
      </c>
      <c r="G8491" s="20" t="str">
        <f>IFERROR(__xludf.DUMMYFUNCTION("""COMPUTED_VALUE"""),"Uncle Sams Cider (04/04/2023)")</f>
        <v>Uncle Sams Cider (04/04/2023)</v>
      </c>
      <c r="H8491" s="19"/>
    </row>
    <row r="8492">
      <c r="A8492" s="9"/>
      <c r="B8492" s="15"/>
      <c r="C8492" s="9">
        <f>IFERROR(__xludf.DUMMYFUNCTION("""COMPUTED_VALUE"""),45055.0553189004)</f>
        <v>45055.05532</v>
      </c>
      <c r="D8492" s="15">
        <f>IFERROR(__xludf.DUMMYFUNCTION("""COMPUTED_VALUE"""),1.02)</f>
        <v>1.02</v>
      </c>
      <c r="E8492" s="16">
        <f>IFERROR(__xludf.DUMMYFUNCTION("""COMPUTED_VALUE"""),62.0)</f>
        <v>62</v>
      </c>
      <c r="F8492" s="19" t="str">
        <f>IFERROR(__xludf.DUMMYFUNCTION("""COMPUTED_VALUE"""),"BLUE")</f>
        <v>BLUE</v>
      </c>
      <c r="G8492" s="20" t="str">
        <f>IFERROR(__xludf.DUMMYFUNCTION("""COMPUTED_VALUE"""),"Uncle Sams Cider (04/04/2023)")</f>
        <v>Uncle Sams Cider (04/04/2023)</v>
      </c>
      <c r="H8492" s="19"/>
    </row>
    <row r="8493">
      <c r="A8493" s="9"/>
      <c r="B8493" s="15"/>
      <c r="C8493" s="9">
        <f>IFERROR(__xludf.DUMMYFUNCTION("""COMPUTED_VALUE"""),45055.0448854629)</f>
        <v>45055.04489</v>
      </c>
      <c r="D8493" s="15">
        <f>IFERROR(__xludf.DUMMYFUNCTION("""COMPUTED_VALUE"""),1.02)</f>
        <v>1.02</v>
      </c>
      <c r="E8493" s="16">
        <f>IFERROR(__xludf.DUMMYFUNCTION("""COMPUTED_VALUE"""),62.0)</f>
        <v>62</v>
      </c>
      <c r="F8493" s="19" t="str">
        <f>IFERROR(__xludf.DUMMYFUNCTION("""COMPUTED_VALUE"""),"BLUE")</f>
        <v>BLUE</v>
      </c>
      <c r="G8493" s="20" t="str">
        <f>IFERROR(__xludf.DUMMYFUNCTION("""COMPUTED_VALUE"""),"Uncle Sams Cider (04/04/2023)")</f>
        <v>Uncle Sams Cider (04/04/2023)</v>
      </c>
      <c r="H8493" s="19"/>
    </row>
    <row r="8494">
      <c r="A8494" s="9"/>
      <c r="B8494" s="15"/>
      <c r="C8494" s="9">
        <f>IFERROR(__xludf.DUMMYFUNCTION("""COMPUTED_VALUE"""),45055.0344648263)</f>
        <v>45055.03446</v>
      </c>
      <c r="D8494" s="15">
        <f>IFERROR(__xludf.DUMMYFUNCTION("""COMPUTED_VALUE"""),1.02)</f>
        <v>1.02</v>
      </c>
      <c r="E8494" s="16">
        <f>IFERROR(__xludf.DUMMYFUNCTION("""COMPUTED_VALUE"""),62.0)</f>
        <v>62</v>
      </c>
      <c r="F8494" s="19" t="str">
        <f>IFERROR(__xludf.DUMMYFUNCTION("""COMPUTED_VALUE"""),"BLUE")</f>
        <v>BLUE</v>
      </c>
      <c r="G8494" s="20" t="str">
        <f>IFERROR(__xludf.DUMMYFUNCTION("""COMPUTED_VALUE"""),"Uncle Sams Cider (04/04/2023)")</f>
        <v>Uncle Sams Cider (04/04/2023)</v>
      </c>
      <c r="H8494" s="19"/>
    </row>
    <row r="8495">
      <c r="A8495" s="9"/>
      <c r="B8495" s="15"/>
      <c r="C8495" s="9">
        <f>IFERROR(__xludf.DUMMYFUNCTION("""COMPUTED_VALUE"""),45055.024043993)</f>
        <v>45055.02404</v>
      </c>
      <c r="D8495" s="15">
        <f>IFERROR(__xludf.DUMMYFUNCTION("""COMPUTED_VALUE"""),1.02)</f>
        <v>1.02</v>
      </c>
      <c r="E8495" s="16">
        <f>IFERROR(__xludf.DUMMYFUNCTION("""COMPUTED_VALUE"""),62.0)</f>
        <v>62</v>
      </c>
      <c r="F8495" s="19" t="str">
        <f>IFERROR(__xludf.DUMMYFUNCTION("""COMPUTED_VALUE"""),"BLUE")</f>
        <v>BLUE</v>
      </c>
      <c r="G8495" s="20" t="str">
        <f>IFERROR(__xludf.DUMMYFUNCTION("""COMPUTED_VALUE"""),"Uncle Sams Cider (04/04/2023)")</f>
        <v>Uncle Sams Cider (04/04/2023)</v>
      </c>
      <c r="H8495" s="19"/>
    </row>
    <row r="8496">
      <c r="A8496" s="9"/>
      <c r="B8496" s="15"/>
      <c r="C8496" s="9">
        <f>IFERROR(__xludf.DUMMYFUNCTION("""COMPUTED_VALUE"""),45055.0136209838)</f>
        <v>45055.01362</v>
      </c>
      <c r="D8496" s="15">
        <f>IFERROR(__xludf.DUMMYFUNCTION("""COMPUTED_VALUE"""),1.02)</f>
        <v>1.02</v>
      </c>
      <c r="E8496" s="16">
        <f>IFERROR(__xludf.DUMMYFUNCTION("""COMPUTED_VALUE"""),62.0)</f>
        <v>62</v>
      </c>
      <c r="F8496" s="19" t="str">
        <f>IFERROR(__xludf.DUMMYFUNCTION("""COMPUTED_VALUE"""),"BLUE")</f>
        <v>BLUE</v>
      </c>
      <c r="G8496" s="20" t="str">
        <f>IFERROR(__xludf.DUMMYFUNCTION("""COMPUTED_VALUE"""),"Uncle Sams Cider (04/04/2023)")</f>
        <v>Uncle Sams Cider (04/04/2023)</v>
      </c>
      <c r="H8496" s="19"/>
    </row>
    <row r="8497">
      <c r="A8497" s="9"/>
      <c r="B8497" s="15"/>
      <c r="C8497" s="9">
        <f>IFERROR(__xludf.DUMMYFUNCTION("""COMPUTED_VALUE"""),45055.0032006828)</f>
        <v>45055.0032</v>
      </c>
      <c r="D8497" s="15">
        <f>IFERROR(__xludf.DUMMYFUNCTION("""COMPUTED_VALUE"""),1.02)</f>
        <v>1.02</v>
      </c>
      <c r="E8497" s="16">
        <f>IFERROR(__xludf.DUMMYFUNCTION("""COMPUTED_VALUE"""),62.0)</f>
        <v>62</v>
      </c>
      <c r="F8497" s="19" t="str">
        <f>IFERROR(__xludf.DUMMYFUNCTION("""COMPUTED_VALUE"""),"BLUE")</f>
        <v>BLUE</v>
      </c>
      <c r="G8497" s="20" t="str">
        <f>IFERROR(__xludf.DUMMYFUNCTION("""COMPUTED_VALUE"""),"Uncle Sams Cider (04/04/2023)")</f>
        <v>Uncle Sams Cider (04/04/2023)</v>
      </c>
      <c r="H8497" s="19"/>
    </row>
    <row r="8498">
      <c r="A8498" s="9"/>
      <c r="B8498" s="15"/>
      <c r="C8498" s="9">
        <f>IFERROR(__xludf.DUMMYFUNCTION("""COMPUTED_VALUE"""),45054.9927798958)</f>
        <v>45054.99278</v>
      </c>
      <c r="D8498" s="15">
        <f>IFERROR(__xludf.DUMMYFUNCTION("""COMPUTED_VALUE"""),1.02)</f>
        <v>1.02</v>
      </c>
      <c r="E8498" s="16">
        <f>IFERROR(__xludf.DUMMYFUNCTION("""COMPUTED_VALUE"""),62.0)</f>
        <v>62</v>
      </c>
      <c r="F8498" s="19" t="str">
        <f>IFERROR(__xludf.DUMMYFUNCTION("""COMPUTED_VALUE"""),"BLUE")</f>
        <v>BLUE</v>
      </c>
      <c r="G8498" s="20" t="str">
        <f>IFERROR(__xludf.DUMMYFUNCTION("""COMPUTED_VALUE"""),"Uncle Sams Cider (04/04/2023)")</f>
        <v>Uncle Sams Cider (04/04/2023)</v>
      </c>
      <c r="H8498" s="19"/>
    </row>
    <row r="8499">
      <c r="A8499" s="9"/>
      <c r="B8499" s="15"/>
      <c r="C8499" s="9">
        <f>IFERROR(__xludf.DUMMYFUNCTION("""COMPUTED_VALUE"""),45054.9823583333)</f>
        <v>45054.98236</v>
      </c>
      <c r="D8499" s="15">
        <f>IFERROR(__xludf.DUMMYFUNCTION("""COMPUTED_VALUE"""),1.02)</f>
        <v>1.02</v>
      </c>
      <c r="E8499" s="16">
        <f>IFERROR(__xludf.DUMMYFUNCTION("""COMPUTED_VALUE"""),62.0)</f>
        <v>62</v>
      </c>
      <c r="F8499" s="19" t="str">
        <f>IFERROR(__xludf.DUMMYFUNCTION("""COMPUTED_VALUE"""),"BLUE")</f>
        <v>BLUE</v>
      </c>
      <c r="G8499" s="20" t="str">
        <f>IFERROR(__xludf.DUMMYFUNCTION("""COMPUTED_VALUE"""),"Uncle Sams Cider (04/04/2023)")</f>
        <v>Uncle Sams Cider (04/04/2023)</v>
      </c>
      <c r="H8499" s="19"/>
    </row>
    <row r="8500">
      <c r="A8500" s="9"/>
      <c r="B8500" s="15"/>
      <c r="C8500" s="9">
        <f>IFERROR(__xludf.DUMMYFUNCTION("""COMPUTED_VALUE"""),45054.9719355902)</f>
        <v>45054.97194</v>
      </c>
      <c r="D8500" s="15">
        <f>IFERROR(__xludf.DUMMYFUNCTION("""COMPUTED_VALUE"""),1.02)</f>
        <v>1.02</v>
      </c>
      <c r="E8500" s="16">
        <f>IFERROR(__xludf.DUMMYFUNCTION("""COMPUTED_VALUE"""),62.0)</f>
        <v>62</v>
      </c>
      <c r="F8500" s="19" t="str">
        <f>IFERROR(__xludf.DUMMYFUNCTION("""COMPUTED_VALUE"""),"BLUE")</f>
        <v>BLUE</v>
      </c>
      <c r="G8500" s="20" t="str">
        <f>IFERROR(__xludf.DUMMYFUNCTION("""COMPUTED_VALUE"""),"Uncle Sams Cider (04/04/2023)")</f>
        <v>Uncle Sams Cider (04/04/2023)</v>
      </c>
      <c r="H8500" s="19"/>
    </row>
    <row r="8501">
      <c r="A8501" s="9"/>
      <c r="B8501" s="15"/>
      <c r="C8501" s="9">
        <f>IFERROR(__xludf.DUMMYFUNCTION("""COMPUTED_VALUE"""),45054.9615142245)</f>
        <v>45054.96151</v>
      </c>
      <c r="D8501" s="15">
        <f>IFERROR(__xludf.DUMMYFUNCTION("""COMPUTED_VALUE"""),1.02)</f>
        <v>1.02</v>
      </c>
      <c r="E8501" s="16">
        <f>IFERROR(__xludf.DUMMYFUNCTION("""COMPUTED_VALUE"""),62.0)</f>
        <v>62</v>
      </c>
      <c r="F8501" s="19" t="str">
        <f>IFERROR(__xludf.DUMMYFUNCTION("""COMPUTED_VALUE"""),"BLUE")</f>
        <v>BLUE</v>
      </c>
      <c r="G8501" s="20" t="str">
        <f>IFERROR(__xludf.DUMMYFUNCTION("""COMPUTED_VALUE"""),"Uncle Sams Cider (04/04/2023)")</f>
        <v>Uncle Sams Cider (04/04/2023)</v>
      </c>
      <c r="H8501" s="19"/>
    </row>
    <row r="8502">
      <c r="A8502" s="9"/>
      <c r="B8502" s="15"/>
      <c r="C8502" s="9">
        <f>IFERROR(__xludf.DUMMYFUNCTION("""COMPUTED_VALUE"""),45054.9510952314)</f>
        <v>45054.9511</v>
      </c>
      <c r="D8502" s="15">
        <f>IFERROR(__xludf.DUMMYFUNCTION("""COMPUTED_VALUE"""),1.02)</f>
        <v>1.02</v>
      </c>
      <c r="E8502" s="16">
        <f>IFERROR(__xludf.DUMMYFUNCTION("""COMPUTED_VALUE"""),62.0)</f>
        <v>62</v>
      </c>
      <c r="F8502" s="19" t="str">
        <f>IFERROR(__xludf.DUMMYFUNCTION("""COMPUTED_VALUE"""),"BLUE")</f>
        <v>BLUE</v>
      </c>
      <c r="G8502" s="20" t="str">
        <f>IFERROR(__xludf.DUMMYFUNCTION("""COMPUTED_VALUE"""),"Uncle Sams Cider (04/04/2023)")</f>
        <v>Uncle Sams Cider (04/04/2023)</v>
      </c>
      <c r="H8502" s="19"/>
    </row>
    <row r="8503">
      <c r="A8503" s="9"/>
      <c r="B8503" s="15"/>
      <c r="C8503" s="9">
        <f>IFERROR(__xludf.DUMMYFUNCTION("""COMPUTED_VALUE"""),45054.9406754976)</f>
        <v>45054.94068</v>
      </c>
      <c r="D8503" s="15">
        <f>IFERROR(__xludf.DUMMYFUNCTION("""COMPUTED_VALUE"""),1.02)</f>
        <v>1.02</v>
      </c>
      <c r="E8503" s="16">
        <f>IFERROR(__xludf.DUMMYFUNCTION("""COMPUTED_VALUE"""),62.0)</f>
        <v>62</v>
      </c>
      <c r="F8503" s="19" t="str">
        <f>IFERROR(__xludf.DUMMYFUNCTION("""COMPUTED_VALUE"""),"BLUE")</f>
        <v>BLUE</v>
      </c>
      <c r="G8503" s="20" t="str">
        <f>IFERROR(__xludf.DUMMYFUNCTION("""COMPUTED_VALUE"""),"Uncle Sams Cider (04/04/2023)")</f>
        <v>Uncle Sams Cider (04/04/2023)</v>
      </c>
      <c r="H8503" s="19"/>
    </row>
    <row r="8504">
      <c r="A8504" s="9"/>
      <c r="B8504" s="15"/>
      <c r="C8504" s="9">
        <f>IFERROR(__xludf.DUMMYFUNCTION("""COMPUTED_VALUE"""),45054.9302527662)</f>
        <v>45054.93025</v>
      </c>
      <c r="D8504" s="15">
        <f>IFERROR(__xludf.DUMMYFUNCTION("""COMPUTED_VALUE"""),1.02)</f>
        <v>1.02</v>
      </c>
      <c r="E8504" s="16">
        <f>IFERROR(__xludf.DUMMYFUNCTION("""COMPUTED_VALUE"""),62.0)</f>
        <v>62</v>
      </c>
      <c r="F8504" s="19" t="str">
        <f>IFERROR(__xludf.DUMMYFUNCTION("""COMPUTED_VALUE"""),"BLUE")</f>
        <v>BLUE</v>
      </c>
      <c r="G8504" s="20" t="str">
        <f>IFERROR(__xludf.DUMMYFUNCTION("""COMPUTED_VALUE"""),"Uncle Sams Cider (04/04/2023)")</f>
        <v>Uncle Sams Cider (04/04/2023)</v>
      </c>
      <c r="H8504" s="19"/>
    </row>
    <row r="8505">
      <c r="A8505" s="9"/>
      <c r="B8505" s="15"/>
      <c r="C8505" s="9">
        <f>IFERROR(__xludf.DUMMYFUNCTION("""COMPUTED_VALUE"""),45054.9198288425)</f>
        <v>45054.91983</v>
      </c>
      <c r="D8505" s="15">
        <f>IFERROR(__xludf.DUMMYFUNCTION("""COMPUTED_VALUE"""),1.02)</f>
        <v>1.02</v>
      </c>
      <c r="E8505" s="16">
        <f>IFERROR(__xludf.DUMMYFUNCTION("""COMPUTED_VALUE"""),62.0)</f>
        <v>62</v>
      </c>
      <c r="F8505" s="19" t="str">
        <f>IFERROR(__xludf.DUMMYFUNCTION("""COMPUTED_VALUE"""),"BLUE")</f>
        <v>BLUE</v>
      </c>
      <c r="G8505" s="20" t="str">
        <f>IFERROR(__xludf.DUMMYFUNCTION("""COMPUTED_VALUE"""),"Uncle Sams Cider (04/04/2023)")</f>
        <v>Uncle Sams Cider (04/04/2023)</v>
      </c>
      <c r="H8505" s="19"/>
    </row>
    <row r="8506">
      <c r="A8506" s="9"/>
      <c r="B8506" s="15"/>
      <c r="C8506" s="9">
        <f>IFERROR(__xludf.DUMMYFUNCTION("""COMPUTED_VALUE"""),45054.9094084027)</f>
        <v>45054.90941</v>
      </c>
      <c r="D8506" s="15">
        <f>IFERROR(__xludf.DUMMYFUNCTION("""COMPUTED_VALUE"""),1.02)</f>
        <v>1.02</v>
      </c>
      <c r="E8506" s="16">
        <f>IFERROR(__xludf.DUMMYFUNCTION("""COMPUTED_VALUE"""),62.0)</f>
        <v>62</v>
      </c>
      <c r="F8506" s="19" t="str">
        <f>IFERROR(__xludf.DUMMYFUNCTION("""COMPUTED_VALUE"""),"BLUE")</f>
        <v>BLUE</v>
      </c>
      <c r="G8506" s="20" t="str">
        <f>IFERROR(__xludf.DUMMYFUNCTION("""COMPUTED_VALUE"""),"Uncle Sams Cider (04/04/2023)")</f>
        <v>Uncle Sams Cider (04/04/2023)</v>
      </c>
      <c r="H8506" s="19"/>
    </row>
    <row r="8507">
      <c r="A8507" s="9"/>
      <c r="B8507" s="15"/>
      <c r="C8507" s="9">
        <f>IFERROR(__xludf.DUMMYFUNCTION("""COMPUTED_VALUE"""),45054.8989881481)</f>
        <v>45054.89899</v>
      </c>
      <c r="D8507" s="15">
        <f>IFERROR(__xludf.DUMMYFUNCTION("""COMPUTED_VALUE"""),1.02)</f>
        <v>1.02</v>
      </c>
      <c r="E8507" s="16">
        <f>IFERROR(__xludf.DUMMYFUNCTION("""COMPUTED_VALUE"""),62.0)</f>
        <v>62</v>
      </c>
      <c r="F8507" s="19" t="str">
        <f>IFERROR(__xludf.DUMMYFUNCTION("""COMPUTED_VALUE"""),"BLUE")</f>
        <v>BLUE</v>
      </c>
      <c r="G8507" s="20" t="str">
        <f>IFERROR(__xludf.DUMMYFUNCTION("""COMPUTED_VALUE"""),"Uncle Sams Cider (04/04/2023)")</f>
        <v>Uncle Sams Cider (04/04/2023)</v>
      </c>
      <c r="H8507" s="19"/>
    </row>
    <row r="8508">
      <c r="A8508" s="9"/>
      <c r="B8508" s="15"/>
      <c r="C8508" s="9">
        <f>IFERROR(__xludf.DUMMYFUNCTION("""COMPUTED_VALUE"""),45054.8885666666)</f>
        <v>45054.88857</v>
      </c>
      <c r="D8508" s="15">
        <f>IFERROR(__xludf.DUMMYFUNCTION("""COMPUTED_VALUE"""),1.02)</f>
        <v>1.02</v>
      </c>
      <c r="E8508" s="16">
        <f>IFERROR(__xludf.DUMMYFUNCTION("""COMPUTED_VALUE"""),62.0)</f>
        <v>62</v>
      </c>
      <c r="F8508" s="19" t="str">
        <f>IFERROR(__xludf.DUMMYFUNCTION("""COMPUTED_VALUE"""),"BLUE")</f>
        <v>BLUE</v>
      </c>
      <c r="G8508" s="20" t="str">
        <f>IFERROR(__xludf.DUMMYFUNCTION("""COMPUTED_VALUE"""),"Uncle Sams Cider (04/04/2023)")</f>
        <v>Uncle Sams Cider (04/04/2023)</v>
      </c>
      <c r="H8508" s="19"/>
    </row>
    <row r="8509">
      <c r="A8509" s="9"/>
      <c r="B8509" s="15"/>
      <c r="C8509" s="9">
        <f>IFERROR(__xludf.DUMMYFUNCTION("""COMPUTED_VALUE"""),45054.8781469444)</f>
        <v>45054.87815</v>
      </c>
      <c r="D8509" s="15">
        <f>IFERROR(__xludf.DUMMYFUNCTION("""COMPUTED_VALUE"""),1.02)</f>
        <v>1.02</v>
      </c>
      <c r="E8509" s="16">
        <f>IFERROR(__xludf.DUMMYFUNCTION("""COMPUTED_VALUE"""),62.0)</f>
        <v>62</v>
      </c>
      <c r="F8509" s="19" t="str">
        <f>IFERROR(__xludf.DUMMYFUNCTION("""COMPUTED_VALUE"""),"BLUE")</f>
        <v>BLUE</v>
      </c>
      <c r="G8509" s="20" t="str">
        <f>IFERROR(__xludf.DUMMYFUNCTION("""COMPUTED_VALUE"""),"Uncle Sams Cider (04/04/2023)")</f>
        <v>Uncle Sams Cider (04/04/2023)</v>
      </c>
      <c r="H8509" s="19"/>
    </row>
    <row r="8510">
      <c r="A8510" s="9"/>
      <c r="B8510" s="15"/>
      <c r="C8510" s="9">
        <f>IFERROR(__xludf.DUMMYFUNCTION("""COMPUTED_VALUE"""),45054.8677263194)</f>
        <v>45054.86773</v>
      </c>
      <c r="D8510" s="15">
        <f>IFERROR(__xludf.DUMMYFUNCTION("""COMPUTED_VALUE"""),1.02)</f>
        <v>1.02</v>
      </c>
      <c r="E8510" s="16">
        <f>IFERROR(__xludf.DUMMYFUNCTION("""COMPUTED_VALUE"""),62.0)</f>
        <v>62</v>
      </c>
      <c r="F8510" s="19" t="str">
        <f>IFERROR(__xludf.DUMMYFUNCTION("""COMPUTED_VALUE"""),"BLUE")</f>
        <v>BLUE</v>
      </c>
      <c r="G8510" s="20" t="str">
        <f>IFERROR(__xludf.DUMMYFUNCTION("""COMPUTED_VALUE"""),"Uncle Sams Cider (04/04/2023)")</f>
        <v>Uncle Sams Cider (04/04/2023)</v>
      </c>
      <c r="H8510" s="19"/>
    </row>
    <row r="8511">
      <c r="A8511" s="9"/>
      <c r="B8511" s="15"/>
      <c r="C8511" s="9">
        <f>IFERROR(__xludf.DUMMYFUNCTION("""COMPUTED_VALUE"""),45054.8573055439)</f>
        <v>45054.85731</v>
      </c>
      <c r="D8511" s="15">
        <f>IFERROR(__xludf.DUMMYFUNCTION("""COMPUTED_VALUE"""),1.02)</f>
        <v>1.02</v>
      </c>
      <c r="E8511" s="16">
        <f>IFERROR(__xludf.DUMMYFUNCTION("""COMPUTED_VALUE"""),62.0)</f>
        <v>62</v>
      </c>
      <c r="F8511" s="19" t="str">
        <f>IFERROR(__xludf.DUMMYFUNCTION("""COMPUTED_VALUE"""),"BLUE")</f>
        <v>BLUE</v>
      </c>
      <c r="G8511" s="20" t="str">
        <f>IFERROR(__xludf.DUMMYFUNCTION("""COMPUTED_VALUE"""),"Uncle Sams Cider (04/04/2023)")</f>
        <v>Uncle Sams Cider (04/04/2023)</v>
      </c>
      <c r="H8511" s="19"/>
    </row>
    <row r="8512">
      <c r="A8512" s="9"/>
      <c r="B8512" s="15"/>
      <c r="C8512" s="9">
        <f>IFERROR(__xludf.DUMMYFUNCTION("""COMPUTED_VALUE"""),45054.8468834953)</f>
        <v>45054.84688</v>
      </c>
      <c r="D8512" s="15">
        <f>IFERROR(__xludf.DUMMYFUNCTION("""COMPUTED_VALUE"""),1.02)</f>
        <v>1.02</v>
      </c>
      <c r="E8512" s="16">
        <f>IFERROR(__xludf.DUMMYFUNCTION("""COMPUTED_VALUE"""),62.0)</f>
        <v>62</v>
      </c>
      <c r="F8512" s="19" t="str">
        <f>IFERROR(__xludf.DUMMYFUNCTION("""COMPUTED_VALUE"""),"BLUE")</f>
        <v>BLUE</v>
      </c>
      <c r="G8512" s="20" t="str">
        <f>IFERROR(__xludf.DUMMYFUNCTION("""COMPUTED_VALUE"""),"Uncle Sams Cider (04/04/2023)")</f>
        <v>Uncle Sams Cider (04/04/2023)</v>
      </c>
      <c r="H8512" s="19"/>
    </row>
    <row r="8513">
      <c r="A8513" s="9"/>
      <c r="B8513" s="15"/>
      <c r="C8513" s="9">
        <f>IFERROR(__xludf.DUMMYFUNCTION("""COMPUTED_VALUE"""),45054.8364625578)</f>
        <v>45054.83646</v>
      </c>
      <c r="D8513" s="15">
        <f>IFERROR(__xludf.DUMMYFUNCTION("""COMPUTED_VALUE"""),1.02)</f>
        <v>1.02</v>
      </c>
      <c r="E8513" s="16">
        <f>IFERROR(__xludf.DUMMYFUNCTION("""COMPUTED_VALUE"""),62.0)</f>
        <v>62</v>
      </c>
      <c r="F8513" s="19" t="str">
        <f>IFERROR(__xludf.DUMMYFUNCTION("""COMPUTED_VALUE"""),"BLUE")</f>
        <v>BLUE</v>
      </c>
      <c r="G8513" s="20" t="str">
        <f>IFERROR(__xludf.DUMMYFUNCTION("""COMPUTED_VALUE"""),"Uncle Sams Cider (04/04/2023)")</f>
        <v>Uncle Sams Cider (04/04/2023)</v>
      </c>
      <c r="H8513" s="19"/>
    </row>
    <row r="8514">
      <c r="A8514" s="9"/>
      <c r="B8514" s="15"/>
      <c r="C8514" s="9">
        <f>IFERROR(__xludf.DUMMYFUNCTION("""COMPUTED_VALUE"""),45054.8260407523)</f>
        <v>45054.82604</v>
      </c>
      <c r="D8514" s="15">
        <f>IFERROR(__xludf.DUMMYFUNCTION("""COMPUTED_VALUE"""),1.02)</f>
        <v>1.02</v>
      </c>
      <c r="E8514" s="16">
        <f>IFERROR(__xludf.DUMMYFUNCTION("""COMPUTED_VALUE"""),62.0)</f>
        <v>62</v>
      </c>
      <c r="F8514" s="19" t="str">
        <f>IFERROR(__xludf.DUMMYFUNCTION("""COMPUTED_VALUE"""),"BLUE")</f>
        <v>BLUE</v>
      </c>
      <c r="G8514" s="20" t="str">
        <f>IFERROR(__xludf.DUMMYFUNCTION("""COMPUTED_VALUE"""),"Uncle Sams Cider (04/04/2023)")</f>
        <v>Uncle Sams Cider (04/04/2023)</v>
      </c>
      <c r="H8514" s="19"/>
    </row>
    <row r="8515">
      <c r="A8515" s="9"/>
      <c r="B8515" s="15"/>
      <c r="C8515" s="9">
        <f>IFERROR(__xludf.DUMMYFUNCTION("""COMPUTED_VALUE"""),45054.8156183217)</f>
        <v>45054.81562</v>
      </c>
      <c r="D8515" s="15">
        <f>IFERROR(__xludf.DUMMYFUNCTION("""COMPUTED_VALUE"""),1.02)</f>
        <v>1.02</v>
      </c>
      <c r="E8515" s="16">
        <f>IFERROR(__xludf.DUMMYFUNCTION("""COMPUTED_VALUE"""),62.0)</f>
        <v>62</v>
      </c>
      <c r="F8515" s="19" t="str">
        <f>IFERROR(__xludf.DUMMYFUNCTION("""COMPUTED_VALUE"""),"BLUE")</f>
        <v>BLUE</v>
      </c>
      <c r="G8515" s="20" t="str">
        <f>IFERROR(__xludf.DUMMYFUNCTION("""COMPUTED_VALUE"""),"Uncle Sams Cider (04/04/2023)")</f>
        <v>Uncle Sams Cider (04/04/2023)</v>
      </c>
      <c r="H8515" s="19"/>
    </row>
    <row r="8516">
      <c r="A8516" s="9"/>
      <c r="B8516" s="15"/>
      <c r="C8516" s="9">
        <f>IFERROR(__xludf.DUMMYFUNCTION("""COMPUTED_VALUE"""),45054.8051962268)</f>
        <v>45054.8052</v>
      </c>
      <c r="D8516" s="15">
        <f>IFERROR(__xludf.DUMMYFUNCTION("""COMPUTED_VALUE"""),1.02)</f>
        <v>1.02</v>
      </c>
      <c r="E8516" s="16">
        <f>IFERROR(__xludf.DUMMYFUNCTION("""COMPUTED_VALUE"""),62.0)</f>
        <v>62</v>
      </c>
      <c r="F8516" s="19" t="str">
        <f>IFERROR(__xludf.DUMMYFUNCTION("""COMPUTED_VALUE"""),"BLUE")</f>
        <v>BLUE</v>
      </c>
      <c r="G8516" s="20" t="str">
        <f>IFERROR(__xludf.DUMMYFUNCTION("""COMPUTED_VALUE"""),"Uncle Sams Cider (04/04/2023)")</f>
        <v>Uncle Sams Cider (04/04/2023)</v>
      </c>
      <c r="H8516" s="19"/>
    </row>
    <row r="8517">
      <c r="A8517" s="9"/>
      <c r="B8517" s="15"/>
      <c r="C8517" s="9">
        <f>IFERROR(__xludf.DUMMYFUNCTION("""COMPUTED_VALUE"""),45054.7947749652)</f>
        <v>45054.79477</v>
      </c>
      <c r="D8517" s="15">
        <f>IFERROR(__xludf.DUMMYFUNCTION("""COMPUTED_VALUE"""),1.02)</f>
        <v>1.02</v>
      </c>
      <c r="E8517" s="16">
        <f>IFERROR(__xludf.DUMMYFUNCTION("""COMPUTED_VALUE"""),62.0)</f>
        <v>62</v>
      </c>
      <c r="F8517" s="19" t="str">
        <f>IFERROR(__xludf.DUMMYFUNCTION("""COMPUTED_VALUE"""),"BLUE")</f>
        <v>BLUE</v>
      </c>
      <c r="G8517" s="20" t="str">
        <f>IFERROR(__xludf.DUMMYFUNCTION("""COMPUTED_VALUE"""),"Uncle Sams Cider (04/04/2023)")</f>
        <v>Uncle Sams Cider (04/04/2023)</v>
      </c>
      <c r="H8517" s="19"/>
    </row>
    <row r="8518">
      <c r="A8518" s="9"/>
      <c r="B8518" s="15"/>
      <c r="C8518" s="9">
        <f>IFERROR(__xludf.DUMMYFUNCTION("""COMPUTED_VALUE"""),45054.7843557986)</f>
        <v>45054.78436</v>
      </c>
      <c r="D8518" s="15">
        <f>IFERROR(__xludf.DUMMYFUNCTION("""COMPUTED_VALUE"""),1.02)</f>
        <v>1.02</v>
      </c>
      <c r="E8518" s="16">
        <f>IFERROR(__xludf.DUMMYFUNCTION("""COMPUTED_VALUE"""),62.0)</f>
        <v>62</v>
      </c>
      <c r="F8518" s="19" t="str">
        <f>IFERROR(__xludf.DUMMYFUNCTION("""COMPUTED_VALUE"""),"BLUE")</f>
        <v>BLUE</v>
      </c>
      <c r="G8518" s="20" t="str">
        <f>IFERROR(__xludf.DUMMYFUNCTION("""COMPUTED_VALUE"""),"Uncle Sams Cider (04/04/2023)")</f>
        <v>Uncle Sams Cider (04/04/2023)</v>
      </c>
      <c r="H8518" s="19"/>
    </row>
    <row r="8519">
      <c r="A8519" s="9"/>
      <c r="B8519" s="15"/>
      <c r="C8519" s="9">
        <f>IFERROR(__xludf.DUMMYFUNCTION("""COMPUTED_VALUE"""),45054.7739221643)</f>
        <v>45054.77392</v>
      </c>
      <c r="D8519" s="15">
        <f>IFERROR(__xludf.DUMMYFUNCTION("""COMPUTED_VALUE"""),1.02)</f>
        <v>1.02</v>
      </c>
      <c r="E8519" s="16">
        <f>IFERROR(__xludf.DUMMYFUNCTION("""COMPUTED_VALUE"""),62.0)</f>
        <v>62</v>
      </c>
      <c r="F8519" s="19" t="str">
        <f>IFERROR(__xludf.DUMMYFUNCTION("""COMPUTED_VALUE"""),"BLUE")</f>
        <v>BLUE</v>
      </c>
      <c r="G8519" s="20" t="str">
        <f>IFERROR(__xludf.DUMMYFUNCTION("""COMPUTED_VALUE"""),"Uncle Sams Cider (04/04/2023)")</f>
        <v>Uncle Sams Cider (04/04/2023)</v>
      </c>
      <c r="H8519" s="19"/>
    </row>
    <row r="8520">
      <c r="A8520" s="9"/>
      <c r="B8520" s="15"/>
      <c r="C8520" s="9">
        <f>IFERROR(__xludf.DUMMYFUNCTION("""COMPUTED_VALUE"""),45054.7635024421)</f>
        <v>45054.7635</v>
      </c>
      <c r="D8520" s="15">
        <f>IFERROR(__xludf.DUMMYFUNCTION("""COMPUTED_VALUE"""),1.02)</f>
        <v>1.02</v>
      </c>
      <c r="E8520" s="16">
        <f>IFERROR(__xludf.DUMMYFUNCTION("""COMPUTED_VALUE"""),62.0)</f>
        <v>62</v>
      </c>
      <c r="F8520" s="19" t="str">
        <f>IFERROR(__xludf.DUMMYFUNCTION("""COMPUTED_VALUE"""),"BLUE")</f>
        <v>BLUE</v>
      </c>
      <c r="G8520" s="20" t="str">
        <f>IFERROR(__xludf.DUMMYFUNCTION("""COMPUTED_VALUE"""),"Uncle Sams Cider (04/04/2023)")</f>
        <v>Uncle Sams Cider (04/04/2023)</v>
      </c>
      <c r="H8520" s="19"/>
    </row>
    <row r="8521">
      <c r="A8521" s="9"/>
      <c r="B8521" s="15"/>
      <c r="C8521" s="9">
        <f>IFERROR(__xludf.DUMMYFUNCTION("""COMPUTED_VALUE"""),45054.7530820138)</f>
        <v>45054.75308</v>
      </c>
      <c r="D8521" s="15">
        <f>IFERROR(__xludf.DUMMYFUNCTION("""COMPUTED_VALUE"""),1.02)</f>
        <v>1.02</v>
      </c>
      <c r="E8521" s="16">
        <f>IFERROR(__xludf.DUMMYFUNCTION("""COMPUTED_VALUE"""),62.0)</f>
        <v>62</v>
      </c>
      <c r="F8521" s="19" t="str">
        <f>IFERROR(__xludf.DUMMYFUNCTION("""COMPUTED_VALUE"""),"BLUE")</f>
        <v>BLUE</v>
      </c>
      <c r="G8521" s="20" t="str">
        <f>IFERROR(__xludf.DUMMYFUNCTION("""COMPUTED_VALUE"""),"Uncle Sams Cider (04/04/2023)")</f>
        <v>Uncle Sams Cider (04/04/2023)</v>
      </c>
      <c r="H8521" s="19"/>
    </row>
    <row r="8522">
      <c r="A8522" s="9"/>
      <c r="B8522" s="15"/>
      <c r="C8522" s="9">
        <f>IFERROR(__xludf.DUMMYFUNCTION("""COMPUTED_VALUE"""),45054.7426611921)</f>
        <v>45054.74266</v>
      </c>
      <c r="D8522" s="15">
        <f>IFERROR(__xludf.DUMMYFUNCTION("""COMPUTED_VALUE"""),1.02)</f>
        <v>1.02</v>
      </c>
      <c r="E8522" s="16">
        <f>IFERROR(__xludf.DUMMYFUNCTION("""COMPUTED_VALUE"""),62.0)</f>
        <v>62</v>
      </c>
      <c r="F8522" s="19" t="str">
        <f>IFERROR(__xludf.DUMMYFUNCTION("""COMPUTED_VALUE"""),"BLUE")</f>
        <v>BLUE</v>
      </c>
      <c r="G8522" s="20" t="str">
        <f>IFERROR(__xludf.DUMMYFUNCTION("""COMPUTED_VALUE"""),"Uncle Sams Cider (04/04/2023)")</f>
        <v>Uncle Sams Cider (04/04/2023)</v>
      </c>
      <c r="H8522" s="19"/>
    </row>
    <row r="8523">
      <c r="A8523" s="9"/>
      <c r="B8523" s="15"/>
      <c r="C8523" s="9">
        <f>IFERROR(__xludf.DUMMYFUNCTION("""COMPUTED_VALUE"""),45054.7322406134)</f>
        <v>45054.73224</v>
      </c>
      <c r="D8523" s="15">
        <f>IFERROR(__xludf.DUMMYFUNCTION("""COMPUTED_VALUE"""),1.02)</f>
        <v>1.02</v>
      </c>
      <c r="E8523" s="16">
        <f>IFERROR(__xludf.DUMMYFUNCTION("""COMPUTED_VALUE"""),62.0)</f>
        <v>62</v>
      </c>
      <c r="F8523" s="19" t="str">
        <f>IFERROR(__xludf.DUMMYFUNCTION("""COMPUTED_VALUE"""),"BLUE")</f>
        <v>BLUE</v>
      </c>
      <c r="G8523" s="20" t="str">
        <f>IFERROR(__xludf.DUMMYFUNCTION("""COMPUTED_VALUE"""),"Uncle Sams Cider (04/04/2023)")</f>
        <v>Uncle Sams Cider (04/04/2023)</v>
      </c>
      <c r="H8523" s="19"/>
    </row>
    <row r="8524">
      <c r="A8524" s="9"/>
      <c r="B8524" s="15"/>
      <c r="C8524" s="9">
        <f>IFERROR(__xludf.DUMMYFUNCTION("""COMPUTED_VALUE"""),45054.7218200694)</f>
        <v>45054.72182</v>
      </c>
      <c r="D8524" s="15">
        <f>IFERROR(__xludf.DUMMYFUNCTION("""COMPUTED_VALUE"""),1.02)</f>
        <v>1.02</v>
      </c>
      <c r="E8524" s="16">
        <f>IFERROR(__xludf.DUMMYFUNCTION("""COMPUTED_VALUE"""),62.0)</f>
        <v>62</v>
      </c>
      <c r="F8524" s="19" t="str">
        <f>IFERROR(__xludf.DUMMYFUNCTION("""COMPUTED_VALUE"""),"BLUE")</f>
        <v>BLUE</v>
      </c>
      <c r="G8524" s="20" t="str">
        <f>IFERROR(__xludf.DUMMYFUNCTION("""COMPUTED_VALUE"""),"Uncle Sams Cider (04/04/2023)")</f>
        <v>Uncle Sams Cider (04/04/2023)</v>
      </c>
      <c r="H8524" s="19"/>
    </row>
    <row r="8525">
      <c r="A8525" s="9"/>
      <c r="B8525" s="15"/>
      <c r="C8525" s="9">
        <f>IFERROR(__xludf.DUMMYFUNCTION("""COMPUTED_VALUE"""),45054.711398912)</f>
        <v>45054.7114</v>
      </c>
      <c r="D8525" s="15">
        <f>IFERROR(__xludf.DUMMYFUNCTION("""COMPUTED_VALUE"""),1.02)</f>
        <v>1.02</v>
      </c>
      <c r="E8525" s="16">
        <f>IFERROR(__xludf.DUMMYFUNCTION("""COMPUTED_VALUE"""),62.0)</f>
        <v>62</v>
      </c>
      <c r="F8525" s="19" t="str">
        <f>IFERROR(__xludf.DUMMYFUNCTION("""COMPUTED_VALUE"""),"BLUE")</f>
        <v>BLUE</v>
      </c>
      <c r="G8525" s="20" t="str">
        <f>IFERROR(__xludf.DUMMYFUNCTION("""COMPUTED_VALUE"""),"Uncle Sams Cider (04/04/2023)")</f>
        <v>Uncle Sams Cider (04/04/2023)</v>
      </c>
      <c r="H8525" s="19"/>
    </row>
    <row r="8526">
      <c r="A8526" s="9"/>
      <c r="B8526" s="15"/>
      <c r="C8526" s="9">
        <f>IFERROR(__xludf.DUMMYFUNCTION("""COMPUTED_VALUE"""),45054.7009775578)</f>
        <v>45054.70098</v>
      </c>
      <c r="D8526" s="15">
        <f>IFERROR(__xludf.DUMMYFUNCTION("""COMPUTED_VALUE"""),1.02)</f>
        <v>1.02</v>
      </c>
      <c r="E8526" s="16">
        <f>IFERROR(__xludf.DUMMYFUNCTION("""COMPUTED_VALUE"""),62.0)</f>
        <v>62</v>
      </c>
      <c r="F8526" s="19" t="str">
        <f>IFERROR(__xludf.DUMMYFUNCTION("""COMPUTED_VALUE"""),"BLUE")</f>
        <v>BLUE</v>
      </c>
      <c r="G8526" s="20" t="str">
        <f>IFERROR(__xludf.DUMMYFUNCTION("""COMPUTED_VALUE"""),"Uncle Sams Cider (04/04/2023)")</f>
        <v>Uncle Sams Cider (04/04/2023)</v>
      </c>
      <c r="H8526" s="19"/>
    </row>
    <row r="8527">
      <c r="A8527" s="9"/>
      <c r="B8527" s="15"/>
      <c r="C8527" s="9">
        <f>IFERROR(__xludf.DUMMYFUNCTION("""COMPUTED_VALUE"""),45054.6905460879)</f>
        <v>45054.69055</v>
      </c>
      <c r="D8527" s="15">
        <f>IFERROR(__xludf.DUMMYFUNCTION("""COMPUTED_VALUE"""),1.02)</f>
        <v>1.02</v>
      </c>
      <c r="E8527" s="16">
        <f>IFERROR(__xludf.DUMMYFUNCTION("""COMPUTED_VALUE"""),62.0)</f>
        <v>62</v>
      </c>
      <c r="F8527" s="19" t="str">
        <f>IFERROR(__xludf.DUMMYFUNCTION("""COMPUTED_VALUE"""),"BLUE")</f>
        <v>BLUE</v>
      </c>
      <c r="G8527" s="20" t="str">
        <f>IFERROR(__xludf.DUMMYFUNCTION("""COMPUTED_VALUE"""),"Uncle Sams Cider (04/04/2023)")</f>
        <v>Uncle Sams Cider (04/04/2023)</v>
      </c>
      <c r="H8527" s="19"/>
    </row>
    <row r="8528">
      <c r="A8528" s="9"/>
      <c r="B8528" s="15"/>
      <c r="C8528" s="9">
        <f>IFERROR(__xludf.DUMMYFUNCTION("""COMPUTED_VALUE"""),45054.680112199)</f>
        <v>45054.68011</v>
      </c>
      <c r="D8528" s="15">
        <f>IFERROR(__xludf.DUMMYFUNCTION("""COMPUTED_VALUE"""),1.02)</f>
        <v>1.02</v>
      </c>
      <c r="E8528" s="16">
        <f>IFERROR(__xludf.DUMMYFUNCTION("""COMPUTED_VALUE"""),62.0)</f>
        <v>62</v>
      </c>
      <c r="F8528" s="19" t="str">
        <f>IFERROR(__xludf.DUMMYFUNCTION("""COMPUTED_VALUE"""),"BLUE")</f>
        <v>BLUE</v>
      </c>
      <c r="G8528" s="20" t="str">
        <f>IFERROR(__xludf.DUMMYFUNCTION("""COMPUTED_VALUE"""),"Uncle Sams Cider (04/04/2023)")</f>
        <v>Uncle Sams Cider (04/04/2023)</v>
      </c>
      <c r="H8528" s="19"/>
    </row>
    <row r="8529">
      <c r="A8529" s="9"/>
      <c r="B8529" s="15"/>
      <c r="C8529" s="9">
        <f>IFERROR(__xludf.DUMMYFUNCTION("""COMPUTED_VALUE"""),45054.6696906944)</f>
        <v>45054.66969</v>
      </c>
      <c r="D8529" s="15">
        <f>IFERROR(__xludf.DUMMYFUNCTION("""COMPUTED_VALUE"""),1.02)</f>
        <v>1.02</v>
      </c>
      <c r="E8529" s="16">
        <f>IFERROR(__xludf.DUMMYFUNCTION("""COMPUTED_VALUE"""),62.0)</f>
        <v>62</v>
      </c>
      <c r="F8529" s="19" t="str">
        <f>IFERROR(__xludf.DUMMYFUNCTION("""COMPUTED_VALUE"""),"BLUE")</f>
        <v>BLUE</v>
      </c>
      <c r="G8529" s="20" t="str">
        <f>IFERROR(__xludf.DUMMYFUNCTION("""COMPUTED_VALUE"""),"Uncle Sams Cider (04/04/2023)")</f>
        <v>Uncle Sams Cider (04/04/2023)</v>
      </c>
      <c r="H8529" s="19"/>
    </row>
    <row r="8530">
      <c r="A8530" s="9"/>
      <c r="B8530" s="15"/>
      <c r="C8530" s="9">
        <f>IFERROR(__xludf.DUMMYFUNCTION("""COMPUTED_VALUE"""),45054.6592702893)</f>
        <v>45054.65927</v>
      </c>
      <c r="D8530" s="15">
        <f>IFERROR(__xludf.DUMMYFUNCTION("""COMPUTED_VALUE"""),1.02)</f>
        <v>1.02</v>
      </c>
      <c r="E8530" s="16">
        <f>IFERROR(__xludf.DUMMYFUNCTION("""COMPUTED_VALUE"""),62.0)</f>
        <v>62</v>
      </c>
      <c r="F8530" s="19" t="str">
        <f>IFERROR(__xludf.DUMMYFUNCTION("""COMPUTED_VALUE"""),"BLUE")</f>
        <v>BLUE</v>
      </c>
      <c r="G8530" s="20" t="str">
        <f>IFERROR(__xludf.DUMMYFUNCTION("""COMPUTED_VALUE"""),"Uncle Sams Cider (04/04/2023)")</f>
        <v>Uncle Sams Cider (04/04/2023)</v>
      </c>
      <c r="H8530" s="19"/>
    </row>
    <row r="8531">
      <c r="A8531" s="9"/>
      <c r="B8531" s="15"/>
      <c r="C8531" s="9">
        <f>IFERROR(__xludf.DUMMYFUNCTION("""COMPUTED_VALUE"""),45054.6488493518)</f>
        <v>45054.64885</v>
      </c>
      <c r="D8531" s="15">
        <f>IFERROR(__xludf.DUMMYFUNCTION("""COMPUTED_VALUE"""),1.02)</f>
        <v>1.02</v>
      </c>
      <c r="E8531" s="16">
        <f>IFERROR(__xludf.DUMMYFUNCTION("""COMPUTED_VALUE"""),62.0)</f>
        <v>62</v>
      </c>
      <c r="F8531" s="19" t="str">
        <f>IFERROR(__xludf.DUMMYFUNCTION("""COMPUTED_VALUE"""),"BLUE")</f>
        <v>BLUE</v>
      </c>
      <c r="G8531" s="20" t="str">
        <f>IFERROR(__xludf.DUMMYFUNCTION("""COMPUTED_VALUE"""),"Uncle Sams Cider (04/04/2023)")</f>
        <v>Uncle Sams Cider (04/04/2023)</v>
      </c>
      <c r="H8531" s="19"/>
    </row>
    <row r="8532">
      <c r="A8532" s="9"/>
      <c r="B8532" s="15"/>
      <c r="C8532" s="9">
        <f>IFERROR(__xludf.DUMMYFUNCTION("""COMPUTED_VALUE"""),45054.6384292592)</f>
        <v>45054.63843</v>
      </c>
      <c r="D8532" s="15">
        <f>IFERROR(__xludf.DUMMYFUNCTION("""COMPUTED_VALUE"""),1.02)</f>
        <v>1.02</v>
      </c>
      <c r="E8532" s="16">
        <f>IFERROR(__xludf.DUMMYFUNCTION("""COMPUTED_VALUE"""),62.0)</f>
        <v>62</v>
      </c>
      <c r="F8532" s="19" t="str">
        <f>IFERROR(__xludf.DUMMYFUNCTION("""COMPUTED_VALUE"""),"BLUE")</f>
        <v>BLUE</v>
      </c>
      <c r="G8532" s="20" t="str">
        <f>IFERROR(__xludf.DUMMYFUNCTION("""COMPUTED_VALUE"""),"Uncle Sams Cider (04/04/2023)")</f>
        <v>Uncle Sams Cider (04/04/2023)</v>
      </c>
      <c r="H8532" s="19"/>
    </row>
    <row r="8533">
      <c r="A8533" s="9"/>
      <c r="B8533" s="15"/>
      <c r="C8533" s="9">
        <f>IFERROR(__xludf.DUMMYFUNCTION("""COMPUTED_VALUE"""),45054.6280074074)</f>
        <v>45054.62801</v>
      </c>
      <c r="D8533" s="15">
        <f>IFERROR(__xludf.DUMMYFUNCTION("""COMPUTED_VALUE"""),1.02)</f>
        <v>1.02</v>
      </c>
      <c r="E8533" s="16">
        <f>IFERROR(__xludf.DUMMYFUNCTION("""COMPUTED_VALUE"""),62.0)</f>
        <v>62</v>
      </c>
      <c r="F8533" s="19" t="str">
        <f>IFERROR(__xludf.DUMMYFUNCTION("""COMPUTED_VALUE"""),"BLUE")</f>
        <v>BLUE</v>
      </c>
      <c r="G8533" s="20" t="str">
        <f>IFERROR(__xludf.DUMMYFUNCTION("""COMPUTED_VALUE"""),"Uncle Sams Cider (04/04/2023)")</f>
        <v>Uncle Sams Cider (04/04/2023)</v>
      </c>
      <c r="H8533" s="19"/>
    </row>
    <row r="8534">
      <c r="A8534" s="9"/>
      <c r="B8534" s="15"/>
      <c r="C8534" s="9">
        <f>IFERROR(__xludf.DUMMYFUNCTION("""COMPUTED_VALUE"""),45054.6175862731)</f>
        <v>45054.61759</v>
      </c>
      <c r="D8534" s="15">
        <f>IFERROR(__xludf.DUMMYFUNCTION("""COMPUTED_VALUE"""),1.02)</f>
        <v>1.02</v>
      </c>
      <c r="E8534" s="16">
        <f>IFERROR(__xludf.DUMMYFUNCTION("""COMPUTED_VALUE"""),62.0)</f>
        <v>62</v>
      </c>
      <c r="F8534" s="19" t="str">
        <f>IFERROR(__xludf.DUMMYFUNCTION("""COMPUTED_VALUE"""),"BLUE")</f>
        <v>BLUE</v>
      </c>
      <c r="G8534" s="20" t="str">
        <f>IFERROR(__xludf.DUMMYFUNCTION("""COMPUTED_VALUE"""),"Uncle Sams Cider (04/04/2023)")</f>
        <v>Uncle Sams Cider (04/04/2023)</v>
      </c>
      <c r="H8534" s="19"/>
    </row>
    <row r="8535">
      <c r="A8535" s="9"/>
      <c r="B8535" s="15"/>
      <c r="C8535" s="9">
        <f>IFERROR(__xludf.DUMMYFUNCTION("""COMPUTED_VALUE"""),45054.6071632407)</f>
        <v>45054.60716</v>
      </c>
      <c r="D8535" s="15">
        <f>IFERROR(__xludf.DUMMYFUNCTION("""COMPUTED_VALUE"""),1.02)</f>
        <v>1.02</v>
      </c>
      <c r="E8535" s="16">
        <f>IFERROR(__xludf.DUMMYFUNCTION("""COMPUTED_VALUE"""),62.0)</f>
        <v>62</v>
      </c>
      <c r="F8535" s="19" t="str">
        <f>IFERROR(__xludf.DUMMYFUNCTION("""COMPUTED_VALUE"""),"BLUE")</f>
        <v>BLUE</v>
      </c>
      <c r="G8535" s="20" t="str">
        <f>IFERROR(__xludf.DUMMYFUNCTION("""COMPUTED_VALUE"""),"Uncle Sams Cider (04/04/2023)")</f>
        <v>Uncle Sams Cider (04/04/2023)</v>
      </c>
      <c r="H8535" s="19"/>
    </row>
    <row r="8536">
      <c r="A8536" s="9"/>
      <c r="B8536" s="15"/>
      <c r="C8536" s="9">
        <f>IFERROR(__xludf.DUMMYFUNCTION("""COMPUTED_VALUE"""),45054.5967438888)</f>
        <v>45054.59674</v>
      </c>
      <c r="D8536" s="15">
        <f>IFERROR(__xludf.DUMMYFUNCTION("""COMPUTED_VALUE"""),1.02)</f>
        <v>1.02</v>
      </c>
      <c r="E8536" s="16">
        <f>IFERROR(__xludf.DUMMYFUNCTION("""COMPUTED_VALUE"""),62.0)</f>
        <v>62</v>
      </c>
      <c r="F8536" s="19" t="str">
        <f>IFERROR(__xludf.DUMMYFUNCTION("""COMPUTED_VALUE"""),"BLUE")</f>
        <v>BLUE</v>
      </c>
      <c r="G8536" s="20" t="str">
        <f>IFERROR(__xludf.DUMMYFUNCTION("""COMPUTED_VALUE"""),"Uncle Sams Cider (04/04/2023)")</f>
        <v>Uncle Sams Cider (04/04/2023)</v>
      </c>
      <c r="H8536" s="19"/>
    </row>
    <row r="8537">
      <c r="A8537" s="9"/>
      <c r="B8537" s="15"/>
      <c r="C8537" s="9">
        <f>IFERROR(__xludf.DUMMYFUNCTION("""COMPUTED_VALUE"""),45054.5863246064)</f>
        <v>45054.58632</v>
      </c>
      <c r="D8537" s="15">
        <f>IFERROR(__xludf.DUMMYFUNCTION("""COMPUTED_VALUE"""),1.02)</f>
        <v>1.02</v>
      </c>
      <c r="E8537" s="16">
        <f>IFERROR(__xludf.DUMMYFUNCTION("""COMPUTED_VALUE"""),62.0)</f>
        <v>62</v>
      </c>
      <c r="F8537" s="19" t="str">
        <f>IFERROR(__xludf.DUMMYFUNCTION("""COMPUTED_VALUE"""),"BLUE")</f>
        <v>BLUE</v>
      </c>
      <c r="G8537" s="20" t="str">
        <f>IFERROR(__xludf.DUMMYFUNCTION("""COMPUTED_VALUE"""),"Uncle Sams Cider (04/04/2023)")</f>
        <v>Uncle Sams Cider (04/04/2023)</v>
      </c>
      <c r="H8537" s="19"/>
    </row>
    <row r="8538">
      <c r="A8538" s="9"/>
      <c r="B8538" s="15"/>
      <c r="C8538" s="9">
        <f>IFERROR(__xludf.DUMMYFUNCTION("""COMPUTED_VALUE"""),45054.5759024768)</f>
        <v>45054.5759</v>
      </c>
      <c r="D8538" s="15">
        <f>IFERROR(__xludf.DUMMYFUNCTION("""COMPUTED_VALUE"""),1.021)</f>
        <v>1.021</v>
      </c>
      <c r="E8538" s="16">
        <f>IFERROR(__xludf.DUMMYFUNCTION("""COMPUTED_VALUE"""),62.0)</f>
        <v>62</v>
      </c>
      <c r="F8538" s="19" t="str">
        <f>IFERROR(__xludf.DUMMYFUNCTION("""COMPUTED_VALUE"""),"BLUE")</f>
        <v>BLUE</v>
      </c>
      <c r="G8538" s="20" t="str">
        <f>IFERROR(__xludf.DUMMYFUNCTION("""COMPUTED_VALUE"""),"Uncle Sams Cider (04/04/2023)")</f>
        <v>Uncle Sams Cider (04/04/2023)</v>
      </c>
      <c r="H8538" s="19"/>
    </row>
    <row r="8539">
      <c r="A8539" s="9"/>
      <c r="B8539" s="15"/>
      <c r="C8539" s="9">
        <f>IFERROR(__xludf.DUMMYFUNCTION("""COMPUTED_VALUE"""),45054.5654819791)</f>
        <v>45054.56548</v>
      </c>
      <c r="D8539" s="15">
        <f>IFERROR(__xludf.DUMMYFUNCTION("""COMPUTED_VALUE"""),1.02)</f>
        <v>1.02</v>
      </c>
      <c r="E8539" s="16">
        <f>IFERROR(__xludf.DUMMYFUNCTION("""COMPUTED_VALUE"""),62.0)</f>
        <v>62</v>
      </c>
      <c r="F8539" s="19" t="str">
        <f>IFERROR(__xludf.DUMMYFUNCTION("""COMPUTED_VALUE"""),"BLUE")</f>
        <v>BLUE</v>
      </c>
      <c r="G8539" s="20" t="str">
        <f>IFERROR(__xludf.DUMMYFUNCTION("""COMPUTED_VALUE"""),"Uncle Sams Cider (04/04/2023)")</f>
        <v>Uncle Sams Cider (04/04/2023)</v>
      </c>
      <c r="H8539" s="19"/>
    </row>
    <row r="8540">
      <c r="A8540" s="9"/>
      <c r="B8540" s="15"/>
      <c r="C8540" s="9">
        <f>IFERROR(__xludf.DUMMYFUNCTION("""COMPUTED_VALUE"""),45054.5550605324)</f>
        <v>45054.55506</v>
      </c>
      <c r="D8540" s="15">
        <f>IFERROR(__xludf.DUMMYFUNCTION("""COMPUTED_VALUE"""),1.02)</f>
        <v>1.02</v>
      </c>
      <c r="E8540" s="16">
        <f>IFERROR(__xludf.DUMMYFUNCTION("""COMPUTED_VALUE"""),62.0)</f>
        <v>62</v>
      </c>
      <c r="F8540" s="19" t="str">
        <f>IFERROR(__xludf.DUMMYFUNCTION("""COMPUTED_VALUE"""),"BLUE")</f>
        <v>BLUE</v>
      </c>
      <c r="G8540" s="20" t="str">
        <f>IFERROR(__xludf.DUMMYFUNCTION("""COMPUTED_VALUE"""),"Uncle Sams Cider (04/04/2023)")</f>
        <v>Uncle Sams Cider (04/04/2023)</v>
      </c>
      <c r="H8540" s="19"/>
    </row>
    <row r="8541">
      <c r="A8541" s="9"/>
      <c r="B8541" s="15"/>
      <c r="C8541" s="9">
        <f>IFERROR(__xludf.DUMMYFUNCTION("""COMPUTED_VALUE"""),45054.5446388078)</f>
        <v>45054.54464</v>
      </c>
      <c r="D8541" s="15">
        <f>IFERROR(__xludf.DUMMYFUNCTION("""COMPUTED_VALUE"""),1.02)</f>
        <v>1.02</v>
      </c>
      <c r="E8541" s="16">
        <f>IFERROR(__xludf.DUMMYFUNCTION("""COMPUTED_VALUE"""),62.0)</f>
        <v>62</v>
      </c>
      <c r="F8541" s="19" t="str">
        <f>IFERROR(__xludf.DUMMYFUNCTION("""COMPUTED_VALUE"""),"BLUE")</f>
        <v>BLUE</v>
      </c>
      <c r="G8541" s="20" t="str">
        <f>IFERROR(__xludf.DUMMYFUNCTION("""COMPUTED_VALUE"""),"Uncle Sams Cider (04/04/2023)")</f>
        <v>Uncle Sams Cider (04/04/2023)</v>
      </c>
      <c r="H8541" s="19"/>
    </row>
    <row r="8542">
      <c r="A8542" s="9"/>
      <c r="B8542" s="15"/>
      <c r="C8542" s="9">
        <f>IFERROR(__xludf.DUMMYFUNCTION("""COMPUTED_VALUE"""),45054.5342183217)</f>
        <v>45054.53422</v>
      </c>
      <c r="D8542" s="15">
        <f>IFERROR(__xludf.DUMMYFUNCTION("""COMPUTED_VALUE"""),1.02)</f>
        <v>1.02</v>
      </c>
      <c r="E8542" s="16">
        <f>IFERROR(__xludf.DUMMYFUNCTION("""COMPUTED_VALUE"""),62.0)</f>
        <v>62</v>
      </c>
      <c r="F8542" s="19" t="str">
        <f>IFERROR(__xludf.DUMMYFUNCTION("""COMPUTED_VALUE"""),"BLUE")</f>
        <v>BLUE</v>
      </c>
      <c r="G8542" s="20" t="str">
        <f>IFERROR(__xludf.DUMMYFUNCTION("""COMPUTED_VALUE"""),"Uncle Sams Cider (04/04/2023)")</f>
        <v>Uncle Sams Cider (04/04/2023)</v>
      </c>
      <c r="H8542" s="19"/>
    </row>
    <row r="8543">
      <c r="A8543" s="9"/>
      <c r="B8543" s="15"/>
      <c r="C8543" s="9">
        <f>IFERROR(__xludf.DUMMYFUNCTION("""COMPUTED_VALUE"""),45054.5237954629)</f>
        <v>45054.5238</v>
      </c>
      <c r="D8543" s="15">
        <f>IFERROR(__xludf.DUMMYFUNCTION("""COMPUTED_VALUE"""),1.02)</f>
        <v>1.02</v>
      </c>
      <c r="E8543" s="16">
        <f>IFERROR(__xludf.DUMMYFUNCTION("""COMPUTED_VALUE"""),62.0)</f>
        <v>62</v>
      </c>
      <c r="F8543" s="19" t="str">
        <f>IFERROR(__xludf.DUMMYFUNCTION("""COMPUTED_VALUE"""),"BLUE")</f>
        <v>BLUE</v>
      </c>
      <c r="G8543" s="20" t="str">
        <f>IFERROR(__xludf.DUMMYFUNCTION("""COMPUTED_VALUE"""),"Uncle Sams Cider (04/04/2023)")</f>
        <v>Uncle Sams Cider (04/04/2023)</v>
      </c>
      <c r="H8543" s="19"/>
    </row>
    <row r="8544">
      <c r="A8544" s="9"/>
      <c r="B8544" s="15"/>
      <c r="C8544" s="9">
        <f>IFERROR(__xludf.DUMMYFUNCTION("""COMPUTED_VALUE"""),45054.5133747569)</f>
        <v>45054.51337</v>
      </c>
      <c r="D8544" s="15">
        <f>IFERROR(__xludf.DUMMYFUNCTION("""COMPUTED_VALUE"""),1.02)</f>
        <v>1.02</v>
      </c>
      <c r="E8544" s="16">
        <f>IFERROR(__xludf.DUMMYFUNCTION("""COMPUTED_VALUE"""),62.0)</f>
        <v>62</v>
      </c>
      <c r="F8544" s="19" t="str">
        <f>IFERROR(__xludf.DUMMYFUNCTION("""COMPUTED_VALUE"""),"BLUE")</f>
        <v>BLUE</v>
      </c>
      <c r="G8544" s="20" t="str">
        <f>IFERROR(__xludf.DUMMYFUNCTION("""COMPUTED_VALUE"""),"Uncle Sams Cider (04/04/2023)")</f>
        <v>Uncle Sams Cider (04/04/2023)</v>
      </c>
      <c r="H8544" s="19"/>
    </row>
    <row r="8545">
      <c r="A8545" s="9"/>
      <c r="B8545" s="15"/>
      <c r="C8545" s="9">
        <f>IFERROR(__xludf.DUMMYFUNCTION("""COMPUTED_VALUE"""),45054.5029542129)</f>
        <v>45054.50295</v>
      </c>
      <c r="D8545" s="15">
        <f>IFERROR(__xludf.DUMMYFUNCTION("""COMPUTED_VALUE"""),1.02)</f>
        <v>1.02</v>
      </c>
      <c r="E8545" s="16">
        <f>IFERROR(__xludf.DUMMYFUNCTION("""COMPUTED_VALUE"""),62.0)</f>
        <v>62</v>
      </c>
      <c r="F8545" s="19" t="str">
        <f>IFERROR(__xludf.DUMMYFUNCTION("""COMPUTED_VALUE"""),"BLUE")</f>
        <v>BLUE</v>
      </c>
      <c r="G8545" s="20" t="str">
        <f>IFERROR(__xludf.DUMMYFUNCTION("""COMPUTED_VALUE"""),"Uncle Sams Cider (04/04/2023)")</f>
        <v>Uncle Sams Cider (04/04/2023)</v>
      </c>
      <c r="H8545" s="19"/>
    </row>
    <row r="8546">
      <c r="A8546" s="9"/>
      <c r="B8546" s="15"/>
      <c r="C8546" s="9">
        <f>IFERROR(__xludf.DUMMYFUNCTION("""COMPUTED_VALUE"""),45054.4925346064)</f>
        <v>45054.49253</v>
      </c>
      <c r="D8546" s="15">
        <f>IFERROR(__xludf.DUMMYFUNCTION("""COMPUTED_VALUE"""),1.02)</f>
        <v>1.02</v>
      </c>
      <c r="E8546" s="16">
        <f>IFERROR(__xludf.DUMMYFUNCTION("""COMPUTED_VALUE"""),62.0)</f>
        <v>62</v>
      </c>
      <c r="F8546" s="19" t="str">
        <f>IFERROR(__xludf.DUMMYFUNCTION("""COMPUTED_VALUE"""),"BLUE")</f>
        <v>BLUE</v>
      </c>
      <c r="G8546" s="20" t="str">
        <f>IFERROR(__xludf.DUMMYFUNCTION("""COMPUTED_VALUE"""),"Uncle Sams Cider (04/04/2023)")</f>
        <v>Uncle Sams Cider (04/04/2023)</v>
      </c>
      <c r="H8546" s="19"/>
    </row>
    <row r="8547">
      <c r="A8547" s="9"/>
      <c r="B8547" s="15"/>
      <c r="C8547" s="9">
        <f>IFERROR(__xludf.DUMMYFUNCTION("""COMPUTED_VALUE"""),45054.4821014699)</f>
        <v>45054.4821</v>
      </c>
      <c r="D8547" s="15">
        <f>IFERROR(__xludf.DUMMYFUNCTION("""COMPUTED_VALUE"""),1.02)</f>
        <v>1.02</v>
      </c>
      <c r="E8547" s="16">
        <f>IFERROR(__xludf.DUMMYFUNCTION("""COMPUTED_VALUE"""),62.0)</f>
        <v>62</v>
      </c>
      <c r="F8547" s="19" t="str">
        <f>IFERROR(__xludf.DUMMYFUNCTION("""COMPUTED_VALUE"""),"BLUE")</f>
        <v>BLUE</v>
      </c>
      <c r="G8547" s="20" t="str">
        <f>IFERROR(__xludf.DUMMYFUNCTION("""COMPUTED_VALUE"""),"Uncle Sams Cider (04/04/2023)")</f>
        <v>Uncle Sams Cider (04/04/2023)</v>
      </c>
      <c r="H8547" s="19"/>
    </row>
    <row r="8548">
      <c r="A8548" s="9"/>
      <c r="B8548" s="15"/>
      <c r="C8548" s="9">
        <f>IFERROR(__xludf.DUMMYFUNCTION("""COMPUTED_VALUE"""),45054.4716806713)</f>
        <v>45054.47168</v>
      </c>
      <c r="D8548" s="15">
        <f>IFERROR(__xludf.DUMMYFUNCTION("""COMPUTED_VALUE"""),1.02)</f>
        <v>1.02</v>
      </c>
      <c r="E8548" s="16">
        <f>IFERROR(__xludf.DUMMYFUNCTION("""COMPUTED_VALUE"""),62.0)</f>
        <v>62</v>
      </c>
      <c r="F8548" s="19" t="str">
        <f>IFERROR(__xludf.DUMMYFUNCTION("""COMPUTED_VALUE"""),"BLUE")</f>
        <v>BLUE</v>
      </c>
      <c r="G8548" s="20" t="str">
        <f>IFERROR(__xludf.DUMMYFUNCTION("""COMPUTED_VALUE"""),"Uncle Sams Cider (04/04/2023)")</f>
        <v>Uncle Sams Cider (04/04/2023)</v>
      </c>
      <c r="H8548" s="19"/>
    </row>
    <row r="8549">
      <c r="A8549" s="9"/>
      <c r="B8549" s="15"/>
      <c r="C8549" s="9">
        <f>IFERROR(__xludf.DUMMYFUNCTION("""COMPUTED_VALUE"""),45054.4612353703)</f>
        <v>45054.46124</v>
      </c>
      <c r="D8549" s="15">
        <f>IFERROR(__xludf.DUMMYFUNCTION("""COMPUTED_VALUE"""),1.02)</f>
        <v>1.02</v>
      </c>
      <c r="E8549" s="16">
        <f>IFERROR(__xludf.DUMMYFUNCTION("""COMPUTED_VALUE"""),62.0)</f>
        <v>62</v>
      </c>
      <c r="F8549" s="19" t="str">
        <f>IFERROR(__xludf.DUMMYFUNCTION("""COMPUTED_VALUE"""),"BLUE")</f>
        <v>BLUE</v>
      </c>
      <c r="G8549" s="20" t="str">
        <f>IFERROR(__xludf.DUMMYFUNCTION("""COMPUTED_VALUE"""),"Uncle Sams Cider (04/04/2023)")</f>
        <v>Uncle Sams Cider (04/04/2023)</v>
      </c>
      <c r="H8549" s="19"/>
    </row>
    <row r="8550">
      <c r="A8550" s="9"/>
      <c r="B8550" s="15"/>
      <c r="C8550" s="9">
        <f>IFERROR(__xludf.DUMMYFUNCTION("""COMPUTED_VALUE"""),45054.4508141898)</f>
        <v>45054.45081</v>
      </c>
      <c r="D8550" s="15">
        <f>IFERROR(__xludf.DUMMYFUNCTION("""COMPUTED_VALUE"""),1.02)</f>
        <v>1.02</v>
      </c>
      <c r="E8550" s="16">
        <f>IFERROR(__xludf.DUMMYFUNCTION("""COMPUTED_VALUE"""),62.0)</f>
        <v>62</v>
      </c>
      <c r="F8550" s="19" t="str">
        <f>IFERROR(__xludf.DUMMYFUNCTION("""COMPUTED_VALUE"""),"BLUE")</f>
        <v>BLUE</v>
      </c>
      <c r="G8550" s="20" t="str">
        <f>IFERROR(__xludf.DUMMYFUNCTION("""COMPUTED_VALUE"""),"Uncle Sams Cider (04/04/2023)")</f>
        <v>Uncle Sams Cider (04/04/2023)</v>
      </c>
      <c r="H8550" s="19"/>
    </row>
    <row r="8551">
      <c r="A8551" s="9"/>
      <c r="B8551" s="15"/>
      <c r="C8551" s="9">
        <f>IFERROR(__xludf.DUMMYFUNCTION("""COMPUTED_VALUE"""),45054.4403925925)</f>
        <v>45054.44039</v>
      </c>
      <c r="D8551" s="15">
        <f>IFERROR(__xludf.DUMMYFUNCTION("""COMPUTED_VALUE"""),1.02)</f>
        <v>1.02</v>
      </c>
      <c r="E8551" s="16">
        <f>IFERROR(__xludf.DUMMYFUNCTION("""COMPUTED_VALUE"""),62.0)</f>
        <v>62</v>
      </c>
      <c r="F8551" s="19" t="str">
        <f>IFERROR(__xludf.DUMMYFUNCTION("""COMPUTED_VALUE"""),"BLUE")</f>
        <v>BLUE</v>
      </c>
      <c r="G8551" s="20" t="str">
        <f>IFERROR(__xludf.DUMMYFUNCTION("""COMPUTED_VALUE"""),"Uncle Sams Cider (04/04/2023)")</f>
        <v>Uncle Sams Cider (04/04/2023)</v>
      </c>
      <c r="H8551" s="19"/>
    </row>
    <row r="8552">
      <c r="A8552" s="9"/>
      <c r="B8552" s="15"/>
      <c r="C8552" s="9">
        <f>IFERROR(__xludf.DUMMYFUNCTION("""COMPUTED_VALUE"""),45054.4299713541)</f>
        <v>45054.42997</v>
      </c>
      <c r="D8552" s="15">
        <f>IFERROR(__xludf.DUMMYFUNCTION("""COMPUTED_VALUE"""),1.02)</f>
        <v>1.02</v>
      </c>
      <c r="E8552" s="16">
        <f>IFERROR(__xludf.DUMMYFUNCTION("""COMPUTED_VALUE"""),62.0)</f>
        <v>62</v>
      </c>
      <c r="F8552" s="19" t="str">
        <f>IFERROR(__xludf.DUMMYFUNCTION("""COMPUTED_VALUE"""),"BLUE")</f>
        <v>BLUE</v>
      </c>
      <c r="G8552" s="20" t="str">
        <f>IFERROR(__xludf.DUMMYFUNCTION("""COMPUTED_VALUE"""),"Uncle Sams Cider (04/04/2023)")</f>
        <v>Uncle Sams Cider (04/04/2023)</v>
      </c>
      <c r="H8552" s="19"/>
    </row>
    <row r="8553">
      <c r="A8553" s="9"/>
      <c r="B8553" s="15"/>
      <c r="C8553" s="9">
        <f>IFERROR(__xludf.DUMMYFUNCTION("""COMPUTED_VALUE"""),45054.4195504861)</f>
        <v>45054.41955</v>
      </c>
      <c r="D8553" s="15">
        <f>IFERROR(__xludf.DUMMYFUNCTION("""COMPUTED_VALUE"""),1.02)</f>
        <v>1.02</v>
      </c>
      <c r="E8553" s="16">
        <f>IFERROR(__xludf.DUMMYFUNCTION("""COMPUTED_VALUE"""),62.0)</f>
        <v>62</v>
      </c>
      <c r="F8553" s="19" t="str">
        <f>IFERROR(__xludf.DUMMYFUNCTION("""COMPUTED_VALUE"""),"BLUE")</f>
        <v>BLUE</v>
      </c>
      <c r="G8553" s="20" t="str">
        <f>IFERROR(__xludf.DUMMYFUNCTION("""COMPUTED_VALUE"""),"Uncle Sams Cider (04/04/2023)")</f>
        <v>Uncle Sams Cider (04/04/2023)</v>
      </c>
      <c r="H8553" s="19"/>
    </row>
    <row r="8554">
      <c r="A8554" s="9"/>
      <c r="B8554" s="15"/>
      <c r="C8554" s="9">
        <f>IFERROR(__xludf.DUMMYFUNCTION("""COMPUTED_VALUE"""),45054.4091300694)</f>
        <v>45054.40913</v>
      </c>
      <c r="D8554" s="15">
        <f>IFERROR(__xludf.DUMMYFUNCTION("""COMPUTED_VALUE"""),1.02)</f>
        <v>1.02</v>
      </c>
      <c r="E8554" s="16">
        <f>IFERROR(__xludf.DUMMYFUNCTION("""COMPUTED_VALUE"""),62.0)</f>
        <v>62</v>
      </c>
      <c r="F8554" s="19" t="str">
        <f>IFERROR(__xludf.DUMMYFUNCTION("""COMPUTED_VALUE"""),"BLUE")</f>
        <v>BLUE</v>
      </c>
      <c r="G8554" s="20" t="str">
        <f>IFERROR(__xludf.DUMMYFUNCTION("""COMPUTED_VALUE"""),"Uncle Sams Cider (04/04/2023)")</f>
        <v>Uncle Sams Cider (04/04/2023)</v>
      </c>
      <c r="H8554" s="19"/>
    </row>
    <row r="8555">
      <c r="A8555" s="9"/>
      <c r="B8555" s="15"/>
      <c r="C8555" s="9">
        <f>IFERROR(__xludf.DUMMYFUNCTION("""COMPUTED_VALUE"""),45054.3987102314)</f>
        <v>45054.39871</v>
      </c>
      <c r="D8555" s="15">
        <f>IFERROR(__xludf.DUMMYFUNCTION("""COMPUTED_VALUE"""),1.021)</f>
        <v>1.021</v>
      </c>
      <c r="E8555" s="16">
        <f>IFERROR(__xludf.DUMMYFUNCTION("""COMPUTED_VALUE"""),62.0)</f>
        <v>62</v>
      </c>
      <c r="F8555" s="19" t="str">
        <f>IFERROR(__xludf.DUMMYFUNCTION("""COMPUTED_VALUE"""),"BLUE")</f>
        <v>BLUE</v>
      </c>
      <c r="G8555" s="20" t="str">
        <f>IFERROR(__xludf.DUMMYFUNCTION("""COMPUTED_VALUE"""),"Uncle Sams Cider (04/04/2023)")</f>
        <v>Uncle Sams Cider (04/04/2023)</v>
      </c>
      <c r="H8555" s="19"/>
    </row>
    <row r="8556">
      <c r="A8556" s="9"/>
      <c r="B8556" s="15"/>
      <c r="C8556" s="9">
        <f>IFERROR(__xludf.DUMMYFUNCTION("""COMPUTED_VALUE"""),45054.3882886111)</f>
        <v>45054.38829</v>
      </c>
      <c r="D8556" s="15">
        <f>IFERROR(__xludf.DUMMYFUNCTION("""COMPUTED_VALUE"""),1.02)</f>
        <v>1.02</v>
      </c>
      <c r="E8556" s="16">
        <f>IFERROR(__xludf.DUMMYFUNCTION("""COMPUTED_VALUE"""),62.0)</f>
        <v>62</v>
      </c>
      <c r="F8556" s="19" t="str">
        <f>IFERROR(__xludf.DUMMYFUNCTION("""COMPUTED_VALUE"""),"BLUE")</f>
        <v>BLUE</v>
      </c>
      <c r="G8556" s="20" t="str">
        <f>IFERROR(__xludf.DUMMYFUNCTION("""COMPUTED_VALUE"""),"Uncle Sams Cider (04/04/2023)")</f>
        <v>Uncle Sams Cider (04/04/2023)</v>
      </c>
      <c r="H8556" s="19"/>
    </row>
    <row r="8557">
      <c r="A8557" s="9"/>
      <c r="B8557" s="15"/>
      <c r="C8557" s="9">
        <f>IFERROR(__xludf.DUMMYFUNCTION("""COMPUTED_VALUE"""),45054.3778564004)</f>
        <v>45054.37786</v>
      </c>
      <c r="D8557" s="15">
        <f>IFERROR(__xludf.DUMMYFUNCTION("""COMPUTED_VALUE"""),1.02)</f>
        <v>1.02</v>
      </c>
      <c r="E8557" s="16">
        <f>IFERROR(__xludf.DUMMYFUNCTION("""COMPUTED_VALUE"""),62.0)</f>
        <v>62</v>
      </c>
      <c r="F8557" s="19" t="str">
        <f>IFERROR(__xludf.DUMMYFUNCTION("""COMPUTED_VALUE"""),"BLUE")</f>
        <v>BLUE</v>
      </c>
      <c r="G8557" s="20" t="str">
        <f>IFERROR(__xludf.DUMMYFUNCTION("""COMPUTED_VALUE"""),"Uncle Sams Cider (04/04/2023)")</f>
        <v>Uncle Sams Cider (04/04/2023)</v>
      </c>
      <c r="H8557" s="19"/>
    </row>
    <row r="8558">
      <c r="A8558" s="9"/>
      <c r="B8558" s="15"/>
      <c r="C8558" s="9">
        <f>IFERROR(__xludf.DUMMYFUNCTION("""COMPUTED_VALUE"""),45054.3674226157)</f>
        <v>45054.36742</v>
      </c>
      <c r="D8558" s="15">
        <f>IFERROR(__xludf.DUMMYFUNCTION("""COMPUTED_VALUE"""),1.02)</f>
        <v>1.02</v>
      </c>
      <c r="E8558" s="16">
        <f>IFERROR(__xludf.DUMMYFUNCTION("""COMPUTED_VALUE"""),62.0)</f>
        <v>62</v>
      </c>
      <c r="F8558" s="19" t="str">
        <f>IFERROR(__xludf.DUMMYFUNCTION("""COMPUTED_VALUE"""),"BLUE")</f>
        <v>BLUE</v>
      </c>
      <c r="G8558" s="20" t="str">
        <f>IFERROR(__xludf.DUMMYFUNCTION("""COMPUTED_VALUE"""),"Uncle Sams Cider (04/04/2023)")</f>
        <v>Uncle Sams Cider (04/04/2023)</v>
      </c>
      <c r="H8558" s="19"/>
    </row>
    <row r="8559">
      <c r="A8559" s="9"/>
      <c r="B8559" s="15"/>
      <c r="C8559" s="9">
        <f>IFERROR(__xludf.DUMMYFUNCTION("""COMPUTED_VALUE"""),45054.3569898032)</f>
        <v>45054.35699</v>
      </c>
      <c r="D8559" s="15">
        <f>IFERROR(__xludf.DUMMYFUNCTION("""COMPUTED_VALUE"""),1.021)</f>
        <v>1.021</v>
      </c>
      <c r="E8559" s="16">
        <f>IFERROR(__xludf.DUMMYFUNCTION("""COMPUTED_VALUE"""),62.0)</f>
        <v>62</v>
      </c>
      <c r="F8559" s="19" t="str">
        <f>IFERROR(__xludf.DUMMYFUNCTION("""COMPUTED_VALUE"""),"BLUE")</f>
        <v>BLUE</v>
      </c>
      <c r="G8559" s="20" t="str">
        <f>IFERROR(__xludf.DUMMYFUNCTION("""COMPUTED_VALUE"""),"Uncle Sams Cider (04/04/2023)")</f>
        <v>Uncle Sams Cider (04/04/2023)</v>
      </c>
      <c r="H8559" s="19"/>
    </row>
    <row r="8560">
      <c r="A8560" s="9"/>
      <c r="B8560" s="15"/>
      <c r="C8560" s="9">
        <f>IFERROR(__xludf.DUMMYFUNCTION("""COMPUTED_VALUE"""),45054.3465695486)</f>
        <v>45054.34657</v>
      </c>
      <c r="D8560" s="15">
        <f>IFERROR(__xludf.DUMMYFUNCTION("""COMPUTED_VALUE"""),1.02)</f>
        <v>1.02</v>
      </c>
      <c r="E8560" s="16">
        <f>IFERROR(__xludf.DUMMYFUNCTION("""COMPUTED_VALUE"""),62.0)</f>
        <v>62</v>
      </c>
      <c r="F8560" s="19" t="str">
        <f>IFERROR(__xludf.DUMMYFUNCTION("""COMPUTED_VALUE"""),"BLUE")</f>
        <v>BLUE</v>
      </c>
      <c r="G8560" s="20" t="str">
        <f>IFERROR(__xludf.DUMMYFUNCTION("""COMPUTED_VALUE"""),"Uncle Sams Cider (04/04/2023)")</f>
        <v>Uncle Sams Cider (04/04/2023)</v>
      </c>
      <c r="H8560" s="19"/>
    </row>
    <row r="8561">
      <c r="A8561" s="9"/>
      <c r="B8561" s="15"/>
      <c r="C8561" s="9">
        <f>IFERROR(__xludf.DUMMYFUNCTION("""COMPUTED_VALUE"""),45054.3361461689)</f>
        <v>45054.33615</v>
      </c>
      <c r="D8561" s="15">
        <f>IFERROR(__xludf.DUMMYFUNCTION("""COMPUTED_VALUE"""),1.02)</f>
        <v>1.02</v>
      </c>
      <c r="E8561" s="16">
        <f>IFERROR(__xludf.DUMMYFUNCTION("""COMPUTED_VALUE"""),62.0)</f>
        <v>62</v>
      </c>
      <c r="F8561" s="19" t="str">
        <f>IFERROR(__xludf.DUMMYFUNCTION("""COMPUTED_VALUE"""),"BLUE")</f>
        <v>BLUE</v>
      </c>
      <c r="G8561" s="20" t="str">
        <f>IFERROR(__xludf.DUMMYFUNCTION("""COMPUTED_VALUE"""),"Uncle Sams Cider (04/04/2023)")</f>
        <v>Uncle Sams Cider (04/04/2023)</v>
      </c>
      <c r="H8561" s="19"/>
    </row>
    <row r="8562">
      <c r="A8562" s="9"/>
      <c r="B8562" s="15"/>
      <c r="C8562" s="9">
        <f>IFERROR(__xludf.DUMMYFUNCTION("""COMPUTED_VALUE"""),45054.3256892013)</f>
        <v>45054.32569</v>
      </c>
      <c r="D8562" s="15">
        <f>IFERROR(__xludf.DUMMYFUNCTION("""COMPUTED_VALUE"""),1.021)</f>
        <v>1.021</v>
      </c>
      <c r="E8562" s="16">
        <f>IFERROR(__xludf.DUMMYFUNCTION("""COMPUTED_VALUE"""),62.0)</f>
        <v>62</v>
      </c>
      <c r="F8562" s="19" t="str">
        <f>IFERROR(__xludf.DUMMYFUNCTION("""COMPUTED_VALUE"""),"BLUE")</f>
        <v>BLUE</v>
      </c>
      <c r="G8562" s="20" t="str">
        <f>IFERROR(__xludf.DUMMYFUNCTION("""COMPUTED_VALUE"""),"Uncle Sams Cider (04/04/2023)")</f>
        <v>Uncle Sams Cider (04/04/2023)</v>
      </c>
      <c r="H8562" s="19"/>
    </row>
    <row r="8563">
      <c r="A8563" s="9"/>
      <c r="B8563" s="15"/>
      <c r="C8563" s="9">
        <f>IFERROR(__xludf.DUMMYFUNCTION("""COMPUTED_VALUE"""),45054.3152692013)</f>
        <v>45054.31527</v>
      </c>
      <c r="D8563" s="15">
        <f>IFERROR(__xludf.DUMMYFUNCTION("""COMPUTED_VALUE"""),1.021)</f>
        <v>1.021</v>
      </c>
      <c r="E8563" s="16">
        <f>IFERROR(__xludf.DUMMYFUNCTION("""COMPUTED_VALUE"""),62.0)</f>
        <v>62</v>
      </c>
      <c r="F8563" s="19" t="str">
        <f>IFERROR(__xludf.DUMMYFUNCTION("""COMPUTED_VALUE"""),"BLUE")</f>
        <v>BLUE</v>
      </c>
      <c r="G8563" s="20" t="str">
        <f>IFERROR(__xludf.DUMMYFUNCTION("""COMPUTED_VALUE"""),"Uncle Sams Cider (04/04/2023)")</f>
        <v>Uncle Sams Cider (04/04/2023)</v>
      </c>
      <c r="H8563" s="19"/>
    </row>
    <row r="8564">
      <c r="A8564" s="9"/>
      <c r="B8564" s="15"/>
      <c r="C8564" s="9">
        <f>IFERROR(__xludf.DUMMYFUNCTION("""COMPUTED_VALUE"""),45054.3048368634)</f>
        <v>45054.30484</v>
      </c>
      <c r="D8564" s="15">
        <f>IFERROR(__xludf.DUMMYFUNCTION("""COMPUTED_VALUE"""),1.021)</f>
        <v>1.021</v>
      </c>
      <c r="E8564" s="16">
        <f>IFERROR(__xludf.DUMMYFUNCTION("""COMPUTED_VALUE"""),62.0)</f>
        <v>62</v>
      </c>
      <c r="F8564" s="19" t="str">
        <f>IFERROR(__xludf.DUMMYFUNCTION("""COMPUTED_VALUE"""),"BLUE")</f>
        <v>BLUE</v>
      </c>
      <c r="G8564" s="20" t="str">
        <f>IFERROR(__xludf.DUMMYFUNCTION("""COMPUTED_VALUE"""),"Uncle Sams Cider (04/04/2023)")</f>
        <v>Uncle Sams Cider (04/04/2023)</v>
      </c>
      <c r="H8564" s="19"/>
    </row>
    <row r="8565">
      <c r="A8565" s="9"/>
      <c r="B8565" s="15"/>
      <c r="C8565" s="9">
        <f>IFERROR(__xludf.DUMMYFUNCTION("""COMPUTED_VALUE"""),45054.2944172453)</f>
        <v>45054.29442</v>
      </c>
      <c r="D8565" s="15">
        <f>IFERROR(__xludf.DUMMYFUNCTION("""COMPUTED_VALUE"""),1.021)</f>
        <v>1.021</v>
      </c>
      <c r="E8565" s="16">
        <f>IFERROR(__xludf.DUMMYFUNCTION("""COMPUTED_VALUE"""),62.0)</f>
        <v>62</v>
      </c>
      <c r="F8565" s="19" t="str">
        <f>IFERROR(__xludf.DUMMYFUNCTION("""COMPUTED_VALUE"""),"BLUE")</f>
        <v>BLUE</v>
      </c>
      <c r="G8565" s="20" t="str">
        <f>IFERROR(__xludf.DUMMYFUNCTION("""COMPUTED_VALUE"""),"Uncle Sams Cider (04/04/2023)")</f>
        <v>Uncle Sams Cider (04/04/2023)</v>
      </c>
      <c r="H8565" s="19"/>
    </row>
    <row r="8566">
      <c r="A8566" s="9"/>
      <c r="B8566" s="15"/>
      <c r="C8566" s="9">
        <f>IFERROR(__xludf.DUMMYFUNCTION("""COMPUTED_VALUE"""),45054.2839960532)</f>
        <v>45054.284</v>
      </c>
      <c r="D8566" s="15">
        <f>IFERROR(__xludf.DUMMYFUNCTION("""COMPUTED_VALUE"""),1.021)</f>
        <v>1.021</v>
      </c>
      <c r="E8566" s="16">
        <f>IFERROR(__xludf.DUMMYFUNCTION("""COMPUTED_VALUE"""),62.0)</f>
        <v>62</v>
      </c>
      <c r="F8566" s="19" t="str">
        <f>IFERROR(__xludf.DUMMYFUNCTION("""COMPUTED_VALUE"""),"BLUE")</f>
        <v>BLUE</v>
      </c>
      <c r="G8566" s="20" t="str">
        <f>IFERROR(__xludf.DUMMYFUNCTION("""COMPUTED_VALUE"""),"Uncle Sams Cider (04/04/2023)")</f>
        <v>Uncle Sams Cider (04/04/2023)</v>
      </c>
      <c r="H8566" s="19"/>
    </row>
    <row r="8567">
      <c r="A8567" s="9"/>
      <c r="B8567" s="15"/>
      <c r="C8567" s="9">
        <f>IFERROR(__xludf.DUMMYFUNCTION("""COMPUTED_VALUE"""),45054.2735751851)</f>
        <v>45054.27358</v>
      </c>
      <c r="D8567" s="15">
        <f>IFERROR(__xludf.DUMMYFUNCTION("""COMPUTED_VALUE"""),1.02)</f>
        <v>1.02</v>
      </c>
      <c r="E8567" s="16">
        <f>IFERROR(__xludf.DUMMYFUNCTION("""COMPUTED_VALUE"""),62.0)</f>
        <v>62</v>
      </c>
      <c r="F8567" s="19" t="str">
        <f>IFERROR(__xludf.DUMMYFUNCTION("""COMPUTED_VALUE"""),"BLUE")</f>
        <v>BLUE</v>
      </c>
      <c r="G8567" s="20" t="str">
        <f>IFERROR(__xludf.DUMMYFUNCTION("""COMPUTED_VALUE"""),"Uncle Sams Cider (04/04/2023)")</f>
        <v>Uncle Sams Cider (04/04/2023)</v>
      </c>
      <c r="H8567" s="19"/>
    </row>
    <row r="8568">
      <c r="A8568" s="9"/>
      <c r="B8568" s="15"/>
      <c r="C8568" s="9">
        <f>IFERROR(__xludf.DUMMYFUNCTION("""COMPUTED_VALUE"""),45054.2631554513)</f>
        <v>45054.26316</v>
      </c>
      <c r="D8568" s="15">
        <f>IFERROR(__xludf.DUMMYFUNCTION("""COMPUTED_VALUE"""),1.021)</f>
        <v>1.021</v>
      </c>
      <c r="E8568" s="16">
        <f>IFERROR(__xludf.DUMMYFUNCTION("""COMPUTED_VALUE"""),62.0)</f>
        <v>62</v>
      </c>
      <c r="F8568" s="19" t="str">
        <f>IFERROR(__xludf.DUMMYFUNCTION("""COMPUTED_VALUE"""),"BLUE")</f>
        <v>BLUE</v>
      </c>
      <c r="G8568" s="20" t="str">
        <f>IFERROR(__xludf.DUMMYFUNCTION("""COMPUTED_VALUE"""),"Uncle Sams Cider (04/04/2023)")</f>
        <v>Uncle Sams Cider (04/04/2023)</v>
      </c>
      <c r="H8568" s="19"/>
    </row>
    <row r="8569">
      <c r="A8569" s="9"/>
      <c r="B8569" s="15"/>
      <c r="C8569" s="9">
        <f>IFERROR(__xludf.DUMMYFUNCTION("""COMPUTED_VALUE"""),45054.2527332754)</f>
        <v>45054.25273</v>
      </c>
      <c r="D8569" s="15">
        <f>IFERROR(__xludf.DUMMYFUNCTION("""COMPUTED_VALUE"""),1.021)</f>
        <v>1.021</v>
      </c>
      <c r="E8569" s="16">
        <f>IFERROR(__xludf.DUMMYFUNCTION("""COMPUTED_VALUE"""),62.0)</f>
        <v>62</v>
      </c>
      <c r="F8569" s="19" t="str">
        <f>IFERROR(__xludf.DUMMYFUNCTION("""COMPUTED_VALUE"""),"BLUE")</f>
        <v>BLUE</v>
      </c>
      <c r="G8569" s="20" t="str">
        <f>IFERROR(__xludf.DUMMYFUNCTION("""COMPUTED_VALUE"""),"Uncle Sams Cider (04/04/2023)")</f>
        <v>Uncle Sams Cider (04/04/2023)</v>
      </c>
      <c r="H8569" s="19"/>
    </row>
    <row r="8570">
      <c r="A8570" s="9"/>
      <c r="B8570" s="15"/>
      <c r="C8570" s="9">
        <f>IFERROR(__xludf.DUMMYFUNCTION("""COMPUTED_VALUE"""),45054.2423108449)</f>
        <v>45054.24231</v>
      </c>
      <c r="D8570" s="15">
        <f>IFERROR(__xludf.DUMMYFUNCTION("""COMPUTED_VALUE"""),1.021)</f>
        <v>1.021</v>
      </c>
      <c r="E8570" s="16">
        <f>IFERROR(__xludf.DUMMYFUNCTION("""COMPUTED_VALUE"""),61.0)</f>
        <v>61</v>
      </c>
      <c r="F8570" s="19" t="str">
        <f>IFERROR(__xludf.DUMMYFUNCTION("""COMPUTED_VALUE"""),"BLUE")</f>
        <v>BLUE</v>
      </c>
      <c r="G8570" s="20" t="str">
        <f>IFERROR(__xludf.DUMMYFUNCTION("""COMPUTED_VALUE"""),"Uncle Sams Cider (04/04/2023)")</f>
        <v>Uncle Sams Cider (04/04/2023)</v>
      </c>
      <c r="H8570" s="19"/>
    </row>
    <row r="8571">
      <c r="A8571" s="9"/>
      <c r="B8571" s="15"/>
      <c r="C8571" s="9">
        <f>IFERROR(__xludf.DUMMYFUNCTION("""COMPUTED_VALUE"""),45054.2318915856)</f>
        <v>45054.23189</v>
      </c>
      <c r="D8571" s="15">
        <f>IFERROR(__xludf.DUMMYFUNCTION("""COMPUTED_VALUE"""),1.021)</f>
        <v>1.021</v>
      </c>
      <c r="E8571" s="16">
        <f>IFERROR(__xludf.DUMMYFUNCTION("""COMPUTED_VALUE"""),62.0)</f>
        <v>62</v>
      </c>
      <c r="F8571" s="19" t="str">
        <f>IFERROR(__xludf.DUMMYFUNCTION("""COMPUTED_VALUE"""),"BLUE")</f>
        <v>BLUE</v>
      </c>
      <c r="G8571" s="20" t="str">
        <f>IFERROR(__xludf.DUMMYFUNCTION("""COMPUTED_VALUE"""),"Uncle Sams Cider (04/04/2023)")</f>
        <v>Uncle Sams Cider (04/04/2023)</v>
      </c>
      <c r="H8571" s="19"/>
    </row>
    <row r="8572">
      <c r="A8572" s="9"/>
      <c r="B8572" s="15"/>
      <c r="C8572" s="9">
        <f>IFERROR(__xludf.DUMMYFUNCTION("""COMPUTED_VALUE"""),45054.2214598611)</f>
        <v>45054.22146</v>
      </c>
      <c r="D8572" s="15">
        <f>IFERROR(__xludf.DUMMYFUNCTION("""COMPUTED_VALUE"""),1.021)</f>
        <v>1.021</v>
      </c>
      <c r="E8572" s="16">
        <f>IFERROR(__xludf.DUMMYFUNCTION("""COMPUTED_VALUE"""),62.0)</f>
        <v>62</v>
      </c>
      <c r="F8572" s="19" t="str">
        <f>IFERROR(__xludf.DUMMYFUNCTION("""COMPUTED_VALUE"""),"BLUE")</f>
        <v>BLUE</v>
      </c>
      <c r="G8572" s="20" t="str">
        <f>IFERROR(__xludf.DUMMYFUNCTION("""COMPUTED_VALUE"""),"Uncle Sams Cider (04/04/2023)")</f>
        <v>Uncle Sams Cider (04/04/2023)</v>
      </c>
      <c r="H8572" s="19"/>
    </row>
    <row r="8573">
      <c r="A8573" s="9"/>
      <c r="B8573" s="15"/>
      <c r="C8573" s="9">
        <f>IFERROR(__xludf.DUMMYFUNCTION("""COMPUTED_VALUE"""),45054.2110289699)</f>
        <v>45054.21103</v>
      </c>
      <c r="D8573" s="15">
        <f>IFERROR(__xludf.DUMMYFUNCTION("""COMPUTED_VALUE"""),1.021)</f>
        <v>1.021</v>
      </c>
      <c r="E8573" s="16">
        <f>IFERROR(__xludf.DUMMYFUNCTION("""COMPUTED_VALUE"""),62.0)</f>
        <v>62</v>
      </c>
      <c r="F8573" s="19" t="str">
        <f>IFERROR(__xludf.DUMMYFUNCTION("""COMPUTED_VALUE"""),"BLUE")</f>
        <v>BLUE</v>
      </c>
      <c r="G8573" s="20" t="str">
        <f>IFERROR(__xludf.DUMMYFUNCTION("""COMPUTED_VALUE"""),"Uncle Sams Cider (04/04/2023)")</f>
        <v>Uncle Sams Cider (04/04/2023)</v>
      </c>
      <c r="H8573" s="19"/>
    </row>
    <row r="8574">
      <c r="A8574" s="9"/>
      <c r="B8574" s="15"/>
      <c r="C8574" s="9">
        <f>IFERROR(__xludf.DUMMYFUNCTION("""COMPUTED_VALUE"""),45054.2006085879)</f>
        <v>45054.20061</v>
      </c>
      <c r="D8574" s="15">
        <f>IFERROR(__xludf.DUMMYFUNCTION("""COMPUTED_VALUE"""),1.021)</f>
        <v>1.021</v>
      </c>
      <c r="E8574" s="16">
        <f>IFERROR(__xludf.DUMMYFUNCTION("""COMPUTED_VALUE"""),62.0)</f>
        <v>62</v>
      </c>
      <c r="F8574" s="19" t="str">
        <f>IFERROR(__xludf.DUMMYFUNCTION("""COMPUTED_VALUE"""),"BLUE")</f>
        <v>BLUE</v>
      </c>
      <c r="G8574" s="20" t="str">
        <f>IFERROR(__xludf.DUMMYFUNCTION("""COMPUTED_VALUE"""),"Uncle Sams Cider (04/04/2023)")</f>
        <v>Uncle Sams Cider (04/04/2023)</v>
      </c>
      <c r="H8574" s="19"/>
    </row>
    <row r="8575">
      <c r="A8575" s="9"/>
      <c r="B8575" s="15"/>
      <c r="C8575" s="9">
        <f>IFERROR(__xludf.DUMMYFUNCTION("""COMPUTED_VALUE"""),45054.179765243)</f>
        <v>45054.17977</v>
      </c>
      <c r="D8575" s="15">
        <f>IFERROR(__xludf.DUMMYFUNCTION("""COMPUTED_VALUE"""),1.021)</f>
        <v>1.021</v>
      </c>
      <c r="E8575" s="16">
        <f>IFERROR(__xludf.DUMMYFUNCTION("""COMPUTED_VALUE"""),62.0)</f>
        <v>62</v>
      </c>
      <c r="F8575" s="19" t="str">
        <f>IFERROR(__xludf.DUMMYFUNCTION("""COMPUTED_VALUE"""),"BLUE")</f>
        <v>BLUE</v>
      </c>
      <c r="G8575" s="20" t="str">
        <f>IFERROR(__xludf.DUMMYFUNCTION("""COMPUTED_VALUE"""),"Uncle Sams Cider (04/04/2023)")</f>
        <v>Uncle Sams Cider (04/04/2023)</v>
      </c>
      <c r="H8575" s="19"/>
    </row>
    <row r="8576">
      <c r="A8576" s="9"/>
      <c r="B8576" s="15"/>
      <c r="C8576" s="9">
        <f>IFERROR(__xludf.DUMMYFUNCTION("""COMPUTED_VALUE"""),45054.1693440625)</f>
        <v>45054.16934</v>
      </c>
      <c r="D8576" s="15">
        <f>IFERROR(__xludf.DUMMYFUNCTION("""COMPUTED_VALUE"""),1.021)</f>
        <v>1.021</v>
      </c>
      <c r="E8576" s="16">
        <f>IFERROR(__xludf.DUMMYFUNCTION("""COMPUTED_VALUE"""),62.0)</f>
        <v>62</v>
      </c>
      <c r="F8576" s="19" t="str">
        <f>IFERROR(__xludf.DUMMYFUNCTION("""COMPUTED_VALUE"""),"BLUE")</f>
        <v>BLUE</v>
      </c>
      <c r="G8576" s="20" t="str">
        <f>IFERROR(__xludf.DUMMYFUNCTION("""COMPUTED_VALUE"""),"Uncle Sams Cider (04/04/2023)")</f>
        <v>Uncle Sams Cider (04/04/2023)</v>
      </c>
      <c r="H8576" s="19"/>
    </row>
    <row r="8577">
      <c r="A8577" s="9"/>
      <c r="B8577" s="15"/>
      <c r="C8577" s="9">
        <f>IFERROR(__xludf.DUMMYFUNCTION("""COMPUTED_VALUE"""),45054.1589108449)</f>
        <v>45054.15891</v>
      </c>
      <c r="D8577" s="15">
        <f>IFERROR(__xludf.DUMMYFUNCTION("""COMPUTED_VALUE"""),1.021)</f>
        <v>1.021</v>
      </c>
      <c r="E8577" s="16">
        <f>IFERROR(__xludf.DUMMYFUNCTION("""COMPUTED_VALUE"""),61.0)</f>
        <v>61</v>
      </c>
      <c r="F8577" s="19" t="str">
        <f>IFERROR(__xludf.DUMMYFUNCTION("""COMPUTED_VALUE"""),"BLUE")</f>
        <v>BLUE</v>
      </c>
      <c r="G8577" s="20" t="str">
        <f>IFERROR(__xludf.DUMMYFUNCTION("""COMPUTED_VALUE"""),"Uncle Sams Cider (04/04/2023)")</f>
        <v>Uncle Sams Cider (04/04/2023)</v>
      </c>
      <c r="H8577" s="19"/>
    </row>
    <row r="8578">
      <c r="A8578" s="9"/>
      <c r="B8578" s="15"/>
      <c r="C8578" s="9">
        <f>IFERROR(__xludf.DUMMYFUNCTION("""COMPUTED_VALUE"""),45054.1484911111)</f>
        <v>45054.14849</v>
      </c>
      <c r="D8578" s="15">
        <f>IFERROR(__xludf.DUMMYFUNCTION("""COMPUTED_VALUE"""),1.021)</f>
        <v>1.021</v>
      </c>
      <c r="E8578" s="16">
        <f>IFERROR(__xludf.DUMMYFUNCTION("""COMPUTED_VALUE"""),62.0)</f>
        <v>62</v>
      </c>
      <c r="F8578" s="19" t="str">
        <f>IFERROR(__xludf.DUMMYFUNCTION("""COMPUTED_VALUE"""),"BLUE")</f>
        <v>BLUE</v>
      </c>
      <c r="G8578" s="20" t="str">
        <f>IFERROR(__xludf.DUMMYFUNCTION("""COMPUTED_VALUE"""),"Uncle Sams Cider (04/04/2023)")</f>
        <v>Uncle Sams Cider (04/04/2023)</v>
      </c>
      <c r="H8578" s="19"/>
    </row>
    <row r="8579">
      <c r="A8579" s="9"/>
      <c r="B8579" s="15"/>
      <c r="C8579" s="9">
        <f>IFERROR(__xludf.DUMMYFUNCTION("""COMPUTED_VALUE"""),45054.1380689004)</f>
        <v>45054.13807</v>
      </c>
      <c r="D8579" s="15">
        <f>IFERROR(__xludf.DUMMYFUNCTION("""COMPUTED_VALUE"""),1.021)</f>
        <v>1.021</v>
      </c>
      <c r="E8579" s="16">
        <f>IFERROR(__xludf.DUMMYFUNCTION("""COMPUTED_VALUE"""),62.0)</f>
        <v>62</v>
      </c>
      <c r="F8579" s="19" t="str">
        <f>IFERROR(__xludf.DUMMYFUNCTION("""COMPUTED_VALUE"""),"BLUE")</f>
        <v>BLUE</v>
      </c>
      <c r="G8579" s="20" t="str">
        <f>IFERROR(__xludf.DUMMYFUNCTION("""COMPUTED_VALUE"""),"Uncle Sams Cider (04/04/2023)")</f>
        <v>Uncle Sams Cider (04/04/2023)</v>
      </c>
      <c r="H8579" s="19"/>
    </row>
    <row r="8580">
      <c r="A8580" s="9"/>
      <c r="B8580" s="15"/>
      <c r="C8580" s="9">
        <f>IFERROR(__xludf.DUMMYFUNCTION("""COMPUTED_VALUE"""),45054.1276479745)</f>
        <v>45054.12765</v>
      </c>
      <c r="D8580" s="15">
        <f>IFERROR(__xludf.DUMMYFUNCTION("""COMPUTED_VALUE"""),1.021)</f>
        <v>1.021</v>
      </c>
      <c r="E8580" s="16">
        <f>IFERROR(__xludf.DUMMYFUNCTION("""COMPUTED_VALUE"""),61.0)</f>
        <v>61</v>
      </c>
      <c r="F8580" s="19" t="str">
        <f>IFERROR(__xludf.DUMMYFUNCTION("""COMPUTED_VALUE"""),"BLUE")</f>
        <v>BLUE</v>
      </c>
      <c r="G8580" s="20" t="str">
        <f>IFERROR(__xludf.DUMMYFUNCTION("""COMPUTED_VALUE"""),"Uncle Sams Cider (04/04/2023)")</f>
        <v>Uncle Sams Cider (04/04/2023)</v>
      </c>
      <c r="H8580" s="19"/>
    </row>
    <row r="8581">
      <c r="A8581" s="9"/>
      <c r="B8581" s="15"/>
      <c r="C8581" s="9">
        <f>IFERROR(__xludf.DUMMYFUNCTION("""COMPUTED_VALUE"""),45054.1172274768)</f>
        <v>45054.11723</v>
      </c>
      <c r="D8581" s="15">
        <f>IFERROR(__xludf.DUMMYFUNCTION("""COMPUTED_VALUE"""),1.021)</f>
        <v>1.021</v>
      </c>
      <c r="E8581" s="16">
        <f>IFERROR(__xludf.DUMMYFUNCTION("""COMPUTED_VALUE"""),61.0)</f>
        <v>61</v>
      </c>
      <c r="F8581" s="19" t="str">
        <f>IFERROR(__xludf.DUMMYFUNCTION("""COMPUTED_VALUE"""),"BLUE")</f>
        <v>BLUE</v>
      </c>
      <c r="G8581" s="20" t="str">
        <f>IFERROR(__xludf.DUMMYFUNCTION("""COMPUTED_VALUE"""),"Uncle Sams Cider (04/04/2023)")</f>
        <v>Uncle Sams Cider (04/04/2023)</v>
      </c>
      <c r="H8581" s="19"/>
    </row>
    <row r="8582">
      <c r="A8582" s="9"/>
      <c r="B8582" s="15"/>
      <c r="C8582" s="9">
        <f>IFERROR(__xludf.DUMMYFUNCTION("""COMPUTED_VALUE"""),45054.106795405)</f>
        <v>45054.1068</v>
      </c>
      <c r="D8582" s="15">
        <f>IFERROR(__xludf.DUMMYFUNCTION("""COMPUTED_VALUE"""),1.021)</f>
        <v>1.021</v>
      </c>
      <c r="E8582" s="16">
        <f>IFERROR(__xludf.DUMMYFUNCTION("""COMPUTED_VALUE"""),61.0)</f>
        <v>61</v>
      </c>
      <c r="F8582" s="19" t="str">
        <f>IFERROR(__xludf.DUMMYFUNCTION("""COMPUTED_VALUE"""),"BLUE")</f>
        <v>BLUE</v>
      </c>
      <c r="G8582" s="20" t="str">
        <f>IFERROR(__xludf.DUMMYFUNCTION("""COMPUTED_VALUE"""),"Uncle Sams Cider (04/04/2023)")</f>
        <v>Uncle Sams Cider (04/04/2023)</v>
      </c>
      <c r="H8582" s="19"/>
    </row>
    <row r="8583">
      <c r="A8583" s="9"/>
      <c r="B8583" s="15"/>
      <c r="C8583" s="9">
        <f>IFERROR(__xludf.DUMMYFUNCTION("""COMPUTED_VALUE"""),45054.096375324)</f>
        <v>45054.09638</v>
      </c>
      <c r="D8583" s="15">
        <f>IFERROR(__xludf.DUMMYFUNCTION("""COMPUTED_VALUE"""),1.021)</f>
        <v>1.021</v>
      </c>
      <c r="E8583" s="16">
        <f>IFERROR(__xludf.DUMMYFUNCTION("""COMPUTED_VALUE"""),61.0)</f>
        <v>61</v>
      </c>
      <c r="F8583" s="19" t="str">
        <f>IFERROR(__xludf.DUMMYFUNCTION("""COMPUTED_VALUE"""),"BLUE")</f>
        <v>BLUE</v>
      </c>
      <c r="G8583" s="20" t="str">
        <f>IFERROR(__xludf.DUMMYFUNCTION("""COMPUTED_VALUE"""),"Uncle Sams Cider (04/04/2023)")</f>
        <v>Uncle Sams Cider (04/04/2023)</v>
      </c>
      <c r="H8583" s="19"/>
    </row>
    <row r="8584">
      <c r="A8584" s="9"/>
      <c r="B8584" s="15"/>
      <c r="C8584" s="9">
        <f>IFERROR(__xludf.DUMMYFUNCTION("""COMPUTED_VALUE"""),45054.0859545717)</f>
        <v>45054.08595</v>
      </c>
      <c r="D8584" s="15">
        <f>IFERROR(__xludf.DUMMYFUNCTION("""COMPUTED_VALUE"""),1.021)</f>
        <v>1.021</v>
      </c>
      <c r="E8584" s="16">
        <f>IFERROR(__xludf.DUMMYFUNCTION("""COMPUTED_VALUE"""),61.0)</f>
        <v>61</v>
      </c>
      <c r="F8584" s="19" t="str">
        <f>IFERROR(__xludf.DUMMYFUNCTION("""COMPUTED_VALUE"""),"BLUE")</f>
        <v>BLUE</v>
      </c>
      <c r="G8584" s="20" t="str">
        <f>IFERROR(__xludf.DUMMYFUNCTION("""COMPUTED_VALUE"""),"Uncle Sams Cider (04/04/2023)")</f>
        <v>Uncle Sams Cider (04/04/2023)</v>
      </c>
      <c r="H8584" s="19"/>
    </row>
    <row r="8585">
      <c r="A8585" s="9"/>
      <c r="B8585" s="15"/>
      <c r="C8585" s="9">
        <f>IFERROR(__xludf.DUMMYFUNCTION("""COMPUTED_VALUE"""),45054.0755342476)</f>
        <v>45054.07553</v>
      </c>
      <c r="D8585" s="15">
        <f>IFERROR(__xludf.DUMMYFUNCTION("""COMPUTED_VALUE"""),1.021)</f>
        <v>1.021</v>
      </c>
      <c r="E8585" s="16">
        <f>IFERROR(__xludf.DUMMYFUNCTION("""COMPUTED_VALUE"""),61.0)</f>
        <v>61</v>
      </c>
      <c r="F8585" s="19" t="str">
        <f>IFERROR(__xludf.DUMMYFUNCTION("""COMPUTED_VALUE"""),"BLUE")</f>
        <v>BLUE</v>
      </c>
      <c r="G8585" s="20" t="str">
        <f>IFERROR(__xludf.DUMMYFUNCTION("""COMPUTED_VALUE"""),"Uncle Sams Cider (04/04/2023)")</f>
        <v>Uncle Sams Cider (04/04/2023)</v>
      </c>
      <c r="H8585" s="19"/>
    </row>
    <row r="8586">
      <c r="A8586" s="9"/>
      <c r="B8586" s="15"/>
      <c r="C8586" s="9">
        <f>IFERROR(__xludf.DUMMYFUNCTION("""COMPUTED_VALUE"""),45054.0546702546)</f>
        <v>45054.05467</v>
      </c>
      <c r="D8586" s="15">
        <f>IFERROR(__xludf.DUMMYFUNCTION("""COMPUTED_VALUE"""),1.021)</f>
        <v>1.021</v>
      </c>
      <c r="E8586" s="16">
        <f>IFERROR(__xludf.DUMMYFUNCTION("""COMPUTED_VALUE"""),61.0)</f>
        <v>61</v>
      </c>
      <c r="F8586" s="19" t="str">
        <f>IFERROR(__xludf.DUMMYFUNCTION("""COMPUTED_VALUE"""),"BLUE")</f>
        <v>BLUE</v>
      </c>
      <c r="G8586" s="20" t="str">
        <f>IFERROR(__xludf.DUMMYFUNCTION("""COMPUTED_VALUE"""),"Uncle Sams Cider (04/04/2023)")</f>
        <v>Uncle Sams Cider (04/04/2023)</v>
      </c>
      <c r="H8586" s="19"/>
    </row>
    <row r="8587">
      <c r="A8587" s="9"/>
      <c r="B8587" s="15"/>
      <c r="C8587" s="9">
        <f>IFERROR(__xludf.DUMMYFUNCTION("""COMPUTED_VALUE"""),45054.0442489236)</f>
        <v>45054.04425</v>
      </c>
      <c r="D8587" s="15">
        <f>IFERROR(__xludf.DUMMYFUNCTION("""COMPUTED_VALUE"""),1.021)</f>
        <v>1.021</v>
      </c>
      <c r="E8587" s="16">
        <f>IFERROR(__xludf.DUMMYFUNCTION("""COMPUTED_VALUE"""),61.0)</f>
        <v>61</v>
      </c>
      <c r="F8587" s="19" t="str">
        <f>IFERROR(__xludf.DUMMYFUNCTION("""COMPUTED_VALUE"""),"BLUE")</f>
        <v>BLUE</v>
      </c>
      <c r="G8587" s="20" t="str">
        <f>IFERROR(__xludf.DUMMYFUNCTION("""COMPUTED_VALUE"""),"Uncle Sams Cider (04/04/2023)")</f>
        <v>Uncle Sams Cider (04/04/2023)</v>
      </c>
      <c r="H8587" s="19"/>
    </row>
    <row r="8588">
      <c r="A8588" s="9"/>
      <c r="B8588" s="15"/>
      <c r="C8588" s="9">
        <f>IFERROR(__xludf.DUMMYFUNCTION("""COMPUTED_VALUE"""),45054.0338273611)</f>
        <v>45054.03383</v>
      </c>
      <c r="D8588" s="15">
        <f>IFERROR(__xludf.DUMMYFUNCTION("""COMPUTED_VALUE"""),1.021)</f>
        <v>1.021</v>
      </c>
      <c r="E8588" s="16">
        <f>IFERROR(__xludf.DUMMYFUNCTION("""COMPUTED_VALUE"""),61.0)</f>
        <v>61</v>
      </c>
      <c r="F8588" s="19" t="str">
        <f>IFERROR(__xludf.DUMMYFUNCTION("""COMPUTED_VALUE"""),"BLUE")</f>
        <v>BLUE</v>
      </c>
      <c r="G8588" s="20" t="str">
        <f>IFERROR(__xludf.DUMMYFUNCTION("""COMPUTED_VALUE"""),"Uncle Sams Cider (04/04/2023)")</f>
        <v>Uncle Sams Cider (04/04/2023)</v>
      </c>
      <c r="H8588" s="19"/>
    </row>
    <row r="8589">
      <c r="A8589" s="9"/>
      <c r="B8589" s="15"/>
      <c r="C8589" s="9">
        <f>IFERROR(__xludf.DUMMYFUNCTION("""COMPUTED_VALUE"""),45054.0234066319)</f>
        <v>45054.02341</v>
      </c>
      <c r="D8589" s="15">
        <f>IFERROR(__xludf.DUMMYFUNCTION("""COMPUTED_VALUE"""),1.021)</f>
        <v>1.021</v>
      </c>
      <c r="E8589" s="16">
        <f>IFERROR(__xludf.DUMMYFUNCTION("""COMPUTED_VALUE"""),61.0)</f>
        <v>61</v>
      </c>
      <c r="F8589" s="19" t="str">
        <f>IFERROR(__xludf.DUMMYFUNCTION("""COMPUTED_VALUE"""),"BLUE")</f>
        <v>BLUE</v>
      </c>
      <c r="G8589" s="20" t="str">
        <f>IFERROR(__xludf.DUMMYFUNCTION("""COMPUTED_VALUE"""),"Uncle Sams Cider (04/04/2023)")</f>
        <v>Uncle Sams Cider (04/04/2023)</v>
      </c>
      <c r="H8589" s="19"/>
    </row>
    <row r="8590">
      <c r="A8590" s="9"/>
      <c r="B8590" s="15"/>
      <c r="C8590" s="9">
        <f>IFERROR(__xludf.DUMMYFUNCTION("""COMPUTED_VALUE"""),45054.0129850694)</f>
        <v>45054.01299</v>
      </c>
      <c r="D8590" s="15">
        <f>IFERROR(__xludf.DUMMYFUNCTION("""COMPUTED_VALUE"""),1.021)</f>
        <v>1.021</v>
      </c>
      <c r="E8590" s="16">
        <f>IFERROR(__xludf.DUMMYFUNCTION("""COMPUTED_VALUE"""),61.0)</f>
        <v>61</v>
      </c>
      <c r="F8590" s="19" t="str">
        <f>IFERROR(__xludf.DUMMYFUNCTION("""COMPUTED_VALUE"""),"BLUE")</f>
        <v>BLUE</v>
      </c>
      <c r="G8590" s="20" t="str">
        <f>IFERROR(__xludf.DUMMYFUNCTION("""COMPUTED_VALUE"""),"Uncle Sams Cider (04/04/2023)")</f>
        <v>Uncle Sams Cider (04/04/2023)</v>
      </c>
      <c r="H8590" s="19"/>
    </row>
    <row r="8591">
      <c r="A8591" s="9"/>
      <c r="B8591" s="15"/>
      <c r="C8591" s="9">
        <f>IFERROR(__xludf.DUMMYFUNCTION("""COMPUTED_VALUE"""),45054.0025636458)</f>
        <v>45054.00256</v>
      </c>
      <c r="D8591" s="15">
        <f>IFERROR(__xludf.DUMMYFUNCTION("""COMPUTED_VALUE"""),1.021)</f>
        <v>1.021</v>
      </c>
      <c r="E8591" s="16">
        <f>IFERROR(__xludf.DUMMYFUNCTION("""COMPUTED_VALUE"""),61.0)</f>
        <v>61</v>
      </c>
      <c r="F8591" s="19" t="str">
        <f>IFERROR(__xludf.DUMMYFUNCTION("""COMPUTED_VALUE"""),"BLUE")</f>
        <v>BLUE</v>
      </c>
      <c r="G8591" s="20" t="str">
        <f>IFERROR(__xludf.DUMMYFUNCTION("""COMPUTED_VALUE"""),"Uncle Sams Cider (04/04/2023)")</f>
        <v>Uncle Sams Cider (04/04/2023)</v>
      </c>
      <c r="H8591" s="19"/>
    </row>
    <row r="8592">
      <c r="A8592" s="9"/>
      <c r="B8592" s="15"/>
      <c r="C8592" s="9">
        <f>IFERROR(__xludf.DUMMYFUNCTION("""COMPUTED_VALUE"""),45053.9921431481)</f>
        <v>45053.99214</v>
      </c>
      <c r="D8592" s="15">
        <f>IFERROR(__xludf.DUMMYFUNCTION("""COMPUTED_VALUE"""),1.021)</f>
        <v>1.021</v>
      </c>
      <c r="E8592" s="16">
        <f>IFERROR(__xludf.DUMMYFUNCTION("""COMPUTED_VALUE"""),61.0)</f>
        <v>61</v>
      </c>
      <c r="F8592" s="19" t="str">
        <f>IFERROR(__xludf.DUMMYFUNCTION("""COMPUTED_VALUE"""),"BLUE")</f>
        <v>BLUE</v>
      </c>
      <c r="G8592" s="20" t="str">
        <f>IFERROR(__xludf.DUMMYFUNCTION("""COMPUTED_VALUE"""),"Uncle Sams Cider (04/04/2023)")</f>
        <v>Uncle Sams Cider (04/04/2023)</v>
      </c>
      <c r="H8592" s="19"/>
    </row>
    <row r="8593">
      <c r="A8593" s="9"/>
      <c r="B8593" s="15"/>
      <c r="C8593" s="9">
        <f>IFERROR(__xludf.DUMMYFUNCTION("""COMPUTED_VALUE"""),45053.9817218518)</f>
        <v>45053.98172</v>
      </c>
      <c r="D8593" s="15">
        <f>IFERROR(__xludf.DUMMYFUNCTION("""COMPUTED_VALUE"""),1.021)</f>
        <v>1.021</v>
      </c>
      <c r="E8593" s="16">
        <f>IFERROR(__xludf.DUMMYFUNCTION("""COMPUTED_VALUE"""),61.0)</f>
        <v>61</v>
      </c>
      <c r="F8593" s="19" t="str">
        <f>IFERROR(__xludf.DUMMYFUNCTION("""COMPUTED_VALUE"""),"BLUE")</f>
        <v>BLUE</v>
      </c>
      <c r="G8593" s="20" t="str">
        <f>IFERROR(__xludf.DUMMYFUNCTION("""COMPUTED_VALUE"""),"Uncle Sams Cider (04/04/2023)")</f>
        <v>Uncle Sams Cider (04/04/2023)</v>
      </c>
      <c r="H8593" s="19"/>
    </row>
    <row r="8594">
      <c r="A8594" s="9"/>
      <c r="B8594" s="15"/>
      <c r="C8594" s="9">
        <f>IFERROR(__xludf.DUMMYFUNCTION("""COMPUTED_VALUE"""),45053.9712996296)</f>
        <v>45053.9713</v>
      </c>
      <c r="D8594" s="15">
        <f>IFERROR(__xludf.DUMMYFUNCTION("""COMPUTED_VALUE"""),1.021)</f>
        <v>1.021</v>
      </c>
      <c r="E8594" s="16">
        <f>IFERROR(__xludf.DUMMYFUNCTION("""COMPUTED_VALUE"""),61.0)</f>
        <v>61</v>
      </c>
      <c r="F8594" s="19" t="str">
        <f>IFERROR(__xludf.DUMMYFUNCTION("""COMPUTED_VALUE"""),"BLUE")</f>
        <v>BLUE</v>
      </c>
      <c r="G8594" s="20" t="str">
        <f>IFERROR(__xludf.DUMMYFUNCTION("""COMPUTED_VALUE"""),"Uncle Sams Cider (04/04/2023)")</f>
        <v>Uncle Sams Cider (04/04/2023)</v>
      </c>
      <c r="H8594" s="19"/>
    </row>
    <row r="8595">
      <c r="A8595" s="9"/>
      <c r="B8595" s="15"/>
      <c r="C8595" s="9">
        <f>IFERROR(__xludf.DUMMYFUNCTION("""COMPUTED_VALUE"""),45053.9608800115)</f>
        <v>45053.96088</v>
      </c>
      <c r="D8595" s="15">
        <f>IFERROR(__xludf.DUMMYFUNCTION("""COMPUTED_VALUE"""),1.021)</f>
        <v>1.021</v>
      </c>
      <c r="E8595" s="16">
        <f>IFERROR(__xludf.DUMMYFUNCTION("""COMPUTED_VALUE"""),61.0)</f>
        <v>61</v>
      </c>
      <c r="F8595" s="19" t="str">
        <f>IFERROR(__xludf.DUMMYFUNCTION("""COMPUTED_VALUE"""),"BLUE")</f>
        <v>BLUE</v>
      </c>
      <c r="G8595" s="20" t="str">
        <f>IFERROR(__xludf.DUMMYFUNCTION("""COMPUTED_VALUE"""),"Uncle Sams Cider (04/04/2023)")</f>
        <v>Uncle Sams Cider (04/04/2023)</v>
      </c>
      <c r="H8595" s="19"/>
    </row>
    <row r="8596">
      <c r="A8596" s="9"/>
      <c r="B8596" s="15"/>
      <c r="C8596" s="9">
        <f>IFERROR(__xludf.DUMMYFUNCTION("""COMPUTED_VALUE"""),45053.9400397685)</f>
        <v>45053.94004</v>
      </c>
      <c r="D8596" s="15">
        <f>IFERROR(__xludf.DUMMYFUNCTION("""COMPUTED_VALUE"""),1.021)</f>
        <v>1.021</v>
      </c>
      <c r="E8596" s="16">
        <f>IFERROR(__xludf.DUMMYFUNCTION("""COMPUTED_VALUE"""),61.0)</f>
        <v>61</v>
      </c>
      <c r="F8596" s="19" t="str">
        <f>IFERROR(__xludf.DUMMYFUNCTION("""COMPUTED_VALUE"""),"BLUE")</f>
        <v>BLUE</v>
      </c>
      <c r="G8596" s="20" t="str">
        <f>IFERROR(__xludf.DUMMYFUNCTION("""COMPUTED_VALUE"""),"Uncle Sams Cider (04/04/2023)")</f>
        <v>Uncle Sams Cider (04/04/2023)</v>
      </c>
      <c r="H8596" s="19"/>
    </row>
    <row r="8597">
      <c r="A8597" s="9"/>
      <c r="B8597" s="15"/>
      <c r="C8597" s="9">
        <f>IFERROR(__xludf.DUMMYFUNCTION("""COMPUTED_VALUE"""),45053.9191972801)</f>
        <v>45053.9192</v>
      </c>
      <c r="D8597" s="15">
        <f>IFERROR(__xludf.DUMMYFUNCTION("""COMPUTED_VALUE"""),1.021)</f>
        <v>1.021</v>
      </c>
      <c r="E8597" s="16">
        <f>IFERROR(__xludf.DUMMYFUNCTION("""COMPUTED_VALUE"""),61.0)</f>
        <v>61</v>
      </c>
      <c r="F8597" s="19" t="str">
        <f>IFERROR(__xludf.DUMMYFUNCTION("""COMPUTED_VALUE"""),"BLUE")</f>
        <v>BLUE</v>
      </c>
      <c r="G8597" s="20" t="str">
        <f>IFERROR(__xludf.DUMMYFUNCTION("""COMPUTED_VALUE"""),"Uncle Sams Cider (04/04/2023)")</f>
        <v>Uncle Sams Cider (04/04/2023)</v>
      </c>
      <c r="H8597" s="19"/>
    </row>
    <row r="8598">
      <c r="A8598" s="9"/>
      <c r="B8598" s="15"/>
      <c r="C8598" s="9">
        <f>IFERROR(__xludf.DUMMYFUNCTION("""COMPUTED_VALUE"""),45053.9087747685)</f>
        <v>45053.90877</v>
      </c>
      <c r="D8598" s="15">
        <f>IFERROR(__xludf.DUMMYFUNCTION("""COMPUTED_VALUE"""),1.021)</f>
        <v>1.021</v>
      </c>
      <c r="E8598" s="16">
        <f>IFERROR(__xludf.DUMMYFUNCTION("""COMPUTED_VALUE"""),61.0)</f>
        <v>61</v>
      </c>
      <c r="F8598" s="19" t="str">
        <f>IFERROR(__xludf.DUMMYFUNCTION("""COMPUTED_VALUE"""),"BLUE")</f>
        <v>BLUE</v>
      </c>
      <c r="G8598" s="20" t="str">
        <f>IFERROR(__xludf.DUMMYFUNCTION("""COMPUTED_VALUE"""),"Uncle Sams Cider (04/04/2023)")</f>
        <v>Uncle Sams Cider (04/04/2023)</v>
      </c>
      <c r="H8598" s="19"/>
    </row>
    <row r="8599">
      <c r="A8599" s="9"/>
      <c r="B8599" s="15"/>
      <c r="C8599" s="9">
        <f>IFERROR(__xludf.DUMMYFUNCTION("""COMPUTED_VALUE"""),45053.8983410995)</f>
        <v>45053.89834</v>
      </c>
      <c r="D8599" s="15">
        <f>IFERROR(__xludf.DUMMYFUNCTION("""COMPUTED_VALUE"""),1.021)</f>
        <v>1.021</v>
      </c>
      <c r="E8599" s="16">
        <f>IFERROR(__xludf.DUMMYFUNCTION("""COMPUTED_VALUE"""),61.0)</f>
        <v>61</v>
      </c>
      <c r="F8599" s="19" t="str">
        <f>IFERROR(__xludf.DUMMYFUNCTION("""COMPUTED_VALUE"""),"BLUE")</f>
        <v>BLUE</v>
      </c>
      <c r="G8599" s="20" t="str">
        <f>IFERROR(__xludf.DUMMYFUNCTION("""COMPUTED_VALUE"""),"Uncle Sams Cider (04/04/2023)")</f>
        <v>Uncle Sams Cider (04/04/2023)</v>
      </c>
      <c r="H8599" s="19"/>
    </row>
    <row r="8600">
      <c r="A8600" s="9"/>
      <c r="B8600" s="15"/>
      <c r="C8600" s="9">
        <f>IFERROR(__xludf.DUMMYFUNCTION("""COMPUTED_VALUE"""),45053.8879201967)</f>
        <v>45053.88792</v>
      </c>
      <c r="D8600" s="15">
        <f>IFERROR(__xludf.DUMMYFUNCTION("""COMPUTED_VALUE"""),1.021)</f>
        <v>1.021</v>
      </c>
      <c r="E8600" s="16">
        <f>IFERROR(__xludf.DUMMYFUNCTION("""COMPUTED_VALUE"""),61.0)</f>
        <v>61</v>
      </c>
      <c r="F8600" s="19" t="str">
        <f>IFERROR(__xludf.DUMMYFUNCTION("""COMPUTED_VALUE"""),"BLUE")</f>
        <v>BLUE</v>
      </c>
      <c r="G8600" s="20" t="str">
        <f>IFERROR(__xludf.DUMMYFUNCTION("""COMPUTED_VALUE"""),"Uncle Sams Cider (04/04/2023)")</f>
        <v>Uncle Sams Cider (04/04/2023)</v>
      </c>
      <c r="H8600" s="19"/>
    </row>
    <row r="8601">
      <c r="A8601" s="9"/>
      <c r="B8601" s="15"/>
      <c r="C8601" s="9">
        <f>IFERROR(__xludf.DUMMYFUNCTION("""COMPUTED_VALUE"""),45053.8774849652)</f>
        <v>45053.87748</v>
      </c>
      <c r="D8601" s="15">
        <f>IFERROR(__xludf.DUMMYFUNCTION("""COMPUTED_VALUE"""),1.021)</f>
        <v>1.021</v>
      </c>
      <c r="E8601" s="16">
        <f>IFERROR(__xludf.DUMMYFUNCTION("""COMPUTED_VALUE"""),61.0)</f>
        <v>61</v>
      </c>
      <c r="F8601" s="19" t="str">
        <f>IFERROR(__xludf.DUMMYFUNCTION("""COMPUTED_VALUE"""),"BLUE")</f>
        <v>BLUE</v>
      </c>
      <c r="G8601" s="20" t="str">
        <f>IFERROR(__xludf.DUMMYFUNCTION("""COMPUTED_VALUE"""),"Uncle Sams Cider (04/04/2023)")</f>
        <v>Uncle Sams Cider (04/04/2023)</v>
      </c>
      <c r="H8601" s="19"/>
    </row>
    <row r="8602">
      <c r="A8602" s="9"/>
      <c r="B8602" s="15"/>
      <c r="C8602" s="9">
        <f>IFERROR(__xludf.DUMMYFUNCTION("""COMPUTED_VALUE"""),45053.8566414699)</f>
        <v>45053.85664</v>
      </c>
      <c r="D8602" s="15">
        <f>IFERROR(__xludf.DUMMYFUNCTION("""COMPUTED_VALUE"""),1.021)</f>
        <v>1.021</v>
      </c>
      <c r="E8602" s="16">
        <f>IFERROR(__xludf.DUMMYFUNCTION("""COMPUTED_VALUE"""),61.0)</f>
        <v>61</v>
      </c>
      <c r="F8602" s="19" t="str">
        <f>IFERROR(__xludf.DUMMYFUNCTION("""COMPUTED_VALUE"""),"BLUE")</f>
        <v>BLUE</v>
      </c>
      <c r="G8602" s="20" t="str">
        <f>IFERROR(__xludf.DUMMYFUNCTION("""COMPUTED_VALUE"""),"Uncle Sams Cider (04/04/2023)")</f>
        <v>Uncle Sams Cider (04/04/2023)</v>
      </c>
      <c r="H8602" s="19"/>
    </row>
    <row r="8603">
      <c r="A8603" s="9"/>
      <c r="B8603" s="15"/>
      <c r="C8603" s="9">
        <f>IFERROR(__xludf.DUMMYFUNCTION("""COMPUTED_VALUE"""),45053.8462209259)</f>
        <v>45053.84622</v>
      </c>
      <c r="D8603" s="15">
        <f>IFERROR(__xludf.DUMMYFUNCTION("""COMPUTED_VALUE"""),1.021)</f>
        <v>1.021</v>
      </c>
      <c r="E8603" s="16">
        <f>IFERROR(__xludf.DUMMYFUNCTION("""COMPUTED_VALUE"""),61.0)</f>
        <v>61</v>
      </c>
      <c r="F8603" s="19" t="str">
        <f>IFERROR(__xludf.DUMMYFUNCTION("""COMPUTED_VALUE"""),"BLUE")</f>
        <v>BLUE</v>
      </c>
      <c r="G8603" s="20" t="str">
        <f>IFERROR(__xludf.DUMMYFUNCTION("""COMPUTED_VALUE"""),"Uncle Sams Cider (04/04/2023)")</f>
        <v>Uncle Sams Cider (04/04/2023)</v>
      </c>
      <c r="H8603" s="19"/>
    </row>
    <row r="8604">
      <c r="A8604" s="9"/>
      <c r="B8604" s="15"/>
      <c r="C8604" s="9">
        <f>IFERROR(__xludf.DUMMYFUNCTION("""COMPUTED_VALUE"""),45053.8358002777)</f>
        <v>45053.8358</v>
      </c>
      <c r="D8604" s="15">
        <f>IFERROR(__xludf.DUMMYFUNCTION("""COMPUTED_VALUE"""),1.021)</f>
        <v>1.021</v>
      </c>
      <c r="E8604" s="16">
        <f>IFERROR(__xludf.DUMMYFUNCTION("""COMPUTED_VALUE"""),61.0)</f>
        <v>61</v>
      </c>
      <c r="F8604" s="19" t="str">
        <f>IFERROR(__xludf.DUMMYFUNCTION("""COMPUTED_VALUE"""),"BLUE")</f>
        <v>BLUE</v>
      </c>
      <c r="G8604" s="20" t="str">
        <f>IFERROR(__xludf.DUMMYFUNCTION("""COMPUTED_VALUE"""),"Uncle Sams Cider (04/04/2023)")</f>
        <v>Uncle Sams Cider (04/04/2023)</v>
      </c>
      <c r="H8604" s="19"/>
    </row>
    <row r="8605">
      <c r="A8605" s="9"/>
      <c r="B8605" s="15"/>
      <c r="C8605" s="9">
        <f>IFERROR(__xludf.DUMMYFUNCTION("""COMPUTED_VALUE"""),45053.8149564467)</f>
        <v>45053.81496</v>
      </c>
      <c r="D8605" s="15">
        <f>IFERROR(__xludf.DUMMYFUNCTION("""COMPUTED_VALUE"""),1.021)</f>
        <v>1.021</v>
      </c>
      <c r="E8605" s="16">
        <f>IFERROR(__xludf.DUMMYFUNCTION("""COMPUTED_VALUE"""),61.0)</f>
        <v>61</v>
      </c>
      <c r="F8605" s="19" t="str">
        <f>IFERROR(__xludf.DUMMYFUNCTION("""COMPUTED_VALUE"""),"BLUE")</f>
        <v>BLUE</v>
      </c>
      <c r="G8605" s="20" t="str">
        <f>IFERROR(__xludf.DUMMYFUNCTION("""COMPUTED_VALUE"""),"Uncle Sams Cider (04/04/2023)")</f>
        <v>Uncle Sams Cider (04/04/2023)</v>
      </c>
      <c r="H8605" s="19"/>
    </row>
    <row r="8606">
      <c r="A8606" s="9"/>
      <c r="B8606" s="15"/>
      <c r="C8606" s="9">
        <f>IFERROR(__xludf.DUMMYFUNCTION("""COMPUTED_VALUE"""),45053.8045342939)</f>
        <v>45053.80453</v>
      </c>
      <c r="D8606" s="15">
        <f>IFERROR(__xludf.DUMMYFUNCTION("""COMPUTED_VALUE"""),1.021)</f>
        <v>1.021</v>
      </c>
      <c r="E8606" s="16">
        <f>IFERROR(__xludf.DUMMYFUNCTION("""COMPUTED_VALUE"""),61.0)</f>
        <v>61</v>
      </c>
      <c r="F8606" s="19" t="str">
        <f>IFERROR(__xludf.DUMMYFUNCTION("""COMPUTED_VALUE"""),"BLUE")</f>
        <v>BLUE</v>
      </c>
      <c r="G8606" s="20" t="str">
        <f>IFERROR(__xludf.DUMMYFUNCTION("""COMPUTED_VALUE"""),"Uncle Sams Cider (04/04/2023)")</f>
        <v>Uncle Sams Cider (04/04/2023)</v>
      </c>
      <c r="H8606" s="19"/>
    </row>
    <row r="8607">
      <c r="A8607" s="9"/>
      <c r="B8607" s="15"/>
      <c r="C8607" s="9">
        <f>IFERROR(__xludf.DUMMYFUNCTION("""COMPUTED_VALUE"""),45053.7941127662)</f>
        <v>45053.79411</v>
      </c>
      <c r="D8607" s="15">
        <f>IFERROR(__xludf.DUMMYFUNCTION("""COMPUTED_VALUE"""),1.021)</f>
        <v>1.021</v>
      </c>
      <c r="E8607" s="16">
        <f>IFERROR(__xludf.DUMMYFUNCTION("""COMPUTED_VALUE"""),61.0)</f>
        <v>61</v>
      </c>
      <c r="F8607" s="19" t="str">
        <f>IFERROR(__xludf.DUMMYFUNCTION("""COMPUTED_VALUE"""),"BLUE")</f>
        <v>BLUE</v>
      </c>
      <c r="G8607" s="20" t="str">
        <f>IFERROR(__xludf.DUMMYFUNCTION("""COMPUTED_VALUE"""),"Uncle Sams Cider (04/04/2023)")</f>
        <v>Uncle Sams Cider (04/04/2023)</v>
      </c>
      <c r="H8607" s="19"/>
    </row>
    <row r="8608">
      <c r="A8608" s="9"/>
      <c r="B8608" s="15"/>
      <c r="C8608" s="9">
        <f>IFERROR(__xludf.DUMMYFUNCTION("""COMPUTED_VALUE"""),45053.7732590277)</f>
        <v>45053.77326</v>
      </c>
      <c r="D8608" s="15">
        <f>IFERROR(__xludf.DUMMYFUNCTION("""COMPUTED_VALUE"""),1.021)</f>
        <v>1.021</v>
      </c>
      <c r="E8608" s="16">
        <f>IFERROR(__xludf.DUMMYFUNCTION("""COMPUTED_VALUE"""),61.0)</f>
        <v>61</v>
      </c>
      <c r="F8608" s="19" t="str">
        <f>IFERROR(__xludf.DUMMYFUNCTION("""COMPUTED_VALUE"""),"BLUE")</f>
        <v>BLUE</v>
      </c>
      <c r="G8608" s="20" t="str">
        <f>IFERROR(__xludf.DUMMYFUNCTION("""COMPUTED_VALUE"""),"Uncle Sams Cider (04/04/2023)")</f>
        <v>Uncle Sams Cider (04/04/2023)</v>
      </c>
      <c r="H8608" s="19"/>
    </row>
    <row r="8609">
      <c r="A8609" s="9"/>
      <c r="B8609" s="15"/>
      <c r="C8609" s="9">
        <f>IFERROR(__xludf.DUMMYFUNCTION("""COMPUTED_VALUE"""),45053.7628375694)</f>
        <v>45053.76284</v>
      </c>
      <c r="D8609" s="15">
        <f>IFERROR(__xludf.DUMMYFUNCTION("""COMPUTED_VALUE"""),1.021)</f>
        <v>1.021</v>
      </c>
      <c r="E8609" s="16">
        <f>IFERROR(__xludf.DUMMYFUNCTION("""COMPUTED_VALUE"""),61.0)</f>
        <v>61</v>
      </c>
      <c r="F8609" s="19" t="str">
        <f>IFERROR(__xludf.DUMMYFUNCTION("""COMPUTED_VALUE"""),"BLUE")</f>
        <v>BLUE</v>
      </c>
      <c r="G8609" s="20" t="str">
        <f>IFERROR(__xludf.DUMMYFUNCTION("""COMPUTED_VALUE"""),"Uncle Sams Cider (04/04/2023)")</f>
        <v>Uncle Sams Cider (04/04/2023)</v>
      </c>
      <c r="H8609" s="19"/>
    </row>
    <row r="8610">
      <c r="A8610" s="9"/>
      <c r="B8610" s="15"/>
      <c r="C8610" s="9">
        <f>IFERROR(__xludf.DUMMYFUNCTION("""COMPUTED_VALUE"""),45053.7419401273)</f>
        <v>45053.74194</v>
      </c>
      <c r="D8610" s="15">
        <f>IFERROR(__xludf.DUMMYFUNCTION("""COMPUTED_VALUE"""),1.021)</f>
        <v>1.021</v>
      </c>
      <c r="E8610" s="16">
        <f>IFERROR(__xludf.DUMMYFUNCTION("""COMPUTED_VALUE"""),61.0)</f>
        <v>61</v>
      </c>
      <c r="F8610" s="19" t="str">
        <f>IFERROR(__xludf.DUMMYFUNCTION("""COMPUTED_VALUE"""),"BLUE")</f>
        <v>BLUE</v>
      </c>
      <c r="G8610" s="20" t="str">
        <f>IFERROR(__xludf.DUMMYFUNCTION("""COMPUTED_VALUE"""),"Uncle Sams Cider (04/04/2023)")</f>
        <v>Uncle Sams Cider (04/04/2023)</v>
      </c>
      <c r="H8610" s="19"/>
    </row>
    <row r="8611">
      <c r="A8611" s="9"/>
      <c r="B8611" s="15"/>
      <c r="C8611" s="9">
        <f>IFERROR(__xludf.DUMMYFUNCTION("""COMPUTED_VALUE"""),45053.7315070486)</f>
        <v>45053.73151</v>
      </c>
      <c r="D8611" s="15">
        <f>IFERROR(__xludf.DUMMYFUNCTION("""COMPUTED_VALUE"""),1.021)</f>
        <v>1.021</v>
      </c>
      <c r="E8611" s="16">
        <f>IFERROR(__xludf.DUMMYFUNCTION("""COMPUTED_VALUE"""),61.0)</f>
        <v>61</v>
      </c>
      <c r="F8611" s="19" t="str">
        <f>IFERROR(__xludf.DUMMYFUNCTION("""COMPUTED_VALUE"""),"BLUE")</f>
        <v>BLUE</v>
      </c>
      <c r="G8611" s="20" t="str">
        <f>IFERROR(__xludf.DUMMYFUNCTION("""COMPUTED_VALUE"""),"Uncle Sams Cider (04/04/2023)")</f>
        <v>Uncle Sams Cider (04/04/2023)</v>
      </c>
      <c r="H8611" s="19"/>
    </row>
    <row r="8612">
      <c r="A8612" s="9"/>
      <c r="B8612" s="15"/>
      <c r="C8612" s="9">
        <f>IFERROR(__xludf.DUMMYFUNCTION("""COMPUTED_VALUE"""),45053.7210857291)</f>
        <v>45053.72109</v>
      </c>
      <c r="D8612" s="15">
        <f>IFERROR(__xludf.DUMMYFUNCTION("""COMPUTED_VALUE"""),1.021)</f>
        <v>1.021</v>
      </c>
      <c r="E8612" s="16">
        <f>IFERROR(__xludf.DUMMYFUNCTION("""COMPUTED_VALUE"""),61.0)</f>
        <v>61</v>
      </c>
      <c r="F8612" s="19" t="str">
        <f>IFERROR(__xludf.DUMMYFUNCTION("""COMPUTED_VALUE"""),"BLUE")</f>
        <v>BLUE</v>
      </c>
      <c r="G8612" s="20" t="str">
        <f>IFERROR(__xludf.DUMMYFUNCTION("""COMPUTED_VALUE"""),"Uncle Sams Cider (04/04/2023)")</f>
        <v>Uncle Sams Cider (04/04/2023)</v>
      </c>
      <c r="H8612" s="19"/>
    </row>
    <row r="8613">
      <c r="A8613" s="9"/>
      <c r="B8613" s="15"/>
      <c r="C8613" s="9">
        <f>IFERROR(__xludf.DUMMYFUNCTION("""COMPUTED_VALUE"""),45053.7106642013)</f>
        <v>45053.71066</v>
      </c>
      <c r="D8613" s="15">
        <f>IFERROR(__xludf.DUMMYFUNCTION("""COMPUTED_VALUE"""),1.021)</f>
        <v>1.021</v>
      </c>
      <c r="E8613" s="16">
        <f>IFERROR(__xludf.DUMMYFUNCTION("""COMPUTED_VALUE"""),61.0)</f>
        <v>61</v>
      </c>
      <c r="F8613" s="19" t="str">
        <f>IFERROR(__xludf.DUMMYFUNCTION("""COMPUTED_VALUE"""),"BLUE")</f>
        <v>BLUE</v>
      </c>
      <c r="G8613" s="20" t="str">
        <f>IFERROR(__xludf.DUMMYFUNCTION("""COMPUTED_VALUE"""),"Uncle Sams Cider (04/04/2023)")</f>
        <v>Uncle Sams Cider (04/04/2023)</v>
      </c>
      <c r="H8613" s="19"/>
    </row>
    <row r="8614">
      <c r="A8614" s="9"/>
      <c r="B8614" s="15"/>
      <c r="C8614" s="9">
        <f>IFERROR(__xludf.DUMMYFUNCTION("""COMPUTED_VALUE"""),45053.7002417592)</f>
        <v>45053.70024</v>
      </c>
      <c r="D8614" s="15">
        <f>IFERROR(__xludf.DUMMYFUNCTION("""COMPUTED_VALUE"""),1.021)</f>
        <v>1.021</v>
      </c>
      <c r="E8614" s="16">
        <f>IFERROR(__xludf.DUMMYFUNCTION("""COMPUTED_VALUE"""),61.0)</f>
        <v>61</v>
      </c>
      <c r="F8614" s="19" t="str">
        <f>IFERROR(__xludf.DUMMYFUNCTION("""COMPUTED_VALUE"""),"BLUE")</f>
        <v>BLUE</v>
      </c>
      <c r="G8614" s="20" t="str">
        <f>IFERROR(__xludf.DUMMYFUNCTION("""COMPUTED_VALUE"""),"Uncle Sams Cider (04/04/2023)")</f>
        <v>Uncle Sams Cider (04/04/2023)</v>
      </c>
      <c r="H8614" s="19"/>
    </row>
    <row r="8615">
      <c r="A8615" s="9"/>
      <c r="B8615" s="15"/>
      <c r="C8615" s="9">
        <f>IFERROR(__xludf.DUMMYFUNCTION("""COMPUTED_VALUE"""),45053.6898098379)</f>
        <v>45053.68981</v>
      </c>
      <c r="D8615" s="15">
        <f>IFERROR(__xludf.DUMMYFUNCTION("""COMPUTED_VALUE"""),1.021)</f>
        <v>1.021</v>
      </c>
      <c r="E8615" s="16">
        <f>IFERROR(__xludf.DUMMYFUNCTION("""COMPUTED_VALUE"""),61.0)</f>
        <v>61</v>
      </c>
      <c r="F8615" s="19" t="str">
        <f>IFERROR(__xludf.DUMMYFUNCTION("""COMPUTED_VALUE"""),"BLUE")</f>
        <v>BLUE</v>
      </c>
      <c r="G8615" s="20" t="str">
        <f>IFERROR(__xludf.DUMMYFUNCTION("""COMPUTED_VALUE"""),"Uncle Sams Cider (04/04/2023)")</f>
        <v>Uncle Sams Cider (04/04/2023)</v>
      </c>
      <c r="H8615" s="19"/>
    </row>
    <row r="8616">
      <c r="A8616" s="9"/>
      <c r="B8616" s="15"/>
      <c r="C8616" s="9">
        <f>IFERROR(__xludf.DUMMYFUNCTION("""COMPUTED_VALUE"""),45053.679388831)</f>
        <v>45053.67939</v>
      </c>
      <c r="D8616" s="15">
        <f>IFERROR(__xludf.DUMMYFUNCTION("""COMPUTED_VALUE"""),1.021)</f>
        <v>1.021</v>
      </c>
      <c r="E8616" s="16">
        <f>IFERROR(__xludf.DUMMYFUNCTION("""COMPUTED_VALUE"""),61.0)</f>
        <v>61</v>
      </c>
      <c r="F8616" s="19" t="str">
        <f>IFERROR(__xludf.DUMMYFUNCTION("""COMPUTED_VALUE"""),"BLUE")</f>
        <v>BLUE</v>
      </c>
      <c r="G8616" s="20" t="str">
        <f>IFERROR(__xludf.DUMMYFUNCTION("""COMPUTED_VALUE"""),"Uncle Sams Cider (04/04/2023)")</f>
        <v>Uncle Sams Cider (04/04/2023)</v>
      </c>
      <c r="H8616" s="19"/>
    </row>
    <row r="8617">
      <c r="A8617" s="9"/>
      <c r="B8617" s="15"/>
      <c r="C8617" s="9">
        <f>IFERROR(__xludf.DUMMYFUNCTION("""COMPUTED_VALUE"""),45053.6689671064)</f>
        <v>45053.66897</v>
      </c>
      <c r="D8617" s="15">
        <f>IFERROR(__xludf.DUMMYFUNCTION("""COMPUTED_VALUE"""),1.021)</f>
        <v>1.021</v>
      </c>
      <c r="E8617" s="16">
        <f>IFERROR(__xludf.DUMMYFUNCTION("""COMPUTED_VALUE"""),61.0)</f>
        <v>61</v>
      </c>
      <c r="F8617" s="19" t="str">
        <f>IFERROR(__xludf.DUMMYFUNCTION("""COMPUTED_VALUE"""),"BLUE")</f>
        <v>BLUE</v>
      </c>
      <c r="G8617" s="20" t="str">
        <f>IFERROR(__xludf.DUMMYFUNCTION("""COMPUTED_VALUE"""),"Uncle Sams Cider (04/04/2023)")</f>
        <v>Uncle Sams Cider (04/04/2023)</v>
      </c>
      <c r="H8617" s="19"/>
    </row>
    <row r="8618">
      <c r="A8618" s="9"/>
      <c r="B8618" s="15"/>
      <c r="C8618" s="9">
        <f>IFERROR(__xludf.DUMMYFUNCTION("""COMPUTED_VALUE"""),45053.6585466898)</f>
        <v>45053.65855</v>
      </c>
      <c r="D8618" s="15">
        <f>IFERROR(__xludf.DUMMYFUNCTION("""COMPUTED_VALUE"""),1.021)</f>
        <v>1.021</v>
      </c>
      <c r="E8618" s="16">
        <f>IFERROR(__xludf.DUMMYFUNCTION("""COMPUTED_VALUE"""),61.0)</f>
        <v>61</v>
      </c>
      <c r="F8618" s="19" t="str">
        <f>IFERROR(__xludf.DUMMYFUNCTION("""COMPUTED_VALUE"""),"BLUE")</f>
        <v>BLUE</v>
      </c>
      <c r="G8618" s="20" t="str">
        <f>IFERROR(__xludf.DUMMYFUNCTION("""COMPUTED_VALUE"""),"Uncle Sams Cider (04/04/2023)")</f>
        <v>Uncle Sams Cider (04/04/2023)</v>
      </c>
      <c r="H8618" s="19"/>
    </row>
    <row r="8619">
      <c r="A8619" s="9"/>
      <c r="B8619" s="15"/>
      <c r="C8619" s="9">
        <f>IFERROR(__xludf.DUMMYFUNCTION("""COMPUTED_VALUE"""),45053.6481140393)</f>
        <v>45053.64811</v>
      </c>
      <c r="D8619" s="15">
        <f>IFERROR(__xludf.DUMMYFUNCTION("""COMPUTED_VALUE"""),1.021)</f>
        <v>1.021</v>
      </c>
      <c r="E8619" s="16">
        <f>IFERROR(__xludf.DUMMYFUNCTION("""COMPUTED_VALUE"""),61.0)</f>
        <v>61</v>
      </c>
      <c r="F8619" s="19" t="str">
        <f>IFERROR(__xludf.DUMMYFUNCTION("""COMPUTED_VALUE"""),"BLUE")</f>
        <v>BLUE</v>
      </c>
      <c r="G8619" s="20" t="str">
        <f>IFERROR(__xludf.DUMMYFUNCTION("""COMPUTED_VALUE"""),"Uncle Sams Cider (04/04/2023)")</f>
        <v>Uncle Sams Cider (04/04/2023)</v>
      </c>
      <c r="H8619" s="19"/>
    </row>
    <row r="8620">
      <c r="A8620" s="9"/>
      <c r="B8620" s="15"/>
      <c r="C8620" s="9">
        <f>IFERROR(__xludf.DUMMYFUNCTION("""COMPUTED_VALUE"""),45053.6376823958)</f>
        <v>45053.63768</v>
      </c>
      <c r="D8620" s="15">
        <f>IFERROR(__xludf.DUMMYFUNCTION("""COMPUTED_VALUE"""),1.021)</f>
        <v>1.021</v>
      </c>
      <c r="E8620" s="16">
        <f>IFERROR(__xludf.DUMMYFUNCTION("""COMPUTED_VALUE"""),61.0)</f>
        <v>61</v>
      </c>
      <c r="F8620" s="19" t="str">
        <f>IFERROR(__xludf.DUMMYFUNCTION("""COMPUTED_VALUE"""),"BLUE")</f>
        <v>BLUE</v>
      </c>
      <c r="G8620" s="20" t="str">
        <f>IFERROR(__xludf.DUMMYFUNCTION("""COMPUTED_VALUE"""),"Uncle Sams Cider (04/04/2023)")</f>
        <v>Uncle Sams Cider (04/04/2023)</v>
      </c>
      <c r="H8620" s="19"/>
    </row>
    <row r="8621">
      <c r="A8621" s="9"/>
      <c r="B8621" s="15"/>
      <c r="C8621" s="9">
        <f>IFERROR(__xludf.DUMMYFUNCTION("""COMPUTED_VALUE"""),45053.6272616203)</f>
        <v>45053.62726</v>
      </c>
      <c r="D8621" s="15">
        <f>IFERROR(__xludf.DUMMYFUNCTION("""COMPUTED_VALUE"""),1.021)</f>
        <v>1.021</v>
      </c>
      <c r="E8621" s="16">
        <f>IFERROR(__xludf.DUMMYFUNCTION("""COMPUTED_VALUE"""),61.0)</f>
        <v>61</v>
      </c>
      <c r="F8621" s="19" t="str">
        <f>IFERROR(__xludf.DUMMYFUNCTION("""COMPUTED_VALUE"""),"BLUE")</f>
        <v>BLUE</v>
      </c>
      <c r="G8621" s="20" t="str">
        <f>IFERROR(__xludf.DUMMYFUNCTION("""COMPUTED_VALUE"""),"Uncle Sams Cider (04/04/2023)")</f>
        <v>Uncle Sams Cider (04/04/2023)</v>
      </c>
      <c r="H8621" s="19"/>
    </row>
    <row r="8622">
      <c r="A8622" s="9"/>
      <c r="B8622" s="15"/>
      <c r="C8622" s="9">
        <f>IFERROR(__xludf.DUMMYFUNCTION("""COMPUTED_VALUE"""),45053.6168416435)</f>
        <v>45053.61684</v>
      </c>
      <c r="D8622" s="15">
        <f>IFERROR(__xludf.DUMMYFUNCTION("""COMPUTED_VALUE"""),1.021)</f>
        <v>1.021</v>
      </c>
      <c r="E8622" s="16">
        <f>IFERROR(__xludf.DUMMYFUNCTION("""COMPUTED_VALUE"""),61.0)</f>
        <v>61</v>
      </c>
      <c r="F8622" s="19" t="str">
        <f>IFERROR(__xludf.DUMMYFUNCTION("""COMPUTED_VALUE"""),"BLUE")</f>
        <v>BLUE</v>
      </c>
      <c r="G8622" s="20" t="str">
        <f>IFERROR(__xludf.DUMMYFUNCTION("""COMPUTED_VALUE"""),"Uncle Sams Cider (04/04/2023)")</f>
        <v>Uncle Sams Cider (04/04/2023)</v>
      </c>
      <c r="H8622" s="19"/>
    </row>
    <row r="8623">
      <c r="A8623" s="9"/>
      <c r="B8623" s="15"/>
      <c r="C8623" s="9">
        <f>IFERROR(__xludf.DUMMYFUNCTION("""COMPUTED_VALUE"""),45053.6064230555)</f>
        <v>45053.60642</v>
      </c>
      <c r="D8623" s="15">
        <f>IFERROR(__xludf.DUMMYFUNCTION("""COMPUTED_VALUE"""),1.021)</f>
        <v>1.021</v>
      </c>
      <c r="E8623" s="16">
        <f>IFERROR(__xludf.DUMMYFUNCTION("""COMPUTED_VALUE"""),61.0)</f>
        <v>61</v>
      </c>
      <c r="F8623" s="19" t="str">
        <f>IFERROR(__xludf.DUMMYFUNCTION("""COMPUTED_VALUE"""),"BLUE")</f>
        <v>BLUE</v>
      </c>
      <c r="G8623" s="20" t="str">
        <f>IFERROR(__xludf.DUMMYFUNCTION("""COMPUTED_VALUE"""),"Uncle Sams Cider (04/04/2023)")</f>
        <v>Uncle Sams Cider (04/04/2023)</v>
      </c>
      <c r="H8623" s="19"/>
    </row>
    <row r="8624">
      <c r="A8624" s="9"/>
      <c r="B8624" s="15"/>
      <c r="C8624" s="9">
        <f>IFERROR(__xludf.DUMMYFUNCTION("""COMPUTED_VALUE"""),45053.5960012847)</f>
        <v>45053.596</v>
      </c>
      <c r="D8624" s="15">
        <f>IFERROR(__xludf.DUMMYFUNCTION("""COMPUTED_VALUE"""),1.021)</f>
        <v>1.021</v>
      </c>
      <c r="E8624" s="16">
        <f>IFERROR(__xludf.DUMMYFUNCTION("""COMPUTED_VALUE"""),61.0)</f>
        <v>61</v>
      </c>
      <c r="F8624" s="19" t="str">
        <f>IFERROR(__xludf.DUMMYFUNCTION("""COMPUTED_VALUE"""),"BLUE")</f>
        <v>BLUE</v>
      </c>
      <c r="G8624" s="20" t="str">
        <f>IFERROR(__xludf.DUMMYFUNCTION("""COMPUTED_VALUE"""),"Uncle Sams Cider (04/04/2023)")</f>
        <v>Uncle Sams Cider (04/04/2023)</v>
      </c>
      <c r="H8624" s="19"/>
    </row>
    <row r="8625">
      <c r="A8625" s="9"/>
      <c r="B8625" s="15"/>
      <c r="C8625" s="9">
        <f>IFERROR(__xludf.DUMMYFUNCTION("""COMPUTED_VALUE"""),45053.5855682523)</f>
        <v>45053.58557</v>
      </c>
      <c r="D8625" s="15">
        <f>IFERROR(__xludf.DUMMYFUNCTION("""COMPUTED_VALUE"""),1.021)</f>
        <v>1.021</v>
      </c>
      <c r="E8625" s="16">
        <f>IFERROR(__xludf.DUMMYFUNCTION("""COMPUTED_VALUE"""),61.0)</f>
        <v>61</v>
      </c>
      <c r="F8625" s="19" t="str">
        <f>IFERROR(__xludf.DUMMYFUNCTION("""COMPUTED_VALUE"""),"BLUE")</f>
        <v>BLUE</v>
      </c>
      <c r="G8625" s="20" t="str">
        <f>IFERROR(__xludf.DUMMYFUNCTION("""COMPUTED_VALUE"""),"Uncle Sams Cider (04/04/2023)")</f>
        <v>Uncle Sams Cider (04/04/2023)</v>
      </c>
      <c r="H8625" s="19"/>
    </row>
    <row r="8626">
      <c r="A8626" s="9"/>
      <c r="B8626" s="15"/>
      <c r="C8626" s="9">
        <f>IFERROR(__xludf.DUMMYFUNCTION("""COMPUTED_VALUE"""),45053.5751251967)</f>
        <v>45053.57513</v>
      </c>
      <c r="D8626" s="15">
        <f>IFERROR(__xludf.DUMMYFUNCTION("""COMPUTED_VALUE"""),1.021)</f>
        <v>1.021</v>
      </c>
      <c r="E8626" s="16">
        <f>IFERROR(__xludf.DUMMYFUNCTION("""COMPUTED_VALUE"""),61.0)</f>
        <v>61</v>
      </c>
      <c r="F8626" s="19" t="str">
        <f>IFERROR(__xludf.DUMMYFUNCTION("""COMPUTED_VALUE"""),"BLUE")</f>
        <v>BLUE</v>
      </c>
      <c r="G8626" s="20" t="str">
        <f>IFERROR(__xludf.DUMMYFUNCTION("""COMPUTED_VALUE"""),"Uncle Sams Cider (04/04/2023)")</f>
        <v>Uncle Sams Cider (04/04/2023)</v>
      </c>
      <c r="H8626" s="19"/>
    </row>
    <row r="8627">
      <c r="A8627" s="9"/>
      <c r="B8627" s="15"/>
      <c r="C8627" s="9">
        <f>IFERROR(__xludf.DUMMYFUNCTION("""COMPUTED_VALUE"""),45053.5647040625)</f>
        <v>45053.5647</v>
      </c>
      <c r="D8627" s="15">
        <f>IFERROR(__xludf.DUMMYFUNCTION("""COMPUTED_VALUE"""),1.021)</f>
        <v>1.021</v>
      </c>
      <c r="E8627" s="16">
        <f>IFERROR(__xludf.DUMMYFUNCTION("""COMPUTED_VALUE"""),61.0)</f>
        <v>61</v>
      </c>
      <c r="F8627" s="19" t="str">
        <f>IFERROR(__xludf.DUMMYFUNCTION("""COMPUTED_VALUE"""),"BLUE")</f>
        <v>BLUE</v>
      </c>
      <c r="G8627" s="20" t="str">
        <f>IFERROR(__xludf.DUMMYFUNCTION("""COMPUTED_VALUE"""),"Uncle Sams Cider (04/04/2023)")</f>
        <v>Uncle Sams Cider (04/04/2023)</v>
      </c>
      <c r="H8627" s="19"/>
    </row>
    <row r="8628">
      <c r="A8628" s="9"/>
      <c r="B8628" s="15"/>
      <c r="C8628" s="9">
        <f>IFERROR(__xludf.DUMMYFUNCTION("""COMPUTED_VALUE"""),45053.5542830671)</f>
        <v>45053.55428</v>
      </c>
      <c r="D8628" s="15">
        <f>IFERROR(__xludf.DUMMYFUNCTION("""COMPUTED_VALUE"""),1.021)</f>
        <v>1.021</v>
      </c>
      <c r="E8628" s="16">
        <f>IFERROR(__xludf.DUMMYFUNCTION("""COMPUTED_VALUE"""),61.0)</f>
        <v>61</v>
      </c>
      <c r="F8628" s="19" t="str">
        <f>IFERROR(__xludf.DUMMYFUNCTION("""COMPUTED_VALUE"""),"BLUE")</f>
        <v>BLUE</v>
      </c>
      <c r="G8628" s="20" t="str">
        <f>IFERROR(__xludf.DUMMYFUNCTION("""COMPUTED_VALUE"""),"Uncle Sams Cider (04/04/2023)")</f>
        <v>Uncle Sams Cider (04/04/2023)</v>
      </c>
      <c r="H8628" s="19"/>
    </row>
    <row r="8629">
      <c r="A8629" s="9"/>
      <c r="B8629" s="15"/>
      <c r="C8629" s="9">
        <f>IFERROR(__xludf.DUMMYFUNCTION("""COMPUTED_VALUE"""),45053.5438625)</f>
        <v>45053.54386</v>
      </c>
      <c r="D8629" s="15">
        <f>IFERROR(__xludf.DUMMYFUNCTION("""COMPUTED_VALUE"""),1.021)</f>
        <v>1.021</v>
      </c>
      <c r="E8629" s="16">
        <f>IFERROR(__xludf.DUMMYFUNCTION("""COMPUTED_VALUE"""),61.0)</f>
        <v>61</v>
      </c>
      <c r="F8629" s="19" t="str">
        <f>IFERROR(__xludf.DUMMYFUNCTION("""COMPUTED_VALUE"""),"BLUE")</f>
        <v>BLUE</v>
      </c>
      <c r="G8629" s="20" t="str">
        <f>IFERROR(__xludf.DUMMYFUNCTION("""COMPUTED_VALUE"""),"Uncle Sams Cider (04/04/2023)")</f>
        <v>Uncle Sams Cider (04/04/2023)</v>
      </c>
      <c r="H8629" s="19"/>
    </row>
    <row r="8630">
      <c r="A8630" s="9"/>
      <c r="B8630" s="15"/>
      <c r="C8630" s="9">
        <f>IFERROR(__xludf.DUMMYFUNCTION("""COMPUTED_VALUE"""),45053.5334406944)</f>
        <v>45053.53344</v>
      </c>
      <c r="D8630" s="15">
        <f>IFERROR(__xludf.DUMMYFUNCTION("""COMPUTED_VALUE"""),1.021)</f>
        <v>1.021</v>
      </c>
      <c r="E8630" s="16">
        <f>IFERROR(__xludf.DUMMYFUNCTION("""COMPUTED_VALUE"""),61.0)</f>
        <v>61</v>
      </c>
      <c r="F8630" s="19" t="str">
        <f>IFERROR(__xludf.DUMMYFUNCTION("""COMPUTED_VALUE"""),"BLUE")</f>
        <v>BLUE</v>
      </c>
      <c r="G8630" s="20" t="str">
        <f>IFERROR(__xludf.DUMMYFUNCTION("""COMPUTED_VALUE"""),"Uncle Sams Cider (04/04/2023)")</f>
        <v>Uncle Sams Cider (04/04/2023)</v>
      </c>
      <c r="H8630" s="19"/>
    </row>
    <row r="8631">
      <c r="A8631" s="9"/>
      <c r="B8631" s="15"/>
      <c r="C8631" s="9">
        <f>IFERROR(__xludf.DUMMYFUNCTION("""COMPUTED_VALUE"""),45053.5230163078)</f>
        <v>45053.52302</v>
      </c>
      <c r="D8631" s="15">
        <f>IFERROR(__xludf.DUMMYFUNCTION("""COMPUTED_VALUE"""),1.021)</f>
        <v>1.021</v>
      </c>
      <c r="E8631" s="16">
        <f>IFERROR(__xludf.DUMMYFUNCTION("""COMPUTED_VALUE"""),61.0)</f>
        <v>61</v>
      </c>
      <c r="F8631" s="19" t="str">
        <f>IFERROR(__xludf.DUMMYFUNCTION("""COMPUTED_VALUE"""),"BLUE")</f>
        <v>BLUE</v>
      </c>
      <c r="G8631" s="20" t="str">
        <f>IFERROR(__xludf.DUMMYFUNCTION("""COMPUTED_VALUE"""),"Uncle Sams Cider (04/04/2023)")</f>
        <v>Uncle Sams Cider (04/04/2023)</v>
      </c>
      <c r="H8631" s="19"/>
    </row>
    <row r="8632">
      <c r="A8632" s="9"/>
      <c r="B8632" s="15"/>
      <c r="C8632" s="9">
        <f>IFERROR(__xludf.DUMMYFUNCTION("""COMPUTED_VALUE"""),45053.5125942592)</f>
        <v>45053.51259</v>
      </c>
      <c r="D8632" s="15">
        <f>IFERROR(__xludf.DUMMYFUNCTION("""COMPUTED_VALUE"""),1.021)</f>
        <v>1.021</v>
      </c>
      <c r="E8632" s="16">
        <f>IFERROR(__xludf.DUMMYFUNCTION("""COMPUTED_VALUE"""),61.0)</f>
        <v>61</v>
      </c>
      <c r="F8632" s="19" t="str">
        <f>IFERROR(__xludf.DUMMYFUNCTION("""COMPUTED_VALUE"""),"BLUE")</f>
        <v>BLUE</v>
      </c>
      <c r="G8632" s="20" t="str">
        <f>IFERROR(__xludf.DUMMYFUNCTION("""COMPUTED_VALUE"""),"Uncle Sams Cider (04/04/2023)")</f>
        <v>Uncle Sams Cider (04/04/2023)</v>
      </c>
      <c r="H8632" s="19"/>
    </row>
    <row r="8633">
      <c r="A8633" s="9"/>
      <c r="B8633" s="15"/>
      <c r="C8633" s="9">
        <f>IFERROR(__xludf.DUMMYFUNCTION("""COMPUTED_VALUE"""),45053.5021611226)</f>
        <v>45053.50216</v>
      </c>
      <c r="D8633" s="15">
        <f>IFERROR(__xludf.DUMMYFUNCTION("""COMPUTED_VALUE"""),1.021)</f>
        <v>1.021</v>
      </c>
      <c r="E8633" s="16">
        <f>IFERROR(__xludf.DUMMYFUNCTION("""COMPUTED_VALUE"""),61.0)</f>
        <v>61</v>
      </c>
      <c r="F8633" s="19" t="str">
        <f>IFERROR(__xludf.DUMMYFUNCTION("""COMPUTED_VALUE"""),"BLUE")</f>
        <v>BLUE</v>
      </c>
      <c r="G8633" s="20" t="str">
        <f>IFERROR(__xludf.DUMMYFUNCTION("""COMPUTED_VALUE"""),"Uncle Sams Cider (04/04/2023)")</f>
        <v>Uncle Sams Cider (04/04/2023)</v>
      </c>
      <c r="H8633" s="19"/>
    </row>
    <row r="8634">
      <c r="A8634" s="9"/>
      <c r="B8634" s="15"/>
      <c r="C8634" s="9">
        <f>IFERROR(__xludf.DUMMYFUNCTION("""COMPUTED_VALUE"""),45053.4917404745)</f>
        <v>45053.49174</v>
      </c>
      <c r="D8634" s="15">
        <f>IFERROR(__xludf.DUMMYFUNCTION("""COMPUTED_VALUE"""),1.021)</f>
        <v>1.021</v>
      </c>
      <c r="E8634" s="16">
        <f>IFERROR(__xludf.DUMMYFUNCTION("""COMPUTED_VALUE"""),61.0)</f>
        <v>61</v>
      </c>
      <c r="F8634" s="19" t="str">
        <f>IFERROR(__xludf.DUMMYFUNCTION("""COMPUTED_VALUE"""),"BLUE")</f>
        <v>BLUE</v>
      </c>
      <c r="G8634" s="20" t="str">
        <f>IFERROR(__xludf.DUMMYFUNCTION("""COMPUTED_VALUE"""),"Uncle Sams Cider (04/04/2023)")</f>
        <v>Uncle Sams Cider (04/04/2023)</v>
      </c>
      <c r="H8634" s="19"/>
    </row>
    <row r="8635">
      <c r="A8635" s="9"/>
      <c r="B8635" s="15"/>
      <c r="C8635" s="9">
        <f>IFERROR(__xludf.DUMMYFUNCTION("""COMPUTED_VALUE"""),45053.4813209722)</f>
        <v>45053.48132</v>
      </c>
      <c r="D8635" s="15">
        <f>IFERROR(__xludf.DUMMYFUNCTION("""COMPUTED_VALUE"""),1.021)</f>
        <v>1.021</v>
      </c>
      <c r="E8635" s="16">
        <f>IFERROR(__xludf.DUMMYFUNCTION("""COMPUTED_VALUE"""),61.0)</f>
        <v>61</v>
      </c>
      <c r="F8635" s="19" t="str">
        <f>IFERROR(__xludf.DUMMYFUNCTION("""COMPUTED_VALUE"""),"BLUE")</f>
        <v>BLUE</v>
      </c>
      <c r="G8635" s="20" t="str">
        <f>IFERROR(__xludf.DUMMYFUNCTION("""COMPUTED_VALUE"""),"Uncle Sams Cider (04/04/2023)")</f>
        <v>Uncle Sams Cider (04/04/2023)</v>
      </c>
      <c r="H8635" s="19"/>
    </row>
    <row r="8636">
      <c r="A8636" s="9"/>
      <c r="B8636" s="15"/>
      <c r="C8636" s="9">
        <f>IFERROR(__xludf.DUMMYFUNCTION("""COMPUTED_VALUE"""),45053.4709009375)</f>
        <v>45053.4709</v>
      </c>
      <c r="D8636" s="15">
        <f>IFERROR(__xludf.DUMMYFUNCTION("""COMPUTED_VALUE"""),1.021)</f>
        <v>1.021</v>
      </c>
      <c r="E8636" s="16">
        <f>IFERROR(__xludf.DUMMYFUNCTION("""COMPUTED_VALUE"""),61.0)</f>
        <v>61</v>
      </c>
      <c r="F8636" s="19" t="str">
        <f>IFERROR(__xludf.DUMMYFUNCTION("""COMPUTED_VALUE"""),"BLUE")</f>
        <v>BLUE</v>
      </c>
      <c r="G8636" s="20" t="str">
        <f>IFERROR(__xludf.DUMMYFUNCTION("""COMPUTED_VALUE"""),"Uncle Sams Cider (04/04/2023)")</f>
        <v>Uncle Sams Cider (04/04/2023)</v>
      </c>
      <c r="H8636" s="19"/>
    </row>
    <row r="8637">
      <c r="A8637" s="9"/>
      <c r="B8637" s="15"/>
      <c r="C8637" s="9">
        <f>IFERROR(__xludf.DUMMYFUNCTION("""COMPUTED_VALUE"""),45053.4604810416)</f>
        <v>45053.46048</v>
      </c>
      <c r="D8637" s="15">
        <f>IFERROR(__xludf.DUMMYFUNCTION("""COMPUTED_VALUE"""),1.021)</f>
        <v>1.021</v>
      </c>
      <c r="E8637" s="16">
        <f>IFERROR(__xludf.DUMMYFUNCTION("""COMPUTED_VALUE"""),61.0)</f>
        <v>61</v>
      </c>
      <c r="F8637" s="19" t="str">
        <f>IFERROR(__xludf.DUMMYFUNCTION("""COMPUTED_VALUE"""),"BLUE")</f>
        <v>BLUE</v>
      </c>
      <c r="G8637" s="20" t="str">
        <f>IFERROR(__xludf.DUMMYFUNCTION("""COMPUTED_VALUE"""),"Uncle Sams Cider (04/04/2023)")</f>
        <v>Uncle Sams Cider (04/04/2023)</v>
      </c>
      <c r="H8637" s="19"/>
    </row>
    <row r="8638">
      <c r="A8638" s="9"/>
      <c r="B8638" s="15"/>
      <c r="C8638" s="9">
        <f>IFERROR(__xludf.DUMMYFUNCTION("""COMPUTED_VALUE"""),45053.4500598958)</f>
        <v>45053.45006</v>
      </c>
      <c r="D8638" s="15">
        <f>IFERROR(__xludf.DUMMYFUNCTION("""COMPUTED_VALUE"""),1.021)</f>
        <v>1.021</v>
      </c>
      <c r="E8638" s="16">
        <f>IFERROR(__xludf.DUMMYFUNCTION("""COMPUTED_VALUE"""),61.0)</f>
        <v>61</v>
      </c>
      <c r="F8638" s="19" t="str">
        <f>IFERROR(__xludf.DUMMYFUNCTION("""COMPUTED_VALUE"""),"BLUE")</f>
        <v>BLUE</v>
      </c>
      <c r="G8638" s="20" t="str">
        <f>IFERROR(__xludf.DUMMYFUNCTION("""COMPUTED_VALUE"""),"Uncle Sams Cider (04/04/2023)")</f>
        <v>Uncle Sams Cider (04/04/2023)</v>
      </c>
      <c r="H8638" s="19"/>
    </row>
    <row r="8639">
      <c r="A8639" s="9"/>
      <c r="B8639" s="15"/>
      <c r="C8639" s="9">
        <f>IFERROR(__xludf.DUMMYFUNCTION("""COMPUTED_VALUE"""),45053.439638206)</f>
        <v>45053.43964</v>
      </c>
      <c r="D8639" s="15">
        <f>IFERROR(__xludf.DUMMYFUNCTION("""COMPUTED_VALUE"""),1.021)</f>
        <v>1.021</v>
      </c>
      <c r="E8639" s="16">
        <f>IFERROR(__xludf.DUMMYFUNCTION("""COMPUTED_VALUE"""),61.0)</f>
        <v>61</v>
      </c>
      <c r="F8639" s="19" t="str">
        <f>IFERROR(__xludf.DUMMYFUNCTION("""COMPUTED_VALUE"""),"BLUE")</f>
        <v>BLUE</v>
      </c>
      <c r="G8639" s="20" t="str">
        <f>IFERROR(__xludf.DUMMYFUNCTION("""COMPUTED_VALUE"""),"Uncle Sams Cider (04/04/2023)")</f>
        <v>Uncle Sams Cider (04/04/2023)</v>
      </c>
      <c r="H8639" s="19"/>
    </row>
    <row r="8640">
      <c r="A8640" s="9"/>
      <c r="B8640" s="15"/>
      <c r="C8640" s="9">
        <f>IFERROR(__xludf.DUMMYFUNCTION("""COMPUTED_VALUE"""),45053.4292195601)</f>
        <v>45053.42922</v>
      </c>
      <c r="D8640" s="15">
        <f>IFERROR(__xludf.DUMMYFUNCTION("""COMPUTED_VALUE"""),1.021)</f>
        <v>1.021</v>
      </c>
      <c r="E8640" s="16">
        <f>IFERROR(__xludf.DUMMYFUNCTION("""COMPUTED_VALUE"""),61.0)</f>
        <v>61</v>
      </c>
      <c r="F8640" s="19" t="str">
        <f>IFERROR(__xludf.DUMMYFUNCTION("""COMPUTED_VALUE"""),"BLUE")</f>
        <v>BLUE</v>
      </c>
      <c r="G8640" s="20" t="str">
        <f>IFERROR(__xludf.DUMMYFUNCTION("""COMPUTED_VALUE"""),"Uncle Sams Cider (04/04/2023)")</f>
        <v>Uncle Sams Cider (04/04/2023)</v>
      </c>
      <c r="H8640" s="19"/>
    </row>
    <row r="8641">
      <c r="A8641" s="9"/>
      <c r="B8641" s="15"/>
      <c r="C8641" s="9">
        <f>IFERROR(__xludf.DUMMYFUNCTION("""COMPUTED_VALUE"""),45053.4187988194)</f>
        <v>45053.4188</v>
      </c>
      <c r="D8641" s="15">
        <f>IFERROR(__xludf.DUMMYFUNCTION("""COMPUTED_VALUE"""),1.021)</f>
        <v>1.021</v>
      </c>
      <c r="E8641" s="16">
        <f>IFERROR(__xludf.DUMMYFUNCTION("""COMPUTED_VALUE"""),61.0)</f>
        <v>61</v>
      </c>
      <c r="F8641" s="19" t="str">
        <f>IFERROR(__xludf.DUMMYFUNCTION("""COMPUTED_VALUE"""),"BLUE")</f>
        <v>BLUE</v>
      </c>
      <c r="G8641" s="20" t="str">
        <f>IFERROR(__xludf.DUMMYFUNCTION("""COMPUTED_VALUE"""),"Uncle Sams Cider (04/04/2023)")</f>
        <v>Uncle Sams Cider (04/04/2023)</v>
      </c>
      <c r="H8641" s="19"/>
    </row>
    <row r="8642">
      <c r="A8642" s="9"/>
      <c r="B8642" s="15"/>
      <c r="C8642" s="9">
        <f>IFERROR(__xludf.DUMMYFUNCTION("""COMPUTED_VALUE"""),45053.4083786111)</f>
        <v>45053.40838</v>
      </c>
      <c r="D8642" s="15">
        <f>IFERROR(__xludf.DUMMYFUNCTION("""COMPUTED_VALUE"""),1.021)</f>
        <v>1.021</v>
      </c>
      <c r="E8642" s="16">
        <f>IFERROR(__xludf.DUMMYFUNCTION("""COMPUTED_VALUE"""),61.0)</f>
        <v>61</v>
      </c>
      <c r="F8642" s="19" t="str">
        <f>IFERROR(__xludf.DUMMYFUNCTION("""COMPUTED_VALUE"""),"BLUE")</f>
        <v>BLUE</v>
      </c>
      <c r="G8642" s="20" t="str">
        <f>IFERROR(__xludf.DUMMYFUNCTION("""COMPUTED_VALUE"""),"Uncle Sams Cider (04/04/2023)")</f>
        <v>Uncle Sams Cider (04/04/2023)</v>
      </c>
      <c r="H8642" s="19"/>
    </row>
    <row r="8643">
      <c r="A8643" s="9"/>
      <c r="B8643" s="15"/>
      <c r="C8643" s="9">
        <f>IFERROR(__xludf.DUMMYFUNCTION("""COMPUTED_VALUE"""),45053.3979585879)</f>
        <v>45053.39796</v>
      </c>
      <c r="D8643" s="15">
        <f>IFERROR(__xludf.DUMMYFUNCTION("""COMPUTED_VALUE"""),1.021)</f>
        <v>1.021</v>
      </c>
      <c r="E8643" s="16">
        <f>IFERROR(__xludf.DUMMYFUNCTION("""COMPUTED_VALUE"""),61.0)</f>
        <v>61</v>
      </c>
      <c r="F8643" s="19" t="str">
        <f>IFERROR(__xludf.DUMMYFUNCTION("""COMPUTED_VALUE"""),"BLUE")</f>
        <v>BLUE</v>
      </c>
      <c r="G8643" s="20" t="str">
        <f>IFERROR(__xludf.DUMMYFUNCTION("""COMPUTED_VALUE"""),"Uncle Sams Cider (04/04/2023)")</f>
        <v>Uncle Sams Cider (04/04/2023)</v>
      </c>
      <c r="H8643" s="19"/>
    </row>
    <row r="8644">
      <c r="A8644" s="9"/>
      <c r="B8644" s="15"/>
      <c r="C8644" s="9">
        <f>IFERROR(__xludf.DUMMYFUNCTION("""COMPUTED_VALUE"""),45053.3875368634)</f>
        <v>45053.38754</v>
      </c>
      <c r="D8644" s="15">
        <f>IFERROR(__xludf.DUMMYFUNCTION("""COMPUTED_VALUE"""),1.021)</f>
        <v>1.021</v>
      </c>
      <c r="E8644" s="16">
        <f>IFERROR(__xludf.DUMMYFUNCTION("""COMPUTED_VALUE"""),61.0)</f>
        <v>61</v>
      </c>
      <c r="F8644" s="19" t="str">
        <f>IFERROR(__xludf.DUMMYFUNCTION("""COMPUTED_VALUE"""),"BLUE")</f>
        <v>BLUE</v>
      </c>
      <c r="G8644" s="20" t="str">
        <f>IFERROR(__xludf.DUMMYFUNCTION("""COMPUTED_VALUE"""),"Uncle Sams Cider (04/04/2023)")</f>
        <v>Uncle Sams Cider (04/04/2023)</v>
      </c>
      <c r="H8644" s="19"/>
    </row>
    <row r="8645">
      <c r="A8645" s="9"/>
      <c r="B8645" s="15"/>
      <c r="C8645" s="9">
        <f>IFERROR(__xludf.DUMMYFUNCTION("""COMPUTED_VALUE"""),45053.3771151504)</f>
        <v>45053.37712</v>
      </c>
      <c r="D8645" s="15">
        <f>IFERROR(__xludf.DUMMYFUNCTION("""COMPUTED_VALUE"""),1.021)</f>
        <v>1.021</v>
      </c>
      <c r="E8645" s="16">
        <f>IFERROR(__xludf.DUMMYFUNCTION("""COMPUTED_VALUE"""),61.0)</f>
        <v>61</v>
      </c>
      <c r="F8645" s="19" t="str">
        <f>IFERROR(__xludf.DUMMYFUNCTION("""COMPUTED_VALUE"""),"BLUE")</f>
        <v>BLUE</v>
      </c>
      <c r="G8645" s="20" t="str">
        <f>IFERROR(__xludf.DUMMYFUNCTION("""COMPUTED_VALUE"""),"Uncle Sams Cider (04/04/2023)")</f>
        <v>Uncle Sams Cider (04/04/2023)</v>
      </c>
      <c r="H8645" s="19"/>
    </row>
    <row r="8646">
      <c r="A8646" s="9"/>
      <c r="B8646" s="15"/>
      <c r="C8646" s="9">
        <f>IFERROR(__xludf.DUMMYFUNCTION("""COMPUTED_VALUE"""),45053.3666923611)</f>
        <v>45053.36669</v>
      </c>
      <c r="D8646" s="15">
        <f>IFERROR(__xludf.DUMMYFUNCTION("""COMPUTED_VALUE"""),1.021)</f>
        <v>1.021</v>
      </c>
      <c r="E8646" s="16">
        <f>IFERROR(__xludf.DUMMYFUNCTION("""COMPUTED_VALUE"""),61.0)</f>
        <v>61</v>
      </c>
      <c r="F8646" s="19" t="str">
        <f>IFERROR(__xludf.DUMMYFUNCTION("""COMPUTED_VALUE"""),"BLUE")</f>
        <v>BLUE</v>
      </c>
      <c r="G8646" s="20" t="str">
        <f>IFERROR(__xludf.DUMMYFUNCTION("""COMPUTED_VALUE"""),"Uncle Sams Cider (04/04/2023)")</f>
        <v>Uncle Sams Cider (04/04/2023)</v>
      </c>
      <c r="H8646" s="19"/>
    </row>
    <row r="8647">
      <c r="A8647" s="9"/>
      <c r="B8647" s="15"/>
      <c r="C8647" s="9">
        <f>IFERROR(__xludf.DUMMYFUNCTION("""COMPUTED_VALUE"""),45053.3562722453)</f>
        <v>45053.35627</v>
      </c>
      <c r="D8647" s="15">
        <f>IFERROR(__xludf.DUMMYFUNCTION("""COMPUTED_VALUE"""),1.021)</f>
        <v>1.021</v>
      </c>
      <c r="E8647" s="16">
        <f>IFERROR(__xludf.DUMMYFUNCTION("""COMPUTED_VALUE"""),61.0)</f>
        <v>61</v>
      </c>
      <c r="F8647" s="19" t="str">
        <f>IFERROR(__xludf.DUMMYFUNCTION("""COMPUTED_VALUE"""),"BLUE")</f>
        <v>BLUE</v>
      </c>
      <c r="G8647" s="20" t="str">
        <f>IFERROR(__xludf.DUMMYFUNCTION("""COMPUTED_VALUE"""),"Uncle Sams Cider (04/04/2023)")</f>
        <v>Uncle Sams Cider (04/04/2023)</v>
      </c>
      <c r="H8647" s="19"/>
    </row>
    <row r="8648">
      <c r="A8648" s="9"/>
      <c r="B8648" s="15"/>
      <c r="C8648" s="9">
        <f>IFERROR(__xludf.DUMMYFUNCTION("""COMPUTED_VALUE"""),45053.3458508912)</f>
        <v>45053.34585</v>
      </c>
      <c r="D8648" s="15">
        <f>IFERROR(__xludf.DUMMYFUNCTION("""COMPUTED_VALUE"""),1.021)</f>
        <v>1.021</v>
      </c>
      <c r="E8648" s="16">
        <f>IFERROR(__xludf.DUMMYFUNCTION("""COMPUTED_VALUE"""),61.0)</f>
        <v>61</v>
      </c>
      <c r="F8648" s="19" t="str">
        <f>IFERROR(__xludf.DUMMYFUNCTION("""COMPUTED_VALUE"""),"BLUE")</f>
        <v>BLUE</v>
      </c>
      <c r="G8648" s="20" t="str">
        <f>IFERROR(__xludf.DUMMYFUNCTION("""COMPUTED_VALUE"""),"Uncle Sams Cider (04/04/2023)")</f>
        <v>Uncle Sams Cider (04/04/2023)</v>
      </c>
      <c r="H8648" s="19"/>
    </row>
    <row r="8649">
      <c r="A8649" s="9"/>
      <c r="B8649" s="15"/>
      <c r="C8649" s="9">
        <f>IFERROR(__xludf.DUMMYFUNCTION("""COMPUTED_VALUE"""),45053.33542)</f>
        <v>45053.33542</v>
      </c>
      <c r="D8649" s="15">
        <f>IFERROR(__xludf.DUMMYFUNCTION("""COMPUTED_VALUE"""),1.021)</f>
        <v>1.021</v>
      </c>
      <c r="E8649" s="16">
        <f>IFERROR(__xludf.DUMMYFUNCTION("""COMPUTED_VALUE"""),61.0)</f>
        <v>61</v>
      </c>
      <c r="F8649" s="19" t="str">
        <f>IFERROR(__xludf.DUMMYFUNCTION("""COMPUTED_VALUE"""),"BLUE")</f>
        <v>BLUE</v>
      </c>
      <c r="G8649" s="20" t="str">
        <f>IFERROR(__xludf.DUMMYFUNCTION("""COMPUTED_VALUE"""),"Uncle Sams Cider (04/04/2023)")</f>
        <v>Uncle Sams Cider (04/04/2023)</v>
      </c>
      <c r="H8649" s="19"/>
    </row>
    <row r="8650">
      <c r="A8650" s="9"/>
      <c r="B8650" s="15"/>
      <c r="C8650" s="9">
        <f>IFERROR(__xludf.DUMMYFUNCTION("""COMPUTED_VALUE"""),45053.3249985995)</f>
        <v>45053.325</v>
      </c>
      <c r="D8650" s="15">
        <f>IFERROR(__xludf.DUMMYFUNCTION("""COMPUTED_VALUE"""),1.021)</f>
        <v>1.021</v>
      </c>
      <c r="E8650" s="16">
        <f>IFERROR(__xludf.DUMMYFUNCTION("""COMPUTED_VALUE"""),61.0)</f>
        <v>61</v>
      </c>
      <c r="F8650" s="19" t="str">
        <f>IFERROR(__xludf.DUMMYFUNCTION("""COMPUTED_VALUE"""),"BLUE")</f>
        <v>BLUE</v>
      </c>
      <c r="G8650" s="20" t="str">
        <f>IFERROR(__xludf.DUMMYFUNCTION("""COMPUTED_VALUE"""),"Uncle Sams Cider (04/04/2023)")</f>
        <v>Uncle Sams Cider (04/04/2023)</v>
      </c>
      <c r="H8650" s="19"/>
    </row>
    <row r="8651">
      <c r="A8651" s="9"/>
      <c r="B8651" s="15"/>
      <c r="C8651" s="9">
        <f>IFERROR(__xludf.DUMMYFUNCTION("""COMPUTED_VALUE"""),45053.3145775)</f>
        <v>45053.31458</v>
      </c>
      <c r="D8651" s="15">
        <f>IFERROR(__xludf.DUMMYFUNCTION("""COMPUTED_VALUE"""),1.021)</f>
        <v>1.021</v>
      </c>
      <c r="E8651" s="16">
        <f>IFERROR(__xludf.DUMMYFUNCTION("""COMPUTED_VALUE"""),61.0)</f>
        <v>61</v>
      </c>
      <c r="F8651" s="19" t="str">
        <f>IFERROR(__xludf.DUMMYFUNCTION("""COMPUTED_VALUE"""),"BLUE")</f>
        <v>BLUE</v>
      </c>
      <c r="G8651" s="20" t="str">
        <f>IFERROR(__xludf.DUMMYFUNCTION("""COMPUTED_VALUE"""),"Uncle Sams Cider (04/04/2023)")</f>
        <v>Uncle Sams Cider (04/04/2023)</v>
      </c>
      <c r="H8651" s="19"/>
    </row>
    <row r="8652">
      <c r="A8652" s="9"/>
      <c r="B8652" s="15"/>
      <c r="C8652" s="9">
        <f>IFERROR(__xludf.DUMMYFUNCTION("""COMPUTED_VALUE"""),45053.3041558333)</f>
        <v>45053.30416</v>
      </c>
      <c r="D8652" s="15">
        <f>IFERROR(__xludf.DUMMYFUNCTION("""COMPUTED_VALUE"""),1.021)</f>
        <v>1.021</v>
      </c>
      <c r="E8652" s="16">
        <f>IFERROR(__xludf.DUMMYFUNCTION("""COMPUTED_VALUE"""),61.0)</f>
        <v>61</v>
      </c>
      <c r="F8652" s="19" t="str">
        <f>IFERROR(__xludf.DUMMYFUNCTION("""COMPUTED_VALUE"""),"BLUE")</f>
        <v>BLUE</v>
      </c>
      <c r="G8652" s="20" t="str">
        <f>IFERROR(__xludf.DUMMYFUNCTION("""COMPUTED_VALUE"""),"Uncle Sams Cider (04/04/2023)")</f>
        <v>Uncle Sams Cider (04/04/2023)</v>
      </c>
      <c r="H8652" s="19"/>
    </row>
    <row r="8653">
      <c r="A8653" s="9"/>
      <c r="B8653" s="15"/>
      <c r="C8653" s="9">
        <f>IFERROR(__xludf.DUMMYFUNCTION("""COMPUTED_VALUE"""),45053.2937236111)</f>
        <v>45053.29372</v>
      </c>
      <c r="D8653" s="15">
        <f>IFERROR(__xludf.DUMMYFUNCTION("""COMPUTED_VALUE"""),1.021)</f>
        <v>1.021</v>
      </c>
      <c r="E8653" s="16">
        <f>IFERROR(__xludf.DUMMYFUNCTION("""COMPUTED_VALUE"""),61.0)</f>
        <v>61</v>
      </c>
      <c r="F8653" s="19" t="str">
        <f>IFERROR(__xludf.DUMMYFUNCTION("""COMPUTED_VALUE"""),"BLUE")</f>
        <v>BLUE</v>
      </c>
      <c r="G8653" s="20" t="str">
        <f>IFERROR(__xludf.DUMMYFUNCTION("""COMPUTED_VALUE"""),"Uncle Sams Cider (04/04/2023)")</f>
        <v>Uncle Sams Cider (04/04/2023)</v>
      </c>
      <c r="H8653" s="19"/>
    </row>
    <row r="8654">
      <c r="A8654" s="9"/>
      <c r="B8654" s="15"/>
      <c r="C8654" s="9">
        <f>IFERROR(__xludf.DUMMYFUNCTION("""COMPUTED_VALUE"""),45053.2833036689)</f>
        <v>45053.2833</v>
      </c>
      <c r="D8654" s="15">
        <f>IFERROR(__xludf.DUMMYFUNCTION("""COMPUTED_VALUE"""),1.021)</f>
        <v>1.021</v>
      </c>
      <c r="E8654" s="16">
        <f>IFERROR(__xludf.DUMMYFUNCTION("""COMPUTED_VALUE"""),61.0)</f>
        <v>61</v>
      </c>
      <c r="F8654" s="19" t="str">
        <f>IFERROR(__xludf.DUMMYFUNCTION("""COMPUTED_VALUE"""),"BLUE")</f>
        <v>BLUE</v>
      </c>
      <c r="G8654" s="20" t="str">
        <f>IFERROR(__xludf.DUMMYFUNCTION("""COMPUTED_VALUE"""),"Uncle Sams Cider (04/04/2023)")</f>
        <v>Uncle Sams Cider (04/04/2023)</v>
      </c>
      <c r="H8654" s="19"/>
    </row>
    <row r="8655">
      <c r="A8655" s="9"/>
      <c r="B8655" s="15"/>
      <c r="C8655" s="9">
        <f>IFERROR(__xludf.DUMMYFUNCTION("""COMPUTED_VALUE"""),45053.2728815162)</f>
        <v>45053.27288</v>
      </c>
      <c r="D8655" s="15">
        <f>IFERROR(__xludf.DUMMYFUNCTION("""COMPUTED_VALUE"""),1.021)</f>
        <v>1.021</v>
      </c>
      <c r="E8655" s="16">
        <f>IFERROR(__xludf.DUMMYFUNCTION("""COMPUTED_VALUE"""),61.0)</f>
        <v>61</v>
      </c>
      <c r="F8655" s="19" t="str">
        <f>IFERROR(__xludf.DUMMYFUNCTION("""COMPUTED_VALUE"""),"BLUE")</f>
        <v>BLUE</v>
      </c>
      <c r="G8655" s="20" t="str">
        <f>IFERROR(__xludf.DUMMYFUNCTION("""COMPUTED_VALUE"""),"Uncle Sams Cider (04/04/2023)")</f>
        <v>Uncle Sams Cider (04/04/2023)</v>
      </c>
      <c r="H8655" s="19"/>
    </row>
    <row r="8656">
      <c r="A8656" s="9"/>
      <c r="B8656" s="15"/>
      <c r="C8656" s="9">
        <f>IFERROR(__xludf.DUMMYFUNCTION("""COMPUTED_VALUE"""),45053.2624486689)</f>
        <v>45053.26245</v>
      </c>
      <c r="D8656" s="15">
        <f>IFERROR(__xludf.DUMMYFUNCTION("""COMPUTED_VALUE"""),1.021)</f>
        <v>1.021</v>
      </c>
      <c r="E8656" s="16">
        <f>IFERROR(__xludf.DUMMYFUNCTION("""COMPUTED_VALUE"""),61.0)</f>
        <v>61</v>
      </c>
      <c r="F8656" s="19" t="str">
        <f>IFERROR(__xludf.DUMMYFUNCTION("""COMPUTED_VALUE"""),"BLUE")</f>
        <v>BLUE</v>
      </c>
      <c r="G8656" s="20" t="str">
        <f>IFERROR(__xludf.DUMMYFUNCTION("""COMPUTED_VALUE"""),"Uncle Sams Cider (04/04/2023)")</f>
        <v>Uncle Sams Cider (04/04/2023)</v>
      </c>
      <c r="H8656" s="19"/>
    </row>
    <row r="8657">
      <c r="A8657" s="9"/>
      <c r="B8657" s="15"/>
      <c r="C8657" s="9">
        <f>IFERROR(__xludf.DUMMYFUNCTION("""COMPUTED_VALUE"""),45053.2520250115)</f>
        <v>45053.25203</v>
      </c>
      <c r="D8657" s="15">
        <f>IFERROR(__xludf.DUMMYFUNCTION("""COMPUTED_VALUE"""),1.021)</f>
        <v>1.021</v>
      </c>
      <c r="E8657" s="16">
        <f>IFERROR(__xludf.DUMMYFUNCTION("""COMPUTED_VALUE"""),61.0)</f>
        <v>61</v>
      </c>
      <c r="F8657" s="19" t="str">
        <f>IFERROR(__xludf.DUMMYFUNCTION("""COMPUTED_VALUE"""),"BLUE")</f>
        <v>BLUE</v>
      </c>
      <c r="G8657" s="20" t="str">
        <f>IFERROR(__xludf.DUMMYFUNCTION("""COMPUTED_VALUE"""),"Uncle Sams Cider (04/04/2023)")</f>
        <v>Uncle Sams Cider (04/04/2023)</v>
      </c>
      <c r="H8657" s="19"/>
    </row>
    <row r="8658">
      <c r="A8658" s="9"/>
      <c r="B8658" s="15"/>
      <c r="C8658" s="9">
        <f>IFERROR(__xludf.DUMMYFUNCTION("""COMPUTED_VALUE"""),45053.2416031944)</f>
        <v>45053.2416</v>
      </c>
      <c r="D8658" s="15">
        <f>IFERROR(__xludf.DUMMYFUNCTION("""COMPUTED_VALUE"""),1.021)</f>
        <v>1.021</v>
      </c>
      <c r="E8658" s="16">
        <f>IFERROR(__xludf.DUMMYFUNCTION("""COMPUTED_VALUE"""),61.0)</f>
        <v>61</v>
      </c>
      <c r="F8658" s="19" t="str">
        <f>IFERROR(__xludf.DUMMYFUNCTION("""COMPUTED_VALUE"""),"BLUE")</f>
        <v>BLUE</v>
      </c>
      <c r="G8658" s="20" t="str">
        <f>IFERROR(__xludf.DUMMYFUNCTION("""COMPUTED_VALUE"""),"Uncle Sams Cider (04/04/2023)")</f>
        <v>Uncle Sams Cider (04/04/2023)</v>
      </c>
      <c r="H8658" s="19"/>
    </row>
    <row r="8659">
      <c r="A8659" s="9"/>
      <c r="B8659" s="15"/>
      <c r="C8659" s="9">
        <f>IFERROR(__xludf.DUMMYFUNCTION("""COMPUTED_VALUE"""),45053.2207603935)</f>
        <v>45053.22076</v>
      </c>
      <c r="D8659" s="15">
        <f>IFERROR(__xludf.DUMMYFUNCTION("""COMPUTED_VALUE"""),1.021)</f>
        <v>1.021</v>
      </c>
      <c r="E8659" s="16">
        <f>IFERROR(__xludf.DUMMYFUNCTION("""COMPUTED_VALUE"""),61.0)</f>
        <v>61</v>
      </c>
      <c r="F8659" s="19" t="str">
        <f>IFERROR(__xludf.DUMMYFUNCTION("""COMPUTED_VALUE"""),"BLUE")</f>
        <v>BLUE</v>
      </c>
      <c r="G8659" s="20" t="str">
        <f>IFERROR(__xludf.DUMMYFUNCTION("""COMPUTED_VALUE"""),"Uncle Sams Cider (04/04/2023)")</f>
        <v>Uncle Sams Cider (04/04/2023)</v>
      </c>
      <c r="H8659" s="19"/>
    </row>
    <row r="8660">
      <c r="A8660" s="9"/>
      <c r="B8660" s="15"/>
      <c r="C8660" s="9">
        <f>IFERROR(__xludf.DUMMYFUNCTION("""COMPUTED_VALUE"""),45053.2103396875)</f>
        <v>45053.21034</v>
      </c>
      <c r="D8660" s="15">
        <f>IFERROR(__xludf.DUMMYFUNCTION("""COMPUTED_VALUE"""),1.021)</f>
        <v>1.021</v>
      </c>
      <c r="E8660" s="16">
        <f>IFERROR(__xludf.DUMMYFUNCTION("""COMPUTED_VALUE"""),61.0)</f>
        <v>61</v>
      </c>
      <c r="F8660" s="19" t="str">
        <f>IFERROR(__xludf.DUMMYFUNCTION("""COMPUTED_VALUE"""),"BLUE")</f>
        <v>BLUE</v>
      </c>
      <c r="G8660" s="20" t="str">
        <f>IFERROR(__xludf.DUMMYFUNCTION("""COMPUTED_VALUE"""),"Uncle Sams Cider (04/04/2023)")</f>
        <v>Uncle Sams Cider (04/04/2023)</v>
      </c>
      <c r="H8660" s="19"/>
    </row>
    <row r="8661">
      <c r="A8661" s="9"/>
      <c r="B8661" s="15"/>
      <c r="C8661" s="9">
        <f>IFERROR(__xludf.DUMMYFUNCTION("""COMPUTED_VALUE"""),45053.1999178935)</f>
        <v>45053.19992</v>
      </c>
      <c r="D8661" s="15">
        <f>IFERROR(__xludf.DUMMYFUNCTION("""COMPUTED_VALUE"""),1.021)</f>
        <v>1.021</v>
      </c>
      <c r="E8661" s="16">
        <f>IFERROR(__xludf.DUMMYFUNCTION("""COMPUTED_VALUE"""),61.0)</f>
        <v>61</v>
      </c>
      <c r="F8661" s="19" t="str">
        <f>IFERROR(__xludf.DUMMYFUNCTION("""COMPUTED_VALUE"""),"BLUE")</f>
        <v>BLUE</v>
      </c>
      <c r="G8661" s="20" t="str">
        <f>IFERROR(__xludf.DUMMYFUNCTION("""COMPUTED_VALUE"""),"Uncle Sams Cider (04/04/2023)")</f>
        <v>Uncle Sams Cider (04/04/2023)</v>
      </c>
      <c r="H8661" s="19"/>
    </row>
    <row r="8662">
      <c r="A8662" s="9"/>
      <c r="B8662" s="15"/>
      <c r="C8662" s="9">
        <f>IFERROR(__xludf.DUMMYFUNCTION("""COMPUTED_VALUE"""),45053.1894979282)</f>
        <v>45053.1895</v>
      </c>
      <c r="D8662" s="15">
        <f>IFERROR(__xludf.DUMMYFUNCTION("""COMPUTED_VALUE"""),1.021)</f>
        <v>1.021</v>
      </c>
      <c r="E8662" s="16">
        <f>IFERROR(__xludf.DUMMYFUNCTION("""COMPUTED_VALUE"""),61.0)</f>
        <v>61</v>
      </c>
      <c r="F8662" s="19" t="str">
        <f>IFERROR(__xludf.DUMMYFUNCTION("""COMPUTED_VALUE"""),"BLUE")</f>
        <v>BLUE</v>
      </c>
      <c r="G8662" s="20" t="str">
        <f>IFERROR(__xludf.DUMMYFUNCTION("""COMPUTED_VALUE"""),"Uncle Sams Cider (04/04/2023)")</f>
        <v>Uncle Sams Cider (04/04/2023)</v>
      </c>
      <c r="H8662" s="19"/>
    </row>
    <row r="8663">
      <c r="A8663" s="9"/>
      <c r="B8663" s="15"/>
      <c r="C8663" s="9">
        <f>IFERROR(__xludf.DUMMYFUNCTION("""COMPUTED_VALUE"""),45053.1790776273)</f>
        <v>45053.17908</v>
      </c>
      <c r="D8663" s="15">
        <f>IFERROR(__xludf.DUMMYFUNCTION("""COMPUTED_VALUE"""),1.021)</f>
        <v>1.021</v>
      </c>
      <c r="E8663" s="16">
        <f>IFERROR(__xludf.DUMMYFUNCTION("""COMPUTED_VALUE"""),61.0)</f>
        <v>61</v>
      </c>
      <c r="F8663" s="19" t="str">
        <f>IFERROR(__xludf.DUMMYFUNCTION("""COMPUTED_VALUE"""),"BLUE")</f>
        <v>BLUE</v>
      </c>
      <c r="G8663" s="20" t="str">
        <f>IFERROR(__xludf.DUMMYFUNCTION("""COMPUTED_VALUE"""),"Uncle Sams Cider (04/04/2023)")</f>
        <v>Uncle Sams Cider (04/04/2023)</v>
      </c>
      <c r="H8663" s="19"/>
    </row>
    <row r="8664">
      <c r="A8664" s="9"/>
      <c r="B8664" s="15"/>
      <c r="C8664" s="9">
        <f>IFERROR(__xludf.DUMMYFUNCTION("""COMPUTED_VALUE"""),45053.1686557407)</f>
        <v>45053.16866</v>
      </c>
      <c r="D8664" s="15">
        <f>IFERROR(__xludf.DUMMYFUNCTION("""COMPUTED_VALUE"""),1.022)</f>
        <v>1.022</v>
      </c>
      <c r="E8664" s="16">
        <f>IFERROR(__xludf.DUMMYFUNCTION("""COMPUTED_VALUE"""),61.0)</f>
        <v>61</v>
      </c>
      <c r="F8664" s="19" t="str">
        <f>IFERROR(__xludf.DUMMYFUNCTION("""COMPUTED_VALUE"""),"BLUE")</f>
        <v>BLUE</v>
      </c>
      <c r="G8664" s="20" t="str">
        <f>IFERROR(__xludf.DUMMYFUNCTION("""COMPUTED_VALUE"""),"Uncle Sams Cider (04/04/2023)")</f>
        <v>Uncle Sams Cider (04/04/2023)</v>
      </c>
      <c r="H8664" s="19"/>
    </row>
    <row r="8665">
      <c r="A8665" s="9"/>
      <c r="B8665" s="15"/>
      <c r="C8665" s="9">
        <f>IFERROR(__xludf.DUMMYFUNCTION("""COMPUTED_VALUE"""),45053.1582351273)</f>
        <v>45053.15824</v>
      </c>
      <c r="D8665" s="15">
        <f>IFERROR(__xludf.DUMMYFUNCTION("""COMPUTED_VALUE"""),1.021)</f>
        <v>1.021</v>
      </c>
      <c r="E8665" s="16">
        <f>IFERROR(__xludf.DUMMYFUNCTION("""COMPUTED_VALUE"""),61.0)</f>
        <v>61</v>
      </c>
      <c r="F8665" s="19" t="str">
        <f>IFERROR(__xludf.DUMMYFUNCTION("""COMPUTED_VALUE"""),"BLUE")</f>
        <v>BLUE</v>
      </c>
      <c r="G8665" s="20" t="str">
        <f>IFERROR(__xludf.DUMMYFUNCTION("""COMPUTED_VALUE"""),"Uncle Sams Cider (04/04/2023)")</f>
        <v>Uncle Sams Cider (04/04/2023)</v>
      </c>
      <c r="H8665" s="19"/>
    </row>
    <row r="8666">
      <c r="A8666" s="9"/>
      <c r="B8666" s="15"/>
      <c r="C8666" s="9">
        <f>IFERROR(__xludf.DUMMYFUNCTION("""COMPUTED_VALUE"""),45053.1478006828)</f>
        <v>45053.1478</v>
      </c>
      <c r="D8666" s="15">
        <f>IFERROR(__xludf.DUMMYFUNCTION("""COMPUTED_VALUE"""),1.021)</f>
        <v>1.021</v>
      </c>
      <c r="E8666" s="16">
        <f>IFERROR(__xludf.DUMMYFUNCTION("""COMPUTED_VALUE"""),61.0)</f>
        <v>61</v>
      </c>
      <c r="F8666" s="19" t="str">
        <f>IFERROR(__xludf.DUMMYFUNCTION("""COMPUTED_VALUE"""),"BLUE")</f>
        <v>BLUE</v>
      </c>
      <c r="G8666" s="20" t="str">
        <f>IFERROR(__xludf.DUMMYFUNCTION("""COMPUTED_VALUE"""),"Uncle Sams Cider (04/04/2023)")</f>
        <v>Uncle Sams Cider (04/04/2023)</v>
      </c>
      <c r="H8666" s="19"/>
    </row>
    <row r="8667">
      <c r="A8667" s="9"/>
      <c r="B8667" s="15"/>
      <c r="C8667" s="9">
        <f>IFERROR(__xludf.DUMMYFUNCTION("""COMPUTED_VALUE"""),45053.137378831)</f>
        <v>45053.13738</v>
      </c>
      <c r="D8667" s="15">
        <f>IFERROR(__xludf.DUMMYFUNCTION("""COMPUTED_VALUE"""),1.021)</f>
        <v>1.021</v>
      </c>
      <c r="E8667" s="16">
        <f>IFERROR(__xludf.DUMMYFUNCTION("""COMPUTED_VALUE"""),61.0)</f>
        <v>61</v>
      </c>
      <c r="F8667" s="19" t="str">
        <f>IFERROR(__xludf.DUMMYFUNCTION("""COMPUTED_VALUE"""),"BLUE")</f>
        <v>BLUE</v>
      </c>
      <c r="G8667" s="20" t="str">
        <f>IFERROR(__xludf.DUMMYFUNCTION("""COMPUTED_VALUE"""),"Uncle Sams Cider (04/04/2023)")</f>
        <v>Uncle Sams Cider (04/04/2023)</v>
      </c>
      <c r="H8667" s="19"/>
    </row>
    <row r="8668">
      <c r="A8668" s="9"/>
      <c r="B8668" s="15"/>
      <c r="C8668" s="9">
        <f>IFERROR(__xludf.DUMMYFUNCTION("""COMPUTED_VALUE"""),45053.1269598842)</f>
        <v>45053.12696</v>
      </c>
      <c r="D8668" s="15">
        <f>IFERROR(__xludf.DUMMYFUNCTION("""COMPUTED_VALUE"""),1.022)</f>
        <v>1.022</v>
      </c>
      <c r="E8668" s="16">
        <f>IFERROR(__xludf.DUMMYFUNCTION("""COMPUTED_VALUE"""),61.0)</f>
        <v>61</v>
      </c>
      <c r="F8668" s="19" t="str">
        <f>IFERROR(__xludf.DUMMYFUNCTION("""COMPUTED_VALUE"""),"BLUE")</f>
        <v>BLUE</v>
      </c>
      <c r="G8668" s="20" t="str">
        <f>IFERROR(__xludf.DUMMYFUNCTION("""COMPUTED_VALUE"""),"Uncle Sams Cider (04/04/2023)")</f>
        <v>Uncle Sams Cider (04/04/2023)</v>
      </c>
      <c r="H8668" s="19"/>
    </row>
    <row r="8669">
      <c r="A8669" s="9"/>
      <c r="B8669" s="15"/>
      <c r="C8669" s="9">
        <f>IFERROR(__xludf.DUMMYFUNCTION("""COMPUTED_VALUE"""),45053.1165276157)</f>
        <v>45053.11653</v>
      </c>
      <c r="D8669" s="15">
        <f>IFERROR(__xludf.DUMMYFUNCTION("""COMPUTED_VALUE"""),1.021)</f>
        <v>1.021</v>
      </c>
      <c r="E8669" s="16">
        <f>IFERROR(__xludf.DUMMYFUNCTION("""COMPUTED_VALUE"""),61.0)</f>
        <v>61</v>
      </c>
      <c r="F8669" s="19" t="str">
        <f>IFERROR(__xludf.DUMMYFUNCTION("""COMPUTED_VALUE"""),"BLUE")</f>
        <v>BLUE</v>
      </c>
      <c r="G8669" s="20" t="str">
        <f>IFERROR(__xludf.DUMMYFUNCTION("""COMPUTED_VALUE"""),"Uncle Sams Cider (04/04/2023)")</f>
        <v>Uncle Sams Cider (04/04/2023)</v>
      </c>
      <c r="H8669" s="19"/>
    </row>
    <row r="8670">
      <c r="A8670" s="9"/>
      <c r="B8670" s="15"/>
      <c r="C8670" s="9">
        <f>IFERROR(__xludf.DUMMYFUNCTION("""COMPUTED_VALUE"""),45053.106095)</f>
        <v>45053.1061</v>
      </c>
      <c r="D8670" s="15">
        <f>IFERROR(__xludf.DUMMYFUNCTION("""COMPUTED_VALUE"""),1.021)</f>
        <v>1.021</v>
      </c>
      <c r="E8670" s="16">
        <f>IFERROR(__xludf.DUMMYFUNCTION("""COMPUTED_VALUE"""),61.0)</f>
        <v>61</v>
      </c>
      <c r="F8670" s="19" t="str">
        <f>IFERROR(__xludf.DUMMYFUNCTION("""COMPUTED_VALUE"""),"BLUE")</f>
        <v>BLUE</v>
      </c>
      <c r="G8670" s="20" t="str">
        <f>IFERROR(__xludf.DUMMYFUNCTION("""COMPUTED_VALUE"""),"Uncle Sams Cider (04/04/2023)")</f>
        <v>Uncle Sams Cider (04/04/2023)</v>
      </c>
      <c r="H8670" s="19"/>
    </row>
    <row r="8671">
      <c r="A8671" s="9"/>
      <c r="B8671" s="15"/>
      <c r="C8671" s="9">
        <f>IFERROR(__xludf.DUMMYFUNCTION("""COMPUTED_VALUE"""),45053.0956623379)</f>
        <v>45053.09566</v>
      </c>
      <c r="D8671" s="15">
        <f>IFERROR(__xludf.DUMMYFUNCTION("""COMPUTED_VALUE"""),1.021)</f>
        <v>1.021</v>
      </c>
      <c r="E8671" s="16">
        <f>IFERROR(__xludf.DUMMYFUNCTION("""COMPUTED_VALUE"""),61.0)</f>
        <v>61</v>
      </c>
      <c r="F8671" s="19" t="str">
        <f>IFERROR(__xludf.DUMMYFUNCTION("""COMPUTED_VALUE"""),"BLUE")</f>
        <v>BLUE</v>
      </c>
      <c r="G8671" s="20" t="str">
        <f>IFERROR(__xludf.DUMMYFUNCTION("""COMPUTED_VALUE"""),"Uncle Sams Cider (04/04/2023)")</f>
        <v>Uncle Sams Cider (04/04/2023)</v>
      </c>
      <c r="H8671" s="19"/>
    </row>
    <row r="8672">
      <c r="A8672" s="9"/>
      <c r="B8672" s="15"/>
      <c r="C8672" s="9">
        <f>IFERROR(__xludf.DUMMYFUNCTION("""COMPUTED_VALUE"""),45053.0852409722)</f>
        <v>45053.08524</v>
      </c>
      <c r="D8672" s="15">
        <f>IFERROR(__xludf.DUMMYFUNCTION("""COMPUTED_VALUE"""),1.021)</f>
        <v>1.021</v>
      </c>
      <c r="E8672" s="16">
        <f>IFERROR(__xludf.DUMMYFUNCTION("""COMPUTED_VALUE"""),61.0)</f>
        <v>61</v>
      </c>
      <c r="F8672" s="19" t="str">
        <f>IFERROR(__xludf.DUMMYFUNCTION("""COMPUTED_VALUE"""),"BLUE")</f>
        <v>BLUE</v>
      </c>
      <c r="G8672" s="20" t="str">
        <f>IFERROR(__xludf.DUMMYFUNCTION("""COMPUTED_VALUE"""),"Uncle Sams Cider (04/04/2023)")</f>
        <v>Uncle Sams Cider (04/04/2023)</v>
      </c>
      <c r="H8672" s="19"/>
    </row>
    <row r="8673">
      <c r="A8673" s="9"/>
      <c r="B8673" s="15"/>
      <c r="C8673" s="9">
        <f>IFERROR(__xludf.DUMMYFUNCTION("""COMPUTED_VALUE"""),45053.0748199537)</f>
        <v>45053.07482</v>
      </c>
      <c r="D8673" s="15">
        <f>IFERROR(__xludf.DUMMYFUNCTION("""COMPUTED_VALUE"""),1.022)</f>
        <v>1.022</v>
      </c>
      <c r="E8673" s="16">
        <f>IFERROR(__xludf.DUMMYFUNCTION("""COMPUTED_VALUE"""),61.0)</f>
        <v>61</v>
      </c>
      <c r="F8673" s="19" t="str">
        <f>IFERROR(__xludf.DUMMYFUNCTION("""COMPUTED_VALUE"""),"BLUE")</f>
        <v>BLUE</v>
      </c>
      <c r="G8673" s="20" t="str">
        <f>IFERROR(__xludf.DUMMYFUNCTION("""COMPUTED_VALUE"""),"Uncle Sams Cider (04/04/2023)")</f>
        <v>Uncle Sams Cider (04/04/2023)</v>
      </c>
      <c r="H8673" s="19"/>
    </row>
    <row r="8674">
      <c r="A8674" s="9"/>
      <c r="B8674" s="15"/>
      <c r="C8674" s="9">
        <f>IFERROR(__xludf.DUMMYFUNCTION("""COMPUTED_VALUE"""),45053.0643986111)</f>
        <v>45053.0644</v>
      </c>
      <c r="D8674" s="15">
        <f>IFERROR(__xludf.DUMMYFUNCTION("""COMPUTED_VALUE"""),1.021)</f>
        <v>1.021</v>
      </c>
      <c r="E8674" s="16">
        <f>IFERROR(__xludf.DUMMYFUNCTION("""COMPUTED_VALUE"""),61.0)</f>
        <v>61</v>
      </c>
      <c r="F8674" s="19" t="str">
        <f>IFERROR(__xludf.DUMMYFUNCTION("""COMPUTED_VALUE"""),"BLUE")</f>
        <v>BLUE</v>
      </c>
      <c r="G8674" s="20" t="str">
        <f>IFERROR(__xludf.DUMMYFUNCTION("""COMPUTED_VALUE"""),"Uncle Sams Cider (04/04/2023)")</f>
        <v>Uncle Sams Cider (04/04/2023)</v>
      </c>
      <c r="H8674" s="19"/>
    </row>
    <row r="8675">
      <c r="A8675" s="9"/>
      <c r="B8675" s="15"/>
      <c r="C8675" s="9">
        <f>IFERROR(__xludf.DUMMYFUNCTION("""COMPUTED_VALUE"""),45053.0539766782)</f>
        <v>45053.05398</v>
      </c>
      <c r="D8675" s="15">
        <f>IFERROR(__xludf.DUMMYFUNCTION("""COMPUTED_VALUE"""),1.021)</f>
        <v>1.021</v>
      </c>
      <c r="E8675" s="16">
        <f>IFERROR(__xludf.DUMMYFUNCTION("""COMPUTED_VALUE"""),61.0)</f>
        <v>61</v>
      </c>
      <c r="F8675" s="19" t="str">
        <f>IFERROR(__xludf.DUMMYFUNCTION("""COMPUTED_VALUE"""),"BLUE")</f>
        <v>BLUE</v>
      </c>
      <c r="G8675" s="20" t="str">
        <f>IFERROR(__xludf.DUMMYFUNCTION("""COMPUTED_VALUE"""),"Uncle Sams Cider (04/04/2023)")</f>
        <v>Uncle Sams Cider (04/04/2023)</v>
      </c>
      <c r="H8675" s="19"/>
    </row>
    <row r="8676">
      <c r="A8676" s="9"/>
      <c r="B8676" s="15"/>
      <c r="C8676" s="9">
        <f>IFERROR(__xludf.DUMMYFUNCTION("""COMPUTED_VALUE"""),45053.0435556018)</f>
        <v>45053.04356</v>
      </c>
      <c r="D8676" s="15">
        <f>IFERROR(__xludf.DUMMYFUNCTION("""COMPUTED_VALUE"""),1.022)</f>
        <v>1.022</v>
      </c>
      <c r="E8676" s="16">
        <f>IFERROR(__xludf.DUMMYFUNCTION("""COMPUTED_VALUE"""),61.0)</f>
        <v>61</v>
      </c>
      <c r="F8676" s="19" t="str">
        <f>IFERROR(__xludf.DUMMYFUNCTION("""COMPUTED_VALUE"""),"BLUE")</f>
        <v>BLUE</v>
      </c>
      <c r="G8676" s="20" t="str">
        <f>IFERROR(__xludf.DUMMYFUNCTION("""COMPUTED_VALUE"""),"Uncle Sams Cider (04/04/2023)")</f>
        <v>Uncle Sams Cider (04/04/2023)</v>
      </c>
      <c r="H8676" s="19"/>
    </row>
    <row r="8677">
      <c r="A8677" s="9"/>
      <c r="B8677" s="15"/>
      <c r="C8677" s="9">
        <f>IFERROR(__xludf.DUMMYFUNCTION("""COMPUTED_VALUE"""),45053.0331358217)</f>
        <v>45053.03314</v>
      </c>
      <c r="D8677" s="15">
        <f>IFERROR(__xludf.DUMMYFUNCTION("""COMPUTED_VALUE"""),1.022)</f>
        <v>1.022</v>
      </c>
      <c r="E8677" s="16">
        <f>IFERROR(__xludf.DUMMYFUNCTION("""COMPUTED_VALUE"""),61.0)</f>
        <v>61</v>
      </c>
      <c r="F8677" s="19" t="str">
        <f>IFERROR(__xludf.DUMMYFUNCTION("""COMPUTED_VALUE"""),"BLUE")</f>
        <v>BLUE</v>
      </c>
      <c r="G8677" s="20" t="str">
        <f>IFERROR(__xludf.DUMMYFUNCTION("""COMPUTED_VALUE"""),"Uncle Sams Cider (04/04/2023)")</f>
        <v>Uncle Sams Cider (04/04/2023)</v>
      </c>
      <c r="H8677" s="19"/>
    </row>
    <row r="8678">
      <c r="A8678" s="9"/>
      <c r="B8678" s="15"/>
      <c r="C8678" s="9">
        <f>IFERROR(__xludf.DUMMYFUNCTION("""COMPUTED_VALUE"""),45053.0227128125)</f>
        <v>45053.02271</v>
      </c>
      <c r="D8678" s="15">
        <f>IFERROR(__xludf.DUMMYFUNCTION("""COMPUTED_VALUE"""),1.022)</f>
        <v>1.022</v>
      </c>
      <c r="E8678" s="16">
        <f>IFERROR(__xludf.DUMMYFUNCTION("""COMPUTED_VALUE"""),61.0)</f>
        <v>61</v>
      </c>
      <c r="F8678" s="19" t="str">
        <f>IFERROR(__xludf.DUMMYFUNCTION("""COMPUTED_VALUE"""),"BLUE")</f>
        <v>BLUE</v>
      </c>
      <c r="G8678" s="20" t="str">
        <f>IFERROR(__xludf.DUMMYFUNCTION("""COMPUTED_VALUE"""),"Uncle Sams Cider (04/04/2023)")</f>
        <v>Uncle Sams Cider (04/04/2023)</v>
      </c>
      <c r="H8678" s="19"/>
    </row>
    <row r="8679">
      <c r="A8679" s="9"/>
      <c r="B8679" s="15"/>
      <c r="C8679" s="9">
        <f>IFERROR(__xludf.DUMMYFUNCTION("""COMPUTED_VALUE"""),45053.0122906944)</f>
        <v>45053.01229</v>
      </c>
      <c r="D8679" s="15">
        <f>IFERROR(__xludf.DUMMYFUNCTION("""COMPUTED_VALUE"""),1.021)</f>
        <v>1.021</v>
      </c>
      <c r="E8679" s="16">
        <f>IFERROR(__xludf.DUMMYFUNCTION("""COMPUTED_VALUE"""),61.0)</f>
        <v>61</v>
      </c>
      <c r="F8679" s="19" t="str">
        <f>IFERROR(__xludf.DUMMYFUNCTION("""COMPUTED_VALUE"""),"BLUE")</f>
        <v>BLUE</v>
      </c>
      <c r="G8679" s="20" t="str">
        <f>IFERROR(__xludf.DUMMYFUNCTION("""COMPUTED_VALUE"""),"Uncle Sams Cider (04/04/2023)")</f>
        <v>Uncle Sams Cider (04/04/2023)</v>
      </c>
      <c r="H8679" s="19"/>
    </row>
    <row r="8680">
      <c r="A8680" s="9"/>
      <c r="B8680" s="15"/>
      <c r="C8680" s="9">
        <f>IFERROR(__xludf.DUMMYFUNCTION("""COMPUTED_VALUE"""),45053.0018695601)</f>
        <v>45053.00187</v>
      </c>
      <c r="D8680" s="15">
        <f>IFERROR(__xludf.DUMMYFUNCTION("""COMPUTED_VALUE"""),1.022)</f>
        <v>1.022</v>
      </c>
      <c r="E8680" s="16">
        <f>IFERROR(__xludf.DUMMYFUNCTION("""COMPUTED_VALUE"""),61.0)</f>
        <v>61</v>
      </c>
      <c r="F8680" s="19" t="str">
        <f>IFERROR(__xludf.DUMMYFUNCTION("""COMPUTED_VALUE"""),"BLUE")</f>
        <v>BLUE</v>
      </c>
      <c r="G8680" s="20" t="str">
        <f>IFERROR(__xludf.DUMMYFUNCTION("""COMPUTED_VALUE"""),"Uncle Sams Cider (04/04/2023)")</f>
        <v>Uncle Sams Cider (04/04/2023)</v>
      </c>
      <c r="H8680" s="19"/>
    </row>
    <row r="8681">
      <c r="A8681" s="9"/>
      <c r="B8681" s="15"/>
      <c r="C8681" s="9">
        <f>IFERROR(__xludf.DUMMYFUNCTION("""COMPUTED_VALUE"""),45052.991447905)</f>
        <v>45052.99145</v>
      </c>
      <c r="D8681" s="15">
        <f>IFERROR(__xludf.DUMMYFUNCTION("""COMPUTED_VALUE"""),1.022)</f>
        <v>1.022</v>
      </c>
      <c r="E8681" s="16">
        <f>IFERROR(__xludf.DUMMYFUNCTION("""COMPUTED_VALUE"""),61.0)</f>
        <v>61</v>
      </c>
      <c r="F8681" s="19" t="str">
        <f>IFERROR(__xludf.DUMMYFUNCTION("""COMPUTED_VALUE"""),"BLUE")</f>
        <v>BLUE</v>
      </c>
      <c r="G8681" s="20" t="str">
        <f>IFERROR(__xludf.DUMMYFUNCTION("""COMPUTED_VALUE"""),"Uncle Sams Cider (04/04/2023)")</f>
        <v>Uncle Sams Cider (04/04/2023)</v>
      </c>
      <c r="H8681" s="19"/>
    </row>
    <row r="8682">
      <c r="A8682" s="9"/>
      <c r="B8682" s="15"/>
      <c r="C8682" s="9">
        <f>IFERROR(__xludf.DUMMYFUNCTION("""COMPUTED_VALUE"""),45052.9810258796)</f>
        <v>45052.98103</v>
      </c>
      <c r="D8682" s="15">
        <f>IFERROR(__xludf.DUMMYFUNCTION("""COMPUTED_VALUE"""),1.021)</f>
        <v>1.021</v>
      </c>
      <c r="E8682" s="16">
        <f>IFERROR(__xludf.DUMMYFUNCTION("""COMPUTED_VALUE"""),61.0)</f>
        <v>61</v>
      </c>
      <c r="F8682" s="19" t="str">
        <f>IFERROR(__xludf.DUMMYFUNCTION("""COMPUTED_VALUE"""),"BLUE")</f>
        <v>BLUE</v>
      </c>
      <c r="G8682" s="20" t="str">
        <f>IFERROR(__xludf.DUMMYFUNCTION("""COMPUTED_VALUE"""),"Uncle Sams Cider (04/04/2023)")</f>
        <v>Uncle Sams Cider (04/04/2023)</v>
      </c>
      <c r="H8682" s="19"/>
    </row>
    <row r="8683">
      <c r="A8683" s="9"/>
      <c r="B8683" s="15"/>
      <c r="C8683" s="9">
        <f>IFERROR(__xludf.DUMMYFUNCTION("""COMPUTED_VALUE"""),45052.9706049884)</f>
        <v>45052.9706</v>
      </c>
      <c r="D8683" s="15">
        <f>IFERROR(__xludf.DUMMYFUNCTION("""COMPUTED_VALUE"""),1.021)</f>
        <v>1.021</v>
      </c>
      <c r="E8683" s="16">
        <f>IFERROR(__xludf.DUMMYFUNCTION("""COMPUTED_VALUE"""),61.0)</f>
        <v>61</v>
      </c>
      <c r="F8683" s="19" t="str">
        <f>IFERROR(__xludf.DUMMYFUNCTION("""COMPUTED_VALUE"""),"BLUE")</f>
        <v>BLUE</v>
      </c>
      <c r="G8683" s="20" t="str">
        <f>IFERROR(__xludf.DUMMYFUNCTION("""COMPUTED_VALUE"""),"Uncle Sams Cider (04/04/2023)")</f>
        <v>Uncle Sams Cider (04/04/2023)</v>
      </c>
      <c r="H8683" s="19"/>
    </row>
    <row r="8684">
      <c r="A8684" s="9"/>
      <c r="B8684" s="15"/>
      <c r="C8684" s="9">
        <f>IFERROR(__xludf.DUMMYFUNCTION("""COMPUTED_VALUE"""),45052.9601856597)</f>
        <v>45052.96019</v>
      </c>
      <c r="D8684" s="15">
        <f>IFERROR(__xludf.DUMMYFUNCTION("""COMPUTED_VALUE"""),1.021)</f>
        <v>1.021</v>
      </c>
      <c r="E8684" s="16">
        <f>IFERROR(__xludf.DUMMYFUNCTION("""COMPUTED_VALUE"""),61.0)</f>
        <v>61</v>
      </c>
      <c r="F8684" s="19" t="str">
        <f>IFERROR(__xludf.DUMMYFUNCTION("""COMPUTED_VALUE"""),"BLUE")</f>
        <v>BLUE</v>
      </c>
      <c r="G8684" s="20" t="str">
        <f>IFERROR(__xludf.DUMMYFUNCTION("""COMPUTED_VALUE"""),"Uncle Sams Cider (04/04/2023)")</f>
        <v>Uncle Sams Cider (04/04/2023)</v>
      </c>
      <c r="H8684" s="19"/>
    </row>
    <row r="8685">
      <c r="A8685" s="9"/>
      <c r="B8685" s="15"/>
      <c r="C8685" s="9">
        <f>IFERROR(__xludf.DUMMYFUNCTION("""COMPUTED_VALUE"""),45052.9497513425)</f>
        <v>45052.94975</v>
      </c>
      <c r="D8685" s="15">
        <f>IFERROR(__xludf.DUMMYFUNCTION("""COMPUTED_VALUE"""),1.022)</f>
        <v>1.022</v>
      </c>
      <c r="E8685" s="16">
        <f>IFERROR(__xludf.DUMMYFUNCTION("""COMPUTED_VALUE"""),61.0)</f>
        <v>61</v>
      </c>
      <c r="F8685" s="19" t="str">
        <f>IFERROR(__xludf.DUMMYFUNCTION("""COMPUTED_VALUE"""),"BLUE")</f>
        <v>BLUE</v>
      </c>
      <c r="G8685" s="20" t="str">
        <f>IFERROR(__xludf.DUMMYFUNCTION("""COMPUTED_VALUE"""),"Uncle Sams Cider (04/04/2023)")</f>
        <v>Uncle Sams Cider (04/04/2023)</v>
      </c>
      <c r="H8685" s="19"/>
    </row>
    <row r="8686">
      <c r="A8686" s="9"/>
      <c r="B8686" s="15"/>
      <c r="C8686" s="9">
        <f>IFERROR(__xludf.DUMMYFUNCTION("""COMPUTED_VALUE"""),45052.9393305902)</f>
        <v>45052.93933</v>
      </c>
      <c r="D8686" s="15">
        <f>IFERROR(__xludf.DUMMYFUNCTION("""COMPUTED_VALUE"""),1.022)</f>
        <v>1.022</v>
      </c>
      <c r="E8686" s="16">
        <f>IFERROR(__xludf.DUMMYFUNCTION("""COMPUTED_VALUE"""),61.0)</f>
        <v>61</v>
      </c>
      <c r="F8686" s="19" t="str">
        <f>IFERROR(__xludf.DUMMYFUNCTION("""COMPUTED_VALUE"""),"BLUE")</f>
        <v>BLUE</v>
      </c>
      <c r="G8686" s="20" t="str">
        <f>IFERROR(__xludf.DUMMYFUNCTION("""COMPUTED_VALUE"""),"Uncle Sams Cider (04/04/2023)")</f>
        <v>Uncle Sams Cider (04/04/2023)</v>
      </c>
      <c r="H8686" s="19"/>
    </row>
    <row r="8687">
      <c r="A8687" s="9"/>
      <c r="B8687" s="15"/>
      <c r="C8687" s="9">
        <f>IFERROR(__xludf.DUMMYFUNCTION("""COMPUTED_VALUE"""),45052.9289097106)</f>
        <v>45052.92891</v>
      </c>
      <c r="D8687" s="15">
        <f>IFERROR(__xludf.DUMMYFUNCTION("""COMPUTED_VALUE"""),1.021)</f>
        <v>1.021</v>
      </c>
      <c r="E8687" s="16">
        <f>IFERROR(__xludf.DUMMYFUNCTION("""COMPUTED_VALUE"""),61.0)</f>
        <v>61</v>
      </c>
      <c r="F8687" s="19" t="str">
        <f>IFERROR(__xludf.DUMMYFUNCTION("""COMPUTED_VALUE"""),"BLUE")</f>
        <v>BLUE</v>
      </c>
      <c r="G8687" s="20" t="str">
        <f>IFERROR(__xludf.DUMMYFUNCTION("""COMPUTED_VALUE"""),"Uncle Sams Cider (04/04/2023)")</f>
        <v>Uncle Sams Cider (04/04/2023)</v>
      </c>
      <c r="H8687" s="19"/>
    </row>
    <row r="8688">
      <c r="A8688" s="9"/>
      <c r="B8688" s="15"/>
      <c r="C8688" s="9">
        <f>IFERROR(__xludf.DUMMYFUNCTION("""COMPUTED_VALUE"""),45052.9184762847)</f>
        <v>45052.91848</v>
      </c>
      <c r="D8688" s="15">
        <f>IFERROR(__xludf.DUMMYFUNCTION("""COMPUTED_VALUE"""),1.022)</f>
        <v>1.022</v>
      </c>
      <c r="E8688" s="16">
        <f>IFERROR(__xludf.DUMMYFUNCTION("""COMPUTED_VALUE"""),61.0)</f>
        <v>61</v>
      </c>
      <c r="F8688" s="19" t="str">
        <f>IFERROR(__xludf.DUMMYFUNCTION("""COMPUTED_VALUE"""),"BLUE")</f>
        <v>BLUE</v>
      </c>
      <c r="G8688" s="20" t="str">
        <f>IFERROR(__xludf.DUMMYFUNCTION("""COMPUTED_VALUE"""),"Uncle Sams Cider (04/04/2023)")</f>
        <v>Uncle Sams Cider (04/04/2023)</v>
      </c>
      <c r="H8688" s="19"/>
    </row>
    <row r="8689">
      <c r="A8689" s="9"/>
      <c r="B8689" s="15"/>
      <c r="C8689" s="9">
        <f>IFERROR(__xludf.DUMMYFUNCTION("""COMPUTED_VALUE"""),45052.9080562037)</f>
        <v>45052.90806</v>
      </c>
      <c r="D8689" s="15">
        <f>IFERROR(__xludf.DUMMYFUNCTION("""COMPUTED_VALUE"""),1.022)</f>
        <v>1.022</v>
      </c>
      <c r="E8689" s="16">
        <f>IFERROR(__xludf.DUMMYFUNCTION("""COMPUTED_VALUE"""),61.0)</f>
        <v>61</v>
      </c>
      <c r="F8689" s="19" t="str">
        <f>IFERROR(__xludf.DUMMYFUNCTION("""COMPUTED_VALUE"""),"BLUE")</f>
        <v>BLUE</v>
      </c>
      <c r="G8689" s="20" t="str">
        <f>IFERROR(__xludf.DUMMYFUNCTION("""COMPUTED_VALUE"""),"Uncle Sams Cider (04/04/2023)")</f>
        <v>Uncle Sams Cider (04/04/2023)</v>
      </c>
      <c r="H8689" s="19"/>
    </row>
    <row r="8690">
      <c r="A8690" s="9"/>
      <c r="B8690" s="15"/>
      <c r="C8690" s="9">
        <f>IFERROR(__xludf.DUMMYFUNCTION("""COMPUTED_VALUE"""),45052.897635787)</f>
        <v>45052.89764</v>
      </c>
      <c r="D8690" s="15">
        <f>IFERROR(__xludf.DUMMYFUNCTION("""COMPUTED_VALUE"""),1.021)</f>
        <v>1.021</v>
      </c>
      <c r="E8690" s="16">
        <f>IFERROR(__xludf.DUMMYFUNCTION("""COMPUTED_VALUE"""),61.0)</f>
        <v>61</v>
      </c>
      <c r="F8690" s="19" t="str">
        <f>IFERROR(__xludf.DUMMYFUNCTION("""COMPUTED_VALUE"""),"BLUE")</f>
        <v>BLUE</v>
      </c>
      <c r="G8690" s="20" t="str">
        <f>IFERROR(__xludf.DUMMYFUNCTION("""COMPUTED_VALUE"""),"Uncle Sams Cider (04/04/2023)")</f>
        <v>Uncle Sams Cider (04/04/2023)</v>
      </c>
      <c r="H8690" s="19"/>
    </row>
    <row r="8691">
      <c r="A8691" s="9"/>
      <c r="B8691" s="15"/>
      <c r="C8691" s="9">
        <f>IFERROR(__xludf.DUMMYFUNCTION("""COMPUTED_VALUE"""),45052.8872167245)</f>
        <v>45052.88722</v>
      </c>
      <c r="D8691" s="15">
        <f>IFERROR(__xludf.DUMMYFUNCTION("""COMPUTED_VALUE"""),1.021)</f>
        <v>1.021</v>
      </c>
      <c r="E8691" s="16">
        <f>IFERROR(__xludf.DUMMYFUNCTION("""COMPUTED_VALUE"""),61.0)</f>
        <v>61</v>
      </c>
      <c r="F8691" s="19" t="str">
        <f>IFERROR(__xludf.DUMMYFUNCTION("""COMPUTED_VALUE"""),"BLUE")</f>
        <v>BLUE</v>
      </c>
      <c r="G8691" s="20" t="str">
        <f>IFERROR(__xludf.DUMMYFUNCTION("""COMPUTED_VALUE"""),"Uncle Sams Cider (04/04/2023)")</f>
        <v>Uncle Sams Cider (04/04/2023)</v>
      </c>
      <c r="H8691" s="19"/>
    </row>
    <row r="8692">
      <c r="A8692" s="9"/>
      <c r="B8692" s="15"/>
      <c r="C8692" s="9">
        <f>IFERROR(__xludf.DUMMYFUNCTION("""COMPUTED_VALUE"""),45052.8767935532)</f>
        <v>45052.87679</v>
      </c>
      <c r="D8692" s="15">
        <f>IFERROR(__xludf.DUMMYFUNCTION("""COMPUTED_VALUE"""),1.022)</f>
        <v>1.022</v>
      </c>
      <c r="E8692" s="16">
        <f>IFERROR(__xludf.DUMMYFUNCTION("""COMPUTED_VALUE"""),61.0)</f>
        <v>61</v>
      </c>
      <c r="F8692" s="19" t="str">
        <f>IFERROR(__xludf.DUMMYFUNCTION("""COMPUTED_VALUE"""),"BLUE")</f>
        <v>BLUE</v>
      </c>
      <c r="G8692" s="20" t="str">
        <f>IFERROR(__xludf.DUMMYFUNCTION("""COMPUTED_VALUE"""),"Uncle Sams Cider (04/04/2023)")</f>
        <v>Uncle Sams Cider (04/04/2023)</v>
      </c>
      <c r="H8692" s="19"/>
    </row>
    <row r="8693">
      <c r="A8693" s="9"/>
      <c r="B8693" s="15"/>
      <c r="C8693" s="9">
        <f>IFERROR(__xludf.DUMMYFUNCTION("""COMPUTED_VALUE"""),45052.8663601157)</f>
        <v>45052.86636</v>
      </c>
      <c r="D8693" s="15">
        <f>IFERROR(__xludf.DUMMYFUNCTION("""COMPUTED_VALUE"""),1.022)</f>
        <v>1.022</v>
      </c>
      <c r="E8693" s="16">
        <f>IFERROR(__xludf.DUMMYFUNCTION("""COMPUTED_VALUE"""),61.0)</f>
        <v>61</v>
      </c>
      <c r="F8693" s="19" t="str">
        <f>IFERROR(__xludf.DUMMYFUNCTION("""COMPUTED_VALUE"""),"BLUE")</f>
        <v>BLUE</v>
      </c>
      <c r="G8693" s="20" t="str">
        <f>IFERROR(__xludf.DUMMYFUNCTION("""COMPUTED_VALUE"""),"Uncle Sams Cider (04/04/2023)")</f>
        <v>Uncle Sams Cider (04/04/2023)</v>
      </c>
      <c r="H8693" s="19"/>
    </row>
    <row r="8694">
      <c r="A8694" s="9"/>
      <c r="B8694" s="15"/>
      <c r="C8694" s="9">
        <f>IFERROR(__xludf.DUMMYFUNCTION("""COMPUTED_VALUE"""),45052.8559385185)</f>
        <v>45052.85594</v>
      </c>
      <c r="D8694" s="15">
        <f>IFERROR(__xludf.DUMMYFUNCTION("""COMPUTED_VALUE"""),1.022)</f>
        <v>1.022</v>
      </c>
      <c r="E8694" s="16">
        <f>IFERROR(__xludf.DUMMYFUNCTION("""COMPUTED_VALUE"""),61.0)</f>
        <v>61</v>
      </c>
      <c r="F8694" s="19" t="str">
        <f>IFERROR(__xludf.DUMMYFUNCTION("""COMPUTED_VALUE"""),"BLUE")</f>
        <v>BLUE</v>
      </c>
      <c r="G8694" s="20" t="str">
        <f>IFERROR(__xludf.DUMMYFUNCTION("""COMPUTED_VALUE"""),"Uncle Sams Cider (04/04/2023)")</f>
        <v>Uncle Sams Cider (04/04/2023)</v>
      </c>
      <c r="H8694" s="19"/>
    </row>
    <row r="8695">
      <c r="A8695" s="9"/>
      <c r="B8695" s="15"/>
      <c r="C8695" s="9">
        <f>IFERROR(__xludf.DUMMYFUNCTION("""COMPUTED_VALUE"""),45052.8455170833)</f>
        <v>45052.84552</v>
      </c>
      <c r="D8695" s="15">
        <f>IFERROR(__xludf.DUMMYFUNCTION("""COMPUTED_VALUE"""),1.022)</f>
        <v>1.022</v>
      </c>
      <c r="E8695" s="16">
        <f>IFERROR(__xludf.DUMMYFUNCTION("""COMPUTED_VALUE"""),61.0)</f>
        <v>61</v>
      </c>
      <c r="F8695" s="19" t="str">
        <f>IFERROR(__xludf.DUMMYFUNCTION("""COMPUTED_VALUE"""),"BLUE")</f>
        <v>BLUE</v>
      </c>
      <c r="G8695" s="20" t="str">
        <f>IFERROR(__xludf.DUMMYFUNCTION("""COMPUTED_VALUE"""),"Uncle Sams Cider (04/04/2023)")</f>
        <v>Uncle Sams Cider (04/04/2023)</v>
      </c>
      <c r="H8695" s="19"/>
    </row>
    <row r="8696">
      <c r="A8696" s="9"/>
      <c r="B8696" s="15"/>
      <c r="C8696" s="9">
        <f>IFERROR(__xludf.DUMMYFUNCTION("""COMPUTED_VALUE"""),45052.8350946759)</f>
        <v>45052.83509</v>
      </c>
      <c r="D8696" s="15">
        <f>IFERROR(__xludf.DUMMYFUNCTION("""COMPUTED_VALUE"""),1.022)</f>
        <v>1.022</v>
      </c>
      <c r="E8696" s="16">
        <f>IFERROR(__xludf.DUMMYFUNCTION("""COMPUTED_VALUE"""),61.0)</f>
        <v>61</v>
      </c>
      <c r="F8696" s="19" t="str">
        <f>IFERROR(__xludf.DUMMYFUNCTION("""COMPUTED_VALUE"""),"BLUE")</f>
        <v>BLUE</v>
      </c>
      <c r="G8696" s="20" t="str">
        <f>IFERROR(__xludf.DUMMYFUNCTION("""COMPUTED_VALUE"""),"Uncle Sams Cider (04/04/2023)")</f>
        <v>Uncle Sams Cider (04/04/2023)</v>
      </c>
      <c r="H8696" s="19"/>
    </row>
    <row r="8697">
      <c r="A8697" s="9"/>
      <c r="B8697" s="15"/>
      <c r="C8697" s="9">
        <f>IFERROR(__xludf.DUMMYFUNCTION("""COMPUTED_VALUE"""),45052.8246729398)</f>
        <v>45052.82467</v>
      </c>
      <c r="D8697" s="15">
        <f>IFERROR(__xludf.DUMMYFUNCTION("""COMPUTED_VALUE"""),1.022)</f>
        <v>1.022</v>
      </c>
      <c r="E8697" s="16">
        <f>IFERROR(__xludf.DUMMYFUNCTION("""COMPUTED_VALUE"""),61.0)</f>
        <v>61</v>
      </c>
      <c r="F8697" s="19" t="str">
        <f>IFERROR(__xludf.DUMMYFUNCTION("""COMPUTED_VALUE"""),"BLUE")</f>
        <v>BLUE</v>
      </c>
      <c r="G8697" s="20" t="str">
        <f>IFERROR(__xludf.DUMMYFUNCTION("""COMPUTED_VALUE"""),"Uncle Sams Cider (04/04/2023)")</f>
        <v>Uncle Sams Cider (04/04/2023)</v>
      </c>
      <c r="H8697" s="19"/>
    </row>
    <row r="8698">
      <c r="A8698" s="9"/>
      <c r="B8698" s="15"/>
      <c r="C8698" s="9">
        <f>IFERROR(__xludf.DUMMYFUNCTION("""COMPUTED_VALUE"""),45052.8142501273)</f>
        <v>45052.81425</v>
      </c>
      <c r="D8698" s="15">
        <f>IFERROR(__xludf.DUMMYFUNCTION("""COMPUTED_VALUE"""),1.021)</f>
        <v>1.021</v>
      </c>
      <c r="E8698" s="16">
        <f>IFERROR(__xludf.DUMMYFUNCTION("""COMPUTED_VALUE"""),61.0)</f>
        <v>61</v>
      </c>
      <c r="F8698" s="19" t="str">
        <f>IFERROR(__xludf.DUMMYFUNCTION("""COMPUTED_VALUE"""),"BLUE")</f>
        <v>BLUE</v>
      </c>
      <c r="G8698" s="20" t="str">
        <f>IFERROR(__xludf.DUMMYFUNCTION("""COMPUTED_VALUE"""),"Uncle Sams Cider (04/04/2023)")</f>
        <v>Uncle Sams Cider (04/04/2023)</v>
      </c>
      <c r="H8698" s="19"/>
    </row>
    <row r="8699">
      <c r="A8699" s="9"/>
      <c r="B8699" s="15"/>
      <c r="C8699" s="9">
        <f>IFERROR(__xludf.DUMMYFUNCTION("""COMPUTED_VALUE"""),45052.8038296759)</f>
        <v>45052.80383</v>
      </c>
      <c r="D8699" s="15">
        <f>IFERROR(__xludf.DUMMYFUNCTION("""COMPUTED_VALUE"""),1.022)</f>
        <v>1.022</v>
      </c>
      <c r="E8699" s="16">
        <f>IFERROR(__xludf.DUMMYFUNCTION("""COMPUTED_VALUE"""),61.0)</f>
        <v>61</v>
      </c>
      <c r="F8699" s="19" t="str">
        <f>IFERROR(__xludf.DUMMYFUNCTION("""COMPUTED_VALUE"""),"BLUE")</f>
        <v>BLUE</v>
      </c>
      <c r="G8699" s="20" t="str">
        <f>IFERROR(__xludf.DUMMYFUNCTION("""COMPUTED_VALUE"""),"Uncle Sams Cider (04/04/2023)")</f>
        <v>Uncle Sams Cider (04/04/2023)</v>
      </c>
      <c r="H8699" s="19"/>
    </row>
    <row r="8700">
      <c r="A8700" s="9"/>
      <c r="B8700" s="15"/>
      <c r="C8700" s="9">
        <f>IFERROR(__xludf.DUMMYFUNCTION("""COMPUTED_VALUE"""),45052.7934100926)</f>
        <v>45052.79341</v>
      </c>
      <c r="D8700" s="15">
        <f>IFERROR(__xludf.DUMMYFUNCTION("""COMPUTED_VALUE"""),1.022)</f>
        <v>1.022</v>
      </c>
      <c r="E8700" s="16">
        <f>IFERROR(__xludf.DUMMYFUNCTION("""COMPUTED_VALUE"""),61.0)</f>
        <v>61</v>
      </c>
      <c r="F8700" s="19" t="str">
        <f>IFERROR(__xludf.DUMMYFUNCTION("""COMPUTED_VALUE"""),"BLUE")</f>
        <v>BLUE</v>
      </c>
      <c r="G8700" s="20" t="str">
        <f>IFERROR(__xludf.DUMMYFUNCTION("""COMPUTED_VALUE"""),"Uncle Sams Cider (04/04/2023)")</f>
        <v>Uncle Sams Cider (04/04/2023)</v>
      </c>
      <c r="H8700" s="19"/>
    </row>
    <row r="8701">
      <c r="A8701" s="9"/>
      <c r="B8701" s="15"/>
      <c r="C8701" s="9">
        <f>IFERROR(__xludf.DUMMYFUNCTION("""COMPUTED_VALUE"""),45052.78298875)</f>
        <v>45052.78299</v>
      </c>
      <c r="D8701" s="15">
        <f>IFERROR(__xludf.DUMMYFUNCTION("""COMPUTED_VALUE"""),1.022)</f>
        <v>1.022</v>
      </c>
      <c r="E8701" s="16">
        <f>IFERROR(__xludf.DUMMYFUNCTION("""COMPUTED_VALUE"""),61.0)</f>
        <v>61</v>
      </c>
      <c r="F8701" s="19" t="str">
        <f>IFERROR(__xludf.DUMMYFUNCTION("""COMPUTED_VALUE"""),"BLUE")</f>
        <v>BLUE</v>
      </c>
      <c r="G8701" s="20" t="str">
        <f>IFERROR(__xludf.DUMMYFUNCTION("""COMPUTED_VALUE"""),"Uncle Sams Cider (04/04/2023)")</f>
        <v>Uncle Sams Cider (04/04/2023)</v>
      </c>
      <c r="H8701" s="19"/>
    </row>
    <row r="8702">
      <c r="A8702" s="9"/>
      <c r="B8702" s="15"/>
      <c r="C8702" s="9">
        <f>IFERROR(__xludf.DUMMYFUNCTION("""COMPUTED_VALUE"""),45052.772565706)</f>
        <v>45052.77257</v>
      </c>
      <c r="D8702" s="15">
        <f>IFERROR(__xludf.DUMMYFUNCTION("""COMPUTED_VALUE"""),1.022)</f>
        <v>1.022</v>
      </c>
      <c r="E8702" s="16">
        <f>IFERROR(__xludf.DUMMYFUNCTION("""COMPUTED_VALUE"""),61.0)</f>
        <v>61</v>
      </c>
      <c r="F8702" s="19" t="str">
        <f>IFERROR(__xludf.DUMMYFUNCTION("""COMPUTED_VALUE"""),"BLUE")</f>
        <v>BLUE</v>
      </c>
      <c r="G8702" s="20" t="str">
        <f>IFERROR(__xludf.DUMMYFUNCTION("""COMPUTED_VALUE"""),"Uncle Sams Cider (04/04/2023)")</f>
        <v>Uncle Sams Cider (04/04/2023)</v>
      </c>
      <c r="H8702" s="19"/>
    </row>
    <row r="8703">
      <c r="A8703" s="9"/>
      <c r="B8703" s="15"/>
      <c r="C8703" s="9">
        <f>IFERROR(__xludf.DUMMYFUNCTION("""COMPUTED_VALUE"""),45052.7621441203)</f>
        <v>45052.76214</v>
      </c>
      <c r="D8703" s="15">
        <f>IFERROR(__xludf.DUMMYFUNCTION("""COMPUTED_VALUE"""),1.022)</f>
        <v>1.022</v>
      </c>
      <c r="E8703" s="16">
        <f>IFERROR(__xludf.DUMMYFUNCTION("""COMPUTED_VALUE"""),61.0)</f>
        <v>61</v>
      </c>
      <c r="F8703" s="19" t="str">
        <f>IFERROR(__xludf.DUMMYFUNCTION("""COMPUTED_VALUE"""),"BLUE")</f>
        <v>BLUE</v>
      </c>
      <c r="G8703" s="20" t="str">
        <f>IFERROR(__xludf.DUMMYFUNCTION("""COMPUTED_VALUE"""),"Uncle Sams Cider (04/04/2023)")</f>
        <v>Uncle Sams Cider (04/04/2023)</v>
      </c>
      <c r="H8703" s="19"/>
    </row>
    <row r="8704">
      <c r="A8704" s="9"/>
      <c r="B8704" s="15"/>
      <c r="C8704" s="9">
        <f>IFERROR(__xludf.DUMMYFUNCTION("""COMPUTED_VALUE"""),45052.7517203935)</f>
        <v>45052.75172</v>
      </c>
      <c r="D8704" s="15">
        <f>IFERROR(__xludf.DUMMYFUNCTION("""COMPUTED_VALUE"""),1.022)</f>
        <v>1.022</v>
      </c>
      <c r="E8704" s="16">
        <f>IFERROR(__xludf.DUMMYFUNCTION("""COMPUTED_VALUE"""),61.0)</f>
        <v>61</v>
      </c>
      <c r="F8704" s="19" t="str">
        <f>IFERROR(__xludf.DUMMYFUNCTION("""COMPUTED_VALUE"""),"BLUE")</f>
        <v>BLUE</v>
      </c>
      <c r="G8704" s="20" t="str">
        <f>IFERROR(__xludf.DUMMYFUNCTION("""COMPUTED_VALUE"""),"Uncle Sams Cider (04/04/2023)")</f>
        <v>Uncle Sams Cider (04/04/2023)</v>
      </c>
      <c r="H8704" s="19"/>
    </row>
    <row r="8705">
      <c r="A8705" s="9"/>
      <c r="B8705" s="15"/>
      <c r="C8705" s="9">
        <f>IFERROR(__xludf.DUMMYFUNCTION("""COMPUTED_VALUE"""),45052.741297581)</f>
        <v>45052.7413</v>
      </c>
      <c r="D8705" s="15">
        <f>IFERROR(__xludf.DUMMYFUNCTION("""COMPUTED_VALUE"""),1.022)</f>
        <v>1.022</v>
      </c>
      <c r="E8705" s="16">
        <f>IFERROR(__xludf.DUMMYFUNCTION("""COMPUTED_VALUE"""),61.0)</f>
        <v>61</v>
      </c>
      <c r="F8705" s="19" t="str">
        <f>IFERROR(__xludf.DUMMYFUNCTION("""COMPUTED_VALUE"""),"BLUE")</f>
        <v>BLUE</v>
      </c>
      <c r="G8705" s="20" t="str">
        <f>IFERROR(__xludf.DUMMYFUNCTION("""COMPUTED_VALUE"""),"Uncle Sams Cider (04/04/2023)")</f>
        <v>Uncle Sams Cider (04/04/2023)</v>
      </c>
      <c r="H8705" s="19"/>
    </row>
    <row r="8706">
      <c r="A8706" s="9"/>
      <c r="B8706" s="15"/>
      <c r="C8706" s="9">
        <f>IFERROR(__xludf.DUMMYFUNCTION("""COMPUTED_VALUE"""),45052.7308781365)</f>
        <v>45052.73088</v>
      </c>
      <c r="D8706" s="15">
        <f>IFERROR(__xludf.DUMMYFUNCTION("""COMPUTED_VALUE"""),1.022)</f>
        <v>1.022</v>
      </c>
      <c r="E8706" s="16">
        <f>IFERROR(__xludf.DUMMYFUNCTION("""COMPUTED_VALUE"""),61.0)</f>
        <v>61</v>
      </c>
      <c r="F8706" s="19" t="str">
        <f>IFERROR(__xludf.DUMMYFUNCTION("""COMPUTED_VALUE"""),"BLUE")</f>
        <v>BLUE</v>
      </c>
      <c r="G8706" s="20" t="str">
        <f>IFERROR(__xludf.DUMMYFUNCTION("""COMPUTED_VALUE"""),"Uncle Sams Cider (04/04/2023)")</f>
        <v>Uncle Sams Cider (04/04/2023)</v>
      </c>
      <c r="H8706" s="19"/>
    </row>
    <row r="8707">
      <c r="A8707" s="9"/>
      <c r="B8707" s="15"/>
      <c r="C8707" s="9">
        <f>IFERROR(__xludf.DUMMYFUNCTION("""COMPUTED_VALUE"""),45052.7204451967)</f>
        <v>45052.72045</v>
      </c>
      <c r="D8707" s="15">
        <f>IFERROR(__xludf.DUMMYFUNCTION("""COMPUTED_VALUE"""),1.022)</f>
        <v>1.022</v>
      </c>
      <c r="E8707" s="16">
        <f>IFERROR(__xludf.DUMMYFUNCTION("""COMPUTED_VALUE"""),61.0)</f>
        <v>61</v>
      </c>
      <c r="F8707" s="19" t="str">
        <f>IFERROR(__xludf.DUMMYFUNCTION("""COMPUTED_VALUE"""),"BLUE")</f>
        <v>BLUE</v>
      </c>
      <c r="G8707" s="20" t="str">
        <f>IFERROR(__xludf.DUMMYFUNCTION("""COMPUTED_VALUE"""),"Uncle Sams Cider (04/04/2023)")</f>
        <v>Uncle Sams Cider (04/04/2023)</v>
      </c>
      <c r="H8707" s="19"/>
    </row>
    <row r="8708">
      <c r="A8708" s="9"/>
      <c r="B8708" s="15"/>
      <c r="C8708" s="9">
        <f>IFERROR(__xludf.DUMMYFUNCTION("""COMPUTED_VALUE"""),45052.7100239583)</f>
        <v>45052.71002</v>
      </c>
      <c r="D8708" s="15">
        <f>IFERROR(__xludf.DUMMYFUNCTION("""COMPUTED_VALUE"""),1.022)</f>
        <v>1.022</v>
      </c>
      <c r="E8708" s="16">
        <f>IFERROR(__xludf.DUMMYFUNCTION("""COMPUTED_VALUE"""),61.0)</f>
        <v>61</v>
      </c>
      <c r="F8708" s="19" t="str">
        <f>IFERROR(__xludf.DUMMYFUNCTION("""COMPUTED_VALUE"""),"BLUE")</f>
        <v>BLUE</v>
      </c>
      <c r="G8708" s="20" t="str">
        <f>IFERROR(__xludf.DUMMYFUNCTION("""COMPUTED_VALUE"""),"Uncle Sams Cider (04/04/2023)")</f>
        <v>Uncle Sams Cider (04/04/2023)</v>
      </c>
      <c r="H8708" s="19"/>
    </row>
    <row r="8709">
      <c r="A8709" s="9"/>
      <c r="B8709" s="15"/>
      <c r="C8709" s="9">
        <f>IFERROR(__xludf.DUMMYFUNCTION("""COMPUTED_VALUE"""),45052.6996031018)</f>
        <v>45052.6996</v>
      </c>
      <c r="D8709" s="15">
        <f>IFERROR(__xludf.DUMMYFUNCTION("""COMPUTED_VALUE"""),1.022)</f>
        <v>1.022</v>
      </c>
      <c r="E8709" s="16">
        <f>IFERROR(__xludf.DUMMYFUNCTION("""COMPUTED_VALUE"""),61.0)</f>
        <v>61</v>
      </c>
      <c r="F8709" s="19" t="str">
        <f>IFERROR(__xludf.DUMMYFUNCTION("""COMPUTED_VALUE"""),"BLUE")</f>
        <v>BLUE</v>
      </c>
      <c r="G8709" s="20" t="str">
        <f>IFERROR(__xludf.DUMMYFUNCTION("""COMPUTED_VALUE"""),"Uncle Sams Cider (04/04/2023)")</f>
        <v>Uncle Sams Cider (04/04/2023)</v>
      </c>
      <c r="H8709" s="19"/>
    </row>
    <row r="8710">
      <c r="A8710" s="9"/>
      <c r="B8710" s="15"/>
      <c r="C8710" s="9">
        <f>IFERROR(__xludf.DUMMYFUNCTION("""COMPUTED_VALUE"""),45052.6891817592)</f>
        <v>45052.68918</v>
      </c>
      <c r="D8710" s="15">
        <f>IFERROR(__xludf.DUMMYFUNCTION("""COMPUTED_VALUE"""),1.022)</f>
        <v>1.022</v>
      </c>
      <c r="E8710" s="16">
        <f>IFERROR(__xludf.DUMMYFUNCTION("""COMPUTED_VALUE"""),61.0)</f>
        <v>61</v>
      </c>
      <c r="F8710" s="19" t="str">
        <f>IFERROR(__xludf.DUMMYFUNCTION("""COMPUTED_VALUE"""),"BLUE")</f>
        <v>BLUE</v>
      </c>
      <c r="G8710" s="20" t="str">
        <f>IFERROR(__xludf.DUMMYFUNCTION("""COMPUTED_VALUE"""),"Uncle Sams Cider (04/04/2023)")</f>
        <v>Uncle Sams Cider (04/04/2023)</v>
      </c>
      <c r="H8710" s="19"/>
    </row>
    <row r="8711">
      <c r="A8711" s="9"/>
      <c r="B8711" s="15"/>
      <c r="C8711" s="9">
        <f>IFERROR(__xludf.DUMMYFUNCTION("""COMPUTED_VALUE"""),45052.6787487268)</f>
        <v>45052.67875</v>
      </c>
      <c r="D8711" s="15">
        <f>IFERROR(__xludf.DUMMYFUNCTION("""COMPUTED_VALUE"""),1.022)</f>
        <v>1.022</v>
      </c>
      <c r="E8711" s="16">
        <f>IFERROR(__xludf.DUMMYFUNCTION("""COMPUTED_VALUE"""),61.0)</f>
        <v>61</v>
      </c>
      <c r="F8711" s="19" t="str">
        <f>IFERROR(__xludf.DUMMYFUNCTION("""COMPUTED_VALUE"""),"BLUE")</f>
        <v>BLUE</v>
      </c>
      <c r="G8711" s="20" t="str">
        <f>IFERROR(__xludf.DUMMYFUNCTION("""COMPUTED_VALUE"""),"Uncle Sams Cider (04/04/2023)")</f>
        <v>Uncle Sams Cider (04/04/2023)</v>
      </c>
      <c r="H8711" s="19"/>
    </row>
    <row r="8712">
      <c r="A8712" s="9"/>
      <c r="B8712" s="15"/>
      <c r="C8712" s="9">
        <f>IFERROR(__xludf.DUMMYFUNCTION("""COMPUTED_VALUE"""),45052.6683294907)</f>
        <v>45052.66833</v>
      </c>
      <c r="D8712" s="15">
        <f>IFERROR(__xludf.DUMMYFUNCTION("""COMPUTED_VALUE"""),1.022)</f>
        <v>1.022</v>
      </c>
      <c r="E8712" s="16">
        <f>IFERROR(__xludf.DUMMYFUNCTION("""COMPUTED_VALUE"""),61.0)</f>
        <v>61</v>
      </c>
      <c r="F8712" s="19" t="str">
        <f>IFERROR(__xludf.DUMMYFUNCTION("""COMPUTED_VALUE"""),"BLUE")</f>
        <v>BLUE</v>
      </c>
      <c r="G8712" s="20" t="str">
        <f>IFERROR(__xludf.DUMMYFUNCTION("""COMPUTED_VALUE"""),"Uncle Sams Cider (04/04/2023)")</f>
        <v>Uncle Sams Cider (04/04/2023)</v>
      </c>
      <c r="H8712" s="19"/>
    </row>
    <row r="8713">
      <c r="A8713" s="9"/>
      <c r="B8713" s="15"/>
      <c r="C8713" s="9">
        <f>IFERROR(__xludf.DUMMYFUNCTION("""COMPUTED_VALUE"""),45052.6578976967)</f>
        <v>45052.6579</v>
      </c>
      <c r="D8713" s="15">
        <f>IFERROR(__xludf.DUMMYFUNCTION("""COMPUTED_VALUE"""),1.022)</f>
        <v>1.022</v>
      </c>
      <c r="E8713" s="16">
        <f>IFERROR(__xludf.DUMMYFUNCTION("""COMPUTED_VALUE"""),61.0)</f>
        <v>61</v>
      </c>
      <c r="F8713" s="19" t="str">
        <f>IFERROR(__xludf.DUMMYFUNCTION("""COMPUTED_VALUE"""),"BLUE")</f>
        <v>BLUE</v>
      </c>
      <c r="G8713" s="20" t="str">
        <f>IFERROR(__xludf.DUMMYFUNCTION("""COMPUTED_VALUE"""),"Uncle Sams Cider (04/04/2023)")</f>
        <v>Uncle Sams Cider (04/04/2023)</v>
      </c>
      <c r="H8713" s="19"/>
    </row>
    <row r="8714">
      <c r="A8714" s="9"/>
      <c r="B8714" s="15"/>
      <c r="C8714" s="9">
        <f>IFERROR(__xludf.DUMMYFUNCTION("""COMPUTED_VALUE"""),45052.6474771064)</f>
        <v>45052.64748</v>
      </c>
      <c r="D8714" s="15">
        <f>IFERROR(__xludf.DUMMYFUNCTION("""COMPUTED_VALUE"""),1.022)</f>
        <v>1.022</v>
      </c>
      <c r="E8714" s="16">
        <f>IFERROR(__xludf.DUMMYFUNCTION("""COMPUTED_VALUE"""),61.0)</f>
        <v>61</v>
      </c>
      <c r="F8714" s="19" t="str">
        <f>IFERROR(__xludf.DUMMYFUNCTION("""COMPUTED_VALUE"""),"BLUE")</f>
        <v>BLUE</v>
      </c>
      <c r="G8714" s="20" t="str">
        <f>IFERROR(__xludf.DUMMYFUNCTION("""COMPUTED_VALUE"""),"Uncle Sams Cider (04/04/2023)")</f>
        <v>Uncle Sams Cider (04/04/2023)</v>
      </c>
      <c r="H8714" s="19"/>
    </row>
    <row r="8715">
      <c r="A8715" s="9"/>
      <c r="B8715" s="15"/>
      <c r="C8715" s="9">
        <f>IFERROR(__xludf.DUMMYFUNCTION("""COMPUTED_VALUE"""),45052.6370571759)</f>
        <v>45052.63706</v>
      </c>
      <c r="D8715" s="15">
        <f>IFERROR(__xludf.DUMMYFUNCTION("""COMPUTED_VALUE"""),1.022)</f>
        <v>1.022</v>
      </c>
      <c r="E8715" s="16">
        <f>IFERROR(__xludf.DUMMYFUNCTION("""COMPUTED_VALUE"""),61.0)</f>
        <v>61</v>
      </c>
      <c r="F8715" s="19" t="str">
        <f>IFERROR(__xludf.DUMMYFUNCTION("""COMPUTED_VALUE"""),"BLUE")</f>
        <v>BLUE</v>
      </c>
      <c r="G8715" s="20" t="str">
        <f>IFERROR(__xludf.DUMMYFUNCTION("""COMPUTED_VALUE"""),"Uncle Sams Cider (04/04/2023)")</f>
        <v>Uncle Sams Cider (04/04/2023)</v>
      </c>
      <c r="H8715" s="19"/>
    </row>
    <row r="8716">
      <c r="A8716" s="9"/>
      <c r="B8716" s="15"/>
      <c r="C8716" s="9">
        <f>IFERROR(__xludf.DUMMYFUNCTION("""COMPUTED_VALUE"""),45052.6266356134)</f>
        <v>45052.62664</v>
      </c>
      <c r="D8716" s="15">
        <f>IFERROR(__xludf.DUMMYFUNCTION("""COMPUTED_VALUE"""),1.022)</f>
        <v>1.022</v>
      </c>
      <c r="E8716" s="16">
        <f>IFERROR(__xludf.DUMMYFUNCTION("""COMPUTED_VALUE"""),61.0)</f>
        <v>61</v>
      </c>
      <c r="F8716" s="19" t="str">
        <f>IFERROR(__xludf.DUMMYFUNCTION("""COMPUTED_VALUE"""),"BLUE")</f>
        <v>BLUE</v>
      </c>
      <c r="G8716" s="20" t="str">
        <f>IFERROR(__xludf.DUMMYFUNCTION("""COMPUTED_VALUE"""),"Uncle Sams Cider (04/04/2023)")</f>
        <v>Uncle Sams Cider (04/04/2023)</v>
      </c>
      <c r="H8716" s="19"/>
    </row>
    <row r="8717">
      <c r="A8717" s="9"/>
      <c r="B8717" s="15"/>
      <c r="C8717" s="9">
        <f>IFERROR(__xludf.DUMMYFUNCTION("""COMPUTED_VALUE"""),45052.6162152546)</f>
        <v>45052.61622</v>
      </c>
      <c r="D8717" s="15">
        <f>IFERROR(__xludf.DUMMYFUNCTION("""COMPUTED_VALUE"""),1.022)</f>
        <v>1.022</v>
      </c>
      <c r="E8717" s="16">
        <f>IFERROR(__xludf.DUMMYFUNCTION("""COMPUTED_VALUE"""),61.0)</f>
        <v>61</v>
      </c>
      <c r="F8717" s="19" t="str">
        <f>IFERROR(__xludf.DUMMYFUNCTION("""COMPUTED_VALUE"""),"BLUE")</f>
        <v>BLUE</v>
      </c>
      <c r="G8717" s="20" t="str">
        <f>IFERROR(__xludf.DUMMYFUNCTION("""COMPUTED_VALUE"""),"Uncle Sams Cider (04/04/2023)")</f>
        <v>Uncle Sams Cider (04/04/2023)</v>
      </c>
      <c r="H8717" s="19"/>
    </row>
    <row r="8718">
      <c r="A8718" s="9"/>
      <c r="B8718" s="15"/>
      <c r="C8718" s="9">
        <f>IFERROR(__xludf.DUMMYFUNCTION("""COMPUTED_VALUE"""),45052.6057930208)</f>
        <v>45052.60579</v>
      </c>
      <c r="D8718" s="15">
        <f>IFERROR(__xludf.DUMMYFUNCTION("""COMPUTED_VALUE"""),1.022)</f>
        <v>1.022</v>
      </c>
      <c r="E8718" s="16">
        <f>IFERROR(__xludf.DUMMYFUNCTION("""COMPUTED_VALUE"""),61.0)</f>
        <v>61</v>
      </c>
      <c r="F8718" s="19" t="str">
        <f>IFERROR(__xludf.DUMMYFUNCTION("""COMPUTED_VALUE"""),"BLUE")</f>
        <v>BLUE</v>
      </c>
      <c r="G8718" s="20" t="str">
        <f>IFERROR(__xludf.DUMMYFUNCTION("""COMPUTED_VALUE"""),"Uncle Sams Cider (04/04/2023)")</f>
        <v>Uncle Sams Cider (04/04/2023)</v>
      </c>
      <c r="H8718" s="19"/>
    </row>
    <row r="8719">
      <c r="A8719" s="9"/>
      <c r="B8719" s="15"/>
      <c r="C8719" s="9">
        <f>IFERROR(__xludf.DUMMYFUNCTION("""COMPUTED_VALUE"""),45052.5953710648)</f>
        <v>45052.59537</v>
      </c>
      <c r="D8719" s="15">
        <f>IFERROR(__xludf.DUMMYFUNCTION("""COMPUTED_VALUE"""),1.022)</f>
        <v>1.022</v>
      </c>
      <c r="E8719" s="16">
        <f>IFERROR(__xludf.DUMMYFUNCTION("""COMPUTED_VALUE"""),61.0)</f>
        <v>61</v>
      </c>
      <c r="F8719" s="19" t="str">
        <f>IFERROR(__xludf.DUMMYFUNCTION("""COMPUTED_VALUE"""),"BLUE")</f>
        <v>BLUE</v>
      </c>
      <c r="G8719" s="20" t="str">
        <f>IFERROR(__xludf.DUMMYFUNCTION("""COMPUTED_VALUE"""),"Uncle Sams Cider (04/04/2023)")</f>
        <v>Uncle Sams Cider (04/04/2023)</v>
      </c>
      <c r="H8719" s="19"/>
    </row>
    <row r="8720">
      <c r="A8720" s="9"/>
      <c r="B8720" s="15"/>
      <c r="C8720" s="9">
        <f>IFERROR(__xludf.DUMMYFUNCTION("""COMPUTED_VALUE"""),45052.5906395486)</f>
        <v>45052.59064</v>
      </c>
      <c r="D8720" s="15">
        <f>IFERROR(__xludf.DUMMYFUNCTION("""COMPUTED_VALUE"""),1.022)</f>
        <v>1.022</v>
      </c>
      <c r="E8720" s="16">
        <f>IFERROR(__xludf.DUMMYFUNCTION("""COMPUTED_VALUE"""),61.0)</f>
        <v>61</v>
      </c>
      <c r="F8720" s="19" t="str">
        <f>IFERROR(__xludf.DUMMYFUNCTION("""COMPUTED_VALUE"""),"BLUE")</f>
        <v>BLUE</v>
      </c>
      <c r="G8720" s="20" t="str">
        <f>IFERROR(__xludf.DUMMYFUNCTION("""COMPUTED_VALUE"""),"Uncle Sams Cider (04/04/2023)")</f>
        <v>Uncle Sams Cider (04/04/2023)</v>
      </c>
      <c r="H8720" s="19"/>
    </row>
    <row r="8721">
      <c r="A8721" s="9"/>
      <c r="B8721" s="15"/>
      <c r="C8721" s="9">
        <f>IFERROR(__xludf.DUMMYFUNCTION("""COMPUTED_VALUE"""),45052.5802183449)</f>
        <v>45052.58022</v>
      </c>
      <c r="D8721" s="15">
        <f>IFERROR(__xludf.DUMMYFUNCTION("""COMPUTED_VALUE"""),1.022)</f>
        <v>1.022</v>
      </c>
      <c r="E8721" s="16">
        <f>IFERROR(__xludf.DUMMYFUNCTION("""COMPUTED_VALUE"""),61.0)</f>
        <v>61</v>
      </c>
      <c r="F8721" s="19" t="str">
        <f>IFERROR(__xludf.DUMMYFUNCTION("""COMPUTED_VALUE"""),"BLUE")</f>
        <v>BLUE</v>
      </c>
      <c r="G8721" s="20" t="str">
        <f>IFERROR(__xludf.DUMMYFUNCTION("""COMPUTED_VALUE"""),"Uncle Sams Cider (04/04/2023)")</f>
        <v>Uncle Sams Cider (04/04/2023)</v>
      </c>
      <c r="H8721" s="19"/>
    </row>
    <row r="8722">
      <c r="A8722" s="9"/>
      <c r="B8722" s="15"/>
      <c r="C8722" s="9">
        <f>IFERROR(__xludf.DUMMYFUNCTION("""COMPUTED_VALUE"""),45052.5697972222)</f>
        <v>45052.5698</v>
      </c>
      <c r="D8722" s="15">
        <f>IFERROR(__xludf.DUMMYFUNCTION("""COMPUTED_VALUE"""),1.022)</f>
        <v>1.022</v>
      </c>
      <c r="E8722" s="16">
        <f>IFERROR(__xludf.DUMMYFUNCTION("""COMPUTED_VALUE"""),61.0)</f>
        <v>61</v>
      </c>
      <c r="F8722" s="19" t="str">
        <f>IFERROR(__xludf.DUMMYFUNCTION("""COMPUTED_VALUE"""),"BLUE")</f>
        <v>BLUE</v>
      </c>
      <c r="G8722" s="20" t="str">
        <f>IFERROR(__xludf.DUMMYFUNCTION("""COMPUTED_VALUE"""),"Uncle Sams Cider (04/04/2023)")</f>
        <v>Uncle Sams Cider (04/04/2023)</v>
      </c>
      <c r="H8722" s="19"/>
    </row>
    <row r="8723">
      <c r="A8723" s="9"/>
      <c r="B8723" s="15"/>
      <c r="C8723" s="9">
        <f>IFERROR(__xludf.DUMMYFUNCTION("""COMPUTED_VALUE"""),45052.5593768981)</f>
        <v>45052.55938</v>
      </c>
      <c r="D8723" s="15">
        <f>IFERROR(__xludf.DUMMYFUNCTION("""COMPUTED_VALUE"""),1.022)</f>
        <v>1.022</v>
      </c>
      <c r="E8723" s="16">
        <f>IFERROR(__xludf.DUMMYFUNCTION("""COMPUTED_VALUE"""),61.0)</f>
        <v>61</v>
      </c>
      <c r="F8723" s="19" t="str">
        <f>IFERROR(__xludf.DUMMYFUNCTION("""COMPUTED_VALUE"""),"BLUE")</f>
        <v>BLUE</v>
      </c>
      <c r="G8723" s="20" t="str">
        <f>IFERROR(__xludf.DUMMYFUNCTION("""COMPUTED_VALUE"""),"Uncle Sams Cider (04/04/2023)")</f>
        <v>Uncle Sams Cider (04/04/2023)</v>
      </c>
      <c r="H8723" s="19"/>
    </row>
    <row r="8724">
      <c r="A8724" s="9"/>
      <c r="B8724" s="15"/>
      <c r="C8724" s="9">
        <f>IFERROR(__xludf.DUMMYFUNCTION("""COMPUTED_VALUE"""),45052.5489534143)</f>
        <v>45052.54895</v>
      </c>
      <c r="D8724" s="15">
        <f>IFERROR(__xludf.DUMMYFUNCTION("""COMPUTED_VALUE"""),1.022)</f>
        <v>1.022</v>
      </c>
      <c r="E8724" s="16">
        <f>IFERROR(__xludf.DUMMYFUNCTION("""COMPUTED_VALUE"""),61.0)</f>
        <v>61</v>
      </c>
      <c r="F8724" s="19" t="str">
        <f>IFERROR(__xludf.DUMMYFUNCTION("""COMPUTED_VALUE"""),"BLUE")</f>
        <v>BLUE</v>
      </c>
      <c r="G8724" s="20" t="str">
        <f>IFERROR(__xludf.DUMMYFUNCTION("""COMPUTED_VALUE"""),"Uncle Sams Cider (04/04/2023)")</f>
        <v>Uncle Sams Cider (04/04/2023)</v>
      </c>
      <c r="H8724" s="19"/>
    </row>
    <row r="8725">
      <c r="A8725" s="9"/>
      <c r="B8725" s="15"/>
      <c r="C8725" s="9">
        <f>IFERROR(__xludf.DUMMYFUNCTION("""COMPUTED_VALUE"""),45052.5385309837)</f>
        <v>45052.53853</v>
      </c>
      <c r="D8725" s="15">
        <f>IFERROR(__xludf.DUMMYFUNCTION("""COMPUTED_VALUE"""),1.022)</f>
        <v>1.022</v>
      </c>
      <c r="E8725" s="16">
        <f>IFERROR(__xludf.DUMMYFUNCTION("""COMPUTED_VALUE"""),61.0)</f>
        <v>61</v>
      </c>
      <c r="F8725" s="19" t="str">
        <f>IFERROR(__xludf.DUMMYFUNCTION("""COMPUTED_VALUE"""),"BLUE")</f>
        <v>BLUE</v>
      </c>
      <c r="G8725" s="20" t="str">
        <f>IFERROR(__xludf.DUMMYFUNCTION("""COMPUTED_VALUE"""),"Uncle Sams Cider (04/04/2023)")</f>
        <v>Uncle Sams Cider (04/04/2023)</v>
      </c>
      <c r="H8725" s="19"/>
    </row>
    <row r="8726">
      <c r="A8726" s="9"/>
      <c r="B8726" s="15"/>
      <c r="C8726" s="9">
        <f>IFERROR(__xludf.DUMMYFUNCTION("""COMPUTED_VALUE"""),45052.5281093287)</f>
        <v>45052.52811</v>
      </c>
      <c r="D8726" s="15">
        <f>IFERROR(__xludf.DUMMYFUNCTION("""COMPUTED_VALUE"""),1.022)</f>
        <v>1.022</v>
      </c>
      <c r="E8726" s="16">
        <f>IFERROR(__xludf.DUMMYFUNCTION("""COMPUTED_VALUE"""),61.0)</f>
        <v>61</v>
      </c>
      <c r="F8726" s="19" t="str">
        <f>IFERROR(__xludf.DUMMYFUNCTION("""COMPUTED_VALUE"""),"BLUE")</f>
        <v>BLUE</v>
      </c>
      <c r="G8726" s="20" t="str">
        <f>IFERROR(__xludf.DUMMYFUNCTION("""COMPUTED_VALUE"""),"Uncle Sams Cider (04/04/2023)")</f>
        <v>Uncle Sams Cider (04/04/2023)</v>
      </c>
      <c r="H8726" s="19"/>
    </row>
    <row r="8727">
      <c r="A8727" s="9"/>
      <c r="B8727" s="15"/>
      <c r="C8727" s="9">
        <f>IFERROR(__xludf.DUMMYFUNCTION("""COMPUTED_VALUE"""),45052.5176884606)</f>
        <v>45052.51769</v>
      </c>
      <c r="D8727" s="15">
        <f>IFERROR(__xludf.DUMMYFUNCTION("""COMPUTED_VALUE"""),1.022)</f>
        <v>1.022</v>
      </c>
      <c r="E8727" s="16">
        <f>IFERROR(__xludf.DUMMYFUNCTION("""COMPUTED_VALUE"""),61.0)</f>
        <v>61</v>
      </c>
      <c r="F8727" s="19" t="str">
        <f>IFERROR(__xludf.DUMMYFUNCTION("""COMPUTED_VALUE"""),"BLUE")</f>
        <v>BLUE</v>
      </c>
      <c r="G8727" s="20" t="str">
        <f>IFERROR(__xludf.DUMMYFUNCTION("""COMPUTED_VALUE"""),"Uncle Sams Cider (04/04/2023)")</f>
        <v>Uncle Sams Cider (04/04/2023)</v>
      </c>
      <c r="H8727" s="19"/>
    </row>
    <row r="8728">
      <c r="A8728" s="9"/>
      <c r="B8728" s="15"/>
      <c r="C8728" s="9">
        <f>IFERROR(__xludf.DUMMYFUNCTION("""COMPUTED_VALUE"""),45052.5072678703)</f>
        <v>45052.50727</v>
      </c>
      <c r="D8728" s="15">
        <f>IFERROR(__xludf.DUMMYFUNCTION("""COMPUTED_VALUE"""),1.022)</f>
        <v>1.022</v>
      </c>
      <c r="E8728" s="16">
        <f>IFERROR(__xludf.DUMMYFUNCTION("""COMPUTED_VALUE"""),61.0)</f>
        <v>61</v>
      </c>
      <c r="F8728" s="19" t="str">
        <f>IFERROR(__xludf.DUMMYFUNCTION("""COMPUTED_VALUE"""),"BLUE")</f>
        <v>BLUE</v>
      </c>
      <c r="G8728" s="20" t="str">
        <f>IFERROR(__xludf.DUMMYFUNCTION("""COMPUTED_VALUE"""),"Uncle Sams Cider (04/04/2023)")</f>
        <v>Uncle Sams Cider (04/04/2023)</v>
      </c>
      <c r="H8728" s="19"/>
    </row>
    <row r="8729">
      <c r="A8729" s="9"/>
      <c r="B8729" s="15"/>
      <c r="C8729" s="9">
        <f>IFERROR(__xludf.DUMMYFUNCTION("""COMPUTED_VALUE"""),45052.4968474652)</f>
        <v>45052.49685</v>
      </c>
      <c r="D8729" s="15">
        <f>IFERROR(__xludf.DUMMYFUNCTION("""COMPUTED_VALUE"""),1.022)</f>
        <v>1.022</v>
      </c>
      <c r="E8729" s="16">
        <f>IFERROR(__xludf.DUMMYFUNCTION("""COMPUTED_VALUE"""),61.0)</f>
        <v>61</v>
      </c>
      <c r="F8729" s="19" t="str">
        <f>IFERROR(__xludf.DUMMYFUNCTION("""COMPUTED_VALUE"""),"BLUE")</f>
        <v>BLUE</v>
      </c>
      <c r="G8729" s="20" t="str">
        <f>IFERROR(__xludf.DUMMYFUNCTION("""COMPUTED_VALUE"""),"Uncle Sams Cider (04/04/2023)")</f>
        <v>Uncle Sams Cider (04/04/2023)</v>
      </c>
      <c r="H8729" s="19"/>
    </row>
    <row r="8730">
      <c r="A8730" s="9"/>
      <c r="B8730" s="15"/>
      <c r="C8730" s="9">
        <f>IFERROR(__xludf.DUMMYFUNCTION("""COMPUTED_VALUE"""),45052.4864286226)</f>
        <v>45052.48643</v>
      </c>
      <c r="D8730" s="15">
        <f>IFERROR(__xludf.DUMMYFUNCTION("""COMPUTED_VALUE"""),1.022)</f>
        <v>1.022</v>
      </c>
      <c r="E8730" s="16">
        <f>IFERROR(__xludf.DUMMYFUNCTION("""COMPUTED_VALUE"""),61.0)</f>
        <v>61</v>
      </c>
      <c r="F8730" s="19" t="str">
        <f>IFERROR(__xludf.DUMMYFUNCTION("""COMPUTED_VALUE"""),"BLUE")</f>
        <v>BLUE</v>
      </c>
      <c r="G8730" s="20" t="str">
        <f>IFERROR(__xludf.DUMMYFUNCTION("""COMPUTED_VALUE"""),"Uncle Sams Cider (04/04/2023)")</f>
        <v>Uncle Sams Cider (04/04/2023)</v>
      </c>
      <c r="H8730" s="19"/>
    </row>
    <row r="8731">
      <c r="A8731" s="9"/>
      <c r="B8731" s="15"/>
      <c r="C8731" s="9">
        <f>IFERROR(__xludf.DUMMYFUNCTION("""COMPUTED_VALUE"""),45052.4760058796)</f>
        <v>45052.47601</v>
      </c>
      <c r="D8731" s="15">
        <f>IFERROR(__xludf.DUMMYFUNCTION("""COMPUTED_VALUE"""),1.022)</f>
        <v>1.022</v>
      </c>
      <c r="E8731" s="16">
        <f>IFERROR(__xludf.DUMMYFUNCTION("""COMPUTED_VALUE"""),61.0)</f>
        <v>61</v>
      </c>
      <c r="F8731" s="19" t="str">
        <f>IFERROR(__xludf.DUMMYFUNCTION("""COMPUTED_VALUE"""),"BLUE")</f>
        <v>BLUE</v>
      </c>
      <c r="G8731" s="20" t="str">
        <f>IFERROR(__xludf.DUMMYFUNCTION("""COMPUTED_VALUE"""),"Uncle Sams Cider (04/04/2023)")</f>
        <v>Uncle Sams Cider (04/04/2023)</v>
      </c>
      <c r="H8731" s="19"/>
    </row>
    <row r="8732">
      <c r="A8732" s="9"/>
      <c r="B8732" s="15"/>
      <c r="C8732" s="9">
        <f>IFERROR(__xludf.DUMMYFUNCTION("""COMPUTED_VALUE"""),45052.4655855324)</f>
        <v>45052.46559</v>
      </c>
      <c r="D8732" s="15">
        <f>IFERROR(__xludf.DUMMYFUNCTION("""COMPUTED_VALUE"""),1.022)</f>
        <v>1.022</v>
      </c>
      <c r="E8732" s="16">
        <f>IFERROR(__xludf.DUMMYFUNCTION("""COMPUTED_VALUE"""),61.0)</f>
        <v>61</v>
      </c>
      <c r="F8732" s="19" t="str">
        <f>IFERROR(__xludf.DUMMYFUNCTION("""COMPUTED_VALUE"""),"BLUE")</f>
        <v>BLUE</v>
      </c>
      <c r="G8732" s="20" t="str">
        <f>IFERROR(__xludf.DUMMYFUNCTION("""COMPUTED_VALUE"""),"Uncle Sams Cider (04/04/2023)")</f>
        <v>Uncle Sams Cider (04/04/2023)</v>
      </c>
      <c r="H8732" s="19"/>
    </row>
    <row r="8733">
      <c r="A8733" s="9"/>
      <c r="B8733" s="15"/>
      <c r="C8733" s="9">
        <f>IFERROR(__xludf.DUMMYFUNCTION("""COMPUTED_VALUE"""),45052.4551662384)</f>
        <v>45052.45517</v>
      </c>
      <c r="D8733" s="15">
        <f>IFERROR(__xludf.DUMMYFUNCTION("""COMPUTED_VALUE"""),1.022)</f>
        <v>1.022</v>
      </c>
      <c r="E8733" s="16">
        <f>IFERROR(__xludf.DUMMYFUNCTION("""COMPUTED_VALUE"""),61.0)</f>
        <v>61</v>
      </c>
      <c r="F8733" s="19" t="str">
        <f>IFERROR(__xludf.DUMMYFUNCTION("""COMPUTED_VALUE"""),"BLUE")</f>
        <v>BLUE</v>
      </c>
      <c r="G8733" s="20" t="str">
        <f>IFERROR(__xludf.DUMMYFUNCTION("""COMPUTED_VALUE"""),"Uncle Sams Cider (04/04/2023)")</f>
        <v>Uncle Sams Cider (04/04/2023)</v>
      </c>
      <c r="H8733" s="19"/>
    </row>
    <row r="8734">
      <c r="A8734" s="9"/>
      <c r="B8734" s="15"/>
      <c r="C8734" s="9">
        <f>IFERROR(__xludf.DUMMYFUNCTION("""COMPUTED_VALUE"""),45052.4447441203)</f>
        <v>45052.44474</v>
      </c>
      <c r="D8734" s="15">
        <f>IFERROR(__xludf.DUMMYFUNCTION("""COMPUTED_VALUE"""),1.022)</f>
        <v>1.022</v>
      </c>
      <c r="E8734" s="16">
        <f>IFERROR(__xludf.DUMMYFUNCTION("""COMPUTED_VALUE"""),61.0)</f>
        <v>61</v>
      </c>
      <c r="F8734" s="19" t="str">
        <f>IFERROR(__xludf.DUMMYFUNCTION("""COMPUTED_VALUE"""),"BLUE")</f>
        <v>BLUE</v>
      </c>
      <c r="G8734" s="20" t="str">
        <f>IFERROR(__xludf.DUMMYFUNCTION("""COMPUTED_VALUE"""),"Uncle Sams Cider (04/04/2023)")</f>
        <v>Uncle Sams Cider (04/04/2023)</v>
      </c>
      <c r="H8734" s="19"/>
    </row>
    <row r="8735">
      <c r="A8735" s="9"/>
      <c r="B8735" s="15"/>
      <c r="C8735" s="9">
        <f>IFERROR(__xludf.DUMMYFUNCTION("""COMPUTED_VALUE"""),45052.4343231134)</f>
        <v>45052.43432</v>
      </c>
      <c r="D8735" s="15">
        <f>IFERROR(__xludf.DUMMYFUNCTION("""COMPUTED_VALUE"""),1.022)</f>
        <v>1.022</v>
      </c>
      <c r="E8735" s="16">
        <f>IFERROR(__xludf.DUMMYFUNCTION("""COMPUTED_VALUE"""),61.0)</f>
        <v>61</v>
      </c>
      <c r="F8735" s="19" t="str">
        <f>IFERROR(__xludf.DUMMYFUNCTION("""COMPUTED_VALUE"""),"BLUE")</f>
        <v>BLUE</v>
      </c>
      <c r="G8735" s="20" t="str">
        <f>IFERROR(__xludf.DUMMYFUNCTION("""COMPUTED_VALUE"""),"Uncle Sams Cider (04/04/2023)")</f>
        <v>Uncle Sams Cider (04/04/2023)</v>
      </c>
      <c r="H8735" s="19"/>
    </row>
    <row r="8736">
      <c r="A8736" s="9"/>
      <c r="B8736" s="15"/>
      <c r="C8736" s="9">
        <f>IFERROR(__xludf.DUMMYFUNCTION("""COMPUTED_VALUE"""),45052.4239025926)</f>
        <v>45052.4239</v>
      </c>
      <c r="D8736" s="15">
        <f>IFERROR(__xludf.DUMMYFUNCTION("""COMPUTED_VALUE"""),1.022)</f>
        <v>1.022</v>
      </c>
      <c r="E8736" s="16">
        <f>IFERROR(__xludf.DUMMYFUNCTION("""COMPUTED_VALUE"""),61.0)</f>
        <v>61</v>
      </c>
      <c r="F8736" s="19" t="str">
        <f>IFERROR(__xludf.DUMMYFUNCTION("""COMPUTED_VALUE"""),"BLUE")</f>
        <v>BLUE</v>
      </c>
      <c r="G8736" s="20" t="str">
        <f>IFERROR(__xludf.DUMMYFUNCTION("""COMPUTED_VALUE"""),"Uncle Sams Cider (04/04/2023)")</f>
        <v>Uncle Sams Cider (04/04/2023)</v>
      </c>
      <c r="H8736" s="19"/>
    </row>
    <row r="8737">
      <c r="A8737" s="9"/>
      <c r="B8737" s="15"/>
      <c r="C8737" s="9">
        <f>IFERROR(__xludf.DUMMYFUNCTION("""COMPUTED_VALUE"""),45052.4134790162)</f>
        <v>45052.41348</v>
      </c>
      <c r="D8737" s="15">
        <f>IFERROR(__xludf.DUMMYFUNCTION("""COMPUTED_VALUE"""),1.022)</f>
        <v>1.022</v>
      </c>
      <c r="E8737" s="16">
        <f>IFERROR(__xludf.DUMMYFUNCTION("""COMPUTED_VALUE"""),61.0)</f>
        <v>61</v>
      </c>
      <c r="F8737" s="19" t="str">
        <f>IFERROR(__xludf.DUMMYFUNCTION("""COMPUTED_VALUE"""),"BLUE")</f>
        <v>BLUE</v>
      </c>
      <c r="G8737" s="20" t="str">
        <f>IFERROR(__xludf.DUMMYFUNCTION("""COMPUTED_VALUE"""),"Uncle Sams Cider (04/04/2023)")</f>
        <v>Uncle Sams Cider (04/04/2023)</v>
      </c>
      <c r="H8737" s="19"/>
    </row>
    <row r="8738">
      <c r="A8738" s="9"/>
      <c r="B8738" s="15"/>
      <c r="C8738" s="9">
        <f>IFERROR(__xludf.DUMMYFUNCTION("""COMPUTED_VALUE"""),45052.4030575578)</f>
        <v>45052.40306</v>
      </c>
      <c r="D8738" s="15">
        <f>IFERROR(__xludf.DUMMYFUNCTION("""COMPUTED_VALUE"""),1.022)</f>
        <v>1.022</v>
      </c>
      <c r="E8738" s="16">
        <f>IFERROR(__xludf.DUMMYFUNCTION("""COMPUTED_VALUE"""),61.0)</f>
        <v>61</v>
      </c>
      <c r="F8738" s="19" t="str">
        <f>IFERROR(__xludf.DUMMYFUNCTION("""COMPUTED_VALUE"""),"BLUE")</f>
        <v>BLUE</v>
      </c>
      <c r="G8738" s="20" t="str">
        <f>IFERROR(__xludf.DUMMYFUNCTION("""COMPUTED_VALUE"""),"Uncle Sams Cider (04/04/2023)")</f>
        <v>Uncle Sams Cider (04/04/2023)</v>
      </c>
      <c r="H8738" s="19"/>
    </row>
    <row r="8739">
      <c r="A8739" s="9"/>
      <c r="B8739" s="15"/>
      <c r="C8739" s="9">
        <f>IFERROR(__xludf.DUMMYFUNCTION("""COMPUTED_VALUE"""),45052.3926248263)</f>
        <v>45052.39262</v>
      </c>
      <c r="D8739" s="15">
        <f>IFERROR(__xludf.DUMMYFUNCTION("""COMPUTED_VALUE"""),1.022)</f>
        <v>1.022</v>
      </c>
      <c r="E8739" s="16">
        <f>IFERROR(__xludf.DUMMYFUNCTION("""COMPUTED_VALUE"""),61.0)</f>
        <v>61</v>
      </c>
      <c r="F8739" s="19" t="str">
        <f>IFERROR(__xludf.DUMMYFUNCTION("""COMPUTED_VALUE"""),"BLUE")</f>
        <v>BLUE</v>
      </c>
      <c r="G8739" s="20" t="str">
        <f>IFERROR(__xludf.DUMMYFUNCTION("""COMPUTED_VALUE"""),"Uncle Sams Cider (04/04/2023)")</f>
        <v>Uncle Sams Cider (04/04/2023)</v>
      </c>
      <c r="H8739" s="19"/>
    </row>
    <row r="8740">
      <c r="A8740" s="9"/>
      <c r="B8740" s="15"/>
      <c r="C8740" s="9">
        <f>IFERROR(__xludf.DUMMYFUNCTION("""COMPUTED_VALUE"""),45052.3822040972)</f>
        <v>45052.3822</v>
      </c>
      <c r="D8740" s="15">
        <f>IFERROR(__xludf.DUMMYFUNCTION("""COMPUTED_VALUE"""),1.022)</f>
        <v>1.022</v>
      </c>
      <c r="E8740" s="16">
        <f>IFERROR(__xludf.DUMMYFUNCTION("""COMPUTED_VALUE"""),61.0)</f>
        <v>61</v>
      </c>
      <c r="F8740" s="19" t="str">
        <f>IFERROR(__xludf.DUMMYFUNCTION("""COMPUTED_VALUE"""),"BLUE")</f>
        <v>BLUE</v>
      </c>
      <c r="G8740" s="20" t="str">
        <f>IFERROR(__xludf.DUMMYFUNCTION("""COMPUTED_VALUE"""),"Uncle Sams Cider (04/04/2023)")</f>
        <v>Uncle Sams Cider (04/04/2023)</v>
      </c>
      <c r="H8740" s="19"/>
    </row>
    <row r="8741">
      <c r="A8741" s="9"/>
      <c r="B8741" s="15"/>
      <c r="C8741" s="9">
        <f>IFERROR(__xludf.DUMMYFUNCTION("""COMPUTED_VALUE"""),45052.3717809722)</f>
        <v>45052.37178</v>
      </c>
      <c r="D8741" s="15">
        <f>IFERROR(__xludf.DUMMYFUNCTION("""COMPUTED_VALUE"""),1.022)</f>
        <v>1.022</v>
      </c>
      <c r="E8741" s="16">
        <f>IFERROR(__xludf.DUMMYFUNCTION("""COMPUTED_VALUE"""),61.0)</f>
        <v>61</v>
      </c>
      <c r="F8741" s="19" t="str">
        <f>IFERROR(__xludf.DUMMYFUNCTION("""COMPUTED_VALUE"""),"BLUE")</f>
        <v>BLUE</v>
      </c>
      <c r="G8741" s="20" t="str">
        <f>IFERROR(__xludf.DUMMYFUNCTION("""COMPUTED_VALUE"""),"Uncle Sams Cider (04/04/2023)")</f>
        <v>Uncle Sams Cider (04/04/2023)</v>
      </c>
      <c r="H8741" s="19"/>
    </row>
    <row r="8742">
      <c r="A8742" s="9"/>
      <c r="B8742" s="15"/>
      <c r="C8742" s="9">
        <f>IFERROR(__xludf.DUMMYFUNCTION("""COMPUTED_VALUE"""),45052.3613601736)</f>
        <v>45052.36136</v>
      </c>
      <c r="D8742" s="15">
        <f>IFERROR(__xludf.DUMMYFUNCTION("""COMPUTED_VALUE"""),1.022)</f>
        <v>1.022</v>
      </c>
      <c r="E8742" s="16">
        <f>IFERROR(__xludf.DUMMYFUNCTION("""COMPUTED_VALUE"""),61.0)</f>
        <v>61</v>
      </c>
      <c r="F8742" s="19" t="str">
        <f>IFERROR(__xludf.DUMMYFUNCTION("""COMPUTED_VALUE"""),"BLUE")</f>
        <v>BLUE</v>
      </c>
      <c r="G8742" s="20" t="str">
        <f>IFERROR(__xludf.DUMMYFUNCTION("""COMPUTED_VALUE"""),"Uncle Sams Cider (04/04/2023)")</f>
        <v>Uncle Sams Cider (04/04/2023)</v>
      </c>
      <c r="H8742" s="19"/>
    </row>
    <row r="8743">
      <c r="A8743" s="9"/>
      <c r="B8743" s="15"/>
      <c r="C8743" s="9">
        <f>IFERROR(__xludf.DUMMYFUNCTION("""COMPUTED_VALUE"""),45052.350939074)</f>
        <v>45052.35094</v>
      </c>
      <c r="D8743" s="15">
        <f>IFERROR(__xludf.DUMMYFUNCTION("""COMPUTED_VALUE"""),1.022)</f>
        <v>1.022</v>
      </c>
      <c r="E8743" s="16">
        <f>IFERROR(__xludf.DUMMYFUNCTION("""COMPUTED_VALUE"""),61.0)</f>
        <v>61</v>
      </c>
      <c r="F8743" s="19" t="str">
        <f>IFERROR(__xludf.DUMMYFUNCTION("""COMPUTED_VALUE"""),"BLUE")</f>
        <v>BLUE</v>
      </c>
      <c r="G8743" s="20" t="str">
        <f>IFERROR(__xludf.DUMMYFUNCTION("""COMPUTED_VALUE"""),"Uncle Sams Cider (04/04/2023)")</f>
        <v>Uncle Sams Cider (04/04/2023)</v>
      </c>
      <c r="H8743" s="19"/>
    </row>
    <row r="8744">
      <c r="A8744" s="9"/>
      <c r="B8744" s="15"/>
      <c r="C8744" s="9">
        <f>IFERROR(__xludf.DUMMYFUNCTION("""COMPUTED_VALUE"""),45052.3405187731)</f>
        <v>45052.34052</v>
      </c>
      <c r="D8744" s="15">
        <f>IFERROR(__xludf.DUMMYFUNCTION("""COMPUTED_VALUE"""),1.022)</f>
        <v>1.022</v>
      </c>
      <c r="E8744" s="16">
        <f>IFERROR(__xludf.DUMMYFUNCTION("""COMPUTED_VALUE"""),61.0)</f>
        <v>61</v>
      </c>
      <c r="F8744" s="19" t="str">
        <f>IFERROR(__xludf.DUMMYFUNCTION("""COMPUTED_VALUE"""),"BLUE")</f>
        <v>BLUE</v>
      </c>
      <c r="G8744" s="20" t="str">
        <f>IFERROR(__xludf.DUMMYFUNCTION("""COMPUTED_VALUE"""),"Uncle Sams Cider (04/04/2023)")</f>
        <v>Uncle Sams Cider (04/04/2023)</v>
      </c>
      <c r="H8744" s="19"/>
    </row>
    <row r="8745">
      <c r="A8745" s="9"/>
      <c r="B8745" s="15"/>
      <c r="C8745" s="9">
        <f>IFERROR(__xludf.DUMMYFUNCTION("""COMPUTED_VALUE"""),45052.3300839004)</f>
        <v>45052.33008</v>
      </c>
      <c r="D8745" s="15">
        <f>IFERROR(__xludf.DUMMYFUNCTION("""COMPUTED_VALUE"""),1.022)</f>
        <v>1.022</v>
      </c>
      <c r="E8745" s="16">
        <f>IFERROR(__xludf.DUMMYFUNCTION("""COMPUTED_VALUE"""),61.0)</f>
        <v>61</v>
      </c>
      <c r="F8745" s="19" t="str">
        <f>IFERROR(__xludf.DUMMYFUNCTION("""COMPUTED_VALUE"""),"BLUE")</f>
        <v>BLUE</v>
      </c>
      <c r="G8745" s="20" t="str">
        <f>IFERROR(__xludf.DUMMYFUNCTION("""COMPUTED_VALUE"""),"Uncle Sams Cider (04/04/2023)")</f>
        <v>Uncle Sams Cider (04/04/2023)</v>
      </c>
      <c r="H8745" s="19"/>
    </row>
    <row r="8746">
      <c r="A8746" s="9"/>
      <c r="B8746" s="15"/>
      <c r="C8746" s="9">
        <f>IFERROR(__xludf.DUMMYFUNCTION("""COMPUTED_VALUE"""),45052.3196631018)</f>
        <v>45052.31966</v>
      </c>
      <c r="D8746" s="15">
        <f>IFERROR(__xludf.DUMMYFUNCTION("""COMPUTED_VALUE"""),1.022)</f>
        <v>1.022</v>
      </c>
      <c r="E8746" s="16">
        <f>IFERROR(__xludf.DUMMYFUNCTION("""COMPUTED_VALUE"""),61.0)</f>
        <v>61</v>
      </c>
      <c r="F8746" s="19" t="str">
        <f>IFERROR(__xludf.DUMMYFUNCTION("""COMPUTED_VALUE"""),"BLUE")</f>
        <v>BLUE</v>
      </c>
      <c r="G8746" s="20" t="str">
        <f>IFERROR(__xludf.DUMMYFUNCTION("""COMPUTED_VALUE"""),"Uncle Sams Cider (04/04/2023)")</f>
        <v>Uncle Sams Cider (04/04/2023)</v>
      </c>
      <c r="H8746" s="19"/>
    </row>
    <row r="8747">
      <c r="A8747" s="9"/>
      <c r="B8747" s="15"/>
      <c r="C8747" s="9">
        <f>IFERROR(__xludf.DUMMYFUNCTION("""COMPUTED_VALUE"""),45052.3092408449)</f>
        <v>45052.30924</v>
      </c>
      <c r="D8747" s="15">
        <f>IFERROR(__xludf.DUMMYFUNCTION("""COMPUTED_VALUE"""),1.022)</f>
        <v>1.022</v>
      </c>
      <c r="E8747" s="16">
        <f>IFERROR(__xludf.DUMMYFUNCTION("""COMPUTED_VALUE"""),61.0)</f>
        <v>61</v>
      </c>
      <c r="F8747" s="19" t="str">
        <f>IFERROR(__xludf.DUMMYFUNCTION("""COMPUTED_VALUE"""),"BLUE")</f>
        <v>BLUE</v>
      </c>
      <c r="G8747" s="20" t="str">
        <f>IFERROR(__xludf.DUMMYFUNCTION("""COMPUTED_VALUE"""),"Uncle Sams Cider (04/04/2023)")</f>
        <v>Uncle Sams Cider (04/04/2023)</v>
      </c>
      <c r="H8747" s="19"/>
    </row>
    <row r="8748">
      <c r="A8748" s="9"/>
      <c r="B8748" s="15"/>
      <c r="C8748" s="9">
        <f>IFERROR(__xludf.DUMMYFUNCTION("""COMPUTED_VALUE"""),45052.2988213194)</f>
        <v>45052.29882</v>
      </c>
      <c r="D8748" s="15">
        <f>IFERROR(__xludf.DUMMYFUNCTION("""COMPUTED_VALUE"""),1.022)</f>
        <v>1.022</v>
      </c>
      <c r="E8748" s="16">
        <f>IFERROR(__xludf.DUMMYFUNCTION("""COMPUTED_VALUE"""),61.0)</f>
        <v>61</v>
      </c>
      <c r="F8748" s="19" t="str">
        <f>IFERROR(__xludf.DUMMYFUNCTION("""COMPUTED_VALUE"""),"BLUE")</f>
        <v>BLUE</v>
      </c>
      <c r="G8748" s="20" t="str">
        <f>IFERROR(__xludf.DUMMYFUNCTION("""COMPUTED_VALUE"""),"Uncle Sams Cider (04/04/2023)")</f>
        <v>Uncle Sams Cider (04/04/2023)</v>
      </c>
      <c r="H8748" s="19"/>
    </row>
    <row r="8749">
      <c r="A8749" s="9"/>
      <c r="B8749" s="15"/>
      <c r="C8749" s="9">
        <f>IFERROR(__xludf.DUMMYFUNCTION("""COMPUTED_VALUE"""),45052.2884007754)</f>
        <v>45052.2884</v>
      </c>
      <c r="D8749" s="15">
        <f>IFERROR(__xludf.DUMMYFUNCTION("""COMPUTED_VALUE"""),1.022)</f>
        <v>1.022</v>
      </c>
      <c r="E8749" s="16">
        <f>IFERROR(__xludf.DUMMYFUNCTION("""COMPUTED_VALUE"""),61.0)</f>
        <v>61</v>
      </c>
      <c r="F8749" s="19" t="str">
        <f>IFERROR(__xludf.DUMMYFUNCTION("""COMPUTED_VALUE"""),"BLUE")</f>
        <v>BLUE</v>
      </c>
      <c r="G8749" s="20" t="str">
        <f>IFERROR(__xludf.DUMMYFUNCTION("""COMPUTED_VALUE"""),"Uncle Sams Cider (04/04/2023)")</f>
        <v>Uncle Sams Cider (04/04/2023)</v>
      </c>
      <c r="H8749" s="19"/>
    </row>
    <row r="8750">
      <c r="A8750" s="9"/>
      <c r="B8750" s="15"/>
      <c r="C8750" s="9">
        <f>IFERROR(__xludf.DUMMYFUNCTION("""COMPUTED_VALUE"""),45052.2779792592)</f>
        <v>45052.27798</v>
      </c>
      <c r="D8750" s="15">
        <f>IFERROR(__xludf.DUMMYFUNCTION("""COMPUTED_VALUE"""),1.022)</f>
        <v>1.022</v>
      </c>
      <c r="E8750" s="16">
        <f>IFERROR(__xludf.DUMMYFUNCTION("""COMPUTED_VALUE"""),61.0)</f>
        <v>61</v>
      </c>
      <c r="F8750" s="19" t="str">
        <f>IFERROR(__xludf.DUMMYFUNCTION("""COMPUTED_VALUE"""),"BLUE")</f>
        <v>BLUE</v>
      </c>
      <c r="G8750" s="20" t="str">
        <f>IFERROR(__xludf.DUMMYFUNCTION("""COMPUTED_VALUE"""),"Uncle Sams Cider (04/04/2023)")</f>
        <v>Uncle Sams Cider (04/04/2023)</v>
      </c>
      <c r="H8750" s="19"/>
    </row>
    <row r="8751">
      <c r="A8751" s="9"/>
      <c r="B8751" s="15"/>
      <c r="C8751" s="9">
        <f>IFERROR(__xludf.DUMMYFUNCTION("""COMPUTED_VALUE"""),45052.2675567476)</f>
        <v>45052.26756</v>
      </c>
      <c r="D8751" s="15">
        <f>IFERROR(__xludf.DUMMYFUNCTION("""COMPUTED_VALUE"""),1.022)</f>
        <v>1.022</v>
      </c>
      <c r="E8751" s="16">
        <f>IFERROR(__xludf.DUMMYFUNCTION("""COMPUTED_VALUE"""),61.0)</f>
        <v>61</v>
      </c>
      <c r="F8751" s="19" t="str">
        <f>IFERROR(__xludf.DUMMYFUNCTION("""COMPUTED_VALUE"""),"BLUE")</f>
        <v>BLUE</v>
      </c>
      <c r="G8751" s="20" t="str">
        <f>IFERROR(__xludf.DUMMYFUNCTION("""COMPUTED_VALUE"""),"Uncle Sams Cider (04/04/2023)")</f>
        <v>Uncle Sams Cider (04/04/2023)</v>
      </c>
      <c r="H8751" s="19"/>
    </row>
    <row r="8752">
      <c r="A8752" s="9"/>
      <c r="B8752" s="15"/>
      <c r="C8752" s="9">
        <f>IFERROR(__xludf.DUMMYFUNCTION("""COMPUTED_VALUE"""),45052.2571349074)</f>
        <v>45052.25713</v>
      </c>
      <c r="D8752" s="15">
        <f>IFERROR(__xludf.DUMMYFUNCTION("""COMPUTED_VALUE"""),1.022)</f>
        <v>1.022</v>
      </c>
      <c r="E8752" s="16">
        <f>IFERROR(__xludf.DUMMYFUNCTION("""COMPUTED_VALUE"""),61.0)</f>
        <v>61</v>
      </c>
      <c r="F8752" s="19" t="str">
        <f>IFERROR(__xludf.DUMMYFUNCTION("""COMPUTED_VALUE"""),"BLUE")</f>
        <v>BLUE</v>
      </c>
      <c r="G8752" s="20" t="str">
        <f>IFERROR(__xludf.DUMMYFUNCTION("""COMPUTED_VALUE"""),"Uncle Sams Cider (04/04/2023)")</f>
        <v>Uncle Sams Cider (04/04/2023)</v>
      </c>
      <c r="H8752" s="19"/>
    </row>
    <row r="8753">
      <c r="A8753" s="9"/>
      <c r="B8753" s="15"/>
      <c r="C8753" s="9">
        <f>IFERROR(__xludf.DUMMYFUNCTION("""COMPUTED_VALUE"""),45052.246713993)</f>
        <v>45052.24671</v>
      </c>
      <c r="D8753" s="15">
        <f>IFERROR(__xludf.DUMMYFUNCTION("""COMPUTED_VALUE"""),1.022)</f>
        <v>1.022</v>
      </c>
      <c r="E8753" s="16">
        <f>IFERROR(__xludf.DUMMYFUNCTION("""COMPUTED_VALUE"""),61.0)</f>
        <v>61</v>
      </c>
      <c r="F8753" s="19" t="str">
        <f>IFERROR(__xludf.DUMMYFUNCTION("""COMPUTED_VALUE"""),"BLUE")</f>
        <v>BLUE</v>
      </c>
      <c r="G8753" s="20" t="str">
        <f>IFERROR(__xludf.DUMMYFUNCTION("""COMPUTED_VALUE"""),"Uncle Sams Cider (04/04/2023)")</f>
        <v>Uncle Sams Cider (04/04/2023)</v>
      </c>
      <c r="H8753" s="19"/>
    </row>
    <row r="8754">
      <c r="A8754" s="9"/>
      <c r="B8754" s="15"/>
      <c r="C8754" s="9">
        <f>IFERROR(__xludf.DUMMYFUNCTION("""COMPUTED_VALUE"""),45052.2362945717)</f>
        <v>45052.23629</v>
      </c>
      <c r="D8754" s="15">
        <f>IFERROR(__xludf.DUMMYFUNCTION("""COMPUTED_VALUE"""),1.022)</f>
        <v>1.022</v>
      </c>
      <c r="E8754" s="16">
        <f>IFERROR(__xludf.DUMMYFUNCTION("""COMPUTED_VALUE"""),61.0)</f>
        <v>61</v>
      </c>
      <c r="F8754" s="19" t="str">
        <f>IFERROR(__xludf.DUMMYFUNCTION("""COMPUTED_VALUE"""),"BLUE")</f>
        <v>BLUE</v>
      </c>
      <c r="G8754" s="20" t="str">
        <f>IFERROR(__xludf.DUMMYFUNCTION("""COMPUTED_VALUE"""),"Uncle Sams Cider (04/04/2023)")</f>
        <v>Uncle Sams Cider (04/04/2023)</v>
      </c>
      <c r="H8754" s="19"/>
    </row>
    <row r="8755">
      <c r="A8755" s="9"/>
      <c r="B8755" s="15"/>
      <c r="C8755" s="9">
        <f>IFERROR(__xludf.DUMMYFUNCTION("""COMPUTED_VALUE"""),45052.2258725925)</f>
        <v>45052.22587</v>
      </c>
      <c r="D8755" s="15">
        <f>IFERROR(__xludf.DUMMYFUNCTION("""COMPUTED_VALUE"""),1.022)</f>
        <v>1.022</v>
      </c>
      <c r="E8755" s="16">
        <f>IFERROR(__xludf.DUMMYFUNCTION("""COMPUTED_VALUE"""),61.0)</f>
        <v>61</v>
      </c>
      <c r="F8755" s="19" t="str">
        <f>IFERROR(__xludf.DUMMYFUNCTION("""COMPUTED_VALUE"""),"BLUE")</f>
        <v>BLUE</v>
      </c>
      <c r="G8755" s="20" t="str">
        <f>IFERROR(__xludf.DUMMYFUNCTION("""COMPUTED_VALUE"""),"Uncle Sams Cider (04/04/2023)")</f>
        <v>Uncle Sams Cider (04/04/2023)</v>
      </c>
      <c r="H8755" s="19"/>
    </row>
    <row r="8756">
      <c r="A8756" s="9"/>
      <c r="B8756" s="15"/>
      <c r="C8756" s="9">
        <f>IFERROR(__xludf.DUMMYFUNCTION("""COMPUTED_VALUE"""),45052.2154517824)</f>
        <v>45052.21545</v>
      </c>
      <c r="D8756" s="15">
        <f>IFERROR(__xludf.DUMMYFUNCTION("""COMPUTED_VALUE"""),1.022)</f>
        <v>1.022</v>
      </c>
      <c r="E8756" s="16">
        <f>IFERROR(__xludf.DUMMYFUNCTION("""COMPUTED_VALUE"""),61.0)</f>
        <v>61</v>
      </c>
      <c r="F8756" s="19" t="str">
        <f>IFERROR(__xludf.DUMMYFUNCTION("""COMPUTED_VALUE"""),"BLUE")</f>
        <v>BLUE</v>
      </c>
      <c r="G8756" s="20" t="str">
        <f>IFERROR(__xludf.DUMMYFUNCTION("""COMPUTED_VALUE"""),"Uncle Sams Cider (04/04/2023)")</f>
        <v>Uncle Sams Cider (04/04/2023)</v>
      </c>
      <c r="H8756" s="19"/>
    </row>
    <row r="8757">
      <c r="A8757" s="9"/>
      <c r="B8757" s="15"/>
      <c r="C8757" s="9">
        <f>IFERROR(__xludf.DUMMYFUNCTION("""COMPUTED_VALUE"""),45052.2050292361)</f>
        <v>45052.20503</v>
      </c>
      <c r="D8757" s="15">
        <f>IFERROR(__xludf.DUMMYFUNCTION("""COMPUTED_VALUE"""),1.022)</f>
        <v>1.022</v>
      </c>
      <c r="E8757" s="16">
        <f>IFERROR(__xludf.DUMMYFUNCTION("""COMPUTED_VALUE"""),61.0)</f>
        <v>61</v>
      </c>
      <c r="F8757" s="19" t="str">
        <f>IFERROR(__xludf.DUMMYFUNCTION("""COMPUTED_VALUE"""),"BLUE")</f>
        <v>BLUE</v>
      </c>
      <c r="G8757" s="20" t="str">
        <f>IFERROR(__xludf.DUMMYFUNCTION("""COMPUTED_VALUE"""),"Uncle Sams Cider (04/04/2023)")</f>
        <v>Uncle Sams Cider (04/04/2023)</v>
      </c>
      <c r="H8757" s="19"/>
    </row>
    <row r="8758">
      <c r="A8758" s="9"/>
      <c r="B8758" s="15"/>
      <c r="C8758" s="9">
        <f>IFERROR(__xludf.DUMMYFUNCTION("""COMPUTED_VALUE"""),45052.1946080092)</f>
        <v>45052.19461</v>
      </c>
      <c r="D8758" s="15">
        <f>IFERROR(__xludf.DUMMYFUNCTION("""COMPUTED_VALUE"""),1.022)</f>
        <v>1.022</v>
      </c>
      <c r="E8758" s="16">
        <f>IFERROR(__xludf.DUMMYFUNCTION("""COMPUTED_VALUE"""),61.0)</f>
        <v>61</v>
      </c>
      <c r="F8758" s="19" t="str">
        <f>IFERROR(__xludf.DUMMYFUNCTION("""COMPUTED_VALUE"""),"BLUE")</f>
        <v>BLUE</v>
      </c>
      <c r="G8758" s="20" t="str">
        <f>IFERROR(__xludf.DUMMYFUNCTION("""COMPUTED_VALUE"""),"Uncle Sams Cider (04/04/2023)")</f>
        <v>Uncle Sams Cider (04/04/2023)</v>
      </c>
      <c r="H8758" s="19"/>
    </row>
    <row r="8759">
      <c r="A8759" s="9"/>
      <c r="B8759" s="15"/>
      <c r="C8759" s="9">
        <f>IFERROR(__xludf.DUMMYFUNCTION("""COMPUTED_VALUE"""),45052.1841879861)</f>
        <v>45052.18419</v>
      </c>
      <c r="D8759" s="15">
        <f>IFERROR(__xludf.DUMMYFUNCTION("""COMPUTED_VALUE"""),1.022)</f>
        <v>1.022</v>
      </c>
      <c r="E8759" s="16">
        <f>IFERROR(__xludf.DUMMYFUNCTION("""COMPUTED_VALUE"""),61.0)</f>
        <v>61</v>
      </c>
      <c r="F8759" s="19" t="str">
        <f>IFERROR(__xludf.DUMMYFUNCTION("""COMPUTED_VALUE"""),"BLUE")</f>
        <v>BLUE</v>
      </c>
      <c r="G8759" s="20" t="str">
        <f>IFERROR(__xludf.DUMMYFUNCTION("""COMPUTED_VALUE"""),"Uncle Sams Cider (04/04/2023)")</f>
        <v>Uncle Sams Cider (04/04/2023)</v>
      </c>
      <c r="H8759" s="19"/>
    </row>
    <row r="8760">
      <c r="A8760" s="9"/>
      <c r="B8760" s="15"/>
      <c r="C8760" s="9">
        <f>IFERROR(__xludf.DUMMYFUNCTION("""COMPUTED_VALUE"""),45052.1737678356)</f>
        <v>45052.17377</v>
      </c>
      <c r="D8760" s="15">
        <f>IFERROR(__xludf.DUMMYFUNCTION("""COMPUTED_VALUE"""),1.022)</f>
        <v>1.022</v>
      </c>
      <c r="E8760" s="16">
        <f>IFERROR(__xludf.DUMMYFUNCTION("""COMPUTED_VALUE"""),61.0)</f>
        <v>61</v>
      </c>
      <c r="F8760" s="19" t="str">
        <f>IFERROR(__xludf.DUMMYFUNCTION("""COMPUTED_VALUE"""),"BLUE")</f>
        <v>BLUE</v>
      </c>
      <c r="G8760" s="20" t="str">
        <f>IFERROR(__xludf.DUMMYFUNCTION("""COMPUTED_VALUE"""),"Uncle Sams Cider (04/04/2023)")</f>
        <v>Uncle Sams Cider (04/04/2023)</v>
      </c>
      <c r="H8760" s="19"/>
    </row>
    <row r="8761">
      <c r="A8761" s="9"/>
      <c r="B8761" s="15"/>
      <c r="C8761" s="9">
        <f>IFERROR(__xludf.DUMMYFUNCTION("""COMPUTED_VALUE"""),45052.1633466319)</f>
        <v>45052.16335</v>
      </c>
      <c r="D8761" s="15">
        <f>IFERROR(__xludf.DUMMYFUNCTION("""COMPUTED_VALUE"""),1.022)</f>
        <v>1.022</v>
      </c>
      <c r="E8761" s="16">
        <f>IFERROR(__xludf.DUMMYFUNCTION("""COMPUTED_VALUE"""),61.0)</f>
        <v>61</v>
      </c>
      <c r="F8761" s="19" t="str">
        <f>IFERROR(__xludf.DUMMYFUNCTION("""COMPUTED_VALUE"""),"BLUE")</f>
        <v>BLUE</v>
      </c>
      <c r="G8761" s="20" t="str">
        <f>IFERROR(__xludf.DUMMYFUNCTION("""COMPUTED_VALUE"""),"Uncle Sams Cider (04/04/2023)")</f>
        <v>Uncle Sams Cider (04/04/2023)</v>
      </c>
      <c r="H8761" s="19"/>
    </row>
    <row r="8762">
      <c r="A8762" s="9"/>
      <c r="B8762" s="15"/>
      <c r="C8762" s="9">
        <f>IFERROR(__xludf.DUMMYFUNCTION("""COMPUTED_VALUE"""),45052.1529251967)</f>
        <v>45052.15293</v>
      </c>
      <c r="D8762" s="15">
        <f>IFERROR(__xludf.DUMMYFUNCTION("""COMPUTED_VALUE"""),1.022)</f>
        <v>1.022</v>
      </c>
      <c r="E8762" s="16">
        <f>IFERROR(__xludf.DUMMYFUNCTION("""COMPUTED_VALUE"""),61.0)</f>
        <v>61</v>
      </c>
      <c r="F8762" s="19" t="str">
        <f>IFERROR(__xludf.DUMMYFUNCTION("""COMPUTED_VALUE"""),"BLUE")</f>
        <v>BLUE</v>
      </c>
      <c r="G8762" s="20" t="str">
        <f>IFERROR(__xludf.DUMMYFUNCTION("""COMPUTED_VALUE"""),"Uncle Sams Cider (04/04/2023)")</f>
        <v>Uncle Sams Cider (04/04/2023)</v>
      </c>
      <c r="H8762" s="19"/>
    </row>
    <row r="8763">
      <c r="A8763" s="9"/>
      <c r="B8763" s="15"/>
      <c r="C8763" s="9">
        <f>IFERROR(__xludf.DUMMYFUNCTION("""COMPUTED_VALUE"""),45052.1424918634)</f>
        <v>45052.14249</v>
      </c>
      <c r="D8763" s="15">
        <f>IFERROR(__xludf.DUMMYFUNCTION("""COMPUTED_VALUE"""),1.022)</f>
        <v>1.022</v>
      </c>
      <c r="E8763" s="16">
        <f>IFERROR(__xludf.DUMMYFUNCTION("""COMPUTED_VALUE"""),61.0)</f>
        <v>61</v>
      </c>
      <c r="F8763" s="19" t="str">
        <f>IFERROR(__xludf.DUMMYFUNCTION("""COMPUTED_VALUE"""),"BLUE")</f>
        <v>BLUE</v>
      </c>
      <c r="G8763" s="20" t="str">
        <f>IFERROR(__xludf.DUMMYFUNCTION("""COMPUTED_VALUE"""),"Uncle Sams Cider (04/04/2023)")</f>
        <v>Uncle Sams Cider (04/04/2023)</v>
      </c>
      <c r="H8763" s="19"/>
    </row>
    <row r="8764">
      <c r="A8764" s="9"/>
      <c r="B8764" s="15"/>
      <c r="C8764" s="9">
        <f>IFERROR(__xludf.DUMMYFUNCTION("""COMPUTED_VALUE"""),45052.1320700694)</f>
        <v>45052.13207</v>
      </c>
      <c r="D8764" s="15">
        <f>IFERROR(__xludf.DUMMYFUNCTION("""COMPUTED_VALUE"""),1.022)</f>
        <v>1.022</v>
      </c>
      <c r="E8764" s="16">
        <f>IFERROR(__xludf.DUMMYFUNCTION("""COMPUTED_VALUE"""),61.0)</f>
        <v>61</v>
      </c>
      <c r="F8764" s="19" t="str">
        <f>IFERROR(__xludf.DUMMYFUNCTION("""COMPUTED_VALUE"""),"BLUE")</f>
        <v>BLUE</v>
      </c>
      <c r="G8764" s="20" t="str">
        <f>IFERROR(__xludf.DUMMYFUNCTION("""COMPUTED_VALUE"""),"Uncle Sams Cider (04/04/2023)")</f>
        <v>Uncle Sams Cider (04/04/2023)</v>
      </c>
      <c r="H8764" s="19"/>
    </row>
    <row r="8765">
      <c r="A8765" s="9"/>
      <c r="B8765" s="15"/>
      <c r="C8765" s="9">
        <f>IFERROR(__xludf.DUMMYFUNCTION("""COMPUTED_VALUE"""),45052.1216480324)</f>
        <v>45052.12165</v>
      </c>
      <c r="D8765" s="15">
        <f>IFERROR(__xludf.DUMMYFUNCTION("""COMPUTED_VALUE"""),1.022)</f>
        <v>1.022</v>
      </c>
      <c r="E8765" s="16">
        <f>IFERROR(__xludf.DUMMYFUNCTION("""COMPUTED_VALUE"""),61.0)</f>
        <v>61</v>
      </c>
      <c r="F8765" s="19" t="str">
        <f>IFERROR(__xludf.DUMMYFUNCTION("""COMPUTED_VALUE"""),"BLUE")</f>
        <v>BLUE</v>
      </c>
      <c r="G8765" s="20" t="str">
        <f>IFERROR(__xludf.DUMMYFUNCTION("""COMPUTED_VALUE"""),"Uncle Sams Cider (04/04/2023)")</f>
        <v>Uncle Sams Cider (04/04/2023)</v>
      </c>
      <c r="H8765" s="19"/>
    </row>
    <row r="8766">
      <c r="A8766" s="9"/>
      <c r="B8766" s="15"/>
      <c r="C8766" s="9">
        <f>IFERROR(__xludf.DUMMYFUNCTION("""COMPUTED_VALUE"""),45052.1112274189)</f>
        <v>45052.11123</v>
      </c>
      <c r="D8766" s="15">
        <f>IFERROR(__xludf.DUMMYFUNCTION("""COMPUTED_VALUE"""),1.022)</f>
        <v>1.022</v>
      </c>
      <c r="E8766" s="16">
        <f>IFERROR(__xludf.DUMMYFUNCTION("""COMPUTED_VALUE"""),61.0)</f>
        <v>61</v>
      </c>
      <c r="F8766" s="19" t="str">
        <f>IFERROR(__xludf.DUMMYFUNCTION("""COMPUTED_VALUE"""),"BLUE")</f>
        <v>BLUE</v>
      </c>
      <c r="G8766" s="20" t="str">
        <f>IFERROR(__xludf.DUMMYFUNCTION("""COMPUTED_VALUE"""),"Uncle Sams Cider (04/04/2023)")</f>
        <v>Uncle Sams Cider (04/04/2023)</v>
      </c>
      <c r="H8766" s="19"/>
    </row>
    <row r="8767">
      <c r="A8767" s="9"/>
      <c r="B8767" s="15"/>
      <c r="C8767" s="9">
        <f>IFERROR(__xludf.DUMMYFUNCTION("""COMPUTED_VALUE"""),45052.1007959837)</f>
        <v>45052.1008</v>
      </c>
      <c r="D8767" s="15">
        <f>IFERROR(__xludf.DUMMYFUNCTION("""COMPUTED_VALUE"""),1.022)</f>
        <v>1.022</v>
      </c>
      <c r="E8767" s="16">
        <f>IFERROR(__xludf.DUMMYFUNCTION("""COMPUTED_VALUE"""),61.0)</f>
        <v>61</v>
      </c>
      <c r="F8767" s="19" t="str">
        <f>IFERROR(__xludf.DUMMYFUNCTION("""COMPUTED_VALUE"""),"BLUE")</f>
        <v>BLUE</v>
      </c>
      <c r="G8767" s="20" t="str">
        <f>IFERROR(__xludf.DUMMYFUNCTION("""COMPUTED_VALUE"""),"Uncle Sams Cider (04/04/2023)")</f>
        <v>Uncle Sams Cider (04/04/2023)</v>
      </c>
      <c r="H8767" s="19"/>
    </row>
    <row r="8768">
      <c r="A8768" s="9"/>
      <c r="B8768" s="15"/>
      <c r="C8768" s="9">
        <f>IFERROR(__xludf.DUMMYFUNCTION("""COMPUTED_VALUE"""),45052.0903720138)</f>
        <v>45052.09037</v>
      </c>
      <c r="D8768" s="15">
        <f>IFERROR(__xludf.DUMMYFUNCTION("""COMPUTED_VALUE"""),1.022)</f>
        <v>1.022</v>
      </c>
      <c r="E8768" s="16">
        <f>IFERROR(__xludf.DUMMYFUNCTION("""COMPUTED_VALUE"""),61.0)</f>
        <v>61</v>
      </c>
      <c r="F8768" s="19" t="str">
        <f>IFERROR(__xludf.DUMMYFUNCTION("""COMPUTED_VALUE"""),"BLUE")</f>
        <v>BLUE</v>
      </c>
      <c r="G8768" s="20" t="str">
        <f>IFERROR(__xludf.DUMMYFUNCTION("""COMPUTED_VALUE"""),"Uncle Sams Cider (04/04/2023)")</f>
        <v>Uncle Sams Cider (04/04/2023)</v>
      </c>
      <c r="H8768" s="19"/>
    </row>
    <row r="8769">
      <c r="A8769" s="9"/>
      <c r="B8769" s="15"/>
      <c r="C8769" s="9">
        <f>IFERROR(__xludf.DUMMYFUNCTION("""COMPUTED_VALUE"""),45052.0799493634)</f>
        <v>45052.07995</v>
      </c>
      <c r="D8769" s="15">
        <f>IFERROR(__xludf.DUMMYFUNCTION("""COMPUTED_VALUE"""),1.022)</f>
        <v>1.022</v>
      </c>
      <c r="E8769" s="16">
        <f>IFERROR(__xludf.DUMMYFUNCTION("""COMPUTED_VALUE"""),61.0)</f>
        <v>61</v>
      </c>
      <c r="F8769" s="19" t="str">
        <f>IFERROR(__xludf.DUMMYFUNCTION("""COMPUTED_VALUE"""),"BLUE")</f>
        <v>BLUE</v>
      </c>
      <c r="G8769" s="20" t="str">
        <f>IFERROR(__xludf.DUMMYFUNCTION("""COMPUTED_VALUE"""),"Uncle Sams Cider (04/04/2023)")</f>
        <v>Uncle Sams Cider (04/04/2023)</v>
      </c>
      <c r="H8769" s="19"/>
    </row>
    <row r="8770">
      <c r="A8770" s="9"/>
      <c r="B8770" s="15"/>
      <c r="C8770" s="9">
        <f>IFERROR(__xludf.DUMMYFUNCTION("""COMPUTED_VALUE"""),45052.0695279398)</f>
        <v>45052.06953</v>
      </c>
      <c r="D8770" s="15">
        <f>IFERROR(__xludf.DUMMYFUNCTION("""COMPUTED_VALUE"""),1.022)</f>
        <v>1.022</v>
      </c>
      <c r="E8770" s="16">
        <f>IFERROR(__xludf.DUMMYFUNCTION("""COMPUTED_VALUE"""),61.0)</f>
        <v>61</v>
      </c>
      <c r="F8770" s="19" t="str">
        <f>IFERROR(__xludf.DUMMYFUNCTION("""COMPUTED_VALUE"""),"BLUE")</f>
        <v>BLUE</v>
      </c>
      <c r="G8770" s="20" t="str">
        <f>IFERROR(__xludf.DUMMYFUNCTION("""COMPUTED_VALUE"""),"Uncle Sams Cider (04/04/2023)")</f>
        <v>Uncle Sams Cider (04/04/2023)</v>
      </c>
      <c r="H8770" s="19"/>
    </row>
    <row r="8771">
      <c r="A8771" s="9"/>
      <c r="B8771" s="15"/>
      <c r="C8771" s="9">
        <f>IFERROR(__xludf.DUMMYFUNCTION("""COMPUTED_VALUE"""),45052.0590844791)</f>
        <v>45052.05908</v>
      </c>
      <c r="D8771" s="15">
        <f>IFERROR(__xludf.DUMMYFUNCTION("""COMPUTED_VALUE"""),1.022)</f>
        <v>1.022</v>
      </c>
      <c r="E8771" s="16">
        <f>IFERROR(__xludf.DUMMYFUNCTION("""COMPUTED_VALUE"""),61.0)</f>
        <v>61</v>
      </c>
      <c r="F8771" s="19" t="str">
        <f>IFERROR(__xludf.DUMMYFUNCTION("""COMPUTED_VALUE"""),"BLUE")</f>
        <v>BLUE</v>
      </c>
      <c r="G8771" s="20" t="str">
        <f>IFERROR(__xludf.DUMMYFUNCTION("""COMPUTED_VALUE"""),"Uncle Sams Cider (04/04/2023)")</f>
        <v>Uncle Sams Cider (04/04/2023)</v>
      </c>
      <c r="H8771" s="19"/>
    </row>
    <row r="8772">
      <c r="A8772" s="9"/>
      <c r="B8772" s="15"/>
      <c r="C8772" s="9">
        <f>IFERROR(__xludf.DUMMYFUNCTION("""COMPUTED_VALUE"""),45052.0486526388)</f>
        <v>45052.04865</v>
      </c>
      <c r="D8772" s="15">
        <f>IFERROR(__xludf.DUMMYFUNCTION("""COMPUTED_VALUE"""),1.022)</f>
        <v>1.022</v>
      </c>
      <c r="E8772" s="16">
        <f>IFERROR(__xludf.DUMMYFUNCTION("""COMPUTED_VALUE"""),61.0)</f>
        <v>61</v>
      </c>
      <c r="F8772" s="19" t="str">
        <f>IFERROR(__xludf.DUMMYFUNCTION("""COMPUTED_VALUE"""),"BLUE")</f>
        <v>BLUE</v>
      </c>
      <c r="G8772" s="20" t="str">
        <f>IFERROR(__xludf.DUMMYFUNCTION("""COMPUTED_VALUE"""),"Uncle Sams Cider (04/04/2023)")</f>
        <v>Uncle Sams Cider (04/04/2023)</v>
      </c>
      <c r="H8772" s="19"/>
    </row>
    <row r="8773">
      <c r="A8773" s="9"/>
      <c r="B8773" s="15"/>
      <c r="C8773" s="9">
        <f>IFERROR(__xludf.DUMMYFUNCTION("""COMPUTED_VALUE"""),45052.0382304166)</f>
        <v>45052.03823</v>
      </c>
      <c r="D8773" s="15">
        <f>IFERROR(__xludf.DUMMYFUNCTION("""COMPUTED_VALUE"""),1.022)</f>
        <v>1.022</v>
      </c>
      <c r="E8773" s="16">
        <f>IFERROR(__xludf.DUMMYFUNCTION("""COMPUTED_VALUE"""),61.0)</f>
        <v>61</v>
      </c>
      <c r="F8773" s="19" t="str">
        <f>IFERROR(__xludf.DUMMYFUNCTION("""COMPUTED_VALUE"""),"BLUE")</f>
        <v>BLUE</v>
      </c>
      <c r="G8773" s="20" t="str">
        <f>IFERROR(__xludf.DUMMYFUNCTION("""COMPUTED_VALUE"""),"Uncle Sams Cider (04/04/2023)")</f>
        <v>Uncle Sams Cider (04/04/2023)</v>
      </c>
      <c r="H8773" s="19"/>
    </row>
    <row r="8774">
      <c r="A8774" s="9"/>
      <c r="B8774" s="15"/>
      <c r="C8774" s="9">
        <f>IFERROR(__xludf.DUMMYFUNCTION("""COMPUTED_VALUE"""),45052.0277973379)</f>
        <v>45052.0278</v>
      </c>
      <c r="D8774" s="15">
        <f>IFERROR(__xludf.DUMMYFUNCTION("""COMPUTED_VALUE"""),1.022)</f>
        <v>1.022</v>
      </c>
      <c r="E8774" s="16">
        <f>IFERROR(__xludf.DUMMYFUNCTION("""COMPUTED_VALUE"""),61.0)</f>
        <v>61</v>
      </c>
      <c r="F8774" s="19" t="str">
        <f>IFERROR(__xludf.DUMMYFUNCTION("""COMPUTED_VALUE"""),"BLUE")</f>
        <v>BLUE</v>
      </c>
      <c r="G8774" s="20" t="str">
        <f>IFERROR(__xludf.DUMMYFUNCTION("""COMPUTED_VALUE"""),"Uncle Sams Cider (04/04/2023)")</f>
        <v>Uncle Sams Cider (04/04/2023)</v>
      </c>
      <c r="H8774" s="19"/>
    </row>
    <row r="8775">
      <c r="A8775" s="9"/>
      <c r="B8775" s="15"/>
      <c r="C8775" s="9">
        <f>IFERROR(__xludf.DUMMYFUNCTION("""COMPUTED_VALUE"""),45052.0173648611)</f>
        <v>45052.01736</v>
      </c>
      <c r="D8775" s="15">
        <f>IFERROR(__xludf.DUMMYFUNCTION("""COMPUTED_VALUE"""),1.022)</f>
        <v>1.022</v>
      </c>
      <c r="E8775" s="16">
        <f>IFERROR(__xludf.DUMMYFUNCTION("""COMPUTED_VALUE"""),61.0)</f>
        <v>61</v>
      </c>
      <c r="F8775" s="19" t="str">
        <f>IFERROR(__xludf.DUMMYFUNCTION("""COMPUTED_VALUE"""),"BLUE")</f>
        <v>BLUE</v>
      </c>
      <c r="G8775" s="20" t="str">
        <f>IFERROR(__xludf.DUMMYFUNCTION("""COMPUTED_VALUE"""),"Uncle Sams Cider (04/04/2023)")</f>
        <v>Uncle Sams Cider (04/04/2023)</v>
      </c>
      <c r="H8775" s="19"/>
    </row>
    <row r="8776">
      <c r="A8776" s="9"/>
      <c r="B8776" s="15"/>
      <c r="C8776" s="9">
        <f>IFERROR(__xludf.DUMMYFUNCTION("""COMPUTED_VALUE"""),45052.0069296759)</f>
        <v>45052.00693</v>
      </c>
      <c r="D8776" s="15">
        <f>IFERROR(__xludf.DUMMYFUNCTION("""COMPUTED_VALUE"""),1.022)</f>
        <v>1.022</v>
      </c>
      <c r="E8776" s="16">
        <f>IFERROR(__xludf.DUMMYFUNCTION("""COMPUTED_VALUE"""),61.0)</f>
        <v>61</v>
      </c>
      <c r="F8776" s="19" t="str">
        <f>IFERROR(__xludf.DUMMYFUNCTION("""COMPUTED_VALUE"""),"BLUE")</f>
        <v>BLUE</v>
      </c>
      <c r="G8776" s="20" t="str">
        <f>IFERROR(__xludf.DUMMYFUNCTION("""COMPUTED_VALUE"""),"Uncle Sams Cider (04/04/2023)")</f>
        <v>Uncle Sams Cider (04/04/2023)</v>
      </c>
      <c r="H8776" s="19"/>
    </row>
    <row r="8777">
      <c r="A8777" s="9"/>
      <c r="B8777" s="15"/>
      <c r="C8777" s="9">
        <f>IFERROR(__xludf.DUMMYFUNCTION("""COMPUTED_VALUE"""),45051.9965076273)</f>
        <v>45051.99651</v>
      </c>
      <c r="D8777" s="15">
        <f>IFERROR(__xludf.DUMMYFUNCTION("""COMPUTED_VALUE"""),1.022)</f>
        <v>1.022</v>
      </c>
      <c r="E8777" s="16">
        <f>IFERROR(__xludf.DUMMYFUNCTION("""COMPUTED_VALUE"""),61.0)</f>
        <v>61</v>
      </c>
      <c r="F8777" s="19" t="str">
        <f>IFERROR(__xludf.DUMMYFUNCTION("""COMPUTED_VALUE"""),"BLUE")</f>
        <v>BLUE</v>
      </c>
      <c r="G8777" s="20" t="str">
        <f>IFERROR(__xludf.DUMMYFUNCTION("""COMPUTED_VALUE"""),"Uncle Sams Cider (04/04/2023)")</f>
        <v>Uncle Sams Cider (04/04/2023)</v>
      </c>
      <c r="H8777" s="19"/>
    </row>
    <row r="8778">
      <c r="A8778" s="9"/>
      <c r="B8778" s="15"/>
      <c r="C8778" s="9">
        <f>IFERROR(__xludf.DUMMYFUNCTION("""COMPUTED_VALUE"""),45051.9860883333)</f>
        <v>45051.98609</v>
      </c>
      <c r="D8778" s="15">
        <f>IFERROR(__xludf.DUMMYFUNCTION("""COMPUTED_VALUE"""),1.022)</f>
        <v>1.022</v>
      </c>
      <c r="E8778" s="16">
        <f>IFERROR(__xludf.DUMMYFUNCTION("""COMPUTED_VALUE"""),61.0)</f>
        <v>61</v>
      </c>
      <c r="F8778" s="19" t="str">
        <f>IFERROR(__xludf.DUMMYFUNCTION("""COMPUTED_VALUE"""),"BLUE")</f>
        <v>BLUE</v>
      </c>
      <c r="G8778" s="20" t="str">
        <f>IFERROR(__xludf.DUMMYFUNCTION("""COMPUTED_VALUE"""),"Uncle Sams Cider (04/04/2023)")</f>
        <v>Uncle Sams Cider (04/04/2023)</v>
      </c>
      <c r="H8778" s="19"/>
    </row>
    <row r="8779">
      <c r="A8779" s="9"/>
      <c r="B8779" s="15"/>
      <c r="C8779" s="9">
        <f>IFERROR(__xludf.DUMMYFUNCTION("""COMPUTED_VALUE"""),45051.9756660532)</f>
        <v>45051.97567</v>
      </c>
      <c r="D8779" s="15">
        <f>IFERROR(__xludf.DUMMYFUNCTION("""COMPUTED_VALUE"""),1.022)</f>
        <v>1.022</v>
      </c>
      <c r="E8779" s="16">
        <f>IFERROR(__xludf.DUMMYFUNCTION("""COMPUTED_VALUE"""),61.0)</f>
        <v>61</v>
      </c>
      <c r="F8779" s="19" t="str">
        <f>IFERROR(__xludf.DUMMYFUNCTION("""COMPUTED_VALUE"""),"BLUE")</f>
        <v>BLUE</v>
      </c>
      <c r="G8779" s="20" t="str">
        <f>IFERROR(__xludf.DUMMYFUNCTION("""COMPUTED_VALUE"""),"Uncle Sams Cider (04/04/2023)")</f>
        <v>Uncle Sams Cider (04/04/2023)</v>
      </c>
      <c r="H8779" s="19"/>
    </row>
    <row r="8780">
      <c r="A8780" s="9"/>
      <c r="B8780" s="15"/>
      <c r="C8780" s="9">
        <f>IFERROR(__xludf.DUMMYFUNCTION("""COMPUTED_VALUE"""),45051.9652474884)</f>
        <v>45051.96525</v>
      </c>
      <c r="D8780" s="15">
        <f>IFERROR(__xludf.DUMMYFUNCTION("""COMPUTED_VALUE"""),1.022)</f>
        <v>1.022</v>
      </c>
      <c r="E8780" s="16">
        <f>IFERROR(__xludf.DUMMYFUNCTION("""COMPUTED_VALUE"""),61.0)</f>
        <v>61</v>
      </c>
      <c r="F8780" s="19" t="str">
        <f>IFERROR(__xludf.DUMMYFUNCTION("""COMPUTED_VALUE"""),"BLUE")</f>
        <v>BLUE</v>
      </c>
      <c r="G8780" s="20" t="str">
        <f>IFERROR(__xludf.DUMMYFUNCTION("""COMPUTED_VALUE"""),"Uncle Sams Cider (04/04/2023)")</f>
        <v>Uncle Sams Cider (04/04/2023)</v>
      </c>
      <c r="H8780" s="19"/>
    </row>
    <row r="8781">
      <c r="A8781" s="9"/>
      <c r="B8781" s="15"/>
      <c r="C8781" s="9">
        <f>IFERROR(__xludf.DUMMYFUNCTION("""COMPUTED_VALUE"""),45051.9548268287)</f>
        <v>45051.95483</v>
      </c>
      <c r="D8781" s="15">
        <f>IFERROR(__xludf.DUMMYFUNCTION("""COMPUTED_VALUE"""),1.022)</f>
        <v>1.022</v>
      </c>
      <c r="E8781" s="16">
        <f>IFERROR(__xludf.DUMMYFUNCTION("""COMPUTED_VALUE"""),61.0)</f>
        <v>61</v>
      </c>
      <c r="F8781" s="19" t="str">
        <f>IFERROR(__xludf.DUMMYFUNCTION("""COMPUTED_VALUE"""),"BLUE")</f>
        <v>BLUE</v>
      </c>
      <c r="G8781" s="20" t="str">
        <f>IFERROR(__xludf.DUMMYFUNCTION("""COMPUTED_VALUE"""),"Uncle Sams Cider (04/04/2023)")</f>
        <v>Uncle Sams Cider (04/04/2023)</v>
      </c>
      <c r="H8781" s="19"/>
    </row>
    <row r="8782">
      <c r="A8782" s="9"/>
      <c r="B8782" s="15"/>
      <c r="C8782" s="9">
        <f>IFERROR(__xludf.DUMMYFUNCTION("""COMPUTED_VALUE"""),45051.9444051967)</f>
        <v>45051.94441</v>
      </c>
      <c r="D8782" s="15">
        <f>IFERROR(__xludf.DUMMYFUNCTION("""COMPUTED_VALUE"""),1.022)</f>
        <v>1.022</v>
      </c>
      <c r="E8782" s="16">
        <f>IFERROR(__xludf.DUMMYFUNCTION("""COMPUTED_VALUE"""),61.0)</f>
        <v>61</v>
      </c>
      <c r="F8782" s="19" t="str">
        <f>IFERROR(__xludf.DUMMYFUNCTION("""COMPUTED_VALUE"""),"BLUE")</f>
        <v>BLUE</v>
      </c>
      <c r="G8782" s="20" t="str">
        <f>IFERROR(__xludf.DUMMYFUNCTION("""COMPUTED_VALUE"""),"Uncle Sams Cider (04/04/2023)")</f>
        <v>Uncle Sams Cider (04/04/2023)</v>
      </c>
      <c r="H8782" s="19"/>
    </row>
    <row r="8783">
      <c r="A8783" s="9"/>
      <c r="B8783" s="15"/>
      <c r="C8783" s="9">
        <f>IFERROR(__xludf.DUMMYFUNCTION("""COMPUTED_VALUE"""),45051.9339841203)</f>
        <v>45051.93398</v>
      </c>
      <c r="D8783" s="15">
        <f>IFERROR(__xludf.DUMMYFUNCTION("""COMPUTED_VALUE"""),1.022)</f>
        <v>1.022</v>
      </c>
      <c r="E8783" s="16">
        <f>IFERROR(__xludf.DUMMYFUNCTION("""COMPUTED_VALUE"""),61.0)</f>
        <v>61</v>
      </c>
      <c r="F8783" s="19" t="str">
        <f>IFERROR(__xludf.DUMMYFUNCTION("""COMPUTED_VALUE"""),"BLUE")</f>
        <v>BLUE</v>
      </c>
      <c r="G8783" s="20" t="str">
        <f>IFERROR(__xludf.DUMMYFUNCTION("""COMPUTED_VALUE"""),"Uncle Sams Cider (04/04/2023)")</f>
        <v>Uncle Sams Cider (04/04/2023)</v>
      </c>
      <c r="H8783" s="19"/>
    </row>
    <row r="8784">
      <c r="A8784" s="9"/>
      <c r="B8784" s="15"/>
      <c r="C8784" s="9">
        <f>IFERROR(__xludf.DUMMYFUNCTION("""COMPUTED_VALUE"""),45051.9235637268)</f>
        <v>45051.92356</v>
      </c>
      <c r="D8784" s="15">
        <f>IFERROR(__xludf.DUMMYFUNCTION("""COMPUTED_VALUE"""),1.022)</f>
        <v>1.022</v>
      </c>
      <c r="E8784" s="16">
        <f>IFERROR(__xludf.DUMMYFUNCTION("""COMPUTED_VALUE"""),61.0)</f>
        <v>61</v>
      </c>
      <c r="F8784" s="19" t="str">
        <f>IFERROR(__xludf.DUMMYFUNCTION("""COMPUTED_VALUE"""),"BLUE")</f>
        <v>BLUE</v>
      </c>
      <c r="G8784" s="20" t="str">
        <f>IFERROR(__xludf.DUMMYFUNCTION("""COMPUTED_VALUE"""),"Uncle Sams Cider (04/04/2023)")</f>
        <v>Uncle Sams Cider (04/04/2023)</v>
      </c>
      <c r="H8784" s="19"/>
    </row>
    <row r="8785">
      <c r="A8785" s="9"/>
      <c r="B8785" s="15"/>
      <c r="C8785" s="9">
        <f>IFERROR(__xludf.DUMMYFUNCTION("""COMPUTED_VALUE"""),45051.9131320949)</f>
        <v>45051.91313</v>
      </c>
      <c r="D8785" s="15">
        <f>IFERROR(__xludf.DUMMYFUNCTION("""COMPUTED_VALUE"""),1.022)</f>
        <v>1.022</v>
      </c>
      <c r="E8785" s="16">
        <f>IFERROR(__xludf.DUMMYFUNCTION("""COMPUTED_VALUE"""),61.0)</f>
        <v>61</v>
      </c>
      <c r="F8785" s="19" t="str">
        <f>IFERROR(__xludf.DUMMYFUNCTION("""COMPUTED_VALUE"""),"BLUE")</f>
        <v>BLUE</v>
      </c>
      <c r="G8785" s="20" t="str">
        <f>IFERROR(__xludf.DUMMYFUNCTION("""COMPUTED_VALUE"""),"Uncle Sams Cider (04/04/2023)")</f>
        <v>Uncle Sams Cider (04/04/2023)</v>
      </c>
      <c r="H8785" s="19"/>
    </row>
    <row r="8786">
      <c r="A8786" s="9"/>
      <c r="B8786" s="15"/>
      <c r="C8786" s="9">
        <f>IFERROR(__xludf.DUMMYFUNCTION("""COMPUTED_VALUE"""),45051.9027119675)</f>
        <v>45051.90271</v>
      </c>
      <c r="D8786" s="15">
        <f>IFERROR(__xludf.DUMMYFUNCTION("""COMPUTED_VALUE"""),1.022)</f>
        <v>1.022</v>
      </c>
      <c r="E8786" s="16">
        <f>IFERROR(__xludf.DUMMYFUNCTION("""COMPUTED_VALUE"""),61.0)</f>
        <v>61</v>
      </c>
      <c r="F8786" s="19" t="str">
        <f>IFERROR(__xludf.DUMMYFUNCTION("""COMPUTED_VALUE"""),"BLUE")</f>
        <v>BLUE</v>
      </c>
      <c r="G8786" s="20" t="str">
        <f>IFERROR(__xludf.DUMMYFUNCTION("""COMPUTED_VALUE"""),"Uncle Sams Cider (04/04/2023)")</f>
        <v>Uncle Sams Cider (04/04/2023)</v>
      </c>
      <c r="H8786" s="19"/>
    </row>
    <row r="8787">
      <c r="A8787" s="9"/>
      <c r="B8787" s="15"/>
      <c r="C8787" s="9">
        <f>IFERROR(__xludf.DUMMYFUNCTION("""COMPUTED_VALUE"""),45051.8922905671)</f>
        <v>45051.89229</v>
      </c>
      <c r="D8787" s="15">
        <f>IFERROR(__xludf.DUMMYFUNCTION("""COMPUTED_VALUE"""),1.022)</f>
        <v>1.022</v>
      </c>
      <c r="E8787" s="16">
        <f>IFERROR(__xludf.DUMMYFUNCTION("""COMPUTED_VALUE"""),61.0)</f>
        <v>61</v>
      </c>
      <c r="F8787" s="19" t="str">
        <f>IFERROR(__xludf.DUMMYFUNCTION("""COMPUTED_VALUE"""),"BLUE")</f>
        <v>BLUE</v>
      </c>
      <c r="G8787" s="20" t="str">
        <f>IFERROR(__xludf.DUMMYFUNCTION("""COMPUTED_VALUE"""),"Uncle Sams Cider (04/04/2023)")</f>
        <v>Uncle Sams Cider (04/04/2023)</v>
      </c>
      <c r="H8787" s="19"/>
    </row>
    <row r="8788">
      <c r="A8788" s="9"/>
      <c r="B8788" s="15"/>
      <c r="C8788" s="9">
        <f>IFERROR(__xludf.DUMMYFUNCTION("""COMPUTED_VALUE"""),45051.8818465625)</f>
        <v>45051.88185</v>
      </c>
      <c r="D8788" s="15">
        <f>IFERROR(__xludf.DUMMYFUNCTION("""COMPUTED_VALUE"""),1.022)</f>
        <v>1.022</v>
      </c>
      <c r="E8788" s="16">
        <f>IFERROR(__xludf.DUMMYFUNCTION("""COMPUTED_VALUE"""),61.0)</f>
        <v>61</v>
      </c>
      <c r="F8788" s="19" t="str">
        <f>IFERROR(__xludf.DUMMYFUNCTION("""COMPUTED_VALUE"""),"BLUE")</f>
        <v>BLUE</v>
      </c>
      <c r="G8788" s="20" t="str">
        <f>IFERROR(__xludf.DUMMYFUNCTION("""COMPUTED_VALUE"""),"Uncle Sams Cider (04/04/2023)")</f>
        <v>Uncle Sams Cider (04/04/2023)</v>
      </c>
      <c r="H8788" s="19"/>
    </row>
    <row r="8789">
      <c r="A8789" s="9"/>
      <c r="B8789" s="15"/>
      <c r="C8789" s="9">
        <f>IFERROR(__xludf.DUMMYFUNCTION("""COMPUTED_VALUE"""),45051.8714261921)</f>
        <v>45051.87143</v>
      </c>
      <c r="D8789" s="15">
        <f>IFERROR(__xludf.DUMMYFUNCTION("""COMPUTED_VALUE"""),1.022)</f>
        <v>1.022</v>
      </c>
      <c r="E8789" s="16">
        <f>IFERROR(__xludf.DUMMYFUNCTION("""COMPUTED_VALUE"""),61.0)</f>
        <v>61</v>
      </c>
      <c r="F8789" s="19" t="str">
        <f>IFERROR(__xludf.DUMMYFUNCTION("""COMPUTED_VALUE"""),"BLUE")</f>
        <v>BLUE</v>
      </c>
      <c r="G8789" s="20" t="str">
        <f>IFERROR(__xludf.DUMMYFUNCTION("""COMPUTED_VALUE"""),"Uncle Sams Cider (04/04/2023)")</f>
        <v>Uncle Sams Cider (04/04/2023)</v>
      </c>
      <c r="H8789" s="19"/>
    </row>
    <row r="8790">
      <c r="A8790" s="9"/>
      <c r="B8790" s="15"/>
      <c r="C8790" s="9">
        <f>IFERROR(__xludf.DUMMYFUNCTION("""COMPUTED_VALUE"""),45051.8609932523)</f>
        <v>45051.86099</v>
      </c>
      <c r="D8790" s="15">
        <f>IFERROR(__xludf.DUMMYFUNCTION("""COMPUTED_VALUE"""),1.022)</f>
        <v>1.022</v>
      </c>
      <c r="E8790" s="16">
        <f>IFERROR(__xludf.DUMMYFUNCTION("""COMPUTED_VALUE"""),61.0)</f>
        <v>61</v>
      </c>
      <c r="F8790" s="19" t="str">
        <f>IFERROR(__xludf.DUMMYFUNCTION("""COMPUTED_VALUE"""),"BLUE")</f>
        <v>BLUE</v>
      </c>
      <c r="G8790" s="20" t="str">
        <f>IFERROR(__xludf.DUMMYFUNCTION("""COMPUTED_VALUE"""),"Uncle Sams Cider (04/04/2023)")</f>
        <v>Uncle Sams Cider (04/04/2023)</v>
      </c>
      <c r="H8790" s="19"/>
    </row>
    <row r="8791">
      <c r="A8791" s="9"/>
      <c r="B8791" s="15"/>
      <c r="C8791" s="9">
        <f>IFERROR(__xludf.DUMMYFUNCTION("""COMPUTED_VALUE"""),45051.850571493)</f>
        <v>45051.85057</v>
      </c>
      <c r="D8791" s="15">
        <f>IFERROR(__xludf.DUMMYFUNCTION("""COMPUTED_VALUE"""),1.022)</f>
        <v>1.022</v>
      </c>
      <c r="E8791" s="16">
        <f>IFERROR(__xludf.DUMMYFUNCTION("""COMPUTED_VALUE"""),61.0)</f>
        <v>61</v>
      </c>
      <c r="F8791" s="19" t="str">
        <f>IFERROR(__xludf.DUMMYFUNCTION("""COMPUTED_VALUE"""),"BLUE")</f>
        <v>BLUE</v>
      </c>
      <c r="G8791" s="20" t="str">
        <f>IFERROR(__xludf.DUMMYFUNCTION("""COMPUTED_VALUE"""),"Uncle Sams Cider (04/04/2023)")</f>
        <v>Uncle Sams Cider (04/04/2023)</v>
      </c>
      <c r="H8791" s="19"/>
    </row>
    <row r="8792">
      <c r="A8792" s="9"/>
      <c r="B8792" s="15"/>
      <c r="C8792" s="9">
        <f>IFERROR(__xludf.DUMMYFUNCTION("""COMPUTED_VALUE"""),45051.8401494676)</f>
        <v>45051.84015</v>
      </c>
      <c r="D8792" s="15">
        <f>IFERROR(__xludf.DUMMYFUNCTION("""COMPUTED_VALUE"""),1.022)</f>
        <v>1.022</v>
      </c>
      <c r="E8792" s="16">
        <f>IFERROR(__xludf.DUMMYFUNCTION("""COMPUTED_VALUE"""),61.0)</f>
        <v>61</v>
      </c>
      <c r="F8792" s="19" t="str">
        <f>IFERROR(__xludf.DUMMYFUNCTION("""COMPUTED_VALUE"""),"BLUE")</f>
        <v>BLUE</v>
      </c>
      <c r="G8792" s="20" t="str">
        <f>IFERROR(__xludf.DUMMYFUNCTION("""COMPUTED_VALUE"""),"Uncle Sams Cider (04/04/2023)")</f>
        <v>Uncle Sams Cider (04/04/2023)</v>
      </c>
      <c r="H8792" s="19"/>
    </row>
    <row r="8793">
      <c r="A8793" s="9"/>
      <c r="B8793" s="15"/>
      <c r="C8793" s="9">
        <f>IFERROR(__xludf.DUMMYFUNCTION("""COMPUTED_VALUE"""),45051.8297288888)</f>
        <v>45051.82973</v>
      </c>
      <c r="D8793" s="15">
        <f>IFERROR(__xludf.DUMMYFUNCTION("""COMPUTED_VALUE"""),1.022)</f>
        <v>1.022</v>
      </c>
      <c r="E8793" s="16">
        <f>IFERROR(__xludf.DUMMYFUNCTION("""COMPUTED_VALUE"""),61.0)</f>
        <v>61</v>
      </c>
      <c r="F8793" s="19" t="str">
        <f>IFERROR(__xludf.DUMMYFUNCTION("""COMPUTED_VALUE"""),"BLUE")</f>
        <v>BLUE</v>
      </c>
      <c r="G8793" s="20" t="str">
        <f>IFERROR(__xludf.DUMMYFUNCTION("""COMPUTED_VALUE"""),"Uncle Sams Cider (04/04/2023)")</f>
        <v>Uncle Sams Cider (04/04/2023)</v>
      </c>
      <c r="H8793" s="19"/>
    </row>
    <row r="8794">
      <c r="A8794" s="9"/>
      <c r="B8794" s="15"/>
      <c r="C8794" s="9">
        <f>IFERROR(__xludf.DUMMYFUNCTION("""COMPUTED_VALUE"""),45051.8193086805)</f>
        <v>45051.81931</v>
      </c>
      <c r="D8794" s="15">
        <f>IFERROR(__xludf.DUMMYFUNCTION("""COMPUTED_VALUE"""),1.022)</f>
        <v>1.022</v>
      </c>
      <c r="E8794" s="16">
        <f>IFERROR(__xludf.DUMMYFUNCTION("""COMPUTED_VALUE"""),61.0)</f>
        <v>61</v>
      </c>
      <c r="F8794" s="19" t="str">
        <f>IFERROR(__xludf.DUMMYFUNCTION("""COMPUTED_VALUE"""),"BLUE")</f>
        <v>BLUE</v>
      </c>
      <c r="G8794" s="20" t="str">
        <f>IFERROR(__xludf.DUMMYFUNCTION("""COMPUTED_VALUE"""),"Uncle Sams Cider (04/04/2023)")</f>
        <v>Uncle Sams Cider (04/04/2023)</v>
      </c>
      <c r="H8794" s="19"/>
    </row>
    <row r="8795">
      <c r="A8795" s="9"/>
      <c r="B8795" s="15"/>
      <c r="C8795" s="9">
        <f>IFERROR(__xludf.DUMMYFUNCTION("""COMPUTED_VALUE"""),45051.8088660764)</f>
        <v>45051.80887</v>
      </c>
      <c r="D8795" s="15">
        <f>IFERROR(__xludf.DUMMYFUNCTION("""COMPUTED_VALUE"""),1.022)</f>
        <v>1.022</v>
      </c>
      <c r="E8795" s="16">
        <f>IFERROR(__xludf.DUMMYFUNCTION("""COMPUTED_VALUE"""),60.0)</f>
        <v>60</v>
      </c>
      <c r="F8795" s="19" t="str">
        <f>IFERROR(__xludf.DUMMYFUNCTION("""COMPUTED_VALUE"""),"BLUE")</f>
        <v>BLUE</v>
      </c>
      <c r="G8795" s="20" t="str">
        <f>IFERROR(__xludf.DUMMYFUNCTION("""COMPUTED_VALUE"""),"Uncle Sams Cider (04/04/2023)")</f>
        <v>Uncle Sams Cider (04/04/2023)</v>
      </c>
      <c r="H8795" s="19"/>
    </row>
    <row r="8796">
      <c r="A8796" s="9"/>
      <c r="B8796" s="15"/>
      <c r="C8796" s="9">
        <f>IFERROR(__xludf.DUMMYFUNCTION("""COMPUTED_VALUE"""),45051.7984454629)</f>
        <v>45051.79845</v>
      </c>
      <c r="D8796" s="15">
        <f>IFERROR(__xludf.DUMMYFUNCTION("""COMPUTED_VALUE"""),1.022)</f>
        <v>1.022</v>
      </c>
      <c r="E8796" s="16">
        <f>IFERROR(__xludf.DUMMYFUNCTION("""COMPUTED_VALUE"""),61.0)</f>
        <v>61</v>
      </c>
      <c r="F8796" s="19" t="str">
        <f>IFERROR(__xludf.DUMMYFUNCTION("""COMPUTED_VALUE"""),"BLUE")</f>
        <v>BLUE</v>
      </c>
      <c r="G8796" s="20" t="str">
        <f>IFERROR(__xludf.DUMMYFUNCTION("""COMPUTED_VALUE"""),"Uncle Sams Cider (04/04/2023)")</f>
        <v>Uncle Sams Cider (04/04/2023)</v>
      </c>
      <c r="H8796" s="19"/>
    </row>
    <row r="8797">
      <c r="A8797" s="9"/>
      <c r="B8797" s="15"/>
      <c r="C8797" s="9">
        <f>IFERROR(__xludf.DUMMYFUNCTION("""COMPUTED_VALUE"""),45051.7880254861)</f>
        <v>45051.78803</v>
      </c>
      <c r="D8797" s="15">
        <f>IFERROR(__xludf.DUMMYFUNCTION("""COMPUTED_VALUE"""),1.022)</f>
        <v>1.022</v>
      </c>
      <c r="E8797" s="16">
        <f>IFERROR(__xludf.DUMMYFUNCTION("""COMPUTED_VALUE"""),61.0)</f>
        <v>61</v>
      </c>
      <c r="F8797" s="19" t="str">
        <f>IFERROR(__xludf.DUMMYFUNCTION("""COMPUTED_VALUE"""),"BLUE")</f>
        <v>BLUE</v>
      </c>
      <c r="G8797" s="20" t="str">
        <f>IFERROR(__xludf.DUMMYFUNCTION("""COMPUTED_VALUE"""),"Uncle Sams Cider (04/04/2023)")</f>
        <v>Uncle Sams Cider (04/04/2023)</v>
      </c>
      <c r="H8797" s="19"/>
    </row>
    <row r="8798">
      <c r="A8798" s="9"/>
      <c r="B8798" s="15"/>
      <c r="C8798" s="9">
        <f>IFERROR(__xludf.DUMMYFUNCTION("""COMPUTED_VALUE"""),45051.7775919097)</f>
        <v>45051.77759</v>
      </c>
      <c r="D8798" s="15">
        <f>IFERROR(__xludf.DUMMYFUNCTION("""COMPUTED_VALUE"""),1.022)</f>
        <v>1.022</v>
      </c>
      <c r="E8798" s="16">
        <f>IFERROR(__xludf.DUMMYFUNCTION("""COMPUTED_VALUE"""),61.0)</f>
        <v>61</v>
      </c>
      <c r="F8798" s="19" t="str">
        <f>IFERROR(__xludf.DUMMYFUNCTION("""COMPUTED_VALUE"""),"BLUE")</f>
        <v>BLUE</v>
      </c>
      <c r="G8798" s="20" t="str">
        <f>IFERROR(__xludf.DUMMYFUNCTION("""COMPUTED_VALUE"""),"Uncle Sams Cider (04/04/2023)")</f>
        <v>Uncle Sams Cider (04/04/2023)</v>
      </c>
      <c r="H8798" s="19"/>
    </row>
    <row r="8799">
      <c r="A8799" s="9"/>
      <c r="B8799" s="15"/>
      <c r="C8799" s="9">
        <f>IFERROR(__xludf.DUMMYFUNCTION("""COMPUTED_VALUE"""),45051.7671714351)</f>
        <v>45051.76717</v>
      </c>
      <c r="D8799" s="15">
        <f>IFERROR(__xludf.DUMMYFUNCTION("""COMPUTED_VALUE"""),1.022)</f>
        <v>1.022</v>
      </c>
      <c r="E8799" s="16">
        <f>IFERROR(__xludf.DUMMYFUNCTION("""COMPUTED_VALUE"""),61.0)</f>
        <v>61</v>
      </c>
      <c r="F8799" s="19" t="str">
        <f>IFERROR(__xludf.DUMMYFUNCTION("""COMPUTED_VALUE"""),"BLUE")</f>
        <v>BLUE</v>
      </c>
      <c r="G8799" s="20" t="str">
        <f>IFERROR(__xludf.DUMMYFUNCTION("""COMPUTED_VALUE"""),"Uncle Sams Cider (04/04/2023)")</f>
        <v>Uncle Sams Cider (04/04/2023)</v>
      </c>
      <c r="H8799" s="19"/>
    </row>
    <row r="8800">
      <c r="A8800" s="9"/>
      <c r="B8800" s="15"/>
      <c r="C8800" s="9">
        <f>IFERROR(__xludf.DUMMYFUNCTION("""COMPUTED_VALUE"""),45051.7567501273)</f>
        <v>45051.75675</v>
      </c>
      <c r="D8800" s="15">
        <f>IFERROR(__xludf.DUMMYFUNCTION("""COMPUTED_VALUE"""),1.022)</f>
        <v>1.022</v>
      </c>
      <c r="E8800" s="16">
        <f>IFERROR(__xludf.DUMMYFUNCTION("""COMPUTED_VALUE"""),61.0)</f>
        <v>61</v>
      </c>
      <c r="F8800" s="19" t="str">
        <f>IFERROR(__xludf.DUMMYFUNCTION("""COMPUTED_VALUE"""),"BLUE")</f>
        <v>BLUE</v>
      </c>
      <c r="G8800" s="20" t="str">
        <f>IFERROR(__xludf.DUMMYFUNCTION("""COMPUTED_VALUE"""),"Uncle Sams Cider (04/04/2023)")</f>
        <v>Uncle Sams Cider (04/04/2023)</v>
      </c>
      <c r="H8800" s="19"/>
    </row>
    <row r="8801">
      <c r="A8801" s="9"/>
      <c r="B8801" s="15"/>
      <c r="C8801" s="9">
        <f>IFERROR(__xludf.DUMMYFUNCTION("""COMPUTED_VALUE"""),45051.7463177893)</f>
        <v>45051.74632</v>
      </c>
      <c r="D8801" s="15">
        <f>IFERROR(__xludf.DUMMYFUNCTION("""COMPUTED_VALUE"""),1.022)</f>
        <v>1.022</v>
      </c>
      <c r="E8801" s="16">
        <f>IFERROR(__xludf.DUMMYFUNCTION("""COMPUTED_VALUE"""),61.0)</f>
        <v>61</v>
      </c>
      <c r="F8801" s="19" t="str">
        <f>IFERROR(__xludf.DUMMYFUNCTION("""COMPUTED_VALUE"""),"BLUE")</f>
        <v>BLUE</v>
      </c>
      <c r="G8801" s="20" t="str">
        <f>IFERROR(__xludf.DUMMYFUNCTION("""COMPUTED_VALUE"""),"Uncle Sams Cider (04/04/2023)")</f>
        <v>Uncle Sams Cider (04/04/2023)</v>
      </c>
      <c r="H8801" s="19"/>
    </row>
    <row r="8802">
      <c r="A8802" s="9"/>
      <c r="B8802" s="15"/>
      <c r="C8802" s="9">
        <f>IFERROR(__xludf.DUMMYFUNCTION("""COMPUTED_VALUE"""),45051.7358961226)</f>
        <v>45051.7359</v>
      </c>
      <c r="D8802" s="15">
        <f>IFERROR(__xludf.DUMMYFUNCTION("""COMPUTED_VALUE"""),1.022)</f>
        <v>1.022</v>
      </c>
      <c r="E8802" s="16">
        <f>IFERROR(__xludf.DUMMYFUNCTION("""COMPUTED_VALUE"""),60.0)</f>
        <v>60</v>
      </c>
      <c r="F8802" s="19" t="str">
        <f>IFERROR(__xludf.DUMMYFUNCTION("""COMPUTED_VALUE"""),"BLUE")</f>
        <v>BLUE</v>
      </c>
      <c r="G8802" s="20" t="str">
        <f>IFERROR(__xludf.DUMMYFUNCTION("""COMPUTED_VALUE"""),"Uncle Sams Cider (04/04/2023)")</f>
        <v>Uncle Sams Cider (04/04/2023)</v>
      </c>
      <c r="H8802" s="19"/>
    </row>
    <row r="8803">
      <c r="A8803" s="9"/>
      <c r="B8803" s="15"/>
      <c r="C8803" s="9">
        <f>IFERROR(__xludf.DUMMYFUNCTION("""COMPUTED_VALUE"""),45051.7254753935)</f>
        <v>45051.72548</v>
      </c>
      <c r="D8803" s="15">
        <f>IFERROR(__xludf.DUMMYFUNCTION("""COMPUTED_VALUE"""),1.022)</f>
        <v>1.022</v>
      </c>
      <c r="E8803" s="16">
        <f>IFERROR(__xludf.DUMMYFUNCTION("""COMPUTED_VALUE"""),60.0)</f>
        <v>60</v>
      </c>
      <c r="F8803" s="19" t="str">
        <f>IFERROR(__xludf.DUMMYFUNCTION("""COMPUTED_VALUE"""),"BLUE")</f>
        <v>BLUE</v>
      </c>
      <c r="G8803" s="20" t="str">
        <f>IFERROR(__xludf.DUMMYFUNCTION("""COMPUTED_VALUE"""),"Uncle Sams Cider (04/04/2023)")</f>
        <v>Uncle Sams Cider (04/04/2023)</v>
      </c>
      <c r="H8803" s="19"/>
    </row>
    <row r="8804">
      <c r="A8804" s="9"/>
      <c r="B8804" s="15"/>
      <c r="C8804" s="9">
        <f>IFERROR(__xludf.DUMMYFUNCTION("""COMPUTED_VALUE"""),45051.7150545486)</f>
        <v>45051.71505</v>
      </c>
      <c r="D8804" s="15">
        <f>IFERROR(__xludf.DUMMYFUNCTION("""COMPUTED_VALUE"""),1.022)</f>
        <v>1.022</v>
      </c>
      <c r="E8804" s="16">
        <f>IFERROR(__xludf.DUMMYFUNCTION("""COMPUTED_VALUE"""),61.0)</f>
        <v>61</v>
      </c>
      <c r="F8804" s="19" t="str">
        <f>IFERROR(__xludf.DUMMYFUNCTION("""COMPUTED_VALUE"""),"BLUE")</f>
        <v>BLUE</v>
      </c>
      <c r="G8804" s="20" t="str">
        <f>IFERROR(__xludf.DUMMYFUNCTION("""COMPUTED_VALUE"""),"Uncle Sams Cider (04/04/2023)")</f>
        <v>Uncle Sams Cider (04/04/2023)</v>
      </c>
      <c r="H8804" s="19"/>
    </row>
    <row r="8805">
      <c r="A8805" s="9"/>
      <c r="B8805" s="15"/>
      <c r="C8805" s="9">
        <f>IFERROR(__xludf.DUMMYFUNCTION("""COMPUTED_VALUE"""),45051.7046333564)</f>
        <v>45051.70463</v>
      </c>
      <c r="D8805" s="15">
        <f>IFERROR(__xludf.DUMMYFUNCTION("""COMPUTED_VALUE"""),1.022)</f>
        <v>1.022</v>
      </c>
      <c r="E8805" s="16">
        <f>IFERROR(__xludf.DUMMYFUNCTION("""COMPUTED_VALUE"""),60.0)</f>
        <v>60</v>
      </c>
      <c r="F8805" s="19" t="str">
        <f>IFERROR(__xludf.DUMMYFUNCTION("""COMPUTED_VALUE"""),"BLUE")</f>
        <v>BLUE</v>
      </c>
      <c r="G8805" s="20" t="str">
        <f>IFERROR(__xludf.DUMMYFUNCTION("""COMPUTED_VALUE"""),"Uncle Sams Cider (04/04/2023)")</f>
        <v>Uncle Sams Cider (04/04/2023)</v>
      </c>
      <c r="H8805" s="19"/>
    </row>
    <row r="8806">
      <c r="A8806" s="9"/>
      <c r="B8806" s="15"/>
      <c r="C8806" s="9">
        <f>IFERROR(__xludf.DUMMYFUNCTION("""COMPUTED_VALUE"""),45051.6942131597)</f>
        <v>45051.69421</v>
      </c>
      <c r="D8806" s="15">
        <f>IFERROR(__xludf.DUMMYFUNCTION("""COMPUTED_VALUE"""),1.022)</f>
        <v>1.022</v>
      </c>
      <c r="E8806" s="16">
        <f>IFERROR(__xludf.DUMMYFUNCTION("""COMPUTED_VALUE"""),61.0)</f>
        <v>61</v>
      </c>
      <c r="F8806" s="19" t="str">
        <f>IFERROR(__xludf.DUMMYFUNCTION("""COMPUTED_VALUE"""),"BLUE")</f>
        <v>BLUE</v>
      </c>
      <c r="G8806" s="20" t="str">
        <f>IFERROR(__xludf.DUMMYFUNCTION("""COMPUTED_VALUE"""),"Uncle Sams Cider (04/04/2023)")</f>
        <v>Uncle Sams Cider (04/04/2023)</v>
      </c>
      <c r="H8806" s="19"/>
    </row>
    <row r="8807">
      <c r="A8807" s="9"/>
      <c r="B8807" s="15"/>
      <c r="C8807" s="9">
        <f>IFERROR(__xludf.DUMMYFUNCTION("""COMPUTED_VALUE"""),45051.6837905671)</f>
        <v>45051.68379</v>
      </c>
      <c r="D8807" s="15">
        <f>IFERROR(__xludf.DUMMYFUNCTION("""COMPUTED_VALUE"""),1.022)</f>
        <v>1.022</v>
      </c>
      <c r="E8807" s="16">
        <f>IFERROR(__xludf.DUMMYFUNCTION("""COMPUTED_VALUE"""),60.0)</f>
        <v>60</v>
      </c>
      <c r="F8807" s="19" t="str">
        <f>IFERROR(__xludf.DUMMYFUNCTION("""COMPUTED_VALUE"""),"BLUE")</f>
        <v>BLUE</v>
      </c>
      <c r="G8807" s="20" t="str">
        <f>IFERROR(__xludf.DUMMYFUNCTION("""COMPUTED_VALUE"""),"Uncle Sams Cider (04/04/2023)")</f>
        <v>Uncle Sams Cider (04/04/2023)</v>
      </c>
      <c r="H8807" s="19"/>
    </row>
    <row r="8808">
      <c r="A8808" s="9"/>
      <c r="B8808" s="15"/>
      <c r="C8808" s="9">
        <f>IFERROR(__xludf.DUMMYFUNCTION("""COMPUTED_VALUE"""),45051.6733690046)</f>
        <v>45051.67337</v>
      </c>
      <c r="D8808" s="15">
        <f>IFERROR(__xludf.DUMMYFUNCTION("""COMPUTED_VALUE"""),1.022)</f>
        <v>1.022</v>
      </c>
      <c r="E8808" s="16">
        <f>IFERROR(__xludf.DUMMYFUNCTION("""COMPUTED_VALUE"""),61.0)</f>
        <v>61</v>
      </c>
      <c r="F8808" s="19" t="str">
        <f>IFERROR(__xludf.DUMMYFUNCTION("""COMPUTED_VALUE"""),"BLUE")</f>
        <v>BLUE</v>
      </c>
      <c r="G8808" s="20" t="str">
        <f>IFERROR(__xludf.DUMMYFUNCTION("""COMPUTED_VALUE"""),"Uncle Sams Cider (04/04/2023)")</f>
        <v>Uncle Sams Cider (04/04/2023)</v>
      </c>
      <c r="H8808" s="19"/>
    </row>
    <row r="8809">
      <c r="A8809" s="9"/>
      <c r="B8809" s="15"/>
      <c r="C8809" s="9">
        <f>IFERROR(__xludf.DUMMYFUNCTION("""COMPUTED_VALUE"""),45051.6629476504)</f>
        <v>45051.66295</v>
      </c>
      <c r="D8809" s="15">
        <f>IFERROR(__xludf.DUMMYFUNCTION("""COMPUTED_VALUE"""),1.022)</f>
        <v>1.022</v>
      </c>
      <c r="E8809" s="16">
        <f>IFERROR(__xludf.DUMMYFUNCTION("""COMPUTED_VALUE"""),60.0)</f>
        <v>60</v>
      </c>
      <c r="F8809" s="19" t="str">
        <f>IFERROR(__xludf.DUMMYFUNCTION("""COMPUTED_VALUE"""),"BLUE")</f>
        <v>BLUE</v>
      </c>
      <c r="G8809" s="20" t="str">
        <f>IFERROR(__xludf.DUMMYFUNCTION("""COMPUTED_VALUE"""),"Uncle Sams Cider (04/04/2023)")</f>
        <v>Uncle Sams Cider (04/04/2023)</v>
      </c>
      <c r="H8809" s="19"/>
    </row>
    <row r="8810">
      <c r="A8810" s="9"/>
      <c r="B8810" s="15"/>
      <c r="C8810" s="9">
        <f>IFERROR(__xludf.DUMMYFUNCTION("""COMPUTED_VALUE"""),45051.6525133449)</f>
        <v>45051.65251</v>
      </c>
      <c r="D8810" s="15">
        <f>IFERROR(__xludf.DUMMYFUNCTION("""COMPUTED_VALUE"""),1.022)</f>
        <v>1.022</v>
      </c>
      <c r="E8810" s="16">
        <f>IFERROR(__xludf.DUMMYFUNCTION("""COMPUTED_VALUE"""),60.0)</f>
        <v>60</v>
      </c>
      <c r="F8810" s="19" t="str">
        <f>IFERROR(__xludf.DUMMYFUNCTION("""COMPUTED_VALUE"""),"BLUE")</f>
        <v>BLUE</v>
      </c>
      <c r="G8810" s="20" t="str">
        <f>IFERROR(__xludf.DUMMYFUNCTION("""COMPUTED_VALUE"""),"Uncle Sams Cider (04/04/2023)")</f>
        <v>Uncle Sams Cider (04/04/2023)</v>
      </c>
      <c r="H8810" s="19"/>
    </row>
    <row r="8811">
      <c r="A8811" s="9"/>
      <c r="B8811" s="15"/>
      <c r="C8811" s="9">
        <f>IFERROR(__xludf.DUMMYFUNCTION("""COMPUTED_VALUE"""),45051.642091493)</f>
        <v>45051.64209</v>
      </c>
      <c r="D8811" s="15">
        <f>IFERROR(__xludf.DUMMYFUNCTION("""COMPUTED_VALUE"""),1.022)</f>
        <v>1.022</v>
      </c>
      <c r="E8811" s="16">
        <f>IFERROR(__xludf.DUMMYFUNCTION("""COMPUTED_VALUE"""),60.0)</f>
        <v>60</v>
      </c>
      <c r="F8811" s="19" t="str">
        <f>IFERROR(__xludf.DUMMYFUNCTION("""COMPUTED_VALUE"""),"BLUE")</f>
        <v>BLUE</v>
      </c>
      <c r="G8811" s="20" t="str">
        <f>IFERROR(__xludf.DUMMYFUNCTION("""COMPUTED_VALUE"""),"Uncle Sams Cider (04/04/2023)")</f>
        <v>Uncle Sams Cider (04/04/2023)</v>
      </c>
      <c r="H8811" s="19"/>
    </row>
    <row r="8812">
      <c r="A8812" s="9"/>
      <c r="B8812" s="15"/>
      <c r="C8812" s="9">
        <f>IFERROR(__xludf.DUMMYFUNCTION("""COMPUTED_VALUE"""),45051.6316591203)</f>
        <v>45051.63166</v>
      </c>
      <c r="D8812" s="15">
        <f>IFERROR(__xludf.DUMMYFUNCTION("""COMPUTED_VALUE"""),1.023)</f>
        <v>1.023</v>
      </c>
      <c r="E8812" s="16">
        <f>IFERROR(__xludf.DUMMYFUNCTION("""COMPUTED_VALUE"""),60.0)</f>
        <v>60</v>
      </c>
      <c r="F8812" s="19" t="str">
        <f>IFERROR(__xludf.DUMMYFUNCTION("""COMPUTED_VALUE"""),"BLUE")</f>
        <v>BLUE</v>
      </c>
      <c r="G8812" s="20" t="str">
        <f>IFERROR(__xludf.DUMMYFUNCTION("""COMPUTED_VALUE"""),"Uncle Sams Cider (04/04/2023)")</f>
        <v>Uncle Sams Cider (04/04/2023)</v>
      </c>
      <c r="H8812" s="19"/>
    </row>
    <row r="8813">
      <c r="A8813" s="9"/>
      <c r="B8813" s="15"/>
      <c r="C8813" s="9">
        <f>IFERROR(__xludf.DUMMYFUNCTION("""COMPUTED_VALUE"""),45051.6212368055)</f>
        <v>45051.62124</v>
      </c>
      <c r="D8813" s="15">
        <f>IFERROR(__xludf.DUMMYFUNCTION("""COMPUTED_VALUE"""),1.022)</f>
        <v>1.022</v>
      </c>
      <c r="E8813" s="16">
        <f>IFERROR(__xludf.DUMMYFUNCTION("""COMPUTED_VALUE"""),60.0)</f>
        <v>60</v>
      </c>
      <c r="F8813" s="19" t="str">
        <f>IFERROR(__xludf.DUMMYFUNCTION("""COMPUTED_VALUE"""),"BLUE")</f>
        <v>BLUE</v>
      </c>
      <c r="G8813" s="20" t="str">
        <f>IFERROR(__xludf.DUMMYFUNCTION("""COMPUTED_VALUE"""),"Uncle Sams Cider (04/04/2023)")</f>
        <v>Uncle Sams Cider (04/04/2023)</v>
      </c>
      <c r="H8813" s="19"/>
    </row>
    <row r="8814">
      <c r="A8814" s="9"/>
      <c r="B8814" s="15"/>
      <c r="C8814" s="9">
        <f>IFERROR(__xludf.DUMMYFUNCTION("""COMPUTED_VALUE"""),45051.610815625)</f>
        <v>45051.61082</v>
      </c>
      <c r="D8814" s="15">
        <f>IFERROR(__xludf.DUMMYFUNCTION("""COMPUTED_VALUE"""),1.022)</f>
        <v>1.022</v>
      </c>
      <c r="E8814" s="16">
        <f>IFERROR(__xludf.DUMMYFUNCTION("""COMPUTED_VALUE"""),60.0)</f>
        <v>60</v>
      </c>
      <c r="F8814" s="19" t="str">
        <f>IFERROR(__xludf.DUMMYFUNCTION("""COMPUTED_VALUE"""),"BLUE")</f>
        <v>BLUE</v>
      </c>
      <c r="G8814" s="20" t="str">
        <f>IFERROR(__xludf.DUMMYFUNCTION("""COMPUTED_VALUE"""),"Uncle Sams Cider (04/04/2023)")</f>
        <v>Uncle Sams Cider (04/04/2023)</v>
      </c>
      <c r="H8814" s="19"/>
    </row>
    <row r="8815">
      <c r="A8815" s="9"/>
      <c r="B8815" s="15"/>
      <c r="C8815" s="9">
        <f>IFERROR(__xludf.DUMMYFUNCTION("""COMPUTED_VALUE"""),45051.6003814467)</f>
        <v>45051.60038</v>
      </c>
      <c r="D8815" s="15">
        <f>IFERROR(__xludf.DUMMYFUNCTION("""COMPUTED_VALUE"""),1.022)</f>
        <v>1.022</v>
      </c>
      <c r="E8815" s="16">
        <f>IFERROR(__xludf.DUMMYFUNCTION("""COMPUTED_VALUE"""),60.0)</f>
        <v>60</v>
      </c>
      <c r="F8815" s="19" t="str">
        <f>IFERROR(__xludf.DUMMYFUNCTION("""COMPUTED_VALUE"""),"BLUE")</f>
        <v>BLUE</v>
      </c>
      <c r="G8815" s="20" t="str">
        <f>IFERROR(__xludf.DUMMYFUNCTION("""COMPUTED_VALUE"""),"Uncle Sams Cider (04/04/2023)")</f>
        <v>Uncle Sams Cider (04/04/2023)</v>
      </c>
      <c r="H8815" s="19"/>
    </row>
    <row r="8816">
      <c r="A8816" s="9"/>
      <c r="B8816" s="15"/>
      <c r="C8816" s="9">
        <f>IFERROR(__xludf.DUMMYFUNCTION("""COMPUTED_VALUE"""),45051.5899594328)</f>
        <v>45051.58996</v>
      </c>
      <c r="D8816" s="15">
        <f>IFERROR(__xludf.DUMMYFUNCTION("""COMPUTED_VALUE"""),1.022)</f>
        <v>1.022</v>
      </c>
      <c r="E8816" s="16">
        <f>IFERROR(__xludf.DUMMYFUNCTION("""COMPUTED_VALUE"""),60.0)</f>
        <v>60</v>
      </c>
      <c r="F8816" s="19" t="str">
        <f>IFERROR(__xludf.DUMMYFUNCTION("""COMPUTED_VALUE"""),"BLUE")</f>
        <v>BLUE</v>
      </c>
      <c r="G8816" s="20" t="str">
        <f>IFERROR(__xludf.DUMMYFUNCTION("""COMPUTED_VALUE"""),"Uncle Sams Cider (04/04/2023)")</f>
        <v>Uncle Sams Cider (04/04/2023)</v>
      </c>
      <c r="H8816" s="19"/>
    </row>
    <row r="8817">
      <c r="A8817" s="9"/>
      <c r="B8817" s="15"/>
      <c r="C8817" s="9">
        <f>IFERROR(__xludf.DUMMYFUNCTION("""COMPUTED_VALUE"""),45051.5795390509)</f>
        <v>45051.57954</v>
      </c>
      <c r="D8817" s="15">
        <f>IFERROR(__xludf.DUMMYFUNCTION("""COMPUTED_VALUE"""),1.022)</f>
        <v>1.022</v>
      </c>
      <c r="E8817" s="16">
        <f>IFERROR(__xludf.DUMMYFUNCTION("""COMPUTED_VALUE"""),60.0)</f>
        <v>60</v>
      </c>
      <c r="F8817" s="19" t="str">
        <f>IFERROR(__xludf.DUMMYFUNCTION("""COMPUTED_VALUE"""),"BLUE")</f>
        <v>BLUE</v>
      </c>
      <c r="G8817" s="20" t="str">
        <f>IFERROR(__xludf.DUMMYFUNCTION("""COMPUTED_VALUE"""),"Uncle Sams Cider (04/04/2023)")</f>
        <v>Uncle Sams Cider (04/04/2023)</v>
      </c>
      <c r="H8817" s="19"/>
    </row>
    <row r="8818">
      <c r="A8818" s="9"/>
      <c r="B8818" s="15"/>
      <c r="C8818" s="9">
        <f>IFERROR(__xludf.DUMMYFUNCTION("""COMPUTED_VALUE"""),45051.5691181481)</f>
        <v>45051.56912</v>
      </c>
      <c r="D8818" s="15">
        <f>IFERROR(__xludf.DUMMYFUNCTION("""COMPUTED_VALUE"""),1.022)</f>
        <v>1.022</v>
      </c>
      <c r="E8818" s="16">
        <f>IFERROR(__xludf.DUMMYFUNCTION("""COMPUTED_VALUE"""),60.0)</f>
        <v>60</v>
      </c>
      <c r="F8818" s="19" t="str">
        <f>IFERROR(__xludf.DUMMYFUNCTION("""COMPUTED_VALUE"""),"BLUE")</f>
        <v>BLUE</v>
      </c>
      <c r="G8818" s="20" t="str">
        <f>IFERROR(__xludf.DUMMYFUNCTION("""COMPUTED_VALUE"""),"Uncle Sams Cider (04/04/2023)")</f>
        <v>Uncle Sams Cider (04/04/2023)</v>
      </c>
      <c r="H8818" s="19"/>
    </row>
    <row r="8819">
      <c r="A8819" s="9"/>
      <c r="B8819" s="15"/>
      <c r="C8819" s="9">
        <f>IFERROR(__xludf.DUMMYFUNCTION("""COMPUTED_VALUE"""),45051.5586981134)</f>
        <v>45051.5587</v>
      </c>
      <c r="D8819" s="15">
        <f>IFERROR(__xludf.DUMMYFUNCTION("""COMPUTED_VALUE"""),1.022)</f>
        <v>1.022</v>
      </c>
      <c r="E8819" s="16">
        <f>IFERROR(__xludf.DUMMYFUNCTION("""COMPUTED_VALUE"""),60.0)</f>
        <v>60</v>
      </c>
      <c r="F8819" s="19" t="str">
        <f>IFERROR(__xludf.DUMMYFUNCTION("""COMPUTED_VALUE"""),"BLUE")</f>
        <v>BLUE</v>
      </c>
      <c r="G8819" s="20" t="str">
        <f>IFERROR(__xludf.DUMMYFUNCTION("""COMPUTED_VALUE"""),"Uncle Sams Cider (04/04/2023)")</f>
        <v>Uncle Sams Cider (04/04/2023)</v>
      </c>
      <c r="H8819" s="19"/>
    </row>
    <row r="8820">
      <c r="A8820" s="9"/>
      <c r="B8820" s="15"/>
      <c r="C8820" s="9">
        <f>IFERROR(__xludf.DUMMYFUNCTION("""COMPUTED_VALUE"""),45051.5482755324)</f>
        <v>45051.54828</v>
      </c>
      <c r="D8820" s="15">
        <f>IFERROR(__xludf.DUMMYFUNCTION("""COMPUTED_VALUE"""),1.022)</f>
        <v>1.022</v>
      </c>
      <c r="E8820" s="16">
        <f>IFERROR(__xludf.DUMMYFUNCTION("""COMPUTED_VALUE"""),60.0)</f>
        <v>60</v>
      </c>
      <c r="F8820" s="19" t="str">
        <f>IFERROR(__xludf.DUMMYFUNCTION("""COMPUTED_VALUE"""),"BLUE")</f>
        <v>BLUE</v>
      </c>
      <c r="G8820" s="20" t="str">
        <f>IFERROR(__xludf.DUMMYFUNCTION("""COMPUTED_VALUE"""),"Uncle Sams Cider (04/04/2023)")</f>
        <v>Uncle Sams Cider (04/04/2023)</v>
      </c>
      <c r="H8820" s="19"/>
    </row>
    <row r="8821">
      <c r="A8821" s="9"/>
      <c r="B8821" s="15"/>
      <c r="C8821" s="9">
        <f>IFERROR(__xludf.DUMMYFUNCTION("""COMPUTED_VALUE"""),45051.5378551157)</f>
        <v>45051.53786</v>
      </c>
      <c r="D8821" s="15">
        <f>IFERROR(__xludf.DUMMYFUNCTION("""COMPUTED_VALUE"""),1.023)</f>
        <v>1.023</v>
      </c>
      <c r="E8821" s="16">
        <f>IFERROR(__xludf.DUMMYFUNCTION("""COMPUTED_VALUE"""),60.0)</f>
        <v>60</v>
      </c>
      <c r="F8821" s="19" t="str">
        <f>IFERROR(__xludf.DUMMYFUNCTION("""COMPUTED_VALUE"""),"BLUE")</f>
        <v>BLUE</v>
      </c>
      <c r="G8821" s="20" t="str">
        <f>IFERROR(__xludf.DUMMYFUNCTION("""COMPUTED_VALUE"""),"Uncle Sams Cider (04/04/2023)")</f>
        <v>Uncle Sams Cider (04/04/2023)</v>
      </c>
      <c r="H8821" s="19"/>
    </row>
    <row r="8822">
      <c r="A8822" s="9"/>
      <c r="B8822" s="15"/>
      <c r="C8822" s="9">
        <f>IFERROR(__xludf.DUMMYFUNCTION("""COMPUTED_VALUE"""),45051.5274349537)</f>
        <v>45051.52743</v>
      </c>
      <c r="D8822" s="15">
        <f>IFERROR(__xludf.DUMMYFUNCTION("""COMPUTED_VALUE"""),1.022)</f>
        <v>1.022</v>
      </c>
      <c r="E8822" s="16">
        <f>IFERROR(__xludf.DUMMYFUNCTION("""COMPUTED_VALUE"""),60.0)</f>
        <v>60</v>
      </c>
      <c r="F8822" s="19" t="str">
        <f>IFERROR(__xludf.DUMMYFUNCTION("""COMPUTED_VALUE"""),"BLUE")</f>
        <v>BLUE</v>
      </c>
      <c r="G8822" s="20" t="str">
        <f>IFERROR(__xludf.DUMMYFUNCTION("""COMPUTED_VALUE"""),"Uncle Sams Cider (04/04/2023)")</f>
        <v>Uncle Sams Cider (04/04/2023)</v>
      </c>
      <c r="H8822" s="19"/>
    </row>
    <row r="8823">
      <c r="A8823" s="9"/>
      <c r="B8823" s="15"/>
      <c r="C8823" s="9">
        <f>IFERROR(__xludf.DUMMYFUNCTION("""COMPUTED_VALUE"""),45051.5170153588)</f>
        <v>45051.51702</v>
      </c>
      <c r="D8823" s="15">
        <f>IFERROR(__xludf.DUMMYFUNCTION("""COMPUTED_VALUE"""),1.023)</f>
        <v>1.023</v>
      </c>
      <c r="E8823" s="16">
        <f>IFERROR(__xludf.DUMMYFUNCTION("""COMPUTED_VALUE"""),60.0)</f>
        <v>60</v>
      </c>
      <c r="F8823" s="19" t="str">
        <f>IFERROR(__xludf.DUMMYFUNCTION("""COMPUTED_VALUE"""),"BLUE")</f>
        <v>BLUE</v>
      </c>
      <c r="G8823" s="20" t="str">
        <f>IFERROR(__xludf.DUMMYFUNCTION("""COMPUTED_VALUE"""),"Uncle Sams Cider (04/04/2023)")</f>
        <v>Uncle Sams Cider (04/04/2023)</v>
      </c>
      <c r="H8823" s="19"/>
    </row>
    <row r="8824">
      <c r="A8824" s="9"/>
      <c r="B8824" s="15"/>
      <c r="C8824" s="9">
        <f>IFERROR(__xludf.DUMMYFUNCTION("""COMPUTED_VALUE"""),45051.5065940972)</f>
        <v>45051.50659</v>
      </c>
      <c r="D8824" s="15">
        <f>IFERROR(__xludf.DUMMYFUNCTION("""COMPUTED_VALUE"""),1.023)</f>
        <v>1.023</v>
      </c>
      <c r="E8824" s="16">
        <f>IFERROR(__xludf.DUMMYFUNCTION("""COMPUTED_VALUE"""),60.0)</f>
        <v>60</v>
      </c>
      <c r="F8824" s="19" t="str">
        <f>IFERROR(__xludf.DUMMYFUNCTION("""COMPUTED_VALUE"""),"BLUE")</f>
        <v>BLUE</v>
      </c>
      <c r="G8824" s="20" t="str">
        <f>IFERROR(__xludf.DUMMYFUNCTION("""COMPUTED_VALUE"""),"Uncle Sams Cider (04/04/2023)")</f>
        <v>Uncle Sams Cider (04/04/2023)</v>
      </c>
      <c r="H8824" s="19"/>
    </row>
    <row r="8825">
      <c r="A8825" s="9"/>
      <c r="B8825" s="15"/>
      <c r="C8825" s="9">
        <f>IFERROR(__xludf.DUMMYFUNCTION("""COMPUTED_VALUE"""),45051.496172905)</f>
        <v>45051.49617</v>
      </c>
      <c r="D8825" s="15">
        <f>IFERROR(__xludf.DUMMYFUNCTION("""COMPUTED_VALUE"""),1.023)</f>
        <v>1.023</v>
      </c>
      <c r="E8825" s="16">
        <f>IFERROR(__xludf.DUMMYFUNCTION("""COMPUTED_VALUE"""),60.0)</f>
        <v>60</v>
      </c>
      <c r="F8825" s="19" t="str">
        <f>IFERROR(__xludf.DUMMYFUNCTION("""COMPUTED_VALUE"""),"BLUE")</f>
        <v>BLUE</v>
      </c>
      <c r="G8825" s="20" t="str">
        <f>IFERROR(__xludf.DUMMYFUNCTION("""COMPUTED_VALUE"""),"Uncle Sams Cider (04/04/2023)")</f>
        <v>Uncle Sams Cider (04/04/2023)</v>
      </c>
      <c r="H8825" s="19"/>
    </row>
    <row r="8826">
      <c r="A8826" s="9"/>
      <c r="B8826" s="15"/>
      <c r="C8826" s="9">
        <f>IFERROR(__xludf.DUMMYFUNCTION("""COMPUTED_VALUE"""),45051.4857513078)</f>
        <v>45051.48575</v>
      </c>
      <c r="D8826" s="15">
        <f>IFERROR(__xludf.DUMMYFUNCTION("""COMPUTED_VALUE"""),1.023)</f>
        <v>1.023</v>
      </c>
      <c r="E8826" s="16">
        <f>IFERROR(__xludf.DUMMYFUNCTION("""COMPUTED_VALUE"""),60.0)</f>
        <v>60</v>
      </c>
      <c r="F8826" s="19" t="str">
        <f>IFERROR(__xludf.DUMMYFUNCTION("""COMPUTED_VALUE"""),"BLUE")</f>
        <v>BLUE</v>
      </c>
      <c r="G8826" s="20" t="str">
        <f>IFERROR(__xludf.DUMMYFUNCTION("""COMPUTED_VALUE"""),"Uncle Sams Cider (04/04/2023)")</f>
        <v>Uncle Sams Cider (04/04/2023)</v>
      </c>
      <c r="H8826" s="19"/>
    </row>
    <row r="8827">
      <c r="A8827" s="9"/>
      <c r="B8827" s="15"/>
      <c r="C8827" s="9">
        <f>IFERROR(__xludf.DUMMYFUNCTION("""COMPUTED_VALUE"""),45051.4753187037)</f>
        <v>45051.47532</v>
      </c>
      <c r="D8827" s="15">
        <f>IFERROR(__xludf.DUMMYFUNCTION("""COMPUTED_VALUE"""),1.023)</f>
        <v>1.023</v>
      </c>
      <c r="E8827" s="16">
        <f>IFERROR(__xludf.DUMMYFUNCTION("""COMPUTED_VALUE"""),60.0)</f>
        <v>60</v>
      </c>
      <c r="F8827" s="19" t="str">
        <f>IFERROR(__xludf.DUMMYFUNCTION("""COMPUTED_VALUE"""),"BLUE")</f>
        <v>BLUE</v>
      </c>
      <c r="G8827" s="20" t="str">
        <f>IFERROR(__xludf.DUMMYFUNCTION("""COMPUTED_VALUE"""),"Uncle Sams Cider (04/04/2023)")</f>
        <v>Uncle Sams Cider (04/04/2023)</v>
      </c>
      <c r="H8827" s="19"/>
    </row>
    <row r="8828">
      <c r="A8828" s="9"/>
      <c r="B8828" s="15"/>
      <c r="C8828" s="9">
        <f>IFERROR(__xludf.DUMMYFUNCTION("""COMPUTED_VALUE"""),45051.4648973611)</f>
        <v>45051.4649</v>
      </c>
      <c r="D8828" s="15">
        <f>IFERROR(__xludf.DUMMYFUNCTION("""COMPUTED_VALUE"""),1.023)</f>
        <v>1.023</v>
      </c>
      <c r="E8828" s="16">
        <f>IFERROR(__xludf.DUMMYFUNCTION("""COMPUTED_VALUE"""),60.0)</f>
        <v>60</v>
      </c>
      <c r="F8828" s="19" t="str">
        <f>IFERROR(__xludf.DUMMYFUNCTION("""COMPUTED_VALUE"""),"BLUE")</f>
        <v>BLUE</v>
      </c>
      <c r="G8828" s="20" t="str">
        <f>IFERROR(__xludf.DUMMYFUNCTION("""COMPUTED_VALUE"""),"Uncle Sams Cider (04/04/2023)")</f>
        <v>Uncle Sams Cider (04/04/2023)</v>
      </c>
      <c r="H8828" s="19"/>
    </row>
    <row r="8829">
      <c r="A8829" s="9"/>
      <c r="B8829" s="15"/>
      <c r="C8829" s="9">
        <f>IFERROR(__xludf.DUMMYFUNCTION("""COMPUTED_VALUE"""),45051.4544776851)</f>
        <v>45051.45448</v>
      </c>
      <c r="D8829" s="15">
        <f>IFERROR(__xludf.DUMMYFUNCTION("""COMPUTED_VALUE"""),1.023)</f>
        <v>1.023</v>
      </c>
      <c r="E8829" s="16">
        <f>IFERROR(__xludf.DUMMYFUNCTION("""COMPUTED_VALUE"""),60.0)</f>
        <v>60</v>
      </c>
      <c r="F8829" s="19" t="str">
        <f>IFERROR(__xludf.DUMMYFUNCTION("""COMPUTED_VALUE"""),"BLUE")</f>
        <v>BLUE</v>
      </c>
      <c r="G8829" s="20" t="str">
        <f>IFERROR(__xludf.DUMMYFUNCTION("""COMPUTED_VALUE"""),"Uncle Sams Cider (04/04/2023)")</f>
        <v>Uncle Sams Cider (04/04/2023)</v>
      </c>
      <c r="H8829" s="19"/>
    </row>
    <row r="8830">
      <c r="A8830" s="9"/>
      <c r="B8830" s="15"/>
      <c r="C8830" s="9">
        <f>IFERROR(__xludf.DUMMYFUNCTION("""COMPUTED_VALUE"""),45051.4440336458)</f>
        <v>45051.44403</v>
      </c>
      <c r="D8830" s="15">
        <f>IFERROR(__xludf.DUMMYFUNCTION("""COMPUTED_VALUE"""),1.023)</f>
        <v>1.023</v>
      </c>
      <c r="E8830" s="16">
        <f>IFERROR(__xludf.DUMMYFUNCTION("""COMPUTED_VALUE"""),60.0)</f>
        <v>60</v>
      </c>
      <c r="F8830" s="19" t="str">
        <f>IFERROR(__xludf.DUMMYFUNCTION("""COMPUTED_VALUE"""),"BLUE")</f>
        <v>BLUE</v>
      </c>
      <c r="G8830" s="20" t="str">
        <f>IFERROR(__xludf.DUMMYFUNCTION("""COMPUTED_VALUE"""),"Uncle Sams Cider (04/04/2023)")</f>
        <v>Uncle Sams Cider (04/04/2023)</v>
      </c>
      <c r="H8830" s="19"/>
    </row>
    <row r="8831">
      <c r="A8831" s="9"/>
      <c r="B8831" s="15"/>
      <c r="C8831" s="9">
        <f>IFERROR(__xludf.DUMMYFUNCTION("""COMPUTED_VALUE"""),45051.4336125926)</f>
        <v>45051.43361</v>
      </c>
      <c r="D8831" s="15">
        <f>IFERROR(__xludf.DUMMYFUNCTION("""COMPUTED_VALUE"""),1.023)</f>
        <v>1.023</v>
      </c>
      <c r="E8831" s="16">
        <f>IFERROR(__xludf.DUMMYFUNCTION("""COMPUTED_VALUE"""),60.0)</f>
        <v>60</v>
      </c>
      <c r="F8831" s="19" t="str">
        <f>IFERROR(__xludf.DUMMYFUNCTION("""COMPUTED_VALUE"""),"BLUE")</f>
        <v>BLUE</v>
      </c>
      <c r="G8831" s="20" t="str">
        <f>IFERROR(__xludf.DUMMYFUNCTION("""COMPUTED_VALUE"""),"Uncle Sams Cider (04/04/2023)")</f>
        <v>Uncle Sams Cider (04/04/2023)</v>
      </c>
      <c r="H8831" s="19"/>
    </row>
    <row r="8832">
      <c r="A8832" s="9"/>
      <c r="B8832" s="15"/>
      <c r="C8832" s="9">
        <f>IFERROR(__xludf.DUMMYFUNCTION("""COMPUTED_VALUE"""),45051.4231687037)</f>
        <v>45051.42317</v>
      </c>
      <c r="D8832" s="15">
        <f>IFERROR(__xludf.DUMMYFUNCTION("""COMPUTED_VALUE"""),1.023)</f>
        <v>1.023</v>
      </c>
      <c r="E8832" s="16">
        <f>IFERROR(__xludf.DUMMYFUNCTION("""COMPUTED_VALUE"""),60.0)</f>
        <v>60</v>
      </c>
      <c r="F8832" s="19" t="str">
        <f>IFERROR(__xludf.DUMMYFUNCTION("""COMPUTED_VALUE"""),"BLUE")</f>
        <v>BLUE</v>
      </c>
      <c r="G8832" s="20" t="str">
        <f>IFERROR(__xludf.DUMMYFUNCTION("""COMPUTED_VALUE"""),"Uncle Sams Cider (04/04/2023)")</f>
        <v>Uncle Sams Cider (04/04/2023)</v>
      </c>
      <c r="H8832" s="19"/>
    </row>
    <row r="8833">
      <c r="A8833" s="9"/>
      <c r="B8833" s="15"/>
      <c r="C8833" s="9">
        <f>IFERROR(__xludf.DUMMYFUNCTION("""COMPUTED_VALUE"""),45051.4127473842)</f>
        <v>45051.41275</v>
      </c>
      <c r="D8833" s="15">
        <f>IFERROR(__xludf.DUMMYFUNCTION("""COMPUTED_VALUE"""),1.023)</f>
        <v>1.023</v>
      </c>
      <c r="E8833" s="16">
        <f>IFERROR(__xludf.DUMMYFUNCTION("""COMPUTED_VALUE"""),60.0)</f>
        <v>60</v>
      </c>
      <c r="F8833" s="19" t="str">
        <f>IFERROR(__xludf.DUMMYFUNCTION("""COMPUTED_VALUE"""),"BLUE")</f>
        <v>BLUE</v>
      </c>
      <c r="G8833" s="20" t="str">
        <f>IFERROR(__xludf.DUMMYFUNCTION("""COMPUTED_VALUE"""),"Uncle Sams Cider (04/04/2023)")</f>
        <v>Uncle Sams Cider (04/04/2023)</v>
      </c>
      <c r="H8833" s="19"/>
    </row>
    <row r="8834">
      <c r="A8834" s="9"/>
      <c r="B8834" s="15"/>
      <c r="C8834" s="9">
        <f>IFERROR(__xludf.DUMMYFUNCTION("""COMPUTED_VALUE"""),45051.4023021759)</f>
        <v>45051.4023</v>
      </c>
      <c r="D8834" s="15">
        <f>IFERROR(__xludf.DUMMYFUNCTION("""COMPUTED_VALUE"""),1.023)</f>
        <v>1.023</v>
      </c>
      <c r="E8834" s="16">
        <f>IFERROR(__xludf.DUMMYFUNCTION("""COMPUTED_VALUE"""),60.0)</f>
        <v>60</v>
      </c>
      <c r="F8834" s="19" t="str">
        <f>IFERROR(__xludf.DUMMYFUNCTION("""COMPUTED_VALUE"""),"BLUE")</f>
        <v>BLUE</v>
      </c>
      <c r="G8834" s="20" t="str">
        <f>IFERROR(__xludf.DUMMYFUNCTION("""COMPUTED_VALUE"""),"Uncle Sams Cider (04/04/2023)")</f>
        <v>Uncle Sams Cider (04/04/2023)</v>
      </c>
      <c r="H8834" s="19"/>
    </row>
    <row r="8835">
      <c r="A8835" s="9"/>
      <c r="B8835" s="15"/>
      <c r="C8835" s="9">
        <f>IFERROR(__xludf.DUMMYFUNCTION("""COMPUTED_VALUE"""),45051.3918804166)</f>
        <v>45051.39188</v>
      </c>
      <c r="D8835" s="15">
        <f>IFERROR(__xludf.DUMMYFUNCTION("""COMPUTED_VALUE"""),1.023)</f>
        <v>1.023</v>
      </c>
      <c r="E8835" s="16">
        <f>IFERROR(__xludf.DUMMYFUNCTION("""COMPUTED_VALUE"""),60.0)</f>
        <v>60</v>
      </c>
      <c r="F8835" s="19" t="str">
        <f>IFERROR(__xludf.DUMMYFUNCTION("""COMPUTED_VALUE"""),"BLUE")</f>
        <v>BLUE</v>
      </c>
      <c r="G8835" s="20" t="str">
        <f>IFERROR(__xludf.DUMMYFUNCTION("""COMPUTED_VALUE"""),"Uncle Sams Cider (04/04/2023)")</f>
        <v>Uncle Sams Cider (04/04/2023)</v>
      </c>
      <c r="H8835" s="19"/>
    </row>
    <row r="8836">
      <c r="A8836" s="9"/>
      <c r="B8836" s="15"/>
      <c r="C8836" s="9">
        <f>IFERROR(__xludf.DUMMYFUNCTION("""COMPUTED_VALUE"""),45051.3814610416)</f>
        <v>45051.38146</v>
      </c>
      <c r="D8836" s="15">
        <f>IFERROR(__xludf.DUMMYFUNCTION("""COMPUTED_VALUE"""),1.023)</f>
        <v>1.023</v>
      </c>
      <c r="E8836" s="16">
        <f>IFERROR(__xludf.DUMMYFUNCTION("""COMPUTED_VALUE"""),60.0)</f>
        <v>60</v>
      </c>
      <c r="F8836" s="19" t="str">
        <f>IFERROR(__xludf.DUMMYFUNCTION("""COMPUTED_VALUE"""),"BLUE")</f>
        <v>BLUE</v>
      </c>
      <c r="G8836" s="20" t="str">
        <f>IFERROR(__xludf.DUMMYFUNCTION("""COMPUTED_VALUE"""),"Uncle Sams Cider (04/04/2023)")</f>
        <v>Uncle Sams Cider (04/04/2023)</v>
      </c>
      <c r="H8836" s="19"/>
    </row>
    <row r="8837">
      <c r="A8837" s="9"/>
      <c r="B8837" s="15"/>
      <c r="C8837" s="9">
        <f>IFERROR(__xludf.DUMMYFUNCTION("""COMPUTED_VALUE"""),45051.3710394097)</f>
        <v>45051.37104</v>
      </c>
      <c r="D8837" s="15">
        <f>IFERROR(__xludf.DUMMYFUNCTION("""COMPUTED_VALUE"""),1.023)</f>
        <v>1.023</v>
      </c>
      <c r="E8837" s="16">
        <f>IFERROR(__xludf.DUMMYFUNCTION("""COMPUTED_VALUE"""),60.0)</f>
        <v>60</v>
      </c>
      <c r="F8837" s="19" t="str">
        <f>IFERROR(__xludf.DUMMYFUNCTION("""COMPUTED_VALUE"""),"BLUE")</f>
        <v>BLUE</v>
      </c>
      <c r="G8837" s="20" t="str">
        <f>IFERROR(__xludf.DUMMYFUNCTION("""COMPUTED_VALUE"""),"Uncle Sams Cider (04/04/2023)")</f>
        <v>Uncle Sams Cider (04/04/2023)</v>
      </c>
      <c r="H8837" s="19"/>
    </row>
    <row r="8838">
      <c r="A8838" s="9"/>
      <c r="B8838" s="15"/>
      <c r="C8838" s="9">
        <f>IFERROR(__xludf.DUMMYFUNCTION("""COMPUTED_VALUE"""),45051.3606184722)</f>
        <v>45051.36062</v>
      </c>
      <c r="D8838" s="15">
        <f>IFERROR(__xludf.DUMMYFUNCTION("""COMPUTED_VALUE"""),1.023)</f>
        <v>1.023</v>
      </c>
      <c r="E8838" s="16">
        <f>IFERROR(__xludf.DUMMYFUNCTION("""COMPUTED_VALUE"""),60.0)</f>
        <v>60</v>
      </c>
      <c r="F8838" s="19" t="str">
        <f>IFERROR(__xludf.DUMMYFUNCTION("""COMPUTED_VALUE"""),"BLUE")</f>
        <v>BLUE</v>
      </c>
      <c r="G8838" s="20" t="str">
        <f>IFERROR(__xludf.DUMMYFUNCTION("""COMPUTED_VALUE"""),"Uncle Sams Cider (04/04/2023)")</f>
        <v>Uncle Sams Cider (04/04/2023)</v>
      </c>
      <c r="H8838" s="19"/>
    </row>
    <row r="8839">
      <c r="A8839" s="9"/>
      <c r="B8839" s="15"/>
      <c r="C8839" s="9">
        <f>IFERROR(__xludf.DUMMYFUNCTION("""COMPUTED_VALUE"""),45051.3501974074)</f>
        <v>45051.3502</v>
      </c>
      <c r="D8839" s="15">
        <f>IFERROR(__xludf.DUMMYFUNCTION("""COMPUTED_VALUE"""),1.023)</f>
        <v>1.023</v>
      </c>
      <c r="E8839" s="16">
        <f>IFERROR(__xludf.DUMMYFUNCTION("""COMPUTED_VALUE"""),60.0)</f>
        <v>60</v>
      </c>
      <c r="F8839" s="19" t="str">
        <f>IFERROR(__xludf.DUMMYFUNCTION("""COMPUTED_VALUE"""),"BLUE")</f>
        <v>BLUE</v>
      </c>
      <c r="G8839" s="20" t="str">
        <f>IFERROR(__xludf.DUMMYFUNCTION("""COMPUTED_VALUE"""),"Uncle Sams Cider (04/04/2023)")</f>
        <v>Uncle Sams Cider (04/04/2023)</v>
      </c>
      <c r="H8839" s="19"/>
    </row>
    <row r="8840">
      <c r="A8840" s="9"/>
      <c r="B8840" s="15"/>
      <c r="C8840" s="9">
        <f>IFERROR(__xludf.DUMMYFUNCTION("""COMPUTED_VALUE"""),45051.3397742939)</f>
        <v>45051.33977</v>
      </c>
      <c r="D8840" s="15">
        <f>IFERROR(__xludf.DUMMYFUNCTION("""COMPUTED_VALUE"""),1.023)</f>
        <v>1.023</v>
      </c>
      <c r="E8840" s="16">
        <f>IFERROR(__xludf.DUMMYFUNCTION("""COMPUTED_VALUE"""),60.0)</f>
        <v>60</v>
      </c>
      <c r="F8840" s="19" t="str">
        <f>IFERROR(__xludf.DUMMYFUNCTION("""COMPUTED_VALUE"""),"BLUE")</f>
        <v>BLUE</v>
      </c>
      <c r="G8840" s="20" t="str">
        <f>IFERROR(__xludf.DUMMYFUNCTION("""COMPUTED_VALUE"""),"Uncle Sams Cider (04/04/2023)")</f>
        <v>Uncle Sams Cider (04/04/2023)</v>
      </c>
      <c r="H8840" s="19"/>
    </row>
    <row r="8841">
      <c r="A8841" s="9"/>
      <c r="B8841" s="15"/>
      <c r="C8841" s="9">
        <f>IFERROR(__xludf.DUMMYFUNCTION("""COMPUTED_VALUE"""),45051.329352743)</f>
        <v>45051.32935</v>
      </c>
      <c r="D8841" s="15">
        <f>IFERROR(__xludf.DUMMYFUNCTION("""COMPUTED_VALUE"""),1.023)</f>
        <v>1.023</v>
      </c>
      <c r="E8841" s="16">
        <f>IFERROR(__xludf.DUMMYFUNCTION("""COMPUTED_VALUE"""),60.0)</f>
        <v>60</v>
      </c>
      <c r="F8841" s="19" t="str">
        <f>IFERROR(__xludf.DUMMYFUNCTION("""COMPUTED_VALUE"""),"BLUE")</f>
        <v>BLUE</v>
      </c>
      <c r="G8841" s="20" t="str">
        <f>IFERROR(__xludf.DUMMYFUNCTION("""COMPUTED_VALUE"""),"Uncle Sams Cider (04/04/2023)")</f>
        <v>Uncle Sams Cider (04/04/2023)</v>
      </c>
      <c r="H8841" s="19"/>
    </row>
    <row r="8842">
      <c r="A8842" s="9"/>
      <c r="B8842" s="15"/>
      <c r="C8842" s="9">
        <f>IFERROR(__xludf.DUMMYFUNCTION("""COMPUTED_VALUE"""),45051.318930625)</f>
        <v>45051.31893</v>
      </c>
      <c r="D8842" s="15">
        <f>IFERROR(__xludf.DUMMYFUNCTION("""COMPUTED_VALUE"""),1.023)</f>
        <v>1.023</v>
      </c>
      <c r="E8842" s="16">
        <f>IFERROR(__xludf.DUMMYFUNCTION("""COMPUTED_VALUE"""),60.0)</f>
        <v>60</v>
      </c>
      <c r="F8842" s="19" t="str">
        <f>IFERROR(__xludf.DUMMYFUNCTION("""COMPUTED_VALUE"""),"BLUE")</f>
        <v>BLUE</v>
      </c>
      <c r="G8842" s="20" t="str">
        <f>IFERROR(__xludf.DUMMYFUNCTION("""COMPUTED_VALUE"""),"Uncle Sams Cider (04/04/2023)")</f>
        <v>Uncle Sams Cider (04/04/2023)</v>
      </c>
      <c r="H8842" s="19"/>
    </row>
    <row r="8843">
      <c r="A8843" s="9"/>
      <c r="B8843" s="15"/>
      <c r="C8843" s="9">
        <f>IFERROR(__xludf.DUMMYFUNCTION("""COMPUTED_VALUE"""),45051.3084973842)</f>
        <v>45051.3085</v>
      </c>
      <c r="D8843" s="15">
        <f>IFERROR(__xludf.DUMMYFUNCTION("""COMPUTED_VALUE"""),1.023)</f>
        <v>1.023</v>
      </c>
      <c r="E8843" s="16">
        <f>IFERROR(__xludf.DUMMYFUNCTION("""COMPUTED_VALUE"""),61.0)</f>
        <v>61</v>
      </c>
      <c r="F8843" s="19" t="str">
        <f>IFERROR(__xludf.DUMMYFUNCTION("""COMPUTED_VALUE"""),"BLUE")</f>
        <v>BLUE</v>
      </c>
      <c r="G8843" s="20" t="str">
        <f>IFERROR(__xludf.DUMMYFUNCTION("""COMPUTED_VALUE"""),"Uncle Sams Cider (04/04/2023)")</f>
        <v>Uncle Sams Cider (04/04/2023)</v>
      </c>
      <c r="H8843" s="19"/>
    </row>
    <row r="8844">
      <c r="A8844" s="9"/>
      <c r="B8844" s="15"/>
      <c r="C8844" s="9">
        <f>IFERROR(__xludf.DUMMYFUNCTION("""COMPUTED_VALUE"""),45051.2980755092)</f>
        <v>45051.29808</v>
      </c>
      <c r="D8844" s="15">
        <f>IFERROR(__xludf.DUMMYFUNCTION("""COMPUTED_VALUE"""),1.023)</f>
        <v>1.023</v>
      </c>
      <c r="E8844" s="16">
        <f>IFERROR(__xludf.DUMMYFUNCTION("""COMPUTED_VALUE"""),60.0)</f>
        <v>60</v>
      </c>
      <c r="F8844" s="19" t="str">
        <f>IFERROR(__xludf.DUMMYFUNCTION("""COMPUTED_VALUE"""),"BLUE")</f>
        <v>BLUE</v>
      </c>
      <c r="G8844" s="20" t="str">
        <f>IFERROR(__xludf.DUMMYFUNCTION("""COMPUTED_VALUE"""),"Uncle Sams Cider (04/04/2023)")</f>
        <v>Uncle Sams Cider (04/04/2023)</v>
      </c>
      <c r="H8844" s="19"/>
    </row>
    <row r="8845">
      <c r="A8845" s="9"/>
      <c r="B8845" s="15"/>
      <c r="C8845" s="9">
        <f>IFERROR(__xludf.DUMMYFUNCTION("""COMPUTED_VALUE"""),45051.2876562037)</f>
        <v>45051.28766</v>
      </c>
      <c r="D8845" s="15">
        <f>IFERROR(__xludf.DUMMYFUNCTION("""COMPUTED_VALUE"""),1.023)</f>
        <v>1.023</v>
      </c>
      <c r="E8845" s="16">
        <f>IFERROR(__xludf.DUMMYFUNCTION("""COMPUTED_VALUE"""),60.0)</f>
        <v>60</v>
      </c>
      <c r="F8845" s="19" t="str">
        <f>IFERROR(__xludf.DUMMYFUNCTION("""COMPUTED_VALUE"""),"BLUE")</f>
        <v>BLUE</v>
      </c>
      <c r="G8845" s="20" t="str">
        <f>IFERROR(__xludf.DUMMYFUNCTION("""COMPUTED_VALUE"""),"Uncle Sams Cider (04/04/2023)")</f>
        <v>Uncle Sams Cider (04/04/2023)</v>
      </c>
      <c r="H8845" s="19"/>
    </row>
    <row r="8846">
      <c r="A8846" s="9"/>
      <c r="B8846" s="15"/>
      <c r="C8846" s="9">
        <f>IFERROR(__xludf.DUMMYFUNCTION("""COMPUTED_VALUE"""),45051.2772244213)</f>
        <v>45051.27722</v>
      </c>
      <c r="D8846" s="15">
        <f>IFERROR(__xludf.DUMMYFUNCTION("""COMPUTED_VALUE"""),1.023)</f>
        <v>1.023</v>
      </c>
      <c r="E8846" s="16">
        <f>IFERROR(__xludf.DUMMYFUNCTION("""COMPUTED_VALUE"""),61.0)</f>
        <v>61</v>
      </c>
      <c r="F8846" s="19" t="str">
        <f>IFERROR(__xludf.DUMMYFUNCTION("""COMPUTED_VALUE"""),"BLUE")</f>
        <v>BLUE</v>
      </c>
      <c r="G8846" s="20" t="str">
        <f>IFERROR(__xludf.DUMMYFUNCTION("""COMPUTED_VALUE"""),"Uncle Sams Cider (04/04/2023)")</f>
        <v>Uncle Sams Cider (04/04/2023)</v>
      </c>
      <c r="H8846" s="19"/>
    </row>
    <row r="8847">
      <c r="A8847" s="9"/>
      <c r="B8847" s="15"/>
      <c r="C8847" s="9">
        <f>IFERROR(__xludf.DUMMYFUNCTION("""COMPUTED_VALUE"""),45051.2667906828)</f>
        <v>45051.26679</v>
      </c>
      <c r="D8847" s="15">
        <f>IFERROR(__xludf.DUMMYFUNCTION("""COMPUTED_VALUE"""),1.023)</f>
        <v>1.023</v>
      </c>
      <c r="E8847" s="16">
        <f>IFERROR(__xludf.DUMMYFUNCTION("""COMPUTED_VALUE"""),60.0)</f>
        <v>60</v>
      </c>
      <c r="F8847" s="19" t="str">
        <f>IFERROR(__xludf.DUMMYFUNCTION("""COMPUTED_VALUE"""),"BLUE")</f>
        <v>BLUE</v>
      </c>
      <c r="G8847" s="20" t="str">
        <f>IFERROR(__xludf.DUMMYFUNCTION("""COMPUTED_VALUE"""),"Uncle Sams Cider (04/04/2023)")</f>
        <v>Uncle Sams Cider (04/04/2023)</v>
      </c>
      <c r="H8847" s="19"/>
    </row>
    <row r="8848">
      <c r="A8848" s="9"/>
      <c r="B8848" s="15"/>
      <c r="C8848" s="9">
        <f>IFERROR(__xludf.DUMMYFUNCTION("""COMPUTED_VALUE"""),45051.2563714699)</f>
        <v>45051.25637</v>
      </c>
      <c r="D8848" s="15">
        <f>IFERROR(__xludf.DUMMYFUNCTION("""COMPUTED_VALUE"""),1.023)</f>
        <v>1.023</v>
      </c>
      <c r="E8848" s="16">
        <f>IFERROR(__xludf.DUMMYFUNCTION("""COMPUTED_VALUE"""),61.0)</f>
        <v>61</v>
      </c>
      <c r="F8848" s="19" t="str">
        <f>IFERROR(__xludf.DUMMYFUNCTION("""COMPUTED_VALUE"""),"BLUE")</f>
        <v>BLUE</v>
      </c>
      <c r="G8848" s="20" t="str">
        <f>IFERROR(__xludf.DUMMYFUNCTION("""COMPUTED_VALUE"""),"Uncle Sams Cider (04/04/2023)")</f>
        <v>Uncle Sams Cider (04/04/2023)</v>
      </c>
      <c r="H8848" s="19"/>
    </row>
    <row r="8849">
      <c r="A8849" s="9"/>
      <c r="B8849" s="15"/>
      <c r="C8849" s="9">
        <f>IFERROR(__xludf.DUMMYFUNCTION("""COMPUTED_VALUE"""),45051.2459399305)</f>
        <v>45051.24594</v>
      </c>
      <c r="D8849" s="15">
        <f>IFERROR(__xludf.DUMMYFUNCTION("""COMPUTED_VALUE"""),1.023)</f>
        <v>1.023</v>
      </c>
      <c r="E8849" s="16">
        <f>IFERROR(__xludf.DUMMYFUNCTION("""COMPUTED_VALUE"""),61.0)</f>
        <v>61</v>
      </c>
      <c r="F8849" s="19" t="str">
        <f>IFERROR(__xludf.DUMMYFUNCTION("""COMPUTED_VALUE"""),"BLUE")</f>
        <v>BLUE</v>
      </c>
      <c r="G8849" s="20" t="str">
        <f>IFERROR(__xludf.DUMMYFUNCTION("""COMPUTED_VALUE"""),"Uncle Sams Cider (04/04/2023)")</f>
        <v>Uncle Sams Cider (04/04/2023)</v>
      </c>
      <c r="H8849" s="19"/>
    </row>
    <row r="8850">
      <c r="A8850" s="9"/>
      <c r="B8850" s="15"/>
      <c r="C8850" s="9">
        <f>IFERROR(__xludf.DUMMYFUNCTION("""COMPUTED_VALUE"""),45051.2355192245)</f>
        <v>45051.23552</v>
      </c>
      <c r="D8850" s="15">
        <f>IFERROR(__xludf.DUMMYFUNCTION("""COMPUTED_VALUE"""),1.023)</f>
        <v>1.023</v>
      </c>
      <c r="E8850" s="16">
        <f>IFERROR(__xludf.DUMMYFUNCTION("""COMPUTED_VALUE"""),60.0)</f>
        <v>60</v>
      </c>
      <c r="F8850" s="19" t="str">
        <f>IFERROR(__xludf.DUMMYFUNCTION("""COMPUTED_VALUE"""),"BLUE")</f>
        <v>BLUE</v>
      </c>
      <c r="G8850" s="20" t="str">
        <f>IFERROR(__xludf.DUMMYFUNCTION("""COMPUTED_VALUE"""),"Uncle Sams Cider (04/04/2023)")</f>
        <v>Uncle Sams Cider (04/04/2023)</v>
      </c>
      <c r="H8850" s="19"/>
    </row>
    <row r="8851">
      <c r="A8851" s="9"/>
      <c r="B8851" s="15"/>
      <c r="C8851" s="9">
        <f>IFERROR(__xludf.DUMMYFUNCTION("""COMPUTED_VALUE"""),45051.2250976389)</f>
        <v>45051.2251</v>
      </c>
      <c r="D8851" s="15">
        <f>IFERROR(__xludf.DUMMYFUNCTION("""COMPUTED_VALUE"""),1.023)</f>
        <v>1.023</v>
      </c>
      <c r="E8851" s="16">
        <f>IFERROR(__xludf.DUMMYFUNCTION("""COMPUTED_VALUE"""),60.0)</f>
        <v>60</v>
      </c>
      <c r="F8851" s="19" t="str">
        <f>IFERROR(__xludf.DUMMYFUNCTION("""COMPUTED_VALUE"""),"BLUE")</f>
        <v>BLUE</v>
      </c>
      <c r="G8851" s="20" t="str">
        <f>IFERROR(__xludf.DUMMYFUNCTION("""COMPUTED_VALUE"""),"Uncle Sams Cider (04/04/2023)")</f>
        <v>Uncle Sams Cider (04/04/2023)</v>
      </c>
      <c r="H8851" s="19"/>
    </row>
    <row r="8852">
      <c r="A8852" s="9"/>
      <c r="B8852" s="15"/>
      <c r="C8852" s="9">
        <f>IFERROR(__xludf.DUMMYFUNCTION("""COMPUTED_VALUE"""),45051.2146629976)</f>
        <v>45051.21466</v>
      </c>
      <c r="D8852" s="15">
        <f>IFERROR(__xludf.DUMMYFUNCTION("""COMPUTED_VALUE"""),1.023)</f>
        <v>1.023</v>
      </c>
      <c r="E8852" s="16">
        <f>IFERROR(__xludf.DUMMYFUNCTION("""COMPUTED_VALUE"""),61.0)</f>
        <v>61</v>
      </c>
      <c r="F8852" s="19" t="str">
        <f>IFERROR(__xludf.DUMMYFUNCTION("""COMPUTED_VALUE"""),"BLUE")</f>
        <v>BLUE</v>
      </c>
      <c r="G8852" s="20" t="str">
        <f>IFERROR(__xludf.DUMMYFUNCTION("""COMPUTED_VALUE"""),"Uncle Sams Cider (04/04/2023)")</f>
        <v>Uncle Sams Cider (04/04/2023)</v>
      </c>
      <c r="H8852" s="19"/>
    </row>
    <row r="8853">
      <c r="A8853" s="9"/>
      <c r="B8853" s="15"/>
      <c r="C8853" s="9">
        <f>IFERROR(__xludf.DUMMYFUNCTION("""COMPUTED_VALUE"""),45051.2042304398)</f>
        <v>45051.20423</v>
      </c>
      <c r="D8853" s="15">
        <f>IFERROR(__xludf.DUMMYFUNCTION("""COMPUTED_VALUE"""),1.023)</f>
        <v>1.023</v>
      </c>
      <c r="E8853" s="16">
        <f>IFERROR(__xludf.DUMMYFUNCTION("""COMPUTED_VALUE"""),61.0)</f>
        <v>61</v>
      </c>
      <c r="F8853" s="19" t="str">
        <f>IFERROR(__xludf.DUMMYFUNCTION("""COMPUTED_VALUE"""),"BLUE")</f>
        <v>BLUE</v>
      </c>
      <c r="G8853" s="20" t="str">
        <f>IFERROR(__xludf.DUMMYFUNCTION("""COMPUTED_VALUE"""),"Uncle Sams Cider (04/04/2023)")</f>
        <v>Uncle Sams Cider (04/04/2023)</v>
      </c>
      <c r="H8853" s="19"/>
    </row>
    <row r="8854">
      <c r="A8854" s="9"/>
      <c r="B8854" s="15"/>
      <c r="C8854" s="9">
        <f>IFERROR(__xludf.DUMMYFUNCTION("""COMPUTED_VALUE"""),45051.1938083449)</f>
        <v>45051.19381</v>
      </c>
      <c r="D8854" s="15">
        <f>IFERROR(__xludf.DUMMYFUNCTION("""COMPUTED_VALUE"""),1.023)</f>
        <v>1.023</v>
      </c>
      <c r="E8854" s="16">
        <f>IFERROR(__xludf.DUMMYFUNCTION("""COMPUTED_VALUE"""),61.0)</f>
        <v>61</v>
      </c>
      <c r="F8854" s="19" t="str">
        <f>IFERROR(__xludf.DUMMYFUNCTION("""COMPUTED_VALUE"""),"BLUE")</f>
        <v>BLUE</v>
      </c>
      <c r="G8854" s="20" t="str">
        <f>IFERROR(__xludf.DUMMYFUNCTION("""COMPUTED_VALUE"""),"Uncle Sams Cider (04/04/2023)")</f>
        <v>Uncle Sams Cider (04/04/2023)</v>
      </c>
      <c r="H8854" s="19"/>
    </row>
    <row r="8855">
      <c r="A8855" s="9"/>
      <c r="B8855" s="15"/>
      <c r="C8855" s="9">
        <f>IFERROR(__xludf.DUMMYFUNCTION("""COMPUTED_VALUE"""),45051.1833873032)</f>
        <v>45051.18339</v>
      </c>
      <c r="D8855" s="15">
        <f>IFERROR(__xludf.DUMMYFUNCTION("""COMPUTED_VALUE"""),1.023)</f>
        <v>1.023</v>
      </c>
      <c r="E8855" s="16">
        <f>IFERROR(__xludf.DUMMYFUNCTION("""COMPUTED_VALUE"""),60.0)</f>
        <v>60</v>
      </c>
      <c r="F8855" s="19" t="str">
        <f>IFERROR(__xludf.DUMMYFUNCTION("""COMPUTED_VALUE"""),"BLUE")</f>
        <v>BLUE</v>
      </c>
      <c r="G8855" s="20" t="str">
        <f>IFERROR(__xludf.DUMMYFUNCTION("""COMPUTED_VALUE"""),"Uncle Sams Cider (04/04/2023)")</f>
        <v>Uncle Sams Cider (04/04/2023)</v>
      </c>
      <c r="H8855" s="19"/>
    </row>
    <row r="8856">
      <c r="A8856" s="9"/>
      <c r="B8856" s="15"/>
      <c r="C8856" s="9">
        <f>IFERROR(__xludf.DUMMYFUNCTION("""COMPUTED_VALUE"""),45051.1729676388)</f>
        <v>45051.17297</v>
      </c>
      <c r="D8856" s="15">
        <f>IFERROR(__xludf.DUMMYFUNCTION("""COMPUTED_VALUE"""),1.023)</f>
        <v>1.023</v>
      </c>
      <c r="E8856" s="16">
        <f>IFERROR(__xludf.DUMMYFUNCTION("""COMPUTED_VALUE"""),60.0)</f>
        <v>60</v>
      </c>
      <c r="F8856" s="19" t="str">
        <f>IFERROR(__xludf.DUMMYFUNCTION("""COMPUTED_VALUE"""),"BLUE")</f>
        <v>BLUE</v>
      </c>
      <c r="G8856" s="20" t="str">
        <f>IFERROR(__xludf.DUMMYFUNCTION("""COMPUTED_VALUE"""),"Uncle Sams Cider (04/04/2023)")</f>
        <v>Uncle Sams Cider (04/04/2023)</v>
      </c>
      <c r="H8856" s="19"/>
    </row>
    <row r="8857">
      <c r="A8857" s="9"/>
      <c r="B8857" s="15"/>
      <c r="C8857" s="9">
        <f>IFERROR(__xludf.DUMMYFUNCTION("""COMPUTED_VALUE"""),45051.162546412)</f>
        <v>45051.16255</v>
      </c>
      <c r="D8857" s="15">
        <f>IFERROR(__xludf.DUMMYFUNCTION("""COMPUTED_VALUE"""),1.023)</f>
        <v>1.023</v>
      </c>
      <c r="E8857" s="16">
        <f>IFERROR(__xludf.DUMMYFUNCTION("""COMPUTED_VALUE"""),61.0)</f>
        <v>61</v>
      </c>
      <c r="F8857" s="19" t="str">
        <f>IFERROR(__xludf.DUMMYFUNCTION("""COMPUTED_VALUE"""),"BLUE")</f>
        <v>BLUE</v>
      </c>
      <c r="G8857" s="20" t="str">
        <f>IFERROR(__xludf.DUMMYFUNCTION("""COMPUTED_VALUE"""),"Uncle Sams Cider (04/04/2023)")</f>
        <v>Uncle Sams Cider (04/04/2023)</v>
      </c>
      <c r="H8857" s="19"/>
    </row>
    <row r="8858">
      <c r="A8858" s="9"/>
      <c r="B8858" s="15"/>
      <c r="C8858" s="9">
        <f>IFERROR(__xludf.DUMMYFUNCTION("""COMPUTED_VALUE"""),45051.1521245138)</f>
        <v>45051.15212</v>
      </c>
      <c r="D8858" s="15">
        <f>IFERROR(__xludf.DUMMYFUNCTION("""COMPUTED_VALUE"""),1.023)</f>
        <v>1.023</v>
      </c>
      <c r="E8858" s="16">
        <f>IFERROR(__xludf.DUMMYFUNCTION("""COMPUTED_VALUE"""),61.0)</f>
        <v>61</v>
      </c>
      <c r="F8858" s="19" t="str">
        <f>IFERROR(__xludf.DUMMYFUNCTION("""COMPUTED_VALUE"""),"BLUE")</f>
        <v>BLUE</v>
      </c>
      <c r="G8858" s="20" t="str">
        <f>IFERROR(__xludf.DUMMYFUNCTION("""COMPUTED_VALUE"""),"Uncle Sams Cider (04/04/2023)")</f>
        <v>Uncle Sams Cider (04/04/2023)</v>
      </c>
      <c r="H8858" s="19"/>
    </row>
    <row r="8859">
      <c r="A8859" s="9"/>
      <c r="B8859" s="15"/>
      <c r="C8859" s="9">
        <f>IFERROR(__xludf.DUMMYFUNCTION("""COMPUTED_VALUE"""),45051.1417057291)</f>
        <v>45051.14171</v>
      </c>
      <c r="D8859" s="15">
        <f>IFERROR(__xludf.DUMMYFUNCTION("""COMPUTED_VALUE"""),1.023)</f>
        <v>1.023</v>
      </c>
      <c r="E8859" s="16">
        <f>IFERROR(__xludf.DUMMYFUNCTION("""COMPUTED_VALUE"""),61.0)</f>
        <v>61</v>
      </c>
      <c r="F8859" s="19" t="str">
        <f>IFERROR(__xludf.DUMMYFUNCTION("""COMPUTED_VALUE"""),"BLUE")</f>
        <v>BLUE</v>
      </c>
      <c r="G8859" s="20" t="str">
        <f>IFERROR(__xludf.DUMMYFUNCTION("""COMPUTED_VALUE"""),"Uncle Sams Cider (04/04/2023)")</f>
        <v>Uncle Sams Cider (04/04/2023)</v>
      </c>
      <c r="H8859" s="19"/>
    </row>
    <row r="8860">
      <c r="A8860" s="9"/>
      <c r="B8860" s="15"/>
      <c r="C8860" s="9">
        <f>IFERROR(__xludf.DUMMYFUNCTION("""COMPUTED_VALUE"""),45051.1312710995)</f>
        <v>45051.13127</v>
      </c>
      <c r="D8860" s="15">
        <f>IFERROR(__xludf.DUMMYFUNCTION("""COMPUTED_VALUE"""),1.023)</f>
        <v>1.023</v>
      </c>
      <c r="E8860" s="16">
        <f>IFERROR(__xludf.DUMMYFUNCTION("""COMPUTED_VALUE"""),61.0)</f>
        <v>61</v>
      </c>
      <c r="F8860" s="19" t="str">
        <f>IFERROR(__xludf.DUMMYFUNCTION("""COMPUTED_VALUE"""),"BLUE")</f>
        <v>BLUE</v>
      </c>
      <c r="G8860" s="20" t="str">
        <f>IFERROR(__xludf.DUMMYFUNCTION("""COMPUTED_VALUE"""),"Uncle Sams Cider (04/04/2023)")</f>
        <v>Uncle Sams Cider (04/04/2023)</v>
      </c>
      <c r="H8860" s="19"/>
    </row>
    <row r="8861">
      <c r="A8861" s="9"/>
      <c r="B8861" s="15"/>
      <c r="C8861" s="9">
        <f>IFERROR(__xludf.DUMMYFUNCTION("""COMPUTED_VALUE"""),45051.1208487268)</f>
        <v>45051.12085</v>
      </c>
      <c r="D8861" s="15">
        <f>IFERROR(__xludf.DUMMYFUNCTION("""COMPUTED_VALUE"""),1.023)</f>
        <v>1.023</v>
      </c>
      <c r="E8861" s="16">
        <f>IFERROR(__xludf.DUMMYFUNCTION("""COMPUTED_VALUE"""),61.0)</f>
        <v>61</v>
      </c>
      <c r="F8861" s="19" t="str">
        <f>IFERROR(__xludf.DUMMYFUNCTION("""COMPUTED_VALUE"""),"BLUE")</f>
        <v>BLUE</v>
      </c>
      <c r="G8861" s="20" t="str">
        <f>IFERROR(__xludf.DUMMYFUNCTION("""COMPUTED_VALUE"""),"Uncle Sams Cider (04/04/2023)")</f>
        <v>Uncle Sams Cider (04/04/2023)</v>
      </c>
      <c r="H8861" s="19"/>
    </row>
    <row r="8862">
      <c r="A8862" s="9"/>
      <c r="B8862" s="15"/>
      <c r="C8862" s="9">
        <f>IFERROR(__xludf.DUMMYFUNCTION("""COMPUTED_VALUE"""),45051.1104290393)</f>
        <v>45051.11043</v>
      </c>
      <c r="D8862" s="15">
        <f>IFERROR(__xludf.DUMMYFUNCTION("""COMPUTED_VALUE"""),1.023)</f>
        <v>1.023</v>
      </c>
      <c r="E8862" s="16">
        <f>IFERROR(__xludf.DUMMYFUNCTION("""COMPUTED_VALUE"""),61.0)</f>
        <v>61</v>
      </c>
      <c r="F8862" s="19" t="str">
        <f>IFERROR(__xludf.DUMMYFUNCTION("""COMPUTED_VALUE"""),"BLUE")</f>
        <v>BLUE</v>
      </c>
      <c r="G8862" s="20" t="str">
        <f>IFERROR(__xludf.DUMMYFUNCTION("""COMPUTED_VALUE"""),"Uncle Sams Cider (04/04/2023)")</f>
        <v>Uncle Sams Cider (04/04/2023)</v>
      </c>
      <c r="H8862" s="19"/>
    </row>
    <row r="8863">
      <c r="A8863" s="9"/>
      <c r="B8863" s="15"/>
      <c r="C8863" s="9">
        <f>IFERROR(__xludf.DUMMYFUNCTION("""COMPUTED_VALUE"""),45051.1000066435)</f>
        <v>45051.10001</v>
      </c>
      <c r="D8863" s="15">
        <f>IFERROR(__xludf.DUMMYFUNCTION("""COMPUTED_VALUE"""),1.023)</f>
        <v>1.023</v>
      </c>
      <c r="E8863" s="16">
        <f>IFERROR(__xludf.DUMMYFUNCTION("""COMPUTED_VALUE"""),61.0)</f>
        <v>61</v>
      </c>
      <c r="F8863" s="19" t="str">
        <f>IFERROR(__xludf.DUMMYFUNCTION("""COMPUTED_VALUE"""),"BLUE")</f>
        <v>BLUE</v>
      </c>
      <c r="G8863" s="20" t="str">
        <f>IFERROR(__xludf.DUMMYFUNCTION("""COMPUTED_VALUE"""),"Uncle Sams Cider (04/04/2023)")</f>
        <v>Uncle Sams Cider (04/04/2023)</v>
      </c>
      <c r="H8863" s="19"/>
    </row>
    <row r="8864">
      <c r="A8864" s="9"/>
      <c r="B8864" s="15"/>
      <c r="C8864" s="9">
        <f>IFERROR(__xludf.DUMMYFUNCTION("""COMPUTED_VALUE"""),45051.0895853819)</f>
        <v>45051.08959</v>
      </c>
      <c r="D8864" s="15">
        <f>IFERROR(__xludf.DUMMYFUNCTION("""COMPUTED_VALUE"""),1.023)</f>
        <v>1.023</v>
      </c>
      <c r="E8864" s="16">
        <f>IFERROR(__xludf.DUMMYFUNCTION("""COMPUTED_VALUE"""),61.0)</f>
        <v>61</v>
      </c>
      <c r="F8864" s="19" t="str">
        <f>IFERROR(__xludf.DUMMYFUNCTION("""COMPUTED_VALUE"""),"BLUE")</f>
        <v>BLUE</v>
      </c>
      <c r="G8864" s="20" t="str">
        <f>IFERROR(__xludf.DUMMYFUNCTION("""COMPUTED_VALUE"""),"Uncle Sams Cider (04/04/2023)")</f>
        <v>Uncle Sams Cider (04/04/2023)</v>
      </c>
      <c r="H8864" s="19"/>
    </row>
    <row r="8865">
      <c r="A8865" s="9"/>
      <c r="B8865" s="15"/>
      <c r="C8865" s="9">
        <f>IFERROR(__xludf.DUMMYFUNCTION("""COMPUTED_VALUE"""),45051.0791640625)</f>
        <v>45051.07916</v>
      </c>
      <c r="D8865" s="15">
        <f>IFERROR(__xludf.DUMMYFUNCTION("""COMPUTED_VALUE"""),1.023)</f>
        <v>1.023</v>
      </c>
      <c r="E8865" s="16">
        <f>IFERROR(__xludf.DUMMYFUNCTION("""COMPUTED_VALUE"""),61.0)</f>
        <v>61</v>
      </c>
      <c r="F8865" s="19" t="str">
        <f>IFERROR(__xludf.DUMMYFUNCTION("""COMPUTED_VALUE"""),"BLUE")</f>
        <v>BLUE</v>
      </c>
      <c r="G8865" s="20" t="str">
        <f>IFERROR(__xludf.DUMMYFUNCTION("""COMPUTED_VALUE"""),"Uncle Sams Cider (04/04/2023)")</f>
        <v>Uncle Sams Cider (04/04/2023)</v>
      </c>
      <c r="H8865" s="19"/>
    </row>
    <row r="8866">
      <c r="A8866" s="9"/>
      <c r="B8866" s="15"/>
      <c r="C8866" s="9">
        <f>IFERROR(__xludf.DUMMYFUNCTION("""COMPUTED_VALUE"""),45051.0687299537)</f>
        <v>45051.06873</v>
      </c>
      <c r="D8866" s="15">
        <f>IFERROR(__xludf.DUMMYFUNCTION("""COMPUTED_VALUE"""),1.023)</f>
        <v>1.023</v>
      </c>
      <c r="E8866" s="16">
        <f>IFERROR(__xludf.DUMMYFUNCTION("""COMPUTED_VALUE"""),61.0)</f>
        <v>61</v>
      </c>
      <c r="F8866" s="19" t="str">
        <f>IFERROR(__xludf.DUMMYFUNCTION("""COMPUTED_VALUE"""),"BLUE")</f>
        <v>BLUE</v>
      </c>
      <c r="G8866" s="20" t="str">
        <f>IFERROR(__xludf.DUMMYFUNCTION("""COMPUTED_VALUE"""),"Uncle Sams Cider (04/04/2023)")</f>
        <v>Uncle Sams Cider (04/04/2023)</v>
      </c>
      <c r="H8866" s="19"/>
    </row>
    <row r="8867">
      <c r="A8867" s="9"/>
      <c r="B8867" s="15"/>
      <c r="C8867" s="9">
        <f>IFERROR(__xludf.DUMMYFUNCTION("""COMPUTED_VALUE"""),45051.0583090625)</f>
        <v>45051.05831</v>
      </c>
      <c r="D8867" s="15">
        <f>IFERROR(__xludf.DUMMYFUNCTION("""COMPUTED_VALUE"""),1.023)</f>
        <v>1.023</v>
      </c>
      <c r="E8867" s="16">
        <f>IFERROR(__xludf.DUMMYFUNCTION("""COMPUTED_VALUE"""),61.0)</f>
        <v>61</v>
      </c>
      <c r="F8867" s="19" t="str">
        <f>IFERROR(__xludf.DUMMYFUNCTION("""COMPUTED_VALUE"""),"BLUE")</f>
        <v>BLUE</v>
      </c>
      <c r="G8867" s="20" t="str">
        <f>IFERROR(__xludf.DUMMYFUNCTION("""COMPUTED_VALUE"""),"Uncle Sams Cider (04/04/2023)")</f>
        <v>Uncle Sams Cider (04/04/2023)</v>
      </c>
      <c r="H8867" s="19"/>
    </row>
    <row r="8868">
      <c r="A8868" s="9"/>
      <c r="B8868" s="15"/>
      <c r="C8868" s="9">
        <f>IFERROR(__xludf.DUMMYFUNCTION("""COMPUTED_VALUE"""),45051.0478888773)</f>
        <v>45051.04789</v>
      </c>
      <c r="D8868" s="15">
        <f>IFERROR(__xludf.DUMMYFUNCTION("""COMPUTED_VALUE"""),1.023)</f>
        <v>1.023</v>
      </c>
      <c r="E8868" s="16">
        <f>IFERROR(__xludf.DUMMYFUNCTION("""COMPUTED_VALUE"""),61.0)</f>
        <v>61</v>
      </c>
      <c r="F8868" s="19" t="str">
        <f>IFERROR(__xludf.DUMMYFUNCTION("""COMPUTED_VALUE"""),"BLUE")</f>
        <v>BLUE</v>
      </c>
      <c r="G8868" s="20" t="str">
        <f>IFERROR(__xludf.DUMMYFUNCTION("""COMPUTED_VALUE"""),"Uncle Sams Cider (04/04/2023)")</f>
        <v>Uncle Sams Cider (04/04/2023)</v>
      </c>
      <c r="H8868" s="19"/>
    </row>
    <row r="8869">
      <c r="A8869" s="9"/>
      <c r="B8869" s="15"/>
      <c r="C8869" s="9">
        <f>IFERROR(__xludf.DUMMYFUNCTION("""COMPUTED_VALUE"""),45051.0374672569)</f>
        <v>45051.03747</v>
      </c>
      <c r="D8869" s="15">
        <f>IFERROR(__xludf.DUMMYFUNCTION("""COMPUTED_VALUE"""),1.023)</f>
        <v>1.023</v>
      </c>
      <c r="E8869" s="16">
        <f>IFERROR(__xludf.DUMMYFUNCTION("""COMPUTED_VALUE"""),61.0)</f>
        <v>61</v>
      </c>
      <c r="F8869" s="19" t="str">
        <f>IFERROR(__xludf.DUMMYFUNCTION("""COMPUTED_VALUE"""),"BLUE")</f>
        <v>BLUE</v>
      </c>
      <c r="G8869" s="20" t="str">
        <f>IFERROR(__xludf.DUMMYFUNCTION("""COMPUTED_VALUE"""),"Uncle Sams Cider (04/04/2023)")</f>
        <v>Uncle Sams Cider (04/04/2023)</v>
      </c>
      <c r="H8869" s="19"/>
    </row>
    <row r="8870">
      <c r="A8870" s="9"/>
      <c r="B8870" s="15"/>
      <c r="C8870" s="9">
        <f>IFERROR(__xludf.DUMMYFUNCTION("""COMPUTED_VALUE"""),45051.0270363194)</f>
        <v>45051.02704</v>
      </c>
      <c r="D8870" s="15">
        <f>IFERROR(__xludf.DUMMYFUNCTION("""COMPUTED_VALUE"""),1.023)</f>
        <v>1.023</v>
      </c>
      <c r="E8870" s="16">
        <f>IFERROR(__xludf.DUMMYFUNCTION("""COMPUTED_VALUE"""),61.0)</f>
        <v>61</v>
      </c>
      <c r="F8870" s="19" t="str">
        <f>IFERROR(__xludf.DUMMYFUNCTION("""COMPUTED_VALUE"""),"BLUE")</f>
        <v>BLUE</v>
      </c>
      <c r="G8870" s="20" t="str">
        <f>IFERROR(__xludf.DUMMYFUNCTION("""COMPUTED_VALUE"""),"Uncle Sams Cider (04/04/2023)")</f>
        <v>Uncle Sams Cider (04/04/2023)</v>
      </c>
      <c r="H8870" s="19"/>
    </row>
    <row r="8871">
      <c r="A8871" s="9"/>
      <c r="B8871" s="15"/>
      <c r="C8871" s="9">
        <f>IFERROR(__xludf.DUMMYFUNCTION("""COMPUTED_VALUE"""),45051.0166054166)</f>
        <v>45051.01661</v>
      </c>
      <c r="D8871" s="15">
        <f>IFERROR(__xludf.DUMMYFUNCTION("""COMPUTED_VALUE"""),1.023)</f>
        <v>1.023</v>
      </c>
      <c r="E8871" s="16">
        <f>IFERROR(__xludf.DUMMYFUNCTION("""COMPUTED_VALUE"""),61.0)</f>
        <v>61</v>
      </c>
      <c r="F8871" s="19" t="str">
        <f>IFERROR(__xludf.DUMMYFUNCTION("""COMPUTED_VALUE"""),"BLUE")</f>
        <v>BLUE</v>
      </c>
      <c r="G8871" s="20" t="str">
        <f>IFERROR(__xludf.DUMMYFUNCTION("""COMPUTED_VALUE"""),"Uncle Sams Cider (04/04/2023)")</f>
        <v>Uncle Sams Cider (04/04/2023)</v>
      </c>
      <c r="H8871" s="19"/>
    </row>
    <row r="8872">
      <c r="A8872" s="9"/>
      <c r="B8872" s="15"/>
      <c r="C8872" s="9">
        <f>IFERROR(__xludf.DUMMYFUNCTION("""COMPUTED_VALUE"""),45051.0061830671)</f>
        <v>45051.00618</v>
      </c>
      <c r="D8872" s="15">
        <f>IFERROR(__xludf.DUMMYFUNCTION("""COMPUTED_VALUE"""),1.023)</f>
        <v>1.023</v>
      </c>
      <c r="E8872" s="16">
        <f>IFERROR(__xludf.DUMMYFUNCTION("""COMPUTED_VALUE"""),61.0)</f>
        <v>61</v>
      </c>
      <c r="F8872" s="19" t="str">
        <f>IFERROR(__xludf.DUMMYFUNCTION("""COMPUTED_VALUE"""),"BLUE")</f>
        <v>BLUE</v>
      </c>
      <c r="G8872" s="20" t="str">
        <f>IFERROR(__xludf.DUMMYFUNCTION("""COMPUTED_VALUE"""),"Uncle Sams Cider (04/04/2023)")</f>
        <v>Uncle Sams Cider (04/04/2023)</v>
      </c>
      <c r="H8872" s="19"/>
    </row>
    <row r="8873">
      <c r="A8873" s="9"/>
      <c r="B8873" s="15"/>
      <c r="C8873" s="9">
        <f>IFERROR(__xludf.DUMMYFUNCTION("""COMPUTED_VALUE"""),45050.9957622453)</f>
        <v>45050.99576</v>
      </c>
      <c r="D8873" s="15">
        <f>IFERROR(__xludf.DUMMYFUNCTION("""COMPUTED_VALUE"""),1.023)</f>
        <v>1.023</v>
      </c>
      <c r="E8873" s="16">
        <f>IFERROR(__xludf.DUMMYFUNCTION("""COMPUTED_VALUE"""),61.0)</f>
        <v>61</v>
      </c>
      <c r="F8873" s="19" t="str">
        <f>IFERROR(__xludf.DUMMYFUNCTION("""COMPUTED_VALUE"""),"BLUE")</f>
        <v>BLUE</v>
      </c>
      <c r="G8873" s="20" t="str">
        <f>IFERROR(__xludf.DUMMYFUNCTION("""COMPUTED_VALUE"""),"Uncle Sams Cider (04/04/2023)")</f>
        <v>Uncle Sams Cider (04/04/2023)</v>
      </c>
      <c r="H8873" s="19"/>
    </row>
    <row r="8874">
      <c r="A8874" s="9"/>
      <c r="B8874" s="15"/>
      <c r="C8874" s="9">
        <f>IFERROR(__xludf.DUMMYFUNCTION("""COMPUTED_VALUE"""),45050.9853421759)</f>
        <v>45050.98534</v>
      </c>
      <c r="D8874" s="15">
        <f>IFERROR(__xludf.DUMMYFUNCTION("""COMPUTED_VALUE"""),1.023)</f>
        <v>1.023</v>
      </c>
      <c r="E8874" s="16">
        <f>IFERROR(__xludf.DUMMYFUNCTION("""COMPUTED_VALUE"""),61.0)</f>
        <v>61</v>
      </c>
      <c r="F8874" s="19" t="str">
        <f>IFERROR(__xludf.DUMMYFUNCTION("""COMPUTED_VALUE"""),"BLUE")</f>
        <v>BLUE</v>
      </c>
      <c r="G8874" s="20" t="str">
        <f>IFERROR(__xludf.DUMMYFUNCTION("""COMPUTED_VALUE"""),"Uncle Sams Cider (04/04/2023)")</f>
        <v>Uncle Sams Cider (04/04/2023)</v>
      </c>
      <c r="H8874" s="19"/>
    </row>
    <row r="8875">
      <c r="A8875" s="9"/>
      <c r="B8875" s="15"/>
      <c r="C8875" s="9">
        <f>IFERROR(__xludf.DUMMYFUNCTION("""COMPUTED_VALUE"""),45050.9749213657)</f>
        <v>45050.97492</v>
      </c>
      <c r="D8875" s="15">
        <f>IFERROR(__xludf.DUMMYFUNCTION("""COMPUTED_VALUE"""),1.023)</f>
        <v>1.023</v>
      </c>
      <c r="E8875" s="16">
        <f>IFERROR(__xludf.DUMMYFUNCTION("""COMPUTED_VALUE"""),61.0)</f>
        <v>61</v>
      </c>
      <c r="F8875" s="19" t="str">
        <f>IFERROR(__xludf.DUMMYFUNCTION("""COMPUTED_VALUE"""),"BLUE")</f>
        <v>BLUE</v>
      </c>
      <c r="G8875" s="20" t="str">
        <f>IFERROR(__xludf.DUMMYFUNCTION("""COMPUTED_VALUE"""),"Uncle Sams Cider (04/04/2023)")</f>
        <v>Uncle Sams Cider (04/04/2023)</v>
      </c>
      <c r="H8875" s="19"/>
    </row>
    <row r="8876">
      <c r="A8876" s="9"/>
      <c r="B8876" s="15"/>
      <c r="C8876" s="9">
        <f>IFERROR(__xludf.DUMMYFUNCTION("""COMPUTED_VALUE"""),45050.9645011342)</f>
        <v>45050.9645</v>
      </c>
      <c r="D8876" s="15">
        <f>IFERROR(__xludf.DUMMYFUNCTION("""COMPUTED_VALUE"""),1.023)</f>
        <v>1.023</v>
      </c>
      <c r="E8876" s="16">
        <f>IFERROR(__xludf.DUMMYFUNCTION("""COMPUTED_VALUE"""),61.0)</f>
        <v>61</v>
      </c>
      <c r="F8876" s="19" t="str">
        <f>IFERROR(__xludf.DUMMYFUNCTION("""COMPUTED_VALUE"""),"BLUE")</f>
        <v>BLUE</v>
      </c>
      <c r="G8876" s="20" t="str">
        <f>IFERROR(__xludf.DUMMYFUNCTION("""COMPUTED_VALUE"""),"Uncle Sams Cider (04/04/2023)")</f>
        <v>Uncle Sams Cider (04/04/2023)</v>
      </c>
      <c r="H8876" s="19"/>
    </row>
    <row r="8877">
      <c r="A8877" s="9"/>
      <c r="B8877" s="15"/>
      <c r="C8877" s="9">
        <f>IFERROR(__xludf.DUMMYFUNCTION("""COMPUTED_VALUE"""),45050.9540790624)</f>
        <v>45050.95408</v>
      </c>
      <c r="D8877" s="15">
        <f>IFERROR(__xludf.DUMMYFUNCTION("""COMPUTED_VALUE"""),1.023)</f>
        <v>1.023</v>
      </c>
      <c r="E8877" s="16">
        <f>IFERROR(__xludf.DUMMYFUNCTION("""COMPUTED_VALUE"""),61.0)</f>
        <v>61</v>
      </c>
      <c r="F8877" s="19" t="str">
        <f>IFERROR(__xludf.DUMMYFUNCTION("""COMPUTED_VALUE"""),"BLUE")</f>
        <v>BLUE</v>
      </c>
      <c r="G8877" s="20" t="str">
        <f>IFERROR(__xludf.DUMMYFUNCTION("""COMPUTED_VALUE"""),"Uncle Sams Cider (04/04/2023)")</f>
        <v>Uncle Sams Cider (04/04/2023)</v>
      </c>
      <c r="H8877" s="19"/>
    </row>
    <row r="8878">
      <c r="A8878" s="9"/>
      <c r="B8878" s="15"/>
      <c r="C8878" s="9">
        <f>IFERROR(__xludf.DUMMYFUNCTION("""COMPUTED_VALUE"""),45050.943657824)</f>
        <v>45050.94366</v>
      </c>
      <c r="D8878" s="15">
        <f>IFERROR(__xludf.DUMMYFUNCTION("""COMPUTED_VALUE"""),1.023)</f>
        <v>1.023</v>
      </c>
      <c r="E8878" s="16">
        <f>IFERROR(__xludf.DUMMYFUNCTION("""COMPUTED_VALUE"""),61.0)</f>
        <v>61</v>
      </c>
      <c r="F8878" s="19" t="str">
        <f>IFERROR(__xludf.DUMMYFUNCTION("""COMPUTED_VALUE"""),"BLUE")</f>
        <v>BLUE</v>
      </c>
      <c r="G8878" s="20" t="str">
        <f>IFERROR(__xludf.DUMMYFUNCTION("""COMPUTED_VALUE"""),"Uncle Sams Cider (04/04/2023)")</f>
        <v>Uncle Sams Cider (04/04/2023)</v>
      </c>
      <c r="H8878" s="19"/>
    </row>
    <row r="8879">
      <c r="A8879" s="9"/>
      <c r="B8879" s="15"/>
      <c r="C8879" s="9">
        <f>IFERROR(__xludf.DUMMYFUNCTION("""COMPUTED_VALUE"""),45050.9332356944)</f>
        <v>45050.93324</v>
      </c>
      <c r="D8879" s="15">
        <f>IFERROR(__xludf.DUMMYFUNCTION("""COMPUTED_VALUE"""),1.023)</f>
        <v>1.023</v>
      </c>
      <c r="E8879" s="16">
        <f>IFERROR(__xludf.DUMMYFUNCTION("""COMPUTED_VALUE"""),61.0)</f>
        <v>61</v>
      </c>
      <c r="F8879" s="19" t="str">
        <f>IFERROR(__xludf.DUMMYFUNCTION("""COMPUTED_VALUE"""),"BLUE")</f>
        <v>BLUE</v>
      </c>
      <c r="G8879" s="20" t="str">
        <f>IFERROR(__xludf.DUMMYFUNCTION("""COMPUTED_VALUE"""),"Uncle Sams Cider (04/04/2023)")</f>
        <v>Uncle Sams Cider (04/04/2023)</v>
      </c>
      <c r="H8879" s="19"/>
    </row>
    <row r="8880">
      <c r="A8880" s="9"/>
      <c r="B8880" s="15"/>
      <c r="C8880" s="9">
        <f>IFERROR(__xludf.DUMMYFUNCTION("""COMPUTED_VALUE"""),45050.922815)</f>
        <v>45050.92282</v>
      </c>
      <c r="D8880" s="15">
        <f>IFERROR(__xludf.DUMMYFUNCTION("""COMPUTED_VALUE"""),1.023)</f>
        <v>1.023</v>
      </c>
      <c r="E8880" s="16">
        <f>IFERROR(__xludf.DUMMYFUNCTION("""COMPUTED_VALUE"""),61.0)</f>
        <v>61</v>
      </c>
      <c r="F8880" s="19" t="str">
        <f>IFERROR(__xludf.DUMMYFUNCTION("""COMPUTED_VALUE"""),"BLUE")</f>
        <v>BLUE</v>
      </c>
      <c r="G8880" s="20" t="str">
        <f>IFERROR(__xludf.DUMMYFUNCTION("""COMPUTED_VALUE"""),"Uncle Sams Cider (04/04/2023)")</f>
        <v>Uncle Sams Cider (04/04/2023)</v>
      </c>
      <c r="H8880" s="19"/>
    </row>
    <row r="8881">
      <c r="A8881" s="9"/>
      <c r="B8881" s="15"/>
      <c r="C8881" s="9">
        <f>IFERROR(__xludf.DUMMYFUNCTION("""COMPUTED_VALUE"""),45050.9123928125)</f>
        <v>45050.91239</v>
      </c>
      <c r="D8881" s="15">
        <f>IFERROR(__xludf.DUMMYFUNCTION("""COMPUTED_VALUE"""),1.023)</f>
        <v>1.023</v>
      </c>
      <c r="E8881" s="16">
        <f>IFERROR(__xludf.DUMMYFUNCTION("""COMPUTED_VALUE"""),61.0)</f>
        <v>61</v>
      </c>
      <c r="F8881" s="19" t="str">
        <f>IFERROR(__xludf.DUMMYFUNCTION("""COMPUTED_VALUE"""),"BLUE")</f>
        <v>BLUE</v>
      </c>
      <c r="G8881" s="20" t="str">
        <f>IFERROR(__xludf.DUMMYFUNCTION("""COMPUTED_VALUE"""),"Uncle Sams Cider (04/04/2023)")</f>
        <v>Uncle Sams Cider (04/04/2023)</v>
      </c>
      <c r="H8881" s="19"/>
    </row>
    <row r="8882">
      <c r="A8882" s="9"/>
      <c r="B8882" s="15"/>
      <c r="C8882" s="9">
        <f>IFERROR(__xludf.DUMMYFUNCTION("""COMPUTED_VALUE"""),45050.9019721064)</f>
        <v>45050.90197</v>
      </c>
      <c r="D8882" s="15">
        <f>IFERROR(__xludf.DUMMYFUNCTION("""COMPUTED_VALUE"""),1.023)</f>
        <v>1.023</v>
      </c>
      <c r="E8882" s="16">
        <f>IFERROR(__xludf.DUMMYFUNCTION("""COMPUTED_VALUE"""),61.0)</f>
        <v>61</v>
      </c>
      <c r="F8882" s="19" t="str">
        <f>IFERROR(__xludf.DUMMYFUNCTION("""COMPUTED_VALUE"""),"BLUE")</f>
        <v>BLUE</v>
      </c>
      <c r="G8882" s="20" t="str">
        <f>IFERROR(__xludf.DUMMYFUNCTION("""COMPUTED_VALUE"""),"Uncle Sams Cider (04/04/2023)")</f>
        <v>Uncle Sams Cider (04/04/2023)</v>
      </c>
      <c r="H8882" s="19"/>
    </row>
    <row r="8883">
      <c r="A8883" s="9"/>
      <c r="B8883" s="15"/>
      <c r="C8883" s="9">
        <f>IFERROR(__xludf.DUMMYFUNCTION("""COMPUTED_VALUE"""),45050.891551331)</f>
        <v>45050.89155</v>
      </c>
      <c r="D8883" s="15">
        <f>IFERROR(__xludf.DUMMYFUNCTION("""COMPUTED_VALUE"""),1.023)</f>
        <v>1.023</v>
      </c>
      <c r="E8883" s="16">
        <f>IFERROR(__xludf.DUMMYFUNCTION("""COMPUTED_VALUE"""),61.0)</f>
        <v>61</v>
      </c>
      <c r="F8883" s="19" t="str">
        <f>IFERROR(__xludf.DUMMYFUNCTION("""COMPUTED_VALUE"""),"BLUE")</f>
        <v>BLUE</v>
      </c>
      <c r="G8883" s="20" t="str">
        <f>IFERROR(__xludf.DUMMYFUNCTION("""COMPUTED_VALUE"""),"Uncle Sams Cider (04/04/2023)")</f>
        <v>Uncle Sams Cider (04/04/2023)</v>
      </c>
      <c r="H8883" s="19"/>
    </row>
    <row r="8884">
      <c r="A8884" s="9"/>
      <c r="B8884" s="15"/>
      <c r="C8884" s="9">
        <f>IFERROR(__xludf.DUMMYFUNCTION("""COMPUTED_VALUE"""),45050.8810943981)</f>
        <v>45050.88109</v>
      </c>
      <c r="D8884" s="15">
        <f>IFERROR(__xludf.DUMMYFUNCTION("""COMPUTED_VALUE"""),1.023)</f>
        <v>1.023</v>
      </c>
      <c r="E8884" s="16">
        <f>IFERROR(__xludf.DUMMYFUNCTION("""COMPUTED_VALUE"""),60.0)</f>
        <v>60</v>
      </c>
      <c r="F8884" s="19" t="str">
        <f>IFERROR(__xludf.DUMMYFUNCTION("""COMPUTED_VALUE"""),"BLUE")</f>
        <v>BLUE</v>
      </c>
      <c r="G8884" s="20" t="str">
        <f>IFERROR(__xludf.DUMMYFUNCTION("""COMPUTED_VALUE"""),"Uncle Sams Cider (04/04/2023)")</f>
        <v>Uncle Sams Cider (04/04/2023)</v>
      </c>
      <c r="H8884" s="19"/>
    </row>
    <row r="8885">
      <c r="A8885" s="9"/>
      <c r="B8885" s="15"/>
      <c r="C8885" s="9">
        <f>IFERROR(__xludf.DUMMYFUNCTION("""COMPUTED_VALUE"""),45050.8706708101)</f>
        <v>45050.87067</v>
      </c>
      <c r="D8885" s="15">
        <f>IFERROR(__xludf.DUMMYFUNCTION("""COMPUTED_VALUE"""),1.023)</f>
        <v>1.023</v>
      </c>
      <c r="E8885" s="16">
        <f>IFERROR(__xludf.DUMMYFUNCTION("""COMPUTED_VALUE"""),60.0)</f>
        <v>60</v>
      </c>
      <c r="F8885" s="19" t="str">
        <f>IFERROR(__xludf.DUMMYFUNCTION("""COMPUTED_VALUE"""),"BLUE")</f>
        <v>BLUE</v>
      </c>
      <c r="G8885" s="20" t="str">
        <f>IFERROR(__xludf.DUMMYFUNCTION("""COMPUTED_VALUE"""),"Uncle Sams Cider (04/04/2023)")</f>
        <v>Uncle Sams Cider (04/04/2023)</v>
      </c>
      <c r="H8885" s="19"/>
    </row>
    <row r="8886">
      <c r="A8886" s="9"/>
      <c r="B8886" s="15"/>
      <c r="C8886" s="9">
        <f>IFERROR(__xludf.DUMMYFUNCTION("""COMPUTED_VALUE"""),45050.8602263541)</f>
        <v>45050.86023</v>
      </c>
      <c r="D8886" s="15">
        <f>IFERROR(__xludf.DUMMYFUNCTION("""COMPUTED_VALUE"""),1.023)</f>
        <v>1.023</v>
      </c>
      <c r="E8886" s="16">
        <f>IFERROR(__xludf.DUMMYFUNCTION("""COMPUTED_VALUE"""),60.0)</f>
        <v>60</v>
      </c>
      <c r="F8886" s="19" t="str">
        <f>IFERROR(__xludf.DUMMYFUNCTION("""COMPUTED_VALUE"""),"BLUE")</f>
        <v>BLUE</v>
      </c>
      <c r="G8886" s="20" t="str">
        <f>IFERROR(__xludf.DUMMYFUNCTION("""COMPUTED_VALUE"""),"Uncle Sams Cider (04/04/2023)")</f>
        <v>Uncle Sams Cider (04/04/2023)</v>
      </c>
      <c r="H8886" s="19"/>
    </row>
    <row r="8887">
      <c r="A8887" s="9"/>
      <c r="B8887" s="15"/>
      <c r="C8887" s="9">
        <f>IFERROR(__xludf.DUMMYFUNCTION("""COMPUTED_VALUE"""),45050.8498054976)</f>
        <v>45050.84981</v>
      </c>
      <c r="D8887" s="15">
        <f>IFERROR(__xludf.DUMMYFUNCTION("""COMPUTED_VALUE"""),1.023)</f>
        <v>1.023</v>
      </c>
      <c r="E8887" s="16">
        <f>IFERROR(__xludf.DUMMYFUNCTION("""COMPUTED_VALUE"""),60.0)</f>
        <v>60</v>
      </c>
      <c r="F8887" s="19" t="str">
        <f>IFERROR(__xludf.DUMMYFUNCTION("""COMPUTED_VALUE"""),"BLUE")</f>
        <v>BLUE</v>
      </c>
      <c r="G8887" s="20" t="str">
        <f>IFERROR(__xludf.DUMMYFUNCTION("""COMPUTED_VALUE"""),"Uncle Sams Cider (04/04/2023)")</f>
        <v>Uncle Sams Cider (04/04/2023)</v>
      </c>
      <c r="H8887" s="19"/>
    </row>
    <row r="8888">
      <c r="A8888" s="9"/>
      <c r="B8888" s="15"/>
      <c r="C8888" s="9">
        <f>IFERROR(__xludf.DUMMYFUNCTION("""COMPUTED_VALUE"""),45050.8393861342)</f>
        <v>45050.83939</v>
      </c>
      <c r="D8888" s="15">
        <f>IFERROR(__xludf.DUMMYFUNCTION("""COMPUTED_VALUE"""),1.023)</f>
        <v>1.023</v>
      </c>
      <c r="E8888" s="16">
        <f>IFERROR(__xludf.DUMMYFUNCTION("""COMPUTED_VALUE"""),60.0)</f>
        <v>60</v>
      </c>
      <c r="F8888" s="19" t="str">
        <f>IFERROR(__xludf.DUMMYFUNCTION("""COMPUTED_VALUE"""),"BLUE")</f>
        <v>BLUE</v>
      </c>
      <c r="G8888" s="20" t="str">
        <f>IFERROR(__xludf.DUMMYFUNCTION("""COMPUTED_VALUE"""),"Uncle Sams Cider (04/04/2023)")</f>
        <v>Uncle Sams Cider (04/04/2023)</v>
      </c>
      <c r="H8888" s="19"/>
    </row>
    <row r="8889">
      <c r="A8889" s="9"/>
      <c r="B8889" s="15"/>
      <c r="C8889" s="9">
        <f>IFERROR(__xludf.DUMMYFUNCTION("""COMPUTED_VALUE"""),45050.8289643055)</f>
        <v>45050.82896</v>
      </c>
      <c r="D8889" s="15">
        <f>IFERROR(__xludf.DUMMYFUNCTION("""COMPUTED_VALUE"""),1.023)</f>
        <v>1.023</v>
      </c>
      <c r="E8889" s="16">
        <f>IFERROR(__xludf.DUMMYFUNCTION("""COMPUTED_VALUE"""),60.0)</f>
        <v>60</v>
      </c>
      <c r="F8889" s="19" t="str">
        <f>IFERROR(__xludf.DUMMYFUNCTION("""COMPUTED_VALUE"""),"BLUE")</f>
        <v>BLUE</v>
      </c>
      <c r="G8889" s="20" t="str">
        <f>IFERROR(__xludf.DUMMYFUNCTION("""COMPUTED_VALUE"""),"Uncle Sams Cider (04/04/2023)")</f>
        <v>Uncle Sams Cider (04/04/2023)</v>
      </c>
      <c r="H8889" s="19"/>
    </row>
    <row r="8890">
      <c r="A8890" s="9"/>
      <c r="B8890" s="15"/>
      <c r="C8890" s="9">
        <f>IFERROR(__xludf.DUMMYFUNCTION("""COMPUTED_VALUE"""),45050.8185421296)</f>
        <v>45050.81854</v>
      </c>
      <c r="D8890" s="15">
        <f>IFERROR(__xludf.DUMMYFUNCTION("""COMPUTED_VALUE"""),1.023)</f>
        <v>1.023</v>
      </c>
      <c r="E8890" s="16">
        <f>IFERROR(__xludf.DUMMYFUNCTION("""COMPUTED_VALUE"""),60.0)</f>
        <v>60</v>
      </c>
      <c r="F8890" s="19" t="str">
        <f>IFERROR(__xludf.DUMMYFUNCTION("""COMPUTED_VALUE"""),"BLUE")</f>
        <v>BLUE</v>
      </c>
      <c r="G8890" s="20" t="str">
        <f>IFERROR(__xludf.DUMMYFUNCTION("""COMPUTED_VALUE"""),"Uncle Sams Cider (04/04/2023)")</f>
        <v>Uncle Sams Cider (04/04/2023)</v>
      </c>
      <c r="H8890" s="19"/>
    </row>
    <row r="8891">
      <c r="A8891" s="9"/>
      <c r="B8891" s="15"/>
      <c r="C8891" s="9">
        <f>IFERROR(__xludf.DUMMYFUNCTION("""COMPUTED_VALUE"""),45050.8081196875)</f>
        <v>45050.80812</v>
      </c>
      <c r="D8891" s="15">
        <f>IFERROR(__xludf.DUMMYFUNCTION("""COMPUTED_VALUE"""),1.023)</f>
        <v>1.023</v>
      </c>
      <c r="E8891" s="16">
        <f>IFERROR(__xludf.DUMMYFUNCTION("""COMPUTED_VALUE"""),60.0)</f>
        <v>60</v>
      </c>
      <c r="F8891" s="19" t="str">
        <f>IFERROR(__xludf.DUMMYFUNCTION("""COMPUTED_VALUE"""),"BLUE")</f>
        <v>BLUE</v>
      </c>
      <c r="G8891" s="20" t="str">
        <f>IFERROR(__xludf.DUMMYFUNCTION("""COMPUTED_VALUE"""),"Uncle Sams Cider (04/04/2023)")</f>
        <v>Uncle Sams Cider (04/04/2023)</v>
      </c>
      <c r="H8891" s="19"/>
    </row>
    <row r="8892">
      <c r="A8892" s="9"/>
      <c r="B8892" s="15"/>
      <c r="C8892" s="9">
        <f>IFERROR(__xludf.DUMMYFUNCTION("""COMPUTED_VALUE"""),45050.7976972569)</f>
        <v>45050.7977</v>
      </c>
      <c r="D8892" s="15">
        <f>IFERROR(__xludf.DUMMYFUNCTION("""COMPUTED_VALUE"""),1.023)</f>
        <v>1.023</v>
      </c>
      <c r="E8892" s="16">
        <f>IFERROR(__xludf.DUMMYFUNCTION("""COMPUTED_VALUE"""),60.0)</f>
        <v>60</v>
      </c>
      <c r="F8892" s="19" t="str">
        <f>IFERROR(__xludf.DUMMYFUNCTION("""COMPUTED_VALUE"""),"BLUE")</f>
        <v>BLUE</v>
      </c>
      <c r="G8892" s="20" t="str">
        <f>IFERROR(__xludf.DUMMYFUNCTION("""COMPUTED_VALUE"""),"Uncle Sams Cider (04/04/2023)")</f>
        <v>Uncle Sams Cider (04/04/2023)</v>
      </c>
      <c r="H8892" s="19"/>
    </row>
    <row r="8893">
      <c r="A8893" s="9"/>
      <c r="B8893" s="15"/>
      <c r="C8893" s="9">
        <f>IFERROR(__xludf.DUMMYFUNCTION("""COMPUTED_VALUE"""),45050.7872636226)</f>
        <v>45050.78726</v>
      </c>
      <c r="D8893" s="15">
        <f>IFERROR(__xludf.DUMMYFUNCTION("""COMPUTED_VALUE"""),1.023)</f>
        <v>1.023</v>
      </c>
      <c r="E8893" s="16">
        <f>IFERROR(__xludf.DUMMYFUNCTION("""COMPUTED_VALUE"""),60.0)</f>
        <v>60</v>
      </c>
      <c r="F8893" s="19" t="str">
        <f>IFERROR(__xludf.DUMMYFUNCTION("""COMPUTED_VALUE"""),"BLUE")</f>
        <v>BLUE</v>
      </c>
      <c r="G8893" s="20" t="str">
        <f>IFERROR(__xludf.DUMMYFUNCTION("""COMPUTED_VALUE"""),"Uncle Sams Cider (04/04/2023)")</f>
        <v>Uncle Sams Cider (04/04/2023)</v>
      </c>
      <c r="H8893" s="19"/>
    </row>
    <row r="8894">
      <c r="A8894" s="9"/>
      <c r="B8894" s="15"/>
      <c r="C8894" s="9">
        <f>IFERROR(__xludf.DUMMYFUNCTION("""COMPUTED_VALUE"""),45050.7768438425)</f>
        <v>45050.77684</v>
      </c>
      <c r="D8894" s="15">
        <f>IFERROR(__xludf.DUMMYFUNCTION("""COMPUTED_VALUE"""),1.023)</f>
        <v>1.023</v>
      </c>
      <c r="E8894" s="16">
        <f>IFERROR(__xludf.DUMMYFUNCTION("""COMPUTED_VALUE"""),60.0)</f>
        <v>60</v>
      </c>
      <c r="F8894" s="19" t="str">
        <f>IFERROR(__xludf.DUMMYFUNCTION("""COMPUTED_VALUE"""),"BLUE")</f>
        <v>BLUE</v>
      </c>
      <c r="G8894" s="20" t="str">
        <f>IFERROR(__xludf.DUMMYFUNCTION("""COMPUTED_VALUE"""),"Uncle Sams Cider (04/04/2023)")</f>
        <v>Uncle Sams Cider (04/04/2023)</v>
      </c>
      <c r="H8894" s="19"/>
    </row>
    <row r="8895">
      <c r="A8895" s="9"/>
      <c r="B8895" s="15"/>
      <c r="C8895" s="9">
        <f>IFERROR(__xludf.DUMMYFUNCTION("""COMPUTED_VALUE"""),45050.7664005092)</f>
        <v>45050.7664</v>
      </c>
      <c r="D8895" s="15">
        <f>IFERROR(__xludf.DUMMYFUNCTION("""COMPUTED_VALUE"""),1.023)</f>
        <v>1.023</v>
      </c>
      <c r="E8895" s="16">
        <f>IFERROR(__xludf.DUMMYFUNCTION("""COMPUTED_VALUE"""),60.0)</f>
        <v>60</v>
      </c>
      <c r="F8895" s="19" t="str">
        <f>IFERROR(__xludf.DUMMYFUNCTION("""COMPUTED_VALUE"""),"BLUE")</f>
        <v>BLUE</v>
      </c>
      <c r="G8895" s="20" t="str">
        <f>IFERROR(__xludf.DUMMYFUNCTION("""COMPUTED_VALUE"""),"Uncle Sams Cider (04/04/2023)")</f>
        <v>Uncle Sams Cider (04/04/2023)</v>
      </c>
      <c r="H8895" s="19"/>
    </row>
    <row r="8896">
      <c r="A8896" s="9"/>
      <c r="B8896" s="15"/>
      <c r="C8896" s="9">
        <f>IFERROR(__xludf.DUMMYFUNCTION("""COMPUTED_VALUE"""),45050.7559798263)</f>
        <v>45050.75598</v>
      </c>
      <c r="D8896" s="15">
        <f>IFERROR(__xludf.DUMMYFUNCTION("""COMPUTED_VALUE"""),1.023)</f>
        <v>1.023</v>
      </c>
      <c r="E8896" s="16">
        <f>IFERROR(__xludf.DUMMYFUNCTION("""COMPUTED_VALUE"""),60.0)</f>
        <v>60</v>
      </c>
      <c r="F8896" s="19" t="str">
        <f>IFERROR(__xludf.DUMMYFUNCTION("""COMPUTED_VALUE"""),"BLUE")</f>
        <v>BLUE</v>
      </c>
      <c r="G8896" s="20" t="str">
        <f>IFERROR(__xludf.DUMMYFUNCTION("""COMPUTED_VALUE"""),"Uncle Sams Cider (04/04/2023)")</f>
        <v>Uncle Sams Cider (04/04/2023)</v>
      </c>
      <c r="H8896" s="19"/>
    </row>
    <row r="8897">
      <c r="A8897" s="9"/>
      <c r="B8897" s="15"/>
      <c r="C8897" s="9">
        <f>IFERROR(__xludf.DUMMYFUNCTION("""COMPUTED_VALUE"""),45050.745558993)</f>
        <v>45050.74556</v>
      </c>
      <c r="D8897" s="15">
        <f>IFERROR(__xludf.DUMMYFUNCTION("""COMPUTED_VALUE"""),1.023)</f>
        <v>1.023</v>
      </c>
      <c r="E8897" s="16">
        <f>IFERROR(__xludf.DUMMYFUNCTION("""COMPUTED_VALUE"""),60.0)</f>
        <v>60</v>
      </c>
      <c r="F8897" s="19" t="str">
        <f>IFERROR(__xludf.DUMMYFUNCTION("""COMPUTED_VALUE"""),"BLUE")</f>
        <v>BLUE</v>
      </c>
      <c r="G8897" s="20" t="str">
        <f>IFERROR(__xludf.DUMMYFUNCTION("""COMPUTED_VALUE"""),"Uncle Sams Cider (04/04/2023)")</f>
        <v>Uncle Sams Cider (04/04/2023)</v>
      </c>
      <c r="H8897" s="19"/>
    </row>
    <row r="8898">
      <c r="A8898" s="9"/>
      <c r="B8898" s="15"/>
      <c r="C8898" s="9">
        <f>IFERROR(__xludf.DUMMYFUNCTION("""COMPUTED_VALUE"""),45050.7351365162)</f>
        <v>45050.73514</v>
      </c>
      <c r="D8898" s="15">
        <f>IFERROR(__xludf.DUMMYFUNCTION("""COMPUTED_VALUE"""),1.023)</f>
        <v>1.023</v>
      </c>
      <c r="E8898" s="16">
        <f>IFERROR(__xludf.DUMMYFUNCTION("""COMPUTED_VALUE"""),60.0)</f>
        <v>60</v>
      </c>
      <c r="F8898" s="19" t="str">
        <f>IFERROR(__xludf.DUMMYFUNCTION("""COMPUTED_VALUE"""),"BLUE")</f>
        <v>BLUE</v>
      </c>
      <c r="G8898" s="20" t="str">
        <f>IFERROR(__xludf.DUMMYFUNCTION("""COMPUTED_VALUE"""),"Uncle Sams Cider (04/04/2023)")</f>
        <v>Uncle Sams Cider (04/04/2023)</v>
      </c>
      <c r="H8898" s="19"/>
    </row>
    <row r="8899">
      <c r="A8899" s="9"/>
      <c r="B8899" s="15"/>
      <c r="C8899" s="9">
        <f>IFERROR(__xludf.DUMMYFUNCTION("""COMPUTED_VALUE"""),45050.7247154398)</f>
        <v>45050.72472</v>
      </c>
      <c r="D8899" s="15">
        <f>IFERROR(__xludf.DUMMYFUNCTION("""COMPUTED_VALUE"""),1.023)</f>
        <v>1.023</v>
      </c>
      <c r="E8899" s="16">
        <f>IFERROR(__xludf.DUMMYFUNCTION("""COMPUTED_VALUE"""),60.0)</f>
        <v>60</v>
      </c>
      <c r="F8899" s="19" t="str">
        <f>IFERROR(__xludf.DUMMYFUNCTION("""COMPUTED_VALUE"""),"BLUE")</f>
        <v>BLUE</v>
      </c>
      <c r="G8899" s="20" t="str">
        <f>IFERROR(__xludf.DUMMYFUNCTION("""COMPUTED_VALUE"""),"Uncle Sams Cider (04/04/2023)")</f>
        <v>Uncle Sams Cider (04/04/2023)</v>
      </c>
      <c r="H8899" s="19"/>
    </row>
    <row r="8900">
      <c r="A8900" s="9"/>
      <c r="B8900" s="15"/>
      <c r="C8900" s="9">
        <f>IFERROR(__xludf.DUMMYFUNCTION("""COMPUTED_VALUE"""),45050.7142939814)</f>
        <v>45050.71429</v>
      </c>
      <c r="D8900" s="15">
        <f>IFERROR(__xludf.DUMMYFUNCTION("""COMPUTED_VALUE"""),1.023)</f>
        <v>1.023</v>
      </c>
      <c r="E8900" s="16">
        <f>IFERROR(__xludf.DUMMYFUNCTION("""COMPUTED_VALUE"""),60.0)</f>
        <v>60</v>
      </c>
      <c r="F8900" s="19" t="str">
        <f>IFERROR(__xludf.DUMMYFUNCTION("""COMPUTED_VALUE"""),"BLUE")</f>
        <v>BLUE</v>
      </c>
      <c r="G8900" s="20" t="str">
        <f>IFERROR(__xludf.DUMMYFUNCTION("""COMPUTED_VALUE"""),"Uncle Sams Cider (04/04/2023)")</f>
        <v>Uncle Sams Cider (04/04/2023)</v>
      </c>
      <c r="H8900" s="19"/>
    </row>
    <row r="8901">
      <c r="A8901" s="9"/>
      <c r="B8901" s="15"/>
      <c r="C8901" s="9">
        <f>IFERROR(__xludf.DUMMYFUNCTION("""COMPUTED_VALUE"""),45050.7038745949)</f>
        <v>45050.70387</v>
      </c>
      <c r="D8901" s="15">
        <f>IFERROR(__xludf.DUMMYFUNCTION("""COMPUTED_VALUE"""),1.023)</f>
        <v>1.023</v>
      </c>
      <c r="E8901" s="16">
        <f>IFERROR(__xludf.DUMMYFUNCTION("""COMPUTED_VALUE"""),60.0)</f>
        <v>60</v>
      </c>
      <c r="F8901" s="19" t="str">
        <f>IFERROR(__xludf.DUMMYFUNCTION("""COMPUTED_VALUE"""),"BLUE")</f>
        <v>BLUE</v>
      </c>
      <c r="G8901" s="20" t="str">
        <f>IFERROR(__xludf.DUMMYFUNCTION("""COMPUTED_VALUE"""),"Uncle Sams Cider (04/04/2023)")</f>
        <v>Uncle Sams Cider (04/04/2023)</v>
      </c>
      <c r="H8901" s="19"/>
    </row>
    <row r="8902">
      <c r="A8902" s="9"/>
      <c r="B8902" s="15"/>
      <c r="C8902" s="9">
        <f>IFERROR(__xludf.DUMMYFUNCTION("""COMPUTED_VALUE"""),45050.6934413888)</f>
        <v>45050.69344</v>
      </c>
      <c r="D8902" s="15">
        <f>IFERROR(__xludf.DUMMYFUNCTION("""COMPUTED_VALUE"""),1.023)</f>
        <v>1.023</v>
      </c>
      <c r="E8902" s="16">
        <f>IFERROR(__xludf.DUMMYFUNCTION("""COMPUTED_VALUE"""),60.0)</f>
        <v>60</v>
      </c>
      <c r="F8902" s="19" t="str">
        <f>IFERROR(__xludf.DUMMYFUNCTION("""COMPUTED_VALUE"""),"BLUE")</f>
        <v>BLUE</v>
      </c>
      <c r="G8902" s="20" t="str">
        <f>IFERROR(__xludf.DUMMYFUNCTION("""COMPUTED_VALUE"""),"Uncle Sams Cider (04/04/2023)")</f>
        <v>Uncle Sams Cider (04/04/2023)</v>
      </c>
      <c r="H8902" s="19"/>
    </row>
    <row r="8903">
      <c r="A8903" s="9"/>
      <c r="B8903" s="15"/>
      <c r="C8903" s="9">
        <f>IFERROR(__xludf.DUMMYFUNCTION("""COMPUTED_VALUE"""),45050.6830205787)</f>
        <v>45050.68302</v>
      </c>
      <c r="D8903" s="15">
        <f>IFERROR(__xludf.DUMMYFUNCTION("""COMPUTED_VALUE"""),1.023)</f>
        <v>1.023</v>
      </c>
      <c r="E8903" s="16">
        <f>IFERROR(__xludf.DUMMYFUNCTION("""COMPUTED_VALUE"""),60.0)</f>
        <v>60</v>
      </c>
      <c r="F8903" s="19" t="str">
        <f>IFERROR(__xludf.DUMMYFUNCTION("""COMPUTED_VALUE"""),"BLUE")</f>
        <v>BLUE</v>
      </c>
      <c r="G8903" s="20" t="str">
        <f>IFERROR(__xludf.DUMMYFUNCTION("""COMPUTED_VALUE"""),"Uncle Sams Cider (04/04/2023)")</f>
        <v>Uncle Sams Cider (04/04/2023)</v>
      </c>
      <c r="H8903" s="19"/>
    </row>
    <row r="8904">
      <c r="A8904" s="9"/>
      <c r="B8904" s="15"/>
      <c r="C8904" s="9">
        <f>IFERROR(__xludf.DUMMYFUNCTION("""COMPUTED_VALUE"""),45050.6726006828)</f>
        <v>45050.6726</v>
      </c>
      <c r="D8904" s="15">
        <f>IFERROR(__xludf.DUMMYFUNCTION("""COMPUTED_VALUE"""),1.023)</f>
        <v>1.023</v>
      </c>
      <c r="E8904" s="16">
        <f>IFERROR(__xludf.DUMMYFUNCTION("""COMPUTED_VALUE"""),60.0)</f>
        <v>60</v>
      </c>
      <c r="F8904" s="19" t="str">
        <f>IFERROR(__xludf.DUMMYFUNCTION("""COMPUTED_VALUE"""),"BLUE")</f>
        <v>BLUE</v>
      </c>
      <c r="G8904" s="20" t="str">
        <f>IFERROR(__xludf.DUMMYFUNCTION("""COMPUTED_VALUE"""),"Uncle Sams Cider (04/04/2023)")</f>
        <v>Uncle Sams Cider (04/04/2023)</v>
      </c>
      <c r="H8904" s="19"/>
    </row>
    <row r="8905">
      <c r="A8905" s="9"/>
      <c r="B8905" s="15"/>
      <c r="C8905" s="9">
        <f>IFERROR(__xludf.DUMMYFUNCTION("""COMPUTED_VALUE"""),45050.6621808912)</f>
        <v>45050.66218</v>
      </c>
      <c r="D8905" s="15">
        <f>IFERROR(__xludf.DUMMYFUNCTION("""COMPUTED_VALUE"""),1.023)</f>
        <v>1.023</v>
      </c>
      <c r="E8905" s="16">
        <f>IFERROR(__xludf.DUMMYFUNCTION("""COMPUTED_VALUE"""),60.0)</f>
        <v>60</v>
      </c>
      <c r="F8905" s="19" t="str">
        <f>IFERROR(__xludf.DUMMYFUNCTION("""COMPUTED_VALUE"""),"BLUE")</f>
        <v>BLUE</v>
      </c>
      <c r="G8905" s="20" t="str">
        <f>IFERROR(__xludf.DUMMYFUNCTION("""COMPUTED_VALUE"""),"Uncle Sams Cider (04/04/2023)")</f>
        <v>Uncle Sams Cider (04/04/2023)</v>
      </c>
      <c r="H8905" s="19"/>
    </row>
    <row r="8906">
      <c r="A8906" s="9"/>
      <c r="B8906" s="15"/>
      <c r="C8906" s="9">
        <f>IFERROR(__xludf.DUMMYFUNCTION("""COMPUTED_VALUE"""),45050.6517573032)</f>
        <v>45050.65176</v>
      </c>
      <c r="D8906" s="15">
        <f>IFERROR(__xludf.DUMMYFUNCTION("""COMPUTED_VALUE"""),1.023)</f>
        <v>1.023</v>
      </c>
      <c r="E8906" s="16">
        <f>IFERROR(__xludf.DUMMYFUNCTION("""COMPUTED_VALUE"""),60.0)</f>
        <v>60</v>
      </c>
      <c r="F8906" s="19" t="str">
        <f>IFERROR(__xludf.DUMMYFUNCTION("""COMPUTED_VALUE"""),"BLUE")</f>
        <v>BLUE</v>
      </c>
      <c r="G8906" s="20" t="str">
        <f>IFERROR(__xludf.DUMMYFUNCTION("""COMPUTED_VALUE"""),"Uncle Sams Cider (04/04/2023)")</f>
        <v>Uncle Sams Cider (04/04/2023)</v>
      </c>
      <c r="H8906" s="19"/>
    </row>
    <row r="8907">
      <c r="A8907" s="9"/>
      <c r="B8907" s="15"/>
      <c r="C8907" s="9">
        <f>IFERROR(__xludf.DUMMYFUNCTION("""COMPUTED_VALUE"""),45050.6413372337)</f>
        <v>45050.64134</v>
      </c>
      <c r="D8907" s="15">
        <f>IFERROR(__xludf.DUMMYFUNCTION("""COMPUTED_VALUE"""),1.023)</f>
        <v>1.023</v>
      </c>
      <c r="E8907" s="16">
        <f>IFERROR(__xludf.DUMMYFUNCTION("""COMPUTED_VALUE"""),60.0)</f>
        <v>60</v>
      </c>
      <c r="F8907" s="19" t="str">
        <f>IFERROR(__xludf.DUMMYFUNCTION("""COMPUTED_VALUE"""),"BLUE")</f>
        <v>BLUE</v>
      </c>
      <c r="G8907" s="20" t="str">
        <f>IFERROR(__xludf.DUMMYFUNCTION("""COMPUTED_VALUE"""),"Uncle Sams Cider (04/04/2023)")</f>
        <v>Uncle Sams Cider (04/04/2023)</v>
      </c>
      <c r="H8907" s="19"/>
    </row>
    <row r="8908">
      <c r="A8908" s="9"/>
      <c r="B8908" s="15"/>
      <c r="C8908" s="9">
        <f>IFERROR(__xludf.DUMMYFUNCTION("""COMPUTED_VALUE"""),45050.6309148726)</f>
        <v>45050.63091</v>
      </c>
      <c r="D8908" s="15">
        <f>IFERROR(__xludf.DUMMYFUNCTION("""COMPUTED_VALUE"""),1.023)</f>
        <v>1.023</v>
      </c>
      <c r="E8908" s="16">
        <f>IFERROR(__xludf.DUMMYFUNCTION("""COMPUTED_VALUE"""),60.0)</f>
        <v>60</v>
      </c>
      <c r="F8908" s="19" t="str">
        <f>IFERROR(__xludf.DUMMYFUNCTION("""COMPUTED_VALUE"""),"BLUE")</f>
        <v>BLUE</v>
      </c>
      <c r="G8908" s="20" t="str">
        <f>IFERROR(__xludf.DUMMYFUNCTION("""COMPUTED_VALUE"""),"Uncle Sams Cider (04/04/2023)")</f>
        <v>Uncle Sams Cider (04/04/2023)</v>
      </c>
      <c r="H8908" s="19"/>
    </row>
    <row r="8909">
      <c r="A8909" s="9"/>
      <c r="B8909" s="15"/>
      <c r="C8909" s="9">
        <f>IFERROR(__xludf.DUMMYFUNCTION("""COMPUTED_VALUE"""),45050.620493912)</f>
        <v>45050.62049</v>
      </c>
      <c r="D8909" s="15">
        <f>IFERROR(__xludf.DUMMYFUNCTION("""COMPUTED_VALUE"""),1.023)</f>
        <v>1.023</v>
      </c>
      <c r="E8909" s="16">
        <f>IFERROR(__xludf.DUMMYFUNCTION("""COMPUTED_VALUE"""),60.0)</f>
        <v>60</v>
      </c>
      <c r="F8909" s="19" t="str">
        <f>IFERROR(__xludf.DUMMYFUNCTION("""COMPUTED_VALUE"""),"BLUE")</f>
        <v>BLUE</v>
      </c>
      <c r="G8909" s="20" t="str">
        <f>IFERROR(__xludf.DUMMYFUNCTION("""COMPUTED_VALUE"""),"Uncle Sams Cider (04/04/2023)")</f>
        <v>Uncle Sams Cider (04/04/2023)</v>
      </c>
      <c r="H8909" s="19"/>
    </row>
    <row r="8910">
      <c r="A8910" s="9"/>
      <c r="B8910" s="15"/>
      <c r="C8910" s="9">
        <f>IFERROR(__xludf.DUMMYFUNCTION("""COMPUTED_VALUE"""),45050.6100730555)</f>
        <v>45050.61007</v>
      </c>
      <c r="D8910" s="15">
        <f>IFERROR(__xludf.DUMMYFUNCTION("""COMPUTED_VALUE"""),1.023)</f>
        <v>1.023</v>
      </c>
      <c r="E8910" s="16">
        <f>IFERROR(__xludf.DUMMYFUNCTION("""COMPUTED_VALUE"""),60.0)</f>
        <v>60</v>
      </c>
      <c r="F8910" s="19" t="str">
        <f>IFERROR(__xludf.DUMMYFUNCTION("""COMPUTED_VALUE"""),"BLUE")</f>
        <v>BLUE</v>
      </c>
      <c r="G8910" s="20" t="str">
        <f>IFERROR(__xludf.DUMMYFUNCTION("""COMPUTED_VALUE"""),"Uncle Sams Cider (04/04/2023)")</f>
        <v>Uncle Sams Cider (04/04/2023)</v>
      </c>
      <c r="H8910" s="19"/>
    </row>
    <row r="8911">
      <c r="A8911" s="9"/>
      <c r="B8911" s="15"/>
      <c r="C8911" s="9">
        <f>IFERROR(__xludf.DUMMYFUNCTION("""COMPUTED_VALUE"""),45050.5996519444)</f>
        <v>45050.59965</v>
      </c>
      <c r="D8911" s="15">
        <f>IFERROR(__xludf.DUMMYFUNCTION("""COMPUTED_VALUE"""),1.023)</f>
        <v>1.023</v>
      </c>
      <c r="E8911" s="16">
        <f>IFERROR(__xludf.DUMMYFUNCTION("""COMPUTED_VALUE"""),60.0)</f>
        <v>60</v>
      </c>
      <c r="F8911" s="19" t="str">
        <f>IFERROR(__xludf.DUMMYFUNCTION("""COMPUTED_VALUE"""),"BLUE")</f>
        <v>BLUE</v>
      </c>
      <c r="G8911" s="20" t="str">
        <f>IFERROR(__xludf.DUMMYFUNCTION("""COMPUTED_VALUE"""),"Uncle Sams Cider (04/04/2023)")</f>
        <v>Uncle Sams Cider (04/04/2023)</v>
      </c>
      <c r="H8911" s="19"/>
    </row>
    <row r="8912">
      <c r="A8912" s="9"/>
      <c r="B8912" s="15"/>
      <c r="C8912" s="9">
        <f>IFERROR(__xludf.DUMMYFUNCTION("""COMPUTED_VALUE"""),45050.5892316435)</f>
        <v>45050.58923</v>
      </c>
      <c r="D8912" s="15">
        <f>IFERROR(__xludf.DUMMYFUNCTION("""COMPUTED_VALUE"""),1.023)</f>
        <v>1.023</v>
      </c>
      <c r="E8912" s="16">
        <f>IFERROR(__xludf.DUMMYFUNCTION("""COMPUTED_VALUE"""),60.0)</f>
        <v>60</v>
      </c>
      <c r="F8912" s="19" t="str">
        <f>IFERROR(__xludf.DUMMYFUNCTION("""COMPUTED_VALUE"""),"BLUE")</f>
        <v>BLUE</v>
      </c>
      <c r="G8912" s="20" t="str">
        <f>IFERROR(__xludf.DUMMYFUNCTION("""COMPUTED_VALUE"""),"Uncle Sams Cider (04/04/2023)")</f>
        <v>Uncle Sams Cider (04/04/2023)</v>
      </c>
      <c r="H8912" s="19"/>
    </row>
    <row r="8913">
      <c r="A8913" s="9"/>
      <c r="B8913" s="15"/>
      <c r="C8913" s="9">
        <f>IFERROR(__xludf.DUMMYFUNCTION("""COMPUTED_VALUE"""),45050.5788109259)</f>
        <v>45050.57881</v>
      </c>
      <c r="D8913" s="15">
        <f>IFERROR(__xludf.DUMMYFUNCTION("""COMPUTED_VALUE"""),1.023)</f>
        <v>1.023</v>
      </c>
      <c r="E8913" s="16">
        <f>IFERROR(__xludf.DUMMYFUNCTION("""COMPUTED_VALUE"""),60.0)</f>
        <v>60</v>
      </c>
      <c r="F8913" s="19" t="str">
        <f>IFERROR(__xludf.DUMMYFUNCTION("""COMPUTED_VALUE"""),"BLUE")</f>
        <v>BLUE</v>
      </c>
      <c r="G8913" s="20" t="str">
        <f>IFERROR(__xludf.DUMMYFUNCTION("""COMPUTED_VALUE"""),"Uncle Sams Cider (04/04/2023)")</f>
        <v>Uncle Sams Cider (04/04/2023)</v>
      </c>
      <c r="H8913" s="19"/>
    </row>
    <row r="8914">
      <c r="A8914" s="9"/>
      <c r="B8914" s="15"/>
      <c r="C8914" s="9">
        <f>IFERROR(__xludf.DUMMYFUNCTION("""COMPUTED_VALUE"""),45050.5683910648)</f>
        <v>45050.56839</v>
      </c>
      <c r="D8914" s="15">
        <f>IFERROR(__xludf.DUMMYFUNCTION("""COMPUTED_VALUE"""),1.023)</f>
        <v>1.023</v>
      </c>
      <c r="E8914" s="16">
        <f>IFERROR(__xludf.DUMMYFUNCTION("""COMPUTED_VALUE"""),60.0)</f>
        <v>60</v>
      </c>
      <c r="F8914" s="19" t="str">
        <f>IFERROR(__xludf.DUMMYFUNCTION("""COMPUTED_VALUE"""),"BLUE")</f>
        <v>BLUE</v>
      </c>
      <c r="G8914" s="20" t="str">
        <f>IFERROR(__xludf.DUMMYFUNCTION("""COMPUTED_VALUE"""),"Uncle Sams Cider (04/04/2023)")</f>
        <v>Uncle Sams Cider (04/04/2023)</v>
      </c>
      <c r="H8914" s="19"/>
    </row>
    <row r="8915">
      <c r="A8915" s="9"/>
      <c r="B8915" s="15"/>
      <c r="C8915" s="9">
        <f>IFERROR(__xludf.DUMMYFUNCTION("""COMPUTED_VALUE"""),45050.5579700925)</f>
        <v>45050.55797</v>
      </c>
      <c r="D8915" s="15">
        <f>IFERROR(__xludf.DUMMYFUNCTION("""COMPUTED_VALUE"""),1.023)</f>
        <v>1.023</v>
      </c>
      <c r="E8915" s="16">
        <f>IFERROR(__xludf.DUMMYFUNCTION("""COMPUTED_VALUE"""),60.0)</f>
        <v>60</v>
      </c>
      <c r="F8915" s="19" t="str">
        <f>IFERROR(__xludf.DUMMYFUNCTION("""COMPUTED_VALUE"""),"BLUE")</f>
        <v>BLUE</v>
      </c>
      <c r="G8915" s="20" t="str">
        <f>IFERROR(__xludf.DUMMYFUNCTION("""COMPUTED_VALUE"""),"Uncle Sams Cider (04/04/2023)")</f>
        <v>Uncle Sams Cider (04/04/2023)</v>
      </c>
      <c r="H8915" s="19"/>
    </row>
    <row r="8916">
      <c r="A8916" s="9"/>
      <c r="B8916" s="15"/>
      <c r="C8916" s="9">
        <f>IFERROR(__xludf.DUMMYFUNCTION("""COMPUTED_VALUE"""),45050.5475477777)</f>
        <v>45050.54755</v>
      </c>
      <c r="D8916" s="15">
        <f>IFERROR(__xludf.DUMMYFUNCTION("""COMPUTED_VALUE"""),1.023)</f>
        <v>1.023</v>
      </c>
      <c r="E8916" s="16">
        <f>IFERROR(__xludf.DUMMYFUNCTION("""COMPUTED_VALUE"""),60.0)</f>
        <v>60</v>
      </c>
      <c r="F8916" s="19" t="str">
        <f>IFERROR(__xludf.DUMMYFUNCTION("""COMPUTED_VALUE"""),"BLUE")</f>
        <v>BLUE</v>
      </c>
      <c r="G8916" s="20" t="str">
        <f>IFERROR(__xludf.DUMMYFUNCTION("""COMPUTED_VALUE"""),"Uncle Sams Cider (04/04/2023)")</f>
        <v>Uncle Sams Cider (04/04/2023)</v>
      </c>
      <c r="H8916" s="19"/>
    </row>
    <row r="8917">
      <c r="A8917" s="9"/>
      <c r="B8917" s="15"/>
      <c r="C8917" s="9">
        <f>IFERROR(__xludf.DUMMYFUNCTION("""COMPUTED_VALUE"""),45050.5371150694)</f>
        <v>45050.53712</v>
      </c>
      <c r="D8917" s="15">
        <f>IFERROR(__xludf.DUMMYFUNCTION("""COMPUTED_VALUE"""),1.023)</f>
        <v>1.023</v>
      </c>
      <c r="E8917" s="16">
        <f>IFERROR(__xludf.DUMMYFUNCTION("""COMPUTED_VALUE"""),60.0)</f>
        <v>60</v>
      </c>
      <c r="F8917" s="19" t="str">
        <f>IFERROR(__xludf.DUMMYFUNCTION("""COMPUTED_VALUE"""),"BLUE")</f>
        <v>BLUE</v>
      </c>
      <c r="G8917" s="20" t="str">
        <f>IFERROR(__xludf.DUMMYFUNCTION("""COMPUTED_VALUE"""),"Uncle Sams Cider (04/04/2023)")</f>
        <v>Uncle Sams Cider (04/04/2023)</v>
      </c>
      <c r="H8917" s="19"/>
    </row>
    <row r="8918">
      <c r="A8918" s="9"/>
      <c r="B8918" s="15"/>
      <c r="C8918" s="9">
        <f>IFERROR(__xludf.DUMMYFUNCTION("""COMPUTED_VALUE"""),45050.5266943287)</f>
        <v>45050.52669</v>
      </c>
      <c r="D8918" s="15">
        <f>IFERROR(__xludf.DUMMYFUNCTION("""COMPUTED_VALUE"""),1.023)</f>
        <v>1.023</v>
      </c>
      <c r="E8918" s="16">
        <f>IFERROR(__xludf.DUMMYFUNCTION("""COMPUTED_VALUE"""),60.0)</f>
        <v>60</v>
      </c>
      <c r="F8918" s="19" t="str">
        <f>IFERROR(__xludf.DUMMYFUNCTION("""COMPUTED_VALUE"""),"BLUE")</f>
        <v>BLUE</v>
      </c>
      <c r="G8918" s="20" t="str">
        <f>IFERROR(__xludf.DUMMYFUNCTION("""COMPUTED_VALUE"""),"Uncle Sams Cider (04/04/2023)")</f>
        <v>Uncle Sams Cider (04/04/2023)</v>
      </c>
      <c r="H8918" s="19"/>
    </row>
    <row r="8919">
      <c r="A8919" s="9"/>
      <c r="B8919" s="15"/>
      <c r="C8919" s="9">
        <f>IFERROR(__xludf.DUMMYFUNCTION("""COMPUTED_VALUE"""),45050.516273449)</f>
        <v>45050.51627</v>
      </c>
      <c r="D8919" s="15">
        <f>IFERROR(__xludf.DUMMYFUNCTION("""COMPUTED_VALUE"""),1.023)</f>
        <v>1.023</v>
      </c>
      <c r="E8919" s="16">
        <f>IFERROR(__xludf.DUMMYFUNCTION("""COMPUTED_VALUE"""),60.0)</f>
        <v>60</v>
      </c>
      <c r="F8919" s="19" t="str">
        <f>IFERROR(__xludf.DUMMYFUNCTION("""COMPUTED_VALUE"""),"BLUE")</f>
        <v>BLUE</v>
      </c>
      <c r="G8919" s="20" t="str">
        <f>IFERROR(__xludf.DUMMYFUNCTION("""COMPUTED_VALUE"""),"Uncle Sams Cider (04/04/2023)")</f>
        <v>Uncle Sams Cider (04/04/2023)</v>
      </c>
      <c r="H8919" s="19"/>
    </row>
    <row r="8920">
      <c r="A8920" s="9"/>
      <c r="B8920" s="15"/>
      <c r="C8920" s="9">
        <f>IFERROR(__xludf.DUMMYFUNCTION("""COMPUTED_VALUE"""),45050.5058408333)</f>
        <v>45050.50584</v>
      </c>
      <c r="D8920" s="15">
        <f>IFERROR(__xludf.DUMMYFUNCTION("""COMPUTED_VALUE"""),1.023)</f>
        <v>1.023</v>
      </c>
      <c r="E8920" s="16">
        <f>IFERROR(__xludf.DUMMYFUNCTION("""COMPUTED_VALUE"""),60.0)</f>
        <v>60</v>
      </c>
      <c r="F8920" s="19" t="str">
        <f>IFERROR(__xludf.DUMMYFUNCTION("""COMPUTED_VALUE"""),"BLUE")</f>
        <v>BLUE</v>
      </c>
      <c r="G8920" s="20" t="str">
        <f>IFERROR(__xludf.DUMMYFUNCTION("""COMPUTED_VALUE"""),"Uncle Sams Cider (04/04/2023)")</f>
        <v>Uncle Sams Cider (04/04/2023)</v>
      </c>
      <c r="H8920" s="19"/>
    </row>
    <row r="8921">
      <c r="A8921" s="9"/>
      <c r="B8921" s="15"/>
      <c r="C8921" s="9">
        <f>IFERROR(__xludf.DUMMYFUNCTION("""COMPUTED_VALUE"""),45050.4954196875)</f>
        <v>45050.49542</v>
      </c>
      <c r="D8921" s="15">
        <f>IFERROR(__xludf.DUMMYFUNCTION("""COMPUTED_VALUE"""),1.023)</f>
        <v>1.023</v>
      </c>
      <c r="E8921" s="16">
        <f>IFERROR(__xludf.DUMMYFUNCTION("""COMPUTED_VALUE"""),60.0)</f>
        <v>60</v>
      </c>
      <c r="F8921" s="19" t="str">
        <f>IFERROR(__xludf.DUMMYFUNCTION("""COMPUTED_VALUE"""),"BLUE")</f>
        <v>BLUE</v>
      </c>
      <c r="G8921" s="20" t="str">
        <f>IFERROR(__xludf.DUMMYFUNCTION("""COMPUTED_VALUE"""),"Uncle Sams Cider (04/04/2023)")</f>
        <v>Uncle Sams Cider (04/04/2023)</v>
      </c>
      <c r="H8921" s="19"/>
    </row>
    <row r="8922">
      <c r="A8922" s="9"/>
      <c r="B8922" s="15"/>
      <c r="C8922" s="9">
        <f>IFERROR(__xludf.DUMMYFUNCTION("""COMPUTED_VALUE"""),45050.4849873148)</f>
        <v>45050.48499</v>
      </c>
      <c r="D8922" s="15">
        <f>IFERROR(__xludf.DUMMYFUNCTION("""COMPUTED_VALUE"""),1.023)</f>
        <v>1.023</v>
      </c>
      <c r="E8922" s="16">
        <f>IFERROR(__xludf.DUMMYFUNCTION("""COMPUTED_VALUE"""),60.0)</f>
        <v>60</v>
      </c>
      <c r="F8922" s="19" t="str">
        <f>IFERROR(__xludf.DUMMYFUNCTION("""COMPUTED_VALUE"""),"BLUE")</f>
        <v>BLUE</v>
      </c>
      <c r="G8922" s="20" t="str">
        <f>IFERROR(__xludf.DUMMYFUNCTION("""COMPUTED_VALUE"""),"Uncle Sams Cider (04/04/2023)")</f>
        <v>Uncle Sams Cider (04/04/2023)</v>
      </c>
      <c r="H8922" s="19"/>
    </row>
    <row r="8923">
      <c r="A8923" s="9"/>
      <c r="B8923" s="15"/>
      <c r="C8923" s="9">
        <f>IFERROR(__xludf.DUMMYFUNCTION("""COMPUTED_VALUE"""),45050.4745553819)</f>
        <v>45050.47456</v>
      </c>
      <c r="D8923" s="15">
        <f>IFERROR(__xludf.DUMMYFUNCTION("""COMPUTED_VALUE"""),1.023)</f>
        <v>1.023</v>
      </c>
      <c r="E8923" s="16">
        <f>IFERROR(__xludf.DUMMYFUNCTION("""COMPUTED_VALUE"""),60.0)</f>
        <v>60</v>
      </c>
      <c r="F8923" s="19" t="str">
        <f>IFERROR(__xludf.DUMMYFUNCTION("""COMPUTED_VALUE"""),"BLUE")</f>
        <v>BLUE</v>
      </c>
      <c r="G8923" s="20" t="str">
        <f>IFERROR(__xludf.DUMMYFUNCTION("""COMPUTED_VALUE"""),"Uncle Sams Cider (04/04/2023)")</f>
        <v>Uncle Sams Cider (04/04/2023)</v>
      </c>
      <c r="H8923" s="19"/>
    </row>
    <row r="8924">
      <c r="A8924" s="9"/>
      <c r="B8924" s="15"/>
      <c r="C8924" s="9">
        <f>IFERROR(__xludf.DUMMYFUNCTION("""COMPUTED_VALUE"""),45050.4641207638)</f>
        <v>45050.46412</v>
      </c>
      <c r="D8924" s="15">
        <f>IFERROR(__xludf.DUMMYFUNCTION("""COMPUTED_VALUE"""),1.023)</f>
        <v>1.023</v>
      </c>
      <c r="E8924" s="16">
        <f>IFERROR(__xludf.DUMMYFUNCTION("""COMPUTED_VALUE"""),60.0)</f>
        <v>60</v>
      </c>
      <c r="F8924" s="19" t="str">
        <f>IFERROR(__xludf.DUMMYFUNCTION("""COMPUTED_VALUE"""),"BLUE")</f>
        <v>BLUE</v>
      </c>
      <c r="G8924" s="20" t="str">
        <f>IFERROR(__xludf.DUMMYFUNCTION("""COMPUTED_VALUE"""),"Uncle Sams Cider (04/04/2023)")</f>
        <v>Uncle Sams Cider (04/04/2023)</v>
      </c>
      <c r="H8924" s="19"/>
    </row>
    <row r="8925">
      <c r="A8925" s="9"/>
      <c r="B8925" s="15"/>
      <c r="C8925" s="9">
        <f>IFERROR(__xludf.DUMMYFUNCTION("""COMPUTED_VALUE"""),45050.4537005092)</f>
        <v>45050.4537</v>
      </c>
      <c r="D8925" s="15">
        <f>IFERROR(__xludf.DUMMYFUNCTION("""COMPUTED_VALUE"""),1.023)</f>
        <v>1.023</v>
      </c>
      <c r="E8925" s="16">
        <f>IFERROR(__xludf.DUMMYFUNCTION("""COMPUTED_VALUE"""),60.0)</f>
        <v>60</v>
      </c>
      <c r="F8925" s="19" t="str">
        <f>IFERROR(__xludf.DUMMYFUNCTION("""COMPUTED_VALUE"""),"BLUE")</f>
        <v>BLUE</v>
      </c>
      <c r="G8925" s="20" t="str">
        <f>IFERROR(__xludf.DUMMYFUNCTION("""COMPUTED_VALUE"""),"Uncle Sams Cider (04/04/2023)")</f>
        <v>Uncle Sams Cider (04/04/2023)</v>
      </c>
      <c r="H8925" s="19"/>
    </row>
    <row r="8926">
      <c r="A8926" s="9"/>
      <c r="B8926" s="15"/>
      <c r="C8926" s="9">
        <f>IFERROR(__xludf.DUMMYFUNCTION("""COMPUTED_VALUE"""),45050.4432785879)</f>
        <v>45050.44328</v>
      </c>
      <c r="D8926" s="15">
        <f>IFERROR(__xludf.DUMMYFUNCTION("""COMPUTED_VALUE"""),1.023)</f>
        <v>1.023</v>
      </c>
      <c r="E8926" s="16">
        <f>IFERROR(__xludf.DUMMYFUNCTION("""COMPUTED_VALUE"""),60.0)</f>
        <v>60</v>
      </c>
      <c r="F8926" s="19" t="str">
        <f>IFERROR(__xludf.DUMMYFUNCTION("""COMPUTED_VALUE"""),"BLUE")</f>
        <v>BLUE</v>
      </c>
      <c r="G8926" s="20" t="str">
        <f>IFERROR(__xludf.DUMMYFUNCTION("""COMPUTED_VALUE"""),"Uncle Sams Cider (04/04/2023)")</f>
        <v>Uncle Sams Cider (04/04/2023)</v>
      </c>
      <c r="H8926" s="19"/>
    </row>
    <row r="8927">
      <c r="A8927" s="9"/>
      <c r="B8927" s="15"/>
      <c r="C8927" s="9">
        <f>IFERROR(__xludf.DUMMYFUNCTION("""COMPUTED_VALUE"""),45050.4328573263)</f>
        <v>45050.43286</v>
      </c>
      <c r="D8927" s="15">
        <f>IFERROR(__xludf.DUMMYFUNCTION("""COMPUTED_VALUE"""),1.023)</f>
        <v>1.023</v>
      </c>
      <c r="E8927" s="16">
        <f>IFERROR(__xludf.DUMMYFUNCTION("""COMPUTED_VALUE"""),60.0)</f>
        <v>60</v>
      </c>
      <c r="F8927" s="19" t="str">
        <f>IFERROR(__xludf.DUMMYFUNCTION("""COMPUTED_VALUE"""),"BLUE")</f>
        <v>BLUE</v>
      </c>
      <c r="G8927" s="20" t="str">
        <f>IFERROR(__xludf.DUMMYFUNCTION("""COMPUTED_VALUE"""),"Uncle Sams Cider (04/04/2023)")</f>
        <v>Uncle Sams Cider (04/04/2023)</v>
      </c>
      <c r="H8927" s="19"/>
    </row>
    <row r="8928">
      <c r="A8928" s="9"/>
      <c r="B8928" s="15"/>
      <c r="C8928" s="9">
        <f>IFERROR(__xludf.DUMMYFUNCTION("""COMPUTED_VALUE"""),45050.4224371759)</f>
        <v>45050.42244</v>
      </c>
      <c r="D8928" s="15">
        <f>IFERROR(__xludf.DUMMYFUNCTION("""COMPUTED_VALUE"""),1.023)</f>
        <v>1.023</v>
      </c>
      <c r="E8928" s="16">
        <f>IFERROR(__xludf.DUMMYFUNCTION("""COMPUTED_VALUE"""),60.0)</f>
        <v>60</v>
      </c>
      <c r="F8928" s="19" t="str">
        <f>IFERROR(__xludf.DUMMYFUNCTION("""COMPUTED_VALUE"""),"BLUE")</f>
        <v>BLUE</v>
      </c>
      <c r="G8928" s="20" t="str">
        <f>IFERROR(__xludf.DUMMYFUNCTION("""COMPUTED_VALUE"""),"Uncle Sams Cider (04/04/2023)")</f>
        <v>Uncle Sams Cider (04/04/2023)</v>
      </c>
      <c r="H8928" s="19"/>
    </row>
    <row r="8929">
      <c r="A8929" s="9"/>
      <c r="B8929" s="15"/>
      <c r="C8929" s="9">
        <f>IFERROR(__xludf.DUMMYFUNCTION("""COMPUTED_VALUE"""),45050.41201603)</f>
        <v>45050.41202</v>
      </c>
      <c r="D8929" s="15">
        <f>IFERROR(__xludf.DUMMYFUNCTION("""COMPUTED_VALUE"""),1.023)</f>
        <v>1.023</v>
      </c>
      <c r="E8929" s="16">
        <f>IFERROR(__xludf.DUMMYFUNCTION("""COMPUTED_VALUE"""),61.0)</f>
        <v>61</v>
      </c>
      <c r="F8929" s="19" t="str">
        <f>IFERROR(__xludf.DUMMYFUNCTION("""COMPUTED_VALUE"""),"BLUE")</f>
        <v>BLUE</v>
      </c>
      <c r="G8929" s="20" t="str">
        <f>IFERROR(__xludf.DUMMYFUNCTION("""COMPUTED_VALUE"""),"Uncle Sams Cider (04/04/2023)")</f>
        <v>Uncle Sams Cider (04/04/2023)</v>
      </c>
      <c r="H8929" s="19"/>
    </row>
    <row r="8930">
      <c r="A8930" s="9"/>
      <c r="B8930" s="15"/>
      <c r="C8930" s="9">
        <f>IFERROR(__xludf.DUMMYFUNCTION("""COMPUTED_VALUE"""),45050.4015935763)</f>
        <v>45050.40159</v>
      </c>
      <c r="D8930" s="15">
        <f>IFERROR(__xludf.DUMMYFUNCTION("""COMPUTED_VALUE"""),1.023)</f>
        <v>1.023</v>
      </c>
      <c r="E8930" s="16">
        <f>IFERROR(__xludf.DUMMYFUNCTION("""COMPUTED_VALUE"""),60.0)</f>
        <v>60</v>
      </c>
      <c r="F8930" s="19" t="str">
        <f>IFERROR(__xludf.DUMMYFUNCTION("""COMPUTED_VALUE"""),"BLUE")</f>
        <v>BLUE</v>
      </c>
      <c r="G8930" s="20" t="str">
        <f>IFERROR(__xludf.DUMMYFUNCTION("""COMPUTED_VALUE"""),"Uncle Sams Cider (04/04/2023)")</f>
        <v>Uncle Sams Cider (04/04/2023)</v>
      </c>
      <c r="H8930" s="19"/>
    </row>
    <row r="8931">
      <c r="A8931" s="9"/>
      <c r="B8931" s="15"/>
      <c r="C8931" s="9">
        <f>IFERROR(__xludf.DUMMYFUNCTION("""COMPUTED_VALUE"""),45050.3911709606)</f>
        <v>45050.39117</v>
      </c>
      <c r="D8931" s="15">
        <f>IFERROR(__xludf.DUMMYFUNCTION("""COMPUTED_VALUE"""),1.023)</f>
        <v>1.023</v>
      </c>
      <c r="E8931" s="16">
        <f>IFERROR(__xludf.DUMMYFUNCTION("""COMPUTED_VALUE"""),60.0)</f>
        <v>60</v>
      </c>
      <c r="F8931" s="19" t="str">
        <f>IFERROR(__xludf.DUMMYFUNCTION("""COMPUTED_VALUE"""),"BLUE")</f>
        <v>BLUE</v>
      </c>
      <c r="G8931" s="20" t="str">
        <f>IFERROR(__xludf.DUMMYFUNCTION("""COMPUTED_VALUE"""),"Uncle Sams Cider (04/04/2023)")</f>
        <v>Uncle Sams Cider (04/04/2023)</v>
      </c>
      <c r="H8931" s="19"/>
    </row>
    <row r="8932">
      <c r="A8932" s="9"/>
      <c r="B8932" s="15"/>
      <c r="C8932" s="9">
        <f>IFERROR(__xludf.DUMMYFUNCTION("""COMPUTED_VALUE"""),45050.3807496296)</f>
        <v>45050.38075</v>
      </c>
      <c r="D8932" s="15">
        <f>IFERROR(__xludf.DUMMYFUNCTION("""COMPUTED_VALUE"""),1.023)</f>
        <v>1.023</v>
      </c>
      <c r="E8932" s="16">
        <f>IFERROR(__xludf.DUMMYFUNCTION("""COMPUTED_VALUE"""),61.0)</f>
        <v>61</v>
      </c>
      <c r="F8932" s="19" t="str">
        <f>IFERROR(__xludf.DUMMYFUNCTION("""COMPUTED_VALUE"""),"BLUE")</f>
        <v>BLUE</v>
      </c>
      <c r="G8932" s="20" t="str">
        <f>IFERROR(__xludf.DUMMYFUNCTION("""COMPUTED_VALUE"""),"Uncle Sams Cider (04/04/2023)")</f>
        <v>Uncle Sams Cider (04/04/2023)</v>
      </c>
      <c r="H8932" s="19"/>
    </row>
    <row r="8933">
      <c r="A8933" s="9"/>
      <c r="B8933" s="15"/>
      <c r="C8933" s="9">
        <f>IFERROR(__xludf.DUMMYFUNCTION("""COMPUTED_VALUE"""),45050.370328449)</f>
        <v>45050.37033</v>
      </c>
      <c r="D8933" s="15">
        <f>IFERROR(__xludf.DUMMYFUNCTION("""COMPUTED_VALUE"""),1.023)</f>
        <v>1.023</v>
      </c>
      <c r="E8933" s="16">
        <f>IFERROR(__xludf.DUMMYFUNCTION("""COMPUTED_VALUE"""),61.0)</f>
        <v>61</v>
      </c>
      <c r="F8933" s="19" t="str">
        <f>IFERROR(__xludf.DUMMYFUNCTION("""COMPUTED_VALUE"""),"BLUE")</f>
        <v>BLUE</v>
      </c>
      <c r="G8933" s="20" t="str">
        <f>IFERROR(__xludf.DUMMYFUNCTION("""COMPUTED_VALUE"""),"Uncle Sams Cider (04/04/2023)")</f>
        <v>Uncle Sams Cider (04/04/2023)</v>
      </c>
      <c r="H8933" s="19"/>
    </row>
    <row r="8934">
      <c r="A8934" s="9"/>
      <c r="B8934" s="15"/>
      <c r="C8934" s="9">
        <f>IFERROR(__xludf.DUMMYFUNCTION("""COMPUTED_VALUE"""),45050.3599061574)</f>
        <v>45050.35991</v>
      </c>
      <c r="D8934" s="15">
        <f>IFERROR(__xludf.DUMMYFUNCTION("""COMPUTED_VALUE"""),1.023)</f>
        <v>1.023</v>
      </c>
      <c r="E8934" s="16">
        <f>IFERROR(__xludf.DUMMYFUNCTION("""COMPUTED_VALUE"""),61.0)</f>
        <v>61</v>
      </c>
      <c r="F8934" s="19" t="str">
        <f>IFERROR(__xludf.DUMMYFUNCTION("""COMPUTED_VALUE"""),"BLUE")</f>
        <v>BLUE</v>
      </c>
      <c r="G8934" s="20" t="str">
        <f>IFERROR(__xludf.DUMMYFUNCTION("""COMPUTED_VALUE"""),"Uncle Sams Cider (04/04/2023)")</f>
        <v>Uncle Sams Cider (04/04/2023)</v>
      </c>
      <c r="H8934" s="19"/>
    </row>
    <row r="8935">
      <c r="A8935" s="9"/>
      <c r="B8935" s="15"/>
      <c r="C8935" s="9">
        <f>IFERROR(__xludf.DUMMYFUNCTION("""COMPUTED_VALUE"""),45050.3494742592)</f>
        <v>45050.34947</v>
      </c>
      <c r="D8935" s="15">
        <f>IFERROR(__xludf.DUMMYFUNCTION("""COMPUTED_VALUE"""),1.023)</f>
        <v>1.023</v>
      </c>
      <c r="E8935" s="16">
        <f>IFERROR(__xludf.DUMMYFUNCTION("""COMPUTED_VALUE"""),61.0)</f>
        <v>61</v>
      </c>
      <c r="F8935" s="19" t="str">
        <f>IFERROR(__xludf.DUMMYFUNCTION("""COMPUTED_VALUE"""),"BLUE")</f>
        <v>BLUE</v>
      </c>
      <c r="G8935" s="20" t="str">
        <f>IFERROR(__xludf.DUMMYFUNCTION("""COMPUTED_VALUE"""),"Uncle Sams Cider (04/04/2023)")</f>
        <v>Uncle Sams Cider (04/04/2023)</v>
      </c>
      <c r="H8935" s="19"/>
    </row>
    <row r="8936">
      <c r="A8936" s="9"/>
      <c r="B8936" s="15"/>
      <c r="C8936" s="9">
        <f>IFERROR(__xludf.DUMMYFUNCTION("""COMPUTED_VALUE"""),45050.3390527314)</f>
        <v>45050.33905</v>
      </c>
      <c r="D8936" s="15">
        <f>IFERROR(__xludf.DUMMYFUNCTION("""COMPUTED_VALUE"""),1.023)</f>
        <v>1.023</v>
      </c>
      <c r="E8936" s="16">
        <f>IFERROR(__xludf.DUMMYFUNCTION("""COMPUTED_VALUE"""),61.0)</f>
        <v>61</v>
      </c>
      <c r="F8936" s="19" t="str">
        <f>IFERROR(__xludf.DUMMYFUNCTION("""COMPUTED_VALUE"""),"BLUE")</f>
        <v>BLUE</v>
      </c>
      <c r="G8936" s="20" t="str">
        <f>IFERROR(__xludf.DUMMYFUNCTION("""COMPUTED_VALUE"""),"Uncle Sams Cider (04/04/2023)")</f>
        <v>Uncle Sams Cider (04/04/2023)</v>
      </c>
      <c r="H8936" s="19"/>
    </row>
    <row r="8937">
      <c r="A8937" s="9"/>
      <c r="B8937" s="15"/>
      <c r="C8937" s="9">
        <f>IFERROR(__xludf.DUMMYFUNCTION("""COMPUTED_VALUE"""),45050.3286332176)</f>
        <v>45050.32863</v>
      </c>
      <c r="D8937" s="15">
        <f>IFERROR(__xludf.DUMMYFUNCTION("""COMPUTED_VALUE"""),1.023)</f>
        <v>1.023</v>
      </c>
      <c r="E8937" s="16">
        <f>IFERROR(__xludf.DUMMYFUNCTION("""COMPUTED_VALUE"""),61.0)</f>
        <v>61</v>
      </c>
      <c r="F8937" s="19" t="str">
        <f>IFERROR(__xludf.DUMMYFUNCTION("""COMPUTED_VALUE"""),"BLUE")</f>
        <v>BLUE</v>
      </c>
      <c r="G8937" s="20" t="str">
        <f>IFERROR(__xludf.DUMMYFUNCTION("""COMPUTED_VALUE"""),"Uncle Sams Cider (04/04/2023)")</f>
        <v>Uncle Sams Cider (04/04/2023)</v>
      </c>
      <c r="H8937" s="19"/>
    </row>
    <row r="8938">
      <c r="A8938" s="9"/>
      <c r="B8938" s="15"/>
      <c r="C8938" s="9">
        <f>IFERROR(__xludf.DUMMYFUNCTION("""COMPUTED_VALUE"""),45050.3182147338)</f>
        <v>45050.31821</v>
      </c>
      <c r="D8938" s="15">
        <f>IFERROR(__xludf.DUMMYFUNCTION("""COMPUTED_VALUE"""),1.023)</f>
        <v>1.023</v>
      </c>
      <c r="E8938" s="16">
        <f>IFERROR(__xludf.DUMMYFUNCTION("""COMPUTED_VALUE"""),61.0)</f>
        <v>61</v>
      </c>
      <c r="F8938" s="19" t="str">
        <f>IFERROR(__xludf.DUMMYFUNCTION("""COMPUTED_VALUE"""),"BLUE")</f>
        <v>BLUE</v>
      </c>
      <c r="G8938" s="20" t="str">
        <f>IFERROR(__xludf.DUMMYFUNCTION("""COMPUTED_VALUE"""),"Uncle Sams Cider (04/04/2023)")</f>
        <v>Uncle Sams Cider (04/04/2023)</v>
      </c>
      <c r="H8938" s="19"/>
    </row>
    <row r="8939">
      <c r="A8939" s="9"/>
      <c r="B8939" s="15"/>
      <c r="C8939" s="9">
        <f>IFERROR(__xludf.DUMMYFUNCTION("""COMPUTED_VALUE"""),45050.3077940972)</f>
        <v>45050.30779</v>
      </c>
      <c r="D8939" s="15">
        <f>IFERROR(__xludf.DUMMYFUNCTION("""COMPUTED_VALUE"""),1.023)</f>
        <v>1.023</v>
      </c>
      <c r="E8939" s="16">
        <f>IFERROR(__xludf.DUMMYFUNCTION("""COMPUTED_VALUE"""),61.0)</f>
        <v>61</v>
      </c>
      <c r="F8939" s="19" t="str">
        <f>IFERROR(__xludf.DUMMYFUNCTION("""COMPUTED_VALUE"""),"BLUE")</f>
        <v>BLUE</v>
      </c>
      <c r="G8939" s="20" t="str">
        <f>IFERROR(__xludf.DUMMYFUNCTION("""COMPUTED_VALUE"""),"Uncle Sams Cider (04/04/2023)")</f>
        <v>Uncle Sams Cider (04/04/2023)</v>
      </c>
      <c r="H8939" s="19"/>
    </row>
    <row r="8940">
      <c r="A8940" s="9"/>
      <c r="B8940" s="15"/>
      <c r="C8940" s="9">
        <f>IFERROR(__xludf.DUMMYFUNCTION("""COMPUTED_VALUE"""),45050.2973741203)</f>
        <v>45050.29737</v>
      </c>
      <c r="D8940" s="15">
        <f>IFERROR(__xludf.DUMMYFUNCTION("""COMPUTED_VALUE"""),1.023)</f>
        <v>1.023</v>
      </c>
      <c r="E8940" s="16">
        <f>IFERROR(__xludf.DUMMYFUNCTION("""COMPUTED_VALUE"""),61.0)</f>
        <v>61</v>
      </c>
      <c r="F8940" s="19" t="str">
        <f>IFERROR(__xludf.DUMMYFUNCTION("""COMPUTED_VALUE"""),"BLUE")</f>
        <v>BLUE</v>
      </c>
      <c r="G8940" s="20" t="str">
        <f>IFERROR(__xludf.DUMMYFUNCTION("""COMPUTED_VALUE"""),"Uncle Sams Cider (04/04/2023)")</f>
        <v>Uncle Sams Cider (04/04/2023)</v>
      </c>
      <c r="H8940" s="19"/>
    </row>
    <row r="8941">
      <c r="A8941" s="9"/>
      <c r="B8941" s="15"/>
      <c r="C8941" s="9">
        <f>IFERROR(__xludf.DUMMYFUNCTION("""COMPUTED_VALUE"""),45050.2869506134)</f>
        <v>45050.28695</v>
      </c>
      <c r="D8941" s="15">
        <f>IFERROR(__xludf.DUMMYFUNCTION("""COMPUTED_VALUE"""),1.023)</f>
        <v>1.023</v>
      </c>
      <c r="E8941" s="16">
        <f>IFERROR(__xludf.DUMMYFUNCTION("""COMPUTED_VALUE"""),61.0)</f>
        <v>61</v>
      </c>
      <c r="F8941" s="19" t="str">
        <f>IFERROR(__xludf.DUMMYFUNCTION("""COMPUTED_VALUE"""),"BLUE")</f>
        <v>BLUE</v>
      </c>
      <c r="G8941" s="20" t="str">
        <f>IFERROR(__xludf.DUMMYFUNCTION("""COMPUTED_VALUE"""),"Uncle Sams Cider (04/04/2023)")</f>
        <v>Uncle Sams Cider (04/04/2023)</v>
      </c>
      <c r="H8941" s="19"/>
    </row>
    <row r="8942">
      <c r="A8942" s="9"/>
      <c r="B8942" s="15"/>
      <c r="C8942" s="9">
        <f>IFERROR(__xludf.DUMMYFUNCTION("""COMPUTED_VALUE"""),45050.2765302893)</f>
        <v>45050.27653</v>
      </c>
      <c r="D8942" s="15">
        <f>IFERROR(__xludf.DUMMYFUNCTION("""COMPUTED_VALUE"""),1.023)</f>
        <v>1.023</v>
      </c>
      <c r="E8942" s="16">
        <f>IFERROR(__xludf.DUMMYFUNCTION("""COMPUTED_VALUE"""),61.0)</f>
        <v>61</v>
      </c>
      <c r="F8942" s="19" t="str">
        <f>IFERROR(__xludf.DUMMYFUNCTION("""COMPUTED_VALUE"""),"BLUE")</f>
        <v>BLUE</v>
      </c>
      <c r="G8942" s="20" t="str">
        <f>IFERROR(__xludf.DUMMYFUNCTION("""COMPUTED_VALUE"""),"Uncle Sams Cider (04/04/2023)")</f>
        <v>Uncle Sams Cider (04/04/2023)</v>
      </c>
      <c r="H8942" s="19"/>
    </row>
    <row r="8943">
      <c r="A8943" s="9"/>
      <c r="B8943" s="15"/>
      <c r="C8943" s="9">
        <f>IFERROR(__xludf.DUMMYFUNCTION("""COMPUTED_VALUE"""),45050.2661089583)</f>
        <v>45050.26611</v>
      </c>
      <c r="D8943" s="15">
        <f>IFERROR(__xludf.DUMMYFUNCTION("""COMPUTED_VALUE"""),1.023)</f>
        <v>1.023</v>
      </c>
      <c r="E8943" s="16">
        <f>IFERROR(__xludf.DUMMYFUNCTION("""COMPUTED_VALUE"""),61.0)</f>
        <v>61</v>
      </c>
      <c r="F8943" s="19" t="str">
        <f>IFERROR(__xludf.DUMMYFUNCTION("""COMPUTED_VALUE"""),"BLUE")</f>
        <v>BLUE</v>
      </c>
      <c r="G8943" s="20" t="str">
        <f>IFERROR(__xludf.DUMMYFUNCTION("""COMPUTED_VALUE"""),"Uncle Sams Cider (04/04/2023)")</f>
        <v>Uncle Sams Cider (04/04/2023)</v>
      </c>
      <c r="H8943" s="19"/>
    </row>
    <row r="8944">
      <c r="A8944" s="9"/>
      <c r="B8944" s="15"/>
      <c r="C8944" s="9">
        <f>IFERROR(__xludf.DUMMYFUNCTION("""COMPUTED_VALUE"""),45050.2556871412)</f>
        <v>45050.25569</v>
      </c>
      <c r="D8944" s="15">
        <f>IFERROR(__xludf.DUMMYFUNCTION("""COMPUTED_VALUE"""),1.023)</f>
        <v>1.023</v>
      </c>
      <c r="E8944" s="16">
        <f>IFERROR(__xludf.DUMMYFUNCTION("""COMPUTED_VALUE"""),61.0)</f>
        <v>61</v>
      </c>
      <c r="F8944" s="19" t="str">
        <f>IFERROR(__xludf.DUMMYFUNCTION("""COMPUTED_VALUE"""),"BLUE")</f>
        <v>BLUE</v>
      </c>
      <c r="G8944" s="20" t="str">
        <f>IFERROR(__xludf.DUMMYFUNCTION("""COMPUTED_VALUE"""),"Uncle Sams Cider (04/04/2023)")</f>
        <v>Uncle Sams Cider (04/04/2023)</v>
      </c>
      <c r="H8944" s="19"/>
    </row>
    <row r="8945">
      <c r="A8945" s="9"/>
      <c r="B8945" s="15"/>
      <c r="C8945" s="9">
        <f>IFERROR(__xludf.DUMMYFUNCTION("""COMPUTED_VALUE"""),45050.2452661458)</f>
        <v>45050.24527</v>
      </c>
      <c r="D8945" s="15">
        <f>IFERROR(__xludf.DUMMYFUNCTION("""COMPUTED_VALUE"""),1.023)</f>
        <v>1.023</v>
      </c>
      <c r="E8945" s="16">
        <f>IFERROR(__xludf.DUMMYFUNCTION("""COMPUTED_VALUE"""),61.0)</f>
        <v>61</v>
      </c>
      <c r="F8945" s="19" t="str">
        <f>IFERROR(__xludf.DUMMYFUNCTION("""COMPUTED_VALUE"""),"BLUE")</f>
        <v>BLUE</v>
      </c>
      <c r="G8945" s="20" t="str">
        <f>IFERROR(__xludf.DUMMYFUNCTION("""COMPUTED_VALUE"""),"Uncle Sams Cider (04/04/2023)")</f>
        <v>Uncle Sams Cider (04/04/2023)</v>
      </c>
      <c r="H8945" s="19"/>
    </row>
    <row r="8946">
      <c r="A8946" s="9"/>
      <c r="B8946" s="15"/>
      <c r="C8946" s="9">
        <f>IFERROR(__xludf.DUMMYFUNCTION("""COMPUTED_VALUE"""),45050.2348341203)</f>
        <v>45050.23483</v>
      </c>
      <c r="D8946" s="15">
        <f>IFERROR(__xludf.DUMMYFUNCTION("""COMPUTED_VALUE"""),1.023)</f>
        <v>1.023</v>
      </c>
      <c r="E8946" s="16">
        <f>IFERROR(__xludf.DUMMYFUNCTION("""COMPUTED_VALUE"""),61.0)</f>
        <v>61</v>
      </c>
      <c r="F8946" s="19" t="str">
        <f>IFERROR(__xludf.DUMMYFUNCTION("""COMPUTED_VALUE"""),"BLUE")</f>
        <v>BLUE</v>
      </c>
      <c r="G8946" s="20" t="str">
        <f>IFERROR(__xludf.DUMMYFUNCTION("""COMPUTED_VALUE"""),"Uncle Sams Cider (04/04/2023)")</f>
        <v>Uncle Sams Cider (04/04/2023)</v>
      </c>
      <c r="H8946" s="19"/>
    </row>
    <row r="8947">
      <c r="A8947" s="9"/>
      <c r="B8947" s="15"/>
      <c r="C8947" s="9">
        <f>IFERROR(__xludf.DUMMYFUNCTION("""COMPUTED_VALUE"""),45050.2244138657)</f>
        <v>45050.22441</v>
      </c>
      <c r="D8947" s="15">
        <f>IFERROR(__xludf.DUMMYFUNCTION("""COMPUTED_VALUE"""),1.023)</f>
        <v>1.023</v>
      </c>
      <c r="E8947" s="16">
        <f>IFERROR(__xludf.DUMMYFUNCTION("""COMPUTED_VALUE"""),61.0)</f>
        <v>61</v>
      </c>
      <c r="F8947" s="19" t="str">
        <f>IFERROR(__xludf.DUMMYFUNCTION("""COMPUTED_VALUE"""),"BLUE")</f>
        <v>BLUE</v>
      </c>
      <c r="G8947" s="20" t="str">
        <f>IFERROR(__xludf.DUMMYFUNCTION("""COMPUTED_VALUE"""),"Uncle Sams Cider (04/04/2023)")</f>
        <v>Uncle Sams Cider (04/04/2023)</v>
      </c>
      <c r="H8947" s="19"/>
    </row>
    <row r="8948">
      <c r="A8948" s="9"/>
      <c r="B8948" s="15"/>
      <c r="C8948" s="9">
        <f>IFERROR(__xludf.DUMMYFUNCTION("""COMPUTED_VALUE"""),45050.2139917824)</f>
        <v>45050.21399</v>
      </c>
      <c r="D8948" s="15">
        <f>IFERROR(__xludf.DUMMYFUNCTION("""COMPUTED_VALUE"""),1.023)</f>
        <v>1.023</v>
      </c>
      <c r="E8948" s="16">
        <f>IFERROR(__xludf.DUMMYFUNCTION("""COMPUTED_VALUE"""),61.0)</f>
        <v>61</v>
      </c>
      <c r="F8948" s="19" t="str">
        <f>IFERROR(__xludf.DUMMYFUNCTION("""COMPUTED_VALUE"""),"BLUE")</f>
        <v>BLUE</v>
      </c>
      <c r="G8948" s="20" t="str">
        <f>IFERROR(__xludf.DUMMYFUNCTION("""COMPUTED_VALUE"""),"Uncle Sams Cider (04/04/2023)")</f>
        <v>Uncle Sams Cider (04/04/2023)</v>
      </c>
      <c r="H8948" s="19"/>
    </row>
    <row r="8949">
      <c r="A8949" s="9"/>
      <c r="B8949" s="15"/>
      <c r="C8949" s="9">
        <f>IFERROR(__xludf.DUMMYFUNCTION("""COMPUTED_VALUE"""),45050.2035714814)</f>
        <v>45050.20357</v>
      </c>
      <c r="D8949" s="15">
        <f>IFERROR(__xludf.DUMMYFUNCTION("""COMPUTED_VALUE"""),1.023)</f>
        <v>1.023</v>
      </c>
      <c r="E8949" s="16">
        <f>IFERROR(__xludf.DUMMYFUNCTION("""COMPUTED_VALUE"""),61.0)</f>
        <v>61</v>
      </c>
      <c r="F8949" s="19" t="str">
        <f>IFERROR(__xludf.DUMMYFUNCTION("""COMPUTED_VALUE"""),"BLUE")</f>
        <v>BLUE</v>
      </c>
      <c r="G8949" s="20" t="str">
        <f>IFERROR(__xludf.DUMMYFUNCTION("""COMPUTED_VALUE"""),"Uncle Sams Cider (04/04/2023)")</f>
        <v>Uncle Sams Cider (04/04/2023)</v>
      </c>
      <c r="H8949" s="19"/>
    </row>
    <row r="8950">
      <c r="A8950" s="9"/>
      <c r="B8950" s="15"/>
      <c r="C8950" s="9">
        <f>IFERROR(__xludf.DUMMYFUNCTION("""COMPUTED_VALUE"""),45050.1931511805)</f>
        <v>45050.19315</v>
      </c>
      <c r="D8950" s="15">
        <f>IFERROR(__xludf.DUMMYFUNCTION("""COMPUTED_VALUE"""),1.023)</f>
        <v>1.023</v>
      </c>
      <c r="E8950" s="16">
        <f>IFERROR(__xludf.DUMMYFUNCTION("""COMPUTED_VALUE"""),61.0)</f>
        <v>61</v>
      </c>
      <c r="F8950" s="19" t="str">
        <f>IFERROR(__xludf.DUMMYFUNCTION("""COMPUTED_VALUE"""),"BLUE")</f>
        <v>BLUE</v>
      </c>
      <c r="G8950" s="20" t="str">
        <f>IFERROR(__xludf.DUMMYFUNCTION("""COMPUTED_VALUE"""),"Uncle Sams Cider (04/04/2023)")</f>
        <v>Uncle Sams Cider (04/04/2023)</v>
      </c>
      <c r="H8950" s="19"/>
    </row>
    <row r="8951">
      <c r="A8951" s="9"/>
      <c r="B8951" s="15"/>
      <c r="C8951" s="9">
        <f>IFERROR(__xludf.DUMMYFUNCTION("""COMPUTED_VALUE"""),45050.1827187152)</f>
        <v>45050.18272</v>
      </c>
      <c r="D8951" s="15">
        <f>IFERROR(__xludf.DUMMYFUNCTION("""COMPUTED_VALUE"""),1.023)</f>
        <v>1.023</v>
      </c>
      <c r="E8951" s="16">
        <f>IFERROR(__xludf.DUMMYFUNCTION("""COMPUTED_VALUE"""),61.0)</f>
        <v>61</v>
      </c>
      <c r="F8951" s="19" t="str">
        <f>IFERROR(__xludf.DUMMYFUNCTION("""COMPUTED_VALUE"""),"BLUE")</f>
        <v>BLUE</v>
      </c>
      <c r="G8951" s="20" t="str">
        <f>IFERROR(__xludf.DUMMYFUNCTION("""COMPUTED_VALUE"""),"Uncle Sams Cider (04/04/2023)")</f>
        <v>Uncle Sams Cider (04/04/2023)</v>
      </c>
      <c r="H8951" s="19"/>
    </row>
    <row r="8952">
      <c r="A8952" s="9"/>
      <c r="B8952" s="15"/>
      <c r="C8952" s="9">
        <f>IFERROR(__xludf.DUMMYFUNCTION("""COMPUTED_VALUE"""),45050.1722957175)</f>
        <v>45050.1723</v>
      </c>
      <c r="D8952" s="15">
        <f>IFERROR(__xludf.DUMMYFUNCTION("""COMPUTED_VALUE"""),1.024)</f>
        <v>1.024</v>
      </c>
      <c r="E8952" s="16">
        <f>IFERROR(__xludf.DUMMYFUNCTION("""COMPUTED_VALUE"""),61.0)</f>
        <v>61</v>
      </c>
      <c r="F8952" s="19" t="str">
        <f>IFERROR(__xludf.DUMMYFUNCTION("""COMPUTED_VALUE"""),"BLUE")</f>
        <v>BLUE</v>
      </c>
      <c r="G8952" s="20" t="str">
        <f>IFERROR(__xludf.DUMMYFUNCTION("""COMPUTED_VALUE"""),"Uncle Sams Cider (04/04/2023)")</f>
        <v>Uncle Sams Cider (04/04/2023)</v>
      </c>
      <c r="H8952" s="19"/>
    </row>
    <row r="8953">
      <c r="A8953" s="9"/>
      <c r="B8953" s="15"/>
      <c r="C8953" s="9">
        <f>IFERROR(__xludf.DUMMYFUNCTION("""COMPUTED_VALUE"""),45050.161873912)</f>
        <v>45050.16187</v>
      </c>
      <c r="D8953" s="15">
        <f>IFERROR(__xludf.DUMMYFUNCTION("""COMPUTED_VALUE"""),1.023)</f>
        <v>1.023</v>
      </c>
      <c r="E8953" s="16">
        <f>IFERROR(__xludf.DUMMYFUNCTION("""COMPUTED_VALUE"""),61.0)</f>
        <v>61</v>
      </c>
      <c r="F8953" s="19" t="str">
        <f>IFERROR(__xludf.DUMMYFUNCTION("""COMPUTED_VALUE"""),"BLUE")</f>
        <v>BLUE</v>
      </c>
      <c r="G8953" s="20" t="str">
        <f>IFERROR(__xludf.DUMMYFUNCTION("""COMPUTED_VALUE"""),"Uncle Sams Cider (04/04/2023)")</f>
        <v>Uncle Sams Cider (04/04/2023)</v>
      </c>
      <c r="H8953" s="19"/>
    </row>
    <row r="8954">
      <c r="A8954" s="9"/>
      <c r="B8954" s="15"/>
      <c r="C8954" s="9">
        <f>IFERROR(__xludf.DUMMYFUNCTION("""COMPUTED_VALUE"""),45050.1514534722)</f>
        <v>45050.15145</v>
      </c>
      <c r="D8954" s="15">
        <f>IFERROR(__xludf.DUMMYFUNCTION("""COMPUTED_VALUE"""),1.023)</f>
        <v>1.023</v>
      </c>
      <c r="E8954" s="16">
        <f>IFERROR(__xludf.DUMMYFUNCTION("""COMPUTED_VALUE"""),61.0)</f>
        <v>61</v>
      </c>
      <c r="F8954" s="19" t="str">
        <f>IFERROR(__xludf.DUMMYFUNCTION("""COMPUTED_VALUE"""),"BLUE")</f>
        <v>BLUE</v>
      </c>
      <c r="G8954" s="20" t="str">
        <f>IFERROR(__xludf.DUMMYFUNCTION("""COMPUTED_VALUE"""),"Uncle Sams Cider (04/04/2023)")</f>
        <v>Uncle Sams Cider (04/04/2023)</v>
      </c>
      <c r="H8954" s="19"/>
    </row>
    <row r="8955">
      <c r="A8955" s="9"/>
      <c r="B8955" s="15"/>
      <c r="C8955" s="9">
        <f>IFERROR(__xludf.DUMMYFUNCTION("""COMPUTED_VALUE"""),45050.141030625)</f>
        <v>45050.14103</v>
      </c>
      <c r="D8955" s="15">
        <f>IFERROR(__xludf.DUMMYFUNCTION("""COMPUTED_VALUE"""),1.023)</f>
        <v>1.023</v>
      </c>
      <c r="E8955" s="16">
        <f>IFERROR(__xludf.DUMMYFUNCTION("""COMPUTED_VALUE"""),61.0)</f>
        <v>61</v>
      </c>
      <c r="F8955" s="19" t="str">
        <f>IFERROR(__xludf.DUMMYFUNCTION("""COMPUTED_VALUE"""),"BLUE")</f>
        <v>BLUE</v>
      </c>
      <c r="G8955" s="20" t="str">
        <f>IFERROR(__xludf.DUMMYFUNCTION("""COMPUTED_VALUE"""),"Uncle Sams Cider (04/04/2023)")</f>
        <v>Uncle Sams Cider (04/04/2023)</v>
      </c>
      <c r="H8955" s="19"/>
    </row>
    <row r="8956">
      <c r="A8956" s="9"/>
      <c r="B8956" s="15"/>
      <c r="C8956" s="9">
        <f>IFERROR(__xludf.DUMMYFUNCTION("""COMPUTED_VALUE"""),45050.1306074768)</f>
        <v>45050.13061</v>
      </c>
      <c r="D8956" s="15">
        <f>IFERROR(__xludf.DUMMYFUNCTION("""COMPUTED_VALUE"""),1.023)</f>
        <v>1.023</v>
      </c>
      <c r="E8956" s="16">
        <f>IFERROR(__xludf.DUMMYFUNCTION("""COMPUTED_VALUE"""),61.0)</f>
        <v>61</v>
      </c>
      <c r="F8956" s="19" t="str">
        <f>IFERROR(__xludf.DUMMYFUNCTION("""COMPUTED_VALUE"""),"BLUE")</f>
        <v>BLUE</v>
      </c>
      <c r="G8956" s="20" t="str">
        <f>IFERROR(__xludf.DUMMYFUNCTION("""COMPUTED_VALUE"""),"Uncle Sams Cider (04/04/2023)")</f>
        <v>Uncle Sams Cider (04/04/2023)</v>
      </c>
      <c r="H8956" s="19"/>
    </row>
    <row r="8957">
      <c r="A8957" s="9"/>
      <c r="B8957" s="15"/>
      <c r="C8957" s="9">
        <f>IFERROR(__xludf.DUMMYFUNCTION("""COMPUTED_VALUE"""),45050.1201873958)</f>
        <v>45050.12019</v>
      </c>
      <c r="D8957" s="15">
        <f>IFERROR(__xludf.DUMMYFUNCTION("""COMPUTED_VALUE"""),1.023)</f>
        <v>1.023</v>
      </c>
      <c r="E8957" s="16">
        <f>IFERROR(__xludf.DUMMYFUNCTION("""COMPUTED_VALUE"""),61.0)</f>
        <v>61</v>
      </c>
      <c r="F8957" s="19" t="str">
        <f>IFERROR(__xludf.DUMMYFUNCTION("""COMPUTED_VALUE"""),"BLUE")</f>
        <v>BLUE</v>
      </c>
      <c r="G8957" s="20" t="str">
        <f>IFERROR(__xludf.DUMMYFUNCTION("""COMPUTED_VALUE"""),"Uncle Sams Cider (04/04/2023)")</f>
        <v>Uncle Sams Cider (04/04/2023)</v>
      </c>
      <c r="H8957" s="19"/>
    </row>
    <row r="8958">
      <c r="A8958" s="9"/>
      <c r="B8958" s="15"/>
      <c r="C8958" s="9">
        <f>IFERROR(__xludf.DUMMYFUNCTION("""COMPUTED_VALUE"""),45050.109767581)</f>
        <v>45050.10977</v>
      </c>
      <c r="D8958" s="15">
        <f>IFERROR(__xludf.DUMMYFUNCTION("""COMPUTED_VALUE"""),1.023)</f>
        <v>1.023</v>
      </c>
      <c r="E8958" s="16">
        <f>IFERROR(__xludf.DUMMYFUNCTION("""COMPUTED_VALUE"""),61.0)</f>
        <v>61</v>
      </c>
      <c r="F8958" s="19" t="str">
        <f>IFERROR(__xludf.DUMMYFUNCTION("""COMPUTED_VALUE"""),"BLUE")</f>
        <v>BLUE</v>
      </c>
      <c r="G8958" s="20" t="str">
        <f>IFERROR(__xludf.DUMMYFUNCTION("""COMPUTED_VALUE"""),"Uncle Sams Cider (04/04/2023)")</f>
        <v>Uncle Sams Cider (04/04/2023)</v>
      </c>
      <c r="H8958" s="19"/>
    </row>
    <row r="8959">
      <c r="A8959" s="9"/>
      <c r="B8959" s="15"/>
      <c r="C8959" s="9">
        <f>IFERROR(__xludf.DUMMYFUNCTION("""COMPUTED_VALUE"""),45050.0993461921)</f>
        <v>45050.09935</v>
      </c>
      <c r="D8959" s="15">
        <f>IFERROR(__xludf.DUMMYFUNCTION("""COMPUTED_VALUE"""),1.024)</f>
        <v>1.024</v>
      </c>
      <c r="E8959" s="16">
        <f>IFERROR(__xludf.DUMMYFUNCTION("""COMPUTED_VALUE"""),61.0)</f>
        <v>61</v>
      </c>
      <c r="F8959" s="19" t="str">
        <f>IFERROR(__xludf.DUMMYFUNCTION("""COMPUTED_VALUE"""),"BLUE")</f>
        <v>BLUE</v>
      </c>
      <c r="G8959" s="20" t="str">
        <f>IFERROR(__xludf.DUMMYFUNCTION("""COMPUTED_VALUE"""),"Uncle Sams Cider (04/04/2023)")</f>
        <v>Uncle Sams Cider (04/04/2023)</v>
      </c>
      <c r="H8959" s="19"/>
    </row>
    <row r="8960">
      <c r="A8960" s="9"/>
      <c r="B8960" s="15"/>
      <c r="C8960" s="9">
        <f>IFERROR(__xludf.DUMMYFUNCTION("""COMPUTED_VALUE"""),45050.0889265046)</f>
        <v>45050.08893</v>
      </c>
      <c r="D8960" s="15">
        <f>IFERROR(__xludf.DUMMYFUNCTION("""COMPUTED_VALUE"""),1.024)</f>
        <v>1.024</v>
      </c>
      <c r="E8960" s="16">
        <f>IFERROR(__xludf.DUMMYFUNCTION("""COMPUTED_VALUE"""),61.0)</f>
        <v>61</v>
      </c>
      <c r="F8960" s="19" t="str">
        <f>IFERROR(__xludf.DUMMYFUNCTION("""COMPUTED_VALUE"""),"BLUE")</f>
        <v>BLUE</v>
      </c>
      <c r="G8960" s="20" t="str">
        <f>IFERROR(__xludf.DUMMYFUNCTION("""COMPUTED_VALUE"""),"Uncle Sams Cider (04/04/2023)")</f>
        <v>Uncle Sams Cider (04/04/2023)</v>
      </c>
      <c r="H8960" s="19"/>
    </row>
    <row r="8961">
      <c r="A8961" s="9"/>
      <c r="B8961" s="15"/>
      <c r="C8961" s="9">
        <f>IFERROR(__xludf.DUMMYFUNCTION("""COMPUTED_VALUE"""),45050.0785066666)</f>
        <v>45050.07851</v>
      </c>
      <c r="D8961" s="15">
        <f>IFERROR(__xludf.DUMMYFUNCTION("""COMPUTED_VALUE"""),1.023)</f>
        <v>1.023</v>
      </c>
      <c r="E8961" s="16">
        <f>IFERROR(__xludf.DUMMYFUNCTION("""COMPUTED_VALUE"""),61.0)</f>
        <v>61</v>
      </c>
      <c r="F8961" s="19" t="str">
        <f>IFERROR(__xludf.DUMMYFUNCTION("""COMPUTED_VALUE"""),"BLUE")</f>
        <v>BLUE</v>
      </c>
      <c r="G8961" s="20" t="str">
        <f>IFERROR(__xludf.DUMMYFUNCTION("""COMPUTED_VALUE"""),"Uncle Sams Cider (04/04/2023)")</f>
        <v>Uncle Sams Cider (04/04/2023)</v>
      </c>
      <c r="H8961" s="19"/>
    </row>
    <row r="8962">
      <c r="A8962" s="9"/>
      <c r="B8962" s="15"/>
      <c r="C8962" s="9">
        <f>IFERROR(__xludf.DUMMYFUNCTION("""COMPUTED_VALUE"""),45050.0680851041)</f>
        <v>45050.06809</v>
      </c>
      <c r="D8962" s="15">
        <f>IFERROR(__xludf.DUMMYFUNCTION("""COMPUTED_VALUE"""),1.023)</f>
        <v>1.023</v>
      </c>
      <c r="E8962" s="16">
        <f>IFERROR(__xludf.DUMMYFUNCTION("""COMPUTED_VALUE"""),61.0)</f>
        <v>61</v>
      </c>
      <c r="F8962" s="19" t="str">
        <f>IFERROR(__xludf.DUMMYFUNCTION("""COMPUTED_VALUE"""),"BLUE")</f>
        <v>BLUE</v>
      </c>
      <c r="G8962" s="20" t="str">
        <f>IFERROR(__xludf.DUMMYFUNCTION("""COMPUTED_VALUE"""),"Uncle Sams Cider (04/04/2023)")</f>
        <v>Uncle Sams Cider (04/04/2023)</v>
      </c>
      <c r="H8962" s="19"/>
    </row>
    <row r="8963">
      <c r="A8963" s="9"/>
      <c r="B8963" s="15"/>
      <c r="C8963" s="9">
        <f>IFERROR(__xludf.DUMMYFUNCTION("""COMPUTED_VALUE"""),45050.0576641898)</f>
        <v>45050.05766</v>
      </c>
      <c r="D8963" s="15">
        <f>IFERROR(__xludf.DUMMYFUNCTION("""COMPUTED_VALUE"""),1.023)</f>
        <v>1.023</v>
      </c>
      <c r="E8963" s="16">
        <f>IFERROR(__xludf.DUMMYFUNCTION("""COMPUTED_VALUE"""),61.0)</f>
        <v>61</v>
      </c>
      <c r="F8963" s="19" t="str">
        <f>IFERROR(__xludf.DUMMYFUNCTION("""COMPUTED_VALUE"""),"BLUE")</f>
        <v>BLUE</v>
      </c>
      <c r="G8963" s="20" t="str">
        <f>IFERROR(__xludf.DUMMYFUNCTION("""COMPUTED_VALUE"""),"Uncle Sams Cider (04/04/2023)")</f>
        <v>Uncle Sams Cider (04/04/2023)</v>
      </c>
      <c r="H8963" s="19"/>
    </row>
    <row r="8964">
      <c r="A8964" s="9"/>
      <c r="B8964" s="15"/>
      <c r="C8964" s="9">
        <f>IFERROR(__xludf.DUMMYFUNCTION("""COMPUTED_VALUE"""),45050.0472434953)</f>
        <v>45050.04724</v>
      </c>
      <c r="D8964" s="15">
        <f>IFERROR(__xludf.DUMMYFUNCTION("""COMPUTED_VALUE"""),1.024)</f>
        <v>1.024</v>
      </c>
      <c r="E8964" s="16">
        <f>IFERROR(__xludf.DUMMYFUNCTION("""COMPUTED_VALUE"""),61.0)</f>
        <v>61</v>
      </c>
      <c r="F8964" s="19" t="str">
        <f>IFERROR(__xludf.DUMMYFUNCTION("""COMPUTED_VALUE"""),"BLUE")</f>
        <v>BLUE</v>
      </c>
      <c r="G8964" s="20" t="str">
        <f>IFERROR(__xludf.DUMMYFUNCTION("""COMPUTED_VALUE"""),"Uncle Sams Cider (04/04/2023)")</f>
        <v>Uncle Sams Cider (04/04/2023)</v>
      </c>
      <c r="H8964" s="19"/>
    </row>
    <row r="8965">
      <c r="A8965" s="9"/>
      <c r="B8965" s="15"/>
      <c r="C8965" s="9">
        <f>IFERROR(__xludf.DUMMYFUNCTION("""COMPUTED_VALUE"""),45050.0367989351)</f>
        <v>45050.0368</v>
      </c>
      <c r="D8965" s="15">
        <f>IFERROR(__xludf.DUMMYFUNCTION("""COMPUTED_VALUE"""),1.023)</f>
        <v>1.023</v>
      </c>
      <c r="E8965" s="16">
        <f>IFERROR(__xludf.DUMMYFUNCTION("""COMPUTED_VALUE"""),61.0)</f>
        <v>61</v>
      </c>
      <c r="F8965" s="19" t="str">
        <f>IFERROR(__xludf.DUMMYFUNCTION("""COMPUTED_VALUE"""),"BLUE")</f>
        <v>BLUE</v>
      </c>
      <c r="G8965" s="20" t="str">
        <f>IFERROR(__xludf.DUMMYFUNCTION("""COMPUTED_VALUE"""),"Uncle Sams Cider (04/04/2023)")</f>
        <v>Uncle Sams Cider (04/04/2023)</v>
      </c>
      <c r="H8965" s="19"/>
    </row>
    <row r="8966">
      <c r="A8966" s="9"/>
      <c r="B8966" s="15"/>
      <c r="C8966" s="9">
        <f>IFERROR(__xludf.DUMMYFUNCTION("""COMPUTED_VALUE"""),45050.0263771296)</f>
        <v>45050.02638</v>
      </c>
      <c r="D8966" s="15">
        <f>IFERROR(__xludf.DUMMYFUNCTION("""COMPUTED_VALUE"""),1.024)</f>
        <v>1.024</v>
      </c>
      <c r="E8966" s="16">
        <f>IFERROR(__xludf.DUMMYFUNCTION("""COMPUTED_VALUE"""),61.0)</f>
        <v>61</v>
      </c>
      <c r="F8966" s="19" t="str">
        <f>IFERROR(__xludf.DUMMYFUNCTION("""COMPUTED_VALUE"""),"BLUE")</f>
        <v>BLUE</v>
      </c>
      <c r="G8966" s="20" t="str">
        <f>IFERROR(__xludf.DUMMYFUNCTION("""COMPUTED_VALUE"""),"Uncle Sams Cider (04/04/2023)")</f>
        <v>Uncle Sams Cider (04/04/2023)</v>
      </c>
      <c r="H8966" s="19"/>
    </row>
    <row r="8967">
      <c r="A8967" s="9"/>
      <c r="B8967" s="15"/>
      <c r="C8967" s="9">
        <f>IFERROR(__xludf.DUMMYFUNCTION("""COMPUTED_VALUE"""),45050.015944375)</f>
        <v>45050.01594</v>
      </c>
      <c r="D8967" s="15">
        <f>IFERROR(__xludf.DUMMYFUNCTION("""COMPUTED_VALUE"""),1.024)</f>
        <v>1.024</v>
      </c>
      <c r="E8967" s="16">
        <f>IFERROR(__xludf.DUMMYFUNCTION("""COMPUTED_VALUE"""),61.0)</f>
        <v>61</v>
      </c>
      <c r="F8967" s="19" t="str">
        <f>IFERROR(__xludf.DUMMYFUNCTION("""COMPUTED_VALUE"""),"BLUE")</f>
        <v>BLUE</v>
      </c>
      <c r="G8967" s="20" t="str">
        <f>IFERROR(__xludf.DUMMYFUNCTION("""COMPUTED_VALUE"""),"Uncle Sams Cider (04/04/2023)")</f>
        <v>Uncle Sams Cider (04/04/2023)</v>
      </c>
      <c r="H8967" s="19"/>
    </row>
    <row r="8968">
      <c r="A8968" s="9"/>
      <c r="B8968" s="15"/>
      <c r="C8968" s="9">
        <f>IFERROR(__xludf.DUMMYFUNCTION("""COMPUTED_VALUE"""),45050.00552228)</f>
        <v>45050.00552</v>
      </c>
      <c r="D8968" s="15">
        <f>IFERROR(__xludf.DUMMYFUNCTION("""COMPUTED_VALUE"""),1.024)</f>
        <v>1.024</v>
      </c>
      <c r="E8968" s="16">
        <f>IFERROR(__xludf.DUMMYFUNCTION("""COMPUTED_VALUE"""),61.0)</f>
        <v>61</v>
      </c>
      <c r="F8968" s="19" t="str">
        <f>IFERROR(__xludf.DUMMYFUNCTION("""COMPUTED_VALUE"""),"BLUE")</f>
        <v>BLUE</v>
      </c>
      <c r="G8968" s="20" t="str">
        <f>IFERROR(__xludf.DUMMYFUNCTION("""COMPUTED_VALUE"""),"Uncle Sams Cider (04/04/2023)")</f>
        <v>Uncle Sams Cider (04/04/2023)</v>
      </c>
      <c r="H8968" s="19"/>
    </row>
    <row r="8969">
      <c r="A8969" s="9"/>
      <c r="B8969" s="15"/>
      <c r="C8969" s="9">
        <f>IFERROR(__xludf.DUMMYFUNCTION("""COMPUTED_VALUE"""),45049.9951017939)</f>
        <v>45049.9951</v>
      </c>
      <c r="D8969" s="15">
        <f>IFERROR(__xludf.DUMMYFUNCTION("""COMPUTED_VALUE"""),1.024)</f>
        <v>1.024</v>
      </c>
      <c r="E8969" s="16">
        <f>IFERROR(__xludf.DUMMYFUNCTION("""COMPUTED_VALUE"""),61.0)</f>
        <v>61</v>
      </c>
      <c r="F8969" s="19" t="str">
        <f>IFERROR(__xludf.DUMMYFUNCTION("""COMPUTED_VALUE"""),"BLUE")</f>
        <v>BLUE</v>
      </c>
      <c r="G8969" s="20" t="str">
        <f>IFERROR(__xludf.DUMMYFUNCTION("""COMPUTED_VALUE"""),"Uncle Sams Cider (04/04/2023)")</f>
        <v>Uncle Sams Cider (04/04/2023)</v>
      </c>
      <c r="H8969" s="19"/>
    </row>
    <row r="8970">
      <c r="A8970" s="9"/>
      <c r="B8970" s="15"/>
      <c r="C8970" s="9">
        <f>IFERROR(__xludf.DUMMYFUNCTION("""COMPUTED_VALUE"""),45049.9846800115)</f>
        <v>45049.98468</v>
      </c>
      <c r="D8970" s="15">
        <f>IFERROR(__xludf.DUMMYFUNCTION("""COMPUTED_VALUE"""),1.024)</f>
        <v>1.024</v>
      </c>
      <c r="E8970" s="16">
        <f>IFERROR(__xludf.DUMMYFUNCTION("""COMPUTED_VALUE"""),61.0)</f>
        <v>61</v>
      </c>
      <c r="F8970" s="19" t="str">
        <f>IFERROR(__xludf.DUMMYFUNCTION("""COMPUTED_VALUE"""),"BLUE")</f>
        <v>BLUE</v>
      </c>
      <c r="G8970" s="20" t="str">
        <f>IFERROR(__xludf.DUMMYFUNCTION("""COMPUTED_VALUE"""),"Uncle Sams Cider (04/04/2023)")</f>
        <v>Uncle Sams Cider (04/04/2023)</v>
      </c>
      <c r="H8970" s="19"/>
    </row>
    <row r="8971">
      <c r="A8971" s="9"/>
      <c r="B8971" s="15"/>
      <c r="C8971" s="9">
        <f>IFERROR(__xludf.DUMMYFUNCTION("""COMPUTED_VALUE"""),45049.9742579629)</f>
        <v>45049.97426</v>
      </c>
      <c r="D8971" s="15">
        <f>IFERROR(__xludf.DUMMYFUNCTION("""COMPUTED_VALUE"""),1.024)</f>
        <v>1.024</v>
      </c>
      <c r="E8971" s="16">
        <f>IFERROR(__xludf.DUMMYFUNCTION("""COMPUTED_VALUE"""),61.0)</f>
        <v>61</v>
      </c>
      <c r="F8971" s="19" t="str">
        <f>IFERROR(__xludf.DUMMYFUNCTION("""COMPUTED_VALUE"""),"BLUE")</f>
        <v>BLUE</v>
      </c>
      <c r="G8971" s="20" t="str">
        <f>IFERROR(__xludf.DUMMYFUNCTION("""COMPUTED_VALUE"""),"Uncle Sams Cider (04/04/2023)")</f>
        <v>Uncle Sams Cider (04/04/2023)</v>
      </c>
      <c r="H8971" s="19"/>
    </row>
    <row r="8972">
      <c r="A8972" s="9"/>
      <c r="B8972" s="15"/>
      <c r="C8972" s="9">
        <f>IFERROR(__xludf.DUMMYFUNCTION("""COMPUTED_VALUE"""),45049.9638371643)</f>
        <v>45049.96384</v>
      </c>
      <c r="D8972" s="15">
        <f>IFERROR(__xludf.DUMMYFUNCTION("""COMPUTED_VALUE"""),1.024)</f>
        <v>1.024</v>
      </c>
      <c r="E8972" s="16">
        <f>IFERROR(__xludf.DUMMYFUNCTION("""COMPUTED_VALUE"""),61.0)</f>
        <v>61</v>
      </c>
      <c r="F8972" s="19" t="str">
        <f>IFERROR(__xludf.DUMMYFUNCTION("""COMPUTED_VALUE"""),"BLUE")</f>
        <v>BLUE</v>
      </c>
      <c r="G8972" s="20" t="str">
        <f>IFERROR(__xludf.DUMMYFUNCTION("""COMPUTED_VALUE"""),"Uncle Sams Cider (04/04/2023)")</f>
        <v>Uncle Sams Cider (04/04/2023)</v>
      </c>
      <c r="H8972" s="19"/>
    </row>
    <row r="8973">
      <c r="A8973" s="9"/>
      <c r="B8973" s="15"/>
      <c r="C8973" s="9">
        <f>IFERROR(__xludf.DUMMYFUNCTION("""COMPUTED_VALUE"""),45049.9534158912)</f>
        <v>45049.95342</v>
      </c>
      <c r="D8973" s="15">
        <f>IFERROR(__xludf.DUMMYFUNCTION("""COMPUTED_VALUE"""),1.024)</f>
        <v>1.024</v>
      </c>
      <c r="E8973" s="16">
        <f>IFERROR(__xludf.DUMMYFUNCTION("""COMPUTED_VALUE"""),61.0)</f>
        <v>61</v>
      </c>
      <c r="F8973" s="19" t="str">
        <f>IFERROR(__xludf.DUMMYFUNCTION("""COMPUTED_VALUE"""),"BLUE")</f>
        <v>BLUE</v>
      </c>
      <c r="G8973" s="20" t="str">
        <f>IFERROR(__xludf.DUMMYFUNCTION("""COMPUTED_VALUE"""),"Uncle Sams Cider (04/04/2023)")</f>
        <v>Uncle Sams Cider (04/04/2023)</v>
      </c>
      <c r="H8973" s="19"/>
    </row>
    <row r="8974">
      <c r="A8974" s="9"/>
      <c r="B8974" s="15"/>
      <c r="C8974" s="9">
        <f>IFERROR(__xludf.DUMMYFUNCTION("""COMPUTED_VALUE"""),45049.9429824768)</f>
        <v>45049.94298</v>
      </c>
      <c r="D8974" s="15">
        <f>IFERROR(__xludf.DUMMYFUNCTION("""COMPUTED_VALUE"""),1.024)</f>
        <v>1.024</v>
      </c>
      <c r="E8974" s="16">
        <f>IFERROR(__xludf.DUMMYFUNCTION("""COMPUTED_VALUE"""),61.0)</f>
        <v>61</v>
      </c>
      <c r="F8974" s="19" t="str">
        <f>IFERROR(__xludf.DUMMYFUNCTION("""COMPUTED_VALUE"""),"BLUE")</f>
        <v>BLUE</v>
      </c>
      <c r="G8974" s="20" t="str">
        <f>IFERROR(__xludf.DUMMYFUNCTION("""COMPUTED_VALUE"""),"Uncle Sams Cider (04/04/2023)")</f>
        <v>Uncle Sams Cider (04/04/2023)</v>
      </c>
      <c r="H8974" s="19"/>
    </row>
    <row r="8975">
      <c r="A8975" s="9"/>
      <c r="B8975" s="15"/>
      <c r="C8975" s="9">
        <f>IFERROR(__xludf.DUMMYFUNCTION("""COMPUTED_VALUE"""),45049.9325393634)</f>
        <v>45049.93254</v>
      </c>
      <c r="D8975" s="15">
        <f>IFERROR(__xludf.DUMMYFUNCTION("""COMPUTED_VALUE"""),1.024)</f>
        <v>1.024</v>
      </c>
      <c r="E8975" s="16">
        <f>IFERROR(__xludf.DUMMYFUNCTION("""COMPUTED_VALUE"""),61.0)</f>
        <v>61</v>
      </c>
      <c r="F8975" s="19" t="str">
        <f>IFERROR(__xludf.DUMMYFUNCTION("""COMPUTED_VALUE"""),"BLUE")</f>
        <v>BLUE</v>
      </c>
      <c r="G8975" s="20" t="str">
        <f>IFERROR(__xludf.DUMMYFUNCTION("""COMPUTED_VALUE"""),"Uncle Sams Cider (04/04/2023)")</f>
        <v>Uncle Sams Cider (04/04/2023)</v>
      </c>
      <c r="H8975" s="19"/>
    </row>
    <row r="8976">
      <c r="A8976" s="9"/>
      <c r="B8976" s="15"/>
      <c r="C8976" s="9">
        <f>IFERROR(__xludf.DUMMYFUNCTION("""COMPUTED_VALUE"""),45049.922118125)</f>
        <v>45049.92212</v>
      </c>
      <c r="D8976" s="15">
        <f>IFERROR(__xludf.DUMMYFUNCTION("""COMPUTED_VALUE"""),1.024)</f>
        <v>1.024</v>
      </c>
      <c r="E8976" s="16">
        <f>IFERROR(__xludf.DUMMYFUNCTION("""COMPUTED_VALUE"""),61.0)</f>
        <v>61</v>
      </c>
      <c r="F8976" s="19" t="str">
        <f>IFERROR(__xludf.DUMMYFUNCTION("""COMPUTED_VALUE"""),"BLUE")</f>
        <v>BLUE</v>
      </c>
      <c r="G8976" s="20" t="str">
        <f>IFERROR(__xludf.DUMMYFUNCTION("""COMPUTED_VALUE"""),"Uncle Sams Cider (04/04/2023)")</f>
        <v>Uncle Sams Cider (04/04/2023)</v>
      </c>
      <c r="H8976" s="19"/>
    </row>
    <row r="8977">
      <c r="A8977" s="9"/>
      <c r="B8977" s="15"/>
      <c r="C8977" s="9">
        <f>IFERROR(__xludf.DUMMYFUNCTION("""COMPUTED_VALUE"""),45049.9116978125)</f>
        <v>45049.9117</v>
      </c>
      <c r="D8977" s="15">
        <f>IFERROR(__xludf.DUMMYFUNCTION("""COMPUTED_VALUE"""),1.024)</f>
        <v>1.024</v>
      </c>
      <c r="E8977" s="16">
        <f>IFERROR(__xludf.DUMMYFUNCTION("""COMPUTED_VALUE"""),61.0)</f>
        <v>61</v>
      </c>
      <c r="F8977" s="19" t="str">
        <f>IFERROR(__xludf.DUMMYFUNCTION("""COMPUTED_VALUE"""),"BLUE")</f>
        <v>BLUE</v>
      </c>
      <c r="G8977" s="20" t="str">
        <f>IFERROR(__xludf.DUMMYFUNCTION("""COMPUTED_VALUE"""),"Uncle Sams Cider (04/04/2023)")</f>
        <v>Uncle Sams Cider (04/04/2023)</v>
      </c>
      <c r="H8977" s="19"/>
    </row>
    <row r="8978">
      <c r="A8978" s="9"/>
      <c r="B8978" s="15"/>
      <c r="C8978" s="9">
        <f>IFERROR(__xludf.DUMMYFUNCTION("""COMPUTED_VALUE"""),45049.9012634837)</f>
        <v>45049.90126</v>
      </c>
      <c r="D8978" s="15">
        <f>IFERROR(__xludf.DUMMYFUNCTION("""COMPUTED_VALUE"""),1.024)</f>
        <v>1.024</v>
      </c>
      <c r="E8978" s="16">
        <f>IFERROR(__xludf.DUMMYFUNCTION("""COMPUTED_VALUE"""),61.0)</f>
        <v>61</v>
      </c>
      <c r="F8978" s="19" t="str">
        <f>IFERROR(__xludf.DUMMYFUNCTION("""COMPUTED_VALUE"""),"BLUE")</f>
        <v>BLUE</v>
      </c>
      <c r="G8978" s="20" t="str">
        <f>IFERROR(__xludf.DUMMYFUNCTION("""COMPUTED_VALUE"""),"Uncle Sams Cider (04/04/2023)")</f>
        <v>Uncle Sams Cider (04/04/2023)</v>
      </c>
      <c r="H8978" s="19"/>
    </row>
    <row r="8979">
      <c r="A8979" s="9"/>
      <c r="B8979" s="15"/>
      <c r="C8979" s="9">
        <f>IFERROR(__xludf.DUMMYFUNCTION("""COMPUTED_VALUE"""),45049.8908444907)</f>
        <v>45049.89084</v>
      </c>
      <c r="D8979" s="15">
        <f>IFERROR(__xludf.DUMMYFUNCTION("""COMPUTED_VALUE"""),1.024)</f>
        <v>1.024</v>
      </c>
      <c r="E8979" s="16">
        <f>IFERROR(__xludf.DUMMYFUNCTION("""COMPUTED_VALUE"""),61.0)</f>
        <v>61</v>
      </c>
      <c r="F8979" s="19" t="str">
        <f>IFERROR(__xludf.DUMMYFUNCTION("""COMPUTED_VALUE"""),"BLUE")</f>
        <v>BLUE</v>
      </c>
      <c r="G8979" s="20" t="str">
        <f>IFERROR(__xludf.DUMMYFUNCTION("""COMPUTED_VALUE"""),"Uncle Sams Cider (04/04/2023)")</f>
        <v>Uncle Sams Cider (04/04/2023)</v>
      </c>
      <c r="H8979" s="19"/>
    </row>
    <row r="8980">
      <c r="A8980" s="9"/>
      <c r="B8980" s="15"/>
      <c r="C8980" s="9">
        <f>IFERROR(__xludf.DUMMYFUNCTION("""COMPUTED_VALUE"""),45049.880423912)</f>
        <v>45049.88042</v>
      </c>
      <c r="D8980" s="15">
        <f>IFERROR(__xludf.DUMMYFUNCTION("""COMPUTED_VALUE"""),1.024)</f>
        <v>1.024</v>
      </c>
      <c r="E8980" s="16">
        <f>IFERROR(__xludf.DUMMYFUNCTION("""COMPUTED_VALUE"""),61.0)</f>
        <v>61</v>
      </c>
      <c r="F8980" s="19" t="str">
        <f>IFERROR(__xludf.DUMMYFUNCTION("""COMPUTED_VALUE"""),"BLUE")</f>
        <v>BLUE</v>
      </c>
      <c r="G8980" s="20" t="str">
        <f>IFERROR(__xludf.DUMMYFUNCTION("""COMPUTED_VALUE"""),"Uncle Sams Cider (04/04/2023)")</f>
        <v>Uncle Sams Cider (04/04/2023)</v>
      </c>
      <c r="H8980" s="19"/>
    </row>
    <row r="8981">
      <c r="A8981" s="9"/>
      <c r="B8981" s="15"/>
      <c r="C8981" s="9">
        <f>IFERROR(__xludf.DUMMYFUNCTION("""COMPUTED_VALUE"""),45049.8699800231)</f>
        <v>45049.86998</v>
      </c>
      <c r="D8981" s="15">
        <f>IFERROR(__xludf.DUMMYFUNCTION("""COMPUTED_VALUE"""),1.024)</f>
        <v>1.024</v>
      </c>
      <c r="E8981" s="16">
        <f>IFERROR(__xludf.DUMMYFUNCTION("""COMPUTED_VALUE"""),61.0)</f>
        <v>61</v>
      </c>
      <c r="F8981" s="19" t="str">
        <f>IFERROR(__xludf.DUMMYFUNCTION("""COMPUTED_VALUE"""),"BLUE")</f>
        <v>BLUE</v>
      </c>
      <c r="G8981" s="20" t="str">
        <f>IFERROR(__xludf.DUMMYFUNCTION("""COMPUTED_VALUE"""),"Uncle Sams Cider (04/04/2023)")</f>
        <v>Uncle Sams Cider (04/04/2023)</v>
      </c>
      <c r="H8981" s="19"/>
    </row>
    <row r="8982">
      <c r="A8982" s="9"/>
      <c r="B8982" s="15"/>
      <c r="C8982" s="9">
        <f>IFERROR(__xludf.DUMMYFUNCTION("""COMPUTED_VALUE"""),45049.8595460648)</f>
        <v>45049.85955</v>
      </c>
      <c r="D8982" s="15">
        <f>IFERROR(__xludf.DUMMYFUNCTION("""COMPUTED_VALUE"""),1.024)</f>
        <v>1.024</v>
      </c>
      <c r="E8982" s="16">
        <f>IFERROR(__xludf.DUMMYFUNCTION("""COMPUTED_VALUE"""),61.0)</f>
        <v>61</v>
      </c>
      <c r="F8982" s="19" t="str">
        <f>IFERROR(__xludf.DUMMYFUNCTION("""COMPUTED_VALUE"""),"BLUE")</f>
        <v>BLUE</v>
      </c>
      <c r="G8982" s="20" t="str">
        <f>IFERROR(__xludf.DUMMYFUNCTION("""COMPUTED_VALUE"""),"Uncle Sams Cider (04/04/2023)")</f>
        <v>Uncle Sams Cider (04/04/2023)</v>
      </c>
      <c r="H8982" s="19"/>
    </row>
    <row r="8983">
      <c r="A8983" s="9"/>
      <c r="B8983" s="15"/>
      <c r="C8983" s="9">
        <f>IFERROR(__xludf.DUMMYFUNCTION("""COMPUTED_VALUE"""),45049.8491251273)</f>
        <v>45049.84913</v>
      </c>
      <c r="D8983" s="15">
        <f>IFERROR(__xludf.DUMMYFUNCTION("""COMPUTED_VALUE"""),1.024)</f>
        <v>1.024</v>
      </c>
      <c r="E8983" s="16">
        <f>IFERROR(__xludf.DUMMYFUNCTION("""COMPUTED_VALUE"""),61.0)</f>
        <v>61</v>
      </c>
      <c r="F8983" s="19" t="str">
        <f>IFERROR(__xludf.DUMMYFUNCTION("""COMPUTED_VALUE"""),"BLUE")</f>
        <v>BLUE</v>
      </c>
      <c r="G8983" s="20" t="str">
        <f>IFERROR(__xludf.DUMMYFUNCTION("""COMPUTED_VALUE"""),"Uncle Sams Cider (04/04/2023)")</f>
        <v>Uncle Sams Cider (04/04/2023)</v>
      </c>
      <c r="H8983" s="19"/>
    </row>
    <row r="8984">
      <c r="A8984" s="9"/>
      <c r="B8984" s="15"/>
      <c r="C8984" s="9">
        <f>IFERROR(__xludf.DUMMYFUNCTION("""COMPUTED_VALUE"""),45049.8387025115)</f>
        <v>45049.8387</v>
      </c>
      <c r="D8984" s="15">
        <f>IFERROR(__xludf.DUMMYFUNCTION("""COMPUTED_VALUE"""),1.024)</f>
        <v>1.024</v>
      </c>
      <c r="E8984" s="16">
        <f>IFERROR(__xludf.DUMMYFUNCTION("""COMPUTED_VALUE"""),61.0)</f>
        <v>61</v>
      </c>
      <c r="F8984" s="19" t="str">
        <f>IFERROR(__xludf.DUMMYFUNCTION("""COMPUTED_VALUE"""),"BLUE")</f>
        <v>BLUE</v>
      </c>
      <c r="G8984" s="20" t="str">
        <f>IFERROR(__xludf.DUMMYFUNCTION("""COMPUTED_VALUE"""),"Uncle Sams Cider (04/04/2023)")</f>
        <v>Uncle Sams Cider (04/04/2023)</v>
      </c>
      <c r="H8984" s="19"/>
    </row>
    <row r="8985">
      <c r="A8985" s="9"/>
      <c r="B8985" s="15"/>
      <c r="C8985" s="9">
        <f>IFERROR(__xludf.DUMMYFUNCTION("""COMPUTED_VALUE"""),45049.8282821875)</f>
        <v>45049.82828</v>
      </c>
      <c r="D8985" s="15">
        <f>IFERROR(__xludf.DUMMYFUNCTION("""COMPUTED_VALUE"""),1.024)</f>
        <v>1.024</v>
      </c>
      <c r="E8985" s="16">
        <f>IFERROR(__xludf.DUMMYFUNCTION("""COMPUTED_VALUE"""),61.0)</f>
        <v>61</v>
      </c>
      <c r="F8985" s="19" t="str">
        <f>IFERROR(__xludf.DUMMYFUNCTION("""COMPUTED_VALUE"""),"BLUE")</f>
        <v>BLUE</v>
      </c>
      <c r="G8985" s="20" t="str">
        <f>IFERROR(__xludf.DUMMYFUNCTION("""COMPUTED_VALUE"""),"Uncle Sams Cider (04/04/2023)")</f>
        <v>Uncle Sams Cider (04/04/2023)</v>
      </c>
      <c r="H8985" s="19"/>
    </row>
    <row r="8986">
      <c r="A8986" s="9"/>
      <c r="B8986" s="15"/>
      <c r="C8986" s="9">
        <f>IFERROR(__xludf.DUMMYFUNCTION("""COMPUTED_VALUE"""),45049.8178612847)</f>
        <v>45049.81786</v>
      </c>
      <c r="D8986" s="15">
        <f>IFERROR(__xludf.DUMMYFUNCTION("""COMPUTED_VALUE"""),1.024)</f>
        <v>1.024</v>
      </c>
      <c r="E8986" s="16">
        <f>IFERROR(__xludf.DUMMYFUNCTION("""COMPUTED_VALUE"""),61.0)</f>
        <v>61</v>
      </c>
      <c r="F8986" s="19" t="str">
        <f>IFERROR(__xludf.DUMMYFUNCTION("""COMPUTED_VALUE"""),"BLUE")</f>
        <v>BLUE</v>
      </c>
      <c r="G8986" s="20" t="str">
        <f>IFERROR(__xludf.DUMMYFUNCTION("""COMPUTED_VALUE"""),"Uncle Sams Cider (04/04/2023)")</f>
        <v>Uncle Sams Cider (04/04/2023)</v>
      </c>
      <c r="H8986" s="19"/>
    </row>
    <row r="8987">
      <c r="A8987" s="9"/>
      <c r="B8987" s="15"/>
      <c r="C8987" s="9">
        <f>IFERROR(__xludf.DUMMYFUNCTION("""COMPUTED_VALUE"""),45049.807439375)</f>
        <v>45049.80744</v>
      </c>
      <c r="D8987" s="15">
        <f>IFERROR(__xludf.DUMMYFUNCTION("""COMPUTED_VALUE"""),1.024)</f>
        <v>1.024</v>
      </c>
      <c r="E8987" s="16">
        <f>IFERROR(__xludf.DUMMYFUNCTION("""COMPUTED_VALUE"""),61.0)</f>
        <v>61</v>
      </c>
      <c r="F8987" s="19" t="str">
        <f>IFERROR(__xludf.DUMMYFUNCTION("""COMPUTED_VALUE"""),"BLUE")</f>
        <v>BLUE</v>
      </c>
      <c r="G8987" s="20" t="str">
        <f>IFERROR(__xludf.DUMMYFUNCTION("""COMPUTED_VALUE"""),"Uncle Sams Cider (04/04/2023)")</f>
        <v>Uncle Sams Cider (04/04/2023)</v>
      </c>
      <c r="H8987" s="19"/>
    </row>
    <row r="8988">
      <c r="A8988" s="9"/>
      <c r="B8988" s="15"/>
      <c r="C8988" s="9">
        <f>IFERROR(__xludf.DUMMYFUNCTION("""COMPUTED_VALUE"""),45049.7969960995)</f>
        <v>45049.797</v>
      </c>
      <c r="D8988" s="15">
        <f>IFERROR(__xludf.DUMMYFUNCTION("""COMPUTED_VALUE"""),1.024)</f>
        <v>1.024</v>
      </c>
      <c r="E8988" s="16">
        <f>IFERROR(__xludf.DUMMYFUNCTION("""COMPUTED_VALUE"""),61.0)</f>
        <v>61</v>
      </c>
      <c r="F8988" s="19" t="str">
        <f>IFERROR(__xludf.DUMMYFUNCTION("""COMPUTED_VALUE"""),"BLUE")</f>
        <v>BLUE</v>
      </c>
      <c r="G8988" s="20" t="str">
        <f>IFERROR(__xludf.DUMMYFUNCTION("""COMPUTED_VALUE"""),"Uncle Sams Cider (04/04/2023)")</f>
        <v>Uncle Sams Cider (04/04/2023)</v>
      </c>
      <c r="H8988" s="19"/>
    </row>
    <row r="8989">
      <c r="A8989" s="9"/>
      <c r="B8989" s="15"/>
      <c r="C8989" s="9">
        <f>IFERROR(__xludf.DUMMYFUNCTION("""COMPUTED_VALUE"""),45049.786575324)</f>
        <v>45049.78658</v>
      </c>
      <c r="D8989" s="15">
        <f>IFERROR(__xludf.DUMMYFUNCTION("""COMPUTED_VALUE"""),1.024)</f>
        <v>1.024</v>
      </c>
      <c r="E8989" s="16">
        <f>IFERROR(__xludf.DUMMYFUNCTION("""COMPUTED_VALUE"""),61.0)</f>
        <v>61</v>
      </c>
      <c r="F8989" s="19" t="str">
        <f>IFERROR(__xludf.DUMMYFUNCTION("""COMPUTED_VALUE"""),"BLUE")</f>
        <v>BLUE</v>
      </c>
      <c r="G8989" s="20" t="str">
        <f>IFERROR(__xludf.DUMMYFUNCTION("""COMPUTED_VALUE"""),"Uncle Sams Cider (04/04/2023)")</f>
        <v>Uncle Sams Cider (04/04/2023)</v>
      </c>
      <c r="H8989" s="19"/>
    </row>
    <row r="8990">
      <c r="A8990" s="9"/>
      <c r="B8990" s="15"/>
      <c r="C8990" s="9">
        <f>IFERROR(__xludf.DUMMYFUNCTION("""COMPUTED_VALUE"""),45049.7761540509)</f>
        <v>45049.77615</v>
      </c>
      <c r="D8990" s="15">
        <f>IFERROR(__xludf.DUMMYFUNCTION("""COMPUTED_VALUE"""),1.024)</f>
        <v>1.024</v>
      </c>
      <c r="E8990" s="16">
        <f>IFERROR(__xludf.DUMMYFUNCTION("""COMPUTED_VALUE"""),61.0)</f>
        <v>61</v>
      </c>
      <c r="F8990" s="19" t="str">
        <f>IFERROR(__xludf.DUMMYFUNCTION("""COMPUTED_VALUE"""),"BLUE")</f>
        <v>BLUE</v>
      </c>
      <c r="G8990" s="20" t="str">
        <f>IFERROR(__xludf.DUMMYFUNCTION("""COMPUTED_VALUE"""),"Uncle Sams Cider (04/04/2023)")</f>
        <v>Uncle Sams Cider (04/04/2023)</v>
      </c>
      <c r="H8990" s="19"/>
    </row>
    <row r="8991">
      <c r="A8991" s="9"/>
      <c r="B8991" s="15"/>
      <c r="C8991" s="9">
        <f>IFERROR(__xludf.DUMMYFUNCTION("""COMPUTED_VALUE"""),45049.7657333333)</f>
        <v>45049.76573</v>
      </c>
      <c r="D8991" s="15">
        <f>IFERROR(__xludf.DUMMYFUNCTION("""COMPUTED_VALUE"""),1.024)</f>
        <v>1.024</v>
      </c>
      <c r="E8991" s="16">
        <f>IFERROR(__xludf.DUMMYFUNCTION("""COMPUTED_VALUE"""),61.0)</f>
        <v>61</v>
      </c>
      <c r="F8991" s="19" t="str">
        <f>IFERROR(__xludf.DUMMYFUNCTION("""COMPUTED_VALUE"""),"BLUE")</f>
        <v>BLUE</v>
      </c>
      <c r="G8991" s="20" t="str">
        <f>IFERROR(__xludf.DUMMYFUNCTION("""COMPUTED_VALUE"""),"Uncle Sams Cider (04/04/2023)")</f>
        <v>Uncle Sams Cider (04/04/2023)</v>
      </c>
      <c r="H8991" s="19"/>
    </row>
    <row r="8992">
      <c r="A8992" s="9"/>
      <c r="B8992" s="15"/>
      <c r="C8992" s="9">
        <f>IFERROR(__xludf.DUMMYFUNCTION("""COMPUTED_VALUE"""),45049.7553110648)</f>
        <v>45049.75531</v>
      </c>
      <c r="D8992" s="15">
        <f>IFERROR(__xludf.DUMMYFUNCTION("""COMPUTED_VALUE"""),1.024)</f>
        <v>1.024</v>
      </c>
      <c r="E8992" s="16">
        <f>IFERROR(__xludf.DUMMYFUNCTION("""COMPUTED_VALUE"""),61.0)</f>
        <v>61</v>
      </c>
      <c r="F8992" s="19" t="str">
        <f>IFERROR(__xludf.DUMMYFUNCTION("""COMPUTED_VALUE"""),"BLUE")</f>
        <v>BLUE</v>
      </c>
      <c r="G8992" s="20" t="str">
        <f>IFERROR(__xludf.DUMMYFUNCTION("""COMPUTED_VALUE"""),"Uncle Sams Cider (04/04/2023)")</f>
        <v>Uncle Sams Cider (04/04/2023)</v>
      </c>
      <c r="H8992" s="19"/>
    </row>
    <row r="8993">
      <c r="A8993" s="9"/>
      <c r="B8993" s="15"/>
      <c r="C8993" s="9">
        <f>IFERROR(__xludf.DUMMYFUNCTION("""COMPUTED_VALUE"""),45049.7448890856)</f>
        <v>45049.74489</v>
      </c>
      <c r="D8993" s="15">
        <f>IFERROR(__xludf.DUMMYFUNCTION("""COMPUTED_VALUE"""),1.024)</f>
        <v>1.024</v>
      </c>
      <c r="E8993" s="16">
        <f>IFERROR(__xludf.DUMMYFUNCTION("""COMPUTED_VALUE"""),61.0)</f>
        <v>61</v>
      </c>
      <c r="F8993" s="19" t="str">
        <f>IFERROR(__xludf.DUMMYFUNCTION("""COMPUTED_VALUE"""),"BLUE")</f>
        <v>BLUE</v>
      </c>
      <c r="G8993" s="20" t="str">
        <f>IFERROR(__xludf.DUMMYFUNCTION("""COMPUTED_VALUE"""),"Uncle Sams Cider (04/04/2023)")</f>
        <v>Uncle Sams Cider (04/04/2023)</v>
      </c>
      <c r="H8993" s="19"/>
    </row>
    <row r="8994">
      <c r="A8994" s="9"/>
      <c r="B8994" s="15"/>
      <c r="C8994" s="9">
        <f>IFERROR(__xludf.DUMMYFUNCTION("""COMPUTED_VALUE"""),45049.7344685532)</f>
        <v>45049.73447</v>
      </c>
      <c r="D8994" s="15">
        <f>IFERROR(__xludf.DUMMYFUNCTION("""COMPUTED_VALUE"""),1.024)</f>
        <v>1.024</v>
      </c>
      <c r="E8994" s="16">
        <f>IFERROR(__xludf.DUMMYFUNCTION("""COMPUTED_VALUE"""),61.0)</f>
        <v>61</v>
      </c>
      <c r="F8994" s="19" t="str">
        <f>IFERROR(__xludf.DUMMYFUNCTION("""COMPUTED_VALUE"""),"BLUE")</f>
        <v>BLUE</v>
      </c>
      <c r="G8994" s="20" t="str">
        <f>IFERROR(__xludf.DUMMYFUNCTION("""COMPUTED_VALUE"""),"Uncle Sams Cider (04/04/2023)")</f>
        <v>Uncle Sams Cider (04/04/2023)</v>
      </c>
      <c r="H8994" s="19"/>
    </row>
    <row r="8995">
      <c r="A8995" s="9"/>
      <c r="B8995" s="15"/>
      <c r="C8995" s="9">
        <f>IFERROR(__xludf.DUMMYFUNCTION("""COMPUTED_VALUE"""),45049.7240476736)</f>
        <v>45049.72405</v>
      </c>
      <c r="D8995" s="15">
        <f>IFERROR(__xludf.DUMMYFUNCTION("""COMPUTED_VALUE"""),1.024)</f>
        <v>1.024</v>
      </c>
      <c r="E8995" s="16">
        <f>IFERROR(__xludf.DUMMYFUNCTION("""COMPUTED_VALUE"""),61.0)</f>
        <v>61</v>
      </c>
      <c r="F8995" s="19" t="str">
        <f>IFERROR(__xludf.DUMMYFUNCTION("""COMPUTED_VALUE"""),"BLUE")</f>
        <v>BLUE</v>
      </c>
      <c r="G8995" s="20" t="str">
        <f>IFERROR(__xludf.DUMMYFUNCTION("""COMPUTED_VALUE"""),"Uncle Sams Cider (04/04/2023)")</f>
        <v>Uncle Sams Cider (04/04/2023)</v>
      </c>
      <c r="H8995" s="19"/>
    </row>
    <row r="8996">
      <c r="A8996" s="9"/>
      <c r="B8996" s="15"/>
      <c r="C8996" s="9">
        <f>IFERROR(__xludf.DUMMYFUNCTION("""COMPUTED_VALUE"""),45049.71362728)</f>
        <v>45049.71363</v>
      </c>
      <c r="D8996" s="15">
        <f>IFERROR(__xludf.DUMMYFUNCTION("""COMPUTED_VALUE"""),1.024)</f>
        <v>1.024</v>
      </c>
      <c r="E8996" s="16">
        <f>IFERROR(__xludf.DUMMYFUNCTION("""COMPUTED_VALUE"""),61.0)</f>
        <v>61</v>
      </c>
      <c r="F8996" s="19" t="str">
        <f>IFERROR(__xludf.DUMMYFUNCTION("""COMPUTED_VALUE"""),"BLUE")</f>
        <v>BLUE</v>
      </c>
      <c r="G8996" s="20" t="str">
        <f>IFERROR(__xludf.DUMMYFUNCTION("""COMPUTED_VALUE"""),"Uncle Sams Cider (04/04/2023)")</f>
        <v>Uncle Sams Cider (04/04/2023)</v>
      </c>
      <c r="H8996" s="19"/>
    </row>
    <row r="8997">
      <c r="A8997" s="9"/>
      <c r="B8997" s="15"/>
      <c r="C8997" s="9">
        <f>IFERROR(__xludf.DUMMYFUNCTION("""COMPUTED_VALUE"""),45049.7032069444)</f>
        <v>45049.70321</v>
      </c>
      <c r="D8997" s="15">
        <f>IFERROR(__xludf.DUMMYFUNCTION("""COMPUTED_VALUE"""),1.024)</f>
        <v>1.024</v>
      </c>
      <c r="E8997" s="16">
        <f>IFERROR(__xludf.DUMMYFUNCTION("""COMPUTED_VALUE"""),61.0)</f>
        <v>61</v>
      </c>
      <c r="F8997" s="19" t="str">
        <f>IFERROR(__xludf.DUMMYFUNCTION("""COMPUTED_VALUE"""),"BLUE")</f>
        <v>BLUE</v>
      </c>
      <c r="G8997" s="20" t="str">
        <f>IFERROR(__xludf.DUMMYFUNCTION("""COMPUTED_VALUE"""),"Uncle Sams Cider (04/04/2023)")</f>
        <v>Uncle Sams Cider (04/04/2023)</v>
      </c>
      <c r="H8997" s="19"/>
    </row>
    <row r="8998">
      <c r="A8998" s="9"/>
      <c r="B8998" s="15"/>
      <c r="C8998" s="9">
        <f>IFERROR(__xludf.DUMMYFUNCTION("""COMPUTED_VALUE"""),45049.6927617939)</f>
        <v>45049.69276</v>
      </c>
      <c r="D8998" s="15">
        <f>IFERROR(__xludf.DUMMYFUNCTION("""COMPUTED_VALUE"""),1.024)</f>
        <v>1.024</v>
      </c>
      <c r="E8998" s="16">
        <f>IFERROR(__xludf.DUMMYFUNCTION("""COMPUTED_VALUE"""),61.0)</f>
        <v>61</v>
      </c>
      <c r="F8998" s="19" t="str">
        <f>IFERROR(__xludf.DUMMYFUNCTION("""COMPUTED_VALUE"""),"BLUE")</f>
        <v>BLUE</v>
      </c>
      <c r="G8998" s="20" t="str">
        <f>IFERROR(__xludf.DUMMYFUNCTION("""COMPUTED_VALUE"""),"Uncle Sams Cider (04/04/2023)")</f>
        <v>Uncle Sams Cider (04/04/2023)</v>
      </c>
      <c r="H8998" s="19"/>
    </row>
    <row r="8999">
      <c r="A8999" s="9"/>
      <c r="B8999" s="15"/>
      <c r="C8999" s="9">
        <f>IFERROR(__xludf.DUMMYFUNCTION("""COMPUTED_VALUE"""),45049.6823406481)</f>
        <v>45049.68234</v>
      </c>
      <c r="D8999" s="15">
        <f>IFERROR(__xludf.DUMMYFUNCTION("""COMPUTED_VALUE"""),1.024)</f>
        <v>1.024</v>
      </c>
      <c r="E8999" s="16">
        <f>IFERROR(__xludf.DUMMYFUNCTION("""COMPUTED_VALUE"""),61.0)</f>
        <v>61</v>
      </c>
      <c r="F8999" s="19" t="str">
        <f>IFERROR(__xludf.DUMMYFUNCTION("""COMPUTED_VALUE"""),"BLUE")</f>
        <v>BLUE</v>
      </c>
      <c r="G8999" s="20" t="str">
        <f>IFERROR(__xludf.DUMMYFUNCTION("""COMPUTED_VALUE"""),"Uncle Sams Cider (04/04/2023)")</f>
        <v>Uncle Sams Cider (04/04/2023)</v>
      </c>
      <c r="H8999" s="19"/>
    </row>
    <row r="9000">
      <c r="A9000" s="9"/>
      <c r="B9000" s="15"/>
      <c r="C9000" s="9">
        <f>IFERROR(__xludf.DUMMYFUNCTION("""COMPUTED_VALUE"""),45049.6719199884)</f>
        <v>45049.67192</v>
      </c>
      <c r="D9000" s="15">
        <f>IFERROR(__xludf.DUMMYFUNCTION("""COMPUTED_VALUE"""),1.024)</f>
        <v>1.024</v>
      </c>
      <c r="E9000" s="16">
        <f>IFERROR(__xludf.DUMMYFUNCTION("""COMPUTED_VALUE"""),61.0)</f>
        <v>61</v>
      </c>
      <c r="F9000" s="19" t="str">
        <f>IFERROR(__xludf.DUMMYFUNCTION("""COMPUTED_VALUE"""),"BLUE")</f>
        <v>BLUE</v>
      </c>
      <c r="G9000" s="20" t="str">
        <f>IFERROR(__xludf.DUMMYFUNCTION("""COMPUTED_VALUE"""),"Uncle Sams Cider (04/04/2023)")</f>
        <v>Uncle Sams Cider (04/04/2023)</v>
      </c>
      <c r="H9000" s="19"/>
    </row>
    <row r="9001">
      <c r="A9001" s="9"/>
      <c r="B9001" s="15"/>
      <c r="C9001" s="9">
        <f>IFERROR(__xludf.DUMMYFUNCTION("""COMPUTED_VALUE"""),45049.6614993981)</f>
        <v>45049.6615</v>
      </c>
      <c r="D9001" s="15">
        <f>IFERROR(__xludf.DUMMYFUNCTION("""COMPUTED_VALUE"""),1.024)</f>
        <v>1.024</v>
      </c>
      <c r="E9001" s="16">
        <f>IFERROR(__xludf.DUMMYFUNCTION("""COMPUTED_VALUE"""),61.0)</f>
        <v>61</v>
      </c>
      <c r="F9001" s="19" t="str">
        <f>IFERROR(__xludf.DUMMYFUNCTION("""COMPUTED_VALUE"""),"BLUE")</f>
        <v>BLUE</v>
      </c>
      <c r="G9001" s="20" t="str">
        <f>IFERROR(__xludf.DUMMYFUNCTION("""COMPUTED_VALUE"""),"Uncle Sams Cider (04/04/2023)")</f>
        <v>Uncle Sams Cider (04/04/2023)</v>
      </c>
      <c r="H9001" s="19"/>
    </row>
    <row r="9002">
      <c r="A9002" s="9"/>
      <c r="B9002" s="15"/>
      <c r="C9002" s="9">
        <f>IFERROR(__xludf.DUMMYFUNCTION("""COMPUTED_VALUE"""),45049.6510802662)</f>
        <v>45049.65108</v>
      </c>
      <c r="D9002" s="15">
        <f>IFERROR(__xludf.DUMMYFUNCTION("""COMPUTED_VALUE"""),1.024)</f>
        <v>1.024</v>
      </c>
      <c r="E9002" s="16">
        <f>IFERROR(__xludf.DUMMYFUNCTION("""COMPUTED_VALUE"""),61.0)</f>
        <v>61</v>
      </c>
      <c r="F9002" s="19" t="str">
        <f>IFERROR(__xludf.DUMMYFUNCTION("""COMPUTED_VALUE"""),"BLUE")</f>
        <v>BLUE</v>
      </c>
      <c r="G9002" s="20" t="str">
        <f>IFERROR(__xludf.DUMMYFUNCTION("""COMPUTED_VALUE"""),"Uncle Sams Cider (04/04/2023)")</f>
        <v>Uncle Sams Cider (04/04/2023)</v>
      </c>
      <c r="H9002" s="19"/>
    </row>
    <row r="9003">
      <c r="A9003" s="9"/>
      <c r="B9003" s="15"/>
      <c r="C9003" s="9">
        <f>IFERROR(__xludf.DUMMYFUNCTION("""COMPUTED_VALUE"""),45049.640659456)</f>
        <v>45049.64066</v>
      </c>
      <c r="D9003" s="15">
        <f>IFERROR(__xludf.DUMMYFUNCTION("""COMPUTED_VALUE"""),1.024)</f>
        <v>1.024</v>
      </c>
      <c r="E9003" s="16">
        <f>IFERROR(__xludf.DUMMYFUNCTION("""COMPUTED_VALUE"""),61.0)</f>
        <v>61</v>
      </c>
      <c r="F9003" s="19" t="str">
        <f>IFERROR(__xludf.DUMMYFUNCTION("""COMPUTED_VALUE"""),"BLUE")</f>
        <v>BLUE</v>
      </c>
      <c r="G9003" s="20" t="str">
        <f>IFERROR(__xludf.DUMMYFUNCTION("""COMPUTED_VALUE"""),"Uncle Sams Cider (04/04/2023)")</f>
        <v>Uncle Sams Cider (04/04/2023)</v>
      </c>
      <c r="H9003" s="19"/>
    </row>
    <row r="9004">
      <c r="A9004" s="9"/>
      <c r="B9004" s="15"/>
      <c r="C9004" s="9">
        <f>IFERROR(__xludf.DUMMYFUNCTION("""COMPUTED_VALUE"""),45049.6302401388)</f>
        <v>45049.63024</v>
      </c>
      <c r="D9004" s="15">
        <f>IFERROR(__xludf.DUMMYFUNCTION("""COMPUTED_VALUE"""),1.024)</f>
        <v>1.024</v>
      </c>
      <c r="E9004" s="16">
        <f>IFERROR(__xludf.DUMMYFUNCTION("""COMPUTED_VALUE"""),61.0)</f>
        <v>61</v>
      </c>
      <c r="F9004" s="19" t="str">
        <f>IFERROR(__xludf.DUMMYFUNCTION("""COMPUTED_VALUE"""),"BLUE")</f>
        <v>BLUE</v>
      </c>
      <c r="G9004" s="20" t="str">
        <f>IFERROR(__xludf.DUMMYFUNCTION("""COMPUTED_VALUE"""),"Uncle Sams Cider (04/04/2023)")</f>
        <v>Uncle Sams Cider (04/04/2023)</v>
      </c>
      <c r="H9004" s="19"/>
    </row>
    <row r="9005">
      <c r="A9005" s="9"/>
      <c r="B9005" s="15"/>
      <c r="C9005" s="9">
        <f>IFERROR(__xludf.DUMMYFUNCTION("""COMPUTED_VALUE"""),45049.6198080439)</f>
        <v>45049.61981</v>
      </c>
      <c r="D9005" s="15">
        <f>IFERROR(__xludf.DUMMYFUNCTION("""COMPUTED_VALUE"""),1.024)</f>
        <v>1.024</v>
      </c>
      <c r="E9005" s="16">
        <f>IFERROR(__xludf.DUMMYFUNCTION("""COMPUTED_VALUE"""),61.0)</f>
        <v>61</v>
      </c>
      <c r="F9005" s="19" t="str">
        <f>IFERROR(__xludf.DUMMYFUNCTION("""COMPUTED_VALUE"""),"BLUE")</f>
        <v>BLUE</v>
      </c>
      <c r="G9005" s="20" t="str">
        <f>IFERROR(__xludf.DUMMYFUNCTION("""COMPUTED_VALUE"""),"Uncle Sams Cider (04/04/2023)")</f>
        <v>Uncle Sams Cider (04/04/2023)</v>
      </c>
      <c r="H9005" s="19"/>
    </row>
    <row r="9006">
      <c r="A9006" s="9"/>
      <c r="B9006" s="15"/>
      <c r="C9006" s="9">
        <f>IFERROR(__xludf.DUMMYFUNCTION("""COMPUTED_VALUE"""),45049.6093750578)</f>
        <v>45049.60938</v>
      </c>
      <c r="D9006" s="15">
        <f>IFERROR(__xludf.DUMMYFUNCTION("""COMPUTED_VALUE"""),1.024)</f>
        <v>1.024</v>
      </c>
      <c r="E9006" s="16">
        <f>IFERROR(__xludf.DUMMYFUNCTION("""COMPUTED_VALUE"""),61.0)</f>
        <v>61</v>
      </c>
      <c r="F9006" s="19" t="str">
        <f>IFERROR(__xludf.DUMMYFUNCTION("""COMPUTED_VALUE"""),"BLUE")</f>
        <v>BLUE</v>
      </c>
      <c r="G9006" s="20" t="str">
        <f>IFERROR(__xludf.DUMMYFUNCTION("""COMPUTED_VALUE"""),"Uncle Sams Cider (04/04/2023)")</f>
        <v>Uncle Sams Cider (04/04/2023)</v>
      </c>
      <c r="H9006" s="19"/>
    </row>
    <row r="9007">
      <c r="A9007" s="9"/>
      <c r="B9007" s="15"/>
      <c r="C9007" s="9">
        <f>IFERROR(__xludf.DUMMYFUNCTION("""COMPUTED_VALUE"""),45049.5989209722)</f>
        <v>45049.59892</v>
      </c>
      <c r="D9007" s="15">
        <f>IFERROR(__xludf.DUMMYFUNCTION("""COMPUTED_VALUE"""),1.024)</f>
        <v>1.024</v>
      </c>
      <c r="E9007" s="16">
        <f>IFERROR(__xludf.DUMMYFUNCTION("""COMPUTED_VALUE"""),61.0)</f>
        <v>61</v>
      </c>
      <c r="F9007" s="19" t="str">
        <f>IFERROR(__xludf.DUMMYFUNCTION("""COMPUTED_VALUE"""),"BLUE")</f>
        <v>BLUE</v>
      </c>
      <c r="G9007" s="20" t="str">
        <f>IFERROR(__xludf.DUMMYFUNCTION("""COMPUTED_VALUE"""),"Uncle Sams Cider (04/04/2023)")</f>
        <v>Uncle Sams Cider (04/04/2023)</v>
      </c>
      <c r="H9007" s="19"/>
    </row>
    <row r="9008">
      <c r="A9008" s="9"/>
      <c r="B9008" s="15"/>
      <c r="C9008" s="9">
        <f>IFERROR(__xludf.DUMMYFUNCTION("""COMPUTED_VALUE"""),45049.5884995717)</f>
        <v>45049.5885</v>
      </c>
      <c r="D9008" s="15">
        <f>IFERROR(__xludf.DUMMYFUNCTION("""COMPUTED_VALUE"""),1.024)</f>
        <v>1.024</v>
      </c>
      <c r="E9008" s="16">
        <f>IFERROR(__xludf.DUMMYFUNCTION("""COMPUTED_VALUE"""),61.0)</f>
        <v>61</v>
      </c>
      <c r="F9008" s="19" t="str">
        <f>IFERROR(__xludf.DUMMYFUNCTION("""COMPUTED_VALUE"""),"BLUE")</f>
        <v>BLUE</v>
      </c>
      <c r="G9008" s="20" t="str">
        <f>IFERROR(__xludf.DUMMYFUNCTION("""COMPUTED_VALUE"""),"Uncle Sams Cider (04/04/2023)")</f>
        <v>Uncle Sams Cider (04/04/2023)</v>
      </c>
      <c r="H9008" s="19"/>
    </row>
    <row r="9009">
      <c r="A9009" s="9"/>
      <c r="B9009" s="15"/>
      <c r="C9009" s="9">
        <f>IFERROR(__xludf.DUMMYFUNCTION("""COMPUTED_VALUE"""),45049.5780786458)</f>
        <v>45049.57808</v>
      </c>
      <c r="D9009" s="15">
        <f>IFERROR(__xludf.DUMMYFUNCTION("""COMPUTED_VALUE"""),1.024)</f>
        <v>1.024</v>
      </c>
      <c r="E9009" s="16">
        <f>IFERROR(__xludf.DUMMYFUNCTION("""COMPUTED_VALUE"""),61.0)</f>
        <v>61</v>
      </c>
      <c r="F9009" s="19" t="str">
        <f>IFERROR(__xludf.DUMMYFUNCTION("""COMPUTED_VALUE"""),"BLUE")</f>
        <v>BLUE</v>
      </c>
      <c r="G9009" s="20" t="str">
        <f>IFERROR(__xludf.DUMMYFUNCTION("""COMPUTED_VALUE"""),"Uncle Sams Cider (04/04/2023)")</f>
        <v>Uncle Sams Cider (04/04/2023)</v>
      </c>
      <c r="H9009" s="19"/>
    </row>
    <row r="9010">
      <c r="A9010" s="9"/>
      <c r="B9010" s="15"/>
      <c r="C9010" s="9">
        <f>IFERROR(__xludf.DUMMYFUNCTION("""COMPUTED_VALUE"""),45049.5676567939)</f>
        <v>45049.56766</v>
      </c>
      <c r="D9010" s="15">
        <f>IFERROR(__xludf.DUMMYFUNCTION("""COMPUTED_VALUE"""),1.024)</f>
        <v>1.024</v>
      </c>
      <c r="E9010" s="16">
        <f>IFERROR(__xludf.DUMMYFUNCTION("""COMPUTED_VALUE"""),61.0)</f>
        <v>61</v>
      </c>
      <c r="F9010" s="19" t="str">
        <f>IFERROR(__xludf.DUMMYFUNCTION("""COMPUTED_VALUE"""),"BLUE")</f>
        <v>BLUE</v>
      </c>
      <c r="G9010" s="20" t="str">
        <f>IFERROR(__xludf.DUMMYFUNCTION("""COMPUTED_VALUE"""),"Uncle Sams Cider (04/04/2023)")</f>
        <v>Uncle Sams Cider (04/04/2023)</v>
      </c>
      <c r="H9010" s="19"/>
    </row>
    <row r="9011">
      <c r="A9011" s="9"/>
      <c r="B9011" s="15"/>
      <c r="C9011" s="9">
        <f>IFERROR(__xludf.DUMMYFUNCTION("""COMPUTED_VALUE"""),45049.5572350347)</f>
        <v>45049.55724</v>
      </c>
      <c r="D9011" s="15">
        <f>IFERROR(__xludf.DUMMYFUNCTION("""COMPUTED_VALUE"""),1.024)</f>
        <v>1.024</v>
      </c>
      <c r="E9011" s="16">
        <f>IFERROR(__xludf.DUMMYFUNCTION("""COMPUTED_VALUE"""),61.0)</f>
        <v>61</v>
      </c>
      <c r="F9011" s="19" t="str">
        <f>IFERROR(__xludf.DUMMYFUNCTION("""COMPUTED_VALUE"""),"BLUE")</f>
        <v>BLUE</v>
      </c>
      <c r="G9011" s="20" t="str">
        <f>IFERROR(__xludf.DUMMYFUNCTION("""COMPUTED_VALUE"""),"Uncle Sams Cider (04/04/2023)")</f>
        <v>Uncle Sams Cider (04/04/2023)</v>
      </c>
      <c r="H9011" s="19"/>
    </row>
    <row r="9012">
      <c r="A9012" s="9"/>
      <c r="B9012" s="15"/>
      <c r="C9012" s="9">
        <f>IFERROR(__xludf.DUMMYFUNCTION("""COMPUTED_VALUE"""),45049.5468140393)</f>
        <v>45049.54681</v>
      </c>
      <c r="D9012" s="15">
        <f>IFERROR(__xludf.DUMMYFUNCTION("""COMPUTED_VALUE"""),1.024)</f>
        <v>1.024</v>
      </c>
      <c r="E9012" s="16">
        <f>IFERROR(__xludf.DUMMYFUNCTION("""COMPUTED_VALUE"""),61.0)</f>
        <v>61</v>
      </c>
      <c r="F9012" s="19" t="str">
        <f>IFERROR(__xludf.DUMMYFUNCTION("""COMPUTED_VALUE"""),"BLUE")</f>
        <v>BLUE</v>
      </c>
      <c r="G9012" s="20" t="str">
        <f>IFERROR(__xludf.DUMMYFUNCTION("""COMPUTED_VALUE"""),"Uncle Sams Cider (04/04/2023)")</f>
        <v>Uncle Sams Cider (04/04/2023)</v>
      </c>
      <c r="H9012" s="19"/>
    </row>
    <row r="9013">
      <c r="A9013" s="9"/>
      <c r="B9013" s="15"/>
      <c r="C9013" s="9">
        <f>IFERROR(__xludf.DUMMYFUNCTION("""COMPUTED_VALUE"""),45049.5363838773)</f>
        <v>45049.53638</v>
      </c>
      <c r="D9013" s="15">
        <f>IFERROR(__xludf.DUMMYFUNCTION("""COMPUTED_VALUE"""),1.024)</f>
        <v>1.024</v>
      </c>
      <c r="E9013" s="16">
        <f>IFERROR(__xludf.DUMMYFUNCTION("""COMPUTED_VALUE"""),61.0)</f>
        <v>61</v>
      </c>
      <c r="F9013" s="19" t="str">
        <f>IFERROR(__xludf.DUMMYFUNCTION("""COMPUTED_VALUE"""),"BLUE")</f>
        <v>BLUE</v>
      </c>
      <c r="G9013" s="20" t="str">
        <f>IFERROR(__xludf.DUMMYFUNCTION("""COMPUTED_VALUE"""),"Uncle Sams Cider (04/04/2023)")</f>
        <v>Uncle Sams Cider (04/04/2023)</v>
      </c>
      <c r="H9013" s="19"/>
    </row>
    <row r="9014">
      <c r="A9014" s="9"/>
      <c r="B9014" s="15"/>
      <c r="C9014" s="9">
        <f>IFERROR(__xludf.DUMMYFUNCTION("""COMPUTED_VALUE"""),45049.5259615972)</f>
        <v>45049.52596</v>
      </c>
      <c r="D9014" s="15">
        <f>IFERROR(__xludf.DUMMYFUNCTION("""COMPUTED_VALUE"""),1.024)</f>
        <v>1.024</v>
      </c>
      <c r="E9014" s="16">
        <f>IFERROR(__xludf.DUMMYFUNCTION("""COMPUTED_VALUE"""),61.0)</f>
        <v>61</v>
      </c>
      <c r="F9014" s="19" t="str">
        <f>IFERROR(__xludf.DUMMYFUNCTION("""COMPUTED_VALUE"""),"BLUE")</f>
        <v>BLUE</v>
      </c>
      <c r="G9014" s="20" t="str">
        <f>IFERROR(__xludf.DUMMYFUNCTION("""COMPUTED_VALUE"""),"Uncle Sams Cider (04/04/2023)")</f>
        <v>Uncle Sams Cider (04/04/2023)</v>
      </c>
      <c r="H9014" s="19"/>
    </row>
    <row r="9015">
      <c r="A9015" s="9"/>
      <c r="B9015" s="15"/>
      <c r="C9015" s="9">
        <f>IFERROR(__xludf.DUMMYFUNCTION("""COMPUTED_VALUE"""),45049.5155401273)</f>
        <v>45049.51554</v>
      </c>
      <c r="D9015" s="15">
        <f>IFERROR(__xludf.DUMMYFUNCTION("""COMPUTED_VALUE"""),1.024)</f>
        <v>1.024</v>
      </c>
      <c r="E9015" s="16">
        <f>IFERROR(__xludf.DUMMYFUNCTION("""COMPUTED_VALUE"""),61.0)</f>
        <v>61</v>
      </c>
      <c r="F9015" s="19" t="str">
        <f>IFERROR(__xludf.DUMMYFUNCTION("""COMPUTED_VALUE"""),"BLUE")</f>
        <v>BLUE</v>
      </c>
      <c r="G9015" s="20" t="str">
        <f>IFERROR(__xludf.DUMMYFUNCTION("""COMPUTED_VALUE"""),"Uncle Sams Cider (04/04/2023)")</f>
        <v>Uncle Sams Cider (04/04/2023)</v>
      </c>
      <c r="H9015" s="19"/>
    </row>
    <row r="9016">
      <c r="A9016" s="9"/>
      <c r="B9016" s="15"/>
      <c r="C9016" s="9">
        <f>IFERROR(__xludf.DUMMYFUNCTION("""COMPUTED_VALUE"""),45049.5051201967)</f>
        <v>45049.50512</v>
      </c>
      <c r="D9016" s="15">
        <f>IFERROR(__xludf.DUMMYFUNCTION("""COMPUTED_VALUE"""),1.024)</f>
        <v>1.024</v>
      </c>
      <c r="E9016" s="16">
        <f>IFERROR(__xludf.DUMMYFUNCTION("""COMPUTED_VALUE"""),61.0)</f>
        <v>61</v>
      </c>
      <c r="F9016" s="19" t="str">
        <f>IFERROR(__xludf.DUMMYFUNCTION("""COMPUTED_VALUE"""),"BLUE")</f>
        <v>BLUE</v>
      </c>
      <c r="G9016" s="20" t="str">
        <f>IFERROR(__xludf.DUMMYFUNCTION("""COMPUTED_VALUE"""),"Uncle Sams Cider (04/04/2023)")</f>
        <v>Uncle Sams Cider (04/04/2023)</v>
      </c>
      <c r="H9016" s="19"/>
    </row>
    <row r="9017">
      <c r="A9017" s="9"/>
      <c r="B9017" s="15"/>
      <c r="C9017" s="9">
        <f>IFERROR(__xludf.DUMMYFUNCTION("""COMPUTED_VALUE"""),45049.4946997916)</f>
        <v>45049.4947</v>
      </c>
      <c r="D9017" s="15">
        <f>IFERROR(__xludf.DUMMYFUNCTION("""COMPUTED_VALUE"""),1.024)</f>
        <v>1.024</v>
      </c>
      <c r="E9017" s="16">
        <f>IFERROR(__xludf.DUMMYFUNCTION("""COMPUTED_VALUE"""),61.0)</f>
        <v>61</v>
      </c>
      <c r="F9017" s="19" t="str">
        <f>IFERROR(__xludf.DUMMYFUNCTION("""COMPUTED_VALUE"""),"BLUE")</f>
        <v>BLUE</v>
      </c>
      <c r="G9017" s="20" t="str">
        <f>IFERROR(__xludf.DUMMYFUNCTION("""COMPUTED_VALUE"""),"Uncle Sams Cider (04/04/2023)")</f>
        <v>Uncle Sams Cider (04/04/2023)</v>
      </c>
      <c r="H9017" s="19"/>
    </row>
    <row r="9018">
      <c r="A9018" s="9"/>
      <c r="B9018" s="15"/>
      <c r="C9018" s="9">
        <f>IFERROR(__xludf.DUMMYFUNCTION("""COMPUTED_VALUE"""),45049.4842781481)</f>
        <v>45049.48428</v>
      </c>
      <c r="D9018" s="15">
        <f>IFERROR(__xludf.DUMMYFUNCTION("""COMPUTED_VALUE"""),1.024)</f>
        <v>1.024</v>
      </c>
      <c r="E9018" s="16">
        <f>IFERROR(__xludf.DUMMYFUNCTION("""COMPUTED_VALUE"""),61.0)</f>
        <v>61</v>
      </c>
      <c r="F9018" s="19" t="str">
        <f>IFERROR(__xludf.DUMMYFUNCTION("""COMPUTED_VALUE"""),"BLUE")</f>
        <v>BLUE</v>
      </c>
      <c r="G9018" s="20" t="str">
        <f>IFERROR(__xludf.DUMMYFUNCTION("""COMPUTED_VALUE"""),"Uncle Sams Cider (04/04/2023)")</f>
        <v>Uncle Sams Cider (04/04/2023)</v>
      </c>
      <c r="H9018" s="19"/>
    </row>
    <row r="9019">
      <c r="A9019" s="9"/>
      <c r="B9019" s="15"/>
      <c r="C9019" s="9">
        <f>IFERROR(__xludf.DUMMYFUNCTION("""COMPUTED_VALUE"""),45049.4738445138)</f>
        <v>45049.47384</v>
      </c>
      <c r="D9019" s="15">
        <f>IFERROR(__xludf.DUMMYFUNCTION("""COMPUTED_VALUE"""),1.024)</f>
        <v>1.024</v>
      </c>
      <c r="E9019" s="16">
        <f>IFERROR(__xludf.DUMMYFUNCTION("""COMPUTED_VALUE"""),61.0)</f>
        <v>61</v>
      </c>
      <c r="F9019" s="19" t="str">
        <f>IFERROR(__xludf.DUMMYFUNCTION("""COMPUTED_VALUE"""),"BLUE")</f>
        <v>BLUE</v>
      </c>
      <c r="G9019" s="20" t="str">
        <f>IFERROR(__xludf.DUMMYFUNCTION("""COMPUTED_VALUE"""),"Uncle Sams Cider (04/04/2023)")</f>
        <v>Uncle Sams Cider (04/04/2023)</v>
      </c>
      <c r="H9019" s="19"/>
    </row>
    <row r="9020">
      <c r="A9020" s="9"/>
      <c r="B9020" s="15"/>
      <c r="C9020" s="9">
        <f>IFERROR(__xludf.DUMMYFUNCTION("""COMPUTED_VALUE"""),45049.4634234027)</f>
        <v>45049.46342</v>
      </c>
      <c r="D9020" s="15">
        <f>IFERROR(__xludf.DUMMYFUNCTION("""COMPUTED_VALUE"""),1.024)</f>
        <v>1.024</v>
      </c>
      <c r="E9020" s="16">
        <f>IFERROR(__xludf.DUMMYFUNCTION("""COMPUTED_VALUE"""),61.0)</f>
        <v>61</v>
      </c>
      <c r="F9020" s="19" t="str">
        <f>IFERROR(__xludf.DUMMYFUNCTION("""COMPUTED_VALUE"""),"BLUE")</f>
        <v>BLUE</v>
      </c>
      <c r="G9020" s="20" t="str">
        <f>IFERROR(__xludf.DUMMYFUNCTION("""COMPUTED_VALUE"""),"Uncle Sams Cider (04/04/2023)")</f>
        <v>Uncle Sams Cider (04/04/2023)</v>
      </c>
      <c r="H9020" s="19"/>
    </row>
    <row r="9021">
      <c r="A9021" s="9"/>
      <c r="B9021" s="15"/>
      <c r="C9021" s="9">
        <f>IFERROR(__xludf.DUMMYFUNCTION("""COMPUTED_VALUE"""),45049.4530027199)</f>
        <v>45049.453</v>
      </c>
      <c r="D9021" s="15">
        <f>IFERROR(__xludf.DUMMYFUNCTION("""COMPUTED_VALUE"""),1.024)</f>
        <v>1.024</v>
      </c>
      <c r="E9021" s="16">
        <f>IFERROR(__xludf.DUMMYFUNCTION("""COMPUTED_VALUE"""),61.0)</f>
        <v>61</v>
      </c>
      <c r="F9021" s="19" t="str">
        <f>IFERROR(__xludf.DUMMYFUNCTION("""COMPUTED_VALUE"""),"BLUE")</f>
        <v>BLUE</v>
      </c>
      <c r="G9021" s="20" t="str">
        <f>IFERROR(__xludf.DUMMYFUNCTION("""COMPUTED_VALUE"""),"Uncle Sams Cider (04/04/2023)")</f>
        <v>Uncle Sams Cider (04/04/2023)</v>
      </c>
      <c r="H9021" s="19"/>
    </row>
    <row r="9022">
      <c r="A9022" s="9"/>
      <c r="B9022" s="15"/>
      <c r="C9022" s="9">
        <f>IFERROR(__xludf.DUMMYFUNCTION("""COMPUTED_VALUE"""),45049.4425825115)</f>
        <v>45049.44258</v>
      </c>
      <c r="D9022" s="15">
        <f>IFERROR(__xludf.DUMMYFUNCTION("""COMPUTED_VALUE"""),1.024)</f>
        <v>1.024</v>
      </c>
      <c r="E9022" s="16">
        <f>IFERROR(__xludf.DUMMYFUNCTION("""COMPUTED_VALUE"""),61.0)</f>
        <v>61</v>
      </c>
      <c r="F9022" s="19" t="str">
        <f>IFERROR(__xludf.DUMMYFUNCTION("""COMPUTED_VALUE"""),"BLUE")</f>
        <v>BLUE</v>
      </c>
      <c r="G9022" s="20" t="str">
        <f>IFERROR(__xludf.DUMMYFUNCTION("""COMPUTED_VALUE"""),"Uncle Sams Cider (04/04/2023)")</f>
        <v>Uncle Sams Cider (04/04/2023)</v>
      </c>
      <c r="H9022" s="19"/>
    </row>
    <row r="9023">
      <c r="A9023" s="9"/>
      <c r="B9023" s="15"/>
      <c r="C9023" s="9">
        <f>IFERROR(__xludf.DUMMYFUNCTION("""COMPUTED_VALUE"""),45049.4321620601)</f>
        <v>45049.43216</v>
      </c>
      <c r="D9023" s="15">
        <f>IFERROR(__xludf.DUMMYFUNCTION("""COMPUTED_VALUE"""),1.024)</f>
        <v>1.024</v>
      </c>
      <c r="E9023" s="16">
        <f>IFERROR(__xludf.DUMMYFUNCTION("""COMPUTED_VALUE"""),61.0)</f>
        <v>61</v>
      </c>
      <c r="F9023" s="19" t="str">
        <f>IFERROR(__xludf.DUMMYFUNCTION("""COMPUTED_VALUE"""),"BLUE")</f>
        <v>BLUE</v>
      </c>
      <c r="G9023" s="20" t="str">
        <f>IFERROR(__xludf.DUMMYFUNCTION("""COMPUTED_VALUE"""),"Uncle Sams Cider (04/04/2023)")</f>
        <v>Uncle Sams Cider (04/04/2023)</v>
      </c>
      <c r="H9023" s="19"/>
    </row>
    <row r="9024">
      <c r="A9024" s="9"/>
      <c r="B9024" s="15"/>
      <c r="C9024" s="9">
        <f>IFERROR(__xludf.DUMMYFUNCTION("""COMPUTED_VALUE"""),45049.4217414699)</f>
        <v>45049.42174</v>
      </c>
      <c r="D9024" s="15">
        <f>IFERROR(__xludf.DUMMYFUNCTION("""COMPUTED_VALUE"""),1.024)</f>
        <v>1.024</v>
      </c>
      <c r="E9024" s="16">
        <f>IFERROR(__xludf.DUMMYFUNCTION("""COMPUTED_VALUE"""),61.0)</f>
        <v>61</v>
      </c>
      <c r="F9024" s="19" t="str">
        <f>IFERROR(__xludf.DUMMYFUNCTION("""COMPUTED_VALUE"""),"BLUE")</f>
        <v>BLUE</v>
      </c>
      <c r="G9024" s="20" t="str">
        <f>IFERROR(__xludf.DUMMYFUNCTION("""COMPUTED_VALUE"""),"Uncle Sams Cider (04/04/2023)")</f>
        <v>Uncle Sams Cider (04/04/2023)</v>
      </c>
      <c r="H9024" s="19"/>
    </row>
    <row r="9025">
      <c r="A9025" s="9"/>
      <c r="B9025" s="15"/>
      <c r="C9025" s="9">
        <f>IFERROR(__xludf.DUMMYFUNCTION("""COMPUTED_VALUE"""),45049.4113213425)</f>
        <v>45049.41132</v>
      </c>
      <c r="D9025" s="15">
        <f>IFERROR(__xludf.DUMMYFUNCTION("""COMPUTED_VALUE"""),1.024)</f>
        <v>1.024</v>
      </c>
      <c r="E9025" s="16">
        <f>IFERROR(__xludf.DUMMYFUNCTION("""COMPUTED_VALUE"""),61.0)</f>
        <v>61</v>
      </c>
      <c r="F9025" s="19" t="str">
        <f>IFERROR(__xludf.DUMMYFUNCTION("""COMPUTED_VALUE"""),"BLUE")</f>
        <v>BLUE</v>
      </c>
      <c r="G9025" s="20" t="str">
        <f>IFERROR(__xludf.DUMMYFUNCTION("""COMPUTED_VALUE"""),"Uncle Sams Cider (04/04/2023)")</f>
        <v>Uncle Sams Cider (04/04/2023)</v>
      </c>
      <c r="H9025" s="19"/>
    </row>
    <row r="9026">
      <c r="A9026" s="9"/>
      <c r="B9026" s="15"/>
      <c r="C9026" s="9">
        <f>IFERROR(__xludf.DUMMYFUNCTION("""COMPUTED_VALUE"""),45049.4008999189)</f>
        <v>45049.4009</v>
      </c>
      <c r="D9026" s="15">
        <f>IFERROR(__xludf.DUMMYFUNCTION("""COMPUTED_VALUE"""),1.024)</f>
        <v>1.024</v>
      </c>
      <c r="E9026" s="16">
        <f>IFERROR(__xludf.DUMMYFUNCTION("""COMPUTED_VALUE"""),61.0)</f>
        <v>61</v>
      </c>
      <c r="F9026" s="19" t="str">
        <f>IFERROR(__xludf.DUMMYFUNCTION("""COMPUTED_VALUE"""),"BLUE")</f>
        <v>BLUE</v>
      </c>
      <c r="G9026" s="20" t="str">
        <f>IFERROR(__xludf.DUMMYFUNCTION("""COMPUTED_VALUE"""),"Uncle Sams Cider (04/04/2023)")</f>
        <v>Uncle Sams Cider (04/04/2023)</v>
      </c>
      <c r="H9026" s="19"/>
    </row>
    <row r="9027">
      <c r="A9027" s="9"/>
      <c r="B9027" s="15"/>
      <c r="C9027" s="9">
        <f>IFERROR(__xludf.DUMMYFUNCTION("""COMPUTED_VALUE"""),45049.3904781018)</f>
        <v>45049.39048</v>
      </c>
      <c r="D9027" s="15">
        <f>IFERROR(__xludf.DUMMYFUNCTION("""COMPUTED_VALUE"""),1.024)</f>
        <v>1.024</v>
      </c>
      <c r="E9027" s="16">
        <f>IFERROR(__xludf.DUMMYFUNCTION("""COMPUTED_VALUE"""),61.0)</f>
        <v>61</v>
      </c>
      <c r="F9027" s="19" t="str">
        <f>IFERROR(__xludf.DUMMYFUNCTION("""COMPUTED_VALUE"""),"BLUE")</f>
        <v>BLUE</v>
      </c>
      <c r="G9027" s="20" t="str">
        <f>IFERROR(__xludf.DUMMYFUNCTION("""COMPUTED_VALUE"""),"Uncle Sams Cider (04/04/2023)")</f>
        <v>Uncle Sams Cider (04/04/2023)</v>
      </c>
      <c r="H9027" s="19"/>
    </row>
    <row r="9028">
      <c r="A9028" s="9"/>
      <c r="B9028" s="15"/>
      <c r="C9028" s="9">
        <f>IFERROR(__xludf.DUMMYFUNCTION("""COMPUTED_VALUE"""),45049.3800586458)</f>
        <v>45049.38006</v>
      </c>
      <c r="D9028" s="15">
        <f>IFERROR(__xludf.DUMMYFUNCTION("""COMPUTED_VALUE"""),1.024)</f>
        <v>1.024</v>
      </c>
      <c r="E9028" s="16">
        <f>IFERROR(__xludf.DUMMYFUNCTION("""COMPUTED_VALUE"""),61.0)</f>
        <v>61</v>
      </c>
      <c r="F9028" s="19" t="str">
        <f>IFERROR(__xludf.DUMMYFUNCTION("""COMPUTED_VALUE"""),"BLUE")</f>
        <v>BLUE</v>
      </c>
      <c r="G9028" s="20" t="str">
        <f>IFERROR(__xludf.DUMMYFUNCTION("""COMPUTED_VALUE"""),"Uncle Sams Cider (04/04/2023)")</f>
        <v>Uncle Sams Cider (04/04/2023)</v>
      </c>
      <c r="H9028" s="19"/>
    </row>
    <row r="9029">
      <c r="A9029" s="9"/>
      <c r="B9029" s="15"/>
      <c r="C9029" s="9">
        <f>IFERROR(__xludf.DUMMYFUNCTION("""COMPUTED_VALUE"""),45049.3696381481)</f>
        <v>45049.36964</v>
      </c>
      <c r="D9029" s="15">
        <f>IFERROR(__xludf.DUMMYFUNCTION("""COMPUTED_VALUE"""),1.024)</f>
        <v>1.024</v>
      </c>
      <c r="E9029" s="16">
        <f>IFERROR(__xludf.DUMMYFUNCTION("""COMPUTED_VALUE"""),61.0)</f>
        <v>61</v>
      </c>
      <c r="F9029" s="19" t="str">
        <f>IFERROR(__xludf.DUMMYFUNCTION("""COMPUTED_VALUE"""),"BLUE")</f>
        <v>BLUE</v>
      </c>
      <c r="G9029" s="20" t="str">
        <f>IFERROR(__xludf.DUMMYFUNCTION("""COMPUTED_VALUE"""),"Uncle Sams Cider (04/04/2023)")</f>
        <v>Uncle Sams Cider (04/04/2023)</v>
      </c>
      <c r="H9029" s="19"/>
    </row>
    <row r="9030">
      <c r="A9030" s="9"/>
      <c r="B9030" s="15"/>
      <c r="C9030" s="9">
        <f>IFERROR(__xludf.DUMMYFUNCTION("""COMPUTED_VALUE"""),45049.3592066319)</f>
        <v>45049.35921</v>
      </c>
      <c r="D9030" s="15">
        <f>IFERROR(__xludf.DUMMYFUNCTION("""COMPUTED_VALUE"""),1.024)</f>
        <v>1.024</v>
      </c>
      <c r="E9030" s="16">
        <f>IFERROR(__xludf.DUMMYFUNCTION("""COMPUTED_VALUE"""),61.0)</f>
        <v>61</v>
      </c>
      <c r="F9030" s="19" t="str">
        <f>IFERROR(__xludf.DUMMYFUNCTION("""COMPUTED_VALUE"""),"BLUE")</f>
        <v>BLUE</v>
      </c>
      <c r="G9030" s="20" t="str">
        <f>IFERROR(__xludf.DUMMYFUNCTION("""COMPUTED_VALUE"""),"Uncle Sams Cider (04/04/2023)")</f>
        <v>Uncle Sams Cider (04/04/2023)</v>
      </c>
      <c r="H9030" s="19"/>
    </row>
    <row r="9031">
      <c r="A9031" s="9"/>
      <c r="B9031" s="15"/>
      <c r="C9031" s="9">
        <f>IFERROR(__xludf.DUMMYFUNCTION("""COMPUTED_VALUE"""),45049.348785625)</f>
        <v>45049.34879</v>
      </c>
      <c r="D9031" s="15">
        <f>IFERROR(__xludf.DUMMYFUNCTION("""COMPUTED_VALUE"""),1.024)</f>
        <v>1.024</v>
      </c>
      <c r="E9031" s="16">
        <f>IFERROR(__xludf.DUMMYFUNCTION("""COMPUTED_VALUE"""),61.0)</f>
        <v>61</v>
      </c>
      <c r="F9031" s="19" t="str">
        <f>IFERROR(__xludf.DUMMYFUNCTION("""COMPUTED_VALUE"""),"BLUE")</f>
        <v>BLUE</v>
      </c>
      <c r="G9031" s="20" t="str">
        <f>IFERROR(__xludf.DUMMYFUNCTION("""COMPUTED_VALUE"""),"Uncle Sams Cider (04/04/2023)")</f>
        <v>Uncle Sams Cider (04/04/2023)</v>
      </c>
      <c r="H9031" s="19"/>
    </row>
    <row r="9032">
      <c r="A9032" s="9"/>
      <c r="B9032" s="15"/>
      <c r="C9032" s="9">
        <f>IFERROR(__xludf.DUMMYFUNCTION("""COMPUTED_VALUE"""),45049.3383390046)</f>
        <v>45049.33834</v>
      </c>
      <c r="D9032" s="15">
        <f>IFERROR(__xludf.DUMMYFUNCTION("""COMPUTED_VALUE"""),1.024)</f>
        <v>1.024</v>
      </c>
      <c r="E9032" s="16">
        <f>IFERROR(__xludf.DUMMYFUNCTION("""COMPUTED_VALUE"""),61.0)</f>
        <v>61</v>
      </c>
      <c r="F9032" s="19" t="str">
        <f>IFERROR(__xludf.DUMMYFUNCTION("""COMPUTED_VALUE"""),"BLUE")</f>
        <v>BLUE</v>
      </c>
      <c r="G9032" s="20" t="str">
        <f>IFERROR(__xludf.DUMMYFUNCTION("""COMPUTED_VALUE"""),"Uncle Sams Cider (04/04/2023)")</f>
        <v>Uncle Sams Cider (04/04/2023)</v>
      </c>
      <c r="H9032" s="19"/>
    </row>
    <row r="9033">
      <c r="A9033" s="9"/>
      <c r="B9033" s="15"/>
      <c r="C9033" s="9">
        <f>IFERROR(__xludf.DUMMYFUNCTION("""COMPUTED_VALUE"""),45049.327914699)</f>
        <v>45049.32791</v>
      </c>
      <c r="D9033" s="15">
        <f>IFERROR(__xludf.DUMMYFUNCTION("""COMPUTED_VALUE"""),1.024)</f>
        <v>1.024</v>
      </c>
      <c r="E9033" s="16">
        <f>IFERROR(__xludf.DUMMYFUNCTION("""COMPUTED_VALUE"""),61.0)</f>
        <v>61</v>
      </c>
      <c r="F9033" s="19" t="str">
        <f>IFERROR(__xludf.DUMMYFUNCTION("""COMPUTED_VALUE"""),"BLUE")</f>
        <v>BLUE</v>
      </c>
      <c r="G9033" s="20" t="str">
        <f>IFERROR(__xludf.DUMMYFUNCTION("""COMPUTED_VALUE"""),"Uncle Sams Cider (04/04/2023)")</f>
        <v>Uncle Sams Cider (04/04/2023)</v>
      </c>
      <c r="H9033" s="19"/>
    </row>
    <row r="9034">
      <c r="A9034" s="9"/>
      <c r="B9034" s="15"/>
      <c r="C9034" s="9">
        <f>IFERROR(__xludf.DUMMYFUNCTION("""COMPUTED_VALUE"""),45049.3174950694)</f>
        <v>45049.3175</v>
      </c>
      <c r="D9034" s="15">
        <f>IFERROR(__xludf.DUMMYFUNCTION("""COMPUTED_VALUE"""),1.024)</f>
        <v>1.024</v>
      </c>
      <c r="E9034" s="16">
        <f>IFERROR(__xludf.DUMMYFUNCTION("""COMPUTED_VALUE"""),61.0)</f>
        <v>61</v>
      </c>
      <c r="F9034" s="19" t="str">
        <f>IFERROR(__xludf.DUMMYFUNCTION("""COMPUTED_VALUE"""),"BLUE")</f>
        <v>BLUE</v>
      </c>
      <c r="G9034" s="20" t="str">
        <f>IFERROR(__xludf.DUMMYFUNCTION("""COMPUTED_VALUE"""),"Uncle Sams Cider (04/04/2023)")</f>
        <v>Uncle Sams Cider (04/04/2023)</v>
      </c>
      <c r="H9034" s="19"/>
    </row>
    <row r="9035">
      <c r="A9035" s="9"/>
      <c r="B9035" s="15"/>
      <c r="C9035" s="9">
        <f>IFERROR(__xludf.DUMMYFUNCTION("""COMPUTED_VALUE"""),45049.3070740277)</f>
        <v>45049.30707</v>
      </c>
      <c r="D9035" s="15">
        <f>IFERROR(__xludf.DUMMYFUNCTION("""COMPUTED_VALUE"""),1.024)</f>
        <v>1.024</v>
      </c>
      <c r="E9035" s="16">
        <f>IFERROR(__xludf.DUMMYFUNCTION("""COMPUTED_VALUE"""),61.0)</f>
        <v>61</v>
      </c>
      <c r="F9035" s="19" t="str">
        <f>IFERROR(__xludf.DUMMYFUNCTION("""COMPUTED_VALUE"""),"BLUE")</f>
        <v>BLUE</v>
      </c>
      <c r="G9035" s="20" t="str">
        <f>IFERROR(__xludf.DUMMYFUNCTION("""COMPUTED_VALUE"""),"Uncle Sams Cider (04/04/2023)")</f>
        <v>Uncle Sams Cider (04/04/2023)</v>
      </c>
      <c r="H9035" s="19"/>
    </row>
    <row r="9036">
      <c r="A9036" s="9"/>
      <c r="B9036" s="15"/>
      <c r="C9036" s="9">
        <f>IFERROR(__xludf.DUMMYFUNCTION("""COMPUTED_VALUE"""),45049.2966518518)</f>
        <v>45049.29665</v>
      </c>
      <c r="D9036" s="15">
        <f>IFERROR(__xludf.DUMMYFUNCTION("""COMPUTED_VALUE"""),1.024)</f>
        <v>1.024</v>
      </c>
      <c r="E9036" s="16">
        <f>IFERROR(__xludf.DUMMYFUNCTION("""COMPUTED_VALUE"""),61.0)</f>
        <v>61</v>
      </c>
      <c r="F9036" s="19" t="str">
        <f>IFERROR(__xludf.DUMMYFUNCTION("""COMPUTED_VALUE"""),"BLUE")</f>
        <v>BLUE</v>
      </c>
      <c r="G9036" s="20" t="str">
        <f>IFERROR(__xludf.DUMMYFUNCTION("""COMPUTED_VALUE"""),"Uncle Sams Cider (04/04/2023)")</f>
        <v>Uncle Sams Cider (04/04/2023)</v>
      </c>
      <c r="H9036" s="19"/>
    </row>
    <row r="9037">
      <c r="A9037" s="9"/>
      <c r="B9037" s="15"/>
      <c r="C9037" s="9">
        <f>IFERROR(__xludf.DUMMYFUNCTION("""COMPUTED_VALUE"""),45049.2862166435)</f>
        <v>45049.28622</v>
      </c>
      <c r="D9037" s="15">
        <f>IFERROR(__xludf.DUMMYFUNCTION("""COMPUTED_VALUE"""),1.024)</f>
        <v>1.024</v>
      </c>
      <c r="E9037" s="16">
        <f>IFERROR(__xludf.DUMMYFUNCTION("""COMPUTED_VALUE"""),61.0)</f>
        <v>61</v>
      </c>
      <c r="F9037" s="19" t="str">
        <f>IFERROR(__xludf.DUMMYFUNCTION("""COMPUTED_VALUE"""),"BLUE")</f>
        <v>BLUE</v>
      </c>
      <c r="G9037" s="20" t="str">
        <f>IFERROR(__xludf.DUMMYFUNCTION("""COMPUTED_VALUE"""),"Uncle Sams Cider (04/04/2023)")</f>
        <v>Uncle Sams Cider (04/04/2023)</v>
      </c>
      <c r="H9037" s="19"/>
    </row>
    <row r="9038">
      <c r="A9038" s="9"/>
      <c r="B9038" s="15"/>
      <c r="C9038" s="9">
        <f>IFERROR(__xludf.DUMMYFUNCTION("""COMPUTED_VALUE"""),45049.2757955092)</f>
        <v>45049.2758</v>
      </c>
      <c r="D9038" s="15">
        <f>IFERROR(__xludf.DUMMYFUNCTION("""COMPUTED_VALUE"""),1.024)</f>
        <v>1.024</v>
      </c>
      <c r="E9038" s="16">
        <f>IFERROR(__xludf.DUMMYFUNCTION("""COMPUTED_VALUE"""),61.0)</f>
        <v>61</v>
      </c>
      <c r="F9038" s="19" t="str">
        <f>IFERROR(__xludf.DUMMYFUNCTION("""COMPUTED_VALUE"""),"BLUE")</f>
        <v>BLUE</v>
      </c>
      <c r="G9038" s="20" t="str">
        <f>IFERROR(__xludf.DUMMYFUNCTION("""COMPUTED_VALUE"""),"Uncle Sams Cider (04/04/2023)")</f>
        <v>Uncle Sams Cider (04/04/2023)</v>
      </c>
      <c r="H9038" s="19"/>
    </row>
    <row r="9039">
      <c r="A9039" s="9"/>
      <c r="B9039" s="15"/>
      <c r="C9039" s="9">
        <f>IFERROR(__xludf.DUMMYFUNCTION("""COMPUTED_VALUE"""),45049.2653613541)</f>
        <v>45049.26536</v>
      </c>
      <c r="D9039" s="15">
        <f>IFERROR(__xludf.DUMMYFUNCTION("""COMPUTED_VALUE"""),1.024)</f>
        <v>1.024</v>
      </c>
      <c r="E9039" s="16">
        <f>IFERROR(__xludf.DUMMYFUNCTION("""COMPUTED_VALUE"""),61.0)</f>
        <v>61</v>
      </c>
      <c r="F9039" s="19" t="str">
        <f>IFERROR(__xludf.DUMMYFUNCTION("""COMPUTED_VALUE"""),"BLUE")</f>
        <v>BLUE</v>
      </c>
      <c r="G9039" s="20" t="str">
        <f>IFERROR(__xludf.DUMMYFUNCTION("""COMPUTED_VALUE"""),"Uncle Sams Cider (04/04/2023)")</f>
        <v>Uncle Sams Cider (04/04/2023)</v>
      </c>
      <c r="H9039" s="19"/>
    </row>
    <row r="9040">
      <c r="A9040" s="9"/>
      <c r="B9040" s="15"/>
      <c r="C9040" s="9">
        <f>IFERROR(__xludf.DUMMYFUNCTION("""COMPUTED_VALUE"""),45049.2549291435)</f>
        <v>45049.25493</v>
      </c>
      <c r="D9040" s="15">
        <f>IFERROR(__xludf.DUMMYFUNCTION("""COMPUTED_VALUE"""),1.024)</f>
        <v>1.024</v>
      </c>
      <c r="E9040" s="16">
        <f>IFERROR(__xludf.DUMMYFUNCTION("""COMPUTED_VALUE"""),61.0)</f>
        <v>61</v>
      </c>
      <c r="F9040" s="19" t="str">
        <f>IFERROR(__xludf.DUMMYFUNCTION("""COMPUTED_VALUE"""),"BLUE")</f>
        <v>BLUE</v>
      </c>
      <c r="G9040" s="20" t="str">
        <f>IFERROR(__xludf.DUMMYFUNCTION("""COMPUTED_VALUE"""),"Uncle Sams Cider (04/04/2023)")</f>
        <v>Uncle Sams Cider (04/04/2023)</v>
      </c>
      <c r="H9040" s="19"/>
    </row>
    <row r="9041">
      <c r="A9041" s="9"/>
      <c r="B9041" s="15"/>
      <c r="C9041" s="9">
        <f>IFERROR(__xludf.DUMMYFUNCTION("""COMPUTED_VALUE"""),45049.2445074768)</f>
        <v>45049.24451</v>
      </c>
      <c r="D9041" s="15">
        <f>IFERROR(__xludf.DUMMYFUNCTION("""COMPUTED_VALUE"""),1.024)</f>
        <v>1.024</v>
      </c>
      <c r="E9041" s="16">
        <f>IFERROR(__xludf.DUMMYFUNCTION("""COMPUTED_VALUE"""),61.0)</f>
        <v>61</v>
      </c>
      <c r="F9041" s="19" t="str">
        <f>IFERROR(__xludf.DUMMYFUNCTION("""COMPUTED_VALUE"""),"BLUE")</f>
        <v>BLUE</v>
      </c>
      <c r="G9041" s="20" t="str">
        <f>IFERROR(__xludf.DUMMYFUNCTION("""COMPUTED_VALUE"""),"Uncle Sams Cider (04/04/2023)")</f>
        <v>Uncle Sams Cider (04/04/2023)</v>
      </c>
      <c r="H9041" s="19"/>
    </row>
    <row r="9042">
      <c r="A9042" s="9"/>
      <c r="B9042" s="15"/>
      <c r="C9042" s="9">
        <f>IFERROR(__xludf.DUMMYFUNCTION("""COMPUTED_VALUE"""),45049.2340743287)</f>
        <v>45049.23407</v>
      </c>
      <c r="D9042" s="15">
        <f>IFERROR(__xludf.DUMMYFUNCTION("""COMPUTED_VALUE"""),1.024)</f>
        <v>1.024</v>
      </c>
      <c r="E9042" s="16">
        <f>IFERROR(__xludf.DUMMYFUNCTION("""COMPUTED_VALUE"""),61.0)</f>
        <v>61</v>
      </c>
      <c r="F9042" s="19" t="str">
        <f>IFERROR(__xludf.DUMMYFUNCTION("""COMPUTED_VALUE"""),"BLUE")</f>
        <v>BLUE</v>
      </c>
      <c r="G9042" s="20" t="str">
        <f>IFERROR(__xludf.DUMMYFUNCTION("""COMPUTED_VALUE"""),"Uncle Sams Cider (04/04/2023)")</f>
        <v>Uncle Sams Cider (04/04/2023)</v>
      </c>
      <c r="H9042" s="19"/>
    </row>
    <row r="9043">
      <c r="A9043" s="9"/>
      <c r="B9043" s="15"/>
      <c r="C9043" s="9">
        <f>IFERROR(__xludf.DUMMYFUNCTION("""COMPUTED_VALUE"""),45049.2236529513)</f>
        <v>45049.22365</v>
      </c>
      <c r="D9043" s="15">
        <f>IFERROR(__xludf.DUMMYFUNCTION("""COMPUTED_VALUE"""),1.024)</f>
        <v>1.024</v>
      </c>
      <c r="E9043" s="16">
        <f>IFERROR(__xludf.DUMMYFUNCTION("""COMPUTED_VALUE"""),61.0)</f>
        <v>61</v>
      </c>
      <c r="F9043" s="19" t="str">
        <f>IFERROR(__xludf.DUMMYFUNCTION("""COMPUTED_VALUE"""),"BLUE")</f>
        <v>BLUE</v>
      </c>
      <c r="G9043" s="20" t="str">
        <f>IFERROR(__xludf.DUMMYFUNCTION("""COMPUTED_VALUE"""),"Uncle Sams Cider (04/04/2023)")</f>
        <v>Uncle Sams Cider (04/04/2023)</v>
      </c>
      <c r="H9043" s="19"/>
    </row>
    <row r="9044">
      <c r="A9044" s="9"/>
      <c r="B9044" s="15"/>
      <c r="C9044" s="9">
        <f>IFERROR(__xludf.DUMMYFUNCTION("""COMPUTED_VALUE"""),45049.2132201388)</f>
        <v>45049.21322</v>
      </c>
      <c r="D9044" s="15">
        <f>IFERROR(__xludf.DUMMYFUNCTION("""COMPUTED_VALUE"""),1.024)</f>
        <v>1.024</v>
      </c>
      <c r="E9044" s="16">
        <f>IFERROR(__xludf.DUMMYFUNCTION("""COMPUTED_VALUE"""),61.0)</f>
        <v>61</v>
      </c>
      <c r="F9044" s="19" t="str">
        <f>IFERROR(__xludf.DUMMYFUNCTION("""COMPUTED_VALUE"""),"BLUE")</f>
        <v>BLUE</v>
      </c>
      <c r="G9044" s="20" t="str">
        <f>IFERROR(__xludf.DUMMYFUNCTION("""COMPUTED_VALUE"""),"Uncle Sams Cider (04/04/2023)")</f>
        <v>Uncle Sams Cider (04/04/2023)</v>
      </c>
      <c r="H9044" s="19"/>
    </row>
    <row r="9045">
      <c r="A9045" s="9"/>
      <c r="B9045" s="15"/>
      <c r="C9045" s="9">
        <f>IFERROR(__xludf.DUMMYFUNCTION("""COMPUTED_VALUE"""),45049.2027860069)</f>
        <v>45049.20279</v>
      </c>
      <c r="D9045" s="15">
        <f>IFERROR(__xludf.DUMMYFUNCTION("""COMPUTED_VALUE"""),1.024)</f>
        <v>1.024</v>
      </c>
      <c r="E9045" s="16">
        <f>IFERROR(__xludf.DUMMYFUNCTION("""COMPUTED_VALUE"""),61.0)</f>
        <v>61</v>
      </c>
      <c r="F9045" s="19" t="str">
        <f>IFERROR(__xludf.DUMMYFUNCTION("""COMPUTED_VALUE"""),"BLUE")</f>
        <v>BLUE</v>
      </c>
      <c r="G9045" s="20" t="str">
        <f>IFERROR(__xludf.DUMMYFUNCTION("""COMPUTED_VALUE"""),"Uncle Sams Cider (04/04/2023)")</f>
        <v>Uncle Sams Cider (04/04/2023)</v>
      </c>
      <c r="H9045" s="19"/>
    </row>
    <row r="9046">
      <c r="A9046" s="9"/>
      <c r="B9046" s="15"/>
      <c r="C9046" s="9">
        <f>IFERROR(__xludf.DUMMYFUNCTION("""COMPUTED_VALUE"""),45049.1923667361)</f>
        <v>45049.19237</v>
      </c>
      <c r="D9046" s="15">
        <f>IFERROR(__xludf.DUMMYFUNCTION("""COMPUTED_VALUE"""),1.024)</f>
        <v>1.024</v>
      </c>
      <c r="E9046" s="16">
        <f>IFERROR(__xludf.DUMMYFUNCTION("""COMPUTED_VALUE"""),61.0)</f>
        <v>61</v>
      </c>
      <c r="F9046" s="19" t="str">
        <f>IFERROR(__xludf.DUMMYFUNCTION("""COMPUTED_VALUE"""),"BLUE")</f>
        <v>BLUE</v>
      </c>
      <c r="G9046" s="20" t="str">
        <f>IFERROR(__xludf.DUMMYFUNCTION("""COMPUTED_VALUE"""),"Uncle Sams Cider (04/04/2023)")</f>
        <v>Uncle Sams Cider (04/04/2023)</v>
      </c>
      <c r="H9046" s="19"/>
    </row>
    <row r="9047">
      <c r="A9047" s="9"/>
      <c r="B9047" s="15"/>
      <c r="C9047" s="9">
        <f>IFERROR(__xludf.DUMMYFUNCTION("""COMPUTED_VALUE"""),45049.1819463657)</f>
        <v>45049.18195</v>
      </c>
      <c r="D9047" s="15">
        <f>IFERROR(__xludf.DUMMYFUNCTION("""COMPUTED_VALUE"""),1.024)</f>
        <v>1.024</v>
      </c>
      <c r="E9047" s="16">
        <f>IFERROR(__xludf.DUMMYFUNCTION("""COMPUTED_VALUE"""),62.0)</f>
        <v>62</v>
      </c>
      <c r="F9047" s="19" t="str">
        <f>IFERROR(__xludf.DUMMYFUNCTION("""COMPUTED_VALUE"""),"BLUE")</f>
        <v>BLUE</v>
      </c>
      <c r="G9047" s="20" t="str">
        <f>IFERROR(__xludf.DUMMYFUNCTION("""COMPUTED_VALUE"""),"Uncle Sams Cider (04/04/2023)")</f>
        <v>Uncle Sams Cider (04/04/2023)</v>
      </c>
      <c r="H9047" s="19"/>
    </row>
    <row r="9048">
      <c r="A9048" s="9"/>
      <c r="B9048" s="15"/>
      <c r="C9048" s="9">
        <f>IFERROR(__xludf.DUMMYFUNCTION("""COMPUTED_VALUE"""),45049.1715227546)</f>
        <v>45049.17152</v>
      </c>
      <c r="D9048" s="15">
        <f>IFERROR(__xludf.DUMMYFUNCTION("""COMPUTED_VALUE"""),1.024)</f>
        <v>1.024</v>
      </c>
      <c r="E9048" s="16">
        <f>IFERROR(__xludf.DUMMYFUNCTION("""COMPUTED_VALUE"""),61.0)</f>
        <v>61</v>
      </c>
      <c r="F9048" s="19" t="str">
        <f>IFERROR(__xludf.DUMMYFUNCTION("""COMPUTED_VALUE"""),"BLUE")</f>
        <v>BLUE</v>
      </c>
      <c r="G9048" s="20" t="str">
        <f>IFERROR(__xludf.DUMMYFUNCTION("""COMPUTED_VALUE"""),"Uncle Sams Cider (04/04/2023)")</f>
        <v>Uncle Sams Cider (04/04/2023)</v>
      </c>
      <c r="H9048" s="19"/>
    </row>
    <row r="9049">
      <c r="A9049" s="9"/>
      <c r="B9049" s="15"/>
      <c r="C9049" s="9">
        <f>IFERROR(__xludf.DUMMYFUNCTION("""COMPUTED_VALUE"""),45049.1611032638)</f>
        <v>45049.1611</v>
      </c>
      <c r="D9049" s="15">
        <f>IFERROR(__xludf.DUMMYFUNCTION("""COMPUTED_VALUE"""),1.024)</f>
        <v>1.024</v>
      </c>
      <c r="E9049" s="16">
        <f>IFERROR(__xludf.DUMMYFUNCTION("""COMPUTED_VALUE"""),62.0)</f>
        <v>62</v>
      </c>
      <c r="F9049" s="19" t="str">
        <f>IFERROR(__xludf.DUMMYFUNCTION("""COMPUTED_VALUE"""),"BLUE")</f>
        <v>BLUE</v>
      </c>
      <c r="G9049" s="20" t="str">
        <f>IFERROR(__xludf.DUMMYFUNCTION("""COMPUTED_VALUE"""),"Uncle Sams Cider (04/04/2023)")</f>
        <v>Uncle Sams Cider (04/04/2023)</v>
      </c>
      <c r="H9049" s="19"/>
    </row>
    <row r="9050">
      <c r="A9050" s="9"/>
      <c r="B9050" s="15"/>
      <c r="C9050" s="9">
        <f>IFERROR(__xludf.DUMMYFUNCTION("""COMPUTED_VALUE"""),45049.1506704745)</f>
        <v>45049.15067</v>
      </c>
      <c r="D9050" s="15">
        <f>IFERROR(__xludf.DUMMYFUNCTION("""COMPUTED_VALUE"""),1.024)</f>
        <v>1.024</v>
      </c>
      <c r="E9050" s="16">
        <f>IFERROR(__xludf.DUMMYFUNCTION("""COMPUTED_VALUE"""),61.0)</f>
        <v>61</v>
      </c>
      <c r="F9050" s="19" t="str">
        <f>IFERROR(__xludf.DUMMYFUNCTION("""COMPUTED_VALUE"""),"BLUE")</f>
        <v>BLUE</v>
      </c>
      <c r="G9050" s="20" t="str">
        <f>IFERROR(__xludf.DUMMYFUNCTION("""COMPUTED_VALUE"""),"Uncle Sams Cider (04/04/2023)")</f>
        <v>Uncle Sams Cider (04/04/2023)</v>
      </c>
      <c r="H9050" s="19"/>
    </row>
    <row r="9051">
      <c r="A9051" s="9"/>
      <c r="B9051" s="15"/>
      <c r="C9051" s="9">
        <f>IFERROR(__xludf.DUMMYFUNCTION("""COMPUTED_VALUE"""),45049.1402498611)</f>
        <v>45049.14025</v>
      </c>
      <c r="D9051" s="15">
        <f>IFERROR(__xludf.DUMMYFUNCTION("""COMPUTED_VALUE"""),1.024)</f>
        <v>1.024</v>
      </c>
      <c r="E9051" s="16">
        <f>IFERROR(__xludf.DUMMYFUNCTION("""COMPUTED_VALUE"""),62.0)</f>
        <v>62</v>
      </c>
      <c r="F9051" s="19" t="str">
        <f>IFERROR(__xludf.DUMMYFUNCTION("""COMPUTED_VALUE"""),"BLUE")</f>
        <v>BLUE</v>
      </c>
      <c r="G9051" s="20" t="str">
        <f>IFERROR(__xludf.DUMMYFUNCTION("""COMPUTED_VALUE"""),"Uncle Sams Cider (04/04/2023)")</f>
        <v>Uncle Sams Cider (04/04/2023)</v>
      </c>
      <c r="H9051" s="19"/>
    </row>
    <row r="9052">
      <c r="A9052" s="9"/>
      <c r="B9052" s="15"/>
      <c r="C9052" s="9">
        <f>IFERROR(__xludf.DUMMYFUNCTION("""COMPUTED_VALUE"""),45049.1298289583)</f>
        <v>45049.12983</v>
      </c>
      <c r="D9052" s="15">
        <f>IFERROR(__xludf.DUMMYFUNCTION("""COMPUTED_VALUE"""),1.024)</f>
        <v>1.024</v>
      </c>
      <c r="E9052" s="16">
        <f>IFERROR(__xludf.DUMMYFUNCTION("""COMPUTED_VALUE"""),62.0)</f>
        <v>62</v>
      </c>
      <c r="F9052" s="19" t="str">
        <f>IFERROR(__xludf.DUMMYFUNCTION("""COMPUTED_VALUE"""),"BLUE")</f>
        <v>BLUE</v>
      </c>
      <c r="G9052" s="20" t="str">
        <f>IFERROR(__xludf.DUMMYFUNCTION("""COMPUTED_VALUE"""),"Uncle Sams Cider (04/04/2023)")</f>
        <v>Uncle Sams Cider (04/04/2023)</v>
      </c>
      <c r="H9052" s="19"/>
    </row>
    <row r="9053">
      <c r="A9053" s="9"/>
      <c r="B9053" s="15"/>
      <c r="C9053" s="9">
        <f>IFERROR(__xludf.DUMMYFUNCTION("""COMPUTED_VALUE"""),45049.1194079976)</f>
        <v>45049.11941</v>
      </c>
      <c r="D9053" s="15">
        <f>IFERROR(__xludf.DUMMYFUNCTION("""COMPUTED_VALUE"""),1.024)</f>
        <v>1.024</v>
      </c>
      <c r="E9053" s="16">
        <f>IFERROR(__xludf.DUMMYFUNCTION("""COMPUTED_VALUE"""),62.0)</f>
        <v>62</v>
      </c>
      <c r="F9053" s="19" t="str">
        <f>IFERROR(__xludf.DUMMYFUNCTION("""COMPUTED_VALUE"""),"BLUE")</f>
        <v>BLUE</v>
      </c>
      <c r="G9053" s="20" t="str">
        <f>IFERROR(__xludf.DUMMYFUNCTION("""COMPUTED_VALUE"""),"Uncle Sams Cider (04/04/2023)")</f>
        <v>Uncle Sams Cider (04/04/2023)</v>
      </c>
      <c r="H9053" s="19"/>
    </row>
    <row r="9054">
      <c r="A9054" s="9"/>
      <c r="B9054" s="15"/>
      <c r="C9054" s="9">
        <f>IFERROR(__xludf.DUMMYFUNCTION("""COMPUTED_VALUE"""),45049.1089861342)</f>
        <v>45049.10899</v>
      </c>
      <c r="D9054" s="15">
        <f>IFERROR(__xludf.DUMMYFUNCTION("""COMPUTED_VALUE"""),1.024)</f>
        <v>1.024</v>
      </c>
      <c r="E9054" s="16">
        <f>IFERROR(__xludf.DUMMYFUNCTION("""COMPUTED_VALUE"""),62.0)</f>
        <v>62</v>
      </c>
      <c r="F9054" s="19" t="str">
        <f>IFERROR(__xludf.DUMMYFUNCTION("""COMPUTED_VALUE"""),"BLUE")</f>
        <v>BLUE</v>
      </c>
      <c r="G9054" s="20" t="str">
        <f>IFERROR(__xludf.DUMMYFUNCTION("""COMPUTED_VALUE"""),"Uncle Sams Cider (04/04/2023)")</f>
        <v>Uncle Sams Cider (04/04/2023)</v>
      </c>
      <c r="H9054" s="19"/>
    </row>
    <row r="9055">
      <c r="A9055" s="9"/>
      <c r="B9055" s="15"/>
      <c r="C9055" s="9">
        <f>IFERROR(__xludf.DUMMYFUNCTION("""COMPUTED_VALUE"""),45049.0985529282)</f>
        <v>45049.09855</v>
      </c>
      <c r="D9055" s="15">
        <f>IFERROR(__xludf.DUMMYFUNCTION("""COMPUTED_VALUE"""),1.024)</f>
        <v>1.024</v>
      </c>
      <c r="E9055" s="16">
        <f>IFERROR(__xludf.DUMMYFUNCTION("""COMPUTED_VALUE"""),61.0)</f>
        <v>61</v>
      </c>
      <c r="F9055" s="19" t="str">
        <f>IFERROR(__xludf.DUMMYFUNCTION("""COMPUTED_VALUE"""),"BLUE")</f>
        <v>BLUE</v>
      </c>
      <c r="G9055" s="20" t="str">
        <f>IFERROR(__xludf.DUMMYFUNCTION("""COMPUTED_VALUE"""),"Uncle Sams Cider (04/04/2023)")</f>
        <v>Uncle Sams Cider (04/04/2023)</v>
      </c>
      <c r="H9055" s="19"/>
    </row>
    <row r="9056">
      <c r="A9056" s="9"/>
      <c r="B9056" s="15"/>
      <c r="C9056" s="9">
        <f>IFERROR(__xludf.DUMMYFUNCTION("""COMPUTED_VALUE"""),45049.0881319213)</f>
        <v>45049.08813</v>
      </c>
      <c r="D9056" s="15">
        <f>IFERROR(__xludf.DUMMYFUNCTION("""COMPUTED_VALUE"""),1.024)</f>
        <v>1.024</v>
      </c>
      <c r="E9056" s="16">
        <f>IFERROR(__xludf.DUMMYFUNCTION("""COMPUTED_VALUE"""),62.0)</f>
        <v>62</v>
      </c>
      <c r="F9056" s="19" t="str">
        <f>IFERROR(__xludf.DUMMYFUNCTION("""COMPUTED_VALUE"""),"BLUE")</f>
        <v>BLUE</v>
      </c>
      <c r="G9056" s="20" t="str">
        <f>IFERROR(__xludf.DUMMYFUNCTION("""COMPUTED_VALUE"""),"Uncle Sams Cider (04/04/2023)")</f>
        <v>Uncle Sams Cider (04/04/2023)</v>
      </c>
      <c r="H9056" s="19"/>
    </row>
    <row r="9057">
      <c r="A9057" s="9"/>
      <c r="B9057" s="15"/>
      <c r="C9057" s="9">
        <f>IFERROR(__xludf.DUMMYFUNCTION("""COMPUTED_VALUE"""),45049.077711875)</f>
        <v>45049.07771</v>
      </c>
      <c r="D9057" s="15">
        <f>IFERROR(__xludf.DUMMYFUNCTION("""COMPUTED_VALUE"""),1.024)</f>
        <v>1.024</v>
      </c>
      <c r="E9057" s="16">
        <f>IFERROR(__xludf.DUMMYFUNCTION("""COMPUTED_VALUE"""),62.0)</f>
        <v>62</v>
      </c>
      <c r="F9057" s="19" t="str">
        <f>IFERROR(__xludf.DUMMYFUNCTION("""COMPUTED_VALUE"""),"BLUE")</f>
        <v>BLUE</v>
      </c>
      <c r="G9057" s="20" t="str">
        <f>IFERROR(__xludf.DUMMYFUNCTION("""COMPUTED_VALUE"""),"Uncle Sams Cider (04/04/2023)")</f>
        <v>Uncle Sams Cider (04/04/2023)</v>
      </c>
      <c r="H9057" s="19"/>
    </row>
    <row r="9058">
      <c r="A9058" s="9"/>
      <c r="B9058" s="15"/>
      <c r="C9058" s="9">
        <f>IFERROR(__xludf.DUMMYFUNCTION("""COMPUTED_VALUE"""),45049.0672899884)</f>
        <v>45049.06729</v>
      </c>
      <c r="D9058" s="15">
        <f>IFERROR(__xludf.DUMMYFUNCTION("""COMPUTED_VALUE"""),1.024)</f>
        <v>1.024</v>
      </c>
      <c r="E9058" s="16">
        <f>IFERROR(__xludf.DUMMYFUNCTION("""COMPUTED_VALUE"""),62.0)</f>
        <v>62</v>
      </c>
      <c r="F9058" s="19" t="str">
        <f>IFERROR(__xludf.DUMMYFUNCTION("""COMPUTED_VALUE"""),"BLUE")</f>
        <v>BLUE</v>
      </c>
      <c r="G9058" s="20" t="str">
        <f>IFERROR(__xludf.DUMMYFUNCTION("""COMPUTED_VALUE"""),"Uncle Sams Cider (04/04/2023)")</f>
        <v>Uncle Sams Cider (04/04/2023)</v>
      </c>
      <c r="H9058" s="19"/>
    </row>
    <row r="9059">
      <c r="A9059" s="9"/>
      <c r="B9059" s="15"/>
      <c r="C9059" s="9">
        <f>IFERROR(__xludf.DUMMYFUNCTION("""COMPUTED_VALUE"""),45049.0568689004)</f>
        <v>45049.05687</v>
      </c>
      <c r="D9059" s="15">
        <f>IFERROR(__xludf.DUMMYFUNCTION("""COMPUTED_VALUE"""),1.024)</f>
        <v>1.024</v>
      </c>
      <c r="E9059" s="16">
        <f>IFERROR(__xludf.DUMMYFUNCTION("""COMPUTED_VALUE"""),62.0)</f>
        <v>62</v>
      </c>
      <c r="F9059" s="19" t="str">
        <f>IFERROR(__xludf.DUMMYFUNCTION("""COMPUTED_VALUE"""),"BLUE")</f>
        <v>BLUE</v>
      </c>
      <c r="G9059" s="20" t="str">
        <f>IFERROR(__xludf.DUMMYFUNCTION("""COMPUTED_VALUE"""),"Uncle Sams Cider (04/04/2023)")</f>
        <v>Uncle Sams Cider (04/04/2023)</v>
      </c>
      <c r="H9059" s="19"/>
    </row>
    <row r="9060">
      <c r="A9060" s="9"/>
      <c r="B9060" s="15"/>
      <c r="C9060" s="9">
        <f>IFERROR(__xludf.DUMMYFUNCTION("""COMPUTED_VALUE"""),45049.0464236226)</f>
        <v>45049.04642</v>
      </c>
      <c r="D9060" s="15">
        <f>IFERROR(__xludf.DUMMYFUNCTION("""COMPUTED_VALUE"""),1.024)</f>
        <v>1.024</v>
      </c>
      <c r="E9060" s="16">
        <f>IFERROR(__xludf.DUMMYFUNCTION("""COMPUTED_VALUE"""),62.0)</f>
        <v>62</v>
      </c>
      <c r="F9060" s="19" t="str">
        <f>IFERROR(__xludf.DUMMYFUNCTION("""COMPUTED_VALUE"""),"BLUE")</f>
        <v>BLUE</v>
      </c>
      <c r="G9060" s="20" t="str">
        <f>IFERROR(__xludf.DUMMYFUNCTION("""COMPUTED_VALUE"""),"Uncle Sams Cider (04/04/2023)")</f>
        <v>Uncle Sams Cider (04/04/2023)</v>
      </c>
      <c r="H9060" s="19"/>
    </row>
    <row r="9061">
      <c r="A9061" s="9"/>
      <c r="B9061" s="15"/>
      <c r="C9061" s="9">
        <f>IFERROR(__xludf.DUMMYFUNCTION("""COMPUTED_VALUE"""),45049.0360027199)</f>
        <v>45049.036</v>
      </c>
      <c r="D9061" s="15">
        <f>IFERROR(__xludf.DUMMYFUNCTION("""COMPUTED_VALUE"""),1.024)</f>
        <v>1.024</v>
      </c>
      <c r="E9061" s="16">
        <f>IFERROR(__xludf.DUMMYFUNCTION("""COMPUTED_VALUE"""),62.0)</f>
        <v>62</v>
      </c>
      <c r="F9061" s="19" t="str">
        <f>IFERROR(__xludf.DUMMYFUNCTION("""COMPUTED_VALUE"""),"BLUE")</f>
        <v>BLUE</v>
      </c>
      <c r="G9061" s="20" t="str">
        <f>IFERROR(__xludf.DUMMYFUNCTION("""COMPUTED_VALUE"""),"Uncle Sams Cider (04/04/2023)")</f>
        <v>Uncle Sams Cider (04/04/2023)</v>
      </c>
      <c r="H9061" s="19"/>
    </row>
    <row r="9062">
      <c r="A9062" s="9"/>
      <c r="B9062" s="15"/>
      <c r="C9062" s="9">
        <f>IFERROR(__xludf.DUMMYFUNCTION("""COMPUTED_VALUE"""),45049.0255577083)</f>
        <v>45049.02556</v>
      </c>
      <c r="D9062" s="15">
        <f>IFERROR(__xludf.DUMMYFUNCTION("""COMPUTED_VALUE"""),1.024)</f>
        <v>1.024</v>
      </c>
      <c r="E9062" s="16">
        <f>IFERROR(__xludf.DUMMYFUNCTION("""COMPUTED_VALUE"""),62.0)</f>
        <v>62</v>
      </c>
      <c r="F9062" s="19" t="str">
        <f>IFERROR(__xludf.DUMMYFUNCTION("""COMPUTED_VALUE"""),"BLUE")</f>
        <v>BLUE</v>
      </c>
      <c r="G9062" s="20" t="str">
        <f>IFERROR(__xludf.DUMMYFUNCTION("""COMPUTED_VALUE"""),"Uncle Sams Cider (04/04/2023)")</f>
        <v>Uncle Sams Cider (04/04/2023)</v>
      </c>
      <c r="H9062" s="19"/>
    </row>
    <row r="9063">
      <c r="A9063" s="9"/>
      <c r="B9063" s="15"/>
      <c r="C9063" s="9">
        <f>IFERROR(__xludf.DUMMYFUNCTION("""COMPUTED_VALUE"""),45049.0151259953)</f>
        <v>45049.01513</v>
      </c>
      <c r="D9063" s="15">
        <f>IFERROR(__xludf.DUMMYFUNCTION("""COMPUTED_VALUE"""),1.024)</f>
        <v>1.024</v>
      </c>
      <c r="E9063" s="16">
        <f>IFERROR(__xludf.DUMMYFUNCTION("""COMPUTED_VALUE"""),62.0)</f>
        <v>62</v>
      </c>
      <c r="F9063" s="19" t="str">
        <f>IFERROR(__xludf.DUMMYFUNCTION("""COMPUTED_VALUE"""),"BLUE")</f>
        <v>BLUE</v>
      </c>
      <c r="G9063" s="20" t="str">
        <f>IFERROR(__xludf.DUMMYFUNCTION("""COMPUTED_VALUE"""),"Uncle Sams Cider (04/04/2023)")</f>
        <v>Uncle Sams Cider (04/04/2023)</v>
      </c>
      <c r="H9063" s="19"/>
    </row>
    <row r="9064">
      <c r="A9064" s="9"/>
      <c r="B9064" s="15"/>
      <c r="C9064" s="9">
        <f>IFERROR(__xludf.DUMMYFUNCTION("""COMPUTED_VALUE"""),45049.0047050462)</f>
        <v>45049.00471</v>
      </c>
      <c r="D9064" s="15">
        <f>IFERROR(__xludf.DUMMYFUNCTION("""COMPUTED_VALUE"""),1.024)</f>
        <v>1.024</v>
      </c>
      <c r="E9064" s="16">
        <f>IFERROR(__xludf.DUMMYFUNCTION("""COMPUTED_VALUE"""),62.0)</f>
        <v>62</v>
      </c>
      <c r="F9064" s="19" t="str">
        <f>IFERROR(__xludf.DUMMYFUNCTION("""COMPUTED_VALUE"""),"BLUE")</f>
        <v>BLUE</v>
      </c>
      <c r="G9064" s="20" t="str">
        <f>IFERROR(__xludf.DUMMYFUNCTION("""COMPUTED_VALUE"""),"Uncle Sams Cider (04/04/2023)")</f>
        <v>Uncle Sams Cider (04/04/2023)</v>
      </c>
      <c r="H9064" s="19"/>
    </row>
    <row r="9065">
      <c r="A9065" s="9"/>
      <c r="B9065" s="15"/>
      <c r="C9065" s="9">
        <f>IFERROR(__xludf.DUMMYFUNCTION("""COMPUTED_VALUE"""),45048.9942836689)</f>
        <v>45048.99428</v>
      </c>
      <c r="D9065" s="15">
        <f>IFERROR(__xludf.DUMMYFUNCTION("""COMPUTED_VALUE"""),1.025)</f>
        <v>1.025</v>
      </c>
      <c r="E9065" s="16">
        <f>IFERROR(__xludf.DUMMYFUNCTION("""COMPUTED_VALUE"""),62.0)</f>
        <v>62</v>
      </c>
      <c r="F9065" s="19" t="str">
        <f>IFERROR(__xludf.DUMMYFUNCTION("""COMPUTED_VALUE"""),"BLUE")</f>
        <v>BLUE</v>
      </c>
      <c r="G9065" s="20" t="str">
        <f>IFERROR(__xludf.DUMMYFUNCTION("""COMPUTED_VALUE"""),"Uncle Sams Cider (04/04/2023)")</f>
        <v>Uncle Sams Cider (04/04/2023)</v>
      </c>
      <c r="H9065" s="19"/>
    </row>
    <row r="9066">
      <c r="A9066" s="9"/>
      <c r="B9066" s="15"/>
      <c r="C9066" s="9">
        <f>IFERROR(__xludf.DUMMYFUNCTION("""COMPUTED_VALUE"""),45048.9838622685)</f>
        <v>45048.98386</v>
      </c>
      <c r="D9066" s="15">
        <f>IFERROR(__xludf.DUMMYFUNCTION("""COMPUTED_VALUE"""),1.024)</f>
        <v>1.024</v>
      </c>
      <c r="E9066" s="16">
        <f>IFERROR(__xludf.DUMMYFUNCTION("""COMPUTED_VALUE"""),62.0)</f>
        <v>62</v>
      </c>
      <c r="F9066" s="19" t="str">
        <f>IFERROR(__xludf.DUMMYFUNCTION("""COMPUTED_VALUE"""),"BLUE")</f>
        <v>BLUE</v>
      </c>
      <c r="G9066" s="20" t="str">
        <f>IFERROR(__xludf.DUMMYFUNCTION("""COMPUTED_VALUE"""),"Uncle Sams Cider (04/04/2023)")</f>
        <v>Uncle Sams Cider (04/04/2023)</v>
      </c>
      <c r="H9066" s="19"/>
    </row>
    <row r="9067">
      <c r="A9067" s="9"/>
      <c r="B9067" s="15"/>
      <c r="C9067" s="9">
        <f>IFERROR(__xludf.DUMMYFUNCTION("""COMPUTED_VALUE"""),45048.9734292361)</f>
        <v>45048.97343</v>
      </c>
      <c r="D9067" s="15">
        <f>IFERROR(__xludf.DUMMYFUNCTION("""COMPUTED_VALUE"""),1.025)</f>
        <v>1.025</v>
      </c>
      <c r="E9067" s="16">
        <f>IFERROR(__xludf.DUMMYFUNCTION("""COMPUTED_VALUE"""),62.0)</f>
        <v>62</v>
      </c>
      <c r="F9067" s="19" t="str">
        <f>IFERROR(__xludf.DUMMYFUNCTION("""COMPUTED_VALUE"""),"BLUE")</f>
        <v>BLUE</v>
      </c>
      <c r="G9067" s="20" t="str">
        <f>IFERROR(__xludf.DUMMYFUNCTION("""COMPUTED_VALUE"""),"Uncle Sams Cider (04/04/2023)")</f>
        <v>Uncle Sams Cider (04/04/2023)</v>
      </c>
      <c r="H9067" s="19"/>
    </row>
    <row r="9068">
      <c r="A9068" s="9"/>
      <c r="B9068" s="15"/>
      <c r="C9068" s="9">
        <f>IFERROR(__xludf.DUMMYFUNCTION("""COMPUTED_VALUE"""),45048.9630061111)</f>
        <v>45048.96301</v>
      </c>
      <c r="D9068" s="15">
        <f>IFERROR(__xludf.DUMMYFUNCTION("""COMPUTED_VALUE"""),1.024)</f>
        <v>1.024</v>
      </c>
      <c r="E9068" s="16">
        <f>IFERROR(__xludf.DUMMYFUNCTION("""COMPUTED_VALUE"""),62.0)</f>
        <v>62</v>
      </c>
      <c r="F9068" s="19" t="str">
        <f>IFERROR(__xludf.DUMMYFUNCTION("""COMPUTED_VALUE"""),"BLUE")</f>
        <v>BLUE</v>
      </c>
      <c r="G9068" s="20" t="str">
        <f>IFERROR(__xludf.DUMMYFUNCTION("""COMPUTED_VALUE"""),"Uncle Sams Cider (04/04/2023)")</f>
        <v>Uncle Sams Cider (04/04/2023)</v>
      </c>
      <c r="H9068" s="19"/>
    </row>
    <row r="9069">
      <c r="A9069" s="9"/>
      <c r="B9069" s="15"/>
      <c r="C9069" s="9">
        <f>IFERROR(__xludf.DUMMYFUNCTION("""COMPUTED_VALUE"""),45048.9525853472)</f>
        <v>45048.95259</v>
      </c>
      <c r="D9069" s="15">
        <f>IFERROR(__xludf.DUMMYFUNCTION("""COMPUTED_VALUE"""),1.024)</f>
        <v>1.024</v>
      </c>
      <c r="E9069" s="16">
        <f>IFERROR(__xludf.DUMMYFUNCTION("""COMPUTED_VALUE"""),62.0)</f>
        <v>62</v>
      </c>
      <c r="F9069" s="19" t="str">
        <f>IFERROR(__xludf.DUMMYFUNCTION("""COMPUTED_VALUE"""),"BLUE")</f>
        <v>BLUE</v>
      </c>
      <c r="G9069" s="20" t="str">
        <f>IFERROR(__xludf.DUMMYFUNCTION("""COMPUTED_VALUE"""),"Uncle Sams Cider (04/04/2023)")</f>
        <v>Uncle Sams Cider (04/04/2023)</v>
      </c>
      <c r="H9069" s="19"/>
    </row>
    <row r="9070">
      <c r="A9070" s="9"/>
      <c r="B9070" s="15"/>
      <c r="C9070" s="9">
        <f>IFERROR(__xludf.DUMMYFUNCTION("""COMPUTED_VALUE"""),45048.9421523263)</f>
        <v>45048.94215</v>
      </c>
      <c r="D9070" s="15">
        <f>IFERROR(__xludf.DUMMYFUNCTION("""COMPUTED_VALUE"""),1.024)</f>
        <v>1.024</v>
      </c>
      <c r="E9070" s="16">
        <f>IFERROR(__xludf.DUMMYFUNCTION("""COMPUTED_VALUE"""),62.0)</f>
        <v>62</v>
      </c>
      <c r="F9070" s="19" t="str">
        <f>IFERROR(__xludf.DUMMYFUNCTION("""COMPUTED_VALUE"""),"BLUE")</f>
        <v>BLUE</v>
      </c>
      <c r="G9070" s="20" t="str">
        <f>IFERROR(__xludf.DUMMYFUNCTION("""COMPUTED_VALUE"""),"Uncle Sams Cider (04/04/2023)")</f>
        <v>Uncle Sams Cider (04/04/2023)</v>
      </c>
      <c r="H9070" s="19"/>
    </row>
    <row r="9071">
      <c r="A9071" s="9"/>
      <c r="B9071" s="15"/>
      <c r="C9071" s="9">
        <f>IFERROR(__xludf.DUMMYFUNCTION("""COMPUTED_VALUE"""),45048.9317191666)</f>
        <v>45048.93172</v>
      </c>
      <c r="D9071" s="15">
        <f>IFERROR(__xludf.DUMMYFUNCTION("""COMPUTED_VALUE"""),1.024)</f>
        <v>1.024</v>
      </c>
      <c r="E9071" s="16">
        <f>IFERROR(__xludf.DUMMYFUNCTION("""COMPUTED_VALUE"""),62.0)</f>
        <v>62</v>
      </c>
      <c r="F9071" s="19" t="str">
        <f>IFERROR(__xludf.DUMMYFUNCTION("""COMPUTED_VALUE"""),"BLUE")</f>
        <v>BLUE</v>
      </c>
      <c r="G9071" s="20" t="str">
        <f>IFERROR(__xludf.DUMMYFUNCTION("""COMPUTED_VALUE"""),"Uncle Sams Cider (04/04/2023)")</f>
        <v>Uncle Sams Cider (04/04/2023)</v>
      </c>
      <c r="H9071" s="19"/>
    </row>
    <row r="9072">
      <c r="A9072" s="9"/>
      <c r="B9072" s="15"/>
      <c r="C9072" s="9">
        <f>IFERROR(__xludf.DUMMYFUNCTION("""COMPUTED_VALUE"""),45048.9212864699)</f>
        <v>45048.92129</v>
      </c>
      <c r="D9072" s="15">
        <f>IFERROR(__xludf.DUMMYFUNCTION("""COMPUTED_VALUE"""),1.025)</f>
        <v>1.025</v>
      </c>
      <c r="E9072" s="16">
        <f>IFERROR(__xludf.DUMMYFUNCTION("""COMPUTED_VALUE"""),62.0)</f>
        <v>62</v>
      </c>
      <c r="F9072" s="19" t="str">
        <f>IFERROR(__xludf.DUMMYFUNCTION("""COMPUTED_VALUE"""),"BLUE")</f>
        <v>BLUE</v>
      </c>
      <c r="G9072" s="20" t="str">
        <f>IFERROR(__xludf.DUMMYFUNCTION("""COMPUTED_VALUE"""),"Uncle Sams Cider (04/04/2023)")</f>
        <v>Uncle Sams Cider (04/04/2023)</v>
      </c>
      <c r="H9072" s="19"/>
    </row>
    <row r="9073">
      <c r="A9073" s="9"/>
      <c r="B9073" s="15"/>
      <c r="C9073" s="9">
        <f>IFERROR(__xludf.DUMMYFUNCTION("""COMPUTED_VALUE"""),45048.9108660532)</f>
        <v>45048.91087</v>
      </c>
      <c r="D9073" s="15">
        <f>IFERROR(__xludf.DUMMYFUNCTION("""COMPUTED_VALUE"""),1.024)</f>
        <v>1.024</v>
      </c>
      <c r="E9073" s="16">
        <f>IFERROR(__xludf.DUMMYFUNCTION("""COMPUTED_VALUE"""),62.0)</f>
        <v>62</v>
      </c>
      <c r="F9073" s="19" t="str">
        <f>IFERROR(__xludf.DUMMYFUNCTION("""COMPUTED_VALUE"""),"BLUE")</f>
        <v>BLUE</v>
      </c>
      <c r="G9073" s="20" t="str">
        <f>IFERROR(__xludf.DUMMYFUNCTION("""COMPUTED_VALUE"""),"Uncle Sams Cider (04/04/2023)")</f>
        <v>Uncle Sams Cider (04/04/2023)</v>
      </c>
      <c r="H9073" s="19"/>
    </row>
    <row r="9074">
      <c r="A9074" s="9"/>
      <c r="B9074" s="15"/>
      <c r="C9074" s="9">
        <f>IFERROR(__xludf.DUMMYFUNCTION("""COMPUTED_VALUE"""),45048.9004441088)</f>
        <v>45048.90044</v>
      </c>
      <c r="D9074" s="15">
        <f>IFERROR(__xludf.DUMMYFUNCTION("""COMPUTED_VALUE"""),1.024)</f>
        <v>1.024</v>
      </c>
      <c r="E9074" s="16">
        <f>IFERROR(__xludf.DUMMYFUNCTION("""COMPUTED_VALUE"""),62.0)</f>
        <v>62</v>
      </c>
      <c r="F9074" s="19" t="str">
        <f>IFERROR(__xludf.DUMMYFUNCTION("""COMPUTED_VALUE"""),"BLUE")</f>
        <v>BLUE</v>
      </c>
      <c r="G9074" s="20" t="str">
        <f>IFERROR(__xludf.DUMMYFUNCTION("""COMPUTED_VALUE"""),"Uncle Sams Cider (04/04/2023)")</f>
        <v>Uncle Sams Cider (04/04/2023)</v>
      </c>
      <c r="H9074" s="19"/>
    </row>
    <row r="9075">
      <c r="A9075" s="9"/>
      <c r="B9075" s="15"/>
      <c r="C9075" s="9">
        <f>IFERROR(__xludf.DUMMYFUNCTION("""COMPUTED_VALUE"""),45048.8900106828)</f>
        <v>45048.89001</v>
      </c>
      <c r="D9075" s="15">
        <f>IFERROR(__xludf.DUMMYFUNCTION("""COMPUTED_VALUE"""),1.025)</f>
        <v>1.025</v>
      </c>
      <c r="E9075" s="16">
        <f>IFERROR(__xludf.DUMMYFUNCTION("""COMPUTED_VALUE"""),62.0)</f>
        <v>62</v>
      </c>
      <c r="F9075" s="19" t="str">
        <f>IFERROR(__xludf.DUMMYFUNCTION("""COMPUTED_VALUE"""),"BLUE")</f>
        <v>BLUE</v>
      </c>
      <c r="G9075" s="20" t="str">
        <f>IFERROR(__xludf.DUMMYFUNCTION("""COMPUTED_VALUE"""),"Uncle Sams Cider (04/04/2023)")</f>
        <v>Uncle Sams Cider (04/04/2023)</v>
      </c>
      <c r="H9075" s="19"/>
    </row>
    <row r="9076">
      <c r="A9076" s="9"/>
      <c r="B9076" s="15"/>
      <c r="C9076" s="9">
        <f>IFERROR(__xludf.DUMMYFUNCTION("""COMPUTED_VALUE"""),45048.8795663541)</f>
        <v>45048.87957</v>
      </c>
      <c r="D9076" s="15">
        <f>IFERROR(__xludf.DUMMYFUNCTION("""COMPUTED_VALUE"""),1.024)</f>
        <v>1.024</v>
      </c>
      <c r="E9076" s="16">
        <f>IFERROR(__xludf.DUMMYFUNCTION("""COMPUTED_VALUE"""),62.0)</f>
        <v>62</v>
      </c>
      <c r="F9076" s="19" t="str">
        <f>IFERROR(__xludf.DUMMYFUNCTION("""COMPUTED_VALUE"""),"BLUE")</f>
        <v>BLUE</v>
      </c>
      <c r="G9076" s="20" t="str">
        <f>IFERROR(__xludf.DUMMYFUNCTION("""COMPUTED_VALUE"""),"Uncle Sams Cider (04/04/2023)")</f>
        <v>Uncle Sams Cider (04/04/2023)</v>
      </c>
      <c r="H9076" s="19"/>
    </row>
    <row r="9077">
      <c r="A9077" s="9"/>
      <c r="B9077" s="15"/>
      <c r="C9077" s="9">
        <f>IFERROR(__xludf.DUMMYFUNCTION("""COMPUTED_VALUE"""),45048.8691460301)</f>
        <v>45048.86915</v>
      </c>
      <c r="D9077" s="15">
        <f>IFERROR(__xludf.DUMMYFUNCTION("""COMPUTED_VALUE"""),1.024)</f>
        <v>1.024</v>
      </c>
      <c r="E9077" s="16">
        <f>IFERROR(__xludf.DUMMYFUNCTION("""COMPUTED_VALUE"""),62.0)</f>
        <v>62</v>
      </c>
      <c r="F9077" s="19" t="str">
        <f>IFERROR(__xludf.DUMMYFUNCTION("""COMPUTED_VALUE"""),"BLUE")</f>
        <v>BLUE</v>
      </c>
      <c r="G9077" s="20" t="str">
        <f>IFERROR(__xludf.DUMMYFUNCTION("""COMPUTED_VALUE"""),"Uncle Sams Cider (04/04/2023)")</f>
        <v>Uncle Sams Cider (04/04/2023)</v>
      </c>
      <c r="H9077" s="19"/>
    </row>
    <row r="9078">
      <c r="A9078" s="9"/>
      <c r="B9078" s="15"/>
      <c r="C9078" s="9">
        <f>IFERROR(__xludf.DUMMYFUNCTION("""COMPUTED_VALUE"""),45048.8587240046)</f>
        <v>45048.85872</v>
      </c>
      <c r="D9078" s="15">
        <f>IFERROR(__xludf.DUMMYFUNCTION("""COMPUTED_VALUE"""),1.025)</f>
        <v>1.025</v>
      </c>
      <c r="E9078" s="16">
        <f>IFERROR(__xludf.DUMMYFUNCTION("""COMPUTED_VALUE"""),62.0)</f>
        <v>62</v>
      </c>
      <c r="F9078" s="19" t="str">
        <f>IFERROR(__xludf.DUMMYFUNCTION("""COMPUTED_VALUE"""),"BLUE")</f>
        <v>BLUE</v>
      </c>
      <c r="G9078" s="20" t="str">
        <f>IFERROR(__xludf.DUMMYFUNCTION("""COMPUTED_VALUE"""),"Uncle Sams Cider (04/04/2023)")</f>
        <v>Uncle Sams Cider (04/04/2023)</v>
      </c>
      <c r="H9078" s="19"/>
    </row>
    <row r="9079">
      <c r="A9079" s="9"/>
      <c r="B9079" s="15"/>
      <c r="C9079" s="9">
        <f>IFERROR(__xludf.DUMMYFUNCTION("""COMPUTED_VALUE"""),45048.8483026041)</f>
        <v>45048.8483</v>
      </c>
      <c r="D9079" s="15">
        <f>IFERROR(__xludf.DUMMYFUNCTION("""COMPUTED_VALUE"""),1.025)</f>
        <v>1.025</v>
      </c>
      <c r="E9079" s="16">
        <f>IFERROR(__xludf.DUMMYFUNCTION("""COMPUTED_VALUE"""),62.0)</f>
        <v>62</v>
      </c>
      <c r="F9079" s="19" t="str">
        <f>IFERROR(__xludf.DUMMYFUNCTION("""COMPUTED_VALUE"""),"BLUE")</f>
        <v>BLUE</v>
      </c>
      <c r="G9079" s="20" t="str">
        <f>IFERROR(__xludf.DUMMYFUNCTION("""COMPUTED_VALUE"""),"Uncle Sams Cider (04/04/2023)")</f>
        <v>Uncle Sams Cider (04/04/2023)</v>
      </c>
      <c r="H9079" s="19"/>
    </row>
    <row r="9080">
      <c r="A9080" s="9"/>
      <c r="B9080" s="15"/>
      <c r="C9080" s="9">
        <f>IFERROR(__xludf.DUMMYFUNCTION("""COMPUTED_VALUE"""),45048.8378804513)</f>
        <v>45048.83788</v>
      </c>
      <c r="D9080" s="15">
        <f>IFERROR(__xludf.DUMMYFUNCTION("""COMPUTED_VALUE"""),1.025)</f>
        <v>1.025</v>
      </c>
      <c r="E9080" s="16">
        <f>IFERROR(__xludf.DUMMYFUNCTION("""COMPUTED_VALUE"""),62.0)</f>
        <v>62</v>
      </c>
      <c r="F9080" s="19" t="str">
        <f>IFERROR(__xludf.DUMMYFUNCTION("""COMPUTED_VALUE"""),"BLUE")</f>
        <v>BLUE</v>
      </c>
      <c r="G9080" s="20" t="str">
        <f>IFERROR(__xludf.DUMMYFUNCTION("""COMPUTED_VALUE"""),"Uncle Sams Cider (04/04/2023)")</f>
        <v>Uncle Sams Cider (04/04/2023)</v>
      </c>
      <c r="H9080" s="19"/>
    </row>
    <row r="9081">
      <c r="A9081" s="9"/>
      <c r="B9081" s="15"/>
      <c r="C9081" s="9">
        <f>IFERROR(__xludf.DUMMYFUNCTION("""COMPUTED_VALUE"""),45048.8274596759)</f>
        <v>45048.82746</v>
      </c>
      <c r="D9081" s="15">
        <f>IFERROR(__xludf.DUMMYFUNCTION("""COMPUTED_VALUE"""),1.025)</f>
        <v>1.025</v>
      </c>
      <c r="E9081" s="16">
        <f>IFERROR(__xludf.DUMMYFUNCTION("""COMPUTED_VALUE"""),62.0)</f>
        <v>62</v>
      </c>
      <c r="F9081" s="19" t="str">
        <f>IFERROR(__xludf.DUMMYFUNCTION("""COMPUTED_VALUE"""),"BLUE")</f>
        <v>BLUE</v>
      </c>
      <c r="G9081" s="20" t="str">
        <f>IFERROR(__xludf.DUMMYFUNCTION("""COMPUTED_VALUE"""),"Uncle Sams Cider (04/04/2023)")</f>
        <v>Uncle Sams Cider (04/04/2023)</v>
      </c>
      <c r="H9081" s="19"/>
    </row>
    <row r="9082">
      <c r="A9082" s="9"/>
      <c r="B9082" s="15"/>
      <c r="C9082" s="9">
        <f>IFERROR(__xludf.DUMMYFUNCTION("""COMPUTED_VALUE"""),45048.8170029513)</f>
        <v>45048.817</v>
      </c>
      <c r="D9082" s="15">
        <f>IFERROR(__xludf.DUMMYFUNCTION("""COMPUTED_VALUE"""),1.025)</f>
        <v>1.025</v>
      </c>
      <c r="E9082" s="16">
        <f>IFERROR(__xludf.DUMMYFUNCTION("""COMPUTED_VALUE"""),62.0)</f>
        <v>62</v>
      </c>
      <c r="F9082" s="19" t="str">
        <f>IFERROR(__xludf.DUMMYFUNCTION("""COMPUTED_VALUE"""),"BLUE")</f>
        <v>BLUE</v>
      </c>
      <c r="G9082" s="20" t="str">
        <f>IFERROR(__xludf.DUMMYFUNCTION("""COMPUTED_VALUE"""),"Uncle Sams Cider (04/04/2023)")</f>
        <v>Uncle Sams Cider (04/04/2023)</v>
      </c>
      <c r="H9082" s="19"/>
    </row>
    <row r="9083">
      <c r="A9083" s="9"/>
      <c r="B9083" s="15"/>
      <c r="C9083" s="9">
        <f>IFERROR(__xludf.DUMMYFUNCTION("""COMPUTED_VALUE"""),45048.806583206)</f>
        <v>45048.80658</v>
      </c>
      <c r="D9083" s="15">
        <f>IFERROR(__xludf.DUMMYFUNCTION("""COMPUTED_VALUE"""),1.025)</f>
        <v>1.025</v>
      </c>
      <c r="E9083" s="16">
        <f>IFERROR(__xludf.DUMMYFUNCTION("""COMPUTED_VALUE"""),62.0)</f>
        <v>62</v>
      </c>
      <c r="F9083" s="19" t="str">
        <f>IFERROR(__xludf.DUMMYFUNCTION("""COMPUTED_VALUE"""),"BLUE")</f>
        <v>BLUE</v>
      </c>
      <c r="G9083" s="20" t="str">
        <f>IFERROR(__xludf.DUMMYFUNCTION("""COMPUTED_VALUE"""),"Uncle Sams Cider (04/04/2023)")</f>
        <v>Uncle Sams Cider (04/04/2023)</v>
      </c>
      <c r="H9083" s="19"/>
    </row>
    <row r="9084">
      <c r="A9084" s="9"/>
      <c r="B9084" s="15"/>
      <c r="C9084" s="9">
        <f>IFERROR(__xludf.DUMMYFUNCTION("""COMPUTED_VALUE"""),45048.7961635879)</f>
        <v>45048.79616</v>
      </c>
      <c r="D9084" s="15">
        <f>IFERROR(__xludf.DUMMYFUNCTION("""COMPUTED_VALUE"""),1.025)</f>
        <v>1.025</v>
      </c>
      <c r="E9084" s="16">
        <f>IFERROR(__xludf.DUMMYFUNCTION("""COMPUTED_VALUE"""),62.0)</f>
        <v>62</v>
      </c>
      <c r="F9084" s="19" t="str">
        <f>IFERROR(__xludf.DUMMYFUNCTION("""COMPUTED_VALUE"""),"BLUE")</f>
        <v>BLUE</v>
      </c>
      <c r="G9084" s="20" t="str">
        <f>IFERROR(__xludf.DUMMYFUNCTION("""COMPUTED_VALUE"""),"Uncle Sams Cider (04/04/2023)")</f>
        <v>Uncle Sams Cider (04/04/2023)</v>
      </c>
      <c r="H9084" s="19"/>
    </row>
    <row r="9085">
      <c r="A9085" s="9"/>
      <c r="B9085" s="15"/>
      <c r="C9085" s="9">
        <f>IFERROR(__xludf.DUMMYFUNCTION("""COMPUTED_VALUE"""),45048.785742662)</f>
        <v>45048.78574</v>
      </c>
      <c r="D9085" s="15">
        <f>IFERROR(__xludf.DUMMYFUNCTION("""COMPUTED_VALUE"""),1.025)</f>
        <v>1.025</v>
      </c>
      <c r="E9085" s="16">
        <f>IFERROR(__xludf.DUMMYFUNCTION("""COMPUTED_VALUE"""),62.0)</f>
        <v>62</v>
      </c>
      <c r="F9085" s="19" t="str">
        <f>IFERROR(__xludf.DUMMYFUNCTION("""COMPUTED_VALUE"""),"BLUE")</f>
        <v>BLUE</v>
      </c>
      <c r="G9085" s="20" t="str">
        <f>IFERROR(__xludf.DUMMYFUNCTION("""COMPUTED_VALUE"""),"Uncle Sams Cider (04/04/2023)")</f>
        <v>Uncle Sams Cider (04/04/2023)</v>
      </c>
      <c r="H9085" s="19"/>
    </row>
    <row r="9086">
      <c r="A9086" s="9"/>
      <c r="B9086" s="15"/>
      <c r="C9086" s="9">
        <f>IFERROR(__xludf.DUMMYFUNCTION("""COMPUTED_VALUE"""),45048.7753203009)</f>
        <v>45048.77532</v>
      </c>
      <c r="D9086" s="15">
        <f>IFERROR(__xludf.DUMMYFUNCTION("""COMPUTED_VALUE"""),1.025)</f>
        <v>1.025</v>
      </c>
      <c r="E9086" s="16">
        <f>IFERROR(__xludf.DUMMYFUNCTION("""COMPUTED_VALUE"""),62.0)</f>
        <v>62</v>
      </c>
      <c r="F9086" s="19" t="str">
        <f>IFERROR(__xludf.DUMMYFUNCTION("""COMPUTED_VALUE"""),"BLUE")</f>
        <v>BLUE</v>
      </c>
      <c r="G9086" s="20" t="str">
        <f>IFERROR(__xludf.DUMMYFUNCTION("""COMPUTED_VALUE"""),"Uncle Sams Cider (04/04/2023)")</f>
        <v>Uncle Sams Cider (04/04/2023)</v>
      </c>
      <c r="H9086" s="19"/>
    </row>
    <row r="9087">
      <c r="A9087" s="9"/>
      <c r="B9087" s="15"/>
      <c r="C9087" s="9">
        <f>IFERROR(__xludf.DUMMYFUNCTION("""COMPUTED_VALUE"""),45048.7648996643)</f>
        <v>45048.7649</v>
      </c>
      <c r="D9087" s="15">
        <f>IFERROR(__xludf.DUMMYFUNCTION("""COMPUTED_VALUE"""),1.025)</f>
        <v>1.025</v>
      </c>
      <c r="E9087" s="16">
        <f>IFERROR(__xludf.DUMMYFUNCTION("""COMPUTED_VALUE"""),62.0)</f>
        <v>62</v>
      </c>
      <c r="F9087" s="19" t="str">
        <f>IFERROR(__xludf.DUMMYFUNCTION("""COMPUTED_VALUE"""),"BLUE")</f>
        <v>BLUE</v>
      </c>
      <c r="G9087" s="20" t="str">
        <f>IFERROR(__xludf.DUMMYFUNCTION("""COMPUTED_VALUE"""),"Uncle Sams Cider (04/04/2023)")</f>
        <v>Uncle Sams Cider (04/04/2023)</v>
      </c>
      <c r="H9087" s="19"/>
    </row>
    <row r="9088">
      <c r="A9088" s="9"/>
      <c r="B9088" s="15"/>
      <c r="C9088" s="9">
        <f>IFERROR(__xludf.DUMMYFUNCTION("""COMPUTED_VALUE"""),45048.7544667824)</f>
        <v>45048.75447</v>
      </c>
      <c r="D9088" s="15">
        <f>IFERROR(__xludf.DUMMYFUNCTION("""COMPUTED_VALUE"""),1.025)</f>
        <v>1.025</v>
      </c>
      <c r="E9088" s="16">
        <f>IFERROR(__xludf.DUMMYFUNCTION("""COMPUTED_VALUE"""),62.0)</f>
        <v>62</v>
      </c>
      <c r="F9088" s="19" t="str">
        <f>IFERROR(__xludf.DUMMYFUNCTION("""COMPUTED_VALUE"""),"BLUE")</f>
        <v>BLUE</v>
      </c>
      <c r="G9088" s="20" t="str">
        <f>IFERROR(__xludf.DUMMYFUNCTION("""COMPUTED_VALUE"""),"Uncle Sams Cider (04/04/2023)")</f>
        <v>Uncle Sams Cider (04/04/2023)</v>
      </c>
      <c r="H9088" s="19"/>
    </row>
    <row r="9089">
      <c r="A9089" s="9"/>
      <c r="B9089" s="15"/>
      <c r="C9089" s="9">
        <f>IFERROR(__xludf.DUMMYFUNCTION("""COMPUTED_VALUE"""),45048.7440460995)</f>
        <v>45048.74405</v>
      </c>
      <c r="D9089" s="15">
        <f>IFERROR(__xludf.DUMMYFUNCTION("""COMPUTED_VALUE"""),1.025)</f>
        <v>1.025</v>
      </c>
      <c r="E9089" s="16">
        <f>IFERROR(__xludf.DUMMYFUNCTION("""COMPUTED_VALUE"""),62.0)</f>
        <v>62</v>
      </c>
      <c r="F9089" s="19" t="str">
        <f>IFERROR(__xludf.DUMMYFUNCTION("""COMPUTED_VALUE"""),"BLUE")</f>
        <v>BLUE</v>
      </c>
      <c r="G9089" s="20" t="str">
        <f>IFERROR(__xludf.DUMMYFUNCTION("""COMPUTED_VALUE"""),"Uncle Sams Cider (04/04/2023)")</f>
        <v>Uncle Sams Cider (04/04/2023)</v>
      </c>
      <c r="H9089" s="19"/>
    </row>
    <row r="9090">
      <c r="A9090" s="9"/>
      <c r="B9090" s="15"/>
      <c r="C9090" s="9">
        <f>IFERROR(__xludf.DUMMYFUNCTION("""COMPUTED_VALUE"""),45048.7336126388)</f>
        <v>45048.73361</v>
      </c>
      <c r="D9090" s="15">
        <f>IFERROR(__xludf.DUMMYFUNCTION("""COMPUTED_VALUE"""),1.025)</f>
        <v>1.025</v>
      </c>
      <c r="E9090" s="16">
        <f>IFERROR(__xludf.DUMMYFUNCTION("""COMPUTED_VALUE"""),62.0)</f>
        <v>62</v>
      </c>
      <c r="F9090" s="19" t="str">
        <f>IFERROR(__xludf.DUMMYFUNCTION("""COMPUTED_VALUE"""),"BLUE")</f>
        <v>BLUE</v>
      </c>
      <c r="G9090" s="20" t="str">
        <f>IFERROR(__xludf.DUMMYFUNCTION("""COMPUTED_VALUE"""),"Uncle Sams Cider (04/04/2023)")</f>
        <v>Uncle Sams Cider (04/04/2023)</v>
      </c>
      <c r="H9090" s="19"/>
    </row>
    <row r="9091">
      <c r="A9091" s="9"/>
      <c r="B9091" s="15"/>
      <c r="C9091" s="9">
        <f>IFERROR(__xludf.DUMMYFUNCTION("""COMPUTED_VALUE"""),45048.7231810069)</f>
        <v>45048.72318</v>
      </c>
      <c r="D9091" s="15">
        <f>IFERROR(__xludf.DUMMYFUNCTION("""COMPUTED_VALUE"""),1.025)</f>
        <v>1.025</v>
      </c>
      <c r="E9091" s="16">
        <f>IFERROR(__xludf.DUMMYFUNCTION("""COMPUTED_VALUE"""),62.0)</f>
        <v>62</v>
      </c>
      <c r="F9091" s="19" t="str">
        <f>IFERROR(__xludf.DUMMYFUNCTION("""COMPUTED_VALUE"""),"BLUE")</f>
        <v>BLUE</v>
      </c>
      <c r="G9091" s="20" t="str">
        <f>IFERROR(__xludf.DUMMYFUNCTION("""COMPUTED_VALUE"""),"Uncle Sams Cider (04/04/2023)")</f>
        <v>Uncle Sams Cider (04/04/2023)</v>
      </c>
      <c r="H9091" s="19"/>
    </row>
    <row r="9092">
      <c r="A9092" s="9"/>
      <c r="B9092" s="15"/>
      <c r="C9092" s="9">
        <f>IFERROR(__xludf.DUMMYFUNCTION("""COMPUTED_VALUE"""),45048.7127602777)</f>
        <v>45048.71276</v>
      </c>
      <c r="D9092" s="15">
        <f>IFERROR(__xludf.DUMMYFUNCTION("""COMPUTED_VALUE"""),1.025)</f>
        <v>1.025</v>
      </c>
      <c r="E9092" s="16">
        <f>IFERROR(__xludf.DUMMYFUNCTION("""COMPUTED_VALUE"""),62.0)</f>
        <v>62</v>
      </c>
      <c r="F9092" s="19" t="str">
        <f>IFERROR(__xludf.DUMMYFUNCTION("""COMPUTED_VALUE"""),"BLUE")</f>
        <v>BLUE</v>
      </c>
      <c r="G9092" s="20" t="str">
        <f>IFERROR(__xludf.DUMMYFUNCTION("""COMPUTED_VALUE"""),"Uncle Sams Cider (04/04/2023)")</f>
        <v>Uncle Sams Cider (04/04/2023)</v>
      </c>
      <c r="H9092" s="19"/>
    </row>
    <row r="9093">
      <c r="A9093" s="9"/>
      <c r="B9093" s="15"/>
      <c r="C9093" s="9">
        <f>IFERROR(__xludf.DUMMYFUNCTION("""COMPUTED_VALUE"""),45048.7023386805)</f>
        <v>45048.70234</v>
      </c>
      <c r="D9093" s="15">
        <f>IFERROR(__xludf.DUMMYFUNCTION("""COMPUTED_VALUE"""),1.025)</f>
        <v>1.025</v>
      </c>
      <c r="E9093" s="16">
        <f>IFERROR(__xludf.DUMMYFUNCTION("""COMPUTED_VALUE"""),62.0)</f>
        <v>62</v>
      </c>
      <c r="F9093" s="19" t="str">
        <f>IFERROR(__xludf.DUMMYFUNCTION("""COMPUTED_VALUE"""),"BLUE")</f>
        <v>BLUE</v>
      </c>
      <c r="G9093" s="20" t="str">
        <f>IFERROR(__xludf.DUMMYFUNCTION("""COMPUTED_VALUE"""),"Uncle Sams Cider (04/04/2023)")</f>
        <v>Uncle Sams Cider (04/04/2023)</v>
      </c>
      <c r="H9093" s="19"/>
    </row>
    <row r="9094">
      <c r="A9094" s="9"/>
      <c r="B9094" s="15"/>
      <c r="C9094" s="9">
        <f>IFERROR(__xludf.DUMMYFUNCTION("""COMPUTED_VALUE"""),45048.6919177893)</f>
        <v>45048.69192</v>
      </c>
      <c r="D9094" s="15">
        <f>IFERROR(__xludf.DUMMYFUNCTION("""COMPUTED_VALUE"""),1.025)</f>
        <v>1.025</v>
      </c>
      <c r="E9094" s="16">
        <f>IFERROR(__xludf.DUMMYFUNCTION("""COMPUTED_VALUE"""),62.0)</f>
        <v>62</v>
      </c>
      <c r="F9094" s="19" t="str">
        <f>IFERROR(__xludf.DUMMYFUNCTION("""COMPUTED_VALUE"""),"BLUE")</f>
        <v>BLUE</v>
      </c>
      <c r="G9094" s="20" t="str">
        <f>IFERROR(__xludf.DUMMYFUNCTION("""COMPUTED_VALUE"""),"Uncle Sams Cider (04/04/2023)")</f>
        <v>Uncle Sams Cider (04/04/2023)</v>
      </c>
      <c r="H9094" s="19"/>
    </row>
    <row r="9095">
      <c r="A9095" s="9"/>
      <c r="B9095" s="15"/>
      <c r="C9095" s="9">
        <f>IFERROR(__xludf.DUMMYFUNCTION("""COMPUTED_VALUE"""),45048.681496875)</f>
        <v>45048.6815</v>
      </c>
      <c r="D9095" s="15">
        <f>IFERROR(__xludf.DUMMYFUNCTION("""COMPUTED_VALUE"""),1.025)</f>
        <v>1.025</v>
      </c>
      <c r="E9095" s="16">
        <f>IFERROR(__xludf.DUMMYFUNCTION("""COMPUTED_VALUE"""),62.0)</f>
        <v>62</v>
      </c>
      <c r="F9095" s="19" t="str">
        <f>IFERROR(__xludf.DUMMYFUNCTION("""COMPUTED_VALUE"""),"BLUE")</f>
        <v>BLUE</v>
      </c>
      <c r="G9095" s="20" t="str">
        <f>IFERROR(__xludf.DUMMYFUNCTION("""COMPUTED_VALUE"""),"Uncle Sams Cider (04/04/2023)")</f>
        <v>Uncle Sams Cider (04/04/2023)</v>
      </c>
      <c r="H9095" s="19"/>
    </row>
    <row r="9096">
      <c r="A9096" s="9"/>
      <c r="B9096" s="15"/>
      <c r="C9096" s="9">
        <f>IFERROR(__xludf.DUMMYFUNCTION("""COMPUTED_VALUE"""),45048.6710757176)</f>
        <v>45048.67108</v>
      </c>
      <c r="D9096" s="15">
        <f>IFERROR(__xludf.DUMMYFUNCTION("""COMPUTED_VALUE"""),1.025)</f>
        <v>1.025</v>
      </c>
      <c r="E9096" s="16">
        <f>IFERROR(__xludf.DUMMYFUNCTION("""COMPUTED_VALUE"""),62.0)</f>
        <v>62</v>
      </c>
      <c r="F9096" s="19" t="str">
        <f>IFERROR(__xludf.DUMMYFUNCTION("""COMPUTED_VALUE"""),"BLUE")</f>
        <v>BLUE</v>
      </c>
      <c r="G9096" s="20" t="str">
        <f>IFERROR(__xludf.DUMMYFUNCTION("""COMPUTED_VALUE"""),"Uncle Sams Cider (04/04/2023)")</f>
        <v>Uncle Sams Cider (04/04/2023)</v>
      </c>
      <c r="H9096" s="19"/>
    </row>
    <row r="9097">
      <c r="A9097" s="9"/>
      <c r="B9097" s="15"/>
      <c r="C9097" s="9">
        <f>IFERROR(__xludf.DUMMYFUNCTION("""COMPUTED_VALUE"""),45048.6606437963)</f>
        <v>45048.66064</v>
      </c>
      <c r="D9097" s="15">
        <f>IFERROR(__xludf.DUMMYFUNCTION("""COMPUTED_VALUE"""),1.025)</f>
        <v>1.025</v>
      </c>
      <c r="E9097" s="16">
        <f>IFERROR(__xludf.DUMMYFUNCTION("""COMPUTED_VALUE"""),62.0)</f>
        <v>62</v>
      </c>
      <c r="F9097" s="19" t="str">
        <f>IFERROR(__xludf.DUMMYFUNCTION("""COMPUTED_VALUE"""),"BLUE")</f>
        <v>BLUE</v>
      </c>
      <c r="G9097" s="20" t="str">
        <f>IFERROR(__xludf.DUMMYFUNCTION("""COMPUTED_VALUE"""),"Uncle Sams Cider (04/04/2023)")</f>
        <v>Uncle Sams Cider (04/04/2023)</v>
      </c>
      <c r="H9097" s="19"/>
    </row>
    <row r="9098">
      <c r="A9098" s="9"/>
      <c r="B9098" s="15"/>
      <c r="C9098" s="9">
        <f>IFERROR(__xludf.DUMMYFUNCTION("""COMPUTED_VALUE"""),45048.6502202199)</f>
        <v>45048.65022</v>
      </c>
      <c r="D9098" s="15">
        <f>IFERROR(__xludf.DUMMYFUNCTION("""COMPUTED_VALUE"""),1.025)</f>
        <v>1.025</v>
      </c>
      <c r="E9098" s="16">
        <f>IFERROR(__xludf.DUMMYFUNCTION("""COMPUTED_VALUE"""),62.0)</f>
        <v>62</v>
      </c>
      <c r="F9098" s="19" t="str">
        <f>IFERROR(__xludf.DUMMYFUNCTION("""COMPUTED_VALUE"""),"BLUE")</f>
        <v>BLUE</v>
      </c>
      <c r="G9098" s="20" t="str">
        <f>IFERROR(__xludf.DUMMYFUNCTION("""COMPUTED_VALUE"""),"Uncle Sams Cider (04/04/2023)")</f>
        <v>Uncle Sams Cider (04/04/2023)</v>
      </c>
      <c r="H9098" s="19"/>
    </row>
    <row r="9099">
      <c r="A9099" s="9"/>
      <c r="B9099" s="15"/>
      <c r="C9099" s="9">
        <f>IFERROR(__xludf.DUMMYFUNCTION("""COMPUTED_VALUE"""),45048.6398007175)</f>
        <v>45048.6398</v>
      </c>
      <c r="D9099" s="15">
        <f>IFERROR(__xludf.DUMMYFUNCTION("""COMPUTED_VALUE"""),1.025)</f>
        <v>1.025</v>
      </c>
      <c r="E9099" s="16">
        <f>IFERROR(__xludf.DUMMYFUNCTION("""COMPUTED_VALUE"""),62.0)</f>
        <v>62</v>
      </c>
      <c r="F9099" s="19" t="str">
        <f>IFERROR(__xludf.DUMMYFUNCTION("""COMPUTED_VALUE"""),"BLUE")</f>
        <v>BLUE</v>
      </c>
      <c r="G9099" s="20" t="str">
        <f>IFERROR(__xludf.DUMMYFUNCTION("""COMPUTED_VALUE"""),"Uncle Sams Cider (04/04/2023)")</f>
        <v>Uncle Sams Cider (04/04/2023)</v>
      </c>
      <c r="H9099" s="19"/>
    </row>
    <row r="9100">
      <c r="A9100" s="9"/>
      <c r="B9100" s="15"/>
      <c r="C9100" s="9">
        <f>IFERROR(__xludf.DUMMYFUNCTION("""COMPUTED_VALUE"""),45048.6293776736)</f>
        <v>45048.62938</v>
      </c>
      <c r="D9100" s="15">
        <f>IFERROR(__xludf.DUMMYFUNCTION("""COMPUTED_VALUE"""),1.025)</f>
        <v>1.025</v>
      </c>
      <c r="E9100" s="16">
        <f>IFERROR(__xludf.DUMMYFUNCTION("""COMPUTED_VALUE"""),62.0)</f>
        <v>62</v>
      </c>
      <c r="F9100" s="19" t="str">
        <f>IFERROR(__xludf.DUMMYFUNCTION("""COMPUTED_VALUE"""),"BLUE")</f>
        <v>BLUE</v>
      </c>
      <c r="G9100" s="20" t="str">
        <f>IFERROR(__xludf.DUMMYFUNCTION("""COMPUTED_VALUE"""),"Uncle Sams Cider (04/04/2023)")</f>
        <v>Uncle Sams Cider (04/04/2023)</v>
      </c>
      <c r="H9100" s="19"/>
    </row>
    <row r="9101">
      <c r="A9101" s="9"/>
      <c r="B9101" s="15"/>
      <c r="C9101" s="9">
        <f>IFERROR(__xludf.DUMMYFUNCTION("""COMPUTED_VALUE"""),45048.6189454398)</f>
        <v>45048.61895</v>
      </c>
      <c r="D9101" s="15">
        <f>IFERROR(__xludf.DUMMYFUNCTION("""COMPUTED_VALUE"""),1.025)</f>
        <v>1.025</v>
      </c>
      <c r="E9101" s="16">
        <f>IFERROR(__xludf.DUMMYFUNCTION("""COMPUTED_VALUE"""),62.0)</f>
        <v>62</v>
      </c>
      <c r="F9101" s="19" t="str">
        <f>IFERROR(__xludf.DUMMYFUNCTION("""COMPUTED_VALUE"""),"BLUE")</f>
        <v>BLUE</v>
      </c>
      <c r="G9101" s="20" t="str">
        <f>IFERROR(__xludf.DUMMYFUNCTION("""COMPUTED_VALUE"""),"Uncle Sams Cider (04/04/2023)")</f>
        <v>Uncle Sams Cider (04/04/2023)</v>
      </c>
      <c r="H9101" s="19"/>
    </row>
    <row r="9102">
      <c r="A9102" s="9"/>
      <c r="B9102" s="15"/>
      <c r="C9102" s="9">
        <f>IFERROR(__xludf.DUMMYFUNCTION("""COMPUTED_VALUE"""),45048.6085246875)</f>
        <v>45048.60852</v>
      </c>
      <c r="D9102" s="15">
        <f>IFERROR(__xludf.DUMMYFUNCTION("""COMPUTED_VALUE"""),1.025)</f>
        <v>1.025</v>
      </c>
      <c r="E9102" s="16">
        <f>IFERROR(__xludf.DUMMYFUNCTION("""COMPUTED_VALUE"""),62.0)</f>
        <v>62</v>
      </c>
      <c r="F9102" s="19" t="str">
        <f>IFERROR(__xludf.DUMMYFUNCTION("""COMPUTED_VALUE"""),"BLUE")</f>
        <v>BLUE</v>
      </c>
      <c r="G9102" s="20" t="str">
        <f>IFERROR(__xludf.DUMMYFUNCTION("""COMPUTED_VALUE"""),"Uncle Sams Cider (04/04/2023)")</f>
        <v>Uncle Sams Cider (04/04/2023)</v>
      </c>
      <c r="H9102" s="19"/>
    </row>
    <row r="9103">
      <c r="A9103" s="9"/>
      <c r="B9103" s="15"/>
      <c r="C9103" s="9">
        <f>IFERROR(__xludf.DUMMYFUNCTION("""COMPUTED_VALUE"""),45048.5981059953)</f>
        <v>45048.59811</v>
      </c>
      <c r="D9103" s="15">
        <f>IFERROR(__xludf.DUMMYFUNCTION("""COMPUTED_VALUE"""),1.025)</f>
        <v>1.025</v>
      </c>
      <c r="E9103" s="16">
        <f>IFERROR(__xludf.DUMMYFUNCTION("""COMPUTED_VALUE"""),62.0)</f>
        <v>62</v>
      </c>
      <c r="F9103" s="19" t="str">
        <f>IFERROR(__xludf.DUMMYFUNCTION("""COMPUTED_VALUE"""),"BLUE")</f>
        <v>BLUE</v>
      </c>
      <c r="G9103" s="20" t="str">
        <f>IFERROR(__xludf.DUMMYFUNCTION("""COMPUTED_VALUE"""),"Uncle Sams Cider (04/04/2023)")</f>
        <v>Uncle Sams Cider (04/04/2023)</v>
      </c>
      <c r="H9103" s="19"/>
    </row>
    <row r="9104">
      <c r="A9104" s="9"/>
      <c r="B9104" s="15"/>
      <c r="C9104" s="9">
        <f>IFERROR(__xludf.DUMMYFUNCTION("""COMPUTED_VALUE"""),45048.5876859027)</f>
        <v>45048.58769</v>
      </c>
      <c r="D9104" s="15">
        <f>IFERROR(__xludf.DUMMYFUNCTION("""COMPUTED_VALUE"""),1.025)</f>
        <v>1.025</v>
      </c>
      <c r="E9104" s="16">
        <f>IFERROR(__xludf.DUMMYFUNCTION("""COMPUTED_VALUE"""),62.0)</f>
        <v>62</v>
      </c>
      <c r="F9104" s="19" t="str">
        <f>IFERROR(__xludf.DUMMYFUNCTION("""COMPUTED_VALUE"""),"BLUE")</f>
        <v>BLUE</v>
      </c>
      <c r="G9104" s="20" t="str">
        <f>IFERROR(__xludf.DUMMYFUNCTION("""COMPUTED_VALUE"""),"Uncle Sams Cider (04/04/2023)")</f>
        <v>Uncle Sams Cider (04/04/2023)</v>
      </c>
      <c r="H9104" s="19"/>
    </row>
    <row r="9105">
      <c r="A9105" s="9"/>
      <c r="B9105" s="15"/>
      <c r="C9105" s="9">
        <f>IFERROR(__xludf.DUMMYFUNCTION("""COMPUTED_VALUE"""),45048.5772653819)</f>
        <v>45048.57727</v>
      </c>
      <c r="D9105" s="15">
        <f>IFERROR(__xludf.DUMMYFUNCTION("""COMPUTED_VALUE"""),1.025)</f>
        <v>1.025</v>
      </c>
      <c r="E9105" s="16">
        <f>IFERROR(__xludf.DUMMYFUNCTION("""COMPUTED_VALUE"""),62.0)</f>
        <v>62</v>
      </c>
      <c r="F9105" s="19" t="str">
        <f>IFERROR(__xludf.DUMMYFUNCTION("""COMPUTED_VALUE"""),"BLUE")</f>
        <v>BLUE</v>
      </c>
      <c r="G9105" s="20" t="str">
        <f>IFERROR(__xludf.DUMMYFUNCTION("""COMPUTED_VALUE"""),"Uncle Sams Cider (04/04/2023)")</f>
        <v>Uncle Sams Cider (04/04/2023)</v>
      </c>
      <c r="H9105" s="19"/>
    </row>
    <row r="9106">
      <c r="A9106" s="9"/>
      <c r="B9106" s="15"/>
      <c r="C9106" s="9">
        <f>IFERROR(__xludf.DUMMYFUNCTION("""COMPUTED_VALUE"""),45048.5668192013)</f>
        <v>45048.56682</v>
      </c>
      <c r="D9106" s="15">
        <f>IFERROR(__xludf.DUMMYFUNCTION("""COMPUTED_VALUE"""),1.025)</f>
        <v>1.025</v>
      </c>
      <c r="E9106" s="16">
        <f>IFERROR(__xludf.DUMMYFUNCTION("""COMPUTED_VALUE"""),62.0)</f>
        <v>62</v>
      </c>
      <c r="F9106" s="19" t="str">
        <f>IFERROR(__xludf.DUMMYFUNCTION("""COMPUTED_VALUE"""),"BLUE")</f>
        <v>BLUE</v>
      </c>
      <c r="G9106" s="20" t="str">
        <f>IFERROR(__xludf.DUMMYFUNCTION("""COMPUTED_VALUE"""),"Uncle Sams Cider (04/04/2023)")</f>
        <v>Uncle Sams Cider (04/04/2023)</v>
      </c>
      <c r="H9106" s="19"/>
    </row>
    <row r="9107">
      <c r="A9107" s="9"/>
      <c r="B9107" s="15"/>
      <c r="C9107" s="9">
        <f>IFERROR(__xludf.DUMMYFUNCTION("""COMPUTED_VALUE"""),45048.5563981944)</f>
        <v>45048.5564</v>
      </c>
      <c r="D9107" s="15">
        <f>IFERROR(__xludf.DUMMYFUNCTION("""COMPUTED_VALUE"""),1.025)</f>
        <v>1.025</v>
      </c>
      <c r="E9107" s="16">
        <f>IFERROR(__xludf.DUMMYFUNCTION("""COMPUTED_VALUE"""),62.0)</f>
        <v>62</v>
      </c>
      <c r="F9107" s="19" t="str">
        <f>IFERROR(__xludf.DUMMYFUNCTION("""COMPUTED_VALUE"""),"BLUE")</f>
        <v>BLUE</v>
      </c>
      <c r="G9107" s="20" t="str">
        <f>IFERROR(__xludf.DUMMYFUNCTION("""COMPUTED_VALUE"""),"Uncle Sams Cider (04/04/2023)")</f>
        <v>Uncle Sams Cider (04/04/2023)</v>
      </c>
      <c r="H9107" s="19"/>
    </row>
    <row r="9108">
      <c r="A9108" s="9"/>
      <c r="B9108" s="15"/>
      <c r="C9108" s="9">
        <f>IFERROR(__xludf.DUMMYFUNCTION("""COMPUTED_VALUE"""),45048.5459776851)</f>
        <v>45048.54598</v>
      </c>
      <c r="D9108" s="15">
        <f>IFERROR(__xludf.DUMMYFUNCTION("""COMPUTED_VALUE"""),1.025)</f>
        <v>1.025</v>
      </c>
      <c r="E9108" s="16">
        <f>IFERROR(__xludf.DUMMYFUNCTION("""COMPUTED_VALUE"""),62.0)</f>
        <v>62</v>
      </c>
      <c r="F9108" s="19" t="str">
        <f>IFERROR(__xludf.DUMMYFUNCTION("""COMPUTED_VALUE"""),"BLUE")</f>
        <v>BLUE</v>
      </c>
      <c r="G9108" s="20" t="str">
        <f>IFERROR(__xludf.DUMMYFUNCTION("""COMPUTED_VALUE"""),"Uncle Sams Cider (04/04/2023)")</f>
        <v>Uncle Sams Cider (04/04/2023)</v>
      </c>
      <c r="H9108" s="19"/>
    </row>
    <row r="9109">
      <c r="A9109" s="9"/>
      <c r="B9109" s="15"/>
      <c r="C9109" s="9">
        <f>IFERROR(__xludf.DUMMYFUNCTION("""COMPUTED_VALUE"""),45048.535557199)</f>
        <v>45048.53556</v>
      </c>
      <c r="D9109" s="15">
        <f>IFERROR(__xludf.DUMMYFUNCTION("""COMPUTED_VALUE"""),1.025)</f>
        <v>1.025</v>
      </c>
      <c r="E9109" s="16">
        <f>IFERROR(__xludf.DUMMYFUNCTION("""COMPUTED_VALUE"""),62.0)</f>
        <v>62</v>
      </c>
      <c r="F9109" s="19" t="str">
        <f>IFERROR(__xludf.DUMMYFUNCTION("""COMPUTED_VALUE"""),"BLUE")</f>
        <v>BLUE</v>
      </c>
      <c r="G9109" s="20" t="str">
        <f>IFERROR(__xludf.DUMMYFUNCTION("""COMPUTED_VALUE"""),"Uncle Sams Cider (04/04/2023)")</f>
        <v>Uncle Sams Cider (04/04/2023)</v>
      </c>
      <c r="H9109" s="19"/>
    </row>
    <row r="9110">
      <c r="A9110" s="9"/>
      <c r="B9110" s="15"/>
      <c r="C9110" s="9">
        <f>IFERROR(__xludf.DUMMYFUNCTION("""COMPUTED_VALUE"""),45048.5251348379)</f>
        <v>45048.52513</v>
      </c>
      <c r="D9110" s="15">
        <f>IFERROR(__xludf.DUMMYFUNCTION("""COMPUTED_VALUE"""),1.025)</f>
        <v>1.025</v>
      </c>
      <c r="E9110" s="16">
        <f>IFERROR(__xludf.DUMMYFUNCTION("""COMPUTED_VALUE"""),62.0)</f>
        <v>62</v>
      </c>
      <c r="F9110" s="19" t="str">
        <f>IFERROR(__xludf.DUMMYFUNCTION("""COMPUTED_VALUE"""),"BLUE")</f>
        <v>BLUE</v>
      </c>
      <c r="G9110" s="20" t="str">
        <f>IFERROR(__xludf.DUMMYFUNCTION("""COMPUTED_VALUE"""),"Uncle Sams Cider (04/04/2023)")</f>
        <v>Uncle Sams Cider (04/04/2023)</v>
      </c>
      <c r="H9110" s="19"/>
    </row>
    <row r="9111">
      <c r="A9111" s="9"/>
      <c r="B9111" s="15"/>
      <c r="C9111" s="9">
        <f>IFERROR(__xludf.DUMMYFUNCTION("""COMPUTED_VALUE"""),45048.5147142245)</f>
        <v>45048.51471</v>
      </c>
      <c r="D9111" s="15">
        <f>IFERROR(__xludf.DUMMYFUNCTION("""COMPUTED_VALUE"""),1.025)</f>
        <v>1.025</v>
      </c>
      <c r="E9111" s="16">
        <f>IFERROR(__xludf.DUMMYFUNCTION("""COMPUTED_VALUE"""),62.0)</f>
        <v>62</v>
      </c>
      <c r="F9111" s="19" t="str">
        <f>IFERROR(__xludf.DUMMYFUNCTION("""COMPUTED_VALUE"""),"BLUE")</f>
        <v>BLUE</v>
      </c>
      <c r="G9111" s="20" t="str">
        <f>IFERROR(__xludf.DUMMYFUNCTION("""COMPUTED_VALUE"""),"Uncle Sams Cider (04/04/2023)")</f>
        <v>Uncle Sams Cider (04/04/2023)</v>
      </c>
      <c r="H9111" s="19"/>
    </row>
    <row r="9112">
      <c r="A9112" s="9"/>
      <c r="B9112" s="15"/>
      <c r="C9112" s="9">
        <f>IFERROR(__xludf.DUMMYFUNCTION("""COMPUTED_VALUE"""),45048.504291956)</f>
        <v>45048.50429</v>
      </c>
      <c r="D9112" s="15">
        <f>IFERROR(__xludf.DUMMYFUNCTION("""COMPUTED_VALUE"""),1.025)</f>
        <v>1.025</v>
      </c>
      <c r="E9112" s="16">
        <f>IFERROR(__xludf.DUMMYFUNCTION("""COMPUTED_VALUE"""),62.0)</f>
        <v>62</v>
      </c>
      <c r="F9112" s="19" t="str">
        <f>IFERROR(__xludf.DUMMYFUNCTION("""COMPUTED_VALUE"""),"BLUE")</f>
        <v>BLUE</v>
      </c>
      <c r="G9112" s="20" t="str">
        <f>IFERROR(__xludf.DUMMYFUNCTION("""COMPUTED_VALUE"""),"Uncle Sams Cider (04/04/2023)")</f>
        <v>Uncle Sams Cider (04/04/2023)</v>
      </c>
      <c r="H9112" s="19"/>
    </row>
    <row r="9113">
      <c r="A9113" s="9"/>
      <c r="B9113" s="15"/>
      <c r="C9113" s="9">
        <f>IFERROR(__xludf.DUMMYFUNCTION("""COMPUTED_VALUE"""),45048.4938696759)</f>
        <v>45048.49387</v>
      </c>
      <c r="D9113" s="15">
        <f>IFERROR(__xludf.DUMMYFUNCTION("""COMPUTED_VALUE"""),1.025)</f>
        <v>1.025</v>
      </c>
      <c r="E9113" s="16">
        <f>IFERROR(__xludf.DUMMYFUNCTION("""COMPUTED_VALUE"""),62.0)</f>
        <v>62</v>
      </c>
      <c r="F9113" s="19" t="str">
        <f>IFERROR(__xludf.DUMMYFUNCTION("""COMPUTED_VALUE"""),"BLUE")</f>
        <v>BLUE</v>
      </c>
      <c r="G9113" s="20" t="str">
        <f>IFERROR(__xludf.DUMMYFUNCTION("""COMPUTED_VALUE"""),"Uncle Sams Cider (04/04/2023)")</f>
        <v>Uncle Sams Cider (04/04/2023)</v>
      </c>
      <c r="H9113" s="19"/>
    </row>
    <row r="9114">
      <c r="A9114" s="9"/>
      <c r="B9114" s="15"/>
      <c r="C9114" s="9">
        <f>IFERROR(__xludf.DUMMYFUNCTION("""COMPUTED_VALUE"""),45048.4834493055)</f>
        <v>45048.48345</v>
      </c>
      <c r="D9114" s="15">
        <f>IFERROR(__xludf.DUMMYFUNCTION("""COMPUTED_VALUE"""),1.025)</f>
        <v>1.025</v>
      </c>
      <c r="E9114" s="16">
        <f>IFERROR(__xludf.DUMMYFUNCTION("""COMPUTED_VALUE"""),62.0)</f>
        <v>62</v>
      </c>
      <c r="F9114" s="19" t="str">
        <f>IFERROR(__xludf.DUMMYFUNCTION("""COMPUTED_VALUE"""),"BLUE")</f>
        <v>BLUE</v>
      </c>
      <c r="G9114" s="20" t="str">
        <f>IFERROR(__xludf.DUMMYFUNCTION("""COMPUTED_VALUE"""),"Uncle Sams Cider (04/04/2023)")</f>
        <v>Uncle Sams Cider (04/04/2023)</v>
      </c>
      <c r="H9114" s="19"/>
    </row>
    <row r="9115">
      <c r="A9115" s="9"/>
      <c r="B9115" s="15"/>
      <c r="C9115" s="9">
        <f>IFERROR(__xludf.DUMMYFUNCTION("""COMPUTED_VALUE"""),45048.4730279282)</f>
        <v>45048.47303</v>
      </c>
      <c r="D9115" s="15">
        <f>IFERROR(__xludf.DUMMYFUNCTION("""COMPUTED_VALUE"""),1.025)</f>
        <v>1.025</v>
      </c>
      <c r="E9115" s="16">
        <f>IFERROR(__xludf.DUMMYFUNCTION("""COMPUTED_VALUE"""),62.0)</f>
        <v>62</v>
      </c>
      <c r="F9115" s="19" t="str">
        <f>IFERROR(__xludf.DUMMYFUNCTION("""COMPUTED_VALUE"""),"BLUE")</f>
        <v>BLUE</v>
      </c>
      <c r="G9115" s="20" t="str">
        <f>IFERROR(__xludf.DUMMYFUNCTION("""COMPUTED_VALUE"""),"Uncle Sams Cider (04/04/2023)")</f>
        <v>Uncle Sams Cider (04/04/2023)</v>
      </c>
      <c r="H9115" s="19"/>
    </row>
    <row r="9116">
      <c r="A9116" s="9"/>
      <c r="B9116" s="15"/>
      <c r="C9116" s="9">
        <f>IFERROR(__xludf.DUMMYFUNCTION("""COMPUTED_VALUE"""),45048.4626064583)</f>
        <v>45048.46261</v>
      </c>
      <c r="D9116" s="15">
        <f>IFERROR(__xludf.DUMMYFUNCTION("""COMPUTED_VALUE"""),1.025)</f>
        <v>1.025</v>
      </c>
      <c r="E9116" s="16">
        <f>IFERROR(__xludf.DUMMYFUNCTION("""COMPUTED_VALUE"""),62.0)</f>
        <v>62</v>
      </c>
      <c r="F9116" s="19" t="str">
        <f>IFERROR(__xludf.DUMMYFUNCTION("""COMPUTED_VALUE"""),"BLUE")</f>
        <v>BLUE</v>
      </c>
      <c r="G9116" s="20" t="str">
        <f>IFERROR(__xludf.DUMMYFUNCTION("""COMPUTED_VALUE"""),"Uncle Sams Cider (04/04/2023)")</f>
        <v>Uncle Sams Cider (04/04/2023)</v>
      </c>
      <c r="H9116" s="19"/>
    </row>
    <row r="9117">
      <c r="A9117" s="9"/>
      <c r="B9117" s="15"/>
      <c r="C9117" s="9">
        <f>IFERROR(__xludf.DUMMYFUNCTION("""COMPUTED_VALUE"""),45048.4521853935)</f>
        <v>45048.45219</v>
      </c>
      <c r="D9117" s="15">
        <f>IFERROR(__xludf.DUMMYFUNCTION("""COMPUTED_VALUE"""),1.025)</f>
        <v>1.025</v>
      </c>
      <c r="E9117" s="16">
        <f>IFERROR(__xludf.DUMMYFUNCTION("""COMPUTED_VALUE"""),62.0)</f>
        <v>62</v>
      </c>
      <c r="F9117" s="19" t="str">
        <f>IFERROR(__xludf.DUMMYFUNCTION("""COMPUTED_VALUE"""),"BLUE")</f>
        <v>BLUE</v>
      </c>
      <c r="G9117" s="20" t="str">
        <f>IFERROR(__xludf.DUMMYFUNCTION("""COMPUTED_VALUE"""),"Uncle Sams Cider (04/04/2023)")</f>
        <v>Uncle Sams Cider (04/04/2023)</v>
      </c>
      <c r="H9117" s="19"/>
    </row>
    <row r="9118">
      <c r="A9118" s="9"/>
      <c r="B9118" s="15"/>
      <c r="C9118" s="9">
        <f>IFERROR(__xludf.DUMMYFUNCTION("""COMPUTED_VALUE"""),45048.4417525926)</f>
        <v>45048.44175</v>
      </c>
      <c r="D9118" s="15">
        <f>IFERROR(__xludf.DUMMYFUNCTION("""COMPUTED_VALUE"""),1.025)</f>
        <v>1.025</v>
      </c>
      <c r="E9118" s="16">
        <f>IFERROR(__xludf.DUMMYFUNCTION("""COMPUTED_VALUE"""),62.0)</f>
        <v>62</v>
      </c>
      <c r="F9118" s="19" t="str">
        <f>IFERROR(__xludf.DUMMYFUNCTION("""COMPUTED_VALUE"""),"BLUE")</f>
        <v>BLUE</v>
      </c>
      <c r="G9118" s="20" t="str">
        <f>IFERROR(__xludf.DUMMYFUNCTION("""COMPUTED_VALUE"""),"Uncle Sams Cider (04/04/2023)")</f>
        <v>Uncle Sams Cider (04/04/2023)</v>
      </c>
      <c r="H9118" s="19"/>
    </row>
    <row r="9119">
      <c r="A9119" s="9"/>
      <c r="B9119" s="15"/>
      <c r="C9119" s="9">
        <f>IFERROR(__xludf.DUMMYFUNCTION("""COMPUTED_VALUE"""),45048.431332118)</f>
        <v>45048.43133</v>
      </c>
      <c r="D9119" s="15">
        <f>IFERROR(__xludf.DUMMYFUNCTION("""COMPUTED_VALUE"""),1.025)</f>
        <v>1.025</v>
      </c>
      <c r="E9119" s="16">
        <f>IFERROR(__xludf.DUMMYFUNCTION("""COMPUTED_VALUE"""),62.0)</f>
        <v>62</v>
      </c>
      <c r="F9119" s="19" t="str">
        <f>IFERROR(__xludf.DUMMYFUNCTION("""COMPUTED_VALUE"""),"BLUE")</f>
        <v>BLUE</v>
      </c>
      <c r="G9119" s="20" t="str">
        <f>IFERROR(__xludf.DUMMYFUNCTION("""COMPUTED_VALUE"""),"Uncle Sams Cider (04/04/2023)")</f>
        <v>Uncle Sams Cider (04/04/2023)</v>
      </c>
      <c r="H9119" s="19"/>
    </row>
    <row r="9120">
      <c r="A9120" s="9"/>
      <c r="B9120" s="15"/>
      <c r="C9120" s="9">
        <f>IFERROR(__xludf.DUMMYFUNCTION("""COMPUTED_VALUE"""),45048.4209010185)</f>
        <v>45048.4209</v>
      </c>
      <c r="D9120" s="15">
        <f>IFERROR(__xludf.DUMMYFUNCTION("""COMPUTED_VALUE"""),1.025)</f>
        <v>1.025</v>
      </c>
      <c r="E9120" s="16">
        <f>IFERROR(__xludf.DUMMYFUNCTION("""COMPUTED_VALUE"""),62.0)</f>
        <v>62</v>
      </c>
      <c r="F9120" s="19" t="str">
        <f>IFERROR(__xludf.DUMMYFUNCTION("""COMPUTED_VALUE"""),"BLUE")</f>
        <v>BLUE</v>
      </c>
      <c r="G9120" s="20" t="str">
        <f>IFERROR(__xludf.DUMMYFUNCTION("""COMPUTED_VALUE"""),"Uncle Sams Cider (04/04/2023)")</f>
        <v>Uncle Sams Cider (04/04/2023)</v>
      </c>
      <c r="H9120" s="19"/>
    </row>
    <row r="9121">
      <c r="A9121" s="9"/>
      <c r="B9121" s="15"/>
      <c r="C9121" s="9">
        <f>IFERROR(__xludf.DUMMYFUNCTION("""COMPUTED_VALUE"""),45048.4104793171)</f>
        <v>45048.41048</v>
      </c>
      <c r="D9121" s="15">
        <f>IFERROR(__xludf.DUMMYFUNCTION("""COMPUTED_VALUE"""),1.025)</f>
        <v>1.025</v>
      </c>
      <c r="E9121" s="16">
        <f>IFERROR(__xludf.DUMMYFUNCTION("""COMPUTED_VALUE"""),62.0)</f>
        <v>62</v>
      </c>
      <c r="F9121" s="19" t="str">
        <f>IFERROR(__xludf.DUMMYFUNCTION("""COMPUTED_VALUE"""),"BLUE")</f>
        <v>BLUE</v>
      </c>
      <c r="G9121" s="20" t="str">
        <f>IFERROR(__xludf.DUMMYFUNCTION("""COMPUTED_VALUE"""),"Uncle Sams Cider (04/04/2023)")</f>
        <v>Uncle Sams Cider (04/04/2023)</v>
      </c>
      <c r="H9121" s="19"/>
    </row>
    <row r="9122">
      <c r="A9122" s="9"/>
      <c r="B9122" s="15"/>
      <c r="C9122" s="9">
        <f>IFERROR(__xludf.DUMMYFUNCTION("""COMPUTED_VALUE"""),45048.4000451273)</f>
        <v>45048.40005</v>
      </c>
      <c r="D9122" s="15">
        <f>IFERROR(__xludf.DUMMYFUNCTION("""COMPUTED_VALUE"""),1.025)</f>
        <v>1.025</v>
      </c>
      <c r="E9122" s="16">
        <f>IFERROR(__xludf.DUMMYFUNCTION("""COMPUTED_VALUE"""),62.0)</f>
        <v>62</v>
      </c>
      <c r="F9122" s="19" t="str">
        <f>IFERROR(__xludf.DUMMYFUNCTION("""COMPUTED_VALUE"""),"BLUE")</f>
        <v>BLUE</v>
      </c>
      <c r="G9122" s="20" t="str">
        <f>IFERROR(__xludf.DUMMYFUNCTION("""COMPUTED_VALUE"""),"Uncle Sams Cider (04/04/2023)")</f>
        <v>Uncle Sams Cider (04/04/2023)</v>
      </c>
      <c r="H9122" s="19"/>
    </row>
    <row r="9123">
      <c r="A9123" s="9"/>
      <c r="B9123" s="15"/>
      <c r="C9123" s="9">
        <f>IFERROR(__xludf.DUMMYFUNCTION("""COMPUTED_VALUE"""),45048.3896249189)</f>
        <v>45048.38962</v>
      </c>
      <c r="D9123" s="15">
        <f>IFERROR(__xludf.DUMMYFUNCTION("""COMPUTED_VALUE"""),1.025)</f>
        <v>1.025</v>
      </c>
      <c r="E9123" s="16">
        <f>IFERROR(__xludf.DUMMYFUNCTION("""COMPUTED_VALUE"""),62.0)</f>
        <v>62</v>
      </c>
      <c r="F9123" s="19" t="str">
        <f>IFERROR(__xludf.DUMMYFUNCTION("""COMPUTED_VALUE"""),"BLUE")</f>
        <v>BLUE</v>
      </c>
      <c r="G9123" s="20" t="str">
        <f>IFERROR(__xludf.DUMMYFUNCTION("""COMPUTED_VALUE"""),"Uncle Sams Cider (04/04/2023)")</f>
        <v>Uncle Sams Cider (04/04/2023)</v>
      </c>
      <c r="H9123" s="19"/>
    </row>
    <row r="9124">
      <c r="A9124" s="9"/>
      <c r="B9124" s="15"/>
      <c r="C9124" s="9">
        <f>IFERROR(__xludf.DUMMYFUNCTION("""COMPUTED_VALUE"""),45048.3792043634)</f>
        <v>45048.3792</v>
      </c>
      <c r="D9124" s="15">
        <f>IFERROR(__xludf.DUMMYFUNCTION("""COMPUTED_VALUE"""),1.025)</f>
        <v>1.025</v>
      </c>
      <c r="E9124" s="16">
        <f>IFERROR(__xludf.DUMMYFUNCTION("""COMPUTED_VALUE"""),62.0)</f>
        <v>62</v>
      </c>
      <c r="F9124" s="19" t="str">
        <f>IFERROR(__xludf.DUMMYFUNCTION("""COMPUTED_VALUE"""),"BLUE")</f>
        <v>BLUE</v>
      </c>
      <c r="G9124" s="20" t="str">
        <f>IFERROR(__xludf.DUMMYFUNCTION("""COMPUTED_VALUE"""),"Uncle Sams Cider (04/04/2023)")</f>
        <v>Uncle Sams Cider (04/04/2023)</v>
      </c>
      <c r="H9124" s="19"/>
    </row>
    <row r="9125">
      <c r="A9125" s="9"/>
      <c r="B9125" s="15"/>
      <c r="C9125" s="9">
        <f>IFERROR(__xludf.DUMMYFUNCTION("""COMPUTED_VALUE"""),45048.3687828472)</f>
        <v>45048.36878</v>
      </c>
      <c r="D9125" s="15">
        <f>IFERROR(__xludf.DUMMYFUNCTION("""COMPUTED_VALUE"""),1.025)</f>
        <v>1.025</v>
      </c>
      <c r="E9125" s="16">
        <f>IFERROR(__xludf.DUMMYFUNCTION("""COMPUTED_VALUE"""),62.0)</f>
        <v>62</v>
      </c>
      <c r="F9125" s="19" t="str">
        <f>IFERROR(__xludf.DUMMYFUNCTION("""COMPUTED_VALUE"""),"BLUE")</f>
        <v>BLUE</v>
      </c>
      <c r="G9125" s="20" t="str">
        <f>IFERROR(__xludf.DUMMYFUNCTION("""COMPUTED_VALUE"""),"Uncle Sams Cider (04/04/2023)")</f>
        <v>Uncle Sams Cider (04/04/2023)</v>
      </c>
      <c r="H9125" s="19"/>
    </row>
    <row r="9126">
      <c r="A9126" s="9"/>
      <c r="B9126" s="15"/>
      <c r="C9126" s="9">
        <f>IFERROR(__xludf.DUMMYFUNCTION("""COMPUTED_VALUE"""),45048.3583602314)</f>
        <v>45048.35836</v>
      </c>
      <c r="D9126" s="15">
        <f>IFERROR(__xludf.DUMMYFUNCTION("""COMPUTED_VALUE"""),1.025)</f>
        <v>1.025</v>
      </c>
      <c r="E9126" s="16">
        <f>IFERROR(__xludf.DUMMYFUNCTION("""COMPUTED_VALUE"""),62.0)</f>
        <v>62</v>
      </c>
      <c r="F9126" s="19" t="str">
        <f>IFERROR(__xludf.DUMMYFUNCTION("""COMPUTED_VALUE"""),"BLUE")</f>
        <v>BLUE</v>
      </c>
      <c r="G9126" s="20" t="str">
        <f>IFERROR(__xludf.DUMMYFUNCTION("""COMPUTED_VALUE"""),"Uncle Sams Cider (04/04/2023)")</f>
        <v>Uncle Sams Cider (04/04/2023)</v>
      </c>
      <c r="H9126" s="19"/>
    </row>
    <row r="9127">
      <c r="A9127" s="9"/>
      <c r="B9127" s="15"/>
      <c r="C9127" s="9">
        <f>IFERROR(__xludf.DUMMYFUNCTION("""COMPUTED_VALUE"""),45048.3479393518)</f>
        <v>45048.34794</v>
      </c>
      <c r="D9127" s="15">
        <f>IFERROR(__xludf.DUMMYFUNCTION("""COMPUTED_VALUE"""),1.025)</f>
        <v>1.025</v>
      </c>
      <c r="E9127" s="16">
        <f>IFERROR(__xludf.DUMMYFUNCTION("""COMPUTED_VALUE"""),62.0)</f>
        <v>62</v>
      </c>
      <c r="F9127" s="19" t="str">
        <f>IFERROR(__xludf.DUMMYFUNCTION("""COMPUTED_VALUE"""),"BLUE")</f>
        <v>BLUE</v>
      </c>
      <c r="G9127" s="20" t="str">
        <f>IFERROR(__xludf.DUMMYFUNCTION("""COMPUTED_VALUE"""),"Uncle Sams Cider (04/04/2023)")</f>
        <v>Uncle Sams Cider (04/04/2023)</v>
      </c>
      <c r="H9127" s="19"/>
    </row>
    <row r="9128">
      <c r="A9128" s="9"/>
      <c r="B9128" s="15"/>
      <c r="C9128" s="9">
        <f>IFERROR(__xludf.DUMMYFUNCTION("""COMPUTED_VALUE"""),45048.3375175462)</f>
        <v>45048.33752</v>
      </c>
      <c r="D9128" s="15">
        <f>IFERROR(__xludf.DUMMYFUNCTION("""COMPUTED_VALUE"""),1.025)</f>
        <v>1.025</v>
      </c>
      <c r="E9128" s="16">
        <f>IFERROR(__xludf.DUMMYFUNCTION("""COMPUTED_VALUE"""),62.0)</f>
        <v>62</v>
      </c>
      <c r="F9128" s="19" t="str">
        <f>IFERROR(__xludf.DUMMYFUNCTION("""COMPUTED_VALUE"""),"BLUE")</f>
        <v>BLUE</v>
      </c>
      <c r="G9128" s="20" t="str">
        <f>IFERROR(__xludf.DUMMYFUNCTION("""COMPUTED_VALUE"""),"Uncle Sams Cider (04/04/2023)")</f>
        <v>Uncle Sams Cider (04/04/2023)</v>
      </c>
      <c r="H9128" s="19"/>
    </row>
    <row r="9129">
      <c r="A9129" s="9"/>
      <c r="B9129" s="15"/>
      <c r="C9129" s="9">
        <f>IFERROR(__xludf.DUMMYFUNCTION("""COMPUTED_VALUE"""),45048.3270964814)</f>
        <v>45048.3271</v>
      </c>
      <c r="D9129" s="15">
        <f>IFERROR(__xludf.DUMMYFUNCTION("""COMPUTED_VALUE"""),1.025)</f>
        <v>1.025</v>
      </c>
      <c r="E9129" s="16">
        <f>IFERROR(__xludf.DUMMYFUNCTION("""COMPUTED_VALUE"""),62.0)</f>
        <v>62</v>
      </c>
      <c r="F9129" s="19" t="str">
        <f>IFERROR(__xludf.DUMMYFUNCTION("""COMPUTED_VALUE"""),"BLUE")</f>
        <v>BLUE</v>
      </c>
      <c r="G9129" s="20" t="str">
        <f>IFERROR(__xludf.DUMMYFUNCTION("""COMPUTED_VALUE"""),"Uncle Sams Cider (04/04/2023)")</f>
        <v>Uncle Sams Cider (04/04/2023)</v>
      </c>
      <c r="H9129" s="19"/>
    </row>
    <row r="9130">
      <c r="A9130" s="9"/>
      <c r="B9130" s="15"/>
      <c r="C9130" s="9">
        <f>IFERROR(__xludf.DUMMYFUNCTION("""COMPUTED_VALUE"""),45048.3166757638)</f>
        <v>45048.31668</v>
      </c>
      <c r="D9130" s="15">
        <f>IFERROR(__xludf.DUMMYFUNCTION("""COMPUTED_VALUE"""),1.025)</f>
        <v>1.025</v>
      </c>
      <c r="E9130" s="16">
        <f>IFERROR(__xludf.DUMMYFUNCTION("""COMPUTED_VALUE"""),62.0)</f>
        <v>62</v>
      </c>
      <c r="F9130" s="19" t="str">
        <f>IFERROR(__xludf.DUMMYFUNCTION("""COMPUTED_VALUE"""),"BLUE")</f>
        <v>BLUE</v>
      </c>
      <c r="G9130" s="20" t="str">
        <f>IFERROR(__xludf.DUMMYFUNCTION("""COMPUTED_VALUE"""),"Uncle Sams Cider (04/04/2023)")</f>
        <v>Uncle Sams Cider (04/04/2023)</v>
      </c>
      <c r="H9130" s="19"/>
    </row>
    <row r="9131">
      <c r="A9131" s="9"/>
      <c r="B9131" s="15"/>
      <c r="C9131" s="9">
        <f>IFERROR(__xludf.DUMMYFUNCTION("""COMPUTED_VALUE"""),45048.3062560648)</f>
        <v>45048.30626</v>
      </c>
      <c r="D9131" s="15">
        <f>IFERROR(__xludf.DUMMYFUNCTION("""COMPUTED_VALUE"""),1.025)</f>
        <v>1.025</v>
      </c>
      <c r="E9131" s="16">
        <f>IFERROR(__xludf.DUMMYFUNCTION("""COMPUTED_VALUE"""),62.0)</f>
        <v>62</v>
      </c>
      <c r="F9131" s="19" t="str">
        <f>IFERROR(__xludf.DUMMYFUNCTION("""COMPUTED_VALUE"""),"BLUE")</f>
        <v>BLUE</v>
      </c>
      <c r="G9131" s="20" t="str">
        <f>IFERROR(__xludf.DUMMYFUNCTION("""COMPUTED_VALUE"""),"Uncle Sams Cider (04/04/2023)")</f>
        <v>Uncle Sams Cider (04/04/2023)</v>
      </c>
      <c r="H9131" s="19"/>
    </row>
    <row r="9132">
      <c r="A9132" s="9"/>
      <c r="B9132" s="15"/>
      <c r="C9132" s="9">
        <f>IFERROR(__xludf.DUMMYFUNCTION("""COMPUTED_VALUE"""),45048.2958344097)</f>
        <v>45048.29583</v>
      </c>
      <c r="D9132" s="15">
        <f>IFERROR(__xludf.DUMMYFUNCTION("""COMPUTED_VALUE"""),1.025)</f>
        <v>1.025</v>
      </c>
      <c r="E9132" s="16">
        <f>IFERROR(__xludf.DUMMYFUNCTION("""COMPUTED_VALUE"""),62.0)</f>
        <v>62</v>
      </c>
      <c r="F9132" s="19" t="str">
        <f>IFERROR(__xludf.DUMMYFUNCTION("""COMPUTED_VALUE"""),"BLUE")</f>
        <v>BLUE</v>
      </c>
      <c r="G9132" s="20" t="str">
        <f>IFERROR(__xludf.DUMMYFUNCTION("""COMPUTED_VALUE"""),"Uncle Sams Cider (04/04/2023)")</f>
        <v>Uncle Sams Cider (04/04/2023)</v>
      </c>
      <c r="H9132" s="19"/>
    </row>
    <row r="9133">
      <c r="A9133" s="9"/>
      <c r="B9133" s="15"/>
      <c r="C9133" s="9">
        <f>IFERROR(__xludf.DUMMYFUNCTION("""COMPUTED_VALUE"""),45048.2854148263)</f>
        <v>45048.28541</v>
      </c>
      <c r="D9133" s="15">
        <f>IFERROR(__xludf.DUMMYFUNCTION("""COMPUTED_VALUE"""),1.025)</f>
        <v>1.025</v>
      </c>
      <c r="E9133" s="16">
        <f>IFERROR(__xludf.DUMMYFUNCTION("""COMPUTED_VALUE"""),62.0)</f>
        <v>62</v>
      </c>
      <c r="F9133" s="19" t="str">
        <f>IFERROR(__xludf.DUMMYFUNCTION("""COMPUTED_VALUE"""),"BLUE")</f>
        <v>BLUE</v>
      </c>
      <c r="G9133" s="20" t="str">
        <f>IFERROR(__xludf.DUMMYFUNCTION("""COMPUTED_VALUE"""),"Uncle Sams Cider (04/04/2023)")</f>
        <v>Uncle Sams Cider (04/04/2023)</v>
      </c>
      <c r="H9133" s="19"/>
    </row>
    <row r="9134">
      <c r="A9134" s="9"/>
      <c r="B9134" s="15"/>
      <c r="C9134" s="9">
        <f>IFERROR(__xludf.DUMMYFUNCTION("""COMPUTED_VALUE"""),45048.2749916203)</f>
        <v>45048.27499</v>
      </c>
      <c r="D9134" s="15">
        <f>IFERROR(__xludf.DUMMYFUNCTION("""COMPUTED_VALUE"""),1.025)</f>
        <v>1.025</v>
      </c>
      <c r="E9134" s="16">
        <f>IFERROR(__xludf.DUMMYFUNCTION("""COMPUTED_VALUE"""),62.0)</f>
        <v>62</v>
      </c>
      <c r="F9134" s="19" t="str">
        <f>IFERROR(__xludf.DUMMYFUNCTION("""COMPUTED_VALUE"""),"BLUE")</f>
        <v>BLUE</v>
      </c>
      <c r="G9134" s="20" t="str">
        <f>IFERROR(__xludf.DUMMYFUNCTION("""COMPUTED_VALUE"""),"Uncle Sams Cider (04/04/2023)")</f>
        <v>Uncle Sams Cider (04/04/2023)</v>
      </c>
      <c r="H9134" s="19"/>
    </row>
    <row r="9135">
      <c r="A9135" s="9"/>
      <c r="B9135" s="15"/>
      <c r="C9135" s="9">
        <f>IFERROR(__xludf.DUMMYFUNCTION("""COMPUTED_VALUE"""),45048.2645723958)</f>
        <v>45048.26457</v>
      </c>
      <c r="D9135" s="15">
        <f>IFERROR(__xludf.DUMMYFUNCTION("""COMPUTED_VALUE"""),1.025)</f>
        <v>1.025</v>
      </c>
      <c r="E9135" s="16">
        <f>IFERROR(__xludf.DUMMYFUNCTION("""COMPUTED_VALUE"""),62.0)</f>
        <v>62</v>
      </c>
      <c r="F9135" s="19" t="str">
        <f>IFERROR(__xludf.DUMMYFUNCTION("""COMPUTED_VALUE"""),"BLUE")</f>
        <v>BLUE</v>
      </c>
      <c r="G9135" s="20" t="str">
        <f>IFERROR(__xludf.DUMMYFUNCTION("""COMPUTED_VALUE"""),"Uncle Sams Cider (04/04/2023)")</f>
        <v>Uncle Sams Cider (04/04/2023)</v>
      </c>
      <c r="H9135" s="19"/>
    </row>
    <row r="9136">
      <c r="A9136" s="9"/>
      <c r="B9136" s="15"/>
      <c r="C9136" s="9">
        <f>IFERROR(__xludf.DUMMYFUNCTION("""COMPUTED_VALUE"""),45048.2541518171)</f>
        <v>45048.25415</v>
      </c>
      <c r="D9136" s="15">
        <f>IFERROR(__xludf.DUMMYFUNCTION("""COMPUTED_VALUE"""),1.025)</f>
        <v>1.025</v>
      </c>
      <c r="E9136" s="16">
        <f>IFERROR(__xludf.DUMMYFUNCTION("""COMPUTED_VALUE"""),62.0)</f>
        <v>62</v>
      </c>
      <c r="F9136" s="19" t="str">
        <f>IFERROR(__xludf.DUMMYFUNCTION("""COMPUTED_VALUE"""),"BLUE")</f>
        <v>BLUE</v>
      </c>
      <c r="G9136" s="20" t="str">
        <f>IFERROR(__xludf.DUMMYFUNCTION("""COMPUTED_VALUE"""),"Uncle Sams Cider (04/04/2023)")</f>
        <v>Uncle Sams Cider (04/04/2023)</v>
      </c>
      <c r="H9136" s="19"/>
    </row>
    <row r="9137">
      <c r="A9137" s="9"/>
      <c r="B9137" s="15"/>
      <c r="C9137" s="9">
        <f>IFERROR(__xludf.DUMMYFUNCTION("""COMPUTED_VALUE"""),45048.2437320833)</f>
        <v>45048.24373</v>
      </c>
      <c r="D9137" s="15">
        <f>IFERROR(__xludf.DUMMYFUNCTION("""COMPUTED_VALUE"""),1.025)</f>
        <v>1.025</v>
      </c>
      <c r="E9137" s="16">
        <f>IFERROR(__xludf.DUMMYFUNCTION("""COMPUTED_VALUE"""),62.0)</f>
        <v>62</v>
      </c>
      <c r="F9137" s="19" t="str">
        <f>IFERROR(__xludf.DUMMYFUNCTION("""COMPUTED_VALUE"""),"BLUE")</f>
        <v>BLUE</v>
      </c>
      <c r="G9137" s="20" t="str">
        <f>IFERROR(__xludf.DUMMYFUNCTION("""COMPUTED_VALUE"""),"Uncle Sams Cider (04/04/2023)")</f>
        <v>Uncle Sams Cider (04/04/2023)</v>
      </c>
      <c r="H9137" s="19"/>
    </row>
    <row r="9138">
      <c r="A9138" s="9"/>
      <c r="B9138" s="15"/>
      <c r="C9138" s="9">
        <f>IFERROR(__xludf.DUMMYFUNCTION("""COMPUTED_VALUE"""),45048.2333125463)</f>
        <v>45048.23331</v>
      </c>
      <c r="D9138" s="15">
        <f>IFERROR(__xludf.DUMMYFUNCTION("""COMPUTED_VALUE"""),1.025)</f>
        <v>1.025</v>
      </c>
      <c r="E9138" s="16">
        <f>IFERROR(__xludf.DUMMYFUNCTION("""COMPUTED_VALUE"""),62.0)</f>
        <v>62</v>
      </c>
      <c r="F9138" s="19" t="str">
        <f>IFERROR(__xludf.DUMMYFUNCTION("""COMPUTED_VALUE"""),"BLUE")</f>
        <v>BLUE</v>
      </c>
      <c r="G9138" s="20" t="str">
        <f>IFERROR(__xludf.DUMMYFUNCTION("""COMPUTED_VALUE"""),"Uncle Sams Cider (04/04/2023)")</f>
        <v>Uncle Sams Cider (04/04/2023)</v>
      </c>
      <c r="H9138" s="19"/>
    </row>
    <row r="9139">
      <c r="A9139" s="9"/>
      <c r="B9139" s="15"/>
      <c r="C9139" s="9">
        <f>IFERROR(__xludf.DUMMYFUNCTION("""COMPUTED_VALUE"""),45048.2228900578)</f>
        <v>45048.22289</v>
      </c>
      <c r="D9139" s="15">
        <f>IFERROR(__xludf.DUMMYFUNCTION("""COMPUTED_VALUE"""),1.025)</f>
        <v>1.025</v>
      </c>
      <c r="E9139" s="16">
        <f>IFERROR(__xludf.DUMMYFUNCTION("""COMPUTED_VALUE"""),62.0)</f>
        <v>62</v>
      </c>
      <c r="F9139" s="19" t="str">
        <f>IFERROR(__xludf.DUMMYFUNCTION("""COMPUTED_VALUE"""),"BLUE")</f>
        <v>BLUE</v>
      </c>
      <c r="G9139" s="20" t="str">
        <f>IFERROR(__xludf.DUMMYFUNCTION("""COMPUTED_VALUE"""),"Uncle Sams Cider (04/04/2023)")</f>
        <v>Uncle Sams Cider (04/04/2023)</v>
      </c>
      <c r="H9139" s="19"/>
    </row>
    <row r="9140">
      <c r="A9140" s="9"/>
      <c r="B9140" s="15"/>
      <c r="C9140" s="9">
        <f>IFERROR(__xludf.DUMMYFUNCTION("""COMPUTED_VALUE"""),45048.2124692245)</f>
        <v>45048.21247</v>
      </c>
      <c r="D9140" s="15">
        <f>IFERROR(__xludf.DUMMYFUNCTION("""COMPUTED_VALUE"""),1.025)</f>
        <v>1.025</v>
      </c>
      <c r="E9140" s="16">
        <f>IFERROR(__xludf.DUMMYFUNCTION("""COMPUTED_VALUE"""),62.0)</f>
        <v>62</v>
      </c>
      <c r="F9140" s="19" t="str">
        <f>IFERROR(__xludf.DUMMYFUNCTION("""COMPUTED_VALUE"""),"BLUE")</f>
        <v>BLUE</v>
      </c>
      <c r="G9140" s="20" t="str">
        <f>IFERROR(__xludf.DUMMYFUNCTION("""COMPUTED_VALUE"""),"Uncle Sams Cider (04/04/2023)")</f>
        <v>Uncle Sams Cider (04/04/2023)</v>
      </c>
      <c r="H9140" s="19"/>
    </row>
    <row r="9141">
      <c r="A9141" s="9"/>
      <c r="B9141" s="15"/>
      <c r="C9141" s="9">
        <f>IFERROR(__xludf.DUMMYFUNCTION("""COMPUTED_VALUE"""),45048.2020364467)</f>
        <v>45048.20204</v>
      </c>
      <c r="D9141" s="15">
        <f>IFERROR(__xludf.DUMMYFUNCTION("""COMPUTED_VALUE"""),1.025)</f>
        <v>1.025</v>
      </c>
      <c r="E9141" s="16">
        <f>IFERROR(__xludf.DUMMYFUNCTION("""COMPUTED_VALUE"""),62.0)</f>
        <v>62</v>
      </c>
      <c r="F9141" s="19" t="str">
        <f>IFERROR(__xludf.DUMMYFUNCTION("""COMPUTED_VALUE"""),"BLUE")</f>
        <v>BLUE</v>
      </c>
      <c r="G9141" s="20" t="str">
        <f>IFERROR(__xludf.DUMMYFUNCTION("""COMPUTED_VALUE"""),"Uncle Sams Cider (04/04/2023)")</f>
        <v>Uncle Sams Cider (04/04/2023)</v>
      </c>
      <c r="H9141" s="19"/>
    </row>
    <row r="9142">
      <c r="A9142" s="9"/>
      <c r="B9142" s="15"/>
      <c r="C9142" s="9">
        <f>IFERROR(__xludf.DUMMYFUNCTION("""COMPUTED_VALUE"""),45048.1916152777)</f>
        <v>45048.19162</v>
      </c>
      <c r="D9142" s="15">
        <f>IFERROR(__xludf.DUMMYFUNCTION("""COMPUTED_VALUE"""),1.025)</f>
        <v>1.025</v>
      </c>
      <c r="E9142" s="16">
        <f>IFERROR(__xludf.DUMMYFUNCTION("""COMPUTED_VALUE"""),62.0)</f>
        <v>62</v>
      </c>
      <c r="F9142" s="19" t="str">
        <f>IFERROR(__xludf.DUMMYFUNCTION("""COMPUTED_VALUE"""),"BLUE")</f>
        <v>BLUE</v>
      </c>
      <c r="G9142" s="20" t="str">
        <f>IFERROR(__xludf.DUMMYFUNCTION("""COMPUTED_VALUE"""),"Uncle Sams Cider (04/04/2023)")</f>
        <v>Uncle Sams Cider (04/04/2023)</v>
      </c>
      <c r="H9142" s="19"/>
    </row>
    <row r="9143">
      <c r="A9143" s="9"/>
      <c r="B9143" s="15"/>
      <c r="C9143" s="9">
        <f>IFERROR(__xludf.DUMMYFUNCTION("""COMPUTED_VALUE"""),45048.1811934838)</f>
        <v>45048.18119</v>
      </c>
      <c r="D9143" s="15">
        <f>IFERROR(__xludf.DUMMYFUNCTION("""COMPUTED_VALUE"""),1.025)</f>
        <v>1.025</v>
      </c>
      <c r="E9143" s="16">
        <f>IFERROR(__xludf.DUMMYFUNCTION("""COMPUTED_VALUE"""),62.0)</f>
        <v>62</v>
      </c>
      <c r="F9143" s="19" t="str">
        <f>IFERROR(__xludf.DUMMYFUNCTION("""COMPUTED_VALUE"""),"BLUE")</f>
        <v>BLUE</v>
      </c>
      <c r="G9143" s="20" t="str">
        <f>IFERROR(__xludf.DUMMYFUNCTION("""COMPUTED_VALUE"""),"Uncle Sams Cider (04/04/2023)")</f>
        <v>Uncle Sams Cider (04/04/2023)</v>
      </c>
      <c r="H9143" s="19"/>
    </row>
    <row r="9144">
      <c r="A9144" s="9"/>
      <c r="B9144" s="15"/>
      <c r="C9144" s="9">
        <f>IFERROR(__xludf.DUMMYFUNCTION("""COMPUTED_VALUE"""),45048.1707724884)</f>
        <v>45048.17077</v>
      </c>
      <c r="D9144" s="15">
        <f>IFERROR(__xludf.DUMMYFUNCTION("""COMPUTED_VALUE"""),1.025)</f>
        <v>1.025</v>
      </c>
      <c r="E9144" s="16">
        <f>IFERROR(__xludf.DUMMYFUNCTION("""COMPUTED_VALUE"""),62.0)</f>
        <v>62</v>
      </c>
      <c r="F9144" s="19" t="str">
        <f>IFERROR(__xludf.DUMMYFUNCTION("""COMPUTED_VALUE"""),"BLUE")</f>
        <v>BLUE</v>
      </c>
      <c r="G9144" s="20" t="str">
        <f>IFERROR(__xludf.DUMMYFUNCTION("""COMPUTED_VALUE"""),"Uncle Sams Cider (04/04/2023)")</f>
        <v>Uncle Sams Cider (04/04/2023)</v>
      </c>
      <c r="H9144" s="19"/>
    </row>
    <row r="9145">
      <c r="A9145" s="9"/>
      <c r="B9145" s="15"/>
      <c r="C9145" s="9">
        <f>IFERROR(__xludf.DUMMYFUNCTION("""COMPUTED_VALUE"""),45048.1603516088)</f>
        <v>45048.16035</v>
      </c>
      <c r="D9145" s="15">
        <f>IFERROR(__xludf.DUMMYFUNCTION("""COMPUTED_VALUE"""),1.025)</f>
        <v>1.025</v>
      </c>
      <c r="E9145" s="16">
        <f>IFERROR(__xludf.DUMMYFUNCTION("""COMPUTED_VALUE"""),62.0)</f>
        <v>62</v>
      </c>
      <c r="F9145" s="19" t="str">
        <f>IFERROR(__xludf.DUMMYFUNCTION("""COMPUTED_VALUE"""),"BLUE")</f>
        <v>BLUE</v>
      </c>
      <c r="G9145" s="20" t="str">
        <f>IFERROR(__xludf.DUMMYFUNCTION("""COMPUTED_VALUE"""),"Uncle Sams Cider (04/04/2023)")</f>
        <v>Uncle Sams Cider (04/04/2023)</v>
      </c>
      <c r="H9145" s="19"/>
    </row>
    <row r="9146">
      <c r="A9146" s="9"/>
      <c r="B9146" s="15"/>
      <c r="C9146" s="9">
        <f>IFERROR(__xludf.DUMMYFUNCTION("""COMPUTED_VALUE"""),45048.1499322685)</f>
        <v>45048.14993</v>
      </c>
      <c r="D9146" s="15">
        <f>IFERROR(__xludf.DUMMYFUNCTION("""COMPUTED_VALUE"""),1.025)</f>
        <v>1.025</v>
      </c>
      <c r="E9146" s="16">
        <f>IFERROR(__xludf.DUMMYFUNCTION("""COMPUTED_VALUE"""),62.0)</f>
        <v>62</v>
      </c>
      <c r="F9146" s="19" t="str">
        <f>IFERROR(__xludf.DUMMYFUNCTION("""COMPUTED_VALUE"""),"BLUE")</f>
        <v>BLUE</v>
      </c>
      <c r="G9146" s="20" t="str">
        <f>IFERROR(__xludf.DUMMYFUNCTION("""COMPUTED_VALUE"""),"Uncle Sams Cider (04/04/2023)")</f>
        <v>Uncle Sams Cider (04/04/2023)</v>
      </c>
      <c r="H9146" s="19"/>
    </row>
    <row r="9147">
      <c r="A9147" s="9"/>
      <c r="B9147" s="15"/>
      <c r="C9147" s="9">
        <f>IFERROR(__xludf.DUMMYFUNCTION("""COMPUTED_VALUE"""),45048.1395111689)</f>
        <v>45048.13951</v>
      </c>
      <c r="D9147" s="15">
        <f>IFERROR(__xludf.DUMMYFUNCTION("""COMPUTED_VALUE"""),1.025)</f>
        <v>1.025</v>
      </c>
      <c r="E9147" s="16">
        <f>IFERROR(__xludf.DUMMYFUNCTION("""COMPUTED_VALUE"""),62.0)</f>
        <v>62</v>
      </c>
      <c r="F9147" s="19" t="str">
        <f>IFERROR(__xludf.DUMMYFUNCTION("""COMPUTED_VALUE"""),"BLUE")</f>
        <v>BLUE</v>
      </c>
      <c r="G9147" s="20" t="str">
        <f>IFERROR(__xludf.DUMMYFUNCTION("""COMPUTED_VALUE"""),"Uncle Sams Cider (04/04/2023)")</f>
        <v>Uncle Sams Cider (04/04/2023)</v>
      </c>
      <c r="H9147" s="19"/>
    </row>
    <row r="9148">
      <c r="A9148" s="9"/>
      <c r="B9148" s="15"/>
      <c r="C9148" s="9">
        <f>IFERROR(__xludf.DUMMYFUNCTION("""COMPUTED_VALUE"""),45048.1290894212)</f>
        <v>45048.12909</v>
      </c>
      <c r="D9148" s="15">
        <f>IFERROR(__xludf.DUMMYFUNCTION("""COMPUTED_VALUE"""),1.025)</f>
        <v>1.025</v>
      </c>
      <c r="E9148" s="16">
        <f>IFERROR(__xludf.DUMMYFUNCTION("""COMPUTED_VALUE"""),62.0)</f>
        <v>62</v>
      </c>
      <c r="F9148" s="19" t="str">
        <f>IFERROR(__xludf.DUMMYFUNCTION("""COMPUTED_VALUE"""),"BLUE")</f>
        <v>BLUE</v>
      </c>
      <c r="G9148" s="20" t="str">
        <f>IFERROR(__xludf.DUMMYFUNCTION("""COMPUTED_VALUE"""),"Uncle Sams Cider (04/04/2023)")</f>
        <v>Uncle Sams Cider (04/04/2023)</v>
      </c>
      <c r="H9148" s="19"/>
    </row>
    <row r="9149">
      <c r="A9149" s="9"/>
      <c r="B9149" s="15"/>
      <c r="C9149" s="9">
        <f>IFERROR(__xludf.DUMMYFUNCTION("""COMPUTED_VALUE"""),45048.118668449)</f>
        <v>45048.11867</v>
      </c>
      <c r="D9149" s="15">
        <f>IFERROR(__xludf.DUMMYFUNCTION("""COMPUTED_VALUE"""),1.025)</f>
        <v>1.025</v>
      </c>
      <c r="E9149" s="16">
        <f>IFERROR(__xludf.DUMMYFUNCTION("""COMPUTED_VALUE"""),62.0)</f>
        <v>62</v>
      </c>
      <c r="F9149" s="19" t="str">
        <f>IFERROR(__xludf.DUMMYFUNCTION("""COMPUTED_VALUE"""),"BLUE")</f>
        <v>BLUE</v>
      </c>
      <c r="G9149" s="20" t="str">
        <f>IFERROR(__xludf.DUMMYFUNCTION("""COMPUTED_VALUE"""),"Uncle Sams Cider (04/04/2023)")</f>
        <v>Uncle Sams Cider (04/04/2023)</v>
      </c>
      <c r="H9149" s="19"/>
    </row>
    <row r="9150">
      <c r="A9150" s="9"/>
      <c r="B9150" s="15"/>
      <c r="C9150" s="9">
        <f>IFERROR(__xludf.DUMMYFUNCTION("""COMPUTED_VALUE"""),45048.1082450115)</f>
        <v>45048.10825</v>
      </c>
      <c r="D9150" s="15">
        <f>IFERROR(__xludf.DUMMYFUNCTION("""COMPUTED_VALUE"""),1.025)</f>
        <v>1.025</v>
      </c>
      <c r="E9150" s="16">
        <f>IFERROR(__xludf.DUMMYFUNCTION("""COMPUTED_VALUE"""),62.0)</f>
        <v>62</v>
      </c>
      <c r="F9150" s="19" t="str">
        <f>IFERROR(__xludf.DUMMYFUNCTION("""COMPUTED_VALUE"""),"BLUE")</f>
        <v>BLUE</v>
      </c>
      <c r="G9150" s="20" t="str">
        <f>IFERROR(__xludf.DUMMYFUNCTION("""COMPUTED_VALUE"""),"Uncle Sams Cider (04/04/2023)")</f>
        <v>Uncle Sams Cider (04/04/2023)</v>
      </c>
      <c r="H9150" s="19"/>
    </row>
    <row r="9151">
      <c r="A9151" s="9"/>
      <c r="B9151" s="15"/>
      <c r="C9151" s="9">
        <f>IFERROR(__xludf.DUMMYFUNCTION("""COMPUTED_VALUE"""),45048.0978257754)</f>
        <v>45048.09783</v>
      </c>
      <c r="D9151" s="15">
        <f>IFERROR(__xludf.DUMMYFUNCTION("""COMPUTED_VALUE"""),1.025)</f>
        <v>1.025</v>
      </c>
      <c r="E9151" s="16">
        <f>IFERROR(__xludf.DUMMYFUNCTION("""COMPUTED_VALUE"""),62.0)</f>
        <v>62</v>
      </c>
      <c r="F9151" s="19" t="str">
        <f>IFERROR(__xludf.DUMMYFUNCTION("""COMPUTED_VALUE"""),"BLUE")</f>
        <v>BLUE</v>
      </c>
      <c r="G9151" s="20" t="str">
        <f>IFERROR(__xludf.DUMMYFUNCTION("""COMPUTED_VALUE"""),"Uncle Sams Cider (04/04/2023)")</f>
        <v>Uncle Sams Cider (04/04/2023)</v>
      </c>
      <c r="H9151" s="19"/>
    </row>
    <row r="9152">
      <c r="A9152" s="9"/>
      <c r="B9152" s="15"/>
      <c r="C9152" s="9">
        <f>IFERROR(__xludf.DUMMYFUNCTION("""COMPUTED_VALUE"""),45048.0874045601)</f>
        <v>45048.0874</v>
      </c>
      <c r="D9152" s="15">
        <f>IFERROR(__xludf.DUMMYFUNCTION("""COMPUTED_VALUE"""),1.025)</f>
        <v>1.025</v>
      </c>
      <c r="E9152" s="16">
        <f>IFERROR(__xludf.DUMMYFUNCTION("""COMPUTED_VALUE"""),62.0)</f>
        <v>62</v>
      </c>
      <c r="F9152" s="19" t="str">
        <f>IFERROR(__xludf.DUMMYFUNCTION("""COMPUTED_VALUE"""),"BLUE")</f>
        <v>BLUE</v>
      </c>
      <c r="G9152" s="20" t="str">
        <f>IFERROR(__xludf.DUMMYFUNCTION("""COMPUTED_VALUE"""),"Uncle Sams Cider (04/04/2023)")</f>
        <v>Uncle Sams Cider (04/04/2023)</v>
      </c>
      <c r="H9152" s="19"/>
    </row>
    <row r="9153">
      <c r="A9153" s="9"/>
      <c r="B9153" s="15"/>
      <c r="C9153" s="9">
        <f>IFERROR(__xludf.DUMMYFUNCTION("""COMPUTED_VALUE"""),45048.0769818518)</f>
        <v>45048.07698</v>
      </c>
      <c r="D9153" s="15">
        <f>IFERROR(__xludf.DUMMYFUNCTION("""COMPUTED_VALUE"""),1.026)</f>
        <v>1.026</v>
      </c>
      <c r="E9153" s="16">
        <f>IFERROR(__xludf.DUMMYFUNCTION("""COMPUTED_VALUE"""),62.0)</f>
        <v>62</v>
      </c>
      <c r="F9153" s="19" t="str">
        <f>IFERROR(__xludf.DUMMYFUNCTION("""COMPUTED_VALUE"""),"BLUE")</f>
        <v>BLUE</v>
      </c>
      <c r="G9153" s="20" t="str">
        <f>IFERROR(__xludf.DUMMYFUNCTION("""COMPUTED_VALUE"""),"Uncle Sams Cider (04/04/2023)")</f>
        <v>Uncle Sams Cider (04/04/2023)</v>
      </c>
      <c r="H9153" s="19"/>
    </row>
    <row r="9154">
      <c r="A9154" s="9"/>
      <c r="B9154" s="15"/>
      <c r="C9154" s="9">
        <f>IFERROR(__xludf.DUMMYFUNCTION("""COMPUTED_VALUE"""),45048.0665620139)</f>
        <v>45048.06656</v>
      </c>
      <c r="D9154" s="15">
        <f>IFERROR(__xludf.DUMMYFUNCTION("""COMPUTED_VALUE"""),1.025)</f>
        <v>1.025</v>
      </c>
      <c r="E9154" s="16">
        <f>IFERROR(__xludf.DUMMYFUNCTION("""COMPUTED_VALUE"""),62.0)</f>
        <v>62</v>
      </c>
      <c r="F9154" s="19" t="str">
        <f>IFERROR(__xludf.DUMMYFUNCTION("""COMPUTED_VALUE"""),"BLUE")</f>
        <v>BLUE</v>
      </c>
      <c r="G9154" s="20" t="str">
        <f>IFERROR(__xludf.DUMMYFUNCTION("""COMPUTED_VALUE"""),"Uncle Sams Cider (04/04/2023)")</f>
        <v>Uncle Sams Cider (04/04/2023)</v>
      </c>
      <c r="H9154" s="19"/>
    </row>
    <row r="9155">
      <c r="A9155" s="9"/>
      <c r="B9155" s="15"/>
      <c r="C9155" s="9">
        <f>IFERROR(__xludf.DUMMYFUNCTION("""COMPUTED_VALUE"""),45048.0561310648)</f>
        <v>45048.05613</v>
      </c>
      <c r="D9155" s="15">
        <f>IFERROR(__xludf.DUMMYFUNCTION("""COMPUTED_VALUE"""),1.025)</f>
        <v>1.025</v>
      </c>
      <c r="E9155" s="16">
        <f>IFERROR(__xludf.DUMMYFUNCTION("""COMPUTED_VALUE"""),62.0)</f>
        <v>62</v>
      </c>
      <c r="F9155" s="19" t="str">
        <f>IFERROR(__xludf.DUMMYFUNCTION("""COMPUTED_VALUE"""),"BLUE")</f>
        <v>BLUE</v>
      </c>
      <c r="G9155" s="20" t="str">
        <f>IFERROR(__xludf.DUMMYFUNCTION("""COMPUTED_VALUE"""),"Uncle Sams Cider (04/04/2023)")</f>
        <v>Uncle Sams Cider (04/04/2023)</v>
      </c>
      <c r="H9155" s="19"/>
    </row>
    <row r="9156">
      <c r="A9156" s="9"/>
      <c r="B9156" s="15"/>
      <c r="C9156" s="9">
        <f>IFERROR(__xludf.DUMMYFUNCTION("""COMPUTED_VALUE"""),45048.04571)</f>
        <v>45048.04571</v>
      </c>
      <c r="D9156" s="15">
        <f>IFERROR(__xludf.DUMMYFUNCTION("""COMPUTED_VALUE"""),1.025)</f>
        <v>1.025</v>
      </c>
      <c r="E9156" s="16">
        <f>IFERROR(__xludf.DUMMYFUNCTION("""COMPUTED_VALUE"""),62.0)</f>
        <v>62</v>
      </c>
      <c r="F9156" s="19" t="str">
        <f>IFERROR(__xludf.DUMMYFUNCTION("""COMPUTED_VALUE"""),"BLUE")</f>
        <v>BLUE</v>
      </c>
      <c r="G9156" s="20" t="str">
        <f>IFERROR(__xludf.DUMMYFUNCTION("""COMPUTED_VALUE"""),"Uncle Sams Cider (04/04/2023)")</f>
        <v>Uncle Sams Cider (04/04/2023)</v>
      </c>
      <c r="H9156" s="19"/>
    </row>
    <row r="9157">
      <c r="A9157" s="9"/>
      <c r="B9157" s="15"/>
      <c r="C9157" s="9">
        <f>IFERROR(__xludf.DUMMYFUNCTION("""COMPUTED_VALUE"""),45048.0352885069)</f>
        <v>45048.03529</v>
      </c>
      <c r="D9157" s="15">
        <f>IFERROR(__xludf.DUMMYFUNCTION("""COMPUTED_VALUE"""),1.025)</f>
        <v>1.025</v>
      </c>
      <c r="E9157" s="16">
        <f>IFERROR(__xludf.DUMMYFUNCTION("""COMPUTED_VALUE"""),62.0)</f>
        <v>62</v>
      </c>
      <c r="F9157" s="19" t="str">
        <f>IFERROR(__xludf.DUMMYFUNCTION("""COMPUTED_VALUE"""),"BLUE")</f>
        <v>BLUE</v>
      </c>
      <c r="G9157" s="20" t="str">
        <f>IFERROR(__xludf.DUMMYFUNCTION("""COMPUTED_VALUE"""),"Uncle Sams Cider (04/04/2023)")</f>
        <v>Uncle Sams Cider (04/04/2023)</v>
      </c>
      <c r="H9157" s="19"/>
    </row>
    <row r="9158">
      <c r="A9158" s="9"/>
      <c r="B9158" s="15"/>
      <c r="C9158" s="9">
        <f>IFERROR(__xludf.DUMMYFUNCTION("""COMPUTED_VALUE"""),45048.0248663657)</f>
        <v>45048.02487</v>
      </c>
      <c r="D9158" s="15">
        <f>IFERROR(__xludf.DUMMYFUNCTION("""COMPUTED_VALUE"""),1.025)</f>
        <v>1.025</v>
      </c>
      <c r="E9158" s="16">
        <f>IFERROR(__xludf.DUMMYFUNCTION("""COMPUTED_VALUE"""),62.0)</f>
        <v>62</v>
      </c>
      <c r="F9158" s="19" t="str">
        <f>IFERROR(__xludf.DUMMYFUNCTION("""COMPUTED_VALUE"""),"BLUE")</f>
        <v>BLUE</v>
      </c>
      <c r="G9158" s="20" t="str">
        <f>IFERROR(__xludf.DUMMYFUNCTION("""COMPUTED_VALUE"""),"Uncle Sams Cider (04/04/2023)")</f>
        <v>Uncle Sams Cider (04/04/2023)</v>
      </c>
      <c r="H9158" s="19"/>
    </row>
    <row r="9159">
      <c r="A9159" s="9"/>
      <c r="B9159" s="15"/>
      <c r="C9159" s="9">
        <f>IFERROR(__xludf.DUMMYFUNCTION("""COMPUTED_VALUE"""),45048.0144451041)</f>
        <v>45048.01445</v>
      </c>
      <c r="D9159" s="15">
        <f>IFERROR(__xludf.DUMMYFUNCTION("""COMPUTED_VALUE"""),1.025)</f>
        <v>1.025</v>
      </c>
      <c r="E9159" s="16">
        <f>IFERROR(__xludf.DUMMYFUNCTION("""COMPUTED_VALUE"""),62.0)</f>
        <v>62</v>
      </c>
      <c r="F9159" s="19" t="str">
        <f>IFERROR(__xludf.DUMMYFUNCTION("""COMPUTED_VALUE"""),"BLUE")</f>
        <v>BLUE</v>
      </c>
      <c r="G9159" s="20" t="str">
        <f>IFERROR(__xludf.DUMMYFUNCTION("""COMPUTED_VALUE"""),"Uncle Sams Cider (04/04/2023)")</f>
        <v>Uncle Sams Cider (04/04/2023)</v>
      </c>
      <c r="H9159" s="19"/>
    </row>
    <row r="9160">
      <c r="A9160" s="9"/>
      <c r="B9160" s="15"/>
      <c r="C9160" s="9">
        <f>IFERROR(__xludf.DUMMYFUNCTION("""COMPUTED_VALUE"""),45048.0040131481)</f>
        <v>45048.00401</v>
      </c>
      <c r="D9160" s="15">
        <f>IFERROR(__xludf.DUMMYFUNCTION("""COMPUTED_VALUE"""),1.025)</f>
        <v>1.025</v>
      </c>
      <c r="E9160" s="16">
        <f>IFERROR(__xludf.DUMMYFUNCTION("""COMPUTED_VALUE"""),62.0)</f>
        <v>62</v>
      </c>
      <c r="F9160" s="19" t="str">
        <f>IFERROR(__xludf.DUMMYFUNCTION("""COMPUTED_VALUE"""),"BLUE")</f>
        <v>BLUE</v>
      </c>
      <c r="G9160" s="20" t="str">
        <f>IFERROR(__xludf.DUMMYFUNCTION("""COMPUTED_VALUE"""),"Uncle Sams Cider (04/04/2023)")</f>
        <v>Uncle Sams Cider (04/04/2023)</v>
      </c>
      <c r="H9160" s="19"/>
    </row>
    <row r="9161">
      <c r="A9161" s="9"/>
      <c r="B9161" s="15"/>
      <c r="C9161" s="9">
        <f>IFERROR(__xludf.DUMMYFUNCTION("""COMPUTED_VALUE"""),45047.9935908912)</f>
        <v>45047.99359</v>
      </c>
      <c r="D9161" s="15">
        <f>IFERROR(__xludf.DUMMYFUNCTION("""COMPUTED_VALUE"""),1.025)</f>
        <v>1.025</v>
      </c>
      <c r="E9161" s="16">
        <f>IFERROR(__xludf.DUMMYFUNCTION("""COMPUTED_VALUE"""),62.0)</f>
        <v>62</v>
      </c>
      <c r="F9161" s="19" t="str">
        <f>IFERROR(__xludf.DUMMYFUNCTION("""COMPUTED_VALUE"""),"BLUE")</f>
        <v>BLUE</v>
      </c>
      <c r="G9161" s="20" t="str">
        <f>IFERROR(__xludf.DUMMYFUNCTION("""COMPUTED_VALUE"""),"Uncle Sams Cider (04/04/2023)")</f>
        <v>Uncle Sams Cider (04/04/2023)</v>
      </c>
      <c r="H9161" s="19"/>
    </row>
    <row r="9162">
      <c r="A9162" s="9"/>
      <c r="B9162" s="15"/>
      <c r="C9162" s="9">
        <f>IFERROR(__xludf.DUMMYFUNCTION("""COMPUTED_VALUE"""),45047.9831701504)</f>
        <v>45047.98317</v>
      </c>
      <c r="D9162" s="15">
        <f>IFERROR(__xludf.DUMMYFUNCTION("""COMPUTED_VALUE"""),1.026)</f>
        <v>1.026</v>
      </c>
      <c r="E9162" s="16">
        <f>IFERROR(__xludf.DUMMYFUNCTION("""COMPUTED_VALUE"""),62.0)</f>
        <v>62</v>
      </c>
      <c r="F9162" s="19" t="str">
        <f>IFERROR(__xludf.DUMMYFUNCTION("""COMPUTED_VALUE"""),"BLUE")</f>
        <v>BLUE</v>
      </c>
      <c r="G9162" s="20" t="str">
        <f>IFERROR(__xludf.DUMMYFUNCTION("""COMPUTED_VALUE"""),"Uncle Sams Cider (04/04/2023)")</f>
        <v>Uncle Sams Cider (04/04/2023)</v>
      </c>
      <c r="H9162" s="19"/>
    </row>
    <row r="9163">
      <c r="A9163" s="9"/>
      <c r="B9163" s="15"/>
      <c r="C9163" s="9">
        <f>IFERROR(__xludf.DUMMYFUNCTION("""COMPUTED_VALUE"""),45047.9727490972)</f>
        <v>45047.97275</v>
      </c>
      <c r="D9163" s="15">
        <f>IFERROR(__xludf.DUMMYFUNCTION("""COMPUTED_VALUE"""),1.025)</f>
        <v>1.025</v>
      </c>
      <c r="E9163" s="16">
        <f>IFERROR(__xludf.DUMMYFUNCTION("""COMPUTED_VALUE"""),62.0)</f>
        <v>62</v>
      </c>
      <c r="F9163" s="19" t="str">
        <f>IFERROR(__xludf.DUMMYFUNCTION("""COMPUTED_VALUE"""),"BLUE")</f>
        <v>BLUE</v>
      </c>
      <c r="G9163" s="20" t="str">
        <f>IFERROR(__xludf.DUMMYFUNCTION("""COMPUTED_VALUE"""),"Uncle Sams Cider (04/04/2023)")</f>
        <v>Uncle Sams Cider (04/04/2023)</v>
      </c>
      <c r="H9163" s="19"/>
    </row>
    <row r="9164">
      <c r="A9164" s="9"/>
      <c r="B9164" s="15"/>
      <c r="C9164" s="9">
        <f>IFERROR(__xludf.DUMMYFUNCTION("""COMPUTED_VALUE"""),45047.9623280555)</f>
        <v>45047.96233</v>
      </c>
      <c r="D9164" s="15">
        <f>IFERROR(__xludf.DUMMYFUNCTION("""COMPUTED_VALUE"""),1.026)</f>
        <v>1.026</v>
      </c>
      <c r="E9164" s="16">
        <f>IFERROR(__xludf.DUMMYFUNCTION("""COMPUTED_VALUE"""),62.0)</f>
        <v>62</v>
      </c>
      <c r="F9164" s="19" t="str">
        <f>IFERROR(__xludf.DUMMYFUNCTION("""COMPUTED_VALUE"""),"BLUE")</f>
        <v>BLUE</v>
      </c>
      <c r="G9164" s="20" t="str">
        <f>IFERROR(__xludf.DUMMYFUNCTION("""COMPUTED_VALUE"""),"Uncle Sams Cider (04/04/2023)")</f>
        <v>Uncle Sams Cider (04/04/2023)</v>
      </c>
      <c r="H9164" s="19"/>
    </row>
    <row r="9165">
      <c r="A9165" s="9"/>
      <c r="B9165" s="15"/>
      <c r="C9165" s="9">
        <f>IFERROR(__xludf.DUMMYFUNCTION("""COMPUTED_VALUE"""),45047.9518942824)</f>
        <v>45047.95189</v>
      </c>
      <c r="D9165" s="15">
        <f>IFERROR(__xludf.DUMMYFUNCTION("""COMPUTED_VALUE"""),1.025)</f>
        <v>1.025</v>
      </c>
      <c r="E9165" s="16">
        <f>IFERROR(__xludf.DUMMYFUNCTION("""COMPUTED_VALUE"""),62.0)</f>
        <v>62</v>
      </c>
      <c r="F9165" s="19" t="str">
        <f>IFERROR(__xludf.DUMMYFUNCTION("""COMPUTED_VALUE"""),"BLUE")</f>
        <v>BLUE</v>
      </c>
      <c r="G9165" s="20" t="str">
        <f>IFERROR(__xludf.DUMMYFUNCTION("""COMPUTED_VALUE"""),"Uncle Sams Cider (04/04/2023)")</f>
        <v>Uncle Sams Cider (04/04/2023)</v>
      </c>
      <c r="H9165" s="19"/>
    </row>
    <row r="9166">
      <c r="A9166" s="9"/>
      <c r="B9166" s="15"/>
      <c r="C9166" s="9">
        <f>IFERROR(__xludf.DUMMYFUNCTION("""COMPUTED_VALUE"""),45047.9414736342)</f>
        <v>45047.94147</v>
      </c>
      <c r="D9166" s="15">
        <f>IFERROR(__xludf.DUMMYFUNCTION("""COMPUTED_VALUE"""),1.026)</f>
        <v>1.026</v>
      </c>
      <c r="E9166" s="16">
        <f>IFERROR(__xludf.DUMMYFUNCTION("""COMPUTED_VALUE"""),62.0)</f>
        <v>62</v>
      </c>
      <c r="F9166" s="19" t="str">
        <f>IFERROR(__xludf.DUMMYFUNCTION("""COMPUTED_VALUE"""),"BLUE")</f>
        <v>BLUE</v>
      </c>
      <c r="G9166" s="20" t="str">
        <f>IFERROR(__xludf.DUMMYFUNCTION("""COMPUTED_VALUE"""),"Uncle Sams Cider (04/04/2023)")</f>
        <v>Uncle Sams Cider (04/04/2023)</v>
      </c>
      <c r="H9166" s="19"/>
    </row>
    <row r="9167">
      <c r="A9167" s="9"/>
      <c r="B9167" s="15"/>
      <c r="C9167" s="9">
        <f>IFERROR(__xludf.DUMMYFUNCTION("""COMPUTED_VALUE"""),45047.9310403472)</f>
        <v>45047.93104</v>
      </c>
      <c r="D9167" s="15">
        <f>IFERROR(__xludf.DUMMYFUNCTION("""COMPUTED_VALUE"""),1.026)</f>
        <v>1.026</v>
      </c>
      <c r="E9167" s="16">
        <f>IFERROR(__xludf.DUMMYFUNCTION("""COMPUTED_VALUE"""),62.0)</f>
        <v>62</v>
      </c>
      <c r="F9167" s="19" t="str">
        <f>IFERROR(__xludf.DUMMYFUNCTION("""COMPUTED_VALUE"""),"BLUE")</f>
        <v>BLUE</v>
      </c>
      <c r="G9167" s="20" t="str">
        <f>IFERROR(__xludf.DUMMYFUNCTION("""COMPUTED_VALUE"""),"Uncle Sams Cider (04/04/2023)")</f>
        <v>Uncle Sams Cider (04/04/2023)</v>
      </c>
      <c r="H9167" s="19"/>
    </row>
    <row r="9168">
      <c r="A9168" s="9"/>
      <c r="B9168" s="15"/>
      <c r="C9168" s="9">
        <f>IFERROR(__xludf.DUMMYFUNCTION("""COMPUTED_VALUE"""),45047.9206196643)</f>
        <v>45047.92062</v>
      </c>
      <c r="D9168" s="15">
        <f>IFERROR(__xludf.DUMMYFUNCTION("""COMPUTED_VALUE"""),1.026)</f>
        <v>1.026</v>
      </c>
      <c r="E9168" s="16">
        <f>IFERROR(__xludf.DUMMYFUNCTION("""COMPUTED_VALUE"""),62.0)</f>
        <v>62</v>
      </c>
      <c r="F9168" s="19" t="str">
        <f>IFERROR(__xludf.DUMMYFUNCTION("""COMPUTED_VALUE"""),"BLUE")</f>
        <v>BLUE</v>
      </c>
      <c r="G9168" s="20" t="str">
        <f>IFERROR(__xludf.DUMMYFUNCTION("""COMPUTED_VALUE"""),"Uncle Sams Cider (04/04/2023)")</f>
        <v>Uncle Sams Cider (04/04/2023)</v>
      </c>
      <c r="H9168" s="19"/>
    </row>
    <row r="9169">
      <c r="A9169" s="9"/>
      <c r="B9169" s="15"/>
      <c r="C9169" s="9">
        <f>IFERROR(__xludf.DUMMYFUNCTION("""COMPUTED_VALUE"""),45047.9101985185)</f>
        <v>45047.9102</v>
      </c>
      <c r="D9169" s="15">
        <f>IFERROR(__xludf.DUMMYFUNCTION("""COMPUTED_VALUE"""),1.026)</f>
        <v>1.026</v>
      </c>
      <c r="E9169" s="16">
        <f>IFERROR(__xludf.DUMMYFUNCTION("""COMPUTED_VALUE"""),62.0)</f>
        <v>62</v>
      </c>
      <c r="F9169" s="19" t="str">
        <f>IFERROR(__xludf.DUMMYFUNCTION("""COMPUTED_VALUE"""),"BLUE")</f>
        <v>BLUE</v>
      </c>
      <c r="G9169" s="20" t="str">
        <f>IFERROR(__xludf.DUMMYFUNCTION("""COMPUTED_VALUE"""),"Uncle Sams Cider (04/04/2023)")</f>
        <v>Uncle Sams Cider (04/04/2023)</v>
      </c>
      <c r="H9169" s="19"/>
    </row>
    <row r="9170">
      <c r="A9170" s="9"/>
      <c r="B9170" s="15"/>
      <c r="C9170" s="9">
        <f>IFERROR(__xludf.DUMMYFUNCTION("""COMPUTED_VALUE"""),45047.8997790972)</f>
        <v>45047.89978</v>
      </c>
      <c r="D9170" s="15">
        <f>IFERROR(__xludf.DUMMYFUNCTION("""COMPUTED_VALUE"""),1.026)</f>
        <v>1.026</v>
      </c>
      <c r="E9170" s="16">
        <f>IFERROR(__xludf.DUMMYFUNCTION("""COMPUTED_VALUE"""),62.0)</f>
        <v>62</v>
      </c>
      <c r="F9170" s="19" t="str">
        <f>IFERROR(__xludf.DUMMYFUNCTION("""COMPUTED_VALUE"""),"BLUE")</f>
        <v>BLUE</v>
      </c>
      <c r="G9170" s="20" t="str">
        <f>IFERROR(__xludf.DUMMYFUNCTION("""COMPUTED_VALUE"""),"Uncle Sams Cider (04/04/2023)")</f>
        <v>Uncle Sams Cider (04/04/2023)</v>
      </c>
      <c r="H9170" s="19"/>
    </row>
    <row r="9171">
      <c r="A9171" s="9"/>
      <c r="B9171" s="15"/>
      <c r="C9171" s="9">
        <f>IFERROR(__xludf.DUMMYFUNCTION("""COMPUTED_VALUE"""),45047.8893460879)</f>
        <v>45047.88935</v>
      </c>
      <c r="D9171" s="15">
        <f>IFERROR(__xludf.DUMMYFUNCTION("""COMPUTED_VALUE"""),1.026)</f>
        <v>1.026</v>
      </c>
      <c r="E9171" s="16">
        <f>IFERROR(__xludf.DUMMYFUNCTION("""COMPUTED_VALUE"""),62.0)</f>
        <v>62</v>
      </c>
      <c r="F9171" s="19" t="str">
        <f>IFERROR(__xludf.DUMMYFUNCTION("""COMPUTED_VALUE"""),"BLUE")</f>
        <v>BLUE</v>
      </c>
      <c r="G9171" s="20" t="str">
        <f>IFERROR(__xludf.DUMMYFUNCTION("""COMPUTED_VALUE"""),"Uncle Sams Cider (04/04/2023)")</f>
        <v>Uncle Sams Cider (04/04/2023)</v>
      </c>
      <c r="H9171" s="19"/>
    </row>
    <row r="9172">
      <c r="A9172" s="9"/>
      <c r="B9172" s="15"/>
      <c r="C9172" s="9">
        <f>IFERROR(__xludf.DUMMYFUNCTION("""COMPUTED_VALUE"""),45047.8684917476)</f>
        <v>45047.86849</v>
      </c>
      <c r="D9172" s="15">
        <f>IFERROR(__xludf.DUMMYFUNCTION("""COMPUTED_VALUE"""),1.026)</f>
        <v>1.026</v>
      </c>
      <c r="E9172" s="16">
        <f>IFERROR(__xludf.DUMMYFUNCTION("""COMPUTED_VALUE"""),62.0)</f>
        <v>62</v>
      </c>
      <c r="F9172" s="19" t="str">
        <f>IFERROR(__xludf.DUMMYFUNCTION("""COMPUTED_VALUE"""),"BLUE")</f>
        <v>BLUE</v>
      </c>
      <c r="G9172" s="20" t="str">
        <f>IFERROR(__xludf.DUMMYFUNCTION("""COMPUTED_VALUE"""),"Uncle Sams Cider (04/04/2023)")</f>
        <v>Uncle Sams Cider (04/04/2023)</v>
      </c>
      <c r="H9172" s="19"/>
    </row>
    <row r="9173">
      <c r="A9173" s="9"/>
      <c r="B9173" s="15"/>
      <c r="C9173" s="9">
        <f>IFERROR(__xludf.DUMMYFUNCTION("""COMPUTED_VALUE"""),45047.8580496643)</f>
        <v>45047.85805</v>
      </c>
      <c r="D9173" s="15">
        <f>IFERROR(__xludf.DUMMYFUNCTION("""COMPUTED_VALUE"""),1.026)</f>
        <v>1.026</v>
      </c>
      <c r="E9173" s="16">
        <f>IFERROR(__xludf.DUMMYFUNCTION("""COMPUTED_VALUE"""),62.0)</f>
        <v>62</v>
      </c>
      <c r="F9173" s="19" t="str">
        <f>IFERROR(__xludf.DUMMYFUNCTION("""COMPUTED_VALUE"""),"BLUE")</f>
        <v>BLUE</v>
      </c>
      <c r="G9173" s="20" t="str">
        <f>IFERROR(__xludf.DUMMYFUNCTION("""COMPUTED_VALUE"""),"Uncle Sams Cider (04/04/2023)")</f>
        <v>Uncle Sams Cider (04/04/2023)</v>
      </c>
      <c r="H9173" s="19"/>
    </row>
    <row r="9174">
      <c r="A9174" s="9"/>
      <c r="B9174" s="15"/>
      <c r="C9174" s="9">
        <f>IFERROR(__xludf.DUMMYFUNCTION("""COMPUTED_VALUE"""),45047.847628125)</f>
        <v>45047.84763</v>
      </c>
      <c r="D9174" s="15">
        <f>IFERROR(__xludf.DUMMYFUNCTION("""COMPUTED_VALUE"""),1.026)</f>
        <v>1.026</v>
      </c>
      <c r="E9174" s="16">
        <f>IFERROR(__xludf.DUMMYFUNCTION("""COMPUTED_VALUE"""),62.0)</f>
        <v>62</v>
      </c>
      <c r="F9174" s="19" t="str">
        <f>IFERROR(__xludf.DUMMYFUNCTION("""COMPUTED_VALUE"""),"BLUE")</f>
        <v>BLUE</v>
      </c>
      <c r="G9174" s="20" t="str">
        <f>IFERROR(__xludf.DUMMYFUNCTION("""COMPUTED_VALUE"""),"Uncle Sams Cider (04/04/2023)")</f>
        <v>Uncle Sams Cider (04/04/2023)</v>
      </c>
      <c r="H9174" s="19"/>
    </row>
    <row r="9175">
      <c r="A9175" s="9"/>
      <c r="B9175" s="15"/>
      <c r="C9175" s="9">
        <f>IFERROR(__xludf.DUMMYFUNCTION("""COMPUTED_VALUE"""),45047.8372085995)</f>
        <v>45047.83721</v>
      </c>
      <c r="D9175" s="15">
        <f>IFERROR(__xludf.DUMMYFUNCTION("""COMPUTED_VALUE"""),1.026)</f>
        <v>1.026</v>
      </c>
      <c r="E9175" s="16">
        <f>IFERROR(__xludf.DUMMYFUNCTION("""COMPUTED_VALUE"""),62.0)</f>
        <v>62</v>
      </c>
      <c r="F9175" s="19" t="str">
        <f>IFERROR(__xludf.DUMMYFUNCTION("""COMPUTED_VALUE"""),"BLUE")</f>
        <v>BLUE</v>
      </c>
      <c r="G9175" s="20" t="str">
        <f>IFERROR(__xludf.DUMMYFUNCTION("""COMPUTED_VALUE"""),"Uncle Sams Cider (04/04/2023)")</f>
        <v>Uncle Sams Cider (04/04/2023)</v>
      </c>
      <c r="H9175" s="19"/>
    </row>
    <row r="9176">
      <c r="A9176" s="9"/>
      <c r="B9176" s="15"/>
      <c r="C9176" s="9">
        <f>IFERROR(__xludf.DUMMYFUNCTION("""COMPUTED_VALUE"""),45047.826789375)</f>
        <v>45047.82679</v>
      </c>
      <c r="D9176" s="15">
        <f>IFERROR(__xludf.DUMMYFUNCTION("""COMPUTED_VALUE"""),1.026)</f>
        <v>1.026</v>
      </c>
      <c r="E9176" s="16">
        <f>IFERROR(__xludf.DUMMYFUNCTION("""COMPUTED_VALUE"""),62.0)</f>
        <v>62</v>
      </c>
      <c r="F9176" s="19" t="str">
        <f>IFERROR(__xludf.DUMMYFUNCTION("""COMPUTED_VALUE"""),"BLUE")</f>
        <v>BLUE</v>
      </c>
      <c r="G9176" s="20" t="str">
        <f>IFERROR(__xludf.DUMMYFUNCTION("""COMPUTED_VALUE"""),"Uncle Sams Cider (04/04/2023)")</f>
        <v>Uncle Sams Cider (04/04/2023)</v>
      </c>
      <c r="H9176" s="19"/>
    </row>
    <row r="9177">
      <c r="A9177" s="9"/>
      <c r="B9177" s="15"/>
      <c r="C9177" s="9">
        <f>IFERROR(__xludf.DUMMYFUNCTION("""COMPUTED_VALUE"""),45047.8163557986)</f>
        <v>45047.81636</v>
      </c>
      <c r="D9177" s="15">
        <f>IFERROR(__xludf.DUMMYFUNCTION("""COMPUTED_VALUE"""),1.026)</f>
        <v>1.026</v>
      </c>
      <c r="E9177" s="16">
        <f>IFERROR(__xludf.DUMMYFUNCTION("""COMPUTED_VALUE"""),62.0)</f>
        <v>62</v>
      </c>
      <c r="F9177" s="19" t="str">
        <f>IFERROR(__xludf.DUMMYFUNCTION("""COMPUTED_VALUE"""),"BLUE")</f>
        <v>BLUE</v>
      </c>
      <c r="G9177" s="20" t="str">
        <f>IFERROR(__xludf.DUMMYFUNCTION("""COMPUTED_VALUE"""),"Uncle Sams Cider (04/04/2023)")</f>
        <v>Uncle Sams Cider (04/04/2023)</v>
      </c>
      <c r="H9177" s="19"/>
    </row>
    <row r="9178">
      <c r="A9178" s="9"/>
      <c r="B9178" s="15"/>
      <c r="C9178" s="9">
        <f>IFERROR(__xludf.DUMMYFUNCTION("""COMPUTED_VALUE"""),45047.8059219097)</f>
        <v>45047.80592</v>
      </c>
      <c r="D9178" s="15">
        <f>IFERROR(__xludf.DUMMYFUNCTION("""COMPUTED_VALUE"""),1.026)</f>
        <v>1.026</v>
      </c>
      <c r="E9178" s="16">
        <f>IFERROR(__xludf.DUMMYFUNCTION("""COMPUTED_VALUE"""),62.0)</f>
        <v>62</v>
      </c>
      <c r="F9178" s="19" t="str">
        <f>IFERROR(__xludf.DUMMYFUNCTION("""COMPUTED_VALUE"""),"BLUE")</f>
        <v>BLUE</v>
      </c>
      <c r="G9178" s="20" t="str">
        <f>IFERROR(__xludf.DUMMYFUNCTION("""COMPUTED_VALUE"""),"Uncle Sams Cider (04/04/2023)")</f>
        <v>Uncle Sams Cider (04/04/2023)</v>
      </c>
      <c r="H9178" s="19"/>
    </row>
    <row r="9179">
      <c r="A9179" s="9"/>
      <c r="B9179" s="15"/>
      <c r="C9179" s="9">
        <f>IFERROR(__xludf.DUMMYFUNCTION("""COMPUTED_VALUE"""),45047.7955001967)</f>
        <v>45047.7955</v>
      </c>
      <c r="D9179" s="15">
        <f>IFERROR(__xludf.DUMMYFUNCTION("""COMPUTED_VALUE"""),1.026)</f>
        <v>1.026</v>
      </c>
      <c r="E9179" s="16">
        <f>IFERROR(__xludf.DUMMYFUNCTION("""COMPUTED_VALUE"""),62.0)</f>
        <v>62</v>
      </c>
      <c r="F9179" s="19" t="str">
        <f>IFERROR(__xludf.DUMMYFUNCTION("""COMPUTED_VALUE"""),"BLUE")</f>
        <v>BLUE</v>
      </c>
      <c r="G9179" s="20" t="str">
        <f>IFERROR(__xludf.DUMMYFUNCTION("""COMPUTED_VALUE"""),"Uncle Sams Cider (04/04/2023)")</f>
        <v>Uncle Sams Cider (04/04/2023)</v>
      </c>
      <c r="H9179" s="19"/>
    </row>
    <row r="9180">
      <c r="A9180" s="9"/>
      <c r="B9180" s="15"/>
      <c r="C9180" s="9">
        <f>IFERROR(__xludf.DUMMYFUNCTION("""COMPUTED_VALUE"""),45047.7850794444)</f>
        <v>45047.78508</v>
      </c>
      <c r="D9180" s="15">
        <f>IFERROR(__xludf.DUMMYFUNCTION("""COMPUTED_VALUE"""),1.026)</f>
        <v>1.026</v>
      </c>
      <c r="E9180" s="16">
        <f>IFERROR(__xludf.DUMMYFUNCTION("""COMPUTED_VALUE"""),62.0)</f>
        <v>62</v>
      </c>
      <c r="F9180" s="19" t="str">
        <f>IFERROR(__xludf.DUMMYFUNCTION("""COMPUTED_VALUE"""),"BLUE")</f>
        <v>BLUE</v>
      </c>
      <c r="G9180" s="20" t="str">
        <f>IFERROR(__xludf.DUMMYFUNCTION("""COMPUTED_VALUE"""),"Uncle Sams Cider (04/04/2023)")</f>
        <v>Uncle Sams Cider (04/04/2023)</v>
      </c>
      <c r="H9180" s="19"/>
    </row>
    <row r="9181">
      <c r="A9181" s="9"/>
      <c r="B9181" s="15"/>
      <c r="C9181" s="9">
        <f>IFERROR(__xludf.DUMMYFUNCTION("""COMPUTED_VALUE"""),45047.7746586226)</f>
        <v>45047.77466</v>
      </c>
      <c r="D9181" s="15">
        <f>IFERROR(__xludf.DUMMYFUNCTION("""COMPUTED_VALUE"""),1.026)</f>
        <v>1.026</v>
      </c>
      <c r="E9181" s="16">
        <f>IFERROR(__xludf.DUMMYFUNCTION("""COMPUTED_VALUE"""),62.0)</f>
        <v>62</v>
      </c>
      <c r="F9181" s="19" t="str">
        <f>IFERROR(__xludf.DUMMYFUNCTION("""COMPUTED_VALUE"""),"BLUE")</f>
        <v>BLUE</v>
      </c>
      <c r="G9181" s="20" t="str">
        <f>IFERROR(__xludf.DUMMYFUNCTION("""COMPUTED_VALUE"""),"Uncle Sams Cider (04/04/2023)")</f>
        <v>Uncle Sams Cider (04/04/2023)</v>
      </c>
      <c r="H9181" s="19"/>
    </row>
    <row r="9182">
      <c r="A9182" s="9"/>
      <c r="B9182" s="15"/>
      <c r="C9182" s="9">
        <f>IFERROR(__xludf.DUMMYFUNCTION("""COMPUTED_VALUE"""),45047.7642150578)</f>
        <v>45047.76422</v>
      </c>
      <c r="D9182" s="15">
        <f>IFERROR(__xludf.DUMMYFUNCTION("""COMPUTED_VALUE"""),1.026)</f>
        <v>1.026</v>
      </c>
      <c r="E9182" s="16">
        <f>IFERROR(__xludf.DUMMYFUNCTION("""COMPUTED_VALUE"""),62.0)</f>
        <v>62</v>
      </c>
      <c r="F9182" s="19" t="str">
        <f>IFERROR(__xludf.DUMMYFUNCTION("""COMPUTED_VALUE"""),"BLUE")</f>
        <v>BLUE</v>
      </c>
      <c r="G9182" s="20" t="str">
        <f>IFERROR(__xludf.DUMMYFUNCTION("""COMPUTED_VALUE"""),"Uncle Sams Cider (04/04/2023)")</f>
        <v>Uncle Sams Cider (04/04/2023)</v>
      </c>
      <c r="H9182" s="19"/>
    </row>
    <row r="9183">
      <c r="A9183" s="9"/>
      <c r="B9183" s="15"/>
      <c r="C9183" s="9">
        <f>IFERROR(__xludf.DUMMYFUNCTION("""COMPUTED_VALUE"""),45047.7537911921)</f>
        <v>45047.75379</v>
      </c>
      <c r="D9183" s="15">
        <f>IFERROR(__xludf.DUMMYFUNCTION("""COMPUTED_VALUE"""),1.026)</f>
        <v>1.026</v>
      </c>
      <c r="E9183" s="16">
        <f>IFERROR(__xludf.DUMMYFUNCTION("""COMPUTED_VALUE"""),62.0)</f>
        <v>62</v>
      </c>
      <c r="F9183" s="19" t="str">
        <f>IFERROR(__xludf.DUMMYFUNCTION("""COMPUTED_VALUE"""),"BLUE")</f>
        <v>BLUE</v>
      </c>
      <c r="G9183" s="20" t="str">
        <f>IFERROR(__xludf.DUMMYFUNCTION("""COMPUTED_VALUE"""),"Uncle Sams Cider (04/04/2023)")</f>
        <v>Uncle Sams Cider (04/04/2023)</v>
      </c>
      <c r="H9183" s="19"/>
    </row>
    <row r="9184">
      <c r="A9184" s="9"/>
      <c r="B9184" s="15"/>
      <c r="C9184" s="9">
        <f>IFERROR(__xludf.DUMMYFUNCTION("""COMPUTED_VALUE"""),45047.7433706944)</f>
        <v>45047.74337</v>
      </c>
      <c r="D9184" s="15">
        <f>IFERROR(__xludf.DUMMYFUNCTION("""COMPUTED_VALUE"""),1.026)</f>
        <v>1.026</v>
      </c>
      <c r="E9184" s="16">
        <f>IFERROR(__xludf.DUMMYFUNCTION("""COMPUTED_VALUE"""),62.0)</f>
        <v>62</v>
      </c>
      <c r="F9184" s="19" t="str">
        <f>IFERROR(__xludf.DUMMYFUNCTION("""COMPUTED_VALUE"""),"BLUE")</f>
        <v>BLUE</v>
      </c>
      <c r="G9184" s="20" t="str">
        <f>IFERROR(__xludf.DUMMYFUNCTION("""COMPUTED_VALUE"""),"Uncle Sams Cider (04/04/2023)")</f>
        <v>Uncle Sams Cider (04/04/2023)</v>
      </c>
      <c r="H9184" s="19"/>
    </row>
    <row r="9185">
      <c r="A9185" s="9"/>
      <c r="B9185" s="15"/>
      <c r="C9185" s="9">
        <f>IFERROR(__xludf.DUMMYFUNCTION("""COMPUTED_VALUE"""),45047.7329504166)</f>
        <v>45047.73295</v>
      </c>
      <c r="D9185" s="15">
        <f>IFERROR(__xludf.DUMMYFUNCTION("""COMPUTED_VALUE"""),1.026)</f>
        <v>1.026</v>
      </c>
      <c r="E9185" s="16">
        <f>IFERROR(__xludf.DUMMYFUNCTION("""COMPUTED_VALUE"""),62.0)</f>
        <v>62</v>
      </c>
      <c r="F9185" s="19" t="str">
        <f>IFERROR(__xludf.DUMMYFUNCTION("""COMPUTED_VALUE"""),"BLUE")</f>
        <v>BLUE</v>
      </c>
      <c r="G9185" s="20" t="str">
        <f>IFERROR(__xludf.DUMMYFUNCTION("""COMPUTED_VALUE"""),"Uncle Sams Cider (04/04/2023)")</f>
        <v>Uncle Sams Cider (04/04/2023)</v>
      </c>
      <c r="H9185" s="19"/>
    </row>
    <row r="9186">
      <c r="A9186" s="9"/>
      <c r="B9186" s="15"/>
      <c r="C9186" s="9">
        <f>IFERROR(__xludf.DUMMYFUNCTION("""COMPUTED_VALUE"""),45047.7225278125)</f>
        <v>45047.72253</v>
      </c>
      <c r="D9186" s="15">
        <f>IFERROR(__xludf.DUMMYFUNCTION("""COMPUTED_VALUE"""),1.026)</f>
        <v>1.026</v>
      </c>
      <c r="E9186" s="16">
        <f>IFERROR(__xludf.DUMMYFUNCTION("""COMPUTED_VALUE"""),62.0)</f>
        <v>62</v>
      </c>
      <c r="F9186" s="19" t="str">
        <f>IFERROR(__xludf.DUMMYFUNCTION("""COMPUTED_VALUE"""),"BLUE")</f>
        <v>BLUE</v>
      </c>
      <c r="G9186" s="20" t="str">
        <f>IFERROR(__xludf.DUMMYFUNCTION("""COMPUTED_VALUE"""),"Uncle Sams Cider (04/04/2023)")</f>
        <v>Uncle Sams Cider (04/04/2023)</v>
      </c>
      <c r="H9186" s="19"/>
    </row>
    <row r="9187">
      <c r="A9187" s="9"/>
      <c r="B9187" s="15"/>
      <c r="C9187" s="9">
        <f>IFERROR(__xludf.DUMMYFUNCTION("""COMPUTED_VALUE"""),45047.7121061111)</f>
        <v>45047.71211</v>
      </c>
      <c r="D9187" s="15">
        <f>IFERROR(__xludf.DUMMYFUNCTION("""COMPUTED_VALUE"""),1.026)</f>
        <v>1.026</v>
      </c>
      <c r="E9187" s="16">
        <f>IFERROR(__xludf.DUMMYFUNCTION("""COMPUTED_VALUE"""),62.0)</f>
        <v>62</v>
      </c>
      <c r="F9187" s="19" t="str">
        <f>IFERROR(__xludf.DUMMYFUNCTION("""COMPUTED_VALUE"""),"BLUE")</f>
        <v>BLUE</v>
      </c>
      <c r="G9187" s="20" t="str">
        <f>IFERROR(__xludf.DUMMYFUNCTION("""COMPUTED_VALUE"""),"Uncle Sams Cider (04/04/2023)")</f>
        <v>Uncle Sams Cider (04/04/2023)</v>
      </c>
      <c r="H9187" s="19"/>
    </row>
    <row r="9188">
      <c r="A9188" s="9"/>
      <c r="B9188" s="15"/>
      <c r="C9188" s="9">
        <f>IFERROR(__xludf.DUMMYFUNCTION("""COMPUTED_VALUE"""),45047.701684155)</f>
        <v>45047.70168</v>
      </c>
      <c r="D9188" s="15">
        <f>IFERROR(__xludf.DUMMYFUNCTION("""COMPUTED_VALUE"""),1.026)</f>
        <v>1.026</v>
      </c>
      <c r="E9188" s="16">
        <f>IFERROR(__xludf.DUMMYFUNCTION("""COMPUTED_VALUE"""),62.0)</f>
        <v>62</v>
      </c>
      <c r="F9188" s="19" t="str">
        <f>IFERROR(__xludf.DUMMYFUNCTION("""COMPUTED_VALUE"""),"BLUE")</f>
        <v>BLUE</v>
      </c>
      <c r="G9188" s="20" t="str">
        <f>IFERROR(__xludf.DUMMYFUNCTION("""COMPUTED_VALUE"""),"Uncle Sams Cider (04/04/2023)")</f>
        <v>Uncle Sams Cider (04/04/2023)</v>
      </c>
      <c r="H9188" s="19"/>
    </row>
    <row r="9189">
      <c r="A9189" s="9"/>
      <c r="B9189" s="15"/>
      <c r="C9189" s="9">
        <f>IFERROR(__xludf.DUMMYFUNCTION("""COMPUTED_VALUE"""),45047.6912634375)</f>
        <v>45047.69126</v>
      </c>
      <c r="D9189" s="15">
        <f>IFERROR(__xludf.DUMMYFUNCTION("""COMPUTED_VALUE"""),1.026)</f>
        <v>1.026</v>
      </c>
      <c r="E9189" s="16">
        <f>IFERROR(__xludf.DUMMYFUNCTION("""COMPUTED_VALUE"""),62.0)</f>
        <v>62</v>
      </c>
      <c r="F9189" s="19" t="str">
        <f>IFERROR(__xludf.DUMMYFUNCTION("""COMPUTED_VALUE"""),"BLUE")</f>
        <v>BLUE</v>
      </c>
      <c r="G9189" s="20" t="str">
        <f>IFERROR(__xludf.DUMMYFUNCTION("""COMPUTED_VALUE"""),"Uncle Sams Cider (04/04/2023)")</f>
        <v>Uncle Sams Cider (04/04/2023)</v>
      </c>
      <c r="H9189" s="19"/>
    </row>
    <row r="9190">
      <c r="A9190" s="9"/>
      <c r="B9190" s="15"/>
      <c r="C9190" s="9">
        <f>IFERROR(__xludf.DUMMYFUNCTION("""COMPUTED_VALUE"""),45047.6808292476)</f>
        <v>45047.68083</v>
      </c>
      <c r="D9190" s="15">
        <f>IFERROR(__xludf.DUMMYFUNCTION("""COMPUTED_VALUE"""),1.026)</f>
        <v>1.026</v>
      </c>
      <c r="E9190" s="16">
        <f>IFERROR(__xludf.DUMMYFUNCTION("""COMPUTED_VALUE"""),62.0)</f>
        <v>62</v>
      </c>
      <c r="F9190" s="19" t="str">
        <f>IFERROR(__xludf.DUMMYFUNCTION("""COMPUTED_VALUE"""),"BLUE")</f>
        <v>BLUE</v>
      </c>
      <c r="G9190" s="20" t="str">
        <f>IFERROR(__xludf.DUMMYFUNCTION("""COMPUTED_VALUE"""),"Uncle Sams Cider (04/04/2023)")</f>
        <v>Uncle Sams Cider (04/04/2023)</v>
      </c>
      <c r="H9190" s="19"/>
    </row>
    <row r="9191">
      <c r="A9191" s="9"/>
      <c r="B9191" s="15"/>
      <c r="C9191" s="9">
        <f>IFERROR(__xludf.DUMMYFUNCTION("""COMPUTED_VALUE"""),45047.6704084027)</f>
        <v>45047.67041</v>
      </c>
      <c r="D9191" s="15">
        <f>IFERROR(__xludf.DUMMYFUNCTION("""COMPUTED_VALUE"""),1.026)</f>
        <v>1.026</v>
      </c>
      <c r="E9191" s="16">
        <f>IFERROR(__xludf.DUMMYFUNCTION("""COMPUTED_VALUE"""),62.0)</f>
        <v>62</v>
      </c>
      <c r="F9191" s="19" t="str">
        <f>IFERROR(__xludf.DUMMYFUNCTION("""COMPUTED_VALUE"""),"BLUE")</f>
        <v>BLUE</v>
      </c>
      <c r="G9191" s="20" t="str">
        <f>IFERROR(__xludf.DUMMYFUNCTION("""COMPUTED_VALUE"""),"Uncle Sams Cider (04/04/2023)")</f>
        <v>Uncle Sams Cider (04/04/2023)</v>
      </c>
      <c r="H9191" s="19"/>
    </row>
    <row r="9192">
      <c r="A9192" s="9"/>
      <c r="B9192" s="15"/>
      <c r="C9192" s="9">
        <f>IFERROR(__xludf.DUMMYFUNCTION("""COMPUTED_VALUE"""),45047.6599867708)</f>
        <v>45047.65999</v>
      </c>
      <c r="D9192" s="15">
        <f>IFERROR(__xludf.DUMMYFUNCTION("""COMPUTED_VALUE"""),1.026)</f>
        <v>1.026</v>
      </c>
      <c r="E9192" s="16">
        <f>IFERROR(__xludf.DUMMYFUNCTION("""COMPUTED_VALUE"""),62.0)</f>
        <v>62</v>
      </c>
      <c r="F9192" s="19" t="str">
        <f>IFERROR(__xludf.DUMMYFUNCTION("""COMPUTED_VALUE"""),"BLUE")</f>
        <v>BLUE</v>
      </c>
      <c r="G9192" s="20" t="str">
        <f>IFERROR(__xludf.DUMMYFUNCTION("""COMPUTED_VALUE"""),"Uncle Sams Cider (04/04/2023)")</f>
        <v>Uncle Sams Cider (04/04/2023)</v>
      </c>
      <c r="H9192" s="19"/>
    </row>
    <row r="9193">
      <c r="A9193" s="9"/>
      <c r="B9193" s="15"/>
      <c r="C9193" s="9">
        <f>IFERROR(__xludf.DUMMYFUNCTION("""COMPUTED_VALUE"""),45047.6495662384)</f>
        <v>45047.64957</v>
      </c>
      <c r="D9193" s="15">
        <f>IFERROR(__xludf.DUMMYFUNCTION("""COMPUTED_VALUE"""),1.026)</f>
        <v>1.026</v>
      </c>
      <c r="E9193" s="16">
        <f>IFERROR(__xludf.DUMMYFUNCTION("""COMPUTED_VALUE"""),62.0)</f>
        <v>62</v>
      </c>
      <c r="F9193" s="19" t="str">
        <f>IFERROR(__xludf.DUMMYFUNCTION("""COMPUTED_VALUE"""),"BLUE")</f>
        <v>BLUE</v>
      </c>
      <c r="G9193" s="20" t="str">
        <f>IFERROR(__xludf.DUMMYFUNCTION("""COMPUTED_VALUE"""),"Uncle Sams Cider (04/04/2023)")</f>
        <v>Uncle Sams Cider (04/04/2023)</v>
      </c>
      <c r="H9193" s="19"/>
    </row>
    <row r="9194">
      <c r="A9194" s="9"/>
      <c r="B9194" s="15"/>
      <c r="C9194" s="9">
        <f>IFERROR(__xludf.DUMMYFUNCTION("""COMPUTED_VALUE"""),45047.6391338194)</f>
        <v>45047.63913</v>
      </c>
      <c r="D9194" s="15">
        <f>IFERROR(__xludf.DUMMYFUNCTION("""COMPUTED_VALUE"""),1.026)</f>
        <v>1.026</v>
      </c>
      <c r="E9194" s="16">
        <f>IFERROR(__xludf.DUMMYFUNCTION("""COMPUTED_VALUE"""),62.0)</f>
        <v>62</v>
      </c>
      <c r="F9194" s="19" t="str">
        <f>IFERROR(__xludf.DUMMYFUNCTION("""COMPUTED_VALUE"""),"BLUE")</f>
        <v>BLUE</v>
      </c>
      <c r="G9194" s="20" t="str">
        <f>IFERROR(__xludf.DUMMYFUNCTION("""COMPUTED_VALUE"""),"Uncle Sams Cider (04/04/2023)")</f>
        <v>Uncle Sams Cider (04/04/2023)</v>
      </c>
      <c r="H9194" s="19"/>
    </row>
    <row r="9195">
      <c r="A9195" s="9"/>
      <c r="B9195" s="15"/>
      <c r="C9195" s="9">
        <f>IFERROR(__xludf.DUMMYFUNCTION("""COMPUTED_VALUE"""),45047.6287120254)</f>
        <v>45047.62871</v>
      </c>
      <c r="D9195" s="15">
        <f>IFERROR(__xludf.DUMMYFUNCTION("""COMPUTED_VALUE"""),1.026)</f>
        <v>1.026</v>
      </c>
      <c r="E9195" s="16">
        <f>IFERROR(__xludf.DUMMYFUNCTION("""COMPUTED_VALUE"""),62.0)</f>
        <v>62</v>
      </c>
      <c r="F9195" s="19" t="str">
        <f>IFERROR(__xludf.DUMMYFUNCTION("""COMPUTED_VALUE"""),"BLUE")</f>
        <v>BLUE</v>
      </c>
      <c r="G9195" s="20" t="str">
        <f>IFERROR(__xludf.DUMMYFUNCTION("""COMPUTED_VALUE"""),"Uncle Sams Cider (04/04/2023)")</f>
        <v>Uncle Sams Cider (04/04/2023)</v>
      </c>
      <c r="H9195" s="19"/>
    </row>
    <row r="9196">
      <c r="A9196" s="9"/>
      <c r="B9196" s="15"/>
      <c r="C9196" s="9">
        <f>IFERROR(__xludf.DUMMYFUNCTION("""COMPUTED_VALUE"""),45047.6182920138)</f>
        <v>45047.61829</v>
      </c>
      <c r="D9196" s="15">
        <f>IFERROR(__xludf.DUMMYFUNCTION("""COMPUTED_VALUE"""),1.026)</f>
        <v>1.026</v>
      </c>
      <c r="E9196" s="16">
        <f>IFERROR(__xludf.DUMMYFUNCTION("""COMPUTED_VALUE"""),62.0)</f>
        <v>62</v>
      </c>
      <c r="F9196" s="19" t="str">
        <f>IFERROR(__xludf.DUMMYFUNCTION("""COMPUTED_VALUE"""),"BLUE")</f>
        <v>BLUE</v>
      </c>
      <c r="G9196" s="20" t="str">
        <f>IFERROR(__xludf.DUMMYFUNCTION("""COMPUTED_VALUE"""),"Uncle Sams Cider (04/04/2023)")</f>
        <v>Uncle Sams Cider (04/04/2023)</v>
      </c>
      <c r="H9196" s="19"/>
    </row>
    <row r="9197">
      <c r="A9197" s="9"/>
      <c r="B9197" s="15"/>
      <c r="C9197" s="9">
        <f>IFERROR(__xludf.DUMMYFUNCTION("""COMPUTED_VALUE"""),45047.6078609259)</f>
        <v>45047.60786</v>
      </c>
      <c r="D9197" s="15">
        <f>IFERROR(__xludf.DUMMYFUNCTION("""COMPUTED_VALUE"""),1.026)</f>
        <v>1.026</v>
      </c>
      <c r="E9197" s="16">
        <f>IFERROR(__xludf.DUMMYFUNCTION("""COMPUTED_VALUE"""),62.0)</f>
        <v>62</v>
      </c>
      <c r="F9197" s="19" t="str">
        <f>IFERROR(__xludf.DUMMYFUNCTION("""COMPUTED_VALUE"""),"BLUE")</f>
        <v>BLUE</v>
      </c>
      <c r="G9197" s="20" t="str">
        <f>IFERROR(__xludf.DUMMYFUNCTION("""COMPUTED_VALUE"""),"Uncle Sams Cider (04/04/2023)")</f>
        <v>Uncle Sams Cider (04/04/2023)</v>
      </c>
      <c r="H9197" s="19"/>
    </row>
    <row r="9198">
      <c r="A9198" s="9"/>
      <c r="B9198" s="15"/>
      <c r="C9198" s="9">
        <f>IFERROR(__xludf.DUMMYFUNCTION("""COMPUTED_VALUE"""),45047.5974385532)</f>
        <v>45047.59744</v>
      </c>
      <c r="D9198" s="15">
        <f>IFERROR(__xludf.DUMMYFUNCTION("""COMPUTED_VALUE"""),1.026)</f>
        <v>1.026</v>
      </c>
      <c r="E9198" s="16">
        <f>IFERROR(__xludf.DUMMYFUNCTION("""COMPUTED_VALUE"""),62.0)</f>
        <v>62</v>
      </c>
      <c r="F9198" s="19" t="str">
        <f>IFERROR(__xludf.DUMMYFUNCTION("""COMPUTED_VALUE"""),"BLUE")</f>
        <v>BLUE</v>
      </c>
      <c r="G9198" s="20" t="str">
        <f>IFERROR(__xludf.DUMMYFUNCTION("""COMPUTED_VALUE"""),"Uncle Sams Cider (04/04/2023)")</f>
        <v>Uncle Sams Cider (04/04/2023)</v>
      </c>
      <c r="H9198" s="19"/>
    </row>
    <row r="9199">
      <c r="A9199" s="9"/>
      <c r="B9199" s="15"/>
      <c r="C9199" s="9">
        <f>IFERROR(__xludf.DUMMYFUNCTION("""COMPUTED_VALUE"""),45047.5870184953)</f>
        <v>45047.58702</v>
      </c>
      <c r="D9199" s="15">
        <f>IFERROR(__xludf.DUMMYFUNCTION("""COMPUTED_VALUE"""),1.026)</f>
        <v>1.026</v>
      </c>
      <c r="E9199" s="16">
        <f>IFERROR(__xludf.DUMMYFUNCTION("""COMPUTED_VALUE"""),62.0)</f>
        <v>62</v>
      </c>
      <c r="F9199" s="19" t="str">
        <f>IFERROR(__xludf.DUMMYFUNCTION("""COMPUTED_VALUE"""),"BLUE")</f>
        <v>BLUE</v>
      </c>
      <c r="G9199" s="20" t="str">
        <f>IFERROR(__xludf.DUMMYFUNCTION("""COMPUTED_VALUE"""),"Uncle Sams Cider (04/04/2023)")</f>
        <v>Uncle Sams Cider (04/04/2023)</v>
      </c>
      <c r="H9199" s="19"/>
    </row>
    <row r="9200">
      <c r="A9200" s="9"/>
      <c r="B9200" s="15"/>
      <c r="C9200" s="9">
        <f>IFERROR(__xludf.DUMMYFUNCTION("""COMPUTED_VALUE"""),45047.5661421064)</f>
        <v>45047.56614</v>
      </c>
      <c r="D9200" s="15">
        <f>IFERROR(__xludf.DUMMYFUNCTION("""COMPUTED_VALUE"""),1.026)</f>
        <v>1.026</v>
      </c>
      <c r="E9200" s="16">
        <f>IFERROR(__xludf.DUMMYFUNCTION("""COMPUTED_VALUE"""),62.0)</f>
        <v>62</v>
      </c>
      <c r="F9200" s="19" t="str">
        <f>IFERROR(__xludf.DUMMYFUNCTION("""COMPUTED_VALUE"""),"BLUE")</f>
        <v>BLUE</v>
      </c>
      <c r="G9200" s="20" t="str">
        <f>IFERROR(__xludf.DUMMYFUNCTION("""COMPUTED_VALUE"""),"Uncle Sams Cider (04/04/2023)")</f>
        <v>Uncle Sams Cider (04/04/2023)</v>
      </c>
      <c r="H9200" s="19"/>
    </row>
    <row r="9201">
      <c r="A9201" s="9"/>
      <c r="B9201" s="15"/>
      <c r="C9201" s="9">
        <f>IFERROR(__xludf.DUMMYFUNCTION("""COMPUTED_VALUE"""),45047.5557202314)</f>
        <v>45047.55572</v>
      </c>
      <c r="D9201" s="15">
        <f>IFERROR(__xludf.DUMMYFUNCTION("""COMPUTED_VALUE"""),1.026)</f>
        <v>1.026</v>
      </c>
      <c r="E9201" s="16">
        <f>IFERROR(__xludf.DUMMYFUNCTION("""COMPUTED_VALUE"""),62.0)</f>
        <v>62</v>
      </c>
      <c r="F9201" s="19" t="str">
        <f>IFERROR(__xludf.DUMMYFUNCTION("""COMPUTED_VALUE"""),"BLUE")</f>
        <v>BLUE</v>
      </c>
      <c r="G9201" s="20" t="str">
        <f>IFERROR(__xludf.DUMMYFUNCTION("""COMPUTED_VALUE"""),"Uncle Sams Cider (04/04/2023)")</f>
        <v>Uncle Sams Cider (04/04/2023)</v>
      </c>
      <c r="H9201" s="19"/>
    </row>
    <row r="9202">
      <c r="A9202" s="9"/>
      <c r="B9202" s="15"/>
      <c r="C9202" s="9">
        <f>IFERROR(__xludf.DUMMYFUNCTION("""COMPUTED_VALUE"""),45047.5452994791)</f>
        <v>45047.5453</v>
      </c>
      <c r="D9202" s="15">
        <f>IFERROR(__xludf.DUMMYFUNCTION("""COMPUTED_VALUE"""),1.026)</f>
        <v>1.026</v>
      </c>
      <c r="E9202" s="16">
        <f>IFERROR(__xludf.DUMMYFUNCTION("""COMPUTED_VALUE"""),62.0)</f>
        <v>62</v>
      </c>
      <c r="F9202" s="19" t="str">
        <f>IFERROR(__xludf.DUMMYFUNCTION("""COMPUTED_VALUE"""),"BLUE")</f>
        <v>BLUE</v>
      </c>
      <c r="G9202" s="20" t="str">
        <f>IFERROR(__xludf.DUMMYFUNCTION("""COMPUTED_VALUE"""),"Uncle Sams Cider (04/04/2023)")</f>
        <v>Uncle Sams Cider (04/04/2023)</v>
      </c>
      <c r="H9202" s="19"/>
    </row>
    <row r="9203">
      <c r="A9203" s="9"/>
      <c r="B9203" s="15"/>
      <c r="C9203" s="9">
        <f>IFERROR(__xludf.DUMMYFUNCTION("""COMPUTED_VALUE"""),45047.5348766435)</f>
        <v>45047.53488</v>
      </c>
      <c r="D9203" s="15">
        <f>IFERROR(__xludf.DUMMYFUNCTION("""COMPUTED_VALUE"""),1.026)</f>
        <v>1.026</v>
      </c>
      <c r="E9203" s="16">
        <f>IFERROR(__xludf.DUMMYFUNCTION("""COMPUTED_VALUE"""),62.0)</f>
        <v>62</v>
      </c>
      <c r="F9203" s="19" t="str">
        <f>IFERROR(__xludf.DUMMYFUNCTION("""COMPUTED_VALUE"""),"BLUE")</f>
        <v>BLUE</v>
      </c>
      <c r="G9203" s="20" t="str">
        <f>IFERROR(__xludf.DUMMYFUNCTION("""COMPUTED_VALUE"""),"Uncle Sams Cider (04/04/2023)")</f>
        <v>Uncle Sams Cider (04/04/2023)</v>
      </c>
      <c r="H9203" s="19"/>
    </row>
    <row r="9204">
      <c r="A9204" s="9"/>
      <c r="B9204" s="15"/>
      <c r="C9204" s="9">
        <f>IFERROR(__xludf.DUMMYFUNCTION("""COMPUTED_VALUE"""),45047.524455324)</f>
        <v>45047.52446</v>
      </c>
      <c r="D9204" s="15">
        <f>IFERROR(__xludf.DUMMYFUNCTION("""COMPUTED_VALUE"""),1.026)</f>
        <v>1.026</v>
      </c>
      <c r="E9204" s="16">
        <f>IFERROR(__xludf.DUMMYFUNCTION("""COMPUTED_VALUE"""),62.0)</f>
        <v>62</v>
      </c>
      <c r="F9204" s="19" t="str">
        <f>IFERROR(__xludf.DUMMYFUNCTION("""COMPUTED_VALUE"""),"BLUE")</f>
        <v>BLUE</v>
      </c>
      <c r="G9204" s="20" t="str">
        <f>IFERROR(__xludf.DUMMYFUNCTION("""COMPUTED_VALUE"""),"Uncle Sams Cider (04/04/2023)")</f>
        <v>Uncle Sams Cider (04/04/2023)</v>
      </c>
      <c r="H9204" s="19"/>
    </row>
    <row r="9205">
      <c r="A9205" s="9"/>
      <c r="B9205" s="15"/>
      <c r="C9205" s="9">
        <f>IFERROR(__xludf.DUMMYFUNCTION("""COMPUTED_VALUE"""),45047.503577037)</f>
        <v>45047.50358</v>
      </c>
      <c r="D9205" s="15">
        <f>IFERROR(__xludf.DUMMYFUNCTION("""COMPUTED_VALUE"""),1.026)</f>
        <v>1.026</v>
      </c>
      <c r="E9205" s="16">
        <f>IFERROR(__xludf.DUMMYFUNCTION("""COMPUTED_VALUE"""),62.0)</f>
        <v>62</v>
      </c>
      <c r="F9205" s="19" t="str">
        <f>IFERROR(__xludf.DUMMYFUNCTION("""COMPUTED_VALUE"""),"BLUE")</f>
        <v>BLUE</v>
      </c>
      <c r="G9205" s="20" t="str">
        <f>IFERROR(__xludf.DUMMYFUNCTION("""COMPUTED_VALUE"""),"Uncle Sams Cider (04/04/2023)")</f>
        <v>Uncle Sams Cider (04/04/2023)</v>
      </c>
      <c r="H9205" s="19"/>
    </row>
    <row r="9206">
      <c r="A9206" s="9"/>
      <c r="B9206" s="15"/>
      <c r="C9206" s="9">
        <f>IFERROR(__xludf.DUMMYFUNCTION("""COMPUTED_VALUE"""),45047.4931450231)</f>
        <v>45047.49315</v>
      </c>
      <c r="D9206" s="15">
        <f>IFERROR(__xludf.DUMMYFUNCTION("""COMPUTED_VALUE"""),1.026)</f>
        <v>1.026</v>
      </c>
      <c r="E9206" s="16">
        <f>IFERROR(__xludf.DUMMYFUNCTION("""COMPUTED_VALUE"""),62.0)</f>
        <v>62</v>
      </c>
      <c r="F9206" s="19" t="str">
        <f>IFERROR(__xludf.DUMMYFUNCTION("""COMPUTED_VALUE"""),"BLUE")</f>
        <v>BLUE</v>
      </c>
      <c r="G9206" s="20" t="str">
        <f>IFERROR(__xludf.DUMMYFUNCTION("""COMPUTED_VALUE"""),"Uncle Sams Cider (04/04/2023)")</f>
        <v>Uncle Sams Cider (04/04/2023)</v>
      </c>
      <c r="H9206" s="19"/>
    </row>
    <row r="9207">
      <c r="A9207" s="9"/>
      <c r="B9207" s="15"/>
      <c r="C9207" s="9">
        <f>IFERROR(__xludf.DUMMYFUNCTION("""COMPUTED_VALUE"""),45047.4827240046)</f>
        <v>45047.48272</v>
      </c>
      <c r="D9207" s="15">
        <f>IFERROR(__xludf.DUMMYFUNCTION("""COMPUTED_VALUE"""),1.026)</f>
        <v>1.026</v>
      </c>
      <c r="E9207" s="16">
        <f>IFERROR(__xludf.DUMMYFUNCTION("""COMPUTED_VALUE"""),62.0)</f>
        <v>62</v>
      </c>
      <c r="F9207" s="19" t="str">
        <f>IFERROR(__xludf.DUMMYFUNCTION("""COMPUTED_VALUE"""),"BLUE")</f>
        <v>BLUE</v>
      </c>
      <c r="G9207" s="20" t="str">
        <f>IFERROR(__xludf.DUMMYFUNCTION("""COMPUTED_VALUE"""),"Uncle Sams Cider (04/04/2023)")</f>
        <v>Uncle Sams Cider (04/04/2023)</v>
      </c>
      <c r="H9207" s="19"/>
    </row>
    <row r="9208">
      <c r="A9208" s="9"/>
      <c r="B9208" s="15"/>
      <c r="C9208" s="9">
        <f>IFERROR(__xludf.DUMMYFUNCTION("""COMPUTED_VALUE"""),45047.4723028935)</f>
        <v>45047.4723</v>
      </c>
      <c r="D9208" s="15">
        <f>IFERROR(__xludf.DUMMYFUNCTION("""COMPUTED_VALUE"""),1.026)</f>
        <v>1.026</v>
      </c>
      <c r="E9208" s="16">
        <f>IFERROR(__xludf.DUMMYFUNCTION("""COMPUTED_VALUE"""),62.0)</f>
        <v>62</v>
      </c>
      <c r="F9208" s="19" t="str">
        <f>IFERROR(__xludf.DUMMYFUNCTION("""COMPUTED_VALUE"""),"BLUE")</f>
        <v>BLUE</v>
      </c>
      <c r="G9208" s="20" t="str">
        <f>IFERROR(__xludf.DUMMYFUNCTION("""COMPUTED_VALUE"""),"Uncle Sams Cider (04/04/2023)")</f>
        <v>Uncle Sams Cider (04/04/2023)</v>
      </c>
      <c r="H9208" s="19"/>
    </row>
    <row r="9209">
      <c r="A9209" s="9"/>
      <c r="B9209" s="15"/>
      <c r="C9209" s="9">
        <f>IFERROR(__xludf.DUMMYFUNCTION("""COMPUTED_VALUE"""),45047.4618825115)</f>
        <v>45047.46188</v>
      </c>
      <c r="D9209" s="15">
        <f>IFERROR(__xludf.DUMMYFUNCTION("""COMPUTED_VALUE"""),1.026)</f>
        <v>1.026</v>
      </c>
      <c r="E9209" s="16">
        <f>IFERROR(__xludf.DUMMYFUNCTION("""COMPUTED_VALUE"""),62.0)</f>
        <v>62</v>
      </c>
      <c r="F9209" s="19" t="str">
        <f>IFERROR(__xludf.DUMMYFUNCTION("""COMPUTED_VALUE"""),"BLUE")</f>
        <v>BLUE</v>
      </c>
      <c r="G9209" s="20" t="str">
        <f>IFERROR(__xludf.DUMMYFUNCTION("""COMPUTED_VALUE"""),"Uncle Sams Cider (04/04/2023)")</f>
        <v>Uncle Sams Cider (04/04/2023)</v>
      </c>
      <c r="H9209" s="19"/>
    </row>
    <row r="9210">
      <c r="A9210" s="9"/>
      <c r="B9210" s="15"/>
      <c r="C9210" s="9">
        <f>IFERROR(__xludf.DUMMYFUNCTION("""COMPUTED_VALUE"""),45047.451463449)</f>
        <v>45047.45146</v>
      </c>
      <c r="D9210" s="15">
        <f>IFERROR(__xludf.DUMMYFUNCTION("""COMPUTED_VALUE"""),1.026)</f>
        <v>1.026</v>
      </c>
      <c r="E9210" s="16">
        <f>IFERROR(__xludf.DUMMYFUNCTION("""COMPUTED_VALUE"""),62.0)</f>
        <v>62</v>
      </c>
      <c r="F9210" s="19" t="str">
        <f>IFERROR(__xludf.DUMMYFUNCTION("""COMPUTED_VALUE"""),"BLUE")</f>
        <v>BLUE</v>
      </c>
      <c r="G9210" s="20" t="str">
        <f>IFERROR(__xludf.DUMMYFUNCTION("""COMPUTED_VALUE"""),"Uncle Sams Cider (04/04/2023)")</f>
        <v>Uncle Sams Cider (04/04/2023)</v>
      </c>
      <c r="H9210" s="19"/>
    </row>
    <row r="9211">
      <c r="A9211" s="9"/>
      <c r="B9211" s="15"/>
      <c r="C9211" s="9">
        <f>IFERROR(__xludf.DUMMYFUNCTION("""COMPUTED_VALUE"""),45047.4410411111)</f>
        <v>45047.44104</v>
      </c>
      <c r="D9211" s="15">
        <f>IFERROR(__xludf.DUMMYFUNCTION("""COMPUTED_VALUE"""),1.026)</f>
        <v>1.026</v>
      </c>
      <c r="E9211" s="16">
        <f>IFERROR(__xludf.DUMMYFUNCTION("""COMPUTED_VALUE"""),62.0)</f>
        <v>62</v>
      </c>
      <c r="F9211" s="19" t="str">
        <f>IFERROR(__xludf.DUMMYFUNCTION("""COMPUTED_VALUE"""),"BLUE")</f>
        <v>BLUE</v>
      </c>
      <c r="G9211" s="20" t="str">
        <f>IFERROR(__xludf.DUMMYFUNCTION("""COMPUTED_VALUE"""),"Uncle Sams Cider (04/04/2023)")</f>
        <v>Uncle Sams Cider (04/04/2023)</v>
      </c>
      <c r="H9211" s="19"/>
    </row>
    <row r="9212">
      <c r="A9212" s="9"/>
      <c r="B9212" s="15"/>
      <c r="C9212" s="9">
        <f>IFERROR(__xludf.DUMMYFUNCTION("""COMPUTED_VALUE"""),45047.4306204861)</f>
        <v>45047.43062</v>
      </c>
      <c r="D9212" s="15">
        <f>IFERROR(__xludf.DUMMYFUNCTION("""COMPUTED_VALUE"""),1.026)</f>
        <v>1.026</v>
      </c>
      <c r="E9212" s="16">
        <f>IFERROR(__xludf.DUMMYFUNCTION("""COMPUTED_VALUE"""),62.0)</f>
        <v>62</v>
      </c>
      <c r="F9212" s="19" t="str">
        <f>IFERROR(__xludf.DUMMYFUNCTION("""COMPUTED_VALUE"""),"BLUE")</f>
        <v>BLUE</v>
      </c>
      <c r="G9212" s="20" t="str">
        <f>IFERROR(__xludf.DUMMYFUNCTION("""COMPUTED_VALUE"""),"Uncle Sams Cider (04/04/2023)")</f>
        <v>Uncle Sams Cider (04/04/2023)</v>
      </c>
      <c r="H9212" s="19"/>
    </row>
    <row r="9213">
      <c r="A9213" s="9"/>
      <c r="B9213" s="15"/>
      <c r="C9213" s="9">
        <f>IFERROR(__xludf.DUMMYFUNCTION("""COMPUTED_VALUE"""),45047.4202012963)</f>
        <v>45047.4202</v>
      </c>
      <c r="D9213" s="15">
        <f>IFERROR(__xludf.DUMMYFUNCTION("""COMPUTED_VALUE"""),1.026)</f>
        <v>1.026</v>
      </c>
      <c r="E9213" s="16">
        <f>IFERROR(__xludf.DUMMYFUNCTION("""COMPUTED_VALUE"""),62.0)</f>
        <v>62</v>
      </c>
      <c r="F9213" s="19" t="str">
        <f>IFERROR(__xludf.DUMMYFUNCTION("""COMPUTED_VALUE"""),"BLUE")</f>
        <v>BLUE</v>
      </c>
      <c r="G9213" s="20" t="str">
        <f>IFERROR(__xludf.DUMMYFUNCTION("""COMPUTED_VALUE"""),"Uncle Sams Cider (04/04/2023)")</f>
        <v>Uncle Sams Cider (04/04/2023)</v>
      </c>
      <c r="H9213" s="19"/>
    </row>
    <row r="9214">
      <c r="A9214" s="9"/>
      <c r="B9214" s="15"/>
      <c r="C9214" s="9">
        <f>IFERROR(__xludf.DUMMYFUNCTION("""COMPUTED_VALUE"""),45047.4097797453)</f>
        <v>45047.40978</v>
      </c>
      <c r="D9214" s="15">
        <f>IFERROR(__xludf.DUMMYFUNCTION("""COMPUTED_VALUE"""),1.026)</f>
        <v>1.026</v>
      </c>
      <c r="E9214" s="16">
        <f>IFERROR(__xludf.DUMMYFUNCTION("""COMPUTED_VALUE"""),62.0)</f>
        <v>62</v>
      </c>
      <c r="F9214" s="19" t="str">
        <f>IFERROR(__xludf.DUMMYFUNCTION("""COMPUTED_VALUE"""),"BLUE")</f>
        <v>BLUE</v>
      </c>
      <c r="G9214" s="20" t="str">
        <f>IFERROR(__xludf.DUMMYFUNCTION("""COMPUTED_VALUE"""),"Uncle Sams Cider (04/04/2023)")</f>
        <v>Uncle Sams Cider (04/04/2023)</v>
      </c>
      <c r="H9214" s="19"/>
    </row>
    <row r="9215">
      <c r="A9215" s="9"/>
      <c r="B9215" s="15"/>
      <c r="C9215" s="9">
        <f>IFERROR(__xludf.DUMMYFUNCTION("""COMPUTED_VALUE"""),45047.3993597685)</f>
        <v>45047.39936</v>
      </c>
      <c r="D9215" s="15">
        <f>IFERROR(__xludf.DUMMYFUNCTION("""COMPUTED_VALUE"""),1.026)</f>
        <v>1.026</v>
      </c>
      <c r="E9215" s="16">
        <f>IFERROR(__xludf.DUMMYFUNCTION("""COMPUTED_VALUE"""),62.0)</f>
        <v>62</v>
      </c>
      <c r="F9215" s="19" t="str">
        <f>IFERROR(__xludf.DUMMYFUNCTION("""COMPUTED_VALUE"""),"BLUE")</f>
        <v>BLUE</v>
      </c>
      <c r="G9215" s="20" t="str">
        <f>IFERROR(__xludf.DUMMYFUNCTION("""COMPUTED_VALUE"""),"Uncle Sams Cider (04/04/2023)")</f>
        <v>Uncle Sams Cider (04/04/2023)</v>
      </c>
      <c r="H9215" s="19"/>
    </row>
    <row r="9216">
      <c r="A9216" s="9"/>
      <c r="B9216" s="15"/>
      <c r="C9216" s="9">
        <f>IFERROR(__xludf.DUMMYFUNCTION("""COMPUTED_VALUE"""),45047.3785209722)</f>
        <v>45047.37852</v>
      </c>
      <c r="D9216" s="15">
        <f>IFERROR(__xludf.DUMMYFUNCTION("""COMPUTED_VALUE"""),1.026)</f>
        <v>1.026</v>
      </c>
      <c r="E9216" s="16">
        <f>IFERROR(__xludf.DUMMYFUNCTION("""COMPUTED_VALUE"""),62.0)</f>
        <v>62</v>
      </c>
      <c r="F9216" s="19" t="str">
        <f>IFERROR(__xludf.DUMMYFUNCTION("""COMPUTED_VALUE"""),"BLUE")</f>
        <v>BLUE</v>
      </c>
      <c r="G9216" s="20" t="str">
        <f>IFERROR(__xludf.DUMMYFUNCTION("""COMPUTED_VALUE"""),"Uncle Sams Cider (04/04/2023)")</f>
        <v>Uncle Sams Cider (04/04/2023)</v>
      </c>
      <c r="H9216" s="19"/>
    </row>
    <row r="9217">
      <c r="A9217" s="9"/>
      <c r="B9217" s="15"/>
      <c r="C9217" s="9">
        <f>IFERROR(__xludf.DUMMYFUNCTION("""COMPUTED_VALUE"""),45047.3576798379)</f>
        <v>45047.35768</v>
      </c>
      <c r="D9217" s="15">
        <f>IFERROR(__xludf.DUMMYFUNCTION("""COMPUTED_VALUE"""),1.026)</f>
        <v>1.026</v>
      </c>
      <c r="E9217" s="16">
        <f>IFERROR(__xludf.DUMMYFUNCTION("""COMPUTED_VALUE"""),62.0)</f>
        <v>62</v>
      </c>
      <c r="F9217" s="19" t="str">
        <f>IFERROR(__xludf.DUMMYFUNCTION("""COMPUTED_VALUE"""),"BLUE")</f>
        <v>BLUE</v>
      </c>
      <c r="G9217" s="20" t="str">
        <f>IFERROR(__xludf.DUMMYFUNCTION("""COMPUTED_VALUE"""),"Uncle Sams Cider (04/04/2023)")</f>
        <v>Uncle Sams Cider (04/04/2023)</v>
      </c>
      <c r="H9217" s="19"/>
    </row>
    <row r="9218">
      <c r="A9218" s="9"/>
      <c r="B9218" s="15"/>
      <c r="C9218" s="9">
        <f>IFERROR(__xludf.DUMMYFUNCTION("""COMPUTED_VALUE"""),45047.34725978)</f>
        <v>45047.34726</v>
      </c>
      <c r="D9218" s="15">
        <f>IFERROR(__xludf.DUMMYFUNCTION("""COMPUTED_VALUE"""),1.026)</f>
        <v>1.026</v>
      </c>
      <c r="E9218" s="16">
        <f>IFERROR(__xludf.DUMMYFUNCTION("""COMPUTED_VALUE"""),62.0)</f>
        <v>62</v>
      </c>
      <c r="F9218" s="19" t="str">
        <f>IFERROR(__xludf.DUMMYFUNCTION("""COMPUTED_VALUE"""),"BLUE")</f>
        <v>BLUE</v>
      </c>
      <c r="G9218" s="20" t="str">
        <f>IFERROR(__xludf.DUMMYFUNCTION("""COMPUTED_VALUE"""),"Uncle Sams Cider (04/04/2023)")</f>
        <v>Uncle Sams Cider (04/04/2023)</v>
      </c>
      <c r="H9218" s="19"/>
    </row>
    <row r="9219">
      <c r="A9219" s="9"/>
      <c r="B9219" s="15"/>
      <c r="C9219" s="9">
        <f>IFERROR(__xludf.DUMMYFUNCTION("""COMPUTED_VALUE"""),45047.3368393518)</f>
        <v>45047.33684</v>
      </c>
      <c r="D9219" s="15">
        <f>IFERROR(__xludf.DUMMYFUNCTION("""COMPUTED_VALUE"""),1.026)</f>
        <v>1.026</v>
      </c>
      <c r="E9219" s="16">
        <f>IFERROR(__xludf.DUMMYFUNCTION("""COMPUTED_VALUE"""),62.0)</f>
        <v>62</v>
      </c>
      <c r="F9219" s="19" t="str">
        <f>IFERROR(__xludf.DUMMYFUNCTION("""COMPUTED_VALUE"""),"BLUE")</f>
        <v>BLUE</v>
      </c>
      <c r="G9219" s="20" t="str">
        <f>IFERROR(__xludf.DUMMYFUNCTION("""COMPUTED_VALUE"""),"Uncle Sams Cider (04/04/2023)")</f>
        <v>Uncle Sams Cider (04/04/2023)</v>
      </c>
      <c r="H9219" s="19"/>
    </row>
    <row r="9220">
      <c r="A9220" s="9"/>
      <c r="B9220" s="15"/>
      <c r="C9220" s="9">
        <f>IFERROR(__xludf.DUMMYFUNCTION("""COMPUTED_VALUE"""),45047.3264182291)</f>
        <v>45047.32642</v>
      </c>
      <c r="D9220" s="15">
        <f>IFERROR(__xludf.DUMMYFUNCTION("""COMPUTED_VALUE"""),1.026)</f>
        <v>1.026</v>
      </c>
      <c r="E9220" s="16">
        <f>IFERROR(__xludf.DUMMYFUNCTION("""COMPUTED_VALUE"""),62.0)</f>
        <v>62</v>
      </c>
      <c r="F9220" s="19" t="str">
        <f>IFERROR(__xludf.DUMMYFUNCTION("""COMPUTED_VALUE"""),"BLUE")</f>
        <v>BLUE</v>
      </c>
      <c r="G9220" s="20" t="str">
        <f>IFERROR(__xludf.DUMMYFUNCTION("""COMPUTED_VALUE"""),"Uncle Sams Cider (04/04/2023)")</f>
        <v>Uncle Sams Cider (04/04/2023)</v>
      </c>
      <c r="H9220" s="19"/>
    </row>
    <row r="9221">
      <c r="A9221" s="9"/>
      <c r="B9221" s="15"/>
      <c r="C9221" s="9">
        <f>IFERROR(__xludf.DUMMYFUNCTION("""COMPUTED_VALUE"""),45047.3159975)</f>
        <v>45047.316</v>
      </c>
      <c r="D9221" s="15">
        <f>IFERROR(__xludf.DUMMYFUNCTION("""COMPUTED_VALUE"""),1.026)</f>
        <v>1.026</v>
      </c>
      <c r="E9221" s="16">
        <f>IFERROR(__xludf.DUMMYFUNCTION("""COMPUTED_VALUE"""),62.0)</f>
        <v>62</v>
      </c>
      <c r="F9221" s="19" t="str">
        <f>IFERROR(__xludf.DUMMYFUNCTION("""COMPUTED_VALUE"""),"BLUE")</f>
        <v>BLUE</v>
      </c>
      <c r="G9221" s="20" t="str">
        <f>IFERROR(__xludf.DUMMYFUNCTION("""COMPUTED_VALUE"""),"Uncle Sams Cider (04/04/2023)")</f>
        <v>Uncle Sams Cider (04/04/2023)</v>
      </c>
      <c r="H9221" s="19"/>
    </row>
    <row r="9222">
      <c r="A9222" s="9"/>
      <c r="B9222" s="15"/>
      <c r="C9222" s="9">
        <f>IFERROR(__xludf.DUMMYFUNCTION("""COMPUTED_VALUE"""),45047.3055790162)</f>
        <v>45047.30558</v>
      </c>
      <c r="D9222" s="15">
        <f>IFERROR(__xludf.DUMMYFUNCTION("""COMPUTED_VALUE"""),1.026)</f>
        <v>1.026</v>
      </c>
      <c r="E9222" s="16">
        <f>IFERROR(__xludf.DUMMYFUNCTION("""COMPUTED_VALUE"""),62.0)</f>
        <v>62</v>
      </c>
      <c r="F9222" s="19" t="str">
        <f>IFERROR(__xludf.DUMMYFUNCTION("""COMPUTED_VALUE"""),"BLUE")</f>
        <v>BLUE</v>
      </c>
      <c r="G9222" s="20" t="str">
        <f>IFERROR(__xludf.DUMMYFUNCTION("""COMPUTED_VALUE"""),"Uncle Sams Cider (04/04/2023)")</f>
        <v>Uncle Sams Cider (04/04/2023)</v>
      </c>
      <c r="H9222" s="19"/>
    </row>
    <row r="9223">
      <c r="A9223" s="9"/>
      <c r="B9223" s="15"/>
      <c r="C9223" s="9">
        <f>IFERROR(__xludf.DUMMYFUNCTION("""COMPUTED_VALUE"""),45047.2951575347)</f>
        <v>45047.29516</v>
      </c>
      <c r="D9223" s="15">
        <f>IFERROR(__xludf.DUMMYFUNCTION("""COMPUTED_VALUE"""),1.026)</f>
        <v>1.026</v>
      </c>
      <c r="E9223" s="16">
        <f>IFERROR(__xludf.DUMMYFUNCTION("""COMPUTED_VALUE"""),62.0)</f>
        <v>62</v>
      </c>
      <c r="F9223" s="19" t="str">
        <f>IFERROR(__xludf.DUMMYFUNCTION("""COMPUTED_VALUE"""),"BLUE")</f>
        <v>BLUE</v>
      </c>
      <c r="G9223" s="20" t="str">
        <f>IFERROR(__xludf.DUMMYFUNCTION("""COMPUTED_VALUE"""),"Uncle Sams Cider (04/04/2023)")</f>
        <v>Uncle Sams Cider (04/04/2023)</v>
      </c>
      <c r="H9223" s="19"/>
    </row>
    <row r="9224">
      <c r="A9224" s="9"/>
      <c r="B9224" s="15"/>
      <c r="C9224" s="9">
        <f>IFERROR(__xludf.DUMMYFUNCTION("""COMPUTED_VALUE"""),45047.2847366666)</f>
        <v>45047.28474</v>
      </c>
      <c r="D9224" s="15">
        <f>IFERROR(__xludf.DUMMYFUNCTION("""COMPUTED_VALUE"""),1.026)</f>
        <v>1.026</v>
      </c>
      <c r="E9224" s="16">
        <f>IFERROR(__xludf.DUMMYFUNCTION("""COMPUTED_VALUE"""),62.0)</f>
        <v>62</v>
      </c>
      <c r="F9224" s="19" t="str">
        <f>IFERROR(__xludf.DUMMYFUNCTION("""COMPUTED_VALUE"""),"BLUE")</f>
        <v>BLUE</v>
      </c>
      <c r="G9224" s="20" t="str">
        <f>IFERROR(__xludf.DUMMYFUNCTION("""COMPUTED_VALUE"""),"Uncle Sams Cider (04/04/2023)")</f>
        <v>Uncle Sams Cider (04/04/2023)</v>
      </c>
      <c r="H9224" s="19"/>
    </row>
    <row r="9225">
      <c r="A9225" s="9"/>
      <c r="B9225" s="15"/>
      <c r="C9225" s="9">
        <f>IFERROR(__xludf.DUMMYFUNCTION("""COMPUTED_VALUE"""),45047.2743148379)</f>
        <v>45047.27431</v>
      </c>
      <c r="D9225" s="15">
        <f>IFERROR(__xludf.DUMMYFUNCTION("""COMPUTED_VALUE"""),1.026)</f>
        <v>1.026</v>
      </c>
      <c r="E9225" s="16">
        <f>IFERROR(__xludf.DUMMYFUNCTION("""COMPUTED_VALUE"""),62.0)</f>
        <v>62</v>
      </c>
      <c r="F9225" s="19" t="str">
        <f>IFERROR(__xludf.DUMMYFUNCTION("""COMPUTED_VALUE"""),"BLUE")</f>
        <v>BLUE</v>
      </c>
      <c r="G9225" s="20" t="str">
        <f>IFERROR(__xludf.DUMMYFUNCTION("""COMPUTED_VALUE"""),"Uncle Sams Cider (04/04/2023)")</f>
        <v>Uncle Sams Cider (04/04/2023)</v>
      </c>
      <c r="H9225" s="19"/>
    </row>
    <row r="9226">
      <c r="A9226" s="9"/>
      <c r="B9226" s="15"/>
      <c r="C9226" s="9">
        <f>IFERROR(__xludf.DUMMYFUNCTION("""COMPUTED_VALUE"""),45047.2638930555)</f>
        <v>45047.26389</v>
      </c>
      <c r="D9226" s="15">
        <f>IFERROR(__xludf.DUMMYFUNCTION("""COMPUTED_VALUE"""),1.026)</f>
        <v>1.026</v>
      </c>
      <c r="E9226" s="16">
        <f>IFERROR(__xludf.DUMMYFUNCTION("""COMPUTED_VALUE"""),62.0)</f>
        <v>62</v>
      </c>
      <c r="F9226" s="19" t="str">
        <f>IFERROR(__xludf.DUMMYFUNCTION("""COMPUTED_VALUE"""),"BLUE")</f>
        <v>BLUE</v>
      </c>
      <c r="G9226" s="20" t="str">
        <f>IFERROR(__xludf.DUMMYFUNCTION("""COMPUTED_VALUE"""),"Uncle Sams Cider (04/04/2023)")</f>
        <v>Uncle Sams Cider (04/04/2023)</v>
      </c>
      <c r="H9226" s="19"/>
    </row>
    <row r="9227">
      <c r="A9227" s="9"/>
      <c r="B9227" s="15"/>
      <c r="C9227" s="9">
        <f>IFERROR(__xludf.DUMMYFUNCTION("""COMPUTED_VALUE"""),45047.2534716898)</f>
        <v>45047.25347</v>
      </c>
      <c r="D9227" s="15">
        <f>IFERROR(__xludf.DUMMYFUNCTION("""COMPUTED_VALUE"""),1.026)</f>
        <v>1.026</v>
      </c>
      <c r="E9227" s="16">
        <f>IFERROR(__xludf.DUMMYFUNCTION("""COMPUTED_VALUE"""),62.0)</f>
        <v>62</v>
      </c>
      <c r="F9227" s="19" t="str">
        <f>IFERROR(__xludf.DUMMYFUNCTION("""COMPUTED_VALUE"""),"BLUE")</f>
        <v>BLUE</v>
      </c>
      <c r="G9227" s="20" t="str">
        <f>IFERROR(__xludf.DUMMYFUNCTION("""COMPUTED_VALUE"""),"Uncle Sams Cider (04/04/2023)")</f>
        <v>Uncle Sams Cider (04/04/2023)</v>
      </c>
      <c r="H9227" s="19"/>
    </row>
    <row r="9228">
      <c r="A9228" s="9"/>
      <c r="B9228" s="15"/>
      <c r="C9228" s="9">
        <f>IFERROR(__xludf.DUMMYFUNCTION("""COMPUTED_VALUE"""),45047.2430506944)</f>
        <v>45047.24305</v>
      </c>
      <c r="D9228" s="15">
        <f>IFERROR(__xludf.DUMMYFUNCTION("""COMPUTED_VALUE"""),1.026)</f>
        <v>1.026</v>
      </c>
      <c r="E9228" s="16">
        <f>IFERROR(__xludf.DUMMYFUNCTION("""COMPUTED_VALUE"""),62.0)</f>
        <v>62</v>
      </c>
      <c r="F9228" s="19" t="str">
        <f>IFERROR(__xludf.DUMMYFUNCTION("""COMPUTED_VALUE"""),"BLUE")</f>
        <v>BLUE</v>
      </c>
      <c r="G9228" s="20" t="str">
        <f>IFERROR(__xludf.DUMMYFUNCTION("""COMPUTED_VALUE"""),"Uncle Sams Cider (04/04/2023)")</f>
        <v>Uncle Sams Cider (04/04/2023)</v>
      </c>
      <c r="H9228" s="19"/>
    </row>
    <row r="9229">
      <c r="A9229" s="9"/>
      <c r="B9229" s="15"/>
      <c r="C9229" s="9">
        <f>IFERROR(__xludf.DUMMYFUNCTION("""COMPUTED_VALUE"""),45047.2326284838)</f>
        <v>45047.23263</v>
      </c>
      <c r="D9229" s="15">
        <f>IFERROR(__xludf.DUMMYFUNCTION("""COMPUTED_VALUE"""),1.026)</f>
        <v>1.026</v>
      </c>
      <c r="E9229" s="16">
        <f>IFERROR(__xludf.DUMMYFUNCTION("""COMPUTED_VALUE"""),62.0)</f>
        <v>62</v>
      </c>
      <c r="F9229" s="19" t="str">
        <f>IFERROR(__xludf.DUMMYFUNCTION("""COMPUTED_VALUE"""),"BLUE")</f>
        <v>BLUE</v>
      </c>
      <c r="G9229" s="20" t="str">
        <f>IFERROR(__xludf.DUMMYFUNCTION("""COMPUTED_VALUE"""),"Uncle Sams Cider (04/04/2023)")</f>
        <v>Uncle Sams Cider (04/04/2023)</v>
      </c>
      <c r="H9229" s="19"/>
    </row>
    <row r="9230">
      <c r="A9230" s="9"/>
      <c r="B9230" s="15"/>
      <c r="C9230" s="9">
        <f>IFERROR(__xludf.DUMMYFUNCTION("""COMPUTED_VALUE"""),45047.2222080787)</f>
        <v>45047.22221</v>
      </c>
      <c r="D9230" s="15">
        <f>IFERROR(__xludf.DUMMYFUNCTION("""COMPUTED_VALUE"""),1.026)</f>
        <v>1.026</v>
      </c>
      <c r="E9230" s="16">
        <f>IFERROR(__xludf.DUMMYFUNCTION("""COMPUTED_VALUE"""),62.0)</f>
        <v>62</v>
      </c>
      <c r="F9230" s="19" t="str">
        <f>IFERROR(__xludf.DUMMYFUNCTION("""COMPUTED_VALUE"""),"BLUE")</f>
        <v>BLUE</v>
      </c>
      <c r="G9230" s="20" t="str">
        <f>IFERROR(__xludf.DUMMYFUNCTION("""COMPUTED_VALUE"""),"Uncle Sams Cider (04/04/2023)")</f>
        <v>Uncle Sams Cider (04/04/2023)</v>
      </c>
      <c r="H9230" s="19"/>
    </row>
    <row r="9231">
      <c r="A9231" s="9"/>
      <c r="B9231" s="15"/>
      <c r="C9231" s="9">
        <f>IFERROR(__xludf.DUMMYFUNCTION("""COMPUTED_VALUE"""),45047.2117870138)</f>
        <v>45047.21179</v>
      </c>
      <c r="D9231" s="15">
        <f>IFERROR(__xludf.DUMMYFUNCTION("""COMPUTED_VALUE"""),1.026)</f>
        <v>1.026</v>
      </c>
      <c r="E9231" s="16">
        <f>IFERROR(__xludf.DUMMYFUNCTION("""COMPUTED_VALUE"""),62.0)</f>
        <v>62</v>
      </c>
      <c r="F9231" s="19" t="str">
        <f>IFERROR(__xludf.DUMMYFUNCTION("""COMPUTED_VALUE"""),"BLUE")</f>
        <v>BLUE</v>
      </c>
      <c r="G9231" s="20" t="str">
        <f>IFERROR(__xludf.DUMMYFUNCTION("""COMPUTED_VALUE"""),"Uncle Sams Cider (04/04/2023)")</f>
        <v>Uncle Sams Cider (04/04/2023)</v>
      </c>
      <c r="H9231" s="19"/>
    </row>
    <row r="9232">
      <c r="A9232" s="9"/>
      <c r="B9232" s="15"/>
      <c r="C9232" s="9">
        <f>IFERROR(__xludf.DUMMYFUNCTION("""COMPUTED_VALUE"""),45047.2013653703)</f>
        <v>45047.20137</v>
      </c>
      <c r="D9232" s="15">
        <f>IFERROR(__xludf.DUMMYFUNCTION("""COMPUTED_VALUE"""),1.026)</f>
        <v>1.026</v>
      </c>
      <c r="E9232" s="16">
        <f>IFERROR(__xludf.DUMMYFUNCTION("""COMPUTED_VALUE"""),62.0)</f>
        <v>62</v>
      </c>
      <c r="F9232" s="19" t="str">
        <f>IFERROR(__xludf.DUMMYFUNCTION("""COMPUTED_VALUE"""),"BLUE")</f>
        <v>BLUE</v>
      </c>
      <c r="G9232" s="20" t="str">
        <f>IFERROR(__xludf.DUMMYFUNCTION("""COMPUTED_VALUE"""),"Uncle Sams Cider (04/04/2023)")</f>
        <v>Uncle Sams Cider (04/04/2023)</v>
      </c>
      <c r="H9232" s="19"/>
    </row>
    <row r="9233">
      <c r="A9233" s="9"/>
      <c r="B9233" s="15"/>
      <c r="C9233" s="9">
        <f>IFERROR(__xludf.DUMMYFUNCTION("""COMPUTED_VALUE"""),45047.1909442824)</f>
        <v>45047.19094</v>
      </c>
      <c r="D9233" s="15">
        <f>IFERROR(__xludf.DUMMYFUNCTION("""COMPUTED_VALUE"""),1.026)</f>
        <v>1.026</v>
      </c>
      <c r="E9233" s="16">
        <f>IFERROR(__xludf.DUMMYFUNCTION("""COMPUTED_VALUE"""),62.0)</f>
        <v>62</v>
      </c>
      <c r="F9233" s="19" t="str">
        <f>IFERROR(__xludf.DUMMYFUNCTION("""COMPUTED_VALUE"""),"BLUE")</f>
        <v>BLUE</v>
      </c>
      <c r="G9233" s="20" t="str">
        <f>IFERROR(__xludf.DUMMYFUNCTION("""COMPUTED_VALUE"""),"Uncle Sams Cider (04/04/2023)")</f>
        <v>Uncle Sams Cider (04/04/2023)</v>
      </c>
      <c r="H9233" s="19"/>
    </row>
    <row r="9234">
      <c r="A9234" s="9"/>
      <c r="B9234" s="15"/>
      <c r="C9234" s="9">
        <f>IFERROR(__xludf.DUMMYFUNCTION("""COMPUTED_VALUE"""),45047.1805242824)</f>
        <v>45047.18052</v>
      </c>
      <c r="D9234" s="15">
        <f>IFERROR(__xludf.DUMMYFUNCTION("""COMPUTED_VALUE"""),1.026)</f>
        <v>1.026</v>
      </c>
      <c r="E9234" s="16">
        <f>IFERROR(__xludf.DUMMYFUNCTION("""COMPUTED_VALUE"""),62.0)</f>
        <v>62</v>
      </c>
      <c r="F9234" s="19" t="str">
        <f>IFERROR(__xludf.DUMMYFUNCTION("""COMPUTED_VALUE"""),"BLUE")</f>
        <v>BLUE</v>
      </c>
      <c r="G9234" s="20" t="str">
        <f>IFERROR(__xludf.DUMMYFUNCTION("""COMPUTED_VALUE"""),"Uncle Sams Cider (04/04/2023)")</f>
        <v>Uncle Sams Cider (04/04/2023)</v>
      </c>
      <c r="H9234" s="19"/>
    </row>
    <row r="9235">
      <c r="A9235" s="9"/>
      <c r="B9235" s="15"/>
      <c r="C9235" s="9">
        <f>IFERROR(__xludf.DUMMYFUNCTION("""COMPUTED_VALUE"""),45047.1701034838)</f>
        <v>45047.1701</v>
      </c>
      <c r="D9235" s="15">
        <f>IFERROR(__xludf.DUMMYFUNCTION("""COMPUTED_VALUE"""),1.026)</f>
        <v>1.026</v>
      </c>
      <c r="E9235" s="16">
        <f>IFERROR(__xludf.DUMMYFUNCTION("""COMPUTED_VALUE"""),62.0)</f>
        <v>62</v>
      </c>
      <c r="F9235" s="19" t="str">
        <f>IFERROR(__xludf.DUMMYFUNCTION("""COMPUTED_VALUE"""),"BLUE")</f>
        <v>BLUE</v>
      </c>
      <c r="G9235" s="20" t="str">
        <f>IFERROR(__xludf.DUMMYFUNCTION("""COMPUTED_VALUE"""),"Uncle Sams Cider (04/04/2023)")</f>
        <v>Uncle Sams Cider (04/04/2023)</v>
      </c>
      <c r="H9235" s="19"/>
    </row>
    <row r="9236">
      <c r="A9236" s="9"/>
      <c r="B9236" s="15"/>
      <c r="C9236" s="9">
        <f>IFERROR(__xludf.DUMMYFUNCTION("""COMPUTED_VALUE"""),45047.1596723842)</f>
        <v>45047.15967</v>
      </c>
      <c r="D9236" s="15">
        <f>IFERROR(__xludf.DUMMYFUNCTION("""COMPUTED_VALUE"""),1.026)</f>
        <v>1.026</v>
      </c>
      <c r="E9236" s="16">
        <f>IFERROR(__xludf.DUMMYFUNCTION("""COMPUTED_VALUE"""),62.0)</f>
        <v>62</v>
      </c>
      <c r="F9236" s="19" t="str">
        <f>IFERROR(__xludf.DUMMYFUNCTION("""COMPUTED_VALUE"""),"BLUE")</f>
        <v>BLUE</v>
      </c>
      <c r="G9236" s="20" t="str">
        <f>IFERROR(__xludf.DUMMYFUNCTION("""COMPUTED_VALUE"""),"Uncle Sams Cider (04/04/2023)")</f>
        <v>Uncle Sams Cider (04/04/2023)</v>
      </c>
      <c r="H9236" s="19"/>
    </row>
    <row r="9237">
      <c r="A9237" s="9"/>
      <c r="B9237" s="15"/>
      <c r="C9237" s="9">
        <f>IFERROR(__xludf.DUMMYFUNCTION("""COMPUTED_VALUE"""),45047.1492513773)</f>
        <v>45047.14925</v>
      </c>
      <c r="D9237" s="15">
        <f>IFERROR(__xludf.DUMMYFUNCTION("""COMPUTED_VALUE"""),1.026)</f>
        <v>1.026</v>
      </c>
      <c r="E9237" s="16">
        <f>IFERROR(__xludf.DUMMYFUNCTION("""COMPUTED_VALUE"""),62.0)</f>
        <v>62</v>
      </c>
      <c r="F9237" s="19" t="str">
        <f>IFERROR(__xludf.DUMMYFUNCTION("""COMPUTED_VALUE"""),"BLUE")</f>
        <v>BLUE</v>
      </c>
      <c r="G9237" s="20" t="str">
        <f>IFERROR(__xludf.DUMMYFUNCTION("""COMPUTED_VALUE"""),"Uncle Sams Cider (04/04/2023)")</f>
        <v>Uncle Sams Cider (04/04/2023)</v>
      </c>
      <c r="H9237" s="19"/>
    </row>
    <row r="9238">
      <c r="A9238" s="9"/>
      <c r="B9238" s="15"/>
      <c r="C9238" s="9">
        <f>IFERROR(__xludf.DUMMYFUNCTION("""COMPUTED_VALUE"""),45047.1388305439)</f>
        <v>45047.13883</v>
      </c>
      <c r="D9238" s="15">
        <f>IFERROR(__xludf.DUMMYFUNCTION("""COMPUTED_VALUE"""),1.026)</f>
        <v>1.026</v>
      </c>
      <c r="E9238" s="16">
        <f>IFERROR(__xludf.DUMMYFUNCTION("""COMPUTED_VALUE"""),62.0)</f>
        <v>62</v>
      </c>
      <c r="F9238" s="19" t="str">
        <f>IFERROR(__xludf.DUMMYFUNCTION("""COMPUTED_VALUE"""),"BLUE")</f>
        <v>BLUE</v>
      </c>
      <c r="G9238" s="20" t="str">
        <f>IFERROR(__xludf.DUMMYFUNCTION("""COMPUTED_VALUE"""),"Uncle Sams Cider (04/04/2023)")</f>
        <v>Uncle Sams Cider (04/04/2023)</v>
      </c>
      <c r="H9238" s="19"/>
    </row>
    <row r="9239">
      <c r="A9239" s="9"/>
      <c r="B9239" s="15"/>
      <c r="C9239" s="9">
        <f>IFERROR(__xludf.DUMMYFUNCTION("""COMPUTED_VALUE"""),45047.1284094791)</f>
        <v>45047.12841</v>
      </c>
      <c r="D9239" s="15">
        <f>IFERROR(__xludf.DUMMYFUNCTION("""COMPUTED_VALUE"""),1.026)</f>
        <v>1.026</v>
      </c>
      <c r="E9239" s="16">
        <f>IFERROR(__xludf.DUMMYFUNCTION("""COMPUTED_VALUE"""),62.0)</f>
        <v>62</v>
      </c>
      <c r="F9239" s="19" t="str">
        <f>IFERROR(__xludf.DUMMYFUNCTION("""COMPUTED_VALUE"""),"BLUE")</f>
        <v>BLUE</v>
      </c>
      <c r="G9239" s="20" t="str">
        <f>IFERROR(__xludf.DUMMYFUNCTION("""COMPUTED_VALUE"""),"Uncle Sams Cider (04/04/2023)")</f>
        <v>Uncle Sams Cider (04/04/2023)</v>
      </c>
      <c r="H9239" s="19"/>
    </row>
    <row r="9240">
      <c r="A9240" s="9"/>
      <c r="B9240" s="15"/>
      <c r="C9240" s="9">
        <f>IFERROR(__xludf.DUMMYFUNCTION("""COMPUTED_VALUE"""),45047.1179875578)</f>
        <v>45047.11799</v>
      </c>
      <c r="D9240" s="15">
        <f>IFERROR(__xludf.DUMMYFUNCTION("""COMPUTED_VALUE"""),1.026)</f>
        <v>1.026</v>
      </c>
      <c r="E9240" s="16">
        <f>IFERROR(__xludf.DUMMYFUNCTION("""COMPUTED_VALUE"""),62.0)</f>
        <v>62</v>
      </c>
      <c r="F9240" s="19" t="str">
        <f>IFERROR(__xludf.DUMMYFUNCTION("""COMPUTED_VALUE"""),"BLUE")</f>
        <v>BLUE</v>
      </c>
      <c r="G9240" s="20" t="str">
        <f>IFERROR(__xludf.DUMMYFUNCTION("""COMPUTED_VALUE"""),"Uncle Sams Cider (04/04/2023)")</f>
        <v>Uncle Sams Cider (04/04/2023)</v>
      </c>
      <c r="H9240" s="19"/>
    </row>
    <row r="9241">
      <c r="A9241" s="9"/>
      <c r="B9241" s="15"/>
      <c r="C9241" s="9">
        <f>IFERROR(__xludf.DUMMYFUNCTION("""COMPUTED_VALUE"""),45047.1075684722)</f>
        <v>45047.10757</v>
      </c>
      <c r="D9241" s="15">
        <f>IFERROR(__xludf.DUMMYFUNCTION("""COMPUTED_VALUE"""),1.026)</f>
        <v>1.026</v>
      </c>
      <c r="E9241" s="16">
        <f>IFERROR(__xludf.DUMMYFUNCTION("""COMPUTED_VALUE"""),62.0)</f>
        <v>62</v>
      </c>
      <c r="F9241" s="19" t="str">
        <f>IFERROR(__xludf.DUMMYFUNCTION("""COMPUTED_VALUE"""),"BLUE")</f>
        <v>BLUE</v>
      </c>
      <c r="G9241" s="20" t="str">
        <f>IFERROR(__xludf.DUMMYFUNCTION("""COMPUTED_VALUE"""),"Uncle Sams Cider (04/04/2023)")</f>
        <v>Uncle Sams Cider (04/04/2023)</v>
      </c>
      <c r="H9241" s="19"/>
    </row>
    <row r="9242">
      <c r="A9242" s="9"/>
      <c r="B9242" s="15"/>
      <c r="C9242" s="9">
        <f>IFERROR(__xludf.DUMMYFUNCTION("""COMPUTED_VALUE"""),45047.097147905)</f>
        <v>45047.09715</v>
      </c>
      <c r="D9242" s="15">
        <f>IFERROR(__xludf.DUMMYFUNCTION("""COMPUTED_VALUE"""),1.026)</f>
        <v>1.026</v>
      </c>
      <c r="E9242" s="16">
        <f>IFERROR(__xludf.DUMMYFUNCTION("""COMPUTED_VALUE"""),62.0)</f>
        <v>62</v>
      </c>
      <c r="F9242" s="19" t="str">
        <f>IFERROR(__xludf.DUMMYFUNCTION("""COMPUTED_VALUE"""),"BLUE")</f>
        <v>BLUE</v>
      </c>
      <c r="G9242" s="20" t="str">
        <f>IFERROR(__xludf.DUMMYFUNCTION("""COMPUTED_VALUE"""),"Uncle Sams Cider (04/04/2023)")</f>
        <v>Uncle Sams Cider (04/04/2023)</v>
      </c>
      <c r="H9242" s="19"/>
    </row>
    <row r="9243">
      <c r="A9243" s="9"/>
      <c r="B9243" s="15"/>
      <c r="C9243" s="9">
        <f>IFERROR(__xludf.DUMMYFUNCTION("""COMPUTED_VALUE"""),45047.0867256713)</f>
        <v>45047.08673</v>
      </c>
      <c r="D9243" s="15">
        <f>IFERROR(__xludf.DUMMYFUNCTION("""COMPUTED_VALUE"""),1.027)</f>
        <v>1.027</v>
      </c>
      <c r="E9243" s="16">
        <f>IFERROR(__xludf.DUMMYFUNCTION("""COMPUTED_VALUE"""),62.0)</f>
        <v>62</v>
      </c>
      <c r="F9243" s="19" t="str">
        <f>IFERROR(__xludf.DUMMYFUNCTION("""COMPUTED_VALUE"""),"BLUE")</f>
        <v>BLUE</v>
      </c>
      <c r="G9243" s="20" t="str">
        <f>IFERROR(__xludf.DUMMYFUNCTION("""COMPUTED_VALUE"""),"Uncle Sams Cider (04/04/2023)")</f>
        <v>Uncle Sams Cider (04/04/2023)</v>
      </c>
      <c r="H9243" s="19"/>
    </row>
    <row r="9244">
      <c r="A9244" s="9"/>
      <c r="B9244" s="15"/>
      <c r="C9244" s="9">
        <f>IFERROR(__xludf.DUMMYFUNCTION("""COMPUTED_VALUE"""),45047.0763046296)</f>
        <v>45047.0763</v>
      </c>
      <c r="D9244" s="15">
        <f>IFERROR(__xludf.DUMMYFUNCTION("""COMPUTED_VALUE"""),1.026)</f>
        <v>1.026</v>
      </c>
      <c r="E9244" s="16">
        <f>IFERROR(__xludf.DUMMYFUNCTION("""COMPUTED_VALUE"""),62.0)</f>
        <v>62</v>
      </c>
      <c r="F9244" s="19" t="str">
        <f>IFERROR(__xludf.DUMMYFUNCTION("""COMPUTED_VALUE"""),"BLUE")</f>
        <v>BLUE</v>
      </c>
      <c r="G9244" s="20" t="str">
        <f>IFERROR(__xludf.DUMMYFUNCTION("""COMPUTED_VALUE"""),"Uncle Sams Cider (04/04/2023)")</f>
        <v>Uncle Sams Cider (04/04/2023)</v>
      </c>
      <c r="H9244" s="19"/>
    </row>
    <row r="9245">
      <c r="A9245" s="9"/>
      <c r="B9245" s="15"/>
      <c r="C9245" s="9">
        <f>IFERROR(__xludf.DUMMYFUNCTION("""COMPUTED_VALUE"""),45047.06588478)</f>
        <v>45047.06588</v>
      </c>
      <c r="D9245" s="15">
        <f>IFERROR(__xludf.DUMMYFUNCTION("""COMPUTED_VALUE"""),1.026)</f>
        <v>1.026</v>
      </c>
      <c r="E9245" s="16">
        <f>IFERROR(__xludf.DUMMYFUNCTION("""COMPUTED_VALUE"""),62.0)</f>
        <v>62</v>
      </c>
      <c r="F9245" s="19" t="str">
        <f>IFERROR(__xludf.DUMMYFUNCTION("""COMPUTED_VALUE"""),"BLUE")</f>
        <v>BLUE</v>
      </c>
      <c r="G9245" s="20" t="str">
        <f>IFERROR(__xludf.DUMMYFUNCTION("""COMPUTED_VALUE"""),"Uncle Sams Cider (04/04/2023)")</f>
        <v>Uncle Sams Cider (04/04/2023)</v>
      </c>
      <c r="H9245" s="19"/>
    </row>
    <row r="9246">
      <c r="A9246" s="9"/>
      <c r="B9246" s="15"/>
      <c r="C9246" s="9">
        <f>IFERROR(__xludf.DUMMYFUNCTION("""COMPUTED_VALUE"""),45047.0450417361)</f>
        <v>45047.04504</v>
      </c>
      <c r="D9246" s="15">
        <f>IFERROR(__xludf.DUMMYFUNCTION("""COMPUTED_VALUE"""),1.026)</f>
        <v>1.026</v>
      </c>
      <c r="E9246" s="16">
        <f>IFERROR(__xludf.DUMMYFUNCTION("""COMPUTED_VALUE"""),62.0)</f>
        <v>62</v>
      </c>
      <c r="F9246" s="19" t="str">
        <f>IFERROR(__xludf.DUMMYFUNCTION("""COMPUTED_VALUE"""),"BLUE")</f>
        <v>BLUE</v>
      </c>
      <c r="G9246" s="20" t="str">
        <f>IFERROR(__xludf.DUMMYFUNCTION("""COMPUTED_VALUE"""),"Uncle Sams Cider (04/04/2023)")</f>
        <v>Uncle Sams Cider (04/04/2023)</v>
      </c>
      <c r="H9246" s="19"/>
    </row>
    <row r="9247">
      <c r="A9247" s="9"/>
      <c r="B9247" s="15"/>
      <c r="C9247" s="9">
        <f>IFERROR(__xludf.DUMMYFUNCTION("""COMPUTED_VALUE"""),45047.0346092708)</f>
        <v>45047.03461</v>
      </c>
      <c r="D9247" s="15">
        <f>IFERROR(__xludf.DUMMYFUNCTION("""COMPUTED_VALUE"""),1.027)</f>
        <v>1.027</v>
      </c>
      <c r="E9247" s="16">
        <f>IFERROR(__xludf.DUMMYFUNCTION("""COMPUTED_VALUE"""),62.0)</f>
        <v>62</v>
      </c>
      <c r="F9247" s="19" t="str">
        <f>IFERROR(__xludf.DUMMYFUNCTION("""COMPUTED_VALUE"""),"BLUE")</f>
        <v>BLUE</v>
      </c>
      <c r="G9247" s="20" t="str">
        <f>IFERROR(__xludf.DUMMYFUNCTION("""COMPUTED_VALUE"""),"Uncle Sams Cider (04/04/2023)")</f>
        <v>Uncle Sams Cider (04/04/2023)</v>
      </c>
      <c r="H9247" s="19"/>
    </row>
    <row r="9248">
      <c r="A9248" s="9"/>
      <c r="B9248" s="15"/>
      <c r="C9248" s="9">
        <f>IFERROR(__xludf.DUMMYFUNCTION("""COMPUTED_VALUE"""),45047.0241898611)</f>
        <v>45047.02419</v>
      </c>
      <c r="D9248" s="15">
        <f>IFERROR(__xludf.DUMMYFUNCTION("""COMPUTED_VALUE"""),1.027)</f>
        <v>1.027</v>
      </c>
      <c r="E9248" s="16">
        <f>IFERROR(__xludf.DUMMYFUNCTION("""COMPUTED_VALUE"""),62.0)</f>
        <v>62</v>
      </c>
      <c r="F9248" s="19" t="str">
        <f>IFERROR(__xludf.DUMMYFUNCTION("""COMPUTED_VALUE"""),"BLUE")</f>
        <v>BLUE</v>
      </c>
      <c r="G9248" s="20" t="str">
        <f>IFERROR(__xludf.DUMMYFUNCTION("""COMPUTED_VALUE"""),"Uncle Sams Cider (04/04/2023)")</f>
        <v>Uncle Sams Cider (04/04/2023)</v>
      </c>
      <c r="H9248" s="19"/>
    </row>
    <row r="9249">
      <c r="A9249" s="9"/>
      <c r="B9249" s="15"/>
      <c r="C9249" s="9">
        <f>IFERROR(__xludf.DUMMYFUNCTION("""COMPUTED_VALUE"""),45047.0137678125)</f>
        <v>45047.01377</v>
      </c>
      <c r="D9249" s="15">
        <f>IFERROR(__xludf.DUMMYFUNCTION("""COMPUTED_VALUE"""),1.027)</f>
        <v>1.027</v>
      </c>
      <c r="E9249" s="16">
        <f>IFERROR(__xludf.DUMMYFUNCTION("""COMPUTED_VALUE"""),62.0)</f>
        <v>62</v>
      </c>
      <c r="F9249" s="19" t="str">
        <f>IFERROR(__xludf.DUMMYFUNCTION("""COMPUTED_VALUE"""),"BLUE")</f>
        <v>BLUE</v>
      </c>
      <c r="G9249" s="20" t="str">
        <f>IFERROR(__xludf.DUMMYFUNCTION("""COMPUTED_VALUE"""),"Uncle Sams Cider (04/04/2023)")</f>
        <v>Uncle Sams Cider (04/04/2023)</v>
      </c>
      <c r="H9249" s="19"/>
    </row>
    <row r="9250">
      <c r="A9250" s="9"/>
      <c r="B9250" s="15"/>
      <c r="C9250" s="9">
        <f>IFERROR(__xludf.DUMMYFUNCTION("""COMPUTED_VALUE"""),45047.0033456828)</f>
        <v>45047.00335</v>
      </c>
      <c r="D9250" s="15">
        <f>IFERROR(__xludf.DUMMYFUNCTION("""COMPUTED_VALUE"""),1.026)</f>
        <v>1.026</v>
      </c>
      <c r="E9250" s="16">
        <f>IFERROR(__xludf.DUMMYFUNCTION("""COMPUTED_VALUE"""),62.0)</f>
        <v>62</v>
      </c>
      <c r="F9250" s="19" t="str">
        <f>IFERROR(__xludf.DUMMYFUNCTION("""COMPUTED_VALUE"""),"BLUE")</f>
        <v>BLUE</v>
      </c>
      <c r="G9250" s="20" t="str">
        <f>IFERROR(__xludf.DUMMYFUNCTION("""COMPUTED_VALUE"""),"Uncle Sams Cider (04/04/2023)")</f>
        <v>Uncle Sams Cider (04/04/2023)</v>
      </c>
      <c r="H9250" s="19"/>
    </row>
    <row r="9251">
      <c r="A9251" s="9"/>
      <c r="B9251" s="15"/>
      <c r="C9251" s="9">
        <f>IFERROR(__xludf.DUMMYFUNCTION("""COMPUTED_VALUE"""),45046.9929240509)</f>
        <v>45046.99292</v>
      </c>
      <c r="D9251" s="15">
        <f>IFERROR(__xludf.DUMMYFUNCTION("""COMPUTED_VALUE"""),1.027)</f>
        <v>1.027</v>
      </c>
      <c r="E9251" s="16">
        <f>IFERROR(__xludf.DUMMYFUNCTION("""COMPUTED_VALUE"""),62.0)</f>
        <v>62</v>
      </c>
      <c r="F9251" s="19" t="str">
        <f>IFERROR(__xludf.DUMMYFUNCTION("""COMPUTED_VALUE"""),"BLUE")</f>
        <v>BLUE</v>
      </c>
      <c r="G9251" s="20" t="str">
        <f>IFERROR(__xludf.DUMMYFUNCTION("""COMPUTED_VALUE"""),"Uncle Sams Cider (04/04/2023)")</f>
        <v>Uncle Sams Cider (04/04/2023)</v>
      </c>
      <c r="H9251" s="19"/>
    </row>
    <row r="9252">
      <c r="A9252" s="9"/>
      <c r="B9252" s="15"/>
      <c r="C9252" s="9">
        <f>IFERROR(__xludf.DUMMYFUNCTION("""COMPUTED_VALUE"""),45046.9825040393)</f>
        <v>45046.9825</v>
      </c>
      <c r="D9252" s="15">
        <f>IFERROR(__xludf.DUMMYFUNCTION("""COMPUTED_VALUE"""),1.027)</f>
        <v>1.027</v>
      </c>
      <c r="E9252" s="16">
        <f>IFERROR(__xludf.DUMMYFUNCTION("""COMPUTED_VALUE"""),62.0)</f>
        <v>62</v>
      </c>
      <c r="F9252" s="19" t="str">
        <f>IFERROR(__xludf.DUMMYFUNCTION("""COMPUTED_VALUE"""),"BLUE")</f>
        <v>BLUE</v>
      </c>
      <c r="G9252" s="20" t="str">
        <f>IFERROR(__xludf.DUMMYFUNCTION("""COMPUTED_VALUE"""),"Uncle Sams Cider (04/04/2023)")</f>
        <v>Uncle Sams Cider (04/04/2023)</v>
      </c>
      <c r="H9252" s="19"/>
    </row>
    <row r="9253">
      <c r="A9253" s="9"/>
      <c r="B9253" s="15"/>
      <c r="C9253" s="9">
        <f>IFERROR(__xludf.DUMMYFUNCTION("""COMPUTED_VALUE"""),45046.9720830555)</f>
        <v>45046.97208</v>
      </c>
      <c r="D9253" s="15">
        <f>IFERROR(__xludf.DUMMYFUNCTION("""COMPUTED_VALUE"""),1.027)</f>
        <v>1.027</v>
      </c>
      <c r="E9253" s="16">
        <f>IFERROR(__xludf.DUMMYFUNCTION("""COMPUTED_VALUE"""),62.0)</f>
        <v>62</v>
      </c>
      <c r="F9253" s="19" t="str">
        <f>IFERROR(__xludf.DUMMYFUNCTION("""COMPUTED_VALUE"""),"BLUE")</f>
        <v>BLUE</v>
      </c>
      <c r="G9253" s="20" t="str">
        <f>IFERROR(__xludf.DUMMYFUNCTION("""COMPUTED_VALUE"""),"Uncle Sams Cider (04/04/2023)")</f>
        <v>Uncle Sams Cider (04/04/2023)</v>
      </c>
      <c r="H9253" s="19"/>
    </row>
    <row r="9254">
      <c r="A9254" s="9"/>
      <c r="B9254" s="15"/>
      <c r="C9254" s="9">
        <f>IFERROR(__xludf.DUMMYFUNCTION("""COMPUTED_VALUE"""),45046.9512398148)</f>
        <v>45046.95124</v>
      </c>
      <c r="D9254" s="15">
        <f>IFERROR(__xludf.DUMMYFUNCTION("""COMPUTED_VALUE"""),1.027)</f>
        <v>1.027</v>
      </c>
      <c r="E9254" s="16">
        <f>IFERROR(__xludf.DUMMYFUNCTION("""COMPUTED_VALUE"""),62.0)</f>
        <v>62</v>
      </c>
      <c r="F9254" s="19" t="str">
        <f>IFERROR(__xludf.DUMMYFUNCTION("""COMPUTED_VALUE"""),"BLUE")</f>
        <v>BLUE</v>
      </c>
      <c r="G9254" s="20" t="str">
        <f>IFERROR(__xludf.DUMMYFUNCTION("""COMPUTED_VALUE"""),"Uncle Sams Cider (04/04/2023)")</f>
        <v>Uncle Sams Cider (04/04/2023)</v>
      </c>
      <c r="H9254" s="19"/>
    </row>
    <row r="9255">
      <c r="A9255" s="9"/>
      <c r="B9255" s="15"/>
      <c r="C9255" s="9">
        <f>IFERROR(__xludf.DUMMYFUNCTION("""COMPUTED_VALUE"""),45046.940808206)</f>
        <v>45046.94081</v>
      </c>
      <c r="D9255" s="15">
        <f>IFERROR(__xludf.DUMMYFUNCTION("""COMPUTED_VALUE"""),1.027)</f>
        <v>1.027</v>
      </c>
      <c r="E9255" s="16">
        <f>IFERROR(__xludf.DUMMYFUNCTION("""COMPUTED_VALUE"""),62.0)</f>
        <v>62</v>
      </c>
      <c r="F9255" s="19" t="str">
        <f>IFERROR(__xludf.DUMMYFUNCTION("""COMPUTED_VALUE"""),"BLUE")</f>
        <v>BLUE</v>
      </c>
      <c r="G9255" s="20" t="str">
        <f>IFERROR(__xludf.DUMMYFUNCTION("""COMPUTED_VALUE"""),"Uncle Sams Cider (04/04/2023)")</f>
        <v>Uncle Sams Cider (04/04/2023)</v>
      </c>
      <c r="H9255" s="19"/>
    </row>
    <row r="9256">
      <c r="A9256" s="9"/>
      <c r="B9256" s="15"/>
      <c r="C9256" s="9">
        <f>IFERROR(__xludf.DUMMYFUNCTION("""COMPUTED_VALUE"""),45046.9303865509)</f>
        <v>45046.93039</v>
      </c>
      <c r="D9256" s="15">
        <f>IFERROR(__xludf.DUMMYFUNCTION("""COMPUTED_VALUE"""),1.027)</f>
        <v>1.027</v>
      </c>
      <c r="E9256" s="16">
        <f>IFERROR(__xludf.DUMMYFUNCTION("""COMPUTED_VALUE"""),62.0)</f>
        <v>62</v>
      </c>
      <c r="F9256" s="19" t="str">
        <f>IFERROR(__xludf.DUMMYFUNCTION("""COMPUTED_VALUE"""),"BLUE")</f>
        <v>BLUE</v>
      </c>
      <c r="G9256" s="20" t="str">
        <f>IFERROR(__xludf.DUMMYFUNCTION("""COMPUTED_VALUE"""),"Uncle Sams Cider (04/04/2023)")</f>
        <v>Uncle Sams Cider (04/04/2023)</v>
      </c>
      <c r="H9256" s="19"/>
    </row>
    <row r="9257">
      <c r="A9257" s="9"/>
      <c r="B9257" s="15"/>
      <c r="C9257" s="9">
        <f>IFERROR(__xludf.DUMMYFUNCTION("""COMPUTED_VALUE"""),45046.919965)</f>
        <v>45046.91997</v>
      </c>
      <c r="D9257" s="15">
        <f>IFERROR(__xludf.DUMMYFUNCTION("""COMPUTED_VALUE"""),1.027)</f>
        <v>1.027</v>
      </c>
      <c r="E9257" s="16">
        <f>IFERROR(__xludf.DUMMYFUNCTION("""COMPUTED_VALUE"""),62.0)</f>
        <v>62</v>
      </c>
      <c r="F9257" s="19" t="str">
        <f>IFERROR(__xludf.DUMMYFUNCTION("""COMPUTED_VALUE"""),"BLUE")</f>
        <v>BLUE</v>
      </c>
      <c r="G9257" s="20" t="str">
        <f>IFERROR(__xludf.DUMMYFUNCTION("""COMPUTED_VALUE"""),"Uncle Sams Cider (04/04/2023)")</f>
        <v>Uncle Sams Cider (04/04/2023)</v>
      </c>
      <c r="H9257" s="19"/>
    </row>
    <row r="9258">
      <c r="A9258" s="9"/>
      <c r="B9258" s="15"/>
      <c r="C9258" s="9">
        <f>IFERROR(__xludf.DUMMYFUNCTION("""COMPUTED_VALUE"""),45046.8886759606)</f>
        <v>45046.88868</v>
      </c>
      <c r="D9258" s="15">
        <f>IFERROR(__xludf.DUMMYFUNCTION("""COMPUTED_VALUE"""),1.027)</f>
        <v>1.027</v>
      </c>
      <c r="E9258" s="16">
        <f>IFERROR(__xludf.DUMMYFUNCTION("""COMPUTED_VALUE"""),62.0)</f>
        <v>62</v>
      </c>
      <c r="F9258" s="19" t="str">
        <f>IFERROR(__xludf.DUMMYFUNCTION("""COMPUTED_VALUE"""),"BLUE")</f>
        <v>BLUE</v>
      </c>
      <c r="G9258" s="20" t="str">
        <f>IFERROR(__xludf.DUMMYFUNCTION("""COMPUTED_VALUE"""),"Uncle Sams Cider (04/04/2023)")</f>
        <v>Uncle Sams Cider (04/04/2023)</v>
      </c>
      <c r="H9258" s="19"/>
    </row>
    <row r="9259">
      <c r="A9259" s="9"/>
      <c r="B9259" s="15"/>
      <c r="C9259" s="9">
        <f>IFERROR(__xludf.DUMMYFUNCTION("""COMPUTED_VALUE"""),45046.8782549768)</f>
        <v>45046.87825</v>
      </c>
      <c r="D9259" s="15">
        <f>IFERROR(__xludf.DUMMYFUNCTION("""COMPUTED_VALUE"""),1.027)</f>
        <v>1.027</v>
      </c>
      <c r="E9259" s="16">
        <f>IFERROR(__xludf.DUMMYFUNCTION("""COMPUTED_VALUE"""),62.0)</f>
        <v>62</v>
      </c>
      <c r="F9259" s="19" t="str">
        <f>IFERROR(__xludf.DUMMYFUNCTION("""COMPUTED_VALUE"""),"BLUE")</f>
        <v>BLUE</v>
      </c>
      <c r="G9259" s="20" t="str">
        <f>IFERROR(__xludf.DUMMYFUNCTION("""COMPUTED_VALUE"""),"Uncle Sams Cider (04/04/2023)")</f>
        <v>Uncle Sams Cider (04/04/2023)</v>
      </c>
      <c r="H9259" s="19"/>
    </row>
    <row r="9260">
      <c r="A9260" s="9"/>
      <c r="B9260" s="15"/>
      <c r="C9260" s="9">
        <f>IFERROR(__xludf.DUMMYFUNCTION("""COMPUTED_VALUE"""),45046.867822743)</f>
        <v>45046.86782</v>
      </c>
      <c r="D9260" s="15">
        <f>IFERROR(__xludf.DUMMYFUNCTION("""COMPUTED_VALUE"""),1.027)</f>
        <v>1.027</v>
      </c>
      <c r="E9260" s="16">
        <f>IFERROR(__xludf.DUMMYFUNCTION("""COMPUTED_VALUE"""),62.0)</f>
        <v>62</v>
      </c>
      <c r="F9260" s="19" t="str">
        <f>IFERROR(__xludf.DUMMYFUNCTION("""COMPUTED_VALUE"""),"BLUE")</f>
        <v>BLUE</v>
      </c>
      <c r="G9260" s="20" t="str">
        <f>IFERROR(__xludf.DUMMYFUNCTION("""COMPUTED_VALUE"""),"Uncle Sams Cider (04/04/2023)")</f>
        <v>Uncle Sams Cider (04/04/2023)</v>
      </c>
      <c r="H9260" s="19"/>
    </row>
    <row r="9261">
      <c r="A9261" s="9"/>
      <c r="B9261" s="15"/>
      <c r="C9261" s="9">
        <f>IFERROR(__xludf.DUMMYFUNCTION("""COMPUTED_VALUE"""),45046.8574025462)</f>
        <v>45046.8574</v>
      </c>
      <c r="D9261" s="15">
        <f>IFERROR(__xludf.DUMMYFUNCTION("""COMPUTED_VALUE"""),1.027)</f>
        <v>1.027</v>
      </c>
      <c r="E9261" s="16">
        <f>IFERROR(__xludf.DUMMYFUNCTION("""COMPUTED_VALUE"""),62.0)</f>
        <v>62</v>
      </c>
      <c r="F9261" s="19" t="str">
        <f>IFERROR(__xludf.DUMMYFUNCTION("""COMPUTED_VALUE"""),"BLUE")</f>
        <v>BLUE</v>
      </c>
      <c r="G9261" s="20" t="str">
        <f>IFERROR(__xludf.DUMMYFUNCTION("""COMPUTED_VALUE"""),"Uncle Sams Cider (04/04/2023)")</f>
        <v>Uncle Sams Cider (04/04/2023)</v>
      </c>
      <c r="H9261" s="19"/>
    </row>
    <row r="9262">
      <c r="A9262" s="9"/>
      <c r="B9262" s="15"/>
      <c r="C9262" s="9">
        <f>IFERROR(__xludf.DUMMYFUNCTION("""COMPUTED_VALUE"""),45046.8469825347)</f>
        <v>45046.84698</v>
      </c>
      <c r="D9262" s="15">
        <f>IFERROR(__xludf.DUMMYFUNCTION("""COMPUTED_VALUE"""),1.027)</f>
        <v>1.027</v>
      </c>
      <c r="E9262" s="16">
        <f>IFERROR(__xludf.DUMMYFUNCTION("""COMPUTED_VALUE"""),62.0)</f>
        <v>62</v>
      </c>
      <c r="F9262" s="19" t="str">
        <f>IFERROR(__xludf.DUMMYFUNCTION("""COMPUTED_VALUE"""),"BLUE")</f>
        <v>BLUE</v>
      </c>
      <c r="G9262" s="20" t="str">
        <f>IFERROR(__xludf.DUMMYFUNCTION("""COMPUTED_VALUE"""),"Uncle Sams Cider (04/04/2023)")</f>
        <v>Uncle Sams Cider (04/04/2023)</v>
      </c>
      <c r="H9262" s="19"/>
    </row>
    <row r="9263">
      <c r="A9263" s="9"/>
      <c r="B9263" s="15"/>
      <c r="C9263" s="9">
        <f>IFERROR(__xludf.DUMMYFUNCTION("""COMPUTED_VALUE"""),45046.8365509953)</f>
        <v>45046.83655</v>
      </c>
      <c r="D9263" s="15">
        <f>IFERROR(__xludf.DUMMYFUNCTION("""COMPUTED_VALUE"""),1.027)</f>
        <v>1.027</v>
      </c>
      <c r="E9263" s="16">
        <f>IFERROR(__xludf.DUMMYFUNCTION("""COMPUTED_VALUE"""),62.0)</f>
        <v>62</v>
      </c>
      <c r="F9263" s="19" t="str">
        <f>IFERROR(__xludf.DUMMYFUNCTION("""COMPUTED_VALUE"""),"BLUE")</f>
        <v>BLUE</v>
      </c>
      <c r="G9263" s="20" t="str">
        <f>IFERROR(__xludf.DUMMYFUNCTION("""COMPUTED_VALUE"""),"Uncle Sams Cider (04/04/2023)")</f>
        <v>Uncle Sams Cider (04/04/2023)</v>
      </c>
      <c r="H9263" s="19"/>
    </row>
    <row r="9264">
      <c r="A9264" s="9"/>
      <c r="B9264" s="15"/>
      <c r="C9264" s="9">
        <f>IFERROR(__xludf.DUMMYFUNCTION("""COMPUTED_VALUE"""),45046.8261297685)</f>
        <v>45046.82613</v>
      </c>
      <c r="D9264" s="15">
        <f>IFERROR(__xludf.DUMMYFUNCTION("""COMPUTED_VALUE"""),1.027)</f>
        <v>1.027</v>
      </c>
      <c r="E9264" s="16">
        <f>IFERROR(__xludf.DUMMYFUNCTION("""COMPUTED_VALUE"""),62.0)</f>
        <v>62</v>
      </c>
      <c r="F9264" s="19" t="str">
        <f>IFERROR(__xludf.DUMMYFUNCTION("""COMPUTED_VALUE"""),"BLUE")</f>
        <v>BLUE</v>
      </c>
      <c r="G9264" s="20" t="str">
        <f>IFERROR(__xludf.DUMMYFUNCTION("""COMPUTED_VALUE"""),"Uncle Sams Cider (04/04/2023)")</f>
        <v>Uncle Sams Cider (04/04/2023)</v>
      </c>
      <c r="H9264" s="19"/>
    </row>
    <row r="9265">
      <c r="A9265" s="9"/>
      <c r="B9265" s="15"/>
      <c r="C9265" s="9">
        <f>IFERROR(__xludf.DUMMYFUNCTION("""COMPUTED_VALUE"""),45046.8156967245)</f>
        <v>45046.8157</v>
      </c>
      <c r="D9265" s="15">
        <f>IFERROR(__xludf.DUMMYFUNCTION("""COMPUTED_VALUE"""),1.027)</f>
        <v>1.027</v>
      </c>
      <c r="E9265" s="16">
        <f>IFERROR(__xludf.DUMMYFUNCTION("""COMPUTED_VALUE"""),62.0)</f>
        <v>62</v>
      </c>
      <c r="F9265" s="19" t="str">
        <f>IFERROR(__xludf.DUMMYFUNCTION("""COMPUTED_VALUE"""),"BLUE")</f>
        <v>BLUE</v>
      </c>
      <c r="G9265" s="20" t="str">
        <f>IFERROR(__xludf.DUMMYFUNCTION("""COMPUTED_VALUE"""),"Uncle Sams Cider (04/04/2023)")</f>
        <v>Uncle Sams Cider (04/04/2023)</v>
      </c>
      <c r="H9265" s="19"/>
    </row>
    <row r="9266">
      <c r="A9266" s="9"/>
      <c r="B9266" s="15"/>
      <c r="C9266" s="9">
        <f>IFERROR(__xludf.DUMMYFUNCTION("""COMPUTED_VALUE"""),45046.8052640625)</f>
        <v>45046.80526</v>
      </c>
      <c r="D9266" s="15">
        <f>IFERROR(__xludf.DUMMYFUNCTION("""COMPUTED_VALUE"""),1.027)</f>
        <v>1.027</v>
      </c>
      <c r="E9266" s="16">
        <f>IFERROR(__xludf.DUMMYFUNCTION("""COMPUTED_VALUE"""),62.0)</f>
        <v>62</v>
      </c>
      <c r="F9266" s="19" t="str">
        <f>IFERROR(__xludf.DUMMYFUNCTION("""COMPUTED_VALUE"""),"BLUE")</f>
        <v>BLUE</v>
      </c>
      <c r="G9266" s="20" t="str">
        <f>IFERROR(__xludf.DUMMYFUNCTION("""COMPUTED_VALUE"""),"Uncle Sams Cider (04/04/2023)")</f>
        <v>Uncle Sams Cider (04/04/2023)</v>
      </c>
      <c r="H9266" s="19"/>
    </row>
    <row r="9267">
      <c r="A9267" s="9"/>
      <c r="B9267" s="15"/>
      <c r="C9267" s="9">
        <f>IFERROR(__xludf.DUMMYFUNCTION("""COMPUTED_VALUE"""),45046.7844214699)</f>
        <v>45046.78442</v>
      </c>
      <c r="D9267" s="15">
        <f>IFERROR(__xludf.DUMMYFUNCTION("""COMPUTED_VALUE"""),1.027)</f>
        <v>1.027</v>
      </c>
      <c r="E9267" s="16">
        <f>IFERROR(__xludf.DUMMYFUNCTION("""COMPUTED_VALUE"""),62.0)</f>
        <v>62</v>
      </c>
      <c r="F9267" s="19" t="str">
        <f>IFERROR(__xludf.DUMMYFUNCTION("""COMPUTED_VALUE"""),"BLUE")</f>
        <v>BLUE</v>
      </c>
      <c r="G9267" s="20" t="str">
        <f>IFERROR(__xludf.DUMMYFUNCTION("""COMPUTED_VALUE"""),"Uncle Sams Cider (04/04/2023)")</f>
        <v>Uncle Sams Cider (04/04/2023)</v>
      </c>
      <c r="H9267" s="19"/>
    </row>
    <row r="9268">
      <c r="A9268" s="9"/>
      <c r="B9268" s="15"/>
      <c r="C9268" s="9">
        <f>IFERROR(__xludf.DUMMYFUNCTION("""COMPUTED_VALUE"""),45046.7740004629)</f>
        <v>45046.774</v>
      </c>
      <c r="D9268" s="15">
        <f>IFERROR(__xludf.DUMMYFUNCTION("""COMPUTED_VALUE"""),1.027)</f>
        <v>1.027</v>
      </c>
      <c r="E9268" s="16">
        <f>IFERROR(__xludf.DUMMYFUNCTION("""COMPUTED_VALUE"""),62.0)</f>
        <v>62</v>
      </c>
      <c r="F9268" s="19" t="str">
        <f>IFERROR(__xludf.DUMMYFUNCTION("""COMPUTED_VALUE"""),"BLUE")</f>
        <v>BLUE</v>
      </c>
      <c r="G9268" s="20" t="str">
        <f>IFERROR(__xludf.DUMMYFUNCTION("""COMPUTED_VALUE"""),"Uncle Sams Cider (04/04/2023)")</f>
        <v>Uncle Sams Cider (04/04/2023)</v>
      </c>
      <c r="H9268" s="19"/>
    </row>
    <row r="9269">
      <c r="A9269" s="9"/>
      <c r="B9269" s="15"/>
      <c r="C9269" s="9">
        <f>IFERROR(__xludf.DUMMYFUNCTION("""COMPUTED_VALUE"""),45046.7635807523)</f>
        <v>45046.76358</v>
      </c>
      <c r="D9269" s="15">
        <f>IFERROR(__xludf.DUMMYFUNCTION("""COMPUTED_VALUE"""),1.027)</f>
        <v>1.027</v>
      </c>
      <c r="E9269" s="16">
        <f>IFERROR(__xludf.DUMMYFUNCTION("""COMPUTED_VALUE"""),62.0)</f>
        <v>62</v>
      </c>
      <c r="F9269" s="19" t="str">
        <f>IFERROR(__xludf.DUMMYFUNCTION("""COMPUTED_VALUE"""),"BLUE")</f>
        <v>BLUE</v>
      </c>
      <c r="G9269" s="20" t="str">
        <f>IFERROR(__xludf.DUMMYFUNCTION("""COMPUTED_VALUE"""),"Uncle Sams Cider (04/04/2023)")</f>
        <v>Uncle Sams Cider (04/04/2023)</v>
      </c>
      <c r="H9269" s="19"/>
    </row>
    <row r="9270">
      <c r="A9270" s="9"/>
      <c r="B9270" s="15"/>
      <c r="C9270" s="9">
        <f>IFERROR(__xludf.DUMMYFUNCTION("""COMPUTED_VALUE"""),45046.7427398842)</f>
        <v>45046.74274</v>
      </c>
      <c r="D9270" s="15">
        <f>IFERROR(__xludf.DUMMYFUNCTION("""COMPUTED_VALUE"""),1.027)</f>
        <v>1.027</v>
      </c>
      <c r="E9270" s="16">
        <f>IFERROR(__xludf.DUMMYFUNCTION("""COMPUTED_VALUE"""),62.0)</f>
        <v>62</v>
      </c>
      <c r="F9270" s="19" t="str">
        <f>IFERROR(__xludf.DUMMYFUNCTION("""COMPUTED_VALUE"""),"BLUE")</f>
        <v>BLUE</v>
      </c>
      <c r="G9270" s="20" t="str">
        <f>IFERROR(__xludf.DUMMYFUNCTION("""COMPUTED_VALUE"""),"Uncle Sams Cider (04/04/2023)")</f>
        <v>Uncle Sams Cider (04/04/2023)</v>
      </c>
      <c r="H9270" s="19"/>
    </row>
    <row r="9271">
      <c r="A9271" s="9"/>
      <c r="B9271" s="15"/>
      <c r="C9271" s="9">
        <f>IFERROR(__xludf.DUMMYFUNCTION("""COMPUTED_VALUE"""),45046.732318912)</f>
        <v>45046.73232</v>
      </c>
      <c r="D9271" s="15">
        <f>IFERROR(__xludf.DUMMYFUNCTION("""COMPUTED_VALUE"""),1.027)</f>
        <v>1.027</v>
      </c>
      <c r="E9271" s="16">
        <f>IFERROR(__xludf.DUMMYFUNCTION("""COMPUTED_VALUE"""),62.0)</f>
        <v>62</v>
      </c>
      <c r="F9271" s="19" t="str">
        <f>IFERROR(__xludf.DUMMYFUNCTION("""COMPUTED_VALUE"""),"BLUE")</f>
        <v>BLUE</v>
      </c>
      <c r="G9271" s="20" t="str">
        <f>IFERROR(__xludf.DUMMYFUNCTION("""COMPUTED_VALUE"""),"Uncle Sams Cider (04/04/2023)")</f>
        <v>Uncle Sams Cider (04/04/2023)</v>
      </c>
      <c r="H9271" s="19"/>
    </row>
    <row r="9272">
      <c r="A9272" s="9"/>
      <c r="B9272" s="15"/>
      <c r="C9272" s="9">
        <f>IFERROR(__xludf.DUMMYFUNCTION("""COMPUTED_VALUE"""),45046.7114641666)</f>
        <v>45046.71146</v>
      </c>
      <c r="D9272" s="15">
        <f>IFERROR(__xludf.DUMMYFUNCTION("""COMPUTED_VALUE"""),1.027)</f>
        <v>1.027</v>
      </c>
      <c r="E9272" s="16">
        <f>IFERROR(__xludf.DUMMYFUNCTION("""COMPUTED_VALUE"""),62.0)</f>
        <v>62</v>
      </c>
      <c r="F9272" s="19" t="str">
        <f>IFERROR(__xludf.DUMMYFUNCTION("""COMPUTED_VALUE"""),"BLUE")</f>
        <v>BLUE</v>
      </c>
      <c r="G9272" s="20" t="str">
        <f>IFERROR(__xludf.DUMMYFUNCTION("""COMPUTED_VALUE"""),"Uncle Sams Cider (04/04/2023)")</f>
        <v>Uncle Sams Cider (04/04/2023)</v>
      </c>
      <c r="H9272" s="19"/>
    </row>
    <row r="9273">
      <c r="A9273" s="9"/>
      <c r="B9273" s="15"/>
      <c r="C9273" s="9">
        <f>IFERROR(__xludf.DUMMYFUNCTION("""COMPUTED_VALUE"""),45046.7010421296)</f>
        <v>45046.70104</v>
      </c>
      <c r="D9273" s="15">
        <f>IFERROR(__xludf.DUMMYFUNCTION("""COMPUTED_VALUE"""),1.027)</f>
        <v>1.027</v>
      </c>
      <c r="E9273" s="16">
        <f>IFERROR(__xludf.DUMMYFUNCTION("""COMPUTED_VALUE"""),62.0)</f>
        <v>62</v>
      </c>
      <c r="F9273" s="19" t="str">
        <f>IFERROR(__xludf.DUMMYFUNCTION("""COMPUTED_VALUE"""),"BLUE")</f>
        <v>BLUE</v>
      </c>
      <c r="G9273" s="20" t="str">
        <f>IFERROR(__xludf.DUMMYFUNCTION("""COMPUTED_VALUE"""),"Uncle Sams Cider (04/04/2023)")</f>
        <v>Uncle Sams Cider (04/04/2023)</v>
      </c>
      <c r="H9273" s="19"/>
    </row>
    <row r="9274">
      <c r="A9274" s="9"/>
      <c r="B9274" s="15"/>
      <c r="C9274" s="9">
        <f>IFERROR(__xludf.DUMMYFUNCTION("""COMPUTED_VALUE"""),45046.6906210069)</f>
        <v>45046.69062</v>
      </c>
      <c r="D9274" s="15">
        <f>IFERROR(__xludf.DUMMYFUNCTION("""COMPUTED_VALUE"""),1.027)</f>
        <v>1.027</v>
      </c>
      <c r="E9274" s="16">
        <f>IFERROR(__xludf.DUMMYFUNCTION("""COMPUTED_VALUE"""),62.0)</f>
        <v>62</v>
      </c>
      <c r="F9274" s="19" t="str">
        <f>IFERROR(__xludf.DUMMYFUNCTION("""COMPUTED_VALUE"""),"BLUE")</f>
        <v>BLUE</v>
      </c>
      <c r="G9274" s="20" t="str">
        <f>IFERROR(__xludf.DUMMYFUNCTION("""COMPUTED_VALUE"""),"Uncle Sams Cider (04/04/2023)")</f>
        <v>Uncle Sams Cider (04/04/2023)</v>
      </c>
      <c r="H9274" s="19"/>
    </row>
    <row r="9275">
      <c r="A9275" s="9"/>
      <c r="B9275" s="15"/>
      <c r="C9275" s="9">
        <f>IFERROR(__xludf.DUMMYFUNCTION("""COMPUTED_VALUE"""),45046.680200081)</f>
        <v>45046.6802</v>
      </c>
      <c r="D9275" s="15">
        <f>IFERROR(__xludf.DUMMYFUNCTION("""COMPUTED_VALUE"""),1.027)</f>
        <v>1.027</v>
      </c>
      <c r="E9275" s="16">
        <f>IFERROR(__xludf.DUMMYFUNCTION("""COMPUTED_VALUE"""),62.0)</f>
        <v>62</v>
      </c>
      <c r="F9275" s="19" t="str">
        <f>IFERROR(__xludf.DUMMYFUNCTION("""COMPUTED_VALUE"""),"BLUE")</f>
        <v>BLUE</v>
      </c>
      <c r="G9275" s="20" t="str">
        <f>IFERROR(__xludf.DUMMYFUNCTION("""COMPUTED_VALUE"""),"Uncle Sams Cider (04/04/2023)")</f>
        <v>Uncle Sams Cider (04/04/2023)</v>
      </c>
      <c r="H9275" s="19"/>
    </row>
    <row r="9276">
      <c r="A9276" s="9"/>
      <c r="B9276" s="15"/>
      <c r="C9276" s="9">
        <f>IFERROR(__xludf.DUMMYFUNCTION("""COMPUTED_VALUE"""),45046.6697798032)</f>
        <v>45046.66978</v>
      </c>
      <c r="D9276" s="15">
        <f>IFERROR(__xludf.DUMMYFUNCTION("""COMPUTED_VALUE"""),1.027)</f>
        <v>1.027</v>
      </c>
      <c r="E9276" s="16">
        <f>IFERROR(__xludf.DUMMYFUNCTION("""COMPUTED_VALUE"""),62.0)</f>
        <v>62</v>
      </c>
      <c r="F9276" s="19" t="str">
        <f>IFERROR(__xludf.DUMMYFUNCTION("""COMPUTED_VALUE"""),"BLUE")</f>
        <v>BLUE</v>
      </c>
      <c r="G9276" s="20" t="str">
        <f>IFERROR(__xludf.DUMMYFUNCTION("""COMPUTED_VALUE"""),"Uncle Sams Cider (04/04/2023)")</f>
        <v>Uncle Sams Cider (04/04/2023)</v>
      </c>
      <c r="H9276" s="19"/>
    </row>
    <row r="9277">
      <c r="A9277" s="9"/>
      <c r="B9277" s="15"/>
      <c r="C9277" s="9">
        <f>IFERROR(__xludf.DUMMYFUNCTION("""COMPUTED_VALUE"""),45046.6593603935)</f>
        <v>45046.65936</v>
      </c>
      <c r="D9277" s="15">
        <f>IFERROR(__xludf.DUMMYFUNCTION("""COMPUTED_VALUE"""),1.027)</f>
        <v>1.027</v>
      </c>
      <c r="E9277" s="16">
        <f>IFERROR(__xludf.DUMMYFUNCTION("""COMPUTED_VALUE"""),62.0)</f>
        <v>62</v>
      </c>
      <c r="F9277" s="19" t="str">
        <f>IFERROR(__xludf.DUMMYFUNCTION("""COMPUTED_VALUE"""),"BLUE")</f>
        <v>BLUE</v>
      </c>
      <c r="G9277" s="20" t="str">
        <f>IFERROR(__xludf.DUMMYFUNCTION("""COMPUTED_VALUE"""),"Uncle Sams Cider (04/04/2023)")</f>
        <v>Uncle Sams Cider (04/04/2023)</v>
      </c>
      <c r="H9277" s="19"/>
    </row>
    <row r="9278">
      <c r="A9278" s="9"/>
      <c r="B9278" s="15"/>
      <c r="C9278" s="9">
        <f>IFERROR(__xludf.DUMMYFUNCTION("""COMPUTED_VALUE"""),45046.648927905)</f>
        <v>45046.64893</v>
      </c>
      <c r="D9278" s="15">
        <f>IFERROR(__xludf.DUMMYFUNCTION("""COMPUTED_VALUE"""),1.027)</f>
        <v>1.027</v>
      </c>
      <c r="E9278" s="16">
        <f>IFERROR(__xludf.DUMMYFUNCTION("""COMPUTED_VALUE"""),62.0)</f>
        <v>62</v>
      </c>
      <c r="F9278" s="19" t="str">
        <f>IFERROR(__xludf.DUMMYFUNCTION("""COMPUTED_VALUE"""),"BLUE")</f>
        <v>BLUE</v>
      </c>
      <c r="G9278" s="20" t="str">
        <f>IFERROR(__xludf.DUMMYFUNCTION("""COMPUTED_VALUE"""),"Uncle Sams Cider (04/04/2023)")</f>
        <v>Uncle Sams Cider (04/04/2023)</v>
      </c>
      <c r="H9278" s="19"/>
    </row>
    <row r="9279">
      <c r="A9279" s="9"/>
      <c r="B9279" s="15"/>
      <c r="C9279" s="9">
        <f>IFERROR(__xludf.DUMMYFUNCTION("""COMPUTED_VALUE"""),45046.6280737037)</f>
        <v>45046.62807</v>
      </c>
      <c r="D9279" s="15">
        <f>IFERROR(__xludf.DUMMYFUNCTION("""COMPUTED_VALUE"""),1.027)</f>
        <v>1.027</v>
      </c>
      <c r="E9279" s="16">
        <f>IFERROR(__xludf.DUMMYFUNCTION("""COMPUTED_VALUE"""),62.0)</f>
        <v>62</v>
      </c>
      <c r="F9279" s="19" t="str">
        <f>IFERROR(__xludf.DUMMYFUNCTION("""COMPUTED_VALUE"""),"BLUE")</f>
        <v>BLUE</v>
      </c>
      <c r="G9279" s="20" t="str">
        <f>IFERROR(__xludf.DUMMYFUNCTION("""COMPUTED_VALUE"""),"Uncle Sams Cider (04/04/2023)")</f>
        <v>Uncle Sams Cider (04/04/2023)</v>
      </c>
      <c r="H9279" s="19"/>
    </row>
    <row r="9280">
      <c r="A9280" s="9"/>
      <c r="B9280" s="15"/>
      <c r="C9280" s="9">
        <f>IFERROR(__xludf.DUMMYFUNCTION("""COMPUTED_VALUE"""),45046.617640787)</f>
        <v>45046.61764</v>
      </c>
      <c r="D9280" s="15">
        <f>IFERROR(__xludf.DUMMYFUNCTION("""COMPUTED_VALUE"""),1.027)</f>
        <v>1.027</v>
      </c>
      <c r="E9280" s="16">
        <f>IFERROR(__xludf.DUMMYFUNCTION("""COMPUTED_VALUE"""),62.0)</f>
        <v>62</v>
      </c>
      <c r="F9280" s="19" t="str">
        <f>IFERROR(__xludf.DUMMYFUNCTION("""COMPUTED_VALUE"""),"BLUE")</f>
        <v>BLUE</v>
      </c>
      <c r="G9280" s="20" t="str">
        <f>IFERROR(__xludf.DUMMYFUNCTION("""COMPUTED_VALUE"""),"Uncle Sams Cider (04/04/2023)")</f>
        <v>Uncle Sams Cider (04/04/2023)</v>
      </c>
      <c r="H9280" s="19"/>
    </row>
    <row r="9281">
      <c r="A9281" s="9"/>
      <c r="B9281" s="15"/>
      <c r="C9281" s="9">
        <f>IFERROR(__xludf.DUMMYFUNCTION("""COMPUTED_VALUE"""),45046.6072057523)</f>
        <v>45046.60721</v>
      </c>
      <c r="D9281" s="15">
        <f>IFERROR(__xludf.DUMMYFUNCTION("""COMPUTED_VALUE"""),1.027)</f>
        <v>1.027</v>
      </c>
      <c r="E9281" s="16">
        <f>IFERROR(__xludf.DUMMYFUNCTION("""COMPUTED_VALUE"""),62.0)</f>
        <v>62</v>
      </c>
      <c r="F9281" s="19" t="str">
        <f>IFERROR(__xludf.DUMMYFUNCTION("""COMPUTED_VALUE"""),"BLUE")</f>
        <v>BLUE</v>
      </c>
      <c r="G9281" s="20" t="str">
        <f>IFERROR(__xludf.DUMMYFUNCTION("""COMPUTED_VALUE"""),"Uncle Sams Cider (04/04/2023)")</f>
        <v>Uncle Sams Cider (04/04/2023)</v>
      </c>
      <c r="H9281" s="19"/>
    </row>
    <row r="9282">
      <c r="A9282" s="9"/>
      <c r="B9282" s="15"/>
      <c r="C9282" s="9">
        <f>IFERROR(__xludf.DUMMYFUNCTION("""COMPUTED_VALUE"""),45046.5967718865)</f>
        <v>45046.59677</v>
      </c>
      <c r="D9282" s="15">
        <f>IFERROR(__xludf.DUMMYFUNCTION("""COMPUTED_VALUE"""),1.027)</f>
        <v>1.027</v>
      </c>
      <c r="E9282" s="16">
        <f>IFERROR(__xludf.DUMMYFUNCTION("""COMPUTED_VALUE"""),62.0)</f>
        <v>62</v>
      </c>
      <c r="F9282" s="19" t="str">
        <f>IFERROR(__xludf.DUMMYFUNCTION("""COMPUTED_VALUE"""),"BLUE")</f>
        <v>BLUE</v>
      </c>
      <c r="G9282" s="20" t="str">
        <f>IFERROR(__xludf.DUMMYFUNCTION("""COMPUTED_VALUE"""),"Uncle Sams Cider (04/04/2023)")</f>
        <v>Uncle Sams Cider (04/04/2023)</v>
      </c>
      <c r="H9282" s="19"/>
    </row>
    <row r="9283">
      <c r="A9283" s="9"/>
      <c r="B9283" s="15"/>
      <c r="C9283" s="9">
        <f>IFERROR(__xludf.DUMMYFUNCTION("""COMPUTED_VALUE"""),45046.586350949)</f>
        <v>45046.58635</v>
      </c>
      <c r="D9283" s="15">
        <f>IFERROR(__xludf.DUMMYFUNCTION("""COMPUTED_VALUE"""),1.027)</f>
        <v>1.027</v>
      </c>
      <c r="E9283" s="16">
        <f>IFERROR(__xludf.DUMMYFUNCTION("""COMPUTED_VALUE"""),62.0)</f>
        <v>62</v>
      </c>
      <c r="F9283" s="19" t="str">
        <f>IFERROR(__xludf.DUMMYFUNCTION("""COMPUTED_VALUE"""),"BLUE")</f>
        <v>BLUE</v>
      </c>
      <c r="G9283" s="20" t="str">
        <f>IFERROR(__xludf.DUMMYFUNCTION("""COMPUTED_VALUE"""),"Uncle Sams Cider (04/04/2023)")</f>
        <v>Uncle Sams Cider (04/04/2023)</v>
      </c>
      <c r="H9283" s="19"/>
    </row>
    <row r="9284">
      <c r="A9284" s="9"/>
      <c r="B9284" s="15"/>
      <c r="C9284" s="9">
        <f>IFERROR(__xludf.DUMMYFUNCTION("""COMPUTED_VALUE"""),45046.5759295254)</f>
        <v>45046.57593</v>
      </c>
      <c r="D9284" s="15">
        <f>IFERROR(__xludf.DUMMYFUNCTION("""COMPUTED_VALUE"""),1.027)</f>
        <v>1.027</v>
      </c>
      <c r="E9284" s="16">
        <f>IFERROR(__xludf.DUMMYFUNCTION("""COMPUTED_VALUE"""),62.0)</f>
        <v>62</v>
      </c>
      <c r="F9284" s="19" t="str">
        <f>IFERROR(__xludf.DUMMYFUNCTION("""COMPUTED_VALUE"""),"BLUE")</f>
        <v>BLUE</v>
      </c>
      <c r="G9284" s="20" t="str">
        <f>IFERROR(__xludf.DUMMYFUNCTION("""COMPUTED_VALUE"""),"Uncle Sams Cider (04/04/2023)")</f>
        <v>Uncle Sams Cider (04/04/2023)</v>
      </c>
      <c r="H9284" s="19"/>
    </row>
    <row r="9285">
      <c r="A9285" s="9"/>
      <c r="B9285" s="15"/>
      <c r="C9285" s="9">
        <f>IFERROR(__xludf.DUMMYFUNCTION("""COMPUTED_VALUE"""),45046.5655092708)</f>
        <v>45046.56551</v>
      </c>
      <c r="D9285" s="15">
        <f>IFERROR(__xludf.DUMMYFUNCTION("""COMPUTED_VALUE"""),1.027)</f>
        <v>1.027</v>
      </c>
      <c r="E9285" s="16">
        <f>IFERROR(__xludf.DUMMYFUNCTION("""COMPUTED_VALUE"""),62.0)</f>
        <v>62</v>
      </c>
      <c r="F9285" s="19" t="str">
        <f>IFERROR(__xludf.DUMMYFUNCTION("""COMPUTED_VALUE"""),"BLUE")</f>
        <v>BLUE</v>
      </c>
      <c r="G9285" s="20" t="str">
        <f>IFERROR(__xludf.DUMMYFUNCTION("""COMPUTED_VALUE"""),"Uncle Sams Cider (04/04/2023)")</f>
        <v>Uncle Sams Cider (04/04/2023)</v>
      </c>
      <c r="H9285" s="19"/>
    </row>
    <row r="9286">
      <c r="A9286" s="9"/>
      <c r="B9286" s="15"/>
      <c r="C9286" s="9">
        <f>IFERROR(__xludf.DUMMYFUNCTION("""COMPUTED_VALUE"""),45046.55508875)</f>
        <v>45046.55509</v>
      </c>
      <c r="D9286" s="15">
        <f>IFERROR(__xludf.DUMMYFUNCTION("""COMPUTED_VALUE"""),1.027)</f>
        <v>1.027</v>
      </c>
      <c r="E9286" s="16">
        <f>IFERROR(__xludf.DUMMYFUNCTION("""COMPUTED_VALUE"""),62.0)</f>
        <v>62</v>
      </c>
      <c r="F9286" s="19" t="str">
        <f>IFERROR(__xludf.DUMMYFUNCTION("""COMPUTED_VALUE"""),"BLUE")</f>
        <v>BLUE</v>
      </c>
      <c r="G9286" s="20" t="str">
        <f>IFERROR(__xludf.DUMMYFUNCTION("""COMPUTED_VALUE"""),"Uncle Sams Cider (04/04/2023)")</f>
        <v>Uncle Sams Cider (04/04/2023)</v>
      </c>
      <c r="H9286" s="19"/>
    </row>
    <row r="9287">
      <c r="A9287" s="9"/>
      <c r="B9287" s="15"/>
      <c r="C9287" s="9">
        <f>IFERROR(__xludf.DUMMYFUNCTION("""COMPUTED_VALUE"""),45046.5446680902)</f>
        <v>45046.54467</v>
      </c>
      <c r="D9287" s="15">
        <f>IFERROR(__xludf.DUMMYFUNCTION("""COMPUTED_VALUE"""),1.027)</f>
        <v>1.027</v>
      </c>
      <c r="E9287" s="16">
        <f>IFERROR(__xludf.DUMMYFUNCTION("""COMPUTED_VALUE"""),62.0)</f>
        <v>62</v>
      </c>
      <c r="F9287" s="19" t="str">
        <f>IFERROR(__xludf.DUMMYFUNCTION("""COMPUTED_VALUE"""),"BLUE")</f>
        <v>BLUE</v>
      </c>
      <c r="G9287" s="20" t="str">
        <f>IFERROR(__xludf.DUMMYFUNCTION("""COMPUTED_VALUE"""),"Uncle Sams Cider (04/04/2023)")</f>
        <v>Uncle Sams Cider (04/04/2023)</v>
      </c>
      <c r="H9287" s="19"/>
    </row>
    <row r="9288">
      <c r="A9288" s="9"/>
      <c r="B9288" s="15"/>
      <c r="C9288" s="9">
        <f>IFERROR(__xludf.DUMMYFUNCTION("""COMPUTED_VALUE"""),45046.5342471759)</f>
        <v>45046.53425</v>
      </c>
      <c r="D9288" s="15">
        <f>IFERROR(__xludf.DUMMYFUNCTION("""COMPUTED_VALUE"""),1.027)</f>
        <v>1.027</v>
      </c>
      <c r="E9288" s="16">
        <f>IFERROR(__xludf.DUMMYFUNCTION("""COMPUTED_VALUE"""),62.0)</f>
        <v>62</v>
      </c>
      <c r="F9288" s="19" t="str">
        <f>IFERROR(__xludf.DUMMYFUNCTION("""COMPUTED_VALUE"""),"BLUE")</f>
        <v>BLUE</v>
      </c>
      <c r="G9288" s="20" t="str">
        <f>IFERROR(__xludf.DUMMYFUNCTION("""COMPUTED_VALUE"""),"Uncle Sams Cider (04/04/2023)")</f>
        <v>Uncle Sams Cider (04/04/2023)</v>
      </c>
      <c r="H9288" s="19"/>
    </row>
    <row r="9289">
      <c r="A9289" s="9"/>
      <c r="B9289" s="15"/>
      <c r="C9289" s="9">
        <f>IFERROR(__xludf.DUMMYFUNCTION("""COMPUTED_VALUE"""),45046.52382603)</f>
        <v>45046.52383</v>
      </c>
      <c r="D9289" s="15">
        <f>IFERROR(__xludf.DUMMYFUNCTION("""COMPUTED_VALUE"""),1.027)</f>
        <v>1.027</v>
      </c>
      <c r="E9289" s="16">
        <f>IFERROR(__xludf.DUMMYFUNCTION("""COMPUTED_VALUE"""),62.0)</f>
        <v>62</v>
      </c>
      <c r="F9289" s="19" t="str">
        <f>IFERROR(__xludf.DUMMYFUNCTION("""COMPUTED_VALUE"""),"BLUE")</f>
        <v>BLUE</v>
      </c>
      <c r="G9289" s="20" t="str">
        <f>IFERROR(__xludf.DUMMYFUNCTION("""COMPUTED_VALUE"""),"Uncle Sams Cider (04/04/2023)")</f>
        <v>Uncle Sams Cider (04/04/2023)</v>
      </c>
      <c r="H9289" s="19"/>
    </row>
    <row r="9290">
      <c r="A9290" s="9"/>
      <c r="B9290" s="15"/>
      <c r="C9290" s="9">
        <f>IFERROR(__xludf.DUMMYFUNCTION("""COMPUTED_VALUE"""),45046.5134037847)</f>
        <v>45046.5134</v>
      </c>
      <c r="D9290" s="15">
        <f>IFERROR(__xludf.DUMMYFUNCTION("""COMPUTED_VALUE"""),1.027)</f>
        <v>1.027</v>
      </c>
      <c r="E9290" s="16">
        <f>IFERROR(__xludf.DUMMYFUNCTION("""COMPUTED_VALUE"""),62.0)</f>
        <v>62</v>
      </c>
      <c r="F9290" s="19" t="str">
        <f>IFERROR(__xludf.DUMMYFUNCTION("""COMPUTED_VALUE"""),"BLUE")</f>
        <v>BLUE</v>
      </c>
      <c r="G9290" s="20" t="str">
        <f>IFERROR(__xludf.DUMMYFUNCTION("""COMPUTED_VALUE"""),"Uncle Sams Cider (04/04/2023)")</f>
        <v>Uncle Sams Cider (04/04/2023)</v>
      </c>
      <c r="H9290" s="19"/>
    </row>
    <row r="9291">
      <c r="A9291" s="9"/>
      <c r="B9291" s="15"/>
      <c r="C9291" s="9">
        <f>IFERROR(__xludf.DUMMYFUNCTION("""COMPUTED_VALUE"""),45046.5029815393)</f>
        <v>45046.50298</v>
      </c>
      <c r="D9291" s="15">
        <f>IFERROR(__xludf.DUMMYFUNCTION("""COMPUTED_VALUE"""),1.027)</f>
        <v>1.027</v>
      </c>
      <c r="E9291" s="16">
        <f>IFERROR(__xludf.DUMMYFUNCTION("""COMPUTED_VALUE"""),62.0)</f>
        <v>62</v>
      </c>
      <c r="F9291" s="19" t="str">
        <f>IFERROR(__xludf.DUMMYFUNCTION("""COMPUTED_VALUE"""),"BLUE")</f>
        <v>BLUE</v>
      </c>
      <c r="G9291" s="20" t="str">
        <f>IFERROR(__xludf.DUMMYFUNCTION("""COMPUTED_VALUE"""),"Uncle Sams Cider (04/04/2023)")</f>
        <v>Uncle Sams Cider (04/04/2023)</v>
      </c>
      <c r="H9291" s="19"/>
    </row>
    <row r="9292">
      <c r="A9292" s="9"/>
      <c r="B9292" s="15"/>
      <c r="C9292" s="9">
        <f>IFERROR(__xludf.DUMMYFUNCTION("""COMPUTED_VALUE"""),45046.4925599305)</f>
        <v>45046.49256</v>
      </c>
      <c r="D9292" s="15">
        <f>IFERROR(__xludf.DUMMYFUNCTION("""COMPUTED_VALUE"""),1.027)</f>
        <v>1.027</v>
      </c>
      <c r="E9292" s="16">
        <f>IFERROR(__xludf.DUMMYFUNCTION("""COMPUTED_VALUE"""),62.0)</f>
        <v>62</v>
      </c>
      <c r="F9292" s="19" t="str">
        <f>IFERROR(__xludf.DUMMYFUNCTION("""COMPUTED_VALUE"""),"BLUE")</f>
        <v>BLUE</v>
      </c>
      <c r="G9292" s="20" t="str">
        <f>IFERROR(__xludf.DUMMYFUNCTION("""COMPUTED_VALUE"""),"Uncle Sams Cider (04/04/2023)")</f>
        <v>Uncle Sams Cider (04/04/2023)</v>
      </c>
      <c r="H9292" s="19"/>
    </row>
    <row r="9293">
      <c r="A9293" s="9"/>
      <c r="B9293" s="15"/>
      <c r="C9293" s="9">
        <f>IFERROR(__xludf.DUMMYFUNCTION("""COMPUTED_VALUE"""),45046.4717054976)</f>
        <v>45046.47171</v>
      </c>
      <c r="D9293" s="15">
        <f>IFERROR(__xludf.DUMMYFUNCTION("""COMPUTED_VALUE"""),1.027)</f>
        <v>1.027</v>
      </c>
      <c r="E9293" s="16">
        <f>IFERROR(__xludf.DUMMYFUNCTION("""COMPUTED_VALUE"""),62.0)</f>
        <v>62</v>
      </c>
      <c r="F9293" s="19" t="str">
        <f>IFERROR(__xludf.DUMMYFUNCTION("""COMPUTED_VALUE"""),"BLUE")</f>
        <v>BLUE</v>
      </c>
      <c r="G9293" s="20" t="str">
        <f>IFERROR(__xludf.DUMMYFUNCTION("""COMPUTED_VALUE"""),"Uncle Sams Cider (04/04/2023)")</f>
        <v>Uncle Sams Cider (04/04/2023)</v>
      </c>
      <c r="H9293" s="19"/>
    </row>
    <row r="9294">
      <c r="A9294" s="9"/>
      <c r="B9294" s="15"/>
      <c r="C9294" s="9">
        <f>IFERROR(__xludf.DUMMYFUNCTION("""COMPUTED_VALUE"""),45046.4612843518)</f>
        <v>45046.46128</v>
      </c>
      <c r="D9294" s="15">
        <f>IFERROR(__xludf.DUMMYFUNCTION("""COMPUTED_VALUE"""),1.027)</f>
        <v>1.027</v>
      </c>
      <c r="E9294" s="16">
        <f>IFERROR(__xludf.DUMMYFUNCTION("""COMPUTED_VALUE"""),62.0)</f>
        <v>62</v>
      </c>
      <c r="F9294" s="19" t="str">
        <f>IFERROR(__xludf.DUMMYFUNCTION("""COMPUTED_VALUE"""),"BLUE")</f>
        <v>BLUE</v>
      </c>
      <c r="G9294" s="20" t="str">
        <f>IFERROR(__xludf.DUMMYFUNCTION("""COMPUTED_VALUE"""),"Uncle Sams Cider (04/04/2023)")</f>
        <v>Uncle Sams Cider (04/04/2023)</v>
      </c>
      <c r="H9294" s="19"/>
    </row>
    <row r="9295">
      <c r="A9295" s="9"/>
      <c r="B9295" s="15"/>
      <c r="C9295" s="9">
        <f>IFERROR(__xludf.DUMMYFUNCTION("""COMPUTED_VALUE"""),45046.4508628703)</f>
        <v>45046.45086</v>
      </c>
      <c r="D9295" s="15">
        <f>IFERROR(__xludf.DUMMYFUNCTION("""COMPUTED_VALUE"""),1.027)</f>
        <v>1.027</v>
      </c>
      <c r="E9295" s="16">
        <f>IFERROR(__xludf.DUMMYFUNCTION("""COMPUTED_VALUE"""),62.0)</f>
        <v>62</v>
      </c>
      <c r="F9295" s="19" t="str">
        <f>IFERROR(__xludf.DUMMYFUNCTION("""COMPUTED_VALUE"""),"BLUE")</f>
        <v>BLUE</v>
      </c>
      <c r="G9295" s="20" t="str">
        <f>IFERROR(__xludf.DUMMYFUNCTION("""COMPUTED_VALUE"""),"Uncle Sams Cider (04/04/2023)")</f>
        <v>Uncle Sams Cider (04/04/2023)</v>
      </c>
      <c r="H9295" s="19"/>
    </row>
    <row r="9296">
      <c r="A9296" s="9"/>
      <c r="B9296" s="15"/>
      <c r="C9296" s="9">
        <f>IFERROR(__xludf.DUMMYFUNCTION("""COMPUTED_VALUE"""),45046.4404424652)</f>
        <v>45046.44044</v>
      </c>
      <c r="D9296" s="15">
        <f>IFERROR(__xludf.DUMMYFUNCTION("""COMPUTED_VALUE"""),1.027)</f>
        <v>1.027</v>
      </c>
      <c r="E9296" s="16">
        <f>IFERROR(__xludf.DUMMYFUNCTION("""COMPUTED_VALUE"""),62.0)</f>
        <v>62</v>
      </c>
      <c r="F9296" s="19" t="str">
        <f>IFERROR(__xludf.DUMMYFUNCTION("""COMPUTED_VALUE"""),"BLUE")</f>
        <v>BLUE</v>
      </c>
      <c r="G9296" s="20" t="str">
        <f>IFERROR(__xludf.DUMMYFUNCTION("""COMPUTED_VALUE"""),"Uncle Sams Cider (04/04/2023)")</f>
        <v>Uncle Sams Cider (04/04/2023)</v>
      </c>
      <c r="H9296" s="19"/>
    </row>
    <row r="9297">
      <c r="A9297" s="9"/>
      <c r="B9297" s="15"/>
      <c r="C9297" s="9">
        <f>IFERROR(__xludf.DUMMYFUNCTION("""COMPUTED_VALUE"""),45046.4300216782)</f>
        <v>45046.43002</v>
      </c>
      <c r="D9297" s="15">
        <f>IFERROR(__xludf.DUMMYFUNCTION("""COMPUTED_VALUE"""),1.027)</f>
        <v>1.027</v>
      </c>
      <c r="E9297" s="16">
        <f>IFERROR(__xludf.DUMMYFUNCTION("""COMPUTED_VALUE"""),62.0)</f>
        <v>62</v>
      </c>
      <c r="F9297" s="19" t="str">
        <f>IFERROR(__xludf.DUMMYFUNCTION("""COMPUTED_VALUE"""),"BLUE")</f>
        <v>BLUE</v>
      </c>
      <c r="G9297" s="20" t="str">
        <f>IFERROR(__xludf.DUMMYFUNCTION("""COMPUTED_VALUE"""),"Uncle Sams Cider (04/04/2023)")</f>
        <v>Uncle Sams Cider (04/04/2023)</v>
      </c>
      <c r="H9297" s="19"/>
    </row>
    <row r="9298">
      <c r="A9298" s="9"/>
      <c r="B9298" s="15"/>
      <c r="C9298" s="9">
        <f>IFERROR(__xludf.DUMMYFUNCTION("""COMPUTED_VALUE"""),45046.4196001041)</f>
        <v>45046.4196</v>
      </c>
      <c r="D9298" s="15">
        <f>IFERROR(__xludf.DUMMYFUNCTION("""COMPUTED_VALUE"""),1.027)</f>
        <v>1.027</v>
      </c>
      <c r="E9298" s="16">
        <f>IFERROR(__xludf.DUMMYFUNCTION("""COMPUTED_VALUE"""),62.0)</f>
        <v>62</v>
      </c>
      <c r="F9298" s="19" t="str">
        <f>IFERROR(__xludf.DUMMYFUNCTION("""COMPUTED_VALUE"""),"BLUE")</f>
        <v>BLUE</v>
      </c>
      <c r="G9298" s="20" t="str">
        <f>IFERROR(__xludf.DUMMYFUNCTION("""COMPUTED_VALUE"""),"Uncle Sams Cider (04/04/2023)")</f>
        <v>Uncle Sams Cider (04/04/2023)</v>
      </c>
      <c r="H9298" s="19"/>
    </row>
    <row r="9299">
      <c r="A9299" s="9"/>
      <c r="B9299" s="15"/>
      <c r="C9299" s="9">
        <f>IFERROR(__xludf.DUMMYFUNCTION("""COMPUTED_VALUE"""),45046.4091790162)</f>
        <v>45046.40918</v>
      </c>
      <c r="D9299" s="15">
        <f>IFERROR(__xludf.DUMMYFUNCTION("""COMPUTED_VALUE"""),1.027)</f>
        <v>1.027</v>
      </c>
      <c r="E9299" s="16">
        <f>IFERROR(__xludf.DUMMYFUNCTION("""COMPUTED_VALUE"""),62.0)</f>
        <v>62</v>
      </c>
      <c r="F9299" s="19" t="str">
        <f>IFERROR(__xludf.DUMMYFUNCTION("""COMPUTED_VALUE"""),"BLUE")</f>
        <v>BLUE</v>
      </c>
      <c r="G9299" s="20" t="str">
        <f>IFERROR(__xludf.DUMMYFUNCTION("""COMPUTED_VALUE"""),"Uncle Sams Cider (04/04/2023)")</f>
        <v>Uncle Sams Cider (04/04/2023)</v>
      </c>
      <c r="H9299" s="19"/>
    </row>
    <row r="9300">
      <c r="A9300" s="9"/>
      <c r="B9300" s="15"/>
      <c r="C9300" s="9">
        <f>IFERROR(__xludf.DUMMYFUNCTION("""COMPUTED_VALUE"""),45046.3987582638)</f>
        <v>45046.39876</v>
      </c>
      <c r="D9300" s="15">
        <f>IFERROR(__xludf.DUMMYFUNCTION("""COMPUTED_VALUE"""),1.027)</f>
        <v>1.027</v>
      </c>
      <c r="E9300" s="16">
        <f>IFERROR(__xludf.DUMMYFUNCTION("""COMPUTED_VALUE"""),62.0)</f>
        <v>62</v>
      </c>
      <c r="F9300" s="19" t="str">
        <f>IFERROR(__xludf.DUMMYFUNCTION("""COMPUTED_VALUE"""),"BLUE")</f>
        <v>BLUE</v>
      </c>
      <c r="G9300" s="20" t="str">
        <f>IFERROR(__xludf.DUMMYFUNCTION("""COMPUTED_VALUE"""),"Uncle Sams Cider (04/04/2023)")</f>
        <v>Uncle Sams Cider (04/04/2023)</v>
      </c>
      <c r="H9300" s="19"/>
    </row>
    <row r="9301">
      <c r="A9301" s="9"/>
      <c r="B9301" s="15"/>
      <c r="C9301" s="9">
        <f>IFERROR(__xludf.DUMMYFUNCTION("""COMPUTED_VALUE"""),45046.3883381597)</f>
        <v>45046.38834</v>
      </c>
      <c r="D9301" s="15">
        <f>IFERROR(__xludf.DUMMYFUNCTION("""COMPUTED_VALUE"""),1.027)</f>
        <v>1.027</v>
      </c>
      <c r="E9301" s="16">
        <f>IFERROR(__xludf.DUMMYFUNCTION("""COMPUTED_VALUE"""),62.0)</f>
        <v>62</v>
      </c>
      <c r="F9301" s="19" t="str">
        <f>IFERROR(__xludf.DUMMYFUNCTION("""COMPUTED_VALUE"""),"BLUE")</f>
        <v>BLUE</v>
      </c>
      <c r="G9301" s="20" t="str">
        <f>IFERROR(__xludf.DUMMYFUNCTION("""COMPUTED_VALUE"""),"Uncle Sams Cider (04/04/2023)")</f>
        <v>Uncle Sams Cider (04/04/2023)</v>
      </c>
      <c r="H9301" s="19"/>
    </row>
    <row r="9302">
      <c r="A9302" s="9"/>
      <c r="B9302" s="15"/>
      <c r="C9302" s="9">
        <f>IFERROR(__xludf.DUMMYFUNCTION("""COMPUTED_VALUE"""),45046.3779165162)</f>
        <v>45046.37792</v>
      </c>
      <c r="D9302" s="15">
        <f>IFERROR(__xludf.DUMMYFUNCTION("""COMPUTED_VALUE"""),1.027)</f>
        <v>1.027</v>
      </c>
      <c r="E9302" s="16">
        <f>IFERROR(__xludf.DUMMYFUNCTION("""COMPUTED_VALUE"""),62.0)</f>
        <v>62</v>
      </c>
      <c r="F9302" s="19" t="str">
        <f>IFERROR(__xludf.DUMMYFUNCTION("""COMPUTED_VALUE"""),"BLUE")</f>
        <v>BLUE</v>
      </c>
      <c r="G9302" s="20" t="str">
        <f>IFERROR(__xludf.DUMMYFUNCTION("""COMPUTED_VALUE"""),"Uncle Sams Cider (04/04/2023)")</f>
        <v>Uncle Sams Cider (04/04/2023)</v>
      </c>
      <c r="H9302" s="19"/>
    </row>
    <row r="9303">
      <c r="A9303" s="9"/>
      <c r="B9303" s="15"/>
      <c r="C9303" s="9">
        <f>IFERROR(__xludf.DUMMYFUNCTION("""COMPUTED_VALUE"""),45046.3674959722)</f>
        <v>45046.3675</v>
      </c>
      <c r="D9303" s="15">
        <f>IFERROR(__xludf.DUMMYFUNCTION("""COMPUTED_VALUE"""),1.027)</f>
        <v>1.027</v>
      </c>
      <c r="E9303" s="16">
        <f>IFERROR(__xludf.DUMMYFUNCTION("""COMPUTED_VALUE"""),62.0)</f>
        <v>62</v>
      </c>
      <c r="F9303" s="19" t="str">
        <f>IFERROR(__xludf.DUMMYFUNCTION("""COMPUTED_VALUE"""),"BLUE")</f>
        <v>BLUE</v>
      </c>
      <c r="G9303" s="20" t="str">
        <f>IFERROR(__xludf.DUMMYFUNCTION("""COMPUTED_VALUE"""),"Uncle Sams Cider (04/04/2023)")</f>
        <v>Uncle Sams Cider (04/04/2023)</v>
      </c>
      <c r="H9303" s="19"/>
    </row>
    <row r="9304">
      <c r="A9304" s="9"/>
      <c r="B9304" s="15"/>
      <c r="C9304" s="9">
        <f>IFERROR(__xludf.DUMMYFUNCTION("""COMPUTED_VALUE"""),45046.3570631481)</f>
        <v>45046.35706</v>
      </c>
      <c r="D9304" s="15">
        <f>IFERROR(__xludf.DUMMYFUNCTION("""COMPUTED_VALUE"""),1.027)</f>
        <v>1.027</v>
      </c>
      <c r="E9304" s="16">
        <f>IFERROR(__xludf.DUMMYFUNCTION("""COMPUTED_VALUE"""),62.0)</f>
        <v>62</v>
      </c>
      <c r="F9304" s="19" t="str">
        <f>IFERROR(__xludf.DUMMYFUNCTION("""COMPUTED_VALUE"""),"BLUE")</f>
        <v>BLUE</v>
      </c>
      <c r="G9304" s="20" t="str">
        <f>IFERROR(__xludf.DUMMYFUNCTION("""COMPUTED_VALUE"""),"Uncle Sams Cider (04/04/2023)")</f>
        <v>Uncle Sams Cider (04/04/2023)</v>
      </c>
      <c r="H9304" s="19"/>
    </row>
    <row r="9305">
      <c r="A9305" s="9"/>
      <c r="B9305" s="15"/>
      <c r="C9305" s="9">
        <f>IFERROR(__xludf.DUMMYFUNCTION("""COMPUTED_VALUE"""),45046.3466417824)</f>
        <v>45046.34664</v>
      </c>
      <c r="D9305" s="15">
        <f>IFERROR(__xludf.DUMMYFUNCTION("""COMPUTED_VALUE"""),1.027)</f>
        <v>1.027</v>
      </c>
      <c r="E9305" s="16">
        <f>IFERROR(__xludf.DUMMYFUNCTION("""COMPUTED_VALUE"""),62.0)</f>
        <v>62</v>
      </c>
      <c r="F9305" s="19" t="str">
        <f>IFERROR(__xludf.DUMMYFUNCTION("""COMPUTED_VALUE"""),"BLUE")</f>
        <v>BLUE</v>
      </c>
      <c r="G9305" s="20" t="str">
        <f>IFERROR(__xludf.DUMMYFUNCTION("""COMPUTED_VALUE"""),"Uncle Sams Cider (04/04/2023)")</f>
        <v>Uncle Sams Cider (04/04/2023)</v>
      </c>
      <c r="H9305" s="19"/>
    </row>
    <row r="9306">
      <c r="A9306" s="9"/>
      <c r="B9306" s="15"/>
      <c r="C9306" s="9">
        <f>IFERROR(__xludf.DUMMYFUNCTION("""COMPUTED_VALUE"""),45046.336219618)</f>
        <v>45046.33622</v>
      </c>
      <c r="D9306" s="15">
        <f>IFERROR(__xludf.DUMMYFUNCTION("""COMPUTED_VALUE"""),1.027)</f>
        <v>1.027</v>
      </c>
      <c r="E9306" s="16">
        <f>IFERROR(__xludf.DUMMYFUNCTION("""COMPUTED_VALUE"""),62.0)</f>
        <v>62</v>
      </c>
      <c r="F9306" s="19" t="str">
        <f>IFERROR(__xludf.DUMMYFUNCTION("""COMPUTED_VALUE"""),"BLUE")</f>
        <v>BLUE</v>
      </c>
      <c r="G9306" s="20" t="str">
        <f>IFERROR(__xludf.DUMMYFUNCTION("""COMPUTED_VALUE"""),"Uncle Sams Cider (04/04/2023)")</f>
        <v>Uncle Sams Cider (04/04/2023)</v>
      </c>
      <c r="H9306" s="19"/>
    </row>
    <row r="9307">
      <c r="A9307" s="9"/>
      <c r="B9307" s="15"/>
      <c r="C9307" s="9">
        <f>IFERROR(__xludf.DUMMYFUNCTION("""COMPUTED_VALUE"""),45046.3257970949)</f>
        <v>45046.3258</v>
      </c>
      <c r="D9307" s="15">
        <f>IFERROR(__xludf.DUMMYFUNCTION("""COMPUTED_VALUE"""),1.027)</f>
        <v>1.027</v>
      </c>
      <c r="E9307" s="16">
        <f>IFERROR(__xludf.DUMMYFUNCTION("""COMPUTED_VALUE"""),62.0)</f>
        <v>62</v>
      </c>
      <c r="F9307" s="19" t="str">
        <f>IFERROR(__xludf.DUMMYFUNCTION("""COMPUTED_VALUE"""),"BLUE")</f>
        <v>BLUE</v>
      </c>
      <c r="G9307" s="20" t="str">
        <f>IFERROR(__xludf.DUMMYFUNCTION("""COMPUTED_VALUE"""),"Uncle Sams Cider (04/04/2023)")</f>
        <v>Uncle Sams Cider (04/04/2023)</v>
      </c>
      <c r="H9307" s="19"/>
    </row>
    <row r="9308">
      <c r="A9308" s="9"/>
      <c r="B9308" s="15"/>
      <c r="C9308" s="9">
        <f>IFERROR(__xludf.DUMMYFUNCTION("""COMPUTED_VALUE"""),45046.31537478)</f>
        <v>45046.31537</v>
      </c>
      <c r="D9308" s="15">
        <f>IFERROR(__xludf.DUMMYFUNCTION("""COMPUTED_VALUE"""),1.027)</f>
        <v>1.027</v>
      </c>
      <c r="E9308" s="16">
        <f>IFERROR(__xludf.DUMMYFUNCTION("""COMPUTED_VALUE"""),62.0)</f>
        <v>62</v>
      </c>
      <c r="F9308" s="19" t="str">
        <f>IFERROR(__xludf.DUMMYFUNCTION("""COMPUTED_VALUE"""),"BLUE")</f>
        <v>BLUE</v>
      </c>
      <c r="G9308" s="20" t="str">
        <f>IFERROR(__xludf.DUMMYFUNCTION("""COMPUTED_VALUE"""),"Uncle Sams Cider (04/04/2023)")</f>
        <v>Uncle Sams Cider (04/04/2023)</v>
      </c>
      <c r="H9308" s="19"/>
    </row>
    <row r="9309">
      <c r="A9309" s="9"/>
      <c r="B9309" s="15"/>
      <c r="C9309" s="9">
        <f>IFERROR(__xludf.DUMMYFUNCTION("""COMPUTED_VALUE"""),45046.3049543518)</f>
        <v>45046.30495</v>
      </c>
      <c r="D9309" s="15">
        <f>IFERROR(__xludf.DUMMYFUNCTION("""COMPUTED_VALUE"""),1.027)</f>
        <v>1.027</v>
      </c>
      <c r="E9309" s="16">
        <f>IFERROR(__xludf.DUMMYFUNCTION("""COMPUTED_VALUE"""),62.0)</f>
        <v>62</v>
      </c>
      <c r="F9309" s="19" t="str">
        <f>IFERROR(__xludf.DUMMYFUNCTION("""COMPUTED_VALUE"""),"BLUE")</f>
        <v>BLUE</v>
      </c>
      <c r="G9309" s="20" t="str">
        <f>IFERROR(__xludf.DUMMYFUNCTION("""COMPUTED_VALUE"""),"Uncle Sams Cider (04/04/2023)")</f>
        <v>Uncle Sams Cider (04/04/2023)</v>
      </c>
      <c r="H9309" s="19"/>
    </row>
    <row r="9310">
      <c r="A9310" s="9"/>
      <c r="B9310" s="15"/>
      <c r="C9310" s="9">
        <f>IFERROR(__xludf.DUMMYFUNCTION("""COMPUTED_VALUE"""),45046.2945334838)</f>
        <v>45046.29453</v>
      </c>
      <c r="D9310" s="15">
        <f>IFERROR(__xludf.DUMMYFUNCTION("""COMPUTED_VALUE"""),1.027)</f>
        <v>1.027</v>
      </c>
      <c r="E9310" s="16">
        <f>IFERROR(__xludf.DUMMYFUNCTION("""COMPUTED_VALUE"""),62.0)</f>
        <v>62</v>
      </c>
      <c r="F9310" s="19" t="str">
        <f>IFERROR(__xludf.DUMMYFUNCTION("""COMPUTED_VALUE"""),"BLUE")</f>
        <v>BLUE</v>
      </c>
      <c r="G9310" s="20" t="str">
        <f>IFERROR(__xludf.DUMMYFUNCTION("""COMPUTED_VALUE"""),"Uncle Sams Cider (04/04/2023)")</f>
        <v>Uncle Sams Cider (04/04/2023)</v>
      </c>
      <c r="H9310" s="19"/>
    </row>
    <row r="9311">
      <c r="A9311" s="9"/>
      <c r="B9311" s="15"/>
      <c r="C9311" s="9">
        <f>IFERROR(__xludf.DUMMYFUNCTION("""COMPUTED_VALUE"""),45046.2841120254)</f>
        <v>45046.28411</v>
      </c>
      <c r="D9311" s="15">
        <f>IFERROR(__xludf.DUMMYFUNCTION("""COMPUTED_VALUE"""),1.028)</f>
        <v>1.028</v>
      </c>
      <c r="E9311" s="16">
        <f>IFERROR(__xludf.DUMMYFUNCTION("""COMPUTED_VALUE"""),62.0)</f>
        <v>62</v>
      </c>
      <c r="F9311" s="19" t="str">
        <f>IFERROR(__xludf.DUMMYFUNCTION("""COMPUTED_VALUE"""),"BLUE")</f>
        <v>BLUE</v>
      </c>
      <c r="G9311" s="20" t="str">
        <f>IFERROR(__xludf.DUMMYFUNCTION("""COMPUTED_VALUE"""),"Uncle Sams Cider (04/04/2023)")</f>
        <v>Uncle Sams Cider (04/04/2023)</v>
      </c>
      <c r="H9311" s="19"/>
    </row>
    <row r="9312">
      <c r="A9312" s="9"/>
      <c r="B9312" s="15"/>
      <c r="C9312" s="9">
        <f>IFERROR(__xludf.DUMMYFUNCTION("""COMPUTED_VALUE"""),45046.2736915277)</f>
        <v>45046.27369</v>
      </c>
      <c r="D9312" s="15">
        <f>IFERROR(__xludf.DUMMYFUNCTION("""COMPUTED_VALUE"""),1.027)</f>
        <v>1.027</v>
      </c>
      <c r="E9312" s="16">
        <f>IFERROR(__xludf.DUMMYFUNCTION("""COMPUTED_VALUE"""),62.0)</f>
        <v>62</v>
      </c>
      <c r="F9312" s="19" t="str">
        <f>IFERROR(__xludf.DUMMYFUNCTION("""COMPUTED_VALUE"""),"BLUE")</f>
        <v>BLUE</v>
      </c>
      <c r="G9312" s="20" t="str">
        <f>IFERROR(__xludf.DUMMYFUNCTION("""COMPUTED_VALUE"""),"Uncle Sams Cider (04/04/2023)")</f>
        <v>Uncle Sams Cider (04/04/2023)</v>
      </c>
      <c r="H9312" s="19"/>
    </row>
    <row r="9313">
      <c r="A9313" s="9"/>
      <c r="B9313" s="15"/>
      <c r="C9313" s="9">
        <f>IFERROR(__xludf.DUMMYFUNCTION("""COMPUTED_VALUE"""),45046.2632714004)</f>
        <v>45046.26327</v>
      </c>
      <c r="D9313" s="15">
        <f>IFERROR(__xludf.DUMMYFUNCTION("""COMPUTED_VALUE"""),1.028)</f>
        <v>1.028</v>
      </c>
      <c r="E9313" s="16">
        <f>IFERROR(__xludf.DUMMYFUNCTION("""COMPUTED_VALUE"""),62.0)</f>
        <v>62</v>
      </c>
      <c r="F9313" s="19" t="str">
        <f>IFERROR(__xludf.DUMMYFUNCTION("""COMPUTED_VALUE"""),"BLUE")</f>
        <v>BLUE</v>
      </c>
      <c r="G9313" s="20" t="str">
        <f>IFERROR(__xludf.DUMMYFUNCTION("""COMPUTED_VALUE"""),"Uncle Sams Cider (04/04/2023)")</f>
        <v>Uncle Sams Cider (04/04/2023)</v>
      </c>
      <c r="H9313" s="19"/>
    </row>
    <row r="9314">
      <c r="A9314" s="9"/>
      <c r="B9314" s="15"/>
      <c r="C9314" s="9">
        <f>IFERROR(__xludf.DUMMYFUNCTION("""COMPUTED_VALUE"""),45046.2528509837)</f>
        <v>45046.25285</v>
      </c>
      <c r="D9314" s="15">
        <f>IFERROR(__xludf.DUMMYFUNCTION("""COMPUTED_VALUE"""),1.027)</f>
        <v>1.027</v>
      </c>
      <c r="E9314" s="16">
        <f>IFERROR(__xludf.DUMMYFUNCTION("""COMPUTED_VALUE"""),62.0)</f>
        <v>62</v>
      </c>
      <c r="F9314" s="19" t="str">
        <f>IFERROR(__xludf.DUMMYFUNCTION("""COMPUTED_VALUE"""),"BLUE")</f>
        <v>BLUE</v>
      </c>
      <c r="G9314" s="20" t="str">
        <f>IFERROR(__xludf.DUMMYFUNCTION("""COMPUTED_VALUE"""),"Uncle Sams Cider (04/04/2023)")</f>
        <v>Uncle Sams Cider (04/04/2023)</v>
      </c>
      <c r="H9314" s="19"/>
    </row>
    <row r="9315">
      <c r="A9315" s="9"/>
      <c r="B9315" s="15"/>
      <c r="C9315" s="9">
        <f>IFERROR(__xludf.DUMMYFUNCTION("""COMPUTED_VALUE"""),45046.2424301388)</f>
        <v>45046.24243</v>
      </c>
      <c r="D9315" s="15">
        <f>IFERROR(__xludf.DUMMYFUNCTION("""COMPUTED_VALUE"""),1.028)</f>
        <v>1.028</v>
      </c>
      <c r="E9315" s="16">
        <f>IFERROR(__xludf.DUMMYFUNCTION("""COMPUTED_VALUE"""),62.0)</f>
        <v>62</v>
      </c>
      <c r="F9315" s="19" t="str">
        <f>IFERROR(__xludf.DUMMYFUNCTION("""COMPUTED_VALUE"""),"BLUE")</f>
        <v>BLUE</v>
      </c>
      <c r="G9315" s="20" t="str">
        <f>IFERROR(__xludf.DUMMYFUNCTION("""COMPUTED_VALUE"""),"Uncle Sams Cider (04/04/2023)")</f>
        <v>Uncle Sams Cider (04/04/2023)</v>
      </c>
      <c r="H9315" s="19"/>
    </row>
    <row r="9316">
      <c r="A9316" s="9"/>
      <c r="B9316" s="15"/>
      <c r="C9316" s="9">
        <f>IFERROR(__xludf.DUMMYFUNCTION("""COMPUTED_VALUE"""),45046.2319972916)</f>
        <v>45046.232</v>
      </c>
      <c r="D9316" s="15">
        <f>IFERROR(__xludf.DUMMYFUNCTION("""COMPUTED_VALUE"""),1.027)</f>
        <v>1.027</v>
      </c>
      <c r="E9316" s="16">
        <f>IFERROR(__xludf.DUMMYFUNCTION("""COMPUTED_VALUE"""),62.0)</f>
        <v>62</v>
      </c>
      <c r="F9316" s="19" t="str">
        <f>IFERROR(__xludf.DUMMYFUNCTION("""COMPUTED_VALUE"""),"BLUE")</f>
        <v>BLUE</v>
      </c>
      <c r="G9316" s="20" t="str">
        <f>IFERROR(__xludf.DUMMYFUNCTION("""COMPUTED_VALUE"""),"Uncle Sams Cider (04/04/2023)")</f>
        <v>Uncle Sams Cider (04/04/2023)</v>
      </c>
      <c r="H9316" s="19"/>
    </row>
    <row r="9317">
      <c r="A9317" s="9"/>
      <c r="B9317" s="15"/>
      <c r="C9317" s="9">
        <f>IFERROR(__xludf.DUMMYFUNCTION("""COMPUTED_VALUE"""),45046.2215779282)</f>
        <v>45046.22158</v>
      </c>
      <c r="D9317" s="15">
        <f>IFERROR(__xludf.DUMMYFUNCTION("""COMPUTED_VALUE"""),1.028)</f>
        <v>1.028</v>
      </c>
      <c r="E9317" s="16">
        <f>IFERROR(__xludf.DUMMYFUNCTION("""COMPUTED_VALUE"""),62.0)</f>
        <v>62</v>
      </c>
      <c r="F9317" s="19" t="str">
        <f>IFERROR(__xludf.DUMMYFUNCTION("""COMPUTED_VALUE"""),"BLUE")</f>
        <v>BLUE</v>
      </c>
      <c r="G9317" s="20" t="str">
        <f>IFERROR(__xludf.DUMMYFUNCTION("""COMPUTED_VALUE"""),"Uncle Sams Cider (04/04/2023)")</f>
        <v>Uncle Sams Cider (04/04/2023)</v>
      </c>
      <c r="H9317" s="19"/>
    </row>
    <row r="9318">
      <c r="A9318" s="9"/>
      <c r="B9318" s="15"/>
      <c r="C9318" s="9">
        <f>IFERROR(__xludf.DUMMYFUNCTION("""COMPUTED_VALUE"""),45046.2111554166)</f>
        <v>45046.21116</v>
      </c>
      <c r="D9318" s="15">
        <f>IFERROR(__xludf.DUMMYFUNCTION("""COMPUTED_VALUE"""),1.028)</f>
        <v>1.028</v>
      </c>
      <c r="E9318" s="16">
        <f>IFERROR(__xludf.DUMMYFUNCTION("""COMPUTED_VALUE"""),62.0)</f>
        <v>62</v>
      </c>
      <c r="F9318" s="19" t="str">
        <f>IFERROR(__xludf.DUMMYFUNCTION("""COMPUTED_VALUE"""),"BLUE")</f>
        <v>BLUE</v>
      </c>
      <c r="G9318" s="20" t="str">
        <f>IFERROR(__xludf.DUMMYFUNCTION("""COMPUTED_VALUE"""),"Uncle Sams Cider (04/04/2023)")</f>
        <v>Uncle Sams Cider (04/04/2023)</v>
      </c>
      <c r="H9318" s="19"/>
    </row>
    <row r="9319">
      <c r="A9319" s="9"/>
      <c r="B9319" s="15"/>
      <c r="C9319" s="9">
        <f>IFERROR(__xludf.DUMMYFUNCTION("""COMPUTED_VALUE"""),45046.2007220023)</f>
        <v>45046.20072</v>
      </c>
      <c r="D9319" s="15">
        <f>IFERROR(__xludf.DUMMYFUNCTION("""COMPUTED_VALUE"""),1.028)</f>
        <v>1.028</v>
      </c>
      <c r="E9319" s="16">
        <f>IFERROR(__xludf.DUMMYFUNCTION("""COMPUTED_VALUE"""),62.0)</f>
        <v>62</v>
      </c>
      <c r="F9319" s="19" t="str">
        <f>IFERROR(__xludf.DUMMYFUNCTION("""COMPUTED_VALUE"""),"BLUE")</f>
        <v>BLUE</v>
      </c>
      <c r="G9319" s="20" t="str">
        <f>IFERROR(__xludf.DUMMYFUNCTION("""COMPUTED_VALUE"""),"Uncle Sams Cider (04/04/2023)")</f>
        <v>Uncle Sams Cider (04/04/2023)</v>
      </c>
      <c r="H9319" s="19"/>
    </row>
    <row r="9320">
      <c r="A9320" s="9"/>
      <c r="B9320" s="15"/>
      <c r="C9320" s="9">
        <f>IFERROR(__xludf.DUMMYFUNCTION("""COMPUTED_VALUE"""),45046.1903024305)</f>
        <v>45046.1903</v>
      </c>
      <c r="D9320" s="15">
        <f>IFERROR(__xludf.DUMMYFUNCTION("""COMPUTED_VALUE"""),1.028)</f>
        <v>1.028</v>
      </c>
      <c r="E9320" s="16">
        <f>IFERROR(__xludf.DUMMYFUNCTION("""COMPUTED_VALUE"""),62.0)</f>
        <v>62</v>
      </c>
      <c r="F9320" s="19" t="str">
        <f>IFERROR(__xludf.DUMMYFUNCTION("""COMPUTED_VALUE"""),"BLUE")</f>
        <v>BLUE</v>
      </c>
      <c r="G9320" s="20" t="str">
        <f>IFERROR(__xludf.DUMMYFUNCTION("""COMPUTED_VALUE"""),"Uncle Sams Cider (04/04/2023)")</f>
        <v>Uncle Sams Cider (04/04/2023)</v>
      </c>
      <c r="H9320" s="19"/>
    </row>
    <row r="9321">
      <c r="A9321" s="9"/>
      <c r="B9321" s="15"/>
      <c r="C9321" s="9">
        <f>IFERROR(__xludf.DUMMYFUNCTION("""COMPUTED_VALUE"""),45046.179882118)</f>
        <v>45046.17988</v>
      </c>
      <c r="D9321" s="15">
        <f>IFERROR(__xludf.DUMMYFUNCTION("""COMPUTED_VALUE"""),1.028)</f>
        <v>1.028</v>
      </c>
      <c r="E9321" s="16">
        <f>IFERROR(__xludf.DUMMYFUNCTION("""COMPUTED_VALUE"""),62.0)</f>
        <v>62</v>
      </c>
      <c r="F9321" s="19" t="str">
        <f>IFERROR(__xludf.DUMMYFUNCTION("""COMPUTED_VALUE"""),"BLUE")</f>
        <v>BLUE</v>
      </c>
      <c r="G9321" s="20" t="str">
        <f>IFERROR(__xludf.DUMMYFUNCTION("""COMPUTED_VALUE"""),"Uncle Sams Cider (04/04/2023)")</f>
        <v>Uncle Sams Cider (04/04/2023)</v>
      </c>
      <c r="H9321" s="19"/>
    </row>
    <row r="9322">
      <c r="A9322" s="9"/>
      <c r="B9322" s="15"/>
      <c r="C9322" s="9">
        <f>IFERROR(__xludf.DUMMYFUNCTION("""COMPUTED_VALUE"""),45046.1694366898)</f>
        <v>45046.16944</v>
      </c>
      <c r="D9322" s="15">
        <f>IFERROR(__xludf.DUMMYFUNCTION("""COMPUTED_VALUE"""),1.028)</f>
        <v>1.028</v>
      </c>
      <c r="E9322" s="16">
        <f>IFERROR(__xludf.DUMMYFUNCTION("""COMPUTED_VALUE"""),62.0)</f>
        <v>62</v>
      </c>
      <c r="F9322" s="19" t="str">
        <f>IFERROR(__xludf.DUMMYFUNCTION("""COMPUTED_VALUE"""),"BLUE")</f>
        <v>BLUE</v>
      </c>
      <c r="G9322" s="20" t="str">
        <f>IFERROR(__xludf.DUMMYFUNCTION("""COMPUTED_VALUE"""),"Uncle Sams Cider (04/04/2023)")</f>
        <v>Uncle Sams Cider (04/04/2023)</v>
      </c>
      <c r="H9322" s="19"/>
    </row>
    <row r="9323">
      <c r="A9323" s="9"/>
      <c r="B9323" s="15"/>
      <c r="C9323" s="9">
        <f>IFERROR(__xludf.DUMMYFUNCTION("""COMPUTED_VALUE"""),45046.1381736342)</f>
        <v>45046.13817</v>
      </c>
      <c r="D9323" s="15">
        <f>IFERROR(__xludf.DUMMYFUNCTION("""COMPUTED_VALUE"""),1.028)</f>
        <v>1.028</v>
      </c>
      <c r="E9323" s="16">
        <f>IFERROR(__xludf.DUMMYFUNCTION("""COMPUTED_VALUE"""),62.0)</f>
        <v>62</v>
      </c>
      <c r="F9323" s="19" t="str">
        <f>IFERROR(__xludf.DUMMYFUNCTION("""COMPUTED_VALUE"""),"BLUE")</f>
        <v>BLUE</v>
      </c>
      <c r="G9323" s="20" t="str">
        <f>IFERROR(__xludf.DUMMYFUNCTION("""COMPUTED_VALUE"""),"Uncle Sams Cider (04/04/2023)")</f>
        <v>Uncle Sams Cider (04/04/2023)</v>
      </c>
      <c r="H9323" s="19"/>
    </row>
    <row r="9324">
      <c r="A9324" s="9"/>
      <c r="B9324" s="15"/>
      <c r="C9324" s="9">
        <f>IFERROR(__xludf.DUMMYFUNCTION("""COMPUTED_VALUE"""),45046.127740706)</f>
        <v>45046.12774</v>
      </c>
      <c r="D9324" s="15">
        <f>IFERROR(__xludf.DUMMYFUNCTION("""COMPUTED_VALUE"""),1.028)</f>
        <v>1.028</v>
      </c>
      <c r="E9324" s="16">
        <f>IFERROR(__xludf.DUMMYFUNCTION("""COMPUTED_VALUE"""),62.0)</f>
        <v>62</v>
      </c>
      <c r="F9324" s="19" t="str">
        <f>IFERROR(__xludf.DUMMYFUNCTION("""COMPUTED_VALUE"""),"BLUE")</f>
        <v>BLUE</v>
      </c>
      <c r="G9324" s="20" t="str">
        <f>IFERROR(__xludf.DUMMYFUNCTION("""COMPUTED_VALUE"""),"Uncle Sams Cider (04/04/2023)")</f>
        <v>Uncle Sams Cider (04/04/2023)</v>
      </c>
      <c r="H9324" s="19"/>
    </row>
    <row r="9325">
      <c r="A9325" s="9"/>
      <c r="B9325" s="15"/>
      <c r="C9325" s="9">
        <f>IFERROR(__xludf.DUMMYFUNCTION("""COMPUTED_VALUE"""),45046.1173198611)</f>
        <v>45046.11732</v>
      </c>
      <c r="D9325" s="15">
        <f>IFERROR(__xludf.DUMMYFUNCTION("""COMPUTED_VALUE"""),1.027)</f>
        <v>1.027</v>
      </c>
      <c r="E9325" s="16">
        <f>IFERROR(__xludf.DUMMYFUNCTION("""COMPUTED_VALUE"""),62.0)</f>
        <v>62</v>
      </c>
      <c r="F9325" s="19" t="str">
        <f>IFERROR(__xludf.DUMMYFUNCTION("""COMPUTED_VALUE"""),"BLUE")</f>
        <v>BLUE</v>
      </c>
      <c r="G9325" s="20" t="str">
        <f>IFERROR(__xludf.DUMMYFUNCTION("""COMPUTED_VALUE"""),"Uncle Sams Cider (04/04/2023)")</f>
        <v>Uncle Sams Cider (04/04/2023)</v>
      </c>
      <c r="H9325" s="19"/>
    </row>
    <row r="9326">
      <c r="A9326" s="9"/>
      <c r="B9326" s="15"/>
      <c r="C9326" s="9">
        <f>IFERROR(__xludf.DUMMYFUNCTION("""COMPUTED_VALUE"""),45046.1068993865)</f>
        <v>45046.1069</v>
      </c>
      <c r="D9326" s="15">
        <f>IFERROR(__xludf.DUMMYFUNCTION("""COMPUTED_VALUE"""),1.028)</f>
        <v>1.028</v>
      </c>
      <c r="E9326" s="16">
        <f>IFERROR(__xludf.DUMMYFUNCTION("""COMPUTED_VALUE"""),62.0)</f>
        <v>62</v>
      </c>
      <c r="F9326" s="19" t="str">
        <f>IFERROR(__xludf.DUMMYFUNCTION("""COMPUTED_VALUE"""),"BLUE")</f>
        <v>BLUE</v>
      </c>
      <c r="G9326" s="20" t="str">
        <f>IFERROR(__xludf.DUMMYFUNCTION("""COMPUTED_VALUE"""),"Uncle Sams Cider (04/04/2023)")</f>
        <v>Uncle Sams Cider (04/04/2023)</v>
      </c>
      <c r="H9326" s="19"/>
    </row>
    <row r="9327">
      <c r="A9327" s="9"/>
      <c r="B9327" s="15"/>
      <c r="C9327" s="9">
        <f>IFERROR(__xludf.DUMMYFUNCTION("""COMPUTED_VALUE"""),45046.0964770601)</f>
        <v>45046.09648</v>
      </c>
      <c r="D9327" s="15">
        <f>IFERROR(__xludf.DUMMYFUNCTION("""COMPUTED_VALUE"""),1.028)</f>
        <v>1.028</v>
      </c>
      <c r="E9327" s="16">
        <f>IFERROR(__xludf.DUMMYFUNCTION("""COMPUTED_VALUE"""),62.0)</f>
        <v>62</v>
      </c>
      <c r="F9327" s="19" t="str">
        <f>IFERROR(__xludf.DUMMYFUNCTION("""COMPUTED_VALUE"""),"BLUE")</f>
        <v>BLUE</v>
      </c>
      <c r="G9327" s="20" t="str">
        <f>IFERROR(__xludf.DUMMYFUNCTION("""COMPUTED_VALUE"""),"Uncle Sams Cider (04/04/2023)")</f>
        <v>Uncle Sams Cider (04/04/2023)</v>
      </c>
      <c r="H9327" s="19"/>
    </row>
    <row r="9328">
      <c r="A9328" s="9"/>
      <c r="B9328" s="15"/>
      <c r="C9328" s="9">
        <f>IFERROR(__xludf.DUMMYFUNCTION("""COMPUTED_VALUE"""),45046.086057037)</f>
        <v>45046.08606</v>
      </c>
      <c r="D9328" s="15">
        <f>IFERROR(__xludf.DUMMYFUNCTION("""COMPUTED_VALUE"""),1.028)</f>
        <v>1.028</v>
      </c>
      <c r="E9328" s="16">
        <f>IFERROR(__xludf.DUMMYFUNCTION("""COMPUTED_VALUE"""),62.0)</f>
        <v>62</v>
      </c>
      <c r="F9328" s="19" t="str">
        <f>IFERROR(__xludf.DUMMYFUNCTION("""COMPUTED_VALUE"""),"BLUE")</f>
        <v>BLUE</v>
      </c>
      <c r="G9328" s="20" t="str">
        <f>IFERROR(__xludf.DUMMYFUNCTION("""COMPUTED_VALUE"""),"Uncle Sams Cider (04/04/2023)")</f>
        <v>Uncle Sams Cider (04/04/2023)</v>
      </c>
      <c r="H9328" s="19"/>
    </row>
    <row r="9329">
      <c r="A9329" s="9"/>
      <c r="B9329" s="15"/>
      <c r="C9329" s="9">
        <f>IFERROR(__xludf.DUMMYFUNCTION("""COMPUTED_VALUE"""),45046.0756356481)</f>
        <v>45046.07564</v>
      </c>
      <c r="D9329" s="15">
        <f>IFERROR(__xludf.DUMMYFUNCTION("""COMPUTED_VALUE"""),1.028)</f>
        <v>1.028</v>
      </c>
      <c r="E9329" s="16">
        <f>IFERROR(__xludf.DUMMYFUNCTION("""COMPUTED_VALUE"""),62.0)</f>
        <v>62</v>
      </c>
      <c r="F9329" s="19" t="str">
        <f>IFERROR(__xludf.DUMMYFUNCTION("""COMPUTED_VALUE"""),"BLUE")</f>
        <v>BLUE</v>
      </c>
      <c r="G9329" s="20" t="str">
        <f>IFERROR(__xludf.DUMMYFUNCTION("""COMPUTED_VALUE"""),"Uncle Sams Cider (04/04/2023)")</f>
        <v>Uncle Sams Cider (04/04/2023)</v>
      </c>
      <c r="H9329" s="19"/>
    </row>
    <row r="9330">
      <c r="A9330" s="9"/>
      <c r="B9330" s="15"/>
      <c r="C9330" s="9">
        <f>IFERROR(__xludf.DUMMYFUNCTION("""COMPUTED_VALUE"""),45046.0652155439)</f>
        <v>45046.06522</v>
      </c>
      <c r="D9330" s="15">
        <f>IFERROR(__xludf.DUMMYFUNCTION("""COMPUTED_VALUE"""),1.028)</f>
        <v>1.028</v>
      </c>
      <c r="E9330" s="16">
        <f>IFERROR(__xludf.DUMMYFUNCTION("""COMPUTED_VALUE"""),62.0)</f>
        <v>62</v>
      </c>
      <c r="F9330" s="19" t="str">
        <f>IFERROR(__xludf.DUMMYFUNCTION("""COMPUTED_VALUE"""),"BLUE")</f>
        <v>BLUE</v>
      </c>
      <c r="G9330" s="20" t="str">
        <f>IFERROR(__xludf.DUMMYFUNCTION("""COMPUTED_VALUE"""),"Uncle Sams Cider (04/04/2023)")</f>
        <v>Uncle Sams Cider (04/04/2023)</v>
      </c>
      <c r="H9330" s="19"/>
    </row>
    <row r="9331">
      <c r="A9331" s="9"/>
      <c r="B9331" s="15"/>
      <c r="C9331" s="9">
        <f>IFERROR(__xludf.DUMMYFUNCTION("""COMPUTED_VALUE"""),45046.0547951041)</f>
        <v>45046.0548</v>
      </c>
      <c r="D9331" s="15">
        <f>IFERROR(__xludf.DUMMYFUNCTION("""COMPUTED_VALUE"""),1.028)</f>
        <v>1.028</v>
      </c>
      <c r="E9331" s="16">
        <f>IFERROR(__xludf.DUMMYFUNCTION("""COMPUTED_VALUE"""),62.0)</f>
        <v>62</v>
      </c>
      <c r="F9331" s="19" t="str">
        <f>IFERROR(__xludf.DUMMYFUNCTION("""COMPUTED_VALUE"""),"BLUE")</f>
        <v>BLUE</v>
      </c>
      <c r="G9331" s="20" t="str">
        <f>IFERROR(__xludf.DUMMYFUNCTION("""COMPUTED_VALUE"""),"Uncle Sams Cider (04/04/2023)")</f>
        <v>Uncle Sams Cider (04/04/2023)</v>
      </c>
      <c r="H9331" s="19"/>
    </row>
    <row r="9332">
      <c r="A9332" s="9"/>
      <c r="B9332" s="15"/>
      <c r="C9332" s="9">
        <f>IFERROR(__xludf.DUMMYFUNCTION("""COMPUTED_VALUE"""),45046.0443737037)</f>
        <v>45046.04437</v>
      </c>
      <c r="D9332" s="15">
        <f>IFERROR(__xludf.DUMMYFUNCTION("""COMPUTED_VALUE"""),1.028)</f>
        <v>1.028</v>
      </c>
      <c r="E9332" s="16">
        <f>IFERROR(__xludf.DUMMYFUNCTION("""COMPUTED_VALUE"""),62.0)</f>
        <v>62</v>
      </c>
      <c r="F9332" s="19" t="str">
        <f>IFERROR(__xludf.DUMMYFUNCTION("""COMPUTED_VALUE"""),"BLUE")</f>
        <v>BLUE</v>
      </c>
      <c r="G9332" s="20" t="str">
        <f>IFERROR(__xludf.DUMMYFUNCTION("""COMPUTED_VALUE"""),"Uncle Sams Cider (04/04/2023)")</f>
        <v>Uncle Sams Cider (04/04/2023)</v>
      </c>
      <c r="H9332" s="19"/>
    </row>
    <row r="9333">
      <c r="A9333" s="9"/>
      <c r="B9333" s="15"/>
      <c r="C9333" s="9">
        <f>IFERROR(__xludf.DUMMYFUNCTION("""COMPUTED_VALUE"""),45046.0339532639)</f>
        <v>45046.03395</v>
      </c>
      <c r="D9333" s="15">
        <f>IFERROR(__xludf.DUMMYFUNCTION("""COMPUTED_VALUE"""),1.028)</f>
        <v>1.028</v>
      </c>
      <c r="E9333" s="16">
        <f>IFERROR(__xludf.DUMMYFUNCTION("""COMPUTED_VALUE"""),62.0)</f>
        <v>62</v>
      </c>
      <c r="F9333" s="19" t="str">
        <f>IFERROR(__xludf.DUMMYFUNCTION("""COMPUTED_VALUE"""),"BLUE")</f>
        <v>BLUE</v>
      </c>
      <c r="G9333" s="20" t="str">
        <f>IFERROR(__xludf.DUMMYFUNCTION("""COMPUTED_VALUE"""),"Uncle Sams Cider (04/04/2023)")</f>
        <v>Uncle Sams Cider (04/04/2023)</v>
      </c>
      <c r="H9333" s="19"/>
    </row>
    <row r="9334">
      <c r="A9334" s="9"/>
      <c r="B9334" s="15"/>
      <c r="C9334" s="9">
        <f>IFERROR(__xludf.DUMMYFUNCTION("""COMPUTED_VALUE"""),45046.0235207638)</f>
        <v>45046.02352</v>
      </c>
      <c r="D9334" s="15">
        <f>IFERROR(__xludf.DUMMYFUNCTION("""COMPUTED_VALUE"""),1.028)</f>
        <v>1.028</v>
      </c>
      <c r="E9334" s="16">
        <f>IFERROR(__xludf.DUMMYFUNCTION("""COMPUTED_VALUE"""),62.0)</f>
        <v>62</v>
      </c>
      <c r="F9334" s="19" t="str">
        <f>IFERROR(__xludf.DUMMYFUNCTION("""COMPUTED_VALUE"""),"BLUE")</f>
        <v>BLUE</v>
      </c>
      <c r="G9334" s="20" t="str">
        <f>IFERROR(__xludf.DUMMYFUNCTION("""COMPUTED_VALUE"""),"Uncle Sams Cider (04/04/2023)")</f>
        <v>Uncle Sams Cider (04/04/2023)</v>
      </c>
      <c r="H9334" s="19"/>
    </row>
    <row r="9335">
      <c r="A9335" s="9"/>
      <c r="B9335" s="15"/>
      <c r="C9335" s="9">
        <f>IFERROR(__xludf.DUMMYFUNCTION("""COMPUTED_VALUE"""),45046.0130985416)</f>
        <v>45046.0131</v>
      </c>
      <c r="D9335" s="15">
        <f>IFERROR(__xludf.DUMMYFUNCTION("""COMPUTED_VALUE"""),1.028)</f>
        <v>1.028</v>
      </c>
      <c r="E9335" s="16">
        <f>IFERROR(__xludf.DUMMYFUNCTION("""COMPUTED_VALUE"""),62.0)</f>
        <v>62</v>
      </c>
      <c r="F9335" s="19" t="str">
        <f>IFERROR(__xludf.DUMMYFUNCTION("""COMPUTED_VALUE"""),"BLUE")</f>
        <v>BLUE</v>
      </c>
      <c r="G9335" s="20" t="str">
        <f>IFERROR(__xludf.DUMMYFUNCTION("""COMPUTED_VALUE"""),"Uncle Sams Cider (04/04/2023)")</f>
        <v>Uncle Sams Cider (04/04/2023)</v>
      </c>
      <c r="H9335" s="19"/>
    </row>
    <row r="9336">
      <c r="A9336" s="9"/>
      <c r="B9336" s="15"/>
      <c r="C9336" s="9">
        <f>IFERROR(__xludf.DUMMYFUNCTION("""COMPUTED_VALUE"""),45046.0026544444)</f>
        <v>45046.00265</v>
      </c>
      <c r="D9336" s="15">
        <f>IFERROR(__xludf.DUMMYFUNCTION("""COMPUTED_VALUE"""),1.028)</f>
        <v>1.028</v>
      </c>
      <c r="E9336" s="16">
        <f>IFERROR(__xludf.DUMMYFUNCTION("""COMPUTED_VALUE"""),62.0)</f>
        <v>62</v>
      </c>
      <c r="F9336" s="19" t="str">
        <f>IFERROR(__xludf.DUMMYFUNCTION("""COMPUTED_VALUE"""),"BLUE")</f>
        <v>BLUE</v>
      </c>
      <c r="G9336" s="20" t="str">
        <f>IFERROR(__xludf.DUMMYFUNCTION("""COMPUTED_VALUE"""),"Uncle Sams Cider (04/04/2023)")</f>
        <v>Uncle Sams Cider (04/04/2023)</v>
      </c>
      <c r="H9336" s="19"/>
    </row>
    <row r="9337">
      <c r="A9337" s="9"/>
      <c r="B9337" s="15"/>
      <c r="C9337" s="9">
        <f>IFERROR(__xludf.DUMMYFUNCTION("""COMPUTED_VALUE"""),45045.9922339583)</f>
        <v>45045.99223</v>
      </c>
      <c r="D9337" s="15">
        <f>IFERROR(__xludf.DUMMYFUNCTION("""COMPUTED_VALUE"""),1.028)</f>
        <v>1.028</v>
      </c>
      <c r="E9337" s="16">
        <f>IFERROR(__xludf.DUMMYFUNCTION("""COMPUTED_VALUE"""),62.0)</f>
        <v>62</v>
      </c>
      <c r="F9337" s="19" t="str">
        <f>IFERROR(__xludf.DUMMYFUNCTION("""COMPUTED_VALUE"""),"BLUE")</f>
        <v>BLUE</v>
      </c>
      <c r="G9337" s="20" t="str">
        <f>IFERROR(__xludf.DUMMYFUNCTION("""COMPUTED_VALUE"""),"Uncle Sams Cider (04/04/2023)")</f>
        <v>Uncle Sams Cider (04/04/2023)</v>
      </c>
      <c r="H9337" s="19"/>
    </row>
    <row r="9338">
      <c r="A9338" s="9"/>
      <c r="B9338" s="15"/>
      <c r="C9338" s="9">
        <f>IFERROR(__xludf.DUMMYFUNCTION("""COMPUTED_VALUE"""),45045.9818140856)</f>
        <v>45045.98181</v>
      </c>
      <c r="D9338" s="15">
        <f>IFERROR(__xludf.DUMMYFUNCTION("""COMPUTED_VALUE"""),1.028)</f>
        <v>1.028</v>
      </c>
      <c r="E9338" s="16">
        <f>IFERROR(__xludf.DUMMYFUNCTION("""COMPUTED_VALUE"""),62.0)</f>
        <v>62</v>
      </c>
      <c r="F9338" s="19" t="str">
        <f>IFERROR(__xludf.DUMMYFUNCTION("""COMPUTED_VALUE"""),"BLUE")</f>
        <v>BLUE</v>
      </c>
      <c r="G9338" s="20" t="str">
        <f>IFERROR(__xludf.DUMMYFUNCTION("""COMPUTED_VALUE"""),"Uncle Sams Cider (04/04/2023)")</f>
        <v>Uncle Sams Cider (04/04/2023)</v>
      </c>
      <c r="H9338" s="19"/>
    </row>
    <row r="9339">
      <c r="A9339" s="9"/>
      <c r="B9339" s="15"/>
      <c r="C9339" s="9">
        <f>IFERROR(__xludf.DUMMYFUNCTION("""COMPUTED_VALUE"""),45045.971395787)</f>
        <v>45045.9714</v>
      </c>
      <c r="D9339" s="15">
        <f>IFERROR(__xludf.DUMMYFUNCTION("""COMPUTED_VALUE"""),1.028)</f>
        <v>1.028</v>
      </c>
      <c r="E9339" s="16">
        <f>IFERROR(__xludf.DUMMYFUNCTION("""COMPUTED_VALUE"""),62.0)</f>
        <v>62</v>
      </c>
      <c r="F9339" s="19" t="str">
        <f>IFERROR(__xludf.DUMMYFUNCTION("""COMPUTED_VALUE"""),"BLUE")</f>
        <v>BLUE</v>
      </c>
      <c r="G9339" s="20" t="str">
        <f>IFERROR(__xludf.DUMMYFUNCTION("""COMPUTED_VALUE"""),"Uncle Sams Cider (04/04/2023)")</f>
        <v>Uncle Sams Cider (04/04/2023)</v>
      </c>
      <c r="H9339" s="19"/>
    </row>
    <row r="9340">
      <c r="A9340" s="9"/>
      <c r="B9340" s="15"/>
      <c r="C9340" s="9">
        <f>IFERROR(__xludf.DUMMYFUNCTION("""COMPUTED_VALUE"""),45045.9609741203)</f>
        <v>45045.96097</v>
      </c>
      <c r="D9340" s="15">
        <f>IFERROR(__xludf.DUMMYFUNCTION("""COMPUTED_VALUE"""),1.028)</f>
        <v>1.028</v>
      </c>
      <c r="E9340" s="16">
        <f>IFERROR(__xludf.DUMMYFUNCTION("""COMPUTED_VALUE"""),62.0)</f>
        <v>62</v>
      </c>
      <c r="F9340" s="19" t="str">
        <f>IFERROR(__xludf.DUMMYFUNCTION("""COMPUTED_VALUE"""),"BLUE")</f>
        <v>BLUE</v>
      </c>
      <c r="G9340" s="20" t="str">
        <f>IFERROR(__xludf.DUMMYFUNCTION("""COMPUTED_VALUE"""),"Uncle Sams Cider (04/04/2023)")</f>
        <v>Uncle Sams Cider (04/04/2023)</v>
      </c>
      <c r="H9340" s="19"/>
    </row>
    <row r="9341">
      <c r="A9341" s="9"/>
      <c r="B9341" s="15"/>
      <c r="C9341" s="9">
        <f>IFERROR(__xludf.DUMMYFUNCTION("""COMPUTED_VALUE"""),45045.9505410416)</f>
        <v>45045.95054</v>
      </c>
      <c r="D9341" s="15">
        <f>IFERROR(__xludf.DUMMYFUNCTION("""COMPUTED_VALUE"""),1.028)</f>
        <v>1.028</v>
      </c>
      <c r="E9341" s="16">
        <f>IFERROR(__xludf.DUMMYFUNCTION("""COMPUTED_VALUE"""),62.0)</f>
        <v>62</v>
      </c>
      <c r="F9341" s="19" t="str">
        <f>IFERROR(__xludf.DUMMYFUNCTION("""COMPUTED_VALUE"""),"BLUE")</f>
        <v>BLUE</v>
      </c>
      <c r="G9341" s="20" t="str">
        <f>IFERROR(__xludf.DUMMYFUNCTION("""COMPUTED_VALUE"""),"Uncle Sams Cider (04/04/2023)")</f>
        <v>Uncle Sams Cider (04/04/2023)</v>
      </c>
      <c r="H9341" s="19"/>
    </row>
    <row r="9342">
      <c r="A9342" s="9"/>
      <c r="B9342" s="15"/>
      <c r="C9342" s="9">
        <f>IFERROR(__xludf.DUMMYFUNCTION("""COMPUTED_VALUE"""),45045.9401180902)</f>
        <v>45045.94012</v>
      </c>
      <c r="D9342" s="15">
        <f>IFERROR(__xludf.DUMMYFUNCTION("""COMPUTED_VALUE"""),1.028)</f>
        <v>1.028</v>
      </c>
      <c r="E9342" s="16">
        <f>IFERROR(__xludf.DUMMYFUNCTION("""COMPUTED_VALUE"""),62.0)</f>
        <v>62</v>
      </c>
      <c r="F9342" s="19" t="str">
        <f>IFERROR(__xludf.DUMMYFUNCTION("""COMPUTED_VALUE"""),"BLUE")</f>
        <v>BLUE</v>
      </c>
      <c r="G9342" s="20" t="str">
        <f>IFERROR(__xludf.DUMMYFUNCTION("""COMPUTED_VALUE"""),"Uncle Sams Cider (04/04/2023)")</f>
        <v>Uncle Sams Cider (04/04/2023)</v>
      </c>
      <c r="H9342" s="19"/>
    </row>
    <row r="9343">
      <c r="A9343" s="9"/>
      <c r="B9343" s="15"/>
      <c r="C9343" s="9">
        <f>IFERROR(__xludf.DUMMYFUNCTION("""COMPUTED_VALUE"""),45045.9296973726)</f>
        <v>45045.9297</v>
      </c>
      <c r="D9343" s="15">
        <f>IFERROR(__xludf.DUMMYFUNCTION("""COMPUTED_VALUE"""),1.028)</f>
        <v>1.028</v>
      </c>
      <c r="E9343" s="16">
        <f>IFERROR(__xludf.DUMMYFUNCTION("""COMPUTED_VALUE"""),62.0)</f>
        <v>62</v>
      </c>
      <c r="F9343" s="19" t="str">
        <f>IFERROR(__xludf.DUMMYFUNCTION("""COMPUTED_VALUE"""),"BLUE")</f>
        <v>BLUE</v>
      </c>
      <c r="G9343" s="20" t="str">
        <f>IFERROR(__xludf.DUMMYFUNCTION("""COMPUTED_VALUE"""),"Uncle Sams Cider (04/04/2023)")</f>
        <v>Uncle Sams Cider (04/04/2023)</v>
      </c>
      <c r="H9343" s="19"/>
    </row>
    <row r="9344">
      <c r="A9344" s="9"/>
      <c r="B9344" s="15"/>
      <c r="C9344" s="9">
        <f>IFERROR(__xludf.DUMMYFUNCTION("""COMPUTED_VALUE"""),45045.9192645023)</f>
        <v>45045.91926</v>
      </c>
      <c r="D9344" s="15">
        <f>IFERROR(__xludf.DUMMYFUNCTION("""COMPUTED_VALUE"""),1.028)</f>
        <v>1.028</v>
      </c>
      <c r="E9344" s="16">
        <f>IFERROR(__xludf.DUMMYFUNCTION("""COMPUTED_VALUE"""),62.0)</f>
        <v>62</v>
      </c>
      <c r="F9344" s="19" t="str">
        <f>IFERROR(__xludf.DUMMYFUNCTION("""COMPUTED_VALUE"""),"BLUE")</f>
        <v>BLUE</v>
      </c>
      <c r="G9344" s="20" t="str">
        <f>IFERROR(__xludf.DUMMYFUNCTION("""COMPUTED_VALUE"""),"Uncle Sams Cider (04/04/2023)")</f>
        <v>Uncle Sams Cider (04/04/2023)</v>
      </c>
      <c r="H9344" s="19"/>
    </row>
    <row r="9345">
      <c r="A9345" s="9"/>
      <c r="B9345" s="15"/>
      <c r="C9345" s="9">
        <f>IFERROR(__xludf.DUMMYFUNCTION("""COMPUTED_VALUE"""),45045.908844456)</f>
        <v>45045.90884</v>
      </c>
      <c r="D9345" s="15">
        <f>IFERROR(__xludf.DUMMYFUNCTION("""COMPUTED_VALUE"""),1.028)</f>
        <v>1.028</v>
      </c>
      <c r="E9345" s="16">
        <f>IFERROR(__xludf.DUMMYFUNCTION("""COMPUTED_VALUE"""),62.0)</f>
        <v>62</v>
      </c>
      <c r="F9345" s="19" t="str">
        <f>IFERROR(__xludf.DUMMYFUNCTION("""COMPUTED_VALUE"""),"BLUE")</f>
        <v>BLUE</v>
      </c>
      <c r="G9345" s="20" t="str">
        <f>IFERROR(__xludf.DUMMYFUNCTION("""COMPUTED_VALUE"""),"Uncle Sams Cider (04/04/2023)")</f>
        <v>Uncle Sams Cider (04/04/2023)</v>
      </c>
      <c r="H9345" s="19"/>
    </row>
    <row r="9346">
      <c r="A9346" s="9"/>
      <c r="B9346" s="15"/>
      <c r="C9346" s="9">
        <f>IFERROR(__xludf.DUMMYFUNCTION("""COMPUTED_VALUE"""),45045.8880034259)</f>
        <v>45045.888</v>
      </c>
      <c r="D9346" s="15">
        <f>IFERROR(__xludf.DUMMYFUNCTION("""COMPUTED_VALUE"""),1.028)</f>
        <v>1.028</v>
      </c>
      <c r="E9346" s="16">
        <f>IFERROR(__xludf.DUMMYFUNCTION("""COMPUTED_VALUE"""),62.0)</f>
        <v>62</v>
      </c>
      <c r="F9346" s="19" t="str">
        <f>IFERROR(__xludf.DUMMYFUNCTION("""COMPUTED_VALUE"""),"BLUE")</f>
        <v>BLUE</v>
      </c>
      <c r="G9346" s="20" t="str">
        <f>IFERROR(__xludf.DUMMYFUNCTION("""COMPUTED_VALUE"""),"Uncle Sams Cider (04/04/2023)")</f>
        <v>Uncle Sams Cider (04/04/2023)</v>
      </c>
      <c r="H9346" s="19"/>
    </row>
    <row r="9347">
      <c r="A9347" s="9"/>
      <c r="B9347" s="15"/>
      <c r="C9347" s="9">
        <f>IFERROR(__xludf.DUMMYFUNCTION("""COMPUTED_VALUE"""),45045.8775686689)</f>
        <v>45045.87757</v>
      </c>
      <c r="D9347" s="15">
        <f>IFERROR(__xludf.DUMMYFUNCTION("""COMPUTED_VALUE"""),1.028)</f>
        <v>1.028</v>
      </c>
      <c r="E9347" s="16">
        <f>IFERROR(__xludf.DUMMYFUNCTION("""COMPUTED_VALUE"""),62.0)</f>
        <v>62</v>
      </c>
      <c r="F9347" s="19" t="str">
        <f>IFERROR(__xludf.DUMMYFUNCTION("""COMPUTED_VALUE"""),"BLUE")</f>
        <v>BLUE</v>
      </c>
      <c r="G9347" s="20" t="str">
        <f>IFERROR(__xludf.DUMMYFUNCTION("""COMPUTED_VALUE"""),"Uncle Sams Cider (04/04/2023)")</f>
        <v>Uncle Sams Cider (04/04/2023)</v>
      </c>
      <c r="H9347" s="19"/>
    </row>
    <row r="9348">
      <c r="A9348" s="9"/>
      <c r="B9348" s="15"/>
      <c r="C9348" s="9">
        <f>IFERROR(__xludf.DUMMYFUNCTION("""COMPUTED_VALUE"""),45045.8671478356)</f>
        <v>45045.86715</v>
      </c>
      <c r="D9348" s="15">
        <f>IFERROR(__xludf.DUMMYFUNCTION("""COMPUTED_VALUE"""),1.028)</f>
        <v>1.028</v>
      </c>
      <c r="E9348" s="16">
        <f>IFERROR(__xludf.DUMMYFUNCTION("""COMPUTED_VALUE"""),62.0)</f>
        <v>62</v>
      </c>
      <c r="F9348" s="19" t="str">
        <f>IFERROR(__xludf.DUMMYFUNCTION("""COMPUTED_VALUE"""),"BLUE")</f>
        <v>BLUE</v>
      </c>
      <c r="G9348" s="20" t="str">
        <f>IFERROR(__xludf.DUMMYFUNCTION("""COMPUTED_VALUE"""),"Uncle Sams Cider (04/04/2023)")</f>
        <v>Uncle Sams Cider (04/04/2023)</v>
      </c>
      <c r="H9348" s="19"/>
    </row>
    <row r="9349">
      <c r="A9349" s="9"/>
      <c r="B9349" s="15"/>
      <c r="C9349" s="9">
        <f>IFERROR(__xludf.DUMMYFUNCTION("""COMPUTED_VALUE"""),45045.8567281018)</f>
        <v>45045.85673</v>
      </c>
      <c r="D9349" s="15">
        <f>IFERROR(__xludf.DUMMYFUNCTION("""COMPUTED_VALUE"""),1.028)</f>
        <v>1.028</v>
      </c>
      <c r="E9349" s="16">
        <f>IFERROR(__xludf.DUMMYFUNCTION("""COMPUTED_VALUE"""),62.0)</f>
        <v>62</v>
      </c>
      <c r="F9349" s="19" t="str">
        <f>IFERROR(__xludf.DUMMYFUNCTION("""COMPUTED_VALUE"""),"BLUE")</f>
        <v>BLUE</v>
      </c>
      <c r="G9349" s="20" t="str">
        <f>IFERROR(__xludf.DUMMYFUNCTION("""COMPUTED_VALUE"""),"Uncle Sams Cider (04/04/2023)")</f>
        <v>Uncle Sams Cider (04/04/2023)</v>
      </c>
      <c r="H9349" s="19"/>
    </row>
    <row r="9350">
      <c r="A9350" s="9"/>
      <c r="B9350" s="15"/>
      <c r="C9350" s="9">
        <f>IFERROR(__xludf.DUMMYFUNCTION("""COMPUTED_VALUE"""),45045.8358830787)</f>
        <v>45045.83588</v>
      </c>
      <c r="D9350" s="15">
        <f>IFERROR(__xludf.DUMMYFUNCTION("""COMPUTED_VALUE"""),1.028)</f>
        <v>1.028</v>
      </c>
      <c r="E9350" s="16">
        <f>IFERROR(__xludf.DUMMYFUNCTION("""COMPUTED_VALUE"""),62.0)</f>
        <v>62</v>
      </c>
      <c r="F9350" s="19" t="str">
        <f>IFERROR(__xludf.DUMMYFUNCTION("""COMPUTED_VALUE"""),"BLUE")</f>
        <v>BLUE</v>
      </c>
      <c r="G9350" s="20" t="str">
        <f>IFERROR(__xludf.DUMMYFUNCTION("""COMPUTED_VALUE"""),"Uncle Sams Cider (04/04/2023)")</f>
        <v>Uncle Sams Cider (04/04/2023)</v>
      </c>
      <c r="H9350" s="19"/>
    </row>
    <row r="9351">
      <c r="A9351" s="9"/>
      <c r="B9351" s="15"/>
      <c r="C9351" s="9">
        <f>IFERROR(__xludf.DUMMYFUNCTION("""COMPUTED_VALUE"""),45045.8254622222)</f>
        <v>45045.82546</v>
      </c>
      <c r="D9351" s="15">
        <f>IFERROR(__xludf.DUMMYFUNCTION("""COMPUTED_VALUE"""),1.028)</f>
        <v>1.028</v>
      </c>
      <c r="E9351" s="16">
        <f>IFERROR(__xludf.DUMMYFUNCTION("""COMPUTED_VALUE"""),62.0)</f>
        <v>62</v>
      </c>
      <c r="F9351" s="19" t="str">
        <f>IFERROR(__xludf.DUMMYFUNCTION("""COMPUTED_VALUE"""),"BLUE")</f>
        <v>BLUE</v>
      </c>
      <c r="G9351" s="20" t="str">
        <f>IFERROR(__xludf.DUMMYFUNCTION("""COMPUTED_VALUE"""),"Uncle Sams Cider (04/04/2023)")</f>
        <v>Uncle Sams Cider (04/04/2023)</v>
      </c>
      <c r="H9351" s="19"/>
    </row>
    <row r="9352">
      <c r="A9352" s="9"/>
      <c r="B9352" s="15"/>
      <c r="C9352" s="9">
        <f>IFERROR(__xludf.DUMMYFUNCTION("""COMPUTED_VALUE"""),45045.8150416782)</f>
        <v>45045.81504</v>
      </c>
      <c r="D9352" s="15">
        <f>IFERROR(__xludf.DUMMYFUNCTION("""COMPUTED_VALUE"""),1.028)</f>
        <v>1.028</v>
      </c>
      <c r="E9352" s="16">
        <f>IFERROR(__xludf.DUMMYFUNCTION("""COMPUTED_VALUE"""),62.0)</f>
        <v>62</v>
      </c>
      <c r="F9352" s="19" t="str">
        <f>IFERROR(__xludf.DUMMYFUNCTION("""COMPUTED_VALUE"""),"BLUE")</f>
        <v>BLUE</v>
      </c>
      <c r="G9352" s="20" t="str">
        <f>IFERROR(__xludf.DUMMYFUNCTION("""COMPUTED_VALUE"""),"Uncle Sams Cider (04/04/2023)")</f>
        <v>Uncle Sams Cider (04/04/2023)</v>
      </c>
      <c r="H9352" s="19"/>
    </row>
    <row r="9353">
      <c r="A9353" s="9"/>
      <c r="B9353" s="15"/>
      <c r="C9353" s="9">
        <f>IFERROR(__xludf.DUMMYFUNCTION("""COMPUTED_VALUE"""),45045.80462)</f>
        <v>45045.80462</v>
      </c>
      <c r="D9353" s="15">
        <f>IFERROR(__xludf.DUMMYFUNCTION("""COMPUTED_VALUE"""),1.028)</f>
        <v>1.028</v>
      </c>
      <c r="E9353" s="16">
        <f>IFERROR(__xludf.DUMMYFUNCTION("""COMPUTED_VALUE"""),62.0)</f>
        <v>62</v>
      </c>
      <c r="F9353" s="19" t="str">
        <f>IFERROR(__xludf.DUMMYFUNCTION("""COMPUTED_VALUE"""),"BLUE")</f>
        <v>BLUE</v>
      </c>
      <c r="G9353" s="20" t="str">
        <f>IFERROR(__xludf.DUMMYFUNCTION("""COMPUTED_VALUE"""),"Uncle Sams Cider (04/04/2023)")</f>
        <v>Uncle Sams Cider (04/04/2023)</v>
      </c>
      <c r="H9353" s="19"/>
    </row>
    <row r="9354">
      <c r="A9354" s="9"/>
      <c r="B9354" s="15"/>
      <c r="C9354" s="9">
        <f>IFERROR(__xludf.DUMMYFUNCTION("""COMPUTED_VALUE"""),45045.7941874074)</f>
        <v>45045.79419</v>
      </c>
      <c r="D9354" s="15">
        <f>IFERROR(__xludf.DUMMYFUNCTION("""COMPUTED_VALUE"""),1.028)</f>
        <v>1.028</v>
      </c>
      <c r="E9354" s="16">
        <f>IFERROR(__xludf.DUMMYFUNCTION("""COMPUTED_VALUE"""),62.0)</f>
        <v>62</v>
      </c>
      <c r="F9354" s="19" t="str">
        <f>IFERROR(__xludf.DUMMYFUNCTION("""COMPUTED_VALUE"""),"BLUE")</f>
        <v>BLUE</v>
      </c>
      <c r="G9354" s="20" t="str">
        <f>IFERROR(__xludf.DUMMYFUNCTION("""COMPUTED_VALUE"""),"Uncle Sams Cider (04/04/2023)")</f>
        <v>Uncle Sams Cider (04/04/2023)</v>
      </c>
      <c r="H9354" s="19"/>
    </row>
    <row r="9355">
      <c r="A9355" s="9"/>
      <c r="B9355" s="15"/>
      <c r="C9355" s="9">
        <f>IFERROR(__xludf.DUMMYFUNCTION("""COMPUTED_VALUE"""),45045.7837654282)</f>
        <v>45045.78377</v>
      </c>
      <c r="D9355" s="15">
        <f>IFERROR(__xludf.DUMMYFUNCTION("""COMPUTED_VALUE"""),1.028)</f>
        <v>1.028</v>
      </c>
      <c r="E9355" s="16">
        <f>IFERROR(__xludf.DUMMYFUNCTION("""COMPUTED_VALUE"""),62.0)</f>
        <v>62</v>
      </c>
      <c r="F9355" s="19" t="str">
        <f>IFERROR(__xludf.DUMMYFUNCTION("""COMPUTED_VALUE"""),"BLUE")</f>
        <v>BLUE</v>
      </c>
      <c r="G9355" s="20" t="str">
        <f>IFERROR(__xludf.DUMMYFUNCTION("""COMPUTED_VALUE"""),"Uncle Sams Cider (04/04/2023)")</f>
        <v>Uncle Sams Cider (04/04/2023)</v>
      </c>
      <c r="H9355" s="19"/>
    </row>
    <row r="9356">
      <c r="A9356" s="9"/>
      <c r="B9356" s="15"/>
      <c r="C9356" s="9">
        <f>IFERROR(__xludf.DUMMYFUNCTION("""COMPUTED_VALUE"""),45045.7733435185)</f>
        <v>45045.77334</v>
      </c>
      <c r="D9356" s="15">
        <f>IFERROR(__xludf.DUMMYFUNCTION("""COMPUTED_VALUE"""),1.028)</f>
        <v>1.028</v>
      </c>
      <c r="E9356" s="16">
        <f>IFERROR(__xludf.DUMMYFUNCTION("""COMPUTED_VALUE"""),62.0)</f>
        <v>62</v>
      </c>
      <c r="F9356" s="19" t="str">
        <f>IFERROR(__xludf.DUMMYFUNCTION("""COMPUTED_VALUE"""),"BLUE")</f>
        <v>BLUE</v>
      </c>
      <c r="G9356" s="20" t="str">
        <f>IFERROR(__xludf.DUMMYFUNCTION("""COMPUTED_VALUE"""),"Uncle Sams Cider (04/04/2023)")</f>
        <v>Uncle Sams Cider (04/04/2023)</v>
      </c>
      <c r="H9356" s="19"/>
    </row>
    <row r="9357">
      <c r="A9357" s="9"/>
      <c r="B9357" s="15"/>
      <c r="C9357" s="9">
        <f>IFERROR(__xludf.DUMMYFUNCTION("""COMPUTED_VALUE"""),45045.7629215509)</f>
        <v>45045.76292</v>
      </c>
      <c r="D9357" s="15">
        <f>IFERROR(__xludf.DUMMYFUNCTION("""COMPUTED_VALUE"""),1.028)</f>
        <v>1.028</v>
      </c>
      <c r="E9357" s="16">
        <f>IFERROR(__xludf.DUMMYFUNCTION("""COMPUTED_VALUE"""),62.0)</f>
        <v>62</v>
      </c>
      <c r="F9357" s="19" t="str">
        <f>IFERROR(__xludf.DUMMYFUNCTION("""COMPUTED_VALUE"""),"BLUE")</f>
        <v>BLUE</v>
      </c>
      <c r="G9357" s="20" t="str">
        <f>IFERROR(__xludf.DUMMYFUNCTION("""COMPUTED_VALUE"""),"Uncle Sams Cider (04/04/2023)")</f>
        <v>Uncle Sams Cider (04/04/2023)</v>
      </c>
      <c r="H9357" s="19"/>
    </row>
    <row r="9358">
      <c r="A9358" s="9"/>
      <c r="B9358" s="15"/>
      <c r="C9358" s="9">
        <f>IFERROR(__xludf.DUMMYFUNCTION("""COMPUTED_VALUE"""),45045.7524992939)</f>
        <v>45045.7525</v>
      </c>
      <c r="D9358" s="15">
        <f>IFERROR(__xludf.DUMMYFUNCTION("""COMPUTED_VALUE"""),1.028)</f>
        <v>1.028</v>
      </c>
      <c r="E9358" s="16">
        <f>IFERROR(__xludf.DUMMYFUNCTION("""COMPUTED_VALUE"""),62.0)</f>
        <v>62</v>
      </c>
      <c r="F9358" s="19" t="str">
        <f>IFERROR(__xludf.DUMMYFUNCTION("""COMPUTED_VALUE"""),"BLUE")</f>
        <v>BLUE</v>
      </c>
      <c r="G9358" s="20" t="str">
        <f>IFERROR(__xludf.DUMMYFUNCTION("""COMPUTED_VALUE"""),"Uncle Sams Cider (04/04/2023)")</f>
        <v>Uncle Sams Cider (04/04/2023)</v>
      </c>
      <c r="H9358" s="19"/>
    </row>
    <row r="9359">
      <c r="A9359" s="9"/>
      <c r="B9359" s="15"/>
      <c r="C9359" s="9">
        <f>IFERROR(__xludf.DUMMYFUNCTION("""COMPUTED_VALUE"""),45045.7316307754)</f>
        <v>45045.73163</v>
      </c>
      <c r="D9359" s="15">
        <f>IFERROR(__xludf.DUMMYFUNCTION("""COMPUTED_VALUE"""),1.028)</f>
        <v>1.028</v>
      </c>
      <c r="E9359" s="16">
        <f>IFERROR(__xludf.DUMMYFUNCTION("""COMPUTED_VALUE"""),62.0)</f>
        <v>62</v>
      </c>
      <c r="F9359" s="19" t="str">
        <f>IFERROR(__xludf.DUMMYFUNCTION("""COMPUTED_VALUE"""),"BLUE")</f>
        <v>BLUE</v>
      </c>
      <c r="G9359" s="20" t="str">
        <f>IFERROR(__xludf.DUMMYFUNCTION("""COMPUTED_VALUE"""),"Uncle Sams Cider (04/04/2023)")</f>
        <v>Uncle Sams Cider (04/04/2023)</v>
      </c>
      <c r="H9359" s="19"/>
    </row>
    <row r="9360">
      <c r="A9360" s="9"/>
      <c r="B9360" s="15"/>
      <c r="C9360" s="9">
        <f>IFERROR(__xludf.DUMMYFUNCTION("""COMPUTED_VALUE"""),45045.7212099999)</f>
        <v>45045.72121</v>
      </c>
      <c r="D9360" s="15">
        <f>IFERROR(__xludf.DUMMYFUNCTION("""COMPUTED_VALUE"""),1.028)</f>
        <v>1.028</v>
      </c>
      <c r="E9360" s="16">
        <f>IFERROR(__xludf.DUMMYFUNCTION("""COMPUTED_VALUE"""),62.0)</f>
        <v>62</v>
      </c>
      <c r="F9360" s="19" t="str">
        <f>IFERROR(__xludf.DUMMYFUNCTION("""COMPUTED_VALUE"""),"BLUE")</f>
        <v>BLUE</v>
      </c>
      <c r="G9360" s="20" t="str">
        <f>IFERROR(__xludf.DUMMYFUNCTION("""COMPUTED_VALUE"""),"Uncle Sams Cider (04/04/2023)")</f>
        <v>Uncle Sams Cider (04/04/2023)</v>
      </c>
      <c r="H9360" s="19"/>
    </row>
    <row r="9361">
      <c r="A9361" s="9"/>
      <c r="B9361" s="15"/>
      <c r="C9361" s="9">
        <f>IFERROR(__xludf.DUMMYFUNCTION("""COMPUTED_VALUE"""),45045.7107893055)</f>
        <v>45045.71079</v>
      </c>
      <c r="D9361" s="15">
        <f>IFERROR(__xludf.DUMMYFUNCTION("""COMPUTED_VALUE"""),1.028)</f>
        <v>1.028</v>
      </c>
      <c r="E9361" s="16">
        <f>IFERROR(__xludf.DUMMYFUNCTION("""COMPUTED_VALUE"""),62.0)</f>
        <v>62</v>
      </c>
      <c r="F9361" s="19" t="str">
        <f>IFERROR(__xludf.DUMMYFUNCTION("""COMPUTED_VALUE"""),"BLUE")</f>
        <v>BLUE</v>
      </c>
      <c r="G9361" s="20" t="str">
        <f>IFERROR(__xludf.DUMMYFUNCTION("""COMPUTED_VALUE"""),"Uncle Sams Cider (04/04/2023)")</f>
        <v>Uncle Sams Cider (04/04/2023)</v>
      </c>
      <c r="H9361" s="19"/>
    </row>
    <row r="9362">
      <c r="A9362" s="9"/>
      <c r="B9362" s="15"/>
      <c r="C9362" s="9">
        <f>IFERROR(__xludf.DUMMYFUNCTION("""COMPUTED_VALUE"""),45045.7003690393)</f>
        <v>45045.70037</v>
      </c>
      <c r="D9362" s="15">
        <f>IFERROR(__xludf.DUMMYFUNCTION("""COMPUTED_VALUE"""),1.028)</f>
        <v>1.028</v>
      </c>
      <c r="E9362" s="16">
        <f>IFERROR(__xludf.DUMMYFUNCTION("""COMPUTED_VALUE"""),62.0)</f>
        <v>62</v>
      </c>
      <c r="F9362" s="19" t="str">
        <f>IFERROR(__xludf.DUMMYFUNCTION("""COMPUTED_VALUE"""),"BLUE")</f>
        <v>BLUE</v>
      </c>
      <c r="G9362" s="20" t="str">
        <f>IFERROR(__xludf.DUMMYFUNCTION("""COMPUTED_VALUE"""),"Uncle Sams Cider (04/04/2023)")</f>
        <v>Uncle Sams Cider (04/04/2023)</v>
      </c>
      <c r="H9362" s="19"/>
    </row>
    <row r="9363">
      <c r="A9363" s="9"/>
      <c r="B9363" s="15"/>
      <c r="C9363" s="9">
        <f>IFERROR(__xludf.DUMMYFUNCTION("""COMPUTED_VALUE"""),45045.6899480208)</f>
        <v>45045.68995</v>
      </c>
      <c r="D9363" s="15">
        <f>IFERROR(__xludf.DUMMYFUNCTION("""COMPUTED_VALUE"""),1.028)</f>
        <v>1.028</v>
      </c>
      <c r="E9363" s="16">
        <f>IFERROR(__xludf.DUMMYFUNCTION("""COMPUTED_VALUE"""),62.0)</f>
        <v>62</v>
      </c>
      <c r="F9363" s="19" t="str">
        <f>IFERROR(__xludf.DUMMYFUNCTION("""COMPUTED_VALUE"""),"BLUE")</f>
        <v>BLUE</v>
      </c>
      <c r="G9363" s="20" t="str">
        <f>IFERROR(__xludf.DUMMYFUNCTION("""COMPUTED_VALUE"""),"Uncle Sams Cider (04/04/2023)")</f>
        <v>Uncle Sams Cider (04/04/2023)</v>
      </c>
      <c r="H9363" s="19"/>
    </row>
    <row r="9364">
      <c r="A9364" s="9"/>
      <c r="B9364" s="15"/>
      <c r="C9364" s="9">
        <f>IFERROR(__xludf.DUMMYFUNCTION("""COMPUTED_VALUE"""),45045.6795268055)</f>
        <v>45045.67953</v>
      </c>
      <c r="D9364" s="15">
        <f>IFERROR(__xludf.DUMMYFUNCTION("""COMPUTED_VALUE"""),1.028)</f>
        <v>1.028</v>
      </c>
      <c r="E9364" s="16">
        <f>IFERROR(__xludf.DUMMYFUNCTION("""COMPUTED_VALUE"""),62.0)</f>
        <v>62</v>
      </c>
      <c r="F9364" s="19" t="str">
        <f>IFERROR(__xludf.DUMMYFUNCTION("""COMPUTED_VALUE"""),"BLUE")</f>
        <v>BLUE</v>
      </c>
      <c r="G9364" s="20" t="str">
        <f>IFERROR(__xludf.DUMMYFUNCTION("""COMPUTED_VALUE"""),"Uncle Sams Cider (04/04/2023)")</f>
        <v>Uncle Sams Cider (04/04/2023)</v>
      </c>
      <c r="H9364" s="19"/>
    </row>
    <row r="9365">
      <c r="A9365" s="9"/>
      <c r="B9365" s="15"/>
      <c r="C9365" s="9">
        <f>IFERROR(__xludf.DUMMYFUNCTION("""COMPUTED_VALUE"""),45045.6690815625)</f>
        <v>45045.66908</v>
      </c>
      <c r="D9365" s="15">
        <f>IFERROR(__xludf.DUMMYFUNCTION("""COMPUTED_VALUE"""),1.028)</f>
        <v>1.028</v>
      </c>
      <c r="E9365" s="16">
        <f>IFERROR(__xludf.DUMMYFUNCTION("""COMPUTED_VALUE"""),62.0)</f>
        <v>62</v>
      </c>
      <c r="F9365" s="19" t="str">
        <f>IFERROR(__xludf.DUMMYFUNCTION("""COMPUTED_VALUE"""),"BLUE")</f>
        <v>BLUE</v>
      </c>
      <c r="G9365" s="20" t="str">
        <f>IFERROR(__xludf.DUMMYFUNCTION("""COMPUTED_VALUE"""),"Uncle Sams Cider (04/04/2023)")</f>
        <v>Uncle Sams Cider (04/04/2023)</v>
      </c>
      <c r="H9365" s="19"/>
    </row>
    <row r="9366">
      <c r="A9366" s="9"/>
      <c r="B9366" s="15"/>
      <c r="C9366" s="9">
        <f>IFERROR(__xludf.DUMMYFUNCTION("""COMPUTED_VALUE"""),45045.6586602199)</f>
        <v>45045.65866</v>
      </c>
      <c r="D9366" s="15">
        <f>IFERROR(__xludf.DUMMYFUNCTION("""COMPUTED_VALUE"""),1.028)</f>
        <v>1.028</v>
      </c>
      <c r="E9366" s="16">
        <f>IFERROR(__xludf.DUMMYFUNCTION("""COMPUTED_VALUE"""),62.0)</f>
        <v>62</v>
      </c>
      <c r="F9366" s="19" t="str">
        <f>IFERROR(__xludf.DUMMYFUNCTION("""COMPUTED_VALUE"""),"BLUE")</f>
        <v>BLUE</v>
      </c>
      <c r="G9366" s="20" t="str">
        <f>IFERROR(__xludf.DUMMYFUNCTION("""COMPUTED_VALUE"""),"Uncle Sams Cider (04/04/2023)")</f>
        <v>Uncle Sams Cider (04/04/2023)</v>
      </c>
      <c r="H9366" s="19"/>
    </row>
    <row r="9367">
      <c r="A9367" s="9"/>
      <c r="B9367" s="15"/>
      <c r="C9367" s="9">
        <f>IFERROR(__xludf.DUMMYFUNCTION("""COMPUTED_VALUE"""),45045.6482386689)</f>
        <v>45045.64824</v>
      </c>
      <c r="D9367" s="15">
        <f>IFERROR(__xludf.DUMMYFUNCTION("""COMPUTED_VALUE"""),1.028)</f>
        <v>1.028</v>
      </c>
      <c r="E9367" s="16">
        <f>IFERROR(__xludf.DUMMYFUNCTION("""COMPUTED_VALUE"""),62.0)</f>
        <v>62</v>
      </c>
      <c r="F9367" s="19" t="str">
        <f>IFERROR(__xludf.DUMMYFUNCTION("""COMPUTED_VALUE"""),"BLUE")</f>
        <v>BLUE</v>
      </c>
      <c r="G9367" s="20" t="str">
        <f>IFERROR(__xludf.DUMMYFUNCTION("""COMPUTED_VALUE"""),"Uncle Sams Cider (04/04/2023)")</f>
        <v>Uncle Sams Cider (04/04/2023)</v>
      </c>
      <c r="H9367" s="19"/>
    </row>
    <row r="9368">
      <c r="A9368" s="9"/>
      <c r="B9368" s="15"/>
      <c r="C9368" s="9">
        <f>IFERROR(__xludf.DUMMYFUNCTION("""COMPUTED_VALUE"""),45045.6378176273)</f>
        <v>45045.63782</v>
      </c>
      <c r="D9368" s="15">
        <f>IFERROR(__xludf.DUMMYFUNCTION("""COMPUTED_VALUE"""),1.028)</f>
        <v>1.028</v>
      </c>
      <c r="E9368" s="16">
        <f>IFERROR(__xludf.DUMMYFUNCTION("""COMPUTED_VALUE"""),62.0)</f>
        <v>62</v>
      </c>
      <c r="F9368" s="19" t="str">
        <f>IFERROR(__xludf.DUMMYFUNCTION("""COMPUTED_VALUE"""),"BLUE")</f>
        <v>BLUE</v>
      </c>
      <c r="G9368" s="20" t="str">
        <f>IFERROR(__xludf.DUMMYFUNCTION("""COMPUTED_VALUE"""),"Uncle Sams Cider (04/04/2023)")</f>
        <v>Uncle Sams Cider (04/04/2023)</v>
      </c>
      <c r="H9368" s="19"/>
    </row>
    <row r="9369">
      <c r="A9369" s="9"/>
      <c r="B9369" s="15"/>
      <c r="C9369" s="9">
        <f>IFERROR(__xludf.DUMMYFUNCTION("""COMPUTED_VALUE"""),45045.6273970949)</f>
        <v>45045.6274</v>
      </c>
      <c r="D9369" s="15">
        <f>IFERROR(__xludf.DUMMYFUNCTION("""COMPUTED_VALUE"""),1.028)</f>
        <v>1.028</v>
      </c>
      <c r="E9369" s="16">
        <f>IFERROR(__xludf.DUMMYFUNCTION("""COMPUTED_VALUE"""),62.0)</f>
        <v>62</v>
      </c>
      <c r="F9369" s="19" t="str">
        <f>IFERROR(__xludf.DUMMYFUNCTION("""COMPUTED_VALUE"""),"BLUE")</f>
        <v>BLUE</v>
      </c>
      <c r="G9369" s="20" t="str">
        <f>IFERROR(__xludf.DUMMYFUNCTION("""COMPUTED_VALUE"""),"Uncle Sams Cider (04/04/2023)")</f>
        <v>Uncle Sams Cider (04/04/2023)</v>
      </c>
      <c r="H9369" s="19"/>
    </row>
    <row r="9370">
      <c r="A9370" s="9"/>
      <c r="B9370" s="15"/>
      <c r="C9370" s="9">
        <f>IFERROR(__xludf.DUMMYFUNCTION("""COMPUTED_VALUE"""),45045.6169759953)</f>
        <v>45045.61698</v>
      </c>
      <c r="D9370" s="15">
        <f>IFERROR(__xludf.DUMMYFUNCTION("""COMPUTED_VALUE"""),1.028)</f>
        <v>1.028</v>
      </c>
      <c r="E9370" s="16">
        <f>IFERROR(__xludf.DUMMYFUNCTION("""COMPUTED_VALUE"""),62.0)</f>
        <v>62</v>
      </c>
      <c r="F9370" s="19" t="str">
        <f>IFERROR(__xludf.DUMMYFUNCTION("""COMPUTED_VALUE"""),"BLUE")</f>
        <v>BLUE</v>
      </c>
      <c r="G9370" s="20" t="str">
        <f>IFERROR(__xludf.DUMMYFUNCTION("""COMPUTED_VALUE"""),"Uncle Sams Cider (04/04/2023)")</f>
        <v>Uncle Sams Cider (04/04/2023)</v>
      </c>
      <c r="H9370" s="19"/>
    </row>
    <row r="9371">
      <c r="A9371" s="9"/>
      <c r="B9371" s="15"/>
      <c r="C9371" s="9">
        <f>IFERROR(__xludf.DUMMYFUNCTION("""COMPUTED_VALUE"""),45045.606556331)</f>
        <v>45045.60656</v>
      </c>
      <c r="D9371" s="15">
        <f>IFERROR(__xludf.DUMMYFUNCTION("""COMPUTED_VALUE"""),1.028)</f>
        <v>1.028</v>
      </c>
      <c r="E9371" s="16">
        <f>IFERROR(__xludf.DUMMYFUNCTION("""COMPUTED_VALUE"""),62.0)</f>
        <v>62</v>
      </c>
      <c r="F9371" s="19" t="str">
        <f>IFERROR(__xludf.DUMMYFUNCTION("""COMPUTED_VALUE"""),"BLUE")</f>
        <v>BLUE</v>
      </c>
      <c r="G9371" s="20" t="str">
        <f>IFERROR(__xludf.DUMMYFUNCTION("""COMPUTED_VALUE"""),"Uncle Sams Cider (04/04/2023)")</f>
        <v>Uncle Sams Cider (04/04/2023)</v>
      </c>
      <c r="H9371" s="19"/>
    </row>
    <row r="9372">
      <c r="A9372" s="9"/>
      <c r="B9372" s="15"/>
      <c r="C9372" s="9">
        <f>IFERROR(__xludf.DUMMYFUNCTION("""COMPUTED_VALUE"""),45045.596125949)</f>
        <v>45045.59613</v>
      </c>
      <c r="D9372" s="15">
        <f>IFERROR(__xludf.DUMMYFUNCTION("""COMPUTED_VALUE"""),1.028)</f>
        <v>1.028</v>
      </c>
      <c r="E9372" s="16">
        <f>IFERROR(__xludf.DUMMYFUNCTION("""COMPUTED_VALUE"""),62.0)</f>
        <v>62</v>
      </c>
      <c r="F9372" s="19" t="str">
        <f>IFERROR(__xludf.DUMMYFUNCTION("""COMPUTED_VALUE"""),"BLUE")</f>
        <v>BLUE</v>
      </c>
      <c r="G9372" s="20" t="str">
        <f>IFERROR(__xludf.DUMMYFUNCTION("""COMPUTED_VALUE"""),"Uncle Sams Cider (04/04/2023)")</f>
        <v>Uncle Sams Cider (04/04/2023)</v>
      </c>
      <c r="H9372" s="19"/>
    </row>
    <row r="9373">
      <c r="A9373" s="9"/>
      <c r="B9373" s="15"/>
      <c r="C9373" s="9">
        <f>IFERROR(__xludf.DUMMYFUNCTION("""COMPUTED_VALUE"""),45045.5856939467)</f>
        <v>45045.58569</v>
      </c>
      <c r="D9373" s="15">
        <f>IFERROR(__xludf.DUMMYFUNCTION("""COMPUTED_VALUE"""),1.028)</f>
        <v>1.028</v>
      </c>
      <c r="E9373" s="16">
        <f>IFERROR(__xludf.DUMMYFUNCTION("""COMPUTED_VALUE"""),62.0)</f>
        <v>62</v>
      </c>
      <c r="F9373" s="19" t="str">
        <f>IFERROR(__xludf.DUMMYFUNCTION("""COMPUTED_VALUE"""),"BLUE")</f>
        <v>BLUE</v>
      </c>
      <c r="G9373" s="20" t="str">
        <f>IFERROR(__xludf.DUMMYFUNCTION("""COMPUTED_VALUE"""),"Uncle Sams Cider (04/04/2023)")</f>
        <v>Uncle Sams Cider (04/04/2023)</v>
      </c>
      <c r="H9373" s="19"/>
    </row>
    <row r="9374">
      <c r="A9374" s="9"/>
      <c r="B9374" s="15"/>
      <c r="C9374" s="9">
        <f>IFERROR(__xludf.DUMMYFUNCTION("""COMPUTED_VALUE"""),45045.5752722916)</f>
        <v>45045.57527</v>
      </c>
      <c r="D9374" s="15">
        <f>IFERROR(__xludf.DUMMYFUNCTION("""COMPUTED_VALUE"""),1.028)</f>
        <v>1.028</v>
      </c>
      <c r="E9374" s="16">
        <f>IFERROR(__xludf.DUMMYFUNCTION("""COMPUTED_VALUE"""),62.0)</f>
        <v>62</v>
      </c>
      <c r="F9374" s="19" t="str">
        <f>IFERROR(__xludf.DUMMYFUNCTION("""COMPUTED_VALUE"""),"BLUE")</f>
        <v>BLUE</v>
      </c>
      <c r="G9374" s="20" t="str">
        <f>IFERROR(__xludf.DUMMYFUNCTION("""COMPUTED_VALUE"""),"Uncle Sams Cider (04/04/2023)")</f>
        <v>Uncle Sams Cider (04/04/2023)</v>
      </c>
      <c r="H9374" s="19"/>
    </row>
    <row r="9375">
      <c r="A9375" s="9"/>
      <c r="B9375" s="15"/>
      <c r="C9375" s="9">
        <f>IFERROR(__xludf.DUMMYFUNCTION("""COMPUTED_VALUE"""),45045.5648525347)</f>
        <v>45045.56485</v>
      </c>
      <c r="D9375" s="15">
        <f>IFERROR(__xludf.DUMMYFUNCTION("""COMPUTED_VALUE"""),1.028)</f>
        <v>1.028</v>
      </c>
      <c r="E9375" s="16">
        <f>IFERROR(__xludf.DUMMYFUNCTION("""COMPUTED_VALUE"""),62.0)</f>
        <v>62</v>
      </c>
      <c r="F9375" s="19" t="str">
        <f>IFERROR(__xludf.DUMMYFUNCTION("""COMPUTED_VALUE"""),"BLUE")</f>
        <v>BLUE</v>
      </c>
      <c r="G9375" s="20" t="str">
        <f>IFERROR(__xludf.DUMMYFUNCTION("""COMPUTED_VALUE"""),"Uncle Sams Cider (04/04/2023)")</f>
        <v>Uncle Sams Cider (04/04/2023)</v>
      </c>
      <c r="H9375" s="19"/>
    </row>
    <row r="9376">
      <c r="A9376" s="9"/>
      <c r="B9376" s="15"/>
      <c r="C9376" s="9">
        <f>IFERROR(__xludf.DUMMYFUNCTION("""COMPUTED_VALUE"""),45045.5544197106)</f>
        <v>45045.55442</v>
      </c>
      <c r="D9376" s="15">
        <f>IFERROR(__xludf.DUMMYFUNCTION("""COMPUTED_VALUE"""),1.028)</f>
        <v>1.028</v>
      </c>
      <c r="E9376" s="16">
        <f>IFERROR(__xludf.DUMMYFUNCTION("""COMPUTED_VALUE"""),62.0)</f>
        <v>62</v>
      </c>
      <c r="F9376" s="19" t="str">
        <f>IFERROR(__xludf.DUMMYFUNCTION("""COMPUTED_VALUE"""),"BLUE")</f>
        <v>BLUE</v>
      </c>
      <c r="G9376" s="20" t="str">
        <f>IFERROR(__xludf.DUMMYFUNCTION("""COMPUTED_VALUE"""),"Uncle Sams Cider (04/04/2023)")</f>
        <v>Uncle Sams Cider (04/04/2023)</v>
      </c>
      <c r="H9376" s="19"/>
    </row>
    <row r="9377">
      <c r="A9377" s="9"/>
      <c r="B9377" s="15"/>
      <c r="C9377" s="9">
        <f>IFERROR(__xludf.DUMMYFUNCTION("""COMPUTED_VALUE"""),45045.5439984143)</f>
        <v>45045.544</v>
      </c>
      <c r="D9377" s="15">
        <f>IFERROR(__xludf.DUMMYFUNCTION("""COMPUTED_VALUE"""),1.028)</f>
        <v>1.028</v>
      </c>
      <c r="E9377" s="16">
        <f>IFERROR(__xludf.DUMMYFUNCTION("""COMPUTED_VALUE"""),62.0)</f>
        <v>62</v>
      </c>
      <c r="F9377" s="19" t="str">
        <f>IFERROR(__xludf.DUMMYFUNCTION("""COMPUTED_VALUE"""),"BLUE")</f>
        <v>BLUE</v>
      </c>
      <c r="G9377" s="20" t="str">
        <f>IFERROR(__xludf.DUMMYFUNCTION("""COMPUTED_VALUE"""),"Uncle Sams Cider (04/04/2023)")</f>
        <v>Uncle Sams Cider (04/04/2023)</v>
      </c>
      <c r="H9377" s="19"/>
    </row>
    <row r="9378">
      <c r="A9378" s="9"/>
      <c r="B9378" s="15"/>
      <c r="C9378" s="9">
        <f>IFERROR(__xludf.DUMMYFUNCTION("""COMPUTED_VALUE"""),45045.5335774652)</f>
        <v>45045.53358</v>
      </c>
      <c r="D9378" s="15">
        <f>IFERROR(__xludf.DUMMYFUNCTION("""COMPUTED_VALUE"""),1.028)</f>
        <v>1.028</v>
      </c>
      <c r="E9378" s="16">
        <f>IFERROR(__xludf.DUMMYFUNCTION("""COMPUTED_VALUE"""),62.0)</f>
        <v>62</v>
      </c>
      <c r="F9378" s="19" t="str">
        <f>IFERROR(__xludf.DUMMYFUNCTION("""COMPUTED_VALUE"""),"BLUE")</f>
        <v>BLUE</v>
      </c>
      <c r="G9378" s="20" t="str">
        <f>IFERROR(__xludf.DUMMYFUNCTION("""COMPUTED_VALUE"""),"Uncle Sams Cider (04/04/2023)")</f>
        <v>Uncle Sams Cider (04/04/2023)</v>
      </c>
      <c r="H9378" s="19"/>
    </row>
    <row r="9379">
      <c r="A9379" s="9"/>
      <c r="B9379" s="15"/>
      <c r="C9379" s="9">
        <f>IFERROR(__xludf.DUMMYFUNCTION("""COMPUTED_VALUE"""),45045.52315603)</f>
        <v>45045.52316</v>
      </c>
      <c r="D9379" s="15">
        <f>IFERROR(__xludf.DUMMYFUNCTION("""COMPUTED_VALUE"""),1.028)</f>
        <v>1.028</v>
      </c>
      <c r="E9379" s="16">
        <f>IFERROR(__xludf.DUMMYFUNCTION("""COMPUTED_VALUE"""),62.0)</f>
        <v>62</v>
      </c>
      <c r="F9379" s="19" t="str">
        <f>IFERROR(__xludf.DUMMYFUNCTION("""COMPUTED_VALUE"""),"BLUE")</f>
        <v>BLUE</v>
      </c>
      <c r="G9379" s="20" t="str">
        <f>IFERROR(__xludf.DUMMYFUNCTION("""COMPUTED_VALUE"""),"Uncle Sams Cider (04/04/2023)")</f>
        <v>Uncle Sams Cider (04/04/2023)</v>
      </c>
      <c r="H9379" s="19"/>
    </row>
    <row r="9380">
      <c r="A9380" s="9"/>
      <c r="B9380" s="15"/>
      <c r="C9380" s="9">
        <f>IFERROR(__xludf.DUMMYFUNCTION("""COMPUTED_VALUE"""),45045.5023021412)</f>
        <v>45045.5023</v>
      </c>
      <c r="D9380" s="15">
        <f>IFERROR(__xludf.DUMMYFUNCTION("""COMPUTED_VALUE"""),1.028)</f>
        <v>1.028</v>
      </c>
      <c r="E9380" s="16">
        <f>IFERROR(__xludf.DUMMYFUNCTION("""COMPUTED_VALUE"""),62.0)</f>
        <v>62</v>
      </c>
      <c r="F9380" s="19" t="str">
        <f>IFERROR(__xludf.DUMMYFUNCTION("""COMPUTED_VALUE"""),"BLUE")</f>
        <v>BLUE</v>
      </c>
      <c r="G9380" s="20" t="str">
        <f>IFERROR(__xludf.DUMMYFUNCTION("""COMPUTED_VALUE"""),"Uncle Sams Cider (04/04/2023)")</f>
        <v>Uncle Sams Cider (04/04/2023)</v>
      </c>
      <c r="H9380" s="19"/>
    </row>
    <row r="9381">
      <c r="A9381" s="9"/>
      <c r="B9381" s="15"/>
      <c r="C9381" s="9">
        <f>IFERROR(__xludf.DUMMYFUNCTION("""COMPUTED_VALUE"""),45045.4918815046)</f>
        <v>45045.49188</v>
      </c>
      <c r="D9381" s="15">
        <f>IFERROR(__xludf.DUMMYFUNCTION("""COMPUTED_VALUE"""),1.028)</f>
        <v>1.028</v>
      </c>
      <c r="E9381" s="16">
        <f>IFERROR(__xludf.DUMMYFUNCTION("""COMPUTED_VALUE"""),62.0)</f>
        <v>62</v>
      </c>
      <c r="F9381" s="19" t="str">
        <f>IFERROR(__xludf.DUMMYFUNCTION("""COMPUTED_VALUE"""),"BLUE")</f>
        <v>BLUE</v>
      </c>
      <c r="G9381" s="20" t="str">
        <f>IFERROR(__xludf.DUMMYFUNCTION("""COMPUTED_VALUE"""),"Uncle Sams Cider (04/04/2023)")</f>
        <v>Uncle Sams Cider (04/04/2023)</v>
      </c>
      <c r="H9381" s="19"/>
    </row>
    <row r="9382">
      <c r="A9382" s="9"/>
      <c r="B9382" s="15"/>
      <c r="C9382" s="9">
        <f>IFERROR(__xludf.DUMMYFUNCTION("""COMPUTED_VALUE"""),45045.4814603587)</f>
        <v>45045.48146</v>
      </c>
      <c r="D9382" s="15">
        <f>IFERROR(__xludf.DUMMYFUNCTION("""COMPUTED_VALUE"""),1.028)</f>
        <v>1.028</v>
      </c>
      <c r="E9382" s="16">
        <f>IFERROR(__xludf.DUMMYFUNCTION("""COMPUTED_VALUE"""),62.0)</f>
        <v>62</v>
      </c>
      <c r="F9382" s="19" t="str">
        <f>IFERROR(__xludf.DUMMYFUNCTION("""COMPUTED_VALUE"""),"BLUE")</f>
        <v>BLUE</v>
      </c>
      <c r="G9382" s="20" t="str">
        <f>IFERROR(__xludf.DUMMYFUNCTION("""COMPUTED_VALUE"""),"Uncle Sams Cider (04/04/2023)")</f>
        <v>Uncle Sams Cider (04/04/2023)</v>
      </c>
      <c r="H9382" s="19"/>
    </row>
    <row r="9383">
      <c r="A9383" s="9"/>
      <c r="B9383" s="15"/>
      <c r="C9383" s="9">
        <f>IFERROR(__xludf.DUMMYFUNCTION("""COMPUTED_VALUE"""),45045.4710394791)</f>
        <v>45045.47104</v>
      </c>
      <c r="D9383" s="15">
        <f>IFERROR(__xludf.DUMMYFUNCTION("""COMPUTED_VALUE"""),1.028)</f>
        <v>1.028</v>
      </c>
      <c r="E9383" s="16">
        <f>IFERROR(__xludf.DUMMYFUNCTION("""COMPUTED_VALUE"""),62.0)</f>
        <v>62</v>
      </c>
      <c r="F9383" s="19" t="str">
        <f>IFERROR(__xludf.DUMMYFUNCTION("""COMPUTED_VALUE"""),"BLUE")</f>
        <v>BLUE</v>
      </c>
      <c r="G9383" s="20" t="str">
        <f>IFERROR(__xludf.DUMMYFUNCTION("""COMPUTED_VALUE"""),"Uncle Sams Cider (04/04/2023)")</f>
        <v>Uncle Sams Cider (04/04/2023)</v>
      </c>
      <c r="H9383" s="19"/>
    </row>
    <row r="9384">
      <c r="A9384" s="9"/>
      <c r="B9384" s="15"/>
      <c r="C9384" s="9">
        <f>IFERROR(__xludf.DUMMYFUNCTION("""COMPUTED_VALUE"""),45045.4606200115)</f>
        <v>45045.46062</v>
      </c>
      <c r="D9384" s="15">
        <f>IFERROR(__xludf.DUMMYFUNCTION("""COMPUTED_VALUE"""),1.028)</f>
        <v>1.028</v>
      </c>
      <c r="E9384" s="16">
        <f>IFERROR(__xludf.DUMMYFUNCTION("""COMPUTED_VALUE"""),62.0)</f>
        <v>62</v>
      </c>
      <c r="F9384" s="19" t="str">
        <f>IFERROR(__xludf.DUMMYFUNCTION("""COMPUTED_VALUE"""),"BLUE")</f>
        <v>BLUE</v>
      </c>
      <c r="G9384" s="20" t="str">
        <f>IFERROR(__xludf.DUMMYFUNCTION("""COMPUTED_VALUE"""),"Uncle Sams Cider (04/04/2023)")</f>
        <v>Uncle Sams Cider (04/04/2023)</v>
      </c>
      <c r="H9384" s="19"/>
    </row>
    <row r="9385">
      <c r="A9385" s="9"/>
      <c r="B9385" s="15"/>
      <c r="C9385" s="9">
        <f>IFERROR(__xludf.DUMMYFUNCTION("""COMPUTED_VALUE"""),45045.4501988426)</f>
        <v>45045.4502</v>
      </c>
      <c r="D9385" s="15">
        <f>IFERROR(__xludf.DUMMYFUNCTION("""COMPUTED_VALUE"""),1.028)</f>
        <v>1.028</v>
      </c>
      <c r="E9385" s="16">
        <f>IFERROR(__xludf.DUMMYFUNCTION("""COMPUTED_VALUE"""),62.0)</f>
        <v>62</v>
      </c>
      <c r="F9385" s="19" t="str">
        <f>IFERROR(__xludf.DUMMYFUNCTION("""COMPUTED_VALUE"""),"BLUE")</f>
        <v>BLUE</v>
      </c>
      <c r="G9385" s="20" t="str">
        <f>IFERROR(__xludf.DUMMYFUNCTION("""COMPUTED_VALUE"""),"Uncle Sams Cider (04/04/2023)")</f>
        <v>Uncle Sams Cider (04/04/2023)</v>
      </c>
      <c r="H9385" s="19"/>
    </row>
    <row r="9386">
      <c r="A9386" s="9"/>
      <c r="B9386" s="15"/>
      <c r="C9386" s="9">
        <f>IFERROR(__xludf.DUMMYFUNCTION("""COMPUTED_VALUE"""),45045.4397789467)</f>
        <v>45045.43978</v>
      </c>
      <c r="D9386" s="15">
        <f>IFERROR(__xludf.DUMMYFUNCTION("""COMPUTED_VALUE"""),1.028)</f>
        <v>1.028</v>
      </c>
      <c r="E9386" s="16">
        <f>IFERROR(__xludf.DUMMYFUNCTION("""COMPUTED_VALUE"""),62.0)</f>
        <v>62</v>
      </c>
      <c r="F9386" s="19" t="str">
        <f>IFERROR(__xludf.DUMMYFUNCTION("""COMPUTED_VALUE"""),"BLUE")</f>
        <v>BLUE</v>
      </c>
      <c r="G9386" s="20" t="str">
        <f>IFERROR(__xludf.DUMMYFUNCTION("""COMPUTED_VALUE"""),"Uncle Sams Cider (04/04/2023)")</f>
        <v>Uncle Sams Cider (04/04/2023)</v>
      </c>
      <c r="H9386" s="19"/>
    </row>
    <row r="9387">
      <c r="A9387" s="9"/>
      <c r="B9387" s="15"/>
      <c r="C9387" s="9">
        <f>IFERROR(__xludf.DUMMYFUNCTION("""COMPUTED_VALUE"""),45045.4293559259)</f>
        <v>45045.42936</v>
      </c>
      <c r="D9387" s="15">
        <f>IFERROR(__xludf.DUMMYFUNCTION("""COMPUTED_VALUE"""),1.028)</f>
        <v>1.028</v>
      </c>
      <c r="E9387" s="16">
        <f>IFERROR(__xludf.DUMMYFUNCTION("""COMPUTED_VALUE"""),62.0)</f>
        <v>62</v>
      </c>
      <c r="F9387" s="19" t="str">
        <f>IFERROR(__xludf.DUMMYFUNCTION("""COMPUTED_VALUE"""),"BLUE")</f>
        <v>BLUE</v>
      </c>
      <c r="G9387" s="20" t="str">
        <f>IFERROR(__xludf.DUMMYFUNCTION("""COMPUTED_VALUE"""),"Uncle Sams Cider (04/04/2023)")</f>
        <v>Uncle Sams Cider (04/04/2023)</v>
      </c>
      <c r="H9387" s="19"/>
    </row>
    <row r="9388">
      <c r="A9388" s="9"/>
      <c r="B9388" s="15"/>
      <c r="C9388" s="9">
        <f>IFERROR(__xludf.DUMMYFUNCTION("""COMPUTED_VALUE"""),45045.4189345023)</f>
        <v>45045.41893</v>
      </c>
      <c r="D9388" s="15">
        <f>IFERROR(__xludf.DUMMYFUNCTION("""COMPUTED_VALUE"""),1.028)</f>
        <v>1.028</v>
      </c>
      <c r="E9388" s="16">
        <f>IFERROR(__xludf.DUMMYFUNCTION("""COMPUTED_VALUE"""),62.0)</f>
        <v>62</v>
      </c>
      <c r="F9388" s="19" t="str">
        <f>IFERROR(__xludf.DUMMYFUNCTION("""COMPUTED_VALUE"""),"BLUE")</f>
        <v>BLUE</v>
      </c>
      <c r="G9388" s="20" t="str">
        <f>IFERROR(__xludf.DUMMYFUNCTION("""COMPUTED_VALUE"""),"Uncle Sams Cider (04/04/2023)")</f>
        <v>Uncle Sams Cider (04/04/2023)</v>
      </c>
      <c r="H9388" s="19"/>
    </row>
    <row r="9389">
      <c r="A9389" s="9"/>
      <c r="B9389" s="15"/>
      <c r="C9389" s="9">
        <f>IFERROR(__xludf.DUMMYFUNCTION("""COMPUTED_VALUE"""),45045.4085014699)</f>
        <v>45045.4085</v>
      </c>
      <c r="D9389" s="15">
        <f>IFERROR(__xludf.DUMMYFUNCTION("""COMPUTED_VALUE"""),1.028)</f>
        <v>1.028</v>
      </c>
      <c r="E9389" s="16">
        <f>IFERROR(__xludf.DUMMYFUNCTION("""COMPUTED_VALUE"""),62.0)</f>
        <v>62</v>
      </c>
      <c r="F9389" s="19" t="str">
        <f>IFERROR(__xludf.DUMMYFUNCTION("""COMPUTED_VALUE"""),"BLUE")</f>
        <v>BLUE</v>
      </c>
      <c r="G9389" s="20" t="str">
        <f>IFERROR(__xludf.DUMMYFUNCTION("""COMPUTED_VALUE"""),"Uncle Sams Cider (04/04/2023)")</f>
        <v>Uncle Sams Cider (04/04/2023)</v>
      </c>
      <c r="H9389" s="19"/>
    </row>
    <row r="9390">
      <c r="A9390" s="9"/>
      <c r="B9390" s="15"/>
      <c r="C9390" s="9">
        <f>IFERROR(__xludf.DUMMYFUNCTION("""COMPUTED_VALUE"""),45045.3980693287)</f>
        <v>45045.39807</v>
      </c>
      <c r="D9390" s="15">
        <f>IFERROR(__xludf.DUMMYFUNCTION("""COMPUTED_VALUE"""),1.028)</f>
        <v>1.028</v>
      </c>
      <c r="E9390" s="16">
        <f>IFERROR(__xludf.DUMMYFUNCTION("""COMPUTED_VALUE"""),62.0)</f>
        <v>62</v>
      </c>
      <c r="F9390" s="19" t="str">
        <f>IFERROR(__xludf.DUMMYFUNCTION("""COMPUTED_VALUE"""),"BLUE")</f>
        <v>BLUE</v>
      </c>
      <c r="G9390" s="20" t="str">
        <f>IFERROR(__xludf.DUMMYFUNCTION("""COMPUTED_VALUE"""),"Uncle Sams Cider (04/04/2023)")</f>
        <v>Uncle Sams Cider (04/04/2023)</v>
      </c>
      <c r="H9390" s="19"/>
    </row>
    <row r="9391">
      <c r="A9391" s="9"/>
      <c r="B9391" s="15"/>
      <c r="C9391" s="9">
        <f>IFERROR(__xludf.DUMMYFUNCTION("""COMPUTED_VALUE"""),45045.387648125)</f>
        <v>45045.38765</v>
      </c>
      <c r="D9391" s="15">
        <f>IFERROR(__xludf.DUMMYFUNCTION("""COMPUTED_VALUE"""),1.028)</f>
        <v>1.028</v>
      </c>
      <c r="E9391" s="16">
        <f>IFERROR(__xludf.DUMMYFUNCTION("""COMPUTED_VALUE"""),62.0)</f>
        <v>62</v>
      </c>
      <c r="F9391" s="19" t="str">
        <f>IFERROR(__xludf.DUMMYFUNCTION("""COMPUTED_VALUE"""),"BLUE")</f>
        <v>BLUE</v>
      </c>
      <c r="G9391" s="20" t="str">
        <f>IFERROR(__xludf.DUMMYFUNCTION("""COMPUTED_VALUE"""),"Uncle Sams Cider (04/04/2023)")</f>
        <v>Uncle Sams Cider (04/04/2023)</v>
      </c>
      <c r="H9391" s="19"/>
    </row>
    <row r="9392">
      <c r="A9392" s="9"/>
      <c r="B9392" s="15"/>
      <c r="C9392" s="9">
        <f>IFERROR(__xludf.DUMMYFUNCTION("""COMPUTED_VALUE"""),45045.3772277777)</f>
        <v>45045.37723</v>
      </c>
      <c r="D9392" s="15">
        <f>IFERROR(__xludf.DUMMYFUNCTION("""COMPUTED_VALUE"""),1.028)</f>
        <v>1.028</v>
      </c>
      <c r="E9392" s="16">
        <f>IFERROR(__xludf.DUMMYFUNCTION("""COMPUTED_VALUE"""),62.0)</f>
        <v>62</v>
      </c>
      <c r="F9392" s="19" t="str">
        <f>IFERROR(__xludf.DUMMYFUNCTION("""COMPUTED_VALUE"""),"BLUE")</f>
        <v>BLUE</v>
      </c>
      <c r="G9392" s="20" t="str">
        <f>IFERROR(__xludf.DUMMYFUNCTION("""COMPUTED_VALUE"""),"Uncle Sams Cider (04/04/2023)")</f>
        <v>Uncle Sams Cider (04/04/2023)</v>
      </c>
      <c r="H9392" s="19"/>
    </row>
    <row r="9393">
      <c r="A9393" s="9"/>
      <c r="B9393" s="15"/>
      <c r="C9393" s="9">
        <f>IFERROR(__xludf.DUMMYFUNCTION("""COMPUTED_VALUE"""),45045.3668066782)</f>
        <v>45045.36681</v>
      </c>
      <c r="D9393" s="15">
        <f>IFERROR(__xludf.DUMMYFUNCTION("""COMPUTED_VALUE"""),1.028)</f>
        <v>1.028</v>
      </c>
      <c r="E9393" s="16">
        <f>IFERROR(__xludf.DUMMYFUNCTION("""COMPUTED_VALUE"""),62.0)</f>
        <v>62</v>
      </c>
      <c r="F9393" s="19" t="str">
        <f>IFERROR(__xludf.DUMMYFUNCTION("""COMPUTED_VALUE"""),"BLUE")</f>
        <v>BLUE</v>
      </c>
      <c r="G9393" s="20" t="str">
        <f>IFERROR(__xludf.DUMMYFUNCTION("""COMPUTED_VALUE"""),"Uncle Sams Cider (04/04/2023)")</f>
        <v>Uncle Sams Cider (04/04/2023)</v>
      </c>
      <c r="H9393" s="19"/>
    </row>
    <row r="9394">
      <c r="A9394" s="9"/>
      <c r="B9394" s="15"/>
      <c r="C9394" s="9">
        <f>IFERROR(__xludf.DUMMYFUNCTION("""COMPUTED_VALUE"""),45045.3563870486)</f>
        <v>45045.35639</v>
      </c>
      <c r="D9394" s="15">
        <f>IFERROR(__xludf.DUMMYFUNCTION("""COMPUTED_VALUE"""),1.028)</f>
        <v>1.028</v>
      </c>
      <c r="E9394" s="16">
        <f>IFERROR(__xludf.DUMMYFUNCTION("""COMPUTED_VALUE"""),62.0)</f>
        <v>62</v>
      </c>
      <c r="F9394" s="19" t="str">
        <f>IFERROR(__xludf.DUMMYFUNCTION("""COMPUTED_VALUE"""),"BLUE")</f>
        <v>BLUE</v>
      </c>
      <c r="G9394" s="20" t="str">
        <f>IFERROR(__xludf.DUMMYFUNCTION("""COMPUTED_VALUE"""),"Uncle Sams Cider (04/04/2023)")</f>
        <v>Uncle Sams Cider (04/04/2023)</v>
      </c>
      <c r="H9394" s="19"/>
    </row>
    <row r="9395">
      <c r="A9395" s="9"/>
      <c r="B9395" s="15"/>
      <c r="C9395" s="9">
        <f>IFERROR(__xludf.DUMMYFUNCTION("""COMPUTED_VALUE"""),45045.3459652546)</f>
        <v>45045.34597</v>
      </c>
      <c r="D9395" s="15">
        <f>IFERROR(__xludf.DUMMYFUNCTION("""COMPUTED_VALUE"""),1.029)</f>
        <v>1.029</v>
      </c>
      <c r="E9395" s="16">
        <f>IFERROR(__xludf.DUMMYFUNCTION("""COMPUTED_VALUE"""),62.0)</f>
        <v>62</v>
      </c>
      <c r="F9395" s="19" t="str">
        <f>IFERROR(__xludf.DUMMYFUNCTION("""COMPUTED_VALUE"""),"BLUE")</f>
        <v>BLUE</v>
      </c>
      <c r="G9395" s="20" t="str">
        <f>IFERROR(__xludf.DUMMYFUNCTION("""COMPUTED_VALUE"""),"Uncle Sams Cider (04/04/2023)")</f>
        <v>Uncle Sams Cider (04/04/2023)</v>
      </c>
      <c r="H9395" s="19"/>
    </row>
    <row r="9396">
      <c r="A9396" s="9"/>
      <c r="B9396" s="15"/>
      <c r="C9396" s="9">
        <f>IFERROR(__xludf.DUMMYFUNCTION("""COMPUTED_VALUE"""),45045.3355440162)</f>
        <v>45045.33554</v>
      </c>
      <c r="D9396" s="15">
        <f>IFERROR(__xludf.DUMMYFUNCTION("""COMPUTED_VALUE"""),1.028)</f>
        <v>1.028</v>
      </c>
      <c r="E9396" s="16">
        <f>IFERROR(__xludf.DUMMYFUNCTION("""COMPUTED_VALUE"""),62.0)</f>
        <v>62</v>
      </c>
      <c r="F9396" s="19" t="str">
        <f>IFERROR(__xludf.DUMMYFUNCTION("""COMPUTED_VALUE"""),"BLUE")</f>
        <v>BLUE</v>
      </c>
      <c r="G9396" s="20" t="str">
        <f>IFERROR(__xludf.DUMMYFUNCTION("""COMPUTED_VALUE"""),"Uncle Sams Cider (04/04/2023)")</f>
        <v>Uncle Sams Cider (04/04/2023)</v>
      </c>
      <c r="H9396" s="19"/>
    </row>
    <row r="9397">
      <c r="A9397" s="9"/>
      <c r="B9397" s="15"/>
      <c r="C9397" s="9">
        <f>IFERROR(__xludf.DUMMYFUNCTION("""COMPUTED_VALUE"""),45045.3251214004)</f>
        <v>45045.32512</v>
      </c>
      <c r="D9397" s="15">
        <f>IFERROR(__xludf.DUMMYFUNCTION("""COMPUTED_VALUE"""),1.028)</f>
        <v>1.028</v>
      </c>
      <c r="E9397" s="16">
        <f>IFERROR(__xludf.DUMMYFUNCTION("""COMPUTED_VALUE"""),62.0)</f>
        <v>62</v>
      </c>
      <c r="F9397" s="19" t="str">
        <f>IFERROR(__xludf.DUMMYFUNCTION("""COMPUTED_VALUE"""),"BLUE")</f>
        <v>BLUE</v>
      </c>
      <c r="G9397" s="20" t="str">
        <f>IFERROR(__xludf.DUMMYFUNCTION("""COMPUTED_VALUE"""),"Uncle Sams Cider (04/04/2023)")</f>
        <v>Uncle Sams Cider (04/04/2023)</v>
      </c>
      <c r="H9397" s="19"/>
    </row>
    <row r="9398">
      <c r="A9398" s="9"/>
      <c r="B9398" s="15"/>
      <c r="C9398" s="9">
        <f>IFERROR(__xludf.DUMMYFUNCTION("""COMPUTED_VALUE"""),45045.3147002199)</f>
        <v>45045.3147</v>
      </c>
      <c r="D9398" s="15">
        <f>IFERROR(__xludf.DUMMYFUNCTION("""COMPUTED_VALUE"""),1.028)</f>
        <v>1.028</v>
      </c>
      <c r="E9398" s="16">
        <f>IFERROR(__xludf.DUMMYFUNCTION("""COMPUTED_VALUE"""),62.0)</f>
        <v>62</v>
      </c>
      <c r="F9398" s="19" t="str">
        <f>IFERROR(__xludf.DUMMYFUNCTION("""COMPUTED_VALUE"""),"BLUE")</f>
        <v>BLUE</v>
      </c>
      <c r="G9398" s="20" t="str">
        <f>IFERROR(__xludf.DUMMYFUNCTION("""COMPUTED_VALUE"""),"Uncle Sams Cider (04/04/2023)")</f>
        <v>Uncle Sams Cider (04/04/2023)</v>
      </c>
      <c r="H9398" s="19"/>
    </row>
    <row r="9399">
      <c r="A9399" s="9"/>
      <c r="B9399" s="15"/>
      <c r="C9399" s="9">
        <f>IFERROR(__xludf.DUMMYFUNCTION("""COMPUTED_VALUE"""),45045.3042787037)</f>
        <v>45045.30428</v>
      </c>
      <c r="D9399" s="15">
        <f>IFERROR(__xludf.DUMMYFUNCTION("""COMPUTED_VALUE"""),1.028)</f>
        <v>1.028</v>
      </c>
      <c r="E9399" s="16">
        <f>IFERROR(__xludf.DUMMYFUNCTION("""COMPUTED_VALUE"""),62.0)</f>
        <v>62</v>
      </c>
      <c r="F9399" s="19" t="str">
        <f>IFERROR(__xludf.DUMMYFUNCTION("""COMPUTED_VALUE"""),"BLUE")</f>
        <v>BLUE</v>
      </c>
      <c r="G9399" s="20" t="str">
        <f>IFERROR(__xludf.DUMMYFUNCTION("""COMPUTED_VALUE"""),"Uncle Sams Cider (04/04/2023)")</f>
        <v>Uncle Sams Cider (04/04/2023)</v>
      </c>
      <c r="H9399" s="19"/>
    </row>
    <row r="9400">
      <c r="A9400" s="9"/>
      <c r="B9400" s="15"/>
      <c r="C9400" s="9">
        <f>IFERROR(__xludf.DUMMYFUNCTION("""COMPUTED_VALUE"""),45045.2938568865)</f>
        <v>45045.29386</v>
      </c>
      <c r="D9400" s="15">
        <f>IFERROR(__xludf.DUMMYFUNCTION("""COMPUTED_VALUE"""),1.029)</f>
        <v>1.029</v>
      </c>
      <c r="E9400" s="16">
        <f>IFERROR(__xludf.DUMMYFUNCTION("""COMPUTED_VALUE"""),62.0)</f>
        <v>62</v>
      </c>
      <c r="F9400" s="19" t="str">
        <f>IFERROR(__xludf.DUMMYFUNCTION("""COMPUTED_VALUE"""),"BLUE")</f>
        <v>BLUE</v>
      </c>
      <c r="G9400" s="20" t="str">
        <f>IFERROR(__xludf.DUMMYFUNCTION("""COMPUTED_VALUE"""),"Uncle Sams Cider (04/04/2023)")</f>
        <v>Uncle Sams Cider (04/04/2023)</v>
      </c>
      <c r="H9400" s="19"/>
    </row>
    <row r="9401">
      <c r="A9401" s="9"/>
      <c r="B9401" s="15"/>
      <c r="C9401" s="9">
        <f>IFERROR(__xludf.DUMMYFUNCTION("""COMPUTED_VALUE"""),45045.2834371643)</f>
        <v>45045.28344</v>
      </c>
      <c r="D9401" s="15">
        <f>IFERROR(__xludf.DUMMYFUNCTION("""COMPUTED_VALUE"""),1.029)</f>
        <v>1.029</v>
      </c>
      <c r="E9401" s="16">
        <f>IFERROR(__xludf.DUMMYFUNCTION("""COMPUTED_VALUE"""),62.0)</f>
        <v>62</v>
      </c>
      <c r="F9401" s="19" t="str">
        <f>IFERROR(__xludf.DUMMYFUNCTION("""COMPUTED_VALUE"""),"BLUE")</f>
        <v>BLUE</v>
      </c>
      <c r="G9401" s="20" t="str">
        <f>IFERROR(__xludf.DUMMYFUNCTION("""COMPUTED_VALUE"""),"Uncle Sams Cider (04/04/2023)")</f>
        <v>Uncle Sams Cider (04/04/2023)</v>
      </c>
      <c r="H9401" s="19"/>
    </row>
    <row r="9402">
      <c r="A9402" s="9"/>
      <c r="B9402" s="15"/>
      <c r="C9402" s="9">
        <f>IFERROR(__xludf.DUMMYFUNCTION("""COMPUTED_VALUE"""),45045.2730169212)</f>
        <v>45045.27302</v>
      </c>
      <c r="D9402" s="15">
        <f>IFERROR(__xludf.DUMMYFUNCTION("""COMPUTED_VALUE"""),1.029)</f>
        <v>1.029</v>
      </c>
      <c r="E9402" s="16">
        <f>IFERROR(__xludf.DUMMYFUNCTION("""COMPUTED_VALUE"""),62.0)</f>
        <v>62</v>
      </c>
      <c r="F9402" s="19" t="str">
        <f>IFERROR(__xludf.DUMMYFUNCTION("""COMPUTED_VALUE"""),"BLUE")</f>
        <v>BLUE</v>
      </c>
      <c r="G9402" s="20" t="str">
        <f>IFERROR(__xludf.DUMMYFUNCTION("""COMPUTED_VALUE"""),"Uncle Sams Cider (04/04/2023)")</f>
        <v>Uncle Sams Cider (04/04/2023)</v>
      </c>
      <c r="H9402" s="19"/>
    </row>
    <row r="9403">
      <c r="A9403" s="9"/>
      <c r="B9403" s="15"/>
      <c r="C9403" s="9">
        <f>IFERROR(__xludf.DUMMYFUNCTION("""COMPUTED_VALUE"""),45045.2625852083)</f>
        <v>45045.26259</v>
      </c>
      <c r="D9403" s="15">
        <f>IFERROR(__xludf.DUMMYFUNCTION("""COMPUTED_VALUE"""),1.028)</f>
        <v>1.028</v>
      </c>
      <c r="E9403" s="16">
        <f>IFERROR(__xludf.DUMMYFUNCTION("""COMPUTED_VALUE"""),62.0)</f>
        <v>62</v>
      </c>
      <c r="F9403" s="19" t="str">
        <f>IFERROR(__xludf.DUMMYFUNCTION("""COMPUTED_VALUE"""),"BLUE")</f>
        <v>BLUE</v>
      </c>
      <c r="G9403" s="20" t="str">
        <f>IFERROR(__xludf.DUMMYFUNCTION("""COMPUTED_VALUE"""),"Uncle Sams Cider (04/04/2023)")</f>
        <v>Uncle Sams Cider (04/04/2023)</v>
      </c>
      <c r="H9403" s="19"/>
    </row>
    <row r="9404">
      <c r="A9404" s="9"/>
      <c r="B9404" s="15"/>
      <c r="C9404" s="9">
        <f>IFERROR(__xludf.DUMMYFUNCTION("""COMPUTED_VALUE"""),45045.2521638194)</f>
        <v>45045.25216</v>
      </c>
      <c r="D9404" s="15">
        <f>IFERROR(__xludf.DUMMYFUNCTION("""COMPUTED_VALUE"""),1.029)</f>
        <v>1.029</v>
      </c>
      <c r="E9404" s="16">
        <f>IFERROR(__xludf.DUMMYFUNCTION("""COMPUTED_VALUE"""),62.0)</f>
        <v>62</v>
      </c>
      <c r="F9404" s="19" t="str">
        <f>IFERROR(__xludf.DUMMYFUNCTION("""COMPUTED_VALUE"""),"BLUE")</f>
        <v>BLUE</v>
      </c>
      <c r="G9404" s="20" t="str">
        <f>IFERROR(__xludf.DUMMYFUNCTION("""COMPUTED_VALUE"""),"Uncle Sams Cider (04/04/2023)")</f>
        <v>Uncle Sams Cider (04/04/2023)</v>
      </c>
      <c r="H9404" s="19"/>
    </row>
    <row r="9405">
      <c r="A9405" s="9"/>
      <c r="B9405" s="15"/>
      <c r="C9405" s="9">
        <f>IFERROR(__xludf.DUMMYFUNCTION("""COMPUTED_VALUE"""),45045.2417420138)</f>
        <v>45045.24174</v>
      </c>
      <c r="D9405" s="15">
        <f>IFERROR(__xludf.DUMMYFUNCTION("""COMPUTED_VALUE"""),1.029)</f>
        <v>1.029</v>
      </c>
      <c r="E9405" s="16">
        <f>IFERROR(__xludf.DUMMYFUNCTION("""COMPUTED_VALUE"""),62.0)</f>
        <v>62</v>
      </c>
      <c r="F9405" s="19" t="str">
        <f>IFERROR(__xludf.DUMMYFUNCTION("""COMPUTED_VALUE"""),"BLUE")</f>
        <v>BLUE</v>
      </c>
      <c r="G9405" s="20" t="str">
        <f>IFERROR(__xludf.DUMMYFUNCTION("""COMPUTED_VALUE"""),"Uncle Sams Cider (04/04/2023)")</f>
        <v>Uncle Sams Cider (04/04/2023)</v>
      </c>
      <c r="H9405" s="19"/>
    </row>
    <row r="9406">
      <c r="A9406" s="9"/>
      <c r="B9406" s="15"/>
      <c r="C9406" s="9">
        <f>IFERROR(__xludf.DUMMYFUNCTION("""COMPUTED_VALUE"""),45045.2313201041)</f>
        <v>45045.23132</v>
      </c>
      <c r="D9406" s="15">
        <f>IFERROR(__xludf.DUMMYFUNCTION("""COMPUTED_VALUE"""),1.029)</f>
        <v>1.029</v>
      </c>
      <c r="E9406" s="16">
        <f>IFERROR(__xludf.DUMMYFUNCTION("""COMPUTED_VALUE"""),62.0)</f>
        <v>62</v>
      </c>
      <c r="F9406" s="19" t="str">
        <f>IFERROR(__xludf.DUMMYFUNCTION("""COMPUTED_VALUE"""),"BLUE")</f>
        <v>BLUE</v>
      </c>
      <c r="G9406" s="20" t="str">
        <f>IFERROR(__xludf.DUMMYFUNCTION("""COMPUTED_VALUE"""),"Uncle Sams Cider (04/04/2023)")</f>
        <v>Uncle Sams Cider (04/04/2023)</v>
      </c>
      <c r="H9406" s="19"/>
    </row>
    <row r="9407">
      <c r="A9407" s="9"/>
      <c r="B9407" s="15"/>
      <c r="C9407" s="9">
        <f>IFERROR(__xludf.DUMMYFUNCTION("""COMPUTED_VALUE"""),45045.22089853)</f>
        <v>45045.2209</v>
      </c>
      <c r="D9407" s="15">
        <f>IFERROR(__xludf.DUMMYFUNCTION("""COMPUTED_VALUE"""),1.029)</f>
        <v>1.029</v>
      </c>
      <c r="E9407" s="16">
        <f>IFERROR(__xludf.DUMMYFUNCTION("""COMPUTED_VALUE"""),62.0)</f>
        <v>62</v>
      </c>
      <c r="F9407" s="19" t="str">
        <f>IFERROR(__xludf.DUMMYFUNCTION("""COMPUTED_VALUE"""),"BLUE")</f>
        <v>BLUE</v>
      </c>
      <c r="G9407" s="20" t="str">
        <f>IFERROR(__xludf.DUMMYFUNCTION("""COMPUTED_VALUE"""),"Uncle Sams Cider (04/04/2023)")</f>
        <v>Uncle Sams Cider (04/04/2023)</v>
      </c>
      <c r="H9407" s="19"/>
    </row>
    <row r="9408">
      <c r="A9408" s="9"/>
      <c r="B9408" s="15"/>
      <c r="C9408" s="9">
        <f>IFERROR(__xludf.DUMMYFUNCTION("""COMPUTED_VALUE"""),45045.2104762037)</f>
        <v>45045.21048</v>
      </c>
      <c r="D9408" s="15">
        <f>IFERROR(__xludf.DUMMYFUNCTION("""COMPUTED_VALUE"""),1.029)</f>
        <v>1.029</v>
      </c>
      <c r="E9408" s="16">
        <f>IFERROR(__xludf.DUMMYFUNCTION("""COMPUTED_VALUE"""),62.0)</f>
        <v>62</v>
      </c>
      <c r="F9408" s="19" t="str">
        <f>IFERROR(__xludf.DUMMYFUNCTION("""COMPUTED_VALUE"""),"BLUE")</f>
        <v>BLUE</v>
      </c>
      <c r="G9408" s="20" t="str">
        <f>IFERROR(__xludf.DUMMYFUNCTION("""COMPUTED_VALUE"""),"Uncle Sams Cider (04/04/2023)")</f>
        <v>Uncle Sams Cider (04/04/2023)</v>
      </c>
      <c r="H9408" s="19"/>
    </row>
    <row r="9409">
      <c r="A9409" s="9"/>
      <c r="B9409" s="15"/>
      <c r="C9409" s="9">
        <f>IFERROR(__xludf.DUMMYFUNCTION("""COMPUTED_VALUE"""),45045.2000537962)</f>
        <v>45045.20005</v>
      </c>
      <c r="D9409" s="15">
        <f>IFERROR(__xludf.DUMMYFUNCTION("""COMPUTED_VALUE"""),1.029)</f>
        <v>1.029</v>
      </c>
      <c r="E9409" s="16">
        <f>IFERROR(__xludf.DUMMYFUNCTION("""COMPUTED_VALUE"""),62.0)</f>
        <v>62</v>
      </c>
      <c r="F9409" s="19" t="str">
        <f>IFERROR(__xludf.DUMMYFUNCTION("""COMPUTED_VALUE"""),"BLUE")</f>
        <v>BLUE</v>
      </c>
      <c r="G9409" s="20" t="str">
        <f>IFERROR(__xludf.DUMMYFUNCTION("""COMPUTED_VALUE"""),"Uncle Sams Cider (04/04/2023)")</f>
        <v>Uncle Sams Cider (04/04/2023)</v>
      </c>
      <c r="H9409" s="19"/>
    </row>
    <row r="9410">
      <c r="A9410" s="9"/>
      <c r="B9410" s="15"/>
      <c r="C9410" s="9">
        <f>IFERROR(__xludf.DUMMYFUNCTION("""COMPUTED_VALUE"""),45045.1896335416)</f>
        <v>45045.18963</v>
      </c>
      <c r="D9410" s="15">
        <f>IFERROR(__xludf.DUMMYFUNCTION("""COMPUTED_VALUE"""),1.029)</f>
        <v>1.029</v>
      </c>
      <c r="E9410" s="16">
        <f>IFERROR(__xludf.DUMMYFUNCTION("""COMPUTED_VALUE"""),62.0)</f>
        <v>62</v>
      </c>
      <c r="F9410" s="19" t="str">
        <f>IFERROR(__xludf.DUMMYFUNCTION("""COMPUTED_VALUE"""),"BLUE")</f>
        <v>BLUE</v>
      </c>
      <c r="G9410" s="20" t="str">
        <f>IFERROR(__xludf.DUMMYFUNCTION("""COMPUTED_VALUE"""),"Uncle Sams Cider (04/04/2023)")</f>
        <v>Uncle Sams Cider (04/04/2023)</v>
      </c>
      <c r="H9410" s="19"/>
    </row>
    <row r="9411">
      <c r="A9411" s="9"/>
      <c r="B9411" s="15"/>
      <c r="C9411" s="9">
        <f>IFERROR(__xludf.DUMMYFUNCTION("""COMPUTED_VALUE"""),45045.1792128935)</f>
        <v>45045.17921</v>
      </c>
      <c r="D9411" s="15">
        <f>IFERROR(__xludf.DUMMYFUNCTION("""COMPUTED_VALUE"""),1.029)</f>
        <v>1.029</v>
      </c>
      <c r="E9411" s="16">
        <f>IFERROR(__xludf.DUMMYFUNCTION("""COMPUTED_VALUE"""),62.0)</f>
        <v>62</v>
      </c>
      <c r="F9411" s="19" t="str">
        <f>IFERROR(__xludf.DUMMYFUNCTION("""COMPUTED_VALUE"""),"BLUE")</f>
        <v>BLUE</v>
      </c>
      <c r="G9411" s="20" t="str">
        <f>IFERROR(__xludf.DUMMYFUNCTION("""COMPUTED_VALUE"""),"Uncle Sams Cider (04/04/2023)")</f>
        <v>Uncle Sams Cider (04/04/2023)</v>
      </c>
      <c r="H9411" s="19"/>
    </row>
    <row r="9412">
      <c r="A9412" s="9"/>
      <c r="B9412" s="15"/>
      <c r="C9412" s="9">
        <f>IFERROR(__xludf.DUMMYFUNCTION("""COMPUTED_VALUE"""),45045.1687919907)</f>
        <v>45045.16879</v>
      </c>
      <c r="D9412" s="15">
        <f>IFERROR(__xludf.DUMMYFUNCTION("""COMPUTED_VALUE"""),1.029)</f>
        <v>1.029</v>
      </c>
      <c r="E9412" s="16">
        <f>IFERROR(__xludf.DUMMYFUNCTION("""COMPUTED_VALUE"""),62.0)</f>
        <v>62</v>
      </c>
      <c r="F9412" s="19" t="str">
        <f>IFERROR(__xludf.DUMMYFUNCTION("""COMPUTED_VALUE"""),"BLUE")</f>
        <v>BLUE</v>
      </c>
      <c r="G9412" s="20" t="str">
        <f>IFERROR(__xludf.DUMMYFUNCTION("""COMPUTED_VALUE"""),"Uncle Sams Cider (04/04/2023)")</f>
        <v>Uncle Sams Cider (04/04/2023)</v>
      </c>
      <c r="H9412" s="19"/>
    </row>
    <row r="9413">
      <c r="A9413" s="9"/>
      <c r="B9413" s="15"/>
      <c r="C9413" s="9">
        <f>IFERROR(__xludf.DUMMYFUNCTION("""COMPUTED_VALUE"""),45045.1583686111)</f>
        <v>45045.15837</v>
      </c>
      <c r="D9413" s="15">
        <f>IFERROR(__xludf.DUMMYFUNCTION("""COMPUTED_VALUE"""),1.029)</f>
        <v>1.029</v>
      </c>
      <c r="E9413" s="16">
        <f>IFERROR(__xludf.DUMMYFUNCTION("""COMPUTED_VALUE"""),62.0)</f>
        <v>62</v>
      </c>
      <c r="F9413" s="19" t="str">
        <f>IFERROR(__xludf.DUMMYFUNCTION("""COMPUTED_VALUE"""),"BLUE")</f>
        <v>BLUE</v>
      </c>
      <c r="G9413" s="20" t="str">
        <f>IFERROR(__xludf.DUMMYFUNCTION("""COMPUTED_VALUE"""),"Uncle Sams Cider (04/04/2023)")</f>
        <v>Uncle Sams Cider (04/04/2023)</v>
      </c>
      <c r="H9413" s="19"/>
    </row>
    <row r="9414">
      <c r="A9414" s="9"/>
      <c r="B9414" s="15"/>
      <c r="C9414" s="9">
        <f>IFERROR(__xludf.DUMMYFUNCTION("""COMPUTED_VALUE"""),45045.1479466319)</f>
        <v>45045.14795</v>
      </c>
      <c r="D9414" s="15">
        <f>IFERROR(__xludf.DUMMYFUNCTION("""COMPUTED_VALUE"""),1.029)</f>
        <v>1.029</v>
      </c>
      <c r="E9414" s="16">
        <f>IFERROR(__xludf.DUMMYFUNCTION("""COMPUTED_VALUE"""),62.0)</f>
        <v>62</v>
      </c>
      <c r="F9414" s="19" t="str">
        <f>IFERROR(__xludf.DUMMYFUNCTION("""COMPUTED_VALUE"""),"BLUE")</f>
        <v>BLUE</v>
      </c>
      <c r="G9414" s="20" t="str">
        <f>IFERROR(__xludf.DUMMYFUNCTION("""COMPUTED_VALUE"""),"Uncle Sams Cider (04/04/2023)")</f>
        <v>Uncle Sams Cider (04/04/2023)</v>
      </c>
      <c r="H9414" s="19"/>
    </row>
    <row r="9415">
      <c r="A9415" s="9"/>
      <c r="B9415" s="15"/>
      <c r="C9415" s="9">
        <f>IFERROR(__xludf.DUMMYFUNCTION("""COMPUTED_VALUE"""),45045.1375259375)</f>
        <v>45045.13753</v>
      </c>
      <c r="D9415" s="15">
        <f>IFERROR(__xludf.DUMMYFUNCTION("""COMPUTED_VALUE"""),1.029)</f>
        <v>1.029</v>
      </c>
      <c r="E9415" s="16">
        <f>IFERROR(__xludf.DUMMYFUNCTION("""COMPUTED_VALUE"""),62.0)</f>
        <v>62</v>
      </c>
      <c r="F9415" s="19" t="str">
        <f>IFERROR(__xludf.DUMMYFUNCTION("""COMPUTED_VALUE"""),"BLUE")</f>
        <v>BLUE</v>
      </c>
      <c r="G9415" s="20" t="str">
        <f>IFERROR(__xludf.DUMMYFUNCTION("""COMPUTED_VALUE"""),"Uncle Sams Cider (04/04/2023)")</f>
        <v>Uncle Sams Cider (04/04/2023)</v>
      </c>
      <c r="H9415" s="19"/>
    </row>
    <row r="9416">
      <c r="A9416" s="9"/>
      <c r="B9416" s="15"/>
      <c r="C9416" s="9">
        <f>IFERROR(__xludf.DUMMYFUNCTION("""COMPUTED_VALUE"""),45045.1270907986)</f>
        <v>45045.12709</v>
      </c>
      <c r="D9416" s="15">
        <f>IFERROR(__xludf.DUMMYFUNCTION("""COMPUTED_VALUE"""),1.029)</f>
        <v>1.029</v>
      </c>
      <c r="E9416" s="16">
        <f>IFERROR(__xludf.DUMMYFUNCTION("""COMPUTED_VALUE"""),62.0)</f>
        <v>62</v>
      </c>
      <c r="F9416" s="19" t="str">
        <f>IFERROR(__xludf.DUMMYFUNCTION("""COMPUTED_VALUE"""),"BLUE")</f>
        <v>BLUE</v>
      </c>
      <c r="G9416" s="20" t="str">
        <f>IFERROR(__xludf.DUMMYFUNCTION("""COMPUTED_VALUE"""),"Uncle Sams Cider (04/04/2023)")</f>
        <v>Uncle Sams Cider (04/04/2023)</v>
      </c>
      <c r="H9416" s="19"/>
    </row>
    <row r="9417">
      <c r="A9417" s="9"/>
      <c r="B9417" s="15"/>
      <c r="C9417" s="9">
        <f>IFERROR(__xludf.DUMMYFUNCTION("""COMPUTED_VALUE"""),45045.1166703472)</f>
        <v>45045.11667</v>
      </c>
      <c r="D9417" s="15">
        <f>IFERROR(__xludf.DUMMYFUNCTION("""COMPUTED_VALUE"""),1.029)</f>
        <v>1.029</v>
      </c>
      <c r="E9417" s="16">
        <f>IFERROR(__xludf.DUMMYFUNCTION("""COMPUTED_VALUE"""),62.0)</f>
        <v>62</v>
      </c>
      <c r="F9417" s="19" t="str">
        <f>IFERROR(__xludf.DUMMYFUNCTION("""COMPUTED_VALUE"""),"BLUE")</f>
        <v>BLUE</v>
      </c>
      <c r="G9417" s="20" t="str">
        <f>IFERROR(__xludf.DUMMYFUNCTION("""COMPUTED_VALUE"""),"Uncle Sams Cider (04/04/2023)")</f>
        <v>Uncle Sams Cider (04/04/2023)</v>
      </c>
      <c r="H9417" s="19"/>
    </row>
    <row r="9418">
      <c r="A9418" s="9"/>
      <c r="B9418" s="15"/>
      <c r="C9418" s="9">
        <f>IFERROR(__xludf.DUMMYFUNCTION("""COMPUTED_VALUE"""),45045.1062510416)</f>
        <v>45045.10625</v>
      </c>
      <c r="D9418" s="15">
        <f>IFERROR(__xludf.DUMMYFUNCTION("""COMPUTED_VALUE"""),1.029)</f>
        <v>1.029</v>
      </c>
      <c r="E9418" s="16">
        <f>IFERROR(__xludf.DUMMYFUNCTION("""COMPUTED_VALUE"""),62.0)</f>
        <v>62</v>
      </c>
      <c r="F9418" s="19" t="str">
        <f>IFERROR(__xludf.DUMMYFUNCTION("""COMPUTED_VALUE"""),"BLUE")</f>
        <v>BLUE</v>
      </c>
      <c r="G9418" s="20" t="str">
        <f>IFERROR(__xludf.DUMMYFUNCTION("""COMPUTED_VALUE"""),"Uncle Sams Cider (04/04/2023)")</f>
        <v>Uncle Sams Cider (04/04/2023)</v>
      </c>
      <c r="H9418" s="19"/>
    </row>
    <row r="9419">
      <c r="A9419" s="9"/>
      <c r="B9419" s="15"/>
      <c r="C9419" s="9">
        <f>IFERROR(__xludf.DUMMYFUNCTION("""COMPUTED_VALUE"""),45045.095818912)</f>
        <v>45045.09582</v>
      </c>
      <c r="D9419" s="15">
        <f>IFERROR(__xludf.DUMMYFUNCTION("""COMPUTED_VALUE"""),1.029)</f>
        <v>1.029</v>
      </c>
      <c r="E9419" s="16">
        <f>IFERROR(__xludf.DUMMYFUNCTION("""COMPUTED_VALUE"""),62.0)</f>
        <v>62</v>
      </c>
      <c r="F9419" s="19" t="str">
        <f>IFERROR(__xludf.DUMMYFUNCTION("""COMPUTED_VALUE"""),"BLUE")</f>
        <v>BLUE</v>
      </c>
      <c r="G9419" s="20" t="str">
        <f>IFERROR(__xludf.DUMMYFUNCTION("""COMPUTED_VALUE"""),"Uncle Sams Cider (04/04/2023)")</f>
        <v>Uncle Sams Cider (04/04/2023)</v>
      </c>
      <c r="H9419" s="19"/>
    </row>
    <row r="9420">
      <c r="A9420" s="9"/>
      <c r="B9420" s="15"/>
      <c r="C9420" s="9">
        <f>IFERROR(__xludf.DUMMYFUNCTION("""COMPUTED_VALUE"""),45045.0854000694)</f>
        <v>45045.0854</v>
      </c>
      <c r="D9420" s="15">
        <f>IFERROR(__xludf.DUMMYFUNCTION("""COMPUTED_VALUE"""),1.029)</f>
        <v>1.029</v>
      </c>
      <c r="E9420" s="16">
        <f>IFERROR(__xludf.DUMMYFUNCTION("""COMPUTED_VALUE"""),62.0)</f>
        <v>62</v>
      </c>
      <c r="F9420" s="19" t="str">
        <f>IFERROR(__xludf.DUMMYFUNCTION("""COMPUTED_VALUE"""),"BLUE")</f>
        <v>BLUE</v>
      </c>
      <c r="G9420" s="20" t="str">
        <f>IFERROR(__xludf.DUMMYFUNCTION("""COMPUTED_VALUE"""),"Uncle Sams Cider (04/04/2023)")</f>
        <v>Uncle Sams Cider (04/04/2023)</v>
      </c>
      <c r="H9420" s="19"/>
    </row>
    <row r="9421">
      <c r="A9421" s="9"/>
      <c r="B9421" s="15"/>
      <c r="C9421" s="9">
        <f>IFERROR(__xludf.DUMMYFUNCTION("""COMPUTED_VALUE"""),45045.0749677662)</f>
        <v>45045.07497</v>
      </c>
      <c r="D9421" s="15">
        <f>IFERROR(__xludf.DUMMYFUNCTION("""COMPUTED_VALUE"""),1.029)</f>
        <v>1.029</v>
      </c>
      <c r="E9421" s="16">
        <f>IFERROR(__xludf.DUMMYFUNCTION("""COMPUTED_VALUE"""),62.0)</f>
        <v>62</v>
      </c>
      <c r="F9421" s="19" t="str">
        <f>IFERROR(__xludf.DUMMYFUNCTION("""COMPUTED_VALUE"""),"BLUE")</f>
        <v>BLUE</v>
      </c>
      <c r="G9421" s="20" t="str">
        <f>IFERROR(__xludf.DUMMYFUNCTION("""COMPUTED_VALUE"""),"Uncle Sams Cider (04/04/2023)")</f>
        <v>Uncle Sams Cider (04/04/2023)</v>
      </c>
      <c r="H9421" s="19"/>
    </row>
    <row r="9422">
      <c r="A9422" s="9"/>
      <c r="B9422" s="15"/>
      <c r="C9422" s="9">
        <f>IFERROR(__xludf.DUMMYFUNCTION("""COMPUTED_VALUE"""),45045.0645467824)</f>
        <v>45045.06455</v>
      </c>
      <c r="D9422" s="15">
        <f>IFERROR(__xludf.DUMMYFUNCTION("""COMPUTED_VALUE"""),1.029)</f>
        <v>1.029</v>
      </c>
      <c r="E9422" s="16">
        <f>IFERROR(__xludf.DUMMYFUNCTION("""COMPUTED_VALUE"""),62.0)</f>
        <v>62</v>
      </c>
      <c r="F9422" s="19" t="str">
        <f>IFERROR(__xludf.DUMMYFUNCTION("""COMPUTED_VALUE"""),"BLUE")</f>
        <v>BLUE</v>
      </c>
      <c r="G9422" s="20" t="str">
        <f>IFERROR(__xludf.DUMMYFUNCTION("""COMPUTED_VALUE"""),"Uncle Sams Cider (04/04/2023)")</f>
        <v>Uncle Sams Cider (04/04/2023)</v>
      </c>
      <c r="H9422" s="19"/>
    </row>
    <row r="9423">
      <c r="A9423" s="9"/>
      <c r="B9423" s="15"/>
      <c r="C9423" s="9">
        <f>IFERROR(__xludf.DUMMYFUNCTION("""COMPUTED_VALUE"""),45045.0541250694)</f>
        <v>45045.05413</v>
      </c>
      <c r="D9423" s="15">
        <f>IFERROR(__xludf.DUMMYFUNCTION("""COMPUTED_VALUE"""),1.029)</f>
        <v>1.029</v>
      </c>
      <c r="E9423" s="16">
        <f>IFERROR(__xludf.DUMMYFUNCTION("""COMPUTED_VALUE"""),62.0)</f>
        <v>62</v>
      </c>
      <c r="F9423" s="19" t="str">
        <f>IFERROR(__xludf.DUMMYFUNCTION("""COMPUTED_VALUE"""),"BLUE")</f>
        <v>BLUE</v>
      </c>
      <c r="G9423" s="20" t="str">
        <f>IFERROR(__xludf.DUMMYFUNCTION("""COMPUTED_VALUE"""),"Uncle Sams Cider (04/04/2023)")</f>
        <v>Uncle Sams Cider (04/04/2023)</v>
      </c>
      <c r="H9423" s="19"/>
    </row>
    <row r="9424">
      <c r="A9424" s="9"/>
      <c r="B9424" s="15"/>
      <c r="C9424" s="9">
        <f>IFERROR(__xludf.DUMMYFUNCTION("""COMPUTED_VALUE"""),45045.0437049884)</f>
        <v>45045.0437</v>
      </c>
      <c r="D9424" s="15">
        <f>IFERROR(__xludf.DUMMYFUNCTION("""COMPUTED_VALUE"""),1.029)</f>
        <v>1.029</v>
      </c>
      <c r="E9424" s="16">
        <f>IFERROR(__xludf.DUMMYFUNCTION("""COMPUTED_VALUE"""),62.0)</f>
        <v>62</v>
      </c>
      <c r="F9424" s="19" t="str">
        <f>IFERROR(__xludf.DUMMYFUNCTION("""COMPUTED_VALUE"""),"BLUE")</f>
        <v>BLUE</v>
      </c>
      <c r="G9424" s="20" t="str">
        <f>IFERROR(__xludf.DUMMYFUNCTION("""COMPUTED_VALUE"""),"Uncle Sams Cider (04/04/2023)")</f>
        <v>Uncle Sams Cider (04/04/2023)</v>
      </c>
      <c r="H9424" s="19"/>
    </row>
    <row r="9425">
      <c r="A9425" s="9"/>
      <c r="B9425" s="15"/>
      <c r="C9425" s="9">
        <f>IFERROR(__xludf.DUMMYFUNCTION("""COMPUTED_VALUE"""),45045.0332837384)</f>
        <v>45045.03328</v>
      </c>
      <c r="D9425" s="15">
        <f>IFERROR(__xludf.DUMMYFUNCTION("""COMPUTED_VALUE"""),1.029)</f>
        <v>1.029</v>
      </c>
      <c r="E9425" s="16">
        <f>IFERROR(__xludf.DUMMYFUNCTION("""COMPUTED_VALUE"""),62.0)</f>
        <v>62</v>
      </c>
      <c r="F9425" s="19" t="str">
        <f>IFERROR(__xludf.DUMMYFUNCTION("""COMPUTED_VALUE"""),"BLUE")</f>
        <v>BLUE</v>
      </c>
      <c r="G9425" s="20" t="str">
        <f>IFERROR(__xludf.DUMMYFUNCTION("""COMPUTED_VALUE"""),"Uncle Sams Cider (04/04/2023)")</f>
        <v>Uncle Sams Cider (04/04/2023)</v>
      </c>
      <c r="H9425" s="19"/>
    </row>
    <row r="9426">
      <c r="A9426" s="9"/>
      <c r="B9426" s="15"/>
      <c r="C9426" s="9">
        <f>IFERROR(__xludf.DUMMYFUNCTION("""COMPUTED_VALUE"""),45045.022860868)</f>
        <v>45045.02286</v>
      </c>
      <c r="D9426" s="15">
        <f>IFERROR(__xludf.DUMMYFUNCTION("""COMPUTED_VALUE"""),1.029)</f>
        <v>1.029</v>
      </c>
      <c r="E9426" s="16">
        <f>IFERROR(__xludf.DUMMYFUNCTION("""COMPUTED_VALUE"""),62.0)</f>
        <v>62</v>
      </c>
      <c r="F9426" s="19" t="str">
        <f>IFERROR(__xludf.DUMMYFUNCTION("""COMPUTED_VALUE"""),"BLUE")</f>
        <v>BLUE</v>
      </c>
      <c r="G9426" s="20" t="str">
        <f>IFERROR(__xludf.DUMMYFUNCTION("""COMPUTED_VALUE"""),"Uncle Sams Cider (04/04/2023)")</f>
        <v>Uncle Sams Cider (04/04/2023)</v>
      </c>
      <c r="H9426" s="19"/>
    </row>
    <row r="9427">
      <c r="A9427" s="9"/>
      <c r="B9427" s="15"/>
      <c r="C9427" s="9">
        <f>IFERROR(__xludf.DUMMYFUNCTION("""COMPUTED_VALUE"""),45045.0124180902)</f>
        <v>45045.01242</v>
      </c>
      <c r="D9427" s="15">
        <f>IFERROR(__xludf.DUMMYFUNCTION("""COMPUTED_VALUE"""),1.029)</f>
        <v>1.029</v>
      </c>
      <c r="E9427" s="16">
        <f>IFERROR(__xludf.DUMMYFUNCTION("""COMPUTED_VALUE"""),62.0)</f>
        <v>62</v>
      </c>
      <c r="F9427" s="19" t="str">
        <f>IFERROR(__xludf.DUMMYFUNCTION("""COMPUTED_VALUE"""),"BLUE")</f>
        <v>BLUE</v>
      </c>
      <c r="G9427" s="20" t="str">
        <f>IFERROR(__xludf.DUMMYFUNCTION("""COMPUTED_VALUE"""),"Uncle Sams Cider (04/04/2023)")</f>
        <v>Uncle Sams Cider (04/04/2023)</v>
      </c>
      <c r="H9427" s="19"/>
    </row>
    <row r="9428">
      <c r="A9428" s="9"/>
      <c r="B9428" s="15"/>
      <c r="C9428" s="9">
        <f>IFERROR(__xludf.DUMMYFUNCTION("""COMPUTED_VALUE"""),45045.0019869675)</f>
        <v>45045.00199</v>
      </c>
      <c r="D9428" s="15">
        <f>IFERROR(__xludf.DUMMYFUNCTION("""COMPUTED_VALUE"""),1.029)</f>
        <v>1.029</v>
      </c>
      <c r="E9428" s="16">
        <f>IFERROR(__xludf.DUMMYFUNCTION("""COMPUTED_VALUE"""),62.0)</f>
        <v>62</v>
      </c>
      <c r="F9428" s="19" t="str">
        <f>IFERROR(__xludf.DUMMYFUNCTION("""COMPUTED_VALUE"""),"BLUE")</f>
        <v>BLUE</v>
      </c>
      <c r="G9428" s="20" t="str">
        <f>IFERROR(__xludf.DUMMYFUNCTION("""COMPUTED_VALUE"""),"Uncle Sams Cider (04/04/2023)")</f>
        <v>Uncle Sams Cider (04/04/2023)</v>
      </c>
      <c r="H9428" s="19"/>
    </row>
    <row r="9429">
      <c r="A9429" s="9"/>
      <c r="B9429" s="15"/>
      <c r="C9429" s="9">
        <f>IFERROR(__xludf.DUMMYFUNCTION("""COMPUTED_VALUE"""),45044.9915540046)</f>
        <v>45044.99155</v>
      </c>
      <c r="D9429" s="15">
        <f>IFERROR(__xludf.DUMMYFUNCTION("""COMPUTED_VALUE"""),1.029)</f>
        <v>1.029</v>
      </c>
      <c r="E9429" s="16">
        <f>IFERROR(__xludf.DUMMYFUNCTION("""COMPUTED_VALUE"""),62.0)</f>
        <v>62</v>
      </c>
      <c r="F9429" s="19" t="str">
        <f>IFERROR(__xludf.DUMMYFUNCTION("""COMPUTED_VALUE"""),"BLUE")</f>
        <v>BLUE</v>
      </c>
      <c r="G9429" s="20" t="str">
        <f>IFERROR(__xludf.DUMMYFUNCTION("""COMPUTED_VALUE"""),"Uncle Sams Cider (04/04/2023)")</f>
        <v>Uncle Sams Cider (04/04/2023)</v>
      </c>
      <c r="H9429" s="19"/>
    </row>
    <row r="9430">
      <c r="A9430" s="9"/>
      <c r="B9430" s="15"/>
      <c r="C9430" s="9">
        <f>IFERROR(__xludf.DUMMYFUNCTION("""COMPUTED_VALUE"""),45044.9811082638)</f>
        <v>45044.98111</v>
      </c>
      <c r="D9430" s="15">
        <f>IFERROR(__xludf.DUMMYFUNCTION("""COMPUTED_VALUE"""),1.029)</f>
        <v>1.029</v>
      </c>
      <c r="E9430" s="16">
        <f>IFERROR(__xludf.DUMMYFUNCTION("""COMPUTED_VALUE"""),62.0)</f>
        <v>62</v>
      </c>
      <c r="F9430" s="19" t="str">
        <f>IFERROR(__xludf.DUMMYFUNCTION("""COMPUTED_VALUE"""),"BLUE")</f>
        <v>BLUE</v>
      </c>
      <c r="G9430" s="20" t="str">
        <f>IFERROR(__xludf.DUMMYFUNCTION("""COMPUTED_VALUE"""),"Uncle Sams Cider (04/04/2023)")</f>
        <v>Uncle Sams Cider (04/04/2023)</v>
      </c>
      <c r="H9430" s="19"/>
    </row>
    <row r="9431">
      <c r="A9431" s="9"/>
      <c r="B9431" s="15"/>
      <c r="C9431" s="9">
        <f>IFERROR(__xludf.DUMMYFUNCTION("""COMPUTED_VALUE"""),45044.9706885532)</f>
        <v>45044.97069</v>
      </c>
      <c r="D9431" s="15">
        <f>IFERROR(__xludf.DUMMYFUNCTION("""COMPUTED_VALUE"""),1.029)</f>
        <v>1.029</v>
      </c>
      <c r="E9431" s="16">
        <f>IFERROR(__xludf.DUMMYFUNCTION("""COMPUTED_VALUE"""),62.0)</f>
        <v>62</v>
      </c>
      <c r="F9431" s="19" t="str">
        <f>IFERROR(__xludf.DUMMYFUNCTION("""COMPUTED_VALUE"""),"BLUE")</f>
        <v>BLUE</v>
      </c>
      <c r="G9431" s="20" t="str">
        <f>IFERROR(__xludf.DUMMYFUNCTION("""COMPUTED_VALUE"""),"Uncle Sams Cider (04/04/2023)")</f>
        <v>Uncle Sams Cider (04/04/2023)</v>
      </c>
      <c r="H9431" s="19"/>
    </row>
    <row r="9432">
      <c r="A9432" s="9"/>
      <c r="B9432" s="15"/>
      <c r="C9432" s="9">
        <f>IFERROR(__xludf.DUMMYFUNCTION("""COMPUTED_VALUE"""),45044.9602683333)</f>
        <v>45044.96027</v>
      </c>
      <c r="D9432" s="15">
        <f>IFERROR(__xludf.DUMMYFUNCTION("""COMPUTED_VALUE"""),1.029)</f>
        <v>1.029</v>
      </c>
      <c r="E9432" s="16">
        <f>IFERROR(__xludf.DUMMYFUNCTION("""COMPUTED_VALUE"""),62.0)</f>
        <v>62</v>
      </c>
      <c r="F9432" s="19" t="str">
        <f>IFERROR(__xludf.DUMMYFUNCTION("""COMPUTED_VALUE"""),"BLUE")</f>
        <v>BLUE</v>
      </c>
      <c r="G9432" s="20" t="str">
        <f>IFERROR(__xludf.DUMMYFUNCTION("""COMPUTED_VALUE"""),"Uncle Sams Cider (04/04/2023)")</f>
        <v>Uncle Sams Cider (04/04/2023)</v>
      </c>
      <c r="H9432" s="19"/>
    </row>
    <row r="9433">
      <c r="A9433" s="9"/>
      <c r="B9433" s="15"/>
      <c r="C9433" s="9">
        <f>IFERROR(__xludf.DUMMYFUNCTION("""COMPUTED_VALUE"""),45044.9498477893)</f>
        <v>45044.94985</v>
      </c>
      <c r="D9433" s="15">
        <f>IFERROR(__xludf.DUMMYFUNCTION("""COMPUTED_VALUE"""),1.029)</f>
        <v>1.029</v>
      </c>
      <c r="E9433" s="16">
        <f>IFERROR(__xludf.DUMMYFUNCTION("""COMPUTED_VALUE"""),62.0)</f>
        <v>62</v>
      </c>
      <c r="F9433" s="19" t="str">
        <f>IFERROR(__xludf.DUMMYFUNCTION("""COMPUTED_VALUE"""),"BLUE")</f>
        <v>BLUE</v>
      </c>
      <c r="G9433" s="20" t="str">
        <f>IFERROR(__xludf.DUMMYFUNCTION("""COMPUTED_VALUE"""),"Uncle Sams Cider (04/04/2023)")</f>
        <v>Uncle Sams Cider (04/04/2023)</v>
      </c>
      <c r="H9433" s="19"/>
    </row>
    <row r="9434">
      <c r="A9434" s="9"/>
      <c r="B9434" s="15"/>
      <c r="C9434" s="9">
        <f>IFERROR(__xludf.DUMMYFUNCTION("""COMPUTED_VALUE"""),45044.9394155439)</f>
        <v>45044.93942</v>
      </c>
      <c r="D9434" s="15">
        <f>IFERROR(__xludf.DUMMYFUNCTION("""COMPUTED_VALUE"""),1.029)</f>
        <v>1.029</v>
      </c>
      <c r="E9434" s="16">
        <f>IFERROR(__xludf.DUMMYFUNCTION("""COMPUTED_VALUE"""),62.0)</f>
        <v>62</v>
      </c>
      <c r="F9434" s="19" t="str">
        <f>IFERROR(__xludf.DUMMYFUNCTION("""COMPUTED_VALUE"""),"BLUE")</f>
        <v>BLUE</v>
      </c>
      <c r="G9434" s="20" t="str">
        <f>IFERROR(__xludf.DUMMYFUNCTION("""COMPUTED_VALUE"""),"Uncle Sams Cider (04/04/2023)")</f>
        <v>Uncle Sams Cider (04/04/2023)</v>
      </c>
      <c r="H9434" s="19"/>
    </row>
    <row r="9435">
      <c r="A9435" s="9"/>
      <c r="B9435" s="15"/>
      <c r="C9435" s="9">
        <f>IFERROR(__xludf.DUMMYFUNCTION("""COMPUTED_VALUE"""),45044.9289933217)</f>
        <v>45044.92899</v>
      </c>
      <c r="D9435" s="15">
        <f>IFERROR(__xludf.DUMMYFUNCTION("""COMPUTED_VALUE"""),1.029)</f>
        <v>1.029</v>
      </c>
      <c r="E9435" s="16">
        <f>IFERROR(__xludf.DUMMYFUNCTION("""COMPUTED_VALUE"""),62.0)</f>
        <v>62</v>
      </c>
      <c r="F9435" s="19" t="str">
        <f>IFERROR(__xludf.DUMMYFUNCTION("""COMPUTED_VALUE"""),"BLUE")</f>
        <v>BLUE</v>
      </c>
      <c r="G9435" s="20" t="str">
        <f>IFERROR(__xludf.DUMMYFUNCTION("""COMPUTED_VALUE"""),"Uncle Sams Cider (04/04/2023)")</f>
        <v>Uncle Sams Cider (04/04/2023)</v>
      </c>
      <c r="H9435" s="19"/>
    </row>
    <row r="9436">
      <c r="A9436" s="9"/>
      <c r="B9436" s="15"/>
      <c r="C9436" s="9">
        <f>IFERROR(__xludf.DUMMYFUNCTION("""COMPUTED_VALUE"""),45044.9185719907)</f>
        <v>45044.91857</v>
      </c>
      <c r="D9436" s="15">
        <f>IFERROR(__xludf.DUMMYFUNCTION("""COMPUTED_VALUE"""),1.029)</f>
        <v>1.029</v>
      </c>
      <c r="E9436" s="16">
        <f>IFERROR(__xludf.DUMMYFUNCTION("""COMPUTED_VALUE"""),62.0)</f>
        <v>62</v>
      </c>
      <c r="F9436" s="19" t="str">
        <f>IFERROR(__xludf.DUMMYFUNCTION("""COMPUTED_VALUE"""),"BLUE")</f>
        <v>BLUE</v>
      </c>
      <c r="G9436" s="20" t="str">
        <f>IFERROR(__xludf.DUMMYFUNCTION("""COMPUTED_VALUE"""),"Uncle Sams Cider (04/04/2023)")</f>
        <v>Uncle Sams Cider (04/04/2023)</v>
      </c>
      <c r="H9436" s="19"/>
    </row>
    <row r="9437">
      <c r="A9437" s="9"/>
      <c r="B9437" s="15"/>
      <c r="C9437" s="9">
        <f>IFERROR(__xludf.DUMMYFUNCTION("""COMPUTED_VALUE"""),45044.9081520949)</f>
        <v>45044.90815</v>
      </c>
      <c r="D9437" s="15">
        <f>IFERROR(__xludf.DUMMYFUNCTION("""COMPUTED_VALUE"""),1.029)</f>
        <v>1.029</v>
      </c>
      <c r="E9437" s="16">
        <f>IFERROR(__xludf.DUMMYFUNCTION("""COMPUTED_VALUE"""),62.0)</f>
        <v>62</v>
      </c>
      <c r="F9437" s="19" t="str">
        <f>IFERROR(__xludf.DUMMYFUNCTION("""COMPUTED_VALUE"""),"BLUE")</f>
        <v>BLUE</v>
      </c>
      <c r="G9437" s="20" t="str">
        <f>IFERROR(__xludf.DUMMYFUNCTION("""COMPUTED_VALUE"""),"Uncle Sams Cider (04/04/2023)")</f>
        <v>Uncle Sams Cider (04/04/2023)</v>
      </c>
      <c r="H9437" s="19"/>
    </row>
    <row r="9438">
      <c r="A9438" s="9"/>
      <c r="B9438" s="15"/>
      <c r="C9438" s="9">
        <f>IFERROR(__xludf.DUMMYFUNCTION("""COMPUTED_VALUE"""),45044.8977313657)</f>
        <v>45044.89773</v>
      </c>
      <c r="D9438" s="15">
        <f>IFERROR(__xludf.DUMMYFUNCTION("""COMPUTED_VALUE"""),1.029)</f>
        <v>1.029</v>
      </c>
      <c r="E9438" s="16">
        <f>IFERROR(__xludf.DUMMYFUNCTION("""COMPUTED_VALUE"""),62.0)</f>
        <v>62</v>
      </c>
      <c r="F9438" s="19" t="str">
        <f>IFERROR(__xludf.DUMMYFUNCTION("""COMPUTED_VALUE"""),"BLUE")</f>
        <v>BLUE</v>
      </c>
      <c r="G9438" s="20" t="str">
        <f>IFERROR(__xludf.DUMMYFUNCTION("""COMPUTED_VALUE"""),"Uncle Sams Cider (04/04/2023)")</f>
        <v>Uncle Sams Cider (04/04/2023)</v>
      </c>
      <c r="H9438" s="19"/>
    </row>
    <row r="9439">
      <c r="A9439" s="9"/>
      <c r="B9439" s="15"/>
      <c r="C9439" s="9">
        <f>IFERROR(__xludf.DUMMYFUNCTION("""COMPUTED_VALUE"""),45044.8873103125)</f>
        <v>45044.88731</v>
      </c>
      <c r="D9439" s="15">
        <f>IFERROR(__xludf.DUMMYFUNCTION("""COMPUTED_VALUE"""),1.029)</f>
        <v>1.029</v>
      </c>
      <c r="E9439" s="16">
        <f>IFERROR(__xludf.DUMMYFUNCTION("""COMPUTED_VALUE"""),62.0)</f>
        <v>62</v>
      </c>
      <c r="F9439" s="19" t="str">
        <f>IFERROR(__xludf.DUMMYFUNCTION("""COMPUTED_VALUE"""),"BLUE")</f>
        <v>BLUE</v>
      </c>
      <c r="G9439" s="20" t="str">
        <f>IFERROR(__xludf.DUMMYFUNCTION("""COMPUTED_VALUE"""),"Uncle Sams Cider (04/04/2023)")</f>
        <v>Uncle Sams Cider (04/04/2023)</v>
      </c>
      <c r="H9439" s="19"/>
    </row>
    <row r="9440">
      <c r="A9440" s="9"/>
      <c r="B9440" s="15"/>
      <c r="C9440" s="9">
        <f>IFERROR(__xludf.DUMMYFUNCTION("""COMPUTED_VALUE"""),45044.8768884143)</f>
        <v>45044.87689</v>
      </c>
      <c r="D9440" s="15">
        <f>IFERROR(__xludf.DUMMYFUNCTION("""COMPUTED_VALUE"""),1.029)</f>
        <v>1.029</v>
      </c>
      <c r="E9440" s="16">
        <f>IFERROR(__xludf.DUMMYFUNCTION("""COMPUTED_VALUE"""),62.0)</f>
        <v>62</v>
      </c>
      <c r="F9440" s="19" t="str">
        <f>IFERROR(__xludf.DUMMYFUNCTION("""COMPUTED_VALUE"""),"BLUE")</f>
        <v>BLUE</v>
      </c>
      <c r="G9440" s="20" t="str">
        <f>IFERROR(__xludf.DUMMYFUNCTION("""COMPUTED_VALUE"""),"Uncle Sams Cider (04/04/2023)")</f>
        <v>Uncle Sams Cider (04/04/2023)</v>
      </c>
      <c r="H9440" s="19"/>
    </row>
    <row r="9441">
      <c r="A9441" s="9"/>
      <c r="B9441" s="15"/>
      <c r="C9441" s="9">
        <f>IFERROR(__xludf.DUMMYFUNCTION("""COMPUTED_VALUE"""),45044.8664674189)</f>
        <v>45044.86647</v>
      </c>
      <c r="D9441" s="15">
        <f>IFERROR(__xludf.DUMMYFUNCTION("""COMPUTED_VALUE"""),1.029)</f>
        <v>1.029</v>
      </c>
      <c r="E9441" s="16">
        <f>IFERROR(__xludf.DUMMYFUNCTION("""COMPUTED_VALUE"""),62.0)</f>
        <v>62</v>
      </c>
      <c r="F9441" s="19" t="str">
        <f>IFERROR(__xludf.DUMMYFUNCTION("""COMPUTED_VALUE"""),"BLUE")</f>
        <v>BLUE</v>
      </c>
      <c r="G9441" s="20" t="str">
        <f>IFERROR(__xludf.DUMMYFUNCTION("""COMPUTED_VALUE"""),"Uncle Sams Cider (04/04/2023)")</f>
        <v>Uncle Sams Cider (04/04/2023)</v>
      </c>
      <c r="H9441" s="19"/>
    </row>
    <row r="9442">
      <c r="A9442" s="9"/>
      <c r="B9442" s="15"/>
      <c r="C9442" s="9">
        <f>IFERROR(__xludf.DUMMYFUNCTION("""COMPUTED_VALUE"""),45044.8560476273)</f>
        <v>45044.85605</v>
      </c>
      <c r="D9442" s="15">
        <f>IFERROR(__xludf.DUMMYFUNCTION("""COMPUTED_VALUE"""),1.029)</f>
        <v>1.029</v>
      </c>
      <c r="E9442" s="16">
        <f>IFERROR(__xludf.DUMMYFUNCTION("""COMPUTED_VALUE"""),62.0)</f>
        <v>62</v>
      </c>
      <c r="F9442" s="19" t="str">
        <f>IFERROR(__xludf.DUMMYFUNCTION("""COMPUTED_VALUE"""),"BLUE")</f>
        <v>BLUE</v>
      </c>
      <c r="G9442" s="20" t="str">
        <f>IFERROR(__xludf.DUMMYFUNCTION("""COMPUTED_VALUE"""),"Uncle Sams Cider (04/04/2023)")</f>
        <v>Uncle Sams Cider (04/04/2023)</v>
      </c>
      <c r="H9442" s="19"/>
    </row>
    <row r="9443">
      <c r="A9443" s="9"/>
      <c r="B9443" s="15"/>
      <c r="C9443" s="9">
        <f>IFERROR(__xludf.DUMMYFUNCTION("""COMPUTED_VALUE"""),45044.8456259027)</f>
        <v>45044.84563</v>
      </c>
      <c r="D9443" s="15">
        <f>IFERROR(__xludf.DUMMYFUNCTION("""COMPUTED_VALUE"""),1.029)</f>
        <v>1.029</v>
      </c>
      <c r="E9443" s="16">
        <f>IFERROR(__xludf.DUMMYFUNCTION("""COMPUTED_VALUE"""),62.0)</f>
        <v>62</v>
      </c>
      <c r="F9443" s="19" t="str">
        <f>IFERROR(__xludf.DUMMYFUNCTION("""COMPUTED_VALUE"""),"BLUE")</f>
        <v>BLUE</v>
      </c>
      <c r="G9443" s="20" t="str">
        <f>IFERROR(__xludf.DUMMYFUNCTION("""COMPUTED_VALUE"""),"Uncle Sams Cider (04/04/2023)")</f>
        <v>Uncle Sams Cider (04/04/2023)</v>
      </c>
      <c r="H9443" s="19"/>
    </row>
    <row r="9444">
      <c r="A9444" s="9"/>
      <c r="B9444" s="15"/>
      <c r="C9444" s="9">
        <f>IFERROR(__xludf.DUMMYFUNCTION("""COMPUTED_VALUE"""),45044.8352035069)</f>
        <v>45044.8352</v>
      </c>
      <c r="D9444" s="15">
        <f>IFERROR(__xludf.DUMMYFUNCTION("""COMPUTED_VALUE"""),1.029)</f>
        <v>1.029</v>
      </c>
      <c r="E9444" s="16">
        <f>IFERROR(__xludf.DUMMYFUNCTION("""COMPUTED_VALUE"""),62.0)</f>
        <v>62</v>
      </c>
      <c r="F9444" s="19" t="str">
        <f>IFERROR(__xludf.DUMMYFUNCTION("""COMPUTED_VALUE"""),"BLUE")</f>
        <v>BLUE</v>
      </c>
      <c r="G9444" s="20" t="str">
        <f>IFERROR(__xludf.DUMMYFUNCTION("""COMPUTED_VALUE"""),"Uncle Sams Cider (04/04/2023)")</f>
        <v>Uncle Sams Cider (04/04/2023)</v>
      </c>
      <c r="H9444" s="19"/>
    </row>
    <row r="9445">
      <c r="A9445" s="9"/>
      <c r="B9445" s="15"/>
      <c r="C9445" s="9">
        <f>IFERROR(__xludf.DUMMYFUNCTION("""COMPUTED_VALUE"""),45044.8247833796)</f>
        <v>45044.82478</v>
      </c>
      <c r="D9445" s="15">
        <f>IFERROR(__xludf.DUMMYFUNCTION("""COMPUTED_VALUE"""),1.029)</f>
        <v>1.029</v>
      </c>
      <c r="E9445" s="16">
        <f>IFERROR(__xludf.DUMMYFUNCTION("""COMPUTED_VALUE"""),62.0)</f>
        <v>62</v>
      </c>
      <c r="F9445" s="19" t="str">
        <f>IFERROR(__xludf.DUMMYFUNCTION("""COMPUTED_VALUE"""),"BLUE")</f>
        <v>BLUE</v>
      </c>
      <c r="G9445" s="20" t="str">
        <f>IFERROR(__xludf.DUMMYFUNCTION("""COMPUTED_VALUE"""),"Uncle Sams Cider (04/04/2023)")</f>
        <v>Uncle Sams Cider (04/04/2023)</v>
      </c>
      <c r="H9445" s="19"/>
    </row>
    <row r="9446">
      <c r="A9446" s="9"/>
      <c r="B9446" s="15"/>
      <c r="C9446" s="9">
        <f>IFERROR(__xludf.DUMMYFUNCTION("""COMPUTED_VALUE"""),45044.8143377199)</f>
        <v>45044.81434</v>
      </c>
      <c r="D9446" s="15">
        <f>IFERROR(__xludf.DUMMYFUNCTION("""COMPUTED_VALUE"""),1.029)</f>
        <v>1.029</v>
      </c>
      <c r="E9446" s="16">
        <f>IFERROR(__xludf.DUMMYFUNCTION("""COMPUTED_VALUE"""),62.0)</f>
        <v>62</v>
      </c>
      <c r="F9446" s="19" t="str">
        <f>IFERROR(__xludf.DUMMYFUNCTION("""COMPUTED_VALUE"""),"BLUE")</f>
        <v>BLUE</v>
      </c>
      <c r="G9446" s="20" t="str">
        <f>IFERROR(__xludf.DUMMYFUNCTION("""COMPUTED_VALUE"""),"Uncle Sams Cider (04/04/2023)")</f>
        <v>Uncle Sams Cider (04/04/2023)</v>
      </c>
      <c r="H9446" s="19"/>
    </row>
    <row r="9447">
      <c r="A9447" s="9"/>
      <c r="B9447" s="15"/>
      <c r="C9447" s="9">
        <f>IFERROR(__xludf.DUMMYFUNCTION("""COMPUTED_VALUE"""),45044.8039161921)</f>
        <v>45044.80392</v>
      </c>
      <c r="D9447" s="15">
        <f>IFERROR(__xludf.DUMMYFUNCTION("""COMPUTED_VALUE"""),1.029)</f>
        <v>1.029</v>
      </c>
      <c r="E9447" s="16">
        <f>IFERROR(__xludf.DUMMYFUNCTION("""COMPUTED_VALUE"""),62.0)</f>
        <v>62</v>
      </c>
      <c r="F9447" s="19" t="str">
        <f>IFERROR(__xludf.DUMMYFUNCTION("""COMPUTED_VALUE"""),"BLUE")</f>
        <v>BLUE</v>
      </c>
      <c r="G9447" s="20" t="str">
        <f>IFERROR(__xludf.DUMMYFUNCTION("""COMPUTED_VALUE"""),"Uncle Sams Cider (04/04/2023)")</f>
        <v>Uncle Sams Cider (04/04/2023)</v>
      </c>
      <c r="H9447" s="19"/>
    </row>
    <row r="9448">
      <c r="A9448" s="9"/>
      <c r="B9448" s="15"/>
      <c r="C9448" s="9">
        <f>IFERROR(__xludf.DUMMYFUNCTION("""COMPUTED_VALUE"""),45044.7934944444)</f>
        <v>45044.79349</v>
      </c>
      <c r="D9448" s="15">
        <f>IFERROR(__xludf.DUMMYFUNCTION("""COMPUTED_VALUE"""),1.029)</f>
        <v>1.029</v>
      </c>
      <c r="E9448" s="16">
        <f>IFERROR(__xludf.DUMMYFUNCTION("""COMPUTED_VALUE"""),62.0)</f>
        <v>62</v>
      </c>
      <c r="F9448" s="19" t="str">
        <f>IFERROR(__xludf.DUMMYFUNCTION("""COMPUTED_VALUE"""),"BLUE")</f>
        <v>BLUE</v>
      </c>
      <c r="G9448" s="20" t="str">
        <f>IFERROR(__xludf.DUMMYFUNCTION("""COMPUTED_VALUE"""),"Uncle Sams Cider (04/04/2023)")</f>
        <v>Uncle Sams Cider (04/04/2023)</v>
      </c>
      <c r="H9448" s="19"/>
    </row>
    <row r="9449">
      <c r="A9449" s="9"/>
      <c r="B9449" s="15"/>
      <c r="C9449" s="9">
        <f>IFERROR(__xludf.DUMMYFUNCTION("""COMPUTED_VALUE"""),45044.7830748148)</f>
        <v>45044.78307</v>
      </c>
      <c r="D9449" s="15">
        <f>IFERROR(__xludf.DUMMYFUNCTION("""COMPUTED_VALUE"""),1.029)</f>
        <v>1.029</v>
      </c>
      <c r="E9449" s="16">
        <f>IFERROR(__xludf.DUMMYFUNCTION("""COMPUTED_VALUE"""),62.0)</f>
        <v>62</v>
      </c>
      <c r="F9449" s="19" t="str">
        <f>IFERROR(__xludf.DUMMYFUNCTION("""COMPUTED_VALUE"""),"BLUE")</f>
        <v>BLUE</v>
      </c>
      <c r="G9449" s="20" t="str">
        <f>IFERROR(__xludf.DUMMYFUNCTION("""COMPUTED_VALUE"""),"Uncle Sams Cider (04/04/2023)")</f>
        <v>Uncle Sams Cider (04/04/2023)</v>
      </c>
      <c r="H9449" s="19"/>
    </row>
    <row r="9450">
      <c r="A9450" s="9"/>
      <c r="B9450" s="15"/>
      <c r="C9450" s="9">
        <f>IFERROR(__xludf.DUMMYFUNCTION("""COMPUTED_VALUE"""),45044.7726538426)</f>
        <v>45044.77265</v>
      </c>
      <c r="D9450" s="15">
        <f>IFERROR(__xludf.DUMMYFUNCTION("""COMPUTED_VALUE"""),1.029)</f>
        <v>1.029</v>
      </c>
      <c r="E9450" s="16">
        <f>IFERROR(__xludf.DUMMYFUNCTION("""COMPUTED_VALUE"""),62.0)</f>
        <v>62</v>
      </c>
      <c r="F9450" s="19" t="str">
        <f>IFERROR(__xludf.DUMMYFUNCTION("""COMPUTED_VALUE"""),"BLUE")</f>
        <v>BLUE</v>
      </c>
      <c r="G9450" s="20" t="str">
        <f>IFERROR(__xludf.DUMMYFUNCTION("""COMPUTED_VALUE"""),"Uncle Sams Cider (04/04/2023)")</f>
        <v>Uncle Sams Cider (04/04/2023)</v>
      </c>
      <c r="H9450" s="19"/>
    </row>
    <row r="9451">
      <c r="A9451" s="9"/>
      <c r="B9451" s="15"/>
      <c r="C9451" s="9">
        <f>IFERROR(__xludf.DUMMYFUNCTION("""COMPUTED_VALUE"""),45044.7622344676)</f>
        <v>45044.76223</v>
      </c>
      <c r="D9451" s="15">
        <f>IFERROR(__xludf.DUMMYFUNCTION("""COMPUTED_VALUE"""),1.029)</f>
        <v>1.029</v>
      </c>
      <c r="E9451" s="16">
        <f>IFERROR(__xludf.DUMMYFUNCTION("""COMPUTED_VALUE"""),62.0)</f>
        <v>62</v>
      </c>
      <c r="F9451" s="19" t="str">
        <f>IFERROR(__xludf.DUMMYFUNCTION("""COMPUTED_VALUE"""),"BLUE")</f>
        <v>BLUE</v>
      </c>
      <c r="G9451" s="20" t="str">
        <f>IFERROR(__xludf.DUMMYFUNCTION("""COMPUTED_VALUE"""),"Uncle Sams Cider (04/04/2023)")</f>
        <v>Uncle Sams Cider (04/04/2023)</v>
      </c>
      <c r="H9451" s="19"/>
    </row>
    <row r="9452">
      <c r="A9452" s="9"/>
      <c r="B9452" s="15"/>
      <c r="C9452" s="9">
        <f>IFERROR(__xludf.DUMMYFUNCTION("""COMPUTED_VALUE"""),45044.7518133217)</f>
        <v>45044.75181</v>
      </c>
      <c r="D9452" s="15">
        <f>IFERROR(__xludf.DUMMYFUNCTION("""COMPUTED_VALUE"""),1.029)</f>
        <v>1.029</v>
      </c>
      <c r="E9452" s="16">
        <f>IFERROR(__xludf.DUMMYFUNCTION("""COMPUTED_VALUE"""),62.0)</f>
        <v>62</v>
      </c>
      <c r="F9452" s="19" t="str">
        <f>IFERROR(__xludf.DUMMYFUNCTION("""COMPUTED_VALUE"""),"BLUE")</f>
        <v>BLUE</v>
      </c>
      <c r="G9452" s="20" t="str">
        <f>IFERROR(__xludf.DUMMYFUNCTION("""COMPUTED_VALUE"""),"Uncle Sams Cider (04/04/2023)")</f>
        <v>Uncle Sams Cider (04/04/2023)</v>
      </c>
      <c r="H9452" s="19"/>
    </row>
    <row r="9453">
      <c r="A9453" s="9"/>
      <c r="B9453" s="15"/>
      <c r="C9453" s="9">
        <f>IFERROR(__xludf.DUMMYFUNCTION("""COMPUTED_VALUE"""),45044.741392743)</f>
        <v>45044.74139</v>
      </c>
      <c r="D9453" s="15">
        <f>IFERROR(__xludf.DUMMYFUNCTION("""COMPUTED_VALUE"""),1.029)</f>
        <v>1.029</v>
      </c>
      <c r="E9453" s="16">
        <f>IFERROR(__xludf.DUMMYFUNCTION("""COMPUTED_VALUE"""),62.0)</f>
        <v>62</v>
      </c>
      <c r="F9453" s="19" t="str">
        <f>IFERROR(__xludf.DUMMYFUNCTION("""COMPUTED_VALUE"""),"BLUE")</f>
        <v>BLUE</v>
      </c>
      <c r="G9453" s="20" t="str">
        <f>IFERROR(__xludf.DUMMYFUNCTION("""COMPUTED_VALUE"""),"Uncle Sams Cider (04/04/2023)")</f>
        <v>Uncle Sams Cider (04/04/2023)</v>
      </c>
      <c r="H9453" s="19"/>
    </row>
    <row r="9454">
      <c r="A9454" s="9"/>
      <c r="B9454" s="15"/>
      <c r="C9454" s="9">
        <f>IFERROR(__xludf.DUMMYFUNCTION("""COMPUTED_VALUE"""),45044.7309710879)</f>
        <v>45044.73097</v>
      </c>
      <c r="D9454" s="15">
        <f>IFERROR(__xludf.DUMMYFUNCTION("""COMPUTED_VALUE"""),1.029)</f>
        <v>1.029</v>
      </c>
      <c r="E9454" s="16">
        <f>IFERROR(__xludf.DUMMYFUNCTION("""COMPUTED_VALUE"""),62.0)</f>
        <v>62</v>
      </c>
      <c r="F9454" s="19" t="str">
        <f>IFERROR(__xludf.DUMMYFUNCTION("""COMPUTED_VALUE"""),"BLUE")</f>
        <v>BLUE</v>
      </c>
      <c r="G9454" s="20" t="str">
        <f>IFERROR(__xludf.DUMMYFUNCTION("""COMPUTED_VALUE"""),"Uncle Sams Cider (04/04/2023)")</f>
        <v>Uncle Sams Cider (04/04/2023)</v>
      </c>
      <c r="H9454" s="19"/>
    </row>
    <row r="9455">
      <c r="A9455" s="9"/>
      <c r="B9455" s="15"/>
      <c r="C9455" s="9">
        <f>IFERROR(__xludf.DUMMYFUNCTION("""COMPUTED_VALUE"""),45044.7205493055)</f>
        <v>45044.72055</v>
      </c>
      <c r="D9455" s="15">
        <f>IFERROR(__xludf.DUMMYFUNCTION("""COMPUTED_VALUE"""),1.029)</f>
        <v>1.029</v>
      </c>
      <c r="E9455" s="16">
        <f>IFERROR(__xludf.DUMMYFUNCTION("""COMPUTED_VALUE"""),62.0)</f>
        <v>62</v>
      </c>
      <c r="F9455" s="19" t="str">
        <f>IFERROR(__xludf.DUMMYFUNCTION("""COMPUTED_VALUE"""),"BLUE")</f>
        <v>BLUE</v>
      </c>
      <c r="G9455" s="20" t="str">
        <f>IFERROR(__xludf.DUMMYFUNCTION("""COMPUTED_VALUE"""),"Uncle Sams Cider (04/04/2023)")</f>
        <v>Uncle Sams Cider (04/04/2023)</v>
      </c>
      <c r="H9455" s="19"/>
    </row>
    <row r="9456">
      <c r="A9456" s="9"/>
      <c r="B9456" s="15"/>
      <c r="C9456" s="9">
        <f>IFERROR(__xludf.DUMMYFUNCTION("""COMPUTED_VALUE"""),45044.7101281713)</f>
        <v>45044.71013</v>
      </c>
      <c r="D9456" s="15">
        <f>IFERROR(__xludf.DUMMYFUNCTION("""COMPUTED_VALUE"""),1.029)</f>
        <v>1.029</v>
      </c>
      <c r="E9456" s="16">
        <f>IFERROR(__xludf.DUMMYFUNCTION("""COMPUTED_VALUE"""),62.0)</f>
        <v>62</v>
      </c>
      <c r="F9456" s="19" t="str">
        <f>IFERROR(__xludf.DUMMYFUNCTION("""COMPUTED_VALUE"""),"BLUE")</f>
        <v>BLUE</v>
      </c>
      <c r="G9456" s="20" t="str">
        <f>IFERROR(__xludf.DUMMYFUNCTION("""COMPUTED_VALUE"""),"Uncle Sams Cider (04/04/2023)")</f>
        <v>Uncle Sams Cider (04/04/2023)</v>
      </c>
      <c r="H9456" s="19"/>
    </row>
    <row r="9457">
      <c r="A9457" s="9"/>
      <c r="B9457" s="15"/>
      <c r="C9457" s="9">
        <f>IFERROR(__xludf.DUMMYFUNCTION("""COMPUTED_VALUE"""),45044.6996959375)</f>
        <v>45044.6997</v>
      </c>
      <c r="D9457" s="15">
        <f>IFERROR(__xludf.DUMMYFUNCTION("""COMPUTED_VALUE"""),1.029)</f>
        <v>1.029</v>
      </c>
      <c r="E9457" s="16">
        <f>IFERROR(__xludf.DUMMYFUNCTION("""COMPUTED_VALUE"""),62.0)</f>
        <v>62</v>
      </c>
      <c r="F9457" s="19" t="str">
        <f>IFERROR(__xludf.DUMMYFUNCTION("""COMPUTED_VALUE"""),"BLUE")</f>
        <v>BLUE</v>
      </c>
      <c r="G9457" s="20" t="str">
        <f>IFERROR(__xludf.DUMMYFUNCTION("""COMPUTED_VALUE"""),"Uncle Sams Cider (04/04/2023)")</f>
        <v>Uncle Sams Cider (04/04/2023)</v>
      </c>
      <c r="H9457" s="19"/>
    </row>
    <row r="9458">
      <c r="A9458" s="9"/>
      <c r="B9458" s="15"/>
      <c r="C9458" s="9">
        <f>IFERROR(__xludf.DUMMYFUNCTION("""COMPUTED_VALUE"""),45044.689262118)</f>
        <v>45044.68926</v>
      </c>
      <c r="D9458" s="15">
        <f>IFERROR(__xludf.DUMMYFUNCTION("""COMPUTED_VALUE"""),1.029)</f>
        <v>1.029</v>
      </c>
      <c r="E9458" s="16">
        <f>IFERROR(__xludf.DUMMYFUNCTION("""COMPUTED_VALUE"""),62.0)</f>
        <v>62</v>
      </c>
      <c r="F9458" s="19" t="str">
        <f>IFERROR(__xludf.DUMMYFUNCTION("""COMPUTED_VALUE"""),"BLUE")</f>
        <v>BLUE</v>
      </c>
      <c r="G9458" s="20" t="str">
        <f>IFERROR(__xludf.DUMMYFUNCTION("""COMPUTED_VALUE"""),"Uncle Sams Cider (04/04/2023)")</f>
        <v>Uncle Sams Cider (04/04/2023)</v>
      </c>
      <c r="H9458" s="19"/>
    </row>
    <row r="9459">
      <c r="A9459" s="9"/>
      <c r="B9459" s="15"/>
      <c r="C9459" s="9">
        <f>IFERROR(__xludf.DUMMYFUNCTION("""COMPUTED_VALUE"""),45044.6788426967)</f>
        <v>45044.67884</v>
      </c>
      <c r="D9459" s="15">
        <f>IFERROR(__xludf.DUMMYFUNCTION("""COMPUTED_VALUE"""),1.029)</f>
        <v>1.029</v>
      </c>
      <c r="E9459" s="16">
        <f>IFERROR(__xludf.DUMMYFUNCTION("""COMPUTED_VALUE"""),62.0)</f>
        <v>62</v>
      </c>
      <c r="F9459" s="19" t="str">
        <f>IFERROR(__xludf.DUMMYFUNCTION("""COMPUTED_VALUE"""),"BLUE")</f>
        <v>BLUE</v>
      </c>
      <c r="G9459" s="20" t="str">
        <f>IFERROR(__xludf.DUMMYFUNCTION("""COMPUTED_VALUE"""),"Uncle Sams Cider (04/04/2023)")</f>
        <v>Uncle Sams Cider (04/04/2023)</v>
      </c>
      <c r="H9459" s="19"/>
    </row>
    <row r="9460">
      <c r="A9460" s="9"/>
      <c r="B9460" s="15"/>
      <c r="C9460" s="9">
        <f>IFERROR(__xludf.DUMMYFUNCTION("""COMPUTED_VALUE"""),45044.6684082523)</f>
        <v>45044.66841</v>
      </c>
      <c r="D9460" s="15">
        <f>IFERROR(__xludf.DUMMYFUNCTION("""COMPUTED_VALUE"""),1.03)</f>
        <v>1.03</v>
      </c>
      <c r="E9460" s="16">
        <f>IFERROR(__xludf.DUMMYFUNCTION("""COMPUTED_VALUE"""),62.0)</f>
        <v>62</v>
      </c>
      <c r="F9460" s="19" t="str">
        <f>IFERROR(__xludf.DUMMYFUNCTION("""COMPUTED_VALUE"""),"BLUE")</f>
        <v>BLUE</v>
      </c>
      <c r="G9460" s="20" t="str">
        <f>IFERROR(__xludf.DUMMYFUNCTION("""COMPUTED_VALUE"""),"Uncle Sams Cider (04/04/2023)")</f>
        <v>Uncle Sams Cider (04/04/2023)</v>
      </c>
      <c r="H9460" s="19"/>
    </row>
    <row r="9461">
      <c r="A9461" s="9"/>
      <c r="B9461" s="15"/>
      <c r="C9461" s="9">
        <f>IFERROR(__xludf.DUMMYFUNCTION("""COMPUTED_VALUE"""),45044.6579871296)</f>
        <v>45044.65799</v>
      </c>
      <c r="D9461" s="15">
        <f>IFERROR(__xludf.DUMMYFUNCTION("""COMPUTED_VALUE"""),1.03)</f>
        <v>1.03</v>
      </c>
      <c r="E9461" s="16">
        <f>IFERROR(__xludf.DUMMYFUNCTION("""COMPUTED_VALUE"""),62.0)</f>
        <v>62</v>
      </c>
      <c r="F9461" s="19" t="str">
        <f>IFERROR(__xludf.DUMMYFUNCTION("""COMPUTED_VALUE"""),"BLUE")</f>
        <v>BLUE</v>
      </c>
      <c r="G9461" s="20" t="str">
        <f>IFERROR(__xludf.DUMMYFUNCTION("""COMPUTED_VALUE"""),"Uncle Sams Cider (04/04/2023)")</f>
        <v>Uncle Sams Cider (04/04/2023)</v>
      </c>
      <c r="H9461" s="19"/>
    </row>
    <row r="9462">
      <c r="A9462" s="9"/>
      <c r="B9462" s="15"/>
      <c r="C9462" s="9">
        <f>IFERROR(__xludf.DUMMYFUNCTION("""COMPUTED_VALUE"""),45044.647567118)</f>
        <v>45044.64757</v>
      </c>
      <c r="D9462" s="15">
        <f>IFERROR(__xludf.DUMMYFUNCTION("""COMPUTED_VALUE"""),1.029)</f>
        <v>1.029</v>
      </c>
      <c r="E9462" s="16">
        <f>IFERROR(__xludf.DUMMYFUNCTION("""COMPUTED_VALUE"""),62.0)</f>
        <v>62</v>
      </c>
      <c r="F9462" s="19" t="str">
        <f>IFERROR(__xludf.DUMMYFUNCTION("""COMPUTED_VALUE"""),"BLUE")</f>
        <v>BLUE</v>
      </c>
      <c r="G9462" s="20" t="str">
        <f>IFERROR(__xludf.DUMMYFUNCTION("""COMPUTED_VALUE"""),"Uncle Sams Cider (04/04/2023)")</f>
        <v>Uncle Sams Cider (04/04/2023)</v>
      </c>
      <c r="H9462" s="19"/>
    </row>
    <row r="9463">
      <c r="A9463" s="9"/>
      <c r="B9463" s="15"/>
      <c r="C9463" s="9">
        <f>IFERROR(__xludf.DUMMYFUNCTION("""COMPUTED_VALUE"""),45044.6371473032)</f>
        <v>45044.63715</v>
      </c>
      <c r="D9463" s="15">
        <f>IFERROR(__xludf.DUMMYFUNCTION("""COMPUTED_VALUE"""),1.029)</f>
        <v>1.029</v>
      </c>
      <c r="E9463" s="16">
        <f>IFERROR(__xludf.DUMMYFUNCTION("""COMPUTED_VALUE"""),62.0)</f>
        <v>62</v>
      </c>
      <c r="F9463" s="19" t="str">
        <f>IFERROR(__xludf.DUMMYFUNCTION("""COMPUTED_VALUE"""),"BLUE")</f>
        <v>BLUE</v>
      </c>
      <c r="G9463" s="20" t="str">
        <f>IFERROR(__xludf.DUMMYFUNCTION("""COMPUTED_VALUE"""),"Uncle Sams Cider (04/04/2023)")</f>
        <v>Uncle Sams Cider (04/04/2023)</v>
      </c>
      <c r="H9463" s="19"/>
    </row>
    <row r="9464">
      <c r="A9464" s="9"/>
      <c r="B9464" s="15"/>
      <c r="C9464" s="9">
        <f>IFERROR(__xludf.DUMMYFUNCTION("""COMPUTED_VALUE"""),45044.6267249537)</f>
        <v>45044.62672</v>
      </c>
      <c r="D9464" s="15">
        <f>IFERROR(__xludf.DUMMYFUNCTION("""COMPUTED_VALUE"""),1.029)</f>
        <v>1.029</v>
      </c>
      <c r="E9464" s="16">
        <f>IFERROR(__xludf.DUMMYFUNCTION("""COMPUTED_VALUE"""),62.0)</f>
        <v>62</v>
      </c>
      <c r="F9464" s="19" t="str">
        <f>IFERROR(__xludf.DUMMYFUNCTION("""COMPUTED_VALUE"""),"BLUE")</f>
        <v>BLUE</v>
      </c>
      <c r="G9464" s="20" t="str">
        <f>IFERROR(__xludf.DUMMYFUNCTION("""COMPUTED_VALUE"""),"Uncle Sams Cider (04/04/2023)")</f>
        <v>Uncle Sams Cider (04/04/2023)</v>
      </c>
      <c r="H9464" s="19"/>
    </row>
    <row r="9465">
      <c r="A9465" s="9"/>
      <c r="B9465" s="15"/>
      <c r="C9465" s="9">
        <f>IFERROR(__xludf.DUMMYFUNCTION("""COMPUTED_VALUE"""),45044.6162916898)</f>
        <v>45044.61629</v>
      </c>
      <c r="D9465" s="15">
        <f>IFERROR(__xludf.DUMMYFUNCTION("""COMPUTED_VALUE"""),1.03)</f>
        <v>1.03</v>
      </c>
      <c r="E9465" s="16">
        <f>IFERROR(__xludf.DUMMYFUNCTION("""COMPUTED_VALUE"""),62.0)</f>
        <v>62</v>
      </c>
      <c r="F9465" s="19" t="str">
        <f>IFERROR(__xludf.DUMMYFUNCTION("""COMPUTED_VALUE"""),"BLUE")</f>
        <v>BLUE</v>
      </c>
      <c r="G9465" s="20" t="str">
        <f>IFERROR(__xludf.DUMMYFUNCTION("""COMPUTED_VALUE"""),"Uncle Sams Cider (04/04/2023)")</f>
        <v>Uncle Sams Cider (04/04/2023)</v>
      </c>
      <c r="H9465" s="19"/>
    </row>
    <row r="9466">
      <c r="A9466" s="9"/>
      <c r="B9466" s="15"/>
      <c r="C9466" s="9">
        <f>IFERROR(__xludf.DUMMYFUNCTION("""COMPUTED_VALUE"""),45044.605869155)</f>
        <v>45044.60587</v>
      </c>
      <c r="D9466" s="15">
        <f>IFERROR(__xludf.DUMMYFUNCTION("""COMPUTED_VALUE"""),1.03)</f>
        <v>1.03</v>
      </c>
      <c r="E9466" s="16">
        <f>IFERROR(__xludf.DUMMYFUNCTION("""COMPUTED_VALUE"""),62.0)</f>
        <v>62</v>
      </c>
      <c r="F9466" s="19" t="str">
        <f>IFERROR(__xludf.DUMMYFUNCTION("""COMPUTED_VALUE"""),"BLUE")</f>
        <v>BLUE</v>
      </c>
      <c r="G9466" s="20" t="str">
        <f>IFERROR(__xludf.DUMMYFUNCTION("""COMPUTED_VALUE"""),"Uncle Sams Cider (04/04/2023)")</f>
        <v>Uncle Sams Cider (04/04/2023)</v>
      </c>
      <c r="H9466" s="19"/>
    </row>
    <row r="9467">
      <c r="A9467" s="9"/>
      <c r="B9467" s="15"/>
      <c r="C9467" s="9">
        <f>IFERROR(__xludf.DUMMYFUNCTION("""COMPUTED_VALUE"""),45044.5954491782)</f>
        <v>45044.59545</v>
      </c>
      <c r="D9467" s="15">
        <f>IFERROR(__xludf.DUMMYFUNCTION("""COMPUTED_VALUE"""),1.03)</f>
        <v>1.03</v>
      </c>
      <c r="E9467" s="16">
        <f>IFERROR(__xludf.DUMMYFUNCTION("""COMPUTED_VALUE"""),62.0)</f>
        <v>62</v>
      </c>
      <c r="F9467" s="19" t="str">
        <f>IFERROR(__xludf.DUMMYFUNCTION("""COMPUTED_VALUE"""),"BLUE")</f>
        <v>BLUE</v>
      </c>
      <c r="G9467" s="20" t="str">
        <f>IFERROR(__xludf.DUMMYFUNCTION("""COMPUTED_VALUE"""),"Uncle Sams Cider (04/04/2023)")</f>
        <v>Uncle Sams Cider (04/04/2023)</v>
      </c>
      <c r="H9467" s="19"/>
    </row>
    <row r="9468">
      <c r="A9468" s="9"/>
      <c r="B9468" s="15"/>
      <c r="C9468" s="9">
        <f>IFERROR(__xludf.DUMMYFUNCTION("""COMPUTED_VALUE"""),45044.585026655)</f>
        <v>45044.58503</v>
      </c>
      <c r="D9468" s="15">
        <f>IFERROR(__xludf.DUMMYFUNCTION("""COMPUTED_VALUE"""),1.029)</f>
        <v>1.029</v>
      </c>
      <c r="E9468" s="16">
        <f>IFERROR(__xludf.DUMMYFUNCTION("""COMPUTED_VALUE"""),62.0)</f>
        <v>62</v>
      </c>
      <c r="F9468" s="19" t="str">
        <f>IFERROR(__xludf.DUMMYFUNCTION("""COMPUTED_VALUE"""),"BLUE")</f>
        <v>BLUE</v>
      </c>
      <c r="G9468" s="20" t="str">
        <f>IFERROR(__xludf.DUMMYFUNCTION("""COMPUTED_VALUE"""),"Uncle Sams Cider (04/04/2023)")</f>
        <v>Uncle Sams Cider (04/04/2023)</v>
      </c>
      <c r="H9468" s="19"/>
    </row>
    <row r="9469">
      <c r="A9469" s="9"/>
      <c r="B9469" s="15"/>
      <c r="C9469" s="9">
        <f>IFERROR(__xludf.DUMMYFUNCTION("""COMPUTED_VALUE"""),45044.5746048726)</f>
        <v>45044.5746</v>
      </c>
      <c r="D9469" s="15">
        <f>IFERROR(__xludf.DUMMYFUNCTION("""COMPUTED_VALUE"""),1.029)</f>
        <v>1.029</v>
      </c>
      <c r="E9469" s="16">
        <f>IFERROR(__xludf.DUMMYFUNCTION("""COMPUTED_VALUE"""),62.0)</f>
        <v>62</v>
      </c>
      <c r="F9469" s="19" t="str">
        <f>IFERROR(__xludf.DUMMYFUNCTION("""COMPUTED_VALUE"""),"BLUE")</f>
        <v>BLUE</v>
      </c>
      <c r="G9469" s="20" t="str">
        <f>IFERROR(__xludf.DUMMYFUNCTION("""COMPUTED_VALUE"""),"Uncle Sams Cider (04/04/2023)")</f>
        <v>Uncle Sams Cider (04/04/2023)</v>
      </c>
      <c r="H9469" s="19"/>
    </row>
    <row r="9470">
      <c r="A9470" s="9"/>
      <c r="B9470" s="15"/>
      <c r="C9470" s="9">
        <f>IFERROR(__xludf.DUMMYFUNCTION("""COMPUTED_VALUE"""),45044.5641846759)</f>
        <v>45044.56418</v>
      </c>
      <c r="D9470" s="15">
        <f>IFERROR(__xludf.DUMMYFUNCTION("""COMPUTED_VALUE"""),1.03)</f>
        <v>1.03</v>
      </c>
      <c r="E9470" s="16">
        <f>IFERROR(__xludf.DUMMYFUNCTION("""COMPUTED_VALUE"""),62.0)</f>
        <v>62</v>
      </c>
      <c r="F9470" s="19" t="str">
        <f>IFERROR(__xludf.DUMMYFUNCTION("""COMPUTED_VALUE"""),"BLUE")</f>
        <v>BLUE</v>
      </c>
      <c r="G9470" s="20" t="str">
        <f>IFERROR(__xludf.DUMMYFUNCTION("""COMPUTED_VALUE"""),"Uncle Sams Cider (04/04/2023)")</f>
        <v>Uncle Sams Cider (04/04/2023)</v>
      </c>
      <c r="H9470" s="19"/>
    </row>
    <row r="9471">
      <c r="A9471" s="9"/>
      <c r="B9471" s="15"/>
      <c r="C9471" s="9">
        <f>IFERROR(__xludf.DUMMYFUNCTION("""COMPUTED_VALUE"""),45044.553764074)</f>
        <v>45044.55376</v>
      </c>
      <c r="D9471" s="15">
        <f>IFERROR(__xludf.DUMMYFUNCTION("""COMPUTED_VALUE"""),1.03)</f>
        <v>1.03</v>
      </c>
      <c r="E9471" s="16">
        <f>IFERROR(__xludf.DUMMYFUNCTION("""COMPUTED_VALUE"""),62.0)</f>
        <v>62</v>
      </c>
      <c r="F9471" s="19" t="str">
        <f>IFERROR(__xludf.DUMMYFUNCTION("""COMPUTED_VALUE"""),"BLUE")</f>
        <v>BLUE</v>
      </c>
      <c r="G9471" s="20" t="str">
        <f>IFERROR(__xludf.DUMMYFUNCTION("""COMPUTED_VALUE"""),"Uncle Sams Cider (04/04/2023)")</f>
        <v>Uncle Sams Cider (04/04/2023)</v>
      </c>
      <c r="H9471" s="19"/>
    </row>
    <row r="9472">
      <c r="A9472" s="9"/>
      <c r="B9472" s="15"/>
      <c r="C9472" s="9">
        <f>IFERROR(__xludf.DUMMYFUNCTION("""COMPUTED_VALUE"""),45044.5433423611)</f>
        <v>45044.54334</v>
      </c>
      <c r="D9472" s="15">
        <f>IFERROR(__xludf.DUMMYFUNCTION("""COMPUTED_VALUE"""),1.029)</f>
        <v>1.029</v>
      </c>
      <c r="E9472" s="16">
        <f>IFERROR(__xludf.DUMMYFUNCTION("""COMPUTED_VALUE"""),62.0)</f>
        <v>62</v>
      </c>
      <c r="F9472" s="19" t="str">
        <f>IFERROR(__xludf.DUMMYFUNCTION("""COMPUTED_VALUE"""),"BLUE")</f>
        <v>BLUE</v>
      </c>
      <c r="G9472" s="20" t="str">
        <f>IFERROR(__xludf.DUMMYFUNCTION("""COMPUTED_VALUE"""),"Uncle Sams Cider (04/04/2023)")</f>
        <v>Uncle Sams Cider (04/04/2023)</v>
      </c>
      <c r="H9472" s="19"/>
    </row>
    <row r="9473">
      <c r="A9473" s="9"/>
      <c r="B9473" s="15"/>
      <c r="C9473" s="9">
        <f>IFERROR(__xludf.DUMMYFUNCTION("""COMPUTED_VALUE"""),45044.5329215972)</f>
        <v>45044.53292</v>
      </c>
      <c r="D9473" s="15">
        <f>IFERROR(__xludf.DUMMYFUNCTION("""COMPUTED_VALUE"""),1.029)</f>
        <v>1.029</v>
      </c>
      <c r="E9473" s="16">
        <f>IFERROR(__xludf.DUMMYFUNCTION("""COMPUTED_VALUE"""),62.0)</f>
        <v>62</v>
      </c>
      <c r="F9473" s="19" t="str">
        <f>IFERROR(__xludf.DUMMYFUNCTION("""COMPUTED_VALUE"""),"BLUE")</f>
        <v>BLUE</v>
      </c>
      <c r="G9473" s="20" t="str">
        <f>IFERROR(__xludf.DUMMYFUNCTION("""COMPUTED_VALUE"""),"Uncle Sams Cider (04/04/2023)")</f>
        <v>Uncle Sams Cider (04/04/2023)</v>
      </c>
      <c r="H9473" s="19"/>
    </row>
    <row r="9474">
      <c r="A9474" s="9"/>
      <c r="B9474" s="15"/>
      <c r="C9474" s="9">
        <f>IFERROR(__xludf.DUMMYFUNCTION("""COMPUTED_VALUE"""),45044.5224883449)</f>
        <v>45044.52249</v>
      </c>
      <c r="D9474" s="15">
        <f>IFERROR(__xludf.DUMMYFUNCTION("""COMPUTED_VALUE"""),1.03)</f>
        <v>1.03</v>
      </c>
      <c r="E9474" s="16">
        <f>IFERROR(__xludf.DUMMYFUNCTION("""COMPUTED_VALUE"""),62.0)</f>
        <v>62</v>
      </c>
      <c r="F9474" s="19" t="str">
        <f>IFERROR(__xludf.DUMMYFUNCTION("""COMPUTED_VALUE"""),"BLUE")</f>
        <v>BLUE</v>
      </c>
      <c r="G9474" s="20" t="str">
        <f>IFERROR(__xludf.DUMMYFUNCTION("""COMPUTED_VALUE"""),"Uncle Sams Cider (04/04/2023)")</f>
        <v>Uncle Sams Cider (04/04/2023)</v>
      </c>
      <c r="H9474" s="19"/>
    </row>
    <row r="9475">
      <c r="A9475" s="9"/>
      <c r="B9475" s="15"/>
      <c r="C9475" s="9">
        <f>IFERROR(__xludf.DUMMYFUNCTION("""COMPUTED_VALUE"""),45044.5120667824)</f>
        <v>45044.51207</v>
      </c>
      <c r="D9475" s="15">
        <f>IFERROR(__xludf.DUMMYFUNCTION("""COMPUTED_VALUE"""),1.03)</f>
        <v>1.03</v>
      </c>
      <c r="E9475" s="16">
        <f>IFERROR(__xludf.DUMMYFUNCTION("""COMPUTED_VALUE"""),62.0)</f>
        <v>62</v>
      </c>
      <c r="F9475" s="19" t="str">
        <f>IFERROR(__xludf.DUMMYFUNCTION("""COMPUTED_VALUE"""),"BLUE")</f>
        <v>BLUE</v>
      </c>
      <c r="G9475" s="20" t="str">
        <f>IFERROR(__xludf.DUMMYFUNCTION("""COMPUTED_VALUE"""),"Uncle Sams Cider (04/04/2023)")</f>
        <v>Uncle Sams Cider (04/04/2023)</v>
      </c>
      <c r="H9475" s="19"/>
    </row>
    <row r="9476">
      <c r="A9476" s="9"/>
      <c r="B9476" s="15"/>
      <c r="C9476" s="9">
        <f>IFERROR(__xludf.DUMMYFUNCTION("""COMPUTED_VALUE"""),45044.5016341435)</f>
        <v>45044.50163</v>
      </c>
      <c r="D9476" s="15">
        <f>IFERROR(__xludf.DUMMYFUNCTION("""COMPUTED_VALUE"""),1.03)</f>
        <v>1.03</v>
      </c>
      <c r="E9476" s="16">
        <f>IFERROR(__xludf.DUMMYFUNCTION("""COMPUTED_VALUE"""),62.0)</f>
        <v>62</v>
      </c>
      <c r="F9476" s="19" t="str">
        <f>IFERROR(__xludf.DUMMYFUNCTION("""COMPUTED_VALUE"""),"BLUE")</f>
        <v>BLUE</v>
      </c>
      <c r="G9476" s="20" t="str">
        <f>IFERROR(__xludf.DUMMYFUNCTION("""COMPUTED_VALUE"""),"Uncle Sams Cider (04/04/2023)")</f>
        <v>Uncle Sams Cider (04/04/2023)</v>
      </c>
      <c r="H9476" s="19"/>
    </row>
    <row r="9477">
      <c r="A9477" s="9"/>
      <c r="B9477" s="15"/>
      <c r="C9477" s="9">
        <f>IFERROR(__xludf.DUMMYFUNCTION("""COMPUTED_VALUE"""),45044.4911908333)</f>
        <v>45044.49119</v>
      </c>
      <c r="D9477" s="15">
        <f>IFERROR(__xludf.DUMMYFUNCTION("""COMPUTED_VALUE"""),1.03)</f>
        <v>1.03</v>
      </c>
      <c r="E9477" s="16">
        <f>IFERROR(__xludf.DUMMYFUNCTION("""COMPUTED_VALUE"""),62.0)</f>
        <v>62</v>
      </c>
      <c r="F9477" s="19" t="str">
        <f>IFERROR(__xludf.DUMMYFUNCTION("""COMPUTED_VALUE"""),"BLUE")</f>
        <v>BLUE</v>
      </c>
      <c r="G9477" s="20" t="str">
        <f>IFERROR(__xludf.DUMMYFUNCTION("""COMPUTED_VALUE"""),"Uncle Sams Cider (04/04/2023)")</f>
        <v>Uncle Sams Cider (04/04/2023)</v>
      </c>
      <c r="H9477" s="19"/>
    </row>
    <row r="9478">
      <c r="A9478" s="9"/>
      <c r="B9478" s="15"/>
      <c r="C9478" s="9">
        <f>IFERROR(__xludf.DUMMYFUNCTION("""COMPUTED_VALUE"""),45044.4807711921)</f>
        <v>45044.48077</v>
      </c>
      <c r="D9478" s="15">
        <f>IFERROR(__xludf.DUMMYFUNCTION("""COMPUTED_VALUE"""),1.03)</f>
        <v>1.03</v>
      </c>
      <c r="E9478" s="16">
        <f>IFERROR(__xludf.DUMMYFUNCTION("""COMPUTED_VALUE"""),62.0)</f>
        <v>62</v>
      </c>
      <c r="F9478" s="19" t="str">
        <f>IFERROR(__xludf.DUMMYFUNCTION("""COMPUTED_VALUE"""),"BLUE")</f>
        <v>BLUE</v>
      </c>
      <c r="G9478" s="20" t="str">
        <f>IFERROR(__xludf.DUMMYFUNCTION("""COMPUTED_VALUE"""),"Uncle Sams Cider (04/04/2023)")</f>
        <v>Uncle Sams Cider (04/04/2023)</v>
      </c>
      <c r="H9478" s="19"/>
    </row>
    <row r="9479">
      <c r="A9479" s="9"/>
      <c r="B9479" s="15"/>
      <c r="C9479" s="9">
        <f>IFERROR(__xludf.DUMMYFUNCTION("""COMPUTED_VALUE"""),45044.47034978)</f>
        <v>45044.47035</v>
      </c>
      <c r="D9479" s="15">
        <f>IFERROR(__xludf.DUMMYFUNCTION("""COMPUTED_VALUE"""),1.03)</f>
        <v>1.03</v>
      </c>
      <c r="E9479" s="16">
        <f>IFERROR(__xludf.DUMMYFUNCTION("""COMPUTED_VALUE"""),62.0)</f>
        <v>62</v>
      </c>
      <c r="F9479" s="19" t="str">
        <f>IFERROR(__xludf.DUMMYFUNCTION("""COMPUTED_VALUE"""),"BLUE")</f>
        <v>BLUE</v>
      </c>
      <c r="G9479" s="20" t="str">
        <f>IFERROR(__xludf.DUMMYFUNCTION("""COMPUTED_VALUE"""),"Uncle Sams Cider (04/04/2023)")</f>
        <v>Uncle Sams Cider (04/04/2023)</v>
      </c>
      <c r="H9479" s="19"/>
    </row>
    <row r="9480">
      <c r="A9480" s="9"/>
      <c r="B9480" s="15"/>
      <c r="C9480" s="9">
        <f>IFERROR(__xludf.DUMMYFUNCTION("""COMPUTED_VALUE"""),45044.4599296643)</f>
        <v>45044.45993</v>
      </c>
      <c r="D9480" s="15">
        <f>IFERROR(__xludf.DUMMYFUNCTION("""COMPUTED_VALUE"""),1.03)</f>
        <v>1.03</v>
      </c>
      <c r="E9480" s="16">
        <f>IFERROR(__xludf.DUMMYFUNCTION("""COMPUTED_VALUE"""),62.0)</f>
        <v>62</v>
      </c>
      <c r="F9480" s="19" t="str">
        <f>IFERROR(__xludf.DUMMYFUNCTION("""COMPUTED_VALUE"""),"BLUE")</f>
        <v>BLUE</v>
      </c>
      <c r="G9480" s="20" t="str">
        <f>IFERROR(__xludf.DUMMYFUNCTION("""COMPUTED_VALUE"""),"Uncle Sams Cider (04/04/2023)")</f>
        <v>Uncle Sams Cider (04/04/2023)</v>
      </c>
      <c r="H9480" s="19"/>
    </row>
    <row r="9481">
      <c r="A9481" s="9"/>
      <c r="B9481" s="15"/>
      <c r="C9481" s="9">
        <f>IFERROR(__xludf.DUMMYFUNCTION("""COMPUTED_VALUE"""),45044.4494972801)</f>
        <v>45044.4495</v>
      </c>
      <c r="D9481" s="15">
        <f>IFERROR(__xludf.DUMMYFUNCTION("""COMPUTED_VALUE"""),1.03)</f>
        <v>1.03</v>
      </c>
      <c r="E9481" s="16">
        <f>IFERROR(__xludf.DUMMYFUNCTION("""COMPUTED_VALUE"""),62.0)</f>
        <v>62</v>
      </c>
      <c r="F9481" s="19" t="str">
        <f>IFERROR(__xludf.DUMMYFUNCTION("""COMPUTED_VALUE"""),"BLUE")</f>
        <v>BLUE</v>
      </c>
      <c r="G9481" s="20" t="str">
        <f>IFERROR(__xludf.DUMMYFUNCTION("""COMPUTED_VALUE"""),"Uncle Sams Cider (04/04/2023)")</f>
        <v>Uncle Sams Cider (04/04/2023)</v>
      </c>
      <c r="H9481" s="19"/>
    </row>
    <row r="9482">
      <c r="A9482" s="9"/>
      <c r="B9482" s="15"/>
      <c r="C9482" s="9">
        <f>IFERROR(__xludf.DUMMYFUNCTION("""COMPUTED_VALUE"""),45044.4390759606)</f>
        <v>45044.43908</v>
      </c>
      <c r="D9482" s="15">
        <f>IFERROR(__xludf.DUMMYFUNCTION("""COMPUTED_VALUE"""),1.03)</f>
        <v>1.03</v>
      </c>
      <c r="E9482" s="16">
        <f>IFERROR(__xludf.DUMMYFUNCTION("""COMPUTED_VALUE"""),62.0)</f>
        <v>62</v>
      </c>
      <c r="F9482" s="19" t="str">
        <f>IFERROR(__xludf.DUMMYFUNCTION("""COMPUTED_VALUE"""),"BLUE")</f>
        <v>BLUE</v>
      </c>
      <c r="G9482" s="20" t="str">
        <f>IFERROR(__xludf.DUMMYFUNCTION("""COMPUTED_VALUE"""),"Uncle Sams Cider (04/04/2023)")</f>
        <v>Uncle Sams Cider (04/04/2023)</v>
      </c>
      <c r="H9482" s="19"/>
    </row>
    <row r="9483">
      <c r="A9483" s="9"/>
      <c r="B9483" s="15"/>
      <c r="C9483" s="9">
        <f>IFERROR(__xludf.DUMMYFUNCTION("""COMPUTED_VALUE"""),45044.4286534837)</f>
        <v>45044.42865</v>
      </c>
      <c r="D9483" s="15">
        <f>IFERROR(__xludf.DUMMYFUNCTION("""COMPUTED_VALUE"""),1.03)</f>
        <v>1.03</v>
      </c>
      <c r="E9483" s="16">
        <f>IFERROR(__xludf.DUMMYFUNCTION("""COMPUTED_VALUE"""),62.0)</f>
        <v>62</v>
      </c>
      <c r="F9483" s="19" t="str">
        <f>IFERROR(__xludf.DUMMYFUNCTION("""COMPUTED_VALUE"""),"BLUE")</f>
        <v>BLUE</v>
      </c>
      <c r="G9483" s="20" t="str">
        <f>IFERROR(__xludf.DUMMYFUNCTION("""COMPUTED_VALUE"""),"Uncle Sams Cider (04/04/2023)")</f>
        <v>Uncle Sams Cider (04/04/2023)</v>
      </c>
      <c r="H9483" s="19"/>
    </row>
    <row r="9484">
      <c r="A9484" s="9"/>
      <c r="B9484" s="15"/>
      <c r="C9484" s="9">
        <f>IFERROR(__xludf.DUMMYFUNCTION("""COMPUTED_VALUE"""),45044.4182195138)</f>
        <v>45044.41822</v>
      </c>
      <c r="D9484" s="15">
        <f>IFERROR(__xludf.DUMMYFUNCTION("""COMPUTED_VALUE"""),1.03)</f>
        <v>1.03</v>
      </c>
      <c r="E9484" s="16">
        <f>IFERROR(__xludf.DUMMYFUNCTION("""COMPUTED_VALUE"""),62.0)</f>
        <v>62</v>
      </c>
      <c r="F9484" s="19" t="str">
        <f>IFERROR(__xludf.DUMMYFUNCTION("""COMPUTED_VALUE"""),"BLUE")</f>
        <v>BLUE</v>
      </c>
      <c r="G9484" s="20" t="str">
        <f>IFERROR(__xludf.DUMMYFUNCTION("""COMPUTED_VALUE"""),"Uncle Sams Cider (04/04/2023)")</f>
        <v>Uncle Sams Cider (04/04/2023)</v>
      </c>
      <c r="H9484" s="19"/>
    </row>
    <row r="9485">
      <c r="A9485" s="9"/>
      <c r="B9485" s="15"/>
      <c r="C9485" s="9">
        <f>IFERROR(__xludf.DUMMYFUNCTION("""COMPUTED_VALUE"""),45044.4077980439)</f>
        <v>45044.4078</v>
      </c>
      <c r="D9485" s="15">
        <f>IFERROR(__xludf.DUMMYFUNCTION("""COMPUTED_VALUE"""),1.03)</f>
        <v>1.03</v>
      </c>
      <c r="E9485" s="16">
        <f>IFERROR(__xludf.DUMMYFUNCTION("""COMPUTED_VALUE"""),62.0)</f>
        <v>62</v>
      </c>
      <c r="F9485" s="19" t="str">
        <f>IFERROR(__xludf.DUMMYFUNCTION("""COMPUTED_VALUE"""),"BLUE")</f>
        <v>BLUE</v>
      </c>
      <c r="G9485" s="20" t="str">
        <f>IFERROR(__xludf.DUMMYFUNCTION("""COMPUTED_VALUE"""),"Uncle Sams Cider (04/04/2023)")</f>
        <v>Uncle Sams Cider (04/04/2023)</v>
      </c>
      <c r="H9485" s="19"/>
    </row>
    <row r="9486">
      <c r="A9486" s="9"/>
      <c r="B9486" s="15"/>
      <c r="C9486" s="9">
        <f>IFERROR(__xludf.DUMMYFUNCTION("""COMPUTED_VALUE"""),45044.3973667361)</f>
        <v>45044.39737</v>
      </c>
      <c r="D9486" s="15">
        <f>IFERROR(__xludf.DUMMYFUNCTION("""COMPUTED_VALUE"""),1.03)</f>
        <v>1.03</v>
      </c>
      <c r="E9486" s="16">
        <f>IFERROR(__xludf.DUMMYFUNCTION("""COMPUTED_VALUE"""),62.0)</f>
        <v>62</v>
      </c>
      <c r="F9486" s="19" t="str">
        <f>IFERROR(__xludf.DUMMYFUNCTION("""COMPUTED_VALUE"""),"BLUE")</f>
        <v>BLUE</v>
      </c>
      <c r="G9486" s="20" t="str">
        <f>IFERROR(__xludf.DUMMYFUNCTION("""COMPUTED_VALUE"""),"Uncle Sams Cider (04/04/2023)")</f>
        <v>Uncle Sams Cider (04/04/2023)</v>
      </c>
      <c r="H9486" s="19"/>
    </row>
    <row r="9487">
      <c r="A9487" s="9"/>
      <c r="B9487" s="15"/>
      <c r="C9487" s="9">
        <f>IFERROR(__xludf.DUMMYFUNCTION("""COMPUTED_VALUE"""),45044.3869465972)</f>
        <v>45044.38695</v>
      </c>
      <c r="D9487" s="15">
        <f>IFERROR(__xludf.DUMMYFUNCTION("""COMPUTED_VALUE"""),1.03)</f>
        <v>1.03</v>
      </c>
      <c r="E9487" s="16">
        <f>IFERROR(__xludf.DUMMYFUNCTION("""COMPUTED_VALUE"""),62.0)</f>
        <v>62</v>
      </c>
      <c r="F9487" s="19" t="str">
        <f>IFERROR(__xludf.DUMMYFUNCTION("""COMPUTED_VALUE"""),"BLUE")</f>
        <v>BLUE</v>
      </c>
      <c r="G9487" s="20" t="str">
        <f>IFERROR(__xludf.DUMMYFUNCTION("""COMPUTED_VALUE"""),"Uncle Sams Cider (04/04/2023)")</f>
        <v>Uncle Sams Cider (04/04/2023)</v>
      </c>
      <c r="H9487" s="19"/>
    </row>
    <row r="9488">
      <c r="A9488" s="9"/>
      <c r="B9488" s="15"/>
      <c r="C9488" s="9">
        <f>IFERROR(__xludf.DUMMYFUNCTION("""COMPUTED_VALUE"""),45044.3765275463)</f>
        <v>45044.37653</v>
      </c>
      <c r="D9488" s="15">
        <f>IFERROR(__xludf.DUMMYFUNCTION("""COMPUTED_VALUE"""),1.03)</f>
        <v>1.03</v>
      </c>
      <c r="E9488" s="16">
        <f>IFERROR(__xludf.DUMMYFUNCTION("""COMPUTED_VALUE"""),62.0)</f>
        <v>62</v>
      </c>
      <c r="F9488" s="19" t="str">
        <f>IFERROR(__xludf.DUMMYFUNCTION("""COMPUTED_VALUE"""),"BLUE")</f>
        <v>BLUE</v>
      </c>
      <c r="G9488" s="20" t="str">
        <f>IFERROR(__xludf.DUMMYFUNCTION("""COMPUTED_VALUE"""),"Uncle Sams Cider (04/04/2023)")</f>
        <v>Uncle Sams Cider (04/04/2023)</v>
      </c>
      <c r="H9488" s="19"/>
    </row>
    <row r="9489">
      <c r="A9489" s="9"/>
      <c r="B9489" s="15"/>
      <c r="C9489" s="9">
        <f>IFERROR(__xludf.DUMMYFUNCTION("""COMPUTED_VALUE"""),45044.3661074421)</f>
        <v>45044.36611</v>
      </c>
      <c r="D9489" s="15">
        <f>IFERROR(__xludf.DUMMYFUNCTION("""COMPUTED_VALUE"""),1.03)</f>
        <v>1.03</v>
      </c>
      <c r="E9489" s="16">
        <f>IFERROR(__xludf.DUMMYFUNCTION("""COMPUTED_VALUE"""),62.0)</f>
        <v>62</v>
      </c>
      <c r="F9489" s="19" t="str">
        <f>IFERROR(__xludf.DUMMYFUNCTION("""COMPUTED_VALUE"""),"BLUE")</f>
        <v>BLUE</v>
      </c>
      <c r="G9489" s="20" t="str">
        <f>IFERROR(__xludf.DUMMYFUNCTION("""COMPUTED_VALUE"""),"Uncle Sams Cider (04/04/2023)")</f>
        <v>Uncle Sams Cider (04/04/2023)</v>
      </c>
      <c r="H9489" s="19"/>
    </row>
    <row r="9490">
      <c r="A9490" s="9"/>
      <c r="B9490" s="15"/>
      <c r="C9490" s="9">
        <f>IFERROR(__xludf.DUMMYFUNCTION("""COMPUTED_VALUE"""),45044.355685162)</f>
        <v>45044.35569</v>
      </c>
      <c r="D9490" s="15">
        <f>IFERROR(__xludf.DUMMYFUNCTION("""COMPUTED_VALUE"""),1.03)</f>
        <v>1.03</v>
      </c>
      <c r="E9490" s="16">
        <f>IFERROR(__xludf.DUMMYFUNCTION("""COMPUTED_VALUE"""),62.0)</f>
        <v>62</v>
      </c>
      <c r="F9490" s="19" t="str">
        <f>IFERROR(__xludf.DUMMYFUNCTION("""COMPUTED_VALUE"""),"BLUE")</f>
        <v>BLUE</v>
      </c>
      <c r="G9490" s="20" t="str">
        <f>IFERROR(__xludf.DUMMYFUNCTION("""COMPUTED_VALUE"""),"Uncle Sams Cider (04/04/2023)")</f>
        <v>Uncle Sams Cider (04/04/2023)</v>
      </c>
      <c r="H9490" s="19"/>
    </row>
    <row r="9491">
      <c r="A9491" s="9"/>
      <c r="B9491" s="15"/>
      <c r="C9491" s="9">
        <f>IFERROR(__xludf.DUMMYFUNCTION("""COMPUTED_VALUE"""),45044.3452514236)</f>
        <v>45044.34525</v>
      </c>
      <c r="D9491" s="15">
        <f>IFERROR(__xludf.DUMMYFUNCTION("""COMPUTED_VALUE"""),1.03)</f>
        <v>1.03</v>
      </c>
      <c r="E9491" s="16">
        <f>IFERROR(__xludf.DUMMYFUNCTION("""COMPUTED_VALUE"""),62.0)</f>
        <v>62</v>
      </c>
      <c r="F9491" s="19" t="str">
        <f>IFERROR(__xludf.DUMMYFUNCTION("""COMPUTED_VALUE"""),"BLUE")</f>
        <v>BLUE</v>
      </c>
      <c r="G9491" s="20" t="str">
        <f>IFERROR(__xludf.DUMMYFUNCTION("""COMPUTED_VALUE"""),"Uncle Sams Cider (04/04/2023)")</f>
        <v>Uncle Sams Cider (04/04/2023)</v>
      </c>
      <c r="H9491" s="19"/>
    </row>
    <row r="9492">
      <c r="A9492" s="9"/>
      <c r="B9492" s="15"/>
      <c r="C9492" s="9">
        <f>IFERROR(__xludf.DUMMYFUNCTION("""COMPUTED_VALUE"""),45044.3348312384)</f>
        <v>45044.33483</v>
      </c>
      <c r="D9492" s="15">
        <f>IFERROR(__xludf.DUMMYFUNCTION("""COMPUTED_VALUE"""),1.03)</f>
        <v>1.03</v>
      </c>
      <c r="E9492" s="16">
        <f>IFERROR(__xludf.DUMMYFUNCTION("""COMPUTED_VALUE"""),62.0)</f>
        <v>62</v>
      </c>
      <c r="F9492" s="19" t="str">
        <f>IFERROR(__xludf.DUMMYFUNCTION("""COMPUTED_VALUE"""),"BLUE")</f>
        <v>BLUE</v>
      </c>
      <c r="G9492" s="20" t="str">
        <f>IFERROR(__xludf.DUMMYFUNCTION("""COMPUTED_VALUE"""),"Uncle Sams Cider (04/04/2023)")</f>
        <v>Uncle Sams Cider (04/04/2023)</v>
      </c>
      <c r="H9492" s="19"/>
    </row>
    <row r="9493">
      <c r="A9493" s="9"/>
      <c r="B9493" s="15"/>
      <c r="C9493" s="9">
        <f>IFERROR(__xludf.DUMMYFUNCTION("""COMPUTED_VALUE"""),45044.3244104629)</f>
        <v>45044.32441</v>
      </c>
      <c r="D9493" s="15">
        <f>IFERROR(__xludf.DUMMYFUNCTION("""COMPUTED_VALUE"""),1.03)</f>
        <v>1.03</v>
      </c>
      <c r="E9493" s="16">
        <f>IFERROR(__xludf.DUMMYFUNCTION("""COMPUTED_VALUE"""),62.0)</f>
        <v>62</v>
      </c>
      <c r="F9493" s="19" t="str">
        <f>IFERROR(__xludf.DUMMYFUNCTION("""COMPUTED_VALUE"""),"BLUE")</f>
        <v>BLUE</v>
      </c>
      <c r="G9493" s="20" t="str">
        <f>IFERROR(__xludf.DUMMYFUNCTION("""COMPUTED_VALUE"""),"Uncle Sams Cider (04/04/2023)")</f>
        <v>Uncle Sams Cider (04/04/2023)</v>
      </c>
      <c r="H9493" s="19"/>
    </row>
    <row r="9494">
      <c r="A9494" s="9"/>
      <c r="B9494" s="15"/>
      <c r="C9494" s="9">
        <f>IFERROR(__xludf.DUMMYFUNCTION("""COMPUTED_VALUE"""),45044.3139894675)</f>
        <v>45044.31399</v>
      </c>
      <c r="D9494" s="15">
        <f>IFERROR(__xludf.DUMMYFUNCTION("""COMPUTED_VALUE"""),1.03)</f>
        <v>1.03</v>
      </c>
      <c r="E9494" s="16">
        <f>IFERROR(__xludf.DUMMYFUNCTION("""COMPUTED_VALUE"""),62.0)</f>
        <v>62</v>
      </c>
      <c r="F9494" s="19" t="str">
        <f>IFERROR(__xludf.DUMMYFUNCTION("""COMPUTED_VALUE"""),"BLUE")</f>
        <v>BLUE</v>
      </c>
      <c r="G9494" s="20" t="str">
        <f>IFERROR(__xludf.DUMMYFUNCTION("""COMPUTED_VALUE"""),"Uncle Sams Cider (04/04/2023)")</f>
        <v>Uncle Sams Cider (04/04/2023)</v>
      </c>
      <c r="H9494" s="19"/>
    </row>
    <row r="9495">
      <c r="A9495" s="9"/>
      <c r="B9495" s="15"/>
      <c r="C9495" s="9">
        <f>IFERROR(__xludf.DUMMYFUNCTION("""COMPUTED_VALUE"""),45044.3035685416)</f>
        <v>45044.30357</v>
      </c>
      <c r="D9495" s="15">
        <f>IFERROR(__xludf.DUMMYFUNCTION("""COMPUTED_VALUE"""),1.03)</f>
        <v>1.03</v>
      </c>
      <c r="E9495" s="16">
        <f>IFERROR(__xludf.DUMMYFUNCTION("""COMPUTED_VALUE"""),62.0)</f>
        <v>62</v>
      </c>
      <c r="F9495" s="19" t="str">
        <f>IFERROR(__xludf.DUMMYFUNCTION("""COMPUTED_VALUE"""),"BLUE")</f>
        <v>BLUE</v>
      </c>
      <c r="G9495" s="20" t="str">
        <f>IFERROR(__xludf.DUMMYFUNCTION("""COMPUTED_VALUE"""),"Uncle Sams Cider (04/04/2023)")</f>
        <v>Uncle Sams Cider (04/04/2023)</v>
      </c>
      <c r="H9495" s="19"/>
    </row>
    <row r="9496">
      <c r="A9496" s="9"/>
      <c r="B9496" s="15"/>
      <c r="C9496" s="9">
        <f>IFERROR(__xludf.DUMMYFUNCTION("""COMPUTED_VALUE"""),45044.2931466435)</f>
        <v>45044.29315</v>
      </c>
      <c r="D9496" s="15">
        <f>IFERROR(__xludf.DUMMYFUNCTION("""COMPUTED_VALUE"""),1.03)</f>
        <v>1.03</v>
      </c>
      <c r="E9496" s="16">
        <f>IFERROR(__xludf.DUMMYFUNCTION("""COMPUTED_VALUE"""),62.0)</f>
        <v>62</v>
      </c>
      <c r="F9496" s="19" t="str">
        <f>IFERROR(__xludf.DUMMYFUNCTION("""COMPUTED_VALUE"""),"BLUE")</f>
        <v>BLUE</v>
      </c>
      <c r="G9496" s="20" t="str">
        <f>IFERROR(__xludf.DUMMYFUNCTION("""COMPUTED_VALUE"""),"Uncle Sams Cider (04/04/2023)")</f>
        <v>Uncle Sams Cider (04/04/2023)</v>
      </c>
      <c r="H9496" s="19"/>
    </row>
    <row r="9497">
      <c r="A9497" s="9"/>
      <c r="B9497" s="15"/>
      <c r="C9497" s="9">
        <f>IFERROR(__xludf.DUMMYFUNCTION("""COMPUTED_VALUE"""),45044.2827251736)</f>
        <v>45044.28273</v>
      </c>
      <c r="D9497" s="15">
        <f>IFERROR(__xludf.DUMMYFUNCTION("""COMPUTED_VALUE"""),1.03)</f>
        <v>1.03</v>
      </c>
      <c r="E9497" s="16">
        <f>IFERROR(__xludf.DUMMYFUNCTION("""COMPUTED_VALUE"""),62.0)</f>
        <v>62</v>
      </c>
      <c r="F9497" s="19" t="str">
        <f>IFERROR(__xludf.DUMMYFUNCTION("""COMPUTED_VALUE"""),"BLUE")</f>
        <v>BLUE</v>
      </c>
      <c r="G9497" s="20" t="str">
        <f>IFERROR(__xludf.DUMMYFUNCTION("""COMPUTED_VALUE"""),"Uncle Sams Cider (04/04/2023)")</f>
        <v>Uncle Sams Cider (04/04/2023)</v>
      </c>
      <c r="H9497" s="19"/>
    </row>
    <row r="9498">
      <c r="A9498" s="9"/>
      <c r="B9498" s="15"/>
      <c r="C9498" s="9">
        <f>IFERROR(__xludf.DUMMYFUNCTION("""COMPUTED_VALUE"""),45044.2723037847)</f>
        <v>45044.2723</v>
      </c>
      <c r="D9498" s="15">
        <f>IFERROR(__xludf.DUMMYFUNCTION("""COMPUTED_VALUE"""),1.03)</f>
        <v>1.03</v>
      </c>
      <c r="E9498" s="16">
        <f>IFERROR(__xludf.DUMMYFUNCTION("""COMPUTED_VALUE"""),62.0)</f>
        <v>62</v>
      </c>
      <c r="F9498" s="19" t="str">
        <f>IFERROR(__xludf.DUMMYFUNCTION("""COMPUTED_VALUE"""),"BLUE")</f>
        <v>BLUE</v>
      </c>
      <c r="G9498" s="20" t="str">
        <f>IFERROR(__xludf.DUMMYFUNCTION("""COMPUTED_VALUE"""),"Uncle Sams Cider (04/04/2023)")</f>
        <v>Uncle Sams Cider (04/04/2023)</v>
      </c>
      <c r="H9498" s="19"/>
    </row>
    <row r="9499">
      <c r="A9499" s="9"/>
      <c r="B9499" s="15"/>
      <c r="C9499" s="9">
        <f>IFERROR(__xludf.DUMMYFUNCTION("""COMPUTED_VALUE"""),45044.2618821412)</f>
        <v>45044.26188</v>
      </c>
      <c r="D9499" s="15">
        <f>IFERROR(__xludf.DUMMYFUNCTION("""COMPUTED_VALUE"""),1.03)</f>
        <v>1.03</v>
      </c>
      <c r="E9499" s="16">
        <f>IFERROR(__xludf.DUMMYFUNCTION("""COMPUTED_VALUE"""),62.0)</f>
        <v>62</v>
      </c>
      <c r="F9499" s="19" t="str">
        <f>IFERROR(__xludf.DUMMYFUNCTION("""COMPUTED_VALUE"""),"BLUE")</f>
        <v>BLUE</v>
      </c>
      <c r="G9499" s="20" t="str">
        <f>IFERROR(__xludf.DUMMYFUNCTION("""COMPUTED_VALUE"""),"Uncle Sams Cider (04/04/2023)")</f>
        <v>Uncle Sams Cider (04/04/2023)</v>
      </c>
      <c r="H9499" s="19"/>
    </row>
    <row r="9500">
      <c r="A9500" s="9"/>
      <c r="B9500" s="15"/>
      <c r="C9500" s="9">
        <f>IFERROR(__xludf.DUMMYFUNCTION("""COMPUTED_VALUE"""),45044.2514598958)</f>
        <v>45044.25146</v>
      </c>
      <c r="D9500" s="15">
        <f>IFERROR(__xludf.DUMMYFUNCTION("""COMPUTED_VALUE"""),1.03)</f>
        <v>1.03</v>
      </c>
      <c r="E9500" s="16">
        <f>IFERROR(__xludf.DUMMYFUNCTION("""COMPUTED_VALUE"""),62.0)</f>
        <v>62</v>
      </c>
      <c r="F9500" s="19" t="str">
        <f>IFERROR(__xludf.DUMMYFUNCTION("""COMPUTED_VALUE"""),"BLUE")</f>
        <v>BLUE</v>
      </c>
      <c r="G9500" s="20" t="str">
        <f>IFERROR(__xludf.DUMMYFUNCTION("""COMPUTED_VALUE"""),"Uncle Sams Cider (04/04/2023)")</f>
        <v>Uncle Sams Cider (04/04/2023)</v>
      </c>
      <c r="H9500" s="19"/>
    </row>
    <row r="9501">
      <c r="A9501" s="9"/>
      <c r="B9501" s="15"/>
      <c r="C9501" s="9">
        <f>IFERROR(__xludf.DUMMYFUNCTION("""COMPUTED_VALUE"""),45044.2410393518)</f>
        <v>45044.24104</v>
      </c>
      <c r="D9501" s="15">
        <f>IFERROR(__xludf.DUMMYFUNCTION("""COMPUTED_VALUE"""),1.03)</f>
        <v>1.03</v>
      </c>
      <c r="E9501" s="16">
        <f>IFERROR(__xludf.DUMMYFUNCTION("""COMPUTED_VALUE"""),62.0)</f>
        <v>62</v>
      </c>
      <c r="F9501" s="19" t="str">
        <f>IFERROR(__xludf.DUMMYFUNCTION("""COMPUTED_VALUE"""),"BLUE")</f>
        <v>BLUE</v>
      </c>
      <c r="G9501" s="20" t="str">
        <f>IFERROR(__xludf.DUMMYFUNCTION("""COMPUTED_VALUE"""),"Uncle Sams Cider (04/04/2023)")</f>
        <v>Uncle Sams Cider (04/04/2023)</v>
      </c>
      <c r="H9501" s="19"/>
    </row>
    <row r="9502">
      <c r="A9502" s="9"/>
      <c r="B9502" s="15"/>
      <c r="C9502" s="9">
        <f>IFERROR(__xludf.DUMMYFUNCTION("""COMPUTED_VALUE"""),45044.2306174768)</f>
        <v>45044.23062</v>
      </c>
      <c r="D9502" s="15">
        <f>IFERROR(__xludf.DUMMYFUNCTION("""COMPUTED_VALUE"""),1.03)</f>
        <v>1.03</v>
      </c>
      <c r="E9502" s="16">
        <f>IFERROR(__xludf.DUMMYFUNCTION("""COMPUTED_VALUE"""),62.0)</f>
        <v>62</v>
      </c>
      <c r="F9502" s="19" t="str">
        <f>IFERROR(__xludf.DUMMYFUNCTION("""COMPUTED_VALUE"""),"BLUE")</f>
        <v>BLUE</v>
      </c>
      <c r="G9502" s="20" t="str">
        <f>IFERROR(__xludf.DUMMYFUNCTION("""COMPUTED_VALUE"""),"Uncle Sams Cider (04/04/2023)")</f>
        <v>Uncle Sams Cider (04/04/2023)</v>
      </c>
      <c r="H9502" s="19"/>
    </row>
    <row r="9503">
      <c r="A9503" s="9"/>
      <c r="B9503" s="15"/>
      <c r="C9503" s="9">
        <f>IFERROR(__xludf.DUMMYFUNCTION("""COMPUTED_VALUE"""),45044.2201984606)</f>
        <v>45044.2202</v>
      </c>
      <c r="D9503" s="15">
        <f>IFERROR(__xludf.DUMMYFUNCTION("""COMPUTED_VALUE"""),1.03)</f>
        <v>1.03</v>
      </c>
      <c r="E9503" s="16">
        <f>IFERROR(__xludf.DUMMYFUNCTION("""COMPUTED_VALUE"""),62.0)</f>
        <v>62</v>
      </c>
      <c r="F9503" s="19" t="str">
        <f>IFERROR(__xludf.DUMMYFUNCTION("""COMPUTED_VALUE"""),"BLUE")</f>
        <v>BLUE</v>
      </c>
      <c r="G9503" s="20" t="str">
        <f>IFERROR(__xludf.DUMMYFUNCTION("""COMPUTED_VALUE"""),"Uncle Sams Cider (04/04/2023)")</f>
        <v>Uncle Sams Cider (04/04/2023)</v>
      </c>
      <c r="H9503" s="19"/>
    </row>
    <row r="9504">
      <c r="A9504" s="9"/>
      <c r="B9504" s="15"/>
      <c r="C9504" s="9">
        <f>IFERROR(__xludf.DUMMYFUNCTION("""COMPUTED_VALUE"""),45044.2097755671)</f>
        <v>45044.20978</v>
      </c>
      <c r="D9504" s="15">
        <f>IFERROR(__xludf.DUMMYFUNCTION("""COMPUTED_VALUE"""),1.03)</f>
        <v>1.03</v>
      </c>
      <c r="E9504" s="16">
        <f>IFERROR(__xludf.DUMMYFUNCTION("""COMPUTED_VALUE"""),62.0)</f>
        <v>62</v>
      </c>
      <c r="F9504" s="19" t="str">
        <f>IFERROR(__xludf.DUMMYFUNCTION("""COMPUTED_VALUE"""),"BLUE")</f>
        <v>BLUE</v>
      </c>
      <c r="G9504" s="20" t="str">
        <f>IFERROR(__xludf.DUMMYFUNCTION("""COMPUTED_VALUE"""),"Uncle Sams Cider (04/04/2023)")</f>
        <v>Uncle Sams Cider (04/04/2023)</v>
      </c>
      <c r="H9504" s="19"/>
    </row>
    <row r="9505">
      <c r="A9505" s="9"/>
      <c r="B9505" s="15"/>
      <c r="C9505" s="9">
        <f>IFERROR(__xludf.DUMMYFUNCTION("""COMPUTED_VALUE"""),45044.1993557175)</f>
        <v>45044.19936</v>
      </c>
      <c r="D9505" s="15">
        <f>IFERROR(__xludf.DUMMYFUNCTION("""COMPUTED_VALUE"""),1.03)</f>
        <v>1.03</v>
      </c>
      <c r="E9505" s="16">
        <f>IFERROR(__xludf.DUMMYFUNCTION("""COMPUTED_VALUE"""),62.0)</f>
        <v>62</v>
      </c>
      <c r="F9505" s="19" t="str">
        <f>IFERROR(__xludf.DUMMYFUNCTION("""COMPUTED_VALUE"""),"BLUE")</f>
        <v>BLUE</v>
      </c>
      <c r="G9505" s="20" t="str">
        <f>IFERROR(__xludf.DUMMYFUNCTION("""COMPUTED_VALUE"""),"Uncle Sams Cider (04/04/2023)")</f>
        <v>Uncle Sams Cider (04/04/2023)</v>
      </c>
      <c r="H9505" s="19"/>
    </row>
    <row r="9506">
      <c r="A9506" s="9"/>
      <c r="B9506" s="15"/>
      <c r="C9506" s="9">
        <f>IFERROR(__xludf.DUMMYFUNCTION("""COMPUTED_VALUE"""),45044.1889336574)</f>
        <v>45044.18893</v>
      </c>
      <c r="D9506" s="15">
        <f>IFERROR(__xludf.DUMMYFUNCTION("""COMPUTED_VALUE"""),1.03)</f>
        <v>1.03</v>
      </c>
      <c r="E9506" s="16">
        <f>IFERROR(__xludf.DUMMYFUNCTION("""COMPUTED_VALUE"""),62.0)</f>
        <v>62</v>
      </c>
      <c r="F9506" s="19" t="str">
        <f>IFERROR(__xludf.DUMMYFUNCTION("""COMPUTED_VALUE"""),"BLUE")</f>
        <v>BLUE</v>
      </c>
      <c r="G9506" s="20" t="str">
        <f>IFERROR(__xludf.DUMMYFUNCTION("""COMPUTED_VALUE"""),"Uncle Sams Cider (04/04/2023)")</f>
        <v>Uncle Sams Cider (04/04/2023)</v>
      </c>
      <c r="H9506" s="19"/>
    </row>
    <row r="9507">
      <c r="A9507" s="9"/>
      <c r="B9507" s="15"/>
      <c r="C9507" s="9">
        <f>IFERROR(__xludf.DUMMYFUNCTION("""COMPUTED_VALUE"""),45044.1785135416)</f>
        <v>45044.17851</v>
      </c>
      <c r="D9507" s="15">
        <f>IFERROR(__xludf.DUMMYFUNCTION("""COMPUTED_VALUE"""),1.03)</f>
        <v>1.03</v>
      </c>
      <c r="E9507" s="16">
        <f>IFERROR(__xludf.DUMMYFUNCTION("""COMPUTED_VALUE"""),62.0)</f>
        <v>62</v>
      </c>
      <c r="F9507" s="19" t="str">
        <f>IFERROR(__xludf.DUMMYFUNCTION("""COMPUTED_VALUE"""),"BLUE")</f>
        <v>BLUE</v>
      </c>
      <c r="G9507" s="20" t="str">
        <f>IFERROR(__xludf.DUMMYFUNCTION("""COMPUTED_VALUE"""),"Uncle Sams Cider (04/04/2023)")</f>
        <v>Uncle Sams Cider (04/04/2023)</v>
      </c>
      <c r="H9507" s="19"/>
    </row>
    <row r="9508">
      <c r="A9508" s="9"/>
      <c r="B9508" s="15"/>
      <c r="C9508" s="9">
        <f>IFERROR(__xludf.DUMMYFUNCTION("""COMPUTED_VALUE"""),45044.1680922916)</f>
        <v>45044.16809</v>
      </c>
      <c r="D9508" s="15">
        <f>IFERROR(__xludf.DUMMYFUNCTION("""COMPUTED_VALUE"""),1.03)</f>
        <v>1.03</v>
      </c>
      <c r="E9508" s="16">
        <f>IFERROR(__xludf.DUMMYFUNCTION("""COMPUTED_VALUE"""),62.0)</f>
        <v>62</v>
      </c>
      <c r="F9508" s="19" t="str">
        <f>IFERROR(__xludf.DUMMYFUNCTION("""COMPUTED_VALUE"""),"BLUE")</f>
        <v>BLUE</v>
      </c>
      <c r="G9508" s="20" t="str">
        <f>IFERROR(__xludf.DUMMYFUNCTION("""COMPUTED_VALUE"""),"Uncle Sams Cider (04/04/2023)")</f>
        <v>Uncle Sams Cider (04/04/2023)</v>
      </c>
      <c r="H9508" s="19"/>
    </row>
    <row r="9509">
      <c r="A9509" s="9"/>
      <c r="B9509" s="15"/>
      <c r="C9509" s="9">
        <f>IFERROR(__xludf.DUMMYFUNCTION("""COMPUTED_VALUE"""),45044.1576715856)</f>
        <v>45044.15767</v>
      </c>
      <c r="D9509" s="15">
        <f>IFERROR(__xludf.DUMMYFUNCTION("""COMPUTED_VALUE"""),1.03)</f>
        <v>1.03</v>
      </c>
      <c r="E9509" s="16">
        <f>IFERROR(__xludf.DUMMYFUNCTION("""COMPUTED_VALUE"""),62.0)</f>
        <v>62</v>
      </c>
      <c r="F9509" s="19" t="str">
        <f>IFERROR(__xludf.DUMMYFUNCTION("""COMPUTED_VALUE"""),"BLUE")</f>
        <v>BLUE</v>
      </c>
      <c r="G9509" s="20" t="str">
        <f>IFERROR(__xludf.DUMMYFUNCTION("""COMPUTED_VALUE"""),"Uncle Sams Cider (04/04/2023)")</f>
        <v>Uncle Sams Cider (04/04/2023)</v>
      </c>
      <c r="H9509" s="19"/>
    </row>
    <row r="9510">
      <c r="A9510" s="9"/>
      <c r="B9510" s="15"/>
      <c r="C9510" s="9">
        <f>IFERROR(__xludf.DUMMYFUNCTION("""COMPUTED_VALUE"""),45044.1472500463)</f>
        <v>45044.14725</v>
      </c>
      <c r="D9510" s="15">
        <f>IFERROR(__xludf.DUMMYFUNCTION("""COMPUTED_VALUE"""),1.03)</f>
        <v>1.03</v>
      </c>
      <c r="E9510" s="16">
        <f>IFERROR(__xludf.DUMMYFUNCTION("""COMPUTED_VALUE"""),62.0)</f>
        <v>62</v>
      </c>
      <c r="F9510" s="19" t="str">
        <f>IFERROR(__xludf.DUMMYFUNCTION("""COMPUTED_VALUE"""),"BLUE")</f>
        <v>BLUE</v>
      </c>
      <c r="G9510" s="20" t="str">
        <f>IFERROR(__xludf.DUMMYFUNCTION("""COMPUTED_VALUE"""),"Uncle Sams Cider (04/04/2023)")</f>
        <v>Uncle Sams Cider (04/04/2023)</v>
      </c>
      <c r="H9510" s="19"/>
    </row>
    <row r="9511">
      <c r="A9511" s="9"/>
      <c r="B9511" s="15"/>
      <c r="C9511" s="9">
        <f>IFERROR(__xludf.DUMMYFUNCTION("""COMPUTED_VALUE"""),45044.1368282754)</f>
        <v>45044.13683</v>
      </c>
      <c r="D9511" s="15">
        <f>IFERROR(__xludf.DUMMYFUNCTION("""COMPUTED_VALUE"""),1.03)</f>
        <v>1.03</v>
      </c>
      <c r="E9511" s="16">
        <f>IFERROR(__xludf.DUMMYFUNCTION("""COMPUTED_VALUE"""),62.0)</f>
        <v>62</v>
      </c>
      <c r="F9511" s="19" t="str">
        <f>IFERROR(__xludf.DUMMYFUNCTION("""COMPUTED_VALUE"""),"BLUE")</f>
        <v>BLUE</v>
      </c>
      <c r="G9511" s="20" t="str">
        <f>IFERROR(__xludf.DUMMYFUNCTION("""COMPUTED_VALUE"""),"Uncle Sams Cider (04/04/2023)")</f>
        <v>Uncle Sams Cider (04/04/2023)</v>
      </c>
      <c r="H9511" s="19"/>
    </row>
    <row r="9512">
      <c r="A9512" s="9"/>
      <c r="B9512" s="15"/>
      <c r="C9512" s="9">
        <f>IFERROR(__xludf.DUMMYFUNCTION("""COMPUTED_VALUE"""),45044.1264071412)</f>
        <v>45044.12641</v>
      </c>
      <c r="D9512" s="15">
        <f>IFERROR(__xludf.DUMMYFUNCTION("""COMPUTED_VALUE"""),1.03)</f>
        <v>1.03</v>
      </c>
      <c r="E9512" s="16">
        <f>IFERROR(__xludf.DUMMYFUNCTION("""COMPUTED_VALUE"""),62.0)</f>
        <v>62</v>
      </c>
      <c r="F9512" s="19" t="str">
        <f>IFERROR(__xludf.DUMMYFUNCTION("""COMPUTED_VALUE"""),"BLUE")</f>
        <v>BLUE</v>
      </c>
      <c r="G9512" s="20" t="str">
        <f>IFERROR(__xludf.DUMMYFUNCTION("""COMPUTED_VALUE"""),"Uncle Sams Cider (04/04/2023)")</f>
        <v>Uncle Sams Cider (04/04/2023)</v>
      </c>
      <c r="H9512" s="19"/>
    </row>
    <row r="9513">
      <c r="A9513" s="9"/>
      <c r="B9513" s="15"/>
      <c r="C9513" s="9">
        <f>IFERROR(__xludf.DUMMYFUNCTION("""COMPUTED_VALUE"""),45044.11598603)</f>
        <v>45044.11599</v>
      </c>
      <c r="D9513" s="15">
        <f>IFERROR(__xludf.DUMMYFUNCTION("""COMPUTED_VALUE"""),1.03)</f>
        <v>1.03</v>
      </c>
      <c r="E9513" s="16">
        <f>IFERROR(__xludf.DUMMYFUNCTION("""COMPUTED_VALUE"""),62.0)</f>
        <v>62</v>
      </c>
      <c r="F9513" s="19" t="str">
        <f>IFERROR(__xludf.DUMMYFUNCTION("""COMPUTED_VALUE"""),"BLUE")</f>
        <v>BLUE</v>
      </c>
      <c r="G9513" s="20" t="str">
        <f>IFERROR(__xludf.DUMMYFUNCTION("""COMPUTED_VALUE"""),"Uncle Sams Cider (04/04/2023)")</f>
        <v>Uncle Sams Cider (04/04/2023)</v>
      </c>
      <c r="H9513" s="19"/>
    </row>
    <row r="9514">
      <c r="A9514" s="9"/>
      <c r="B9514" s="15"/>
      <c r="C9514" s="9">
        <f>IFERROR(__xludf.DUMMYFUNCTION("""COMPUTED_VALUE"""),45044.10556375)</f>
        <v>45044.10556</v>
      </c>
      <c r="D9514" s="15">
        <f>IFERROR(__xludf.DUMMYFUNCTION("""COMPUTED_VALUE"""),1.03)</f>
        <v>1.03</v>
      </c>
      <c r="E9514" s="16">
        <f>IFERROR(__xludf.DUMMYFUNCTION("""COMPUTED_VALUE"""),62.0)</f>
        <v>62</v>
      </c>
      <c r="F9514" s="19" t="str">
        <f>IFERROR(__xludf.DUMMYFUNCTION("""COMPUTED_VALUE"""),"BLUE")</f>
        <v>BLUE</v>
      </c>
      <c r="G9514" s="20" t="str">
        <f>IFERROR(__xludf.DUMMYFUNCTION("""COMPUTED_VALUE"""),"Uncle Sams Cider (04/04/2023)")</f>
        <v>Uncle Sams Cider (04/04/2023)</v>
      </c>
      <c r="H9514" s="19"/>
    </row>
    <row r="9515">
      <c r="A9515" s="9"/>
      <c r="B9515" s="15"/>
      <c r="C9515" s="9">
        <f>IFERROR(__xludf.DUMMYFUNCTION("""COMPUTED_VALUE"""),45044.0951320254)</f>
        <v>45044.09513</v>
      </c>
      <c r="D9515" s="15">
        <f>IFERROR(__xludf.DUMMYFUNCTION("""COMPUTED_VALUE"""),1.03)</f>
        <v>1.03</v>
      </c>
      <c r="E9515" s="16">
        <f>IFERROR(__xludf.DUMMYFUNCTION("""COMPUTED_VALUE"""),62.0)</f>
        <v>62</v>
      </c>
      <c r="F9515" s="19" t="str">
        <f>IFERROR(__xludf.DUMMYFUNCTION("""COMPUTED_VALUE"""),"BLUE")</f>
        <v>BLUE</v>
      </c>
      <c r="G9515" s="20" t="str">
        <f>IFERROR(__xludf.DUMMYFUNCTION("""COMPUTED_VALUE"""),"Uncle Sams Cider (04/04/2023)")</f>
        <v>Uncle Sams Cider (04/04/2023)</v>
      </c>
      <c r="H9515" s="19"/>
    </row>
    <row r="9516">
      <c r="A9516" s="9"/>
      <c r="B9516" s="15"/>
      <c r="C9516" s="9">
        <f>IFERROR(__xludf.DUMMYFUNCTION("""COMPUTED_VALUE"""),45044.084708993)</f>
        <v>45044.08471</v>
      </c>
      <c r="D9516" s="15">
        <f>IFERROR(__xludf.DUMMYFUNCTION("""COMPUTED_VALUE"""),1.03)</f>
        <v>1.03</v>
      </c>
      <c r="E9516" s="16">
        <f>IFERROR(__xludf.DUMMYFUNCTION("""COMPUTED_VALUE"""),62.0)</f>
        <v>62</v>
      </c>
      <c r="F9516" s="19" t="str">
        <f>IFERROR(__xludf.DUMMYFUNCTION("""COMPUTED_VALUE"""),"BLUE")</f>
        <v>BLUE</v>
      </c>
      <c r="G9516" s="20" t="str">
        <f>IFERROR(__xludf.DUMMYFUNCTION("""COMPUTED_VALUE"""),"Uncle Sams Cider (04/04/2023)")</f>
        <v>Uncle Sams Cider (04/04/2023)</v>
      </c>
      <c r="H9516" s="19"/>
    </row>
    <row r="9517">
      <c r="A9517" s="9"/>
      <c r="B9517" s="15"/>
      <c r="C9517" s="9">
        <f>IFERROR(__xludf.DUMMYFUNCTION("""COMPUTED_VALUE"""),45044.0742883217)</f>
        <v>45044.07429</v>
      </c>
      <c r="D9517" s="15">
        <f>IFERROR(__xludf.DUMMYFUNCTION("""COMPUTED_VALUE"""),1.03)</f>
        <v>1.03</v>
      </c>
      <c r="E9517" s="16">
        <f>IFERROR(__xludf.DUMMYFUNCTION("""COMPUTED_VALUE"""),62.0)</f>
        <v>62</v>
      </c>
      <c r="F9517" s="19" t="str">
        <f>IFERROR(__xludf.DUMMYFUNCTION("""COMPUTED_VALUE"""),"BLUE")</f>
        <v>BLUE</v>
      </c>
      <c r="G9517" s="20" t="str">
        <f>IFERROR(__xludf.DUMMYFUNCTION("""COMPUTED_VALUE"""),"Uncle Sams Cider (04/04/2023)")</f>
        <v>Uncle Sams Cider (04/04/2023)</v>
      </c>
      <c r="H9517" s="19"/>
    </row>
    <row r="9518">
      <c r="A9518" s="9"/>
      <c r="B9518" s="15"/>
      <c r="C9518" s="9">
        <f>IFERROR(__xludf.DUMMYFUNCTION("""COMPUTED_VALUE"""),45044.0638525)</f>
        <v>45044.06385</v>
      </c>
      <c r="D9518" s="15">
        <f>IFERROR(__xludf.DUMMYFUNCTION("""COMPUTED_VALUE"""),1.03)</f>
        <v>1.03</v>
      </c>
      <c r="E9518" s="16">
        <f>IFERROR(__xludf.DUMMYFUNCTION("""COMPUTED_VALUE"""),62.0)</f>
        <v>62</v>
      </c>
      <c r="F9518" s="19" t="str">
        <f>IFERROR(__xludf.DUMMYFUNCTION("""COMPUTED_VALUE"""),"BLUE")</f>
        <v>BLUE</v>
      </c>
      <c r="G9518" s="20" t="str">
        <f>IFERROR(__xludf.DUMMYFUNCTION("""COMPUTED_VALUE"""),"Uncle Sams Cider (04/04/2023)")</f>
        <v>Uncle Sams Cider (04/04/2023)</v>
      </c>
      <c r="H9518" s="19"/>
    </row>
    <row r="9519">
      <c r="A9519" s="9"/>
      <c r="B9519" s="15"/>
      <c r="C9519" s="9">
        <f>IFERROR(__xludf.DUMMYFUNCTION("""COMPUTED_VALUE"""),45044.0534322106)</f>
        <v>45044.05343</v>
      </c>
      <c r="D9519" s="15">
        <f>IFERROR(__xludf.DUMMYFUNCTION("""COMPUTED_VALUE"""),1.03)</f>
        <v>1.03</v>
      </c>
      <c r="E9519" s="16">
        <f>IFERROR(__xludf.DUMMYFUNCTION("""COMPUTED_VALUE"""),62.0)</f>
        <v>62</v>
      </c>
      <c r="F9519" s="19" t="str">
        <f>IFERROR(__xludf.DUMMYFUNCTION("""COMPUTED_VALUE"""),"BLUE")</f>
        <v>BLUE</v>
      </c>
      <c r="G9519" s="20" t="str">
        <f>IFERROR(__xludf.DUMMYFUNCTION("""COMPUTED_VALUE"""),"Uncle Sams Cider (04/04/2023)")</f>
        <v>Uncle Sams Cider (04/04/2023)</v>
      </c>
      <c r="H9519" s="19"/>
    </row>
    <row r="9520">
      <c r="A9520" s="9"/>
      <c r="B9520" s="15"/>
      <c r="C9520" s="9">
        <f>IFERROR(__xludf.DUMMYFUNCTION("""COMPUTED_VALUE"""),45044.0430111111)</f>
        <v>45044.04301</v>
      </c>
      <c r="D9520" s="15">
        <f>IFERROR(__xludf.DUMMYFUNCTION("""COMPUTED_VALUE"""),1.03)</f>
        <v>1.03</v>
      </c>
      <c r="E9520" s="16">
        <f>IFERROR(__xludf.DUMMYFUNCTION("""COMPUTED_VALUE"""),62.0)</f>
        <v>62</v>
      </c>
      <c r="F9520" s="19" t="str">
        <f>IFERROR(__xludf.DUMMYFUNCTION("""COMPUTED_VALUE"""),"BLUE")</f>
        <v>BLUE</v>
      </c>
      <c r="G9520" s="20" t="str">
        <f>IFERROR(__xludf.DUMMYFUNCTION("""COMPUTED_VALUE"""),"Uncle Sams Cider (04/04/2023)")</f>
        <v>Uncle Sams Cider (04/04/2023)</v>
      </c>
      <c r="H9520" s="19"/>
    </row>
    <row r="9521">
      <c r="A9521" s="9"/>
      <c r="B9521" s="15"/>
      <c r="C9521" s="9">
        <f>IFERROR(__xludf.DUMMYFUNCTION("""COMPUTED_VALUE"""),45044.0325773726)</f>
        <v>45044.03258</v>
      </c>
      <c r="D9521" s="15">
        <f>IFERROR(__xludf.DUMMYFUNCTION("""COMPUTED_VALUE"""),1.03)</f>
        <v>1.03</v>
      </c>
      <c r="E9521" s="16">
        <f>IFERROR(__xludf.DUMMYFUNCTION("""COMPUTED_VALUE"""),62.0)</f>
        <v>62</v>
      </c>
      <c r="F9521" s="19" t="str">
        <f>IFERROR(__xludf.DUMMYFUNCTION("""COMPUTED_VALUE"""),"BLUE")</f>
        <v>BLUE</v>
      </c>
      <c r="G9521" s="20" t="str">
        <f>IFERROR(__xludf.DUMMYFUNCTION("""COMPUTED_VALUE"""),"Uncle Sams Cider (04/04/2023)")</f>
        <v>Uncle Sams Cider (04/04/2023)</v>
      </c>
      <c r="H9521" s="19"/>
    </row>
    <row r="9522">
      <c r="A9522" s="9"/>
      <c r="B9522" s="15"/>
      <c r="C9522" s="9">
        <f>IFERROR(__xludf.DUMMYFUNCTION("""COMPUTED_VALUE"""),45044.0221553356)</f>
        <v>45044.02216</v>
      </c>
      <c r="D9522" s="15">
        <f>IFERROR(__xludf.DUMMYFUNCTION("""COMPUTED_VALUE"""),1.03)</f>
        <v>1.03</v>
      </c>
      <c r="E9522" s="16">
        <f>IFERROR(__xludf.DUMMYFUNCTION("""COMPUTED_VALUE"""),62.0)</f>
        <v>62</v>
      </c>
      <c r="F9522" s="19" t="str">
        <f>IFERROR(__xludf.DUMMYFUNCTION("""COMPUTED_VALUE"""),"BLUE")</f>
        <v>BLUE</v>
      </c>
      <c r="G9522" s="20" t="str">
        <f>IFERROR(__xludf.DUMMYFUNCTION("""COMPUTED_VALUE"""),"Uncle Sams Cider (04/04/2023)")</f>
        <v>Uncle Sams Cider (04/04/2023)</v>
      </c>
      <c r="H9522" s="19"/>
    </row>
    <row r="9523">
      <c r="A9523" s="9"/>
      <c r="B9523" s="15"/>
      <c r="C9523" s="9">
        <f>IFERROR(__xludf.DUMMYFUNCTION("""COMPUTED_VALUE"""),45044.0117348958)</f>
        <v>45044.01173</v>
      </c>
      <c r="D9523" s="15">
        <f>IFERROR(__xludf.DUMMYFUNCTION("""COMPUTED_VALUE"""),1.03)</f>
        <v>1.03</v>
      </c>
      <c r="E9523" s="16">
        <f>IFERROR(__xludf.DUMMYFUNCTION("""COMPUTED_VALUE"""),62.0)</f>
        <v>62</v>
      </c>
      <c r="F9523" s="19" t="str">
        <f>IFERROR(__xludf.DUMMYFUNCTION("""COMPUTED_VALUE"""),"BLUE")</f>
        <v>BLUE</v>
      </c>
      <c r="G9523" s="20" t="str">
        <f>IFERROR(__xludf.DUMMYFUNCTION("""COMPUTED_VALUE"""),"Uncle Sams Cider (04/04/2023)")</f>
        <v>Uncle Sams Cider (04/04/2023)</v>
      </c>
      <c r="H9523" s="19"/>
    </row>
    <row r="9524">
      <c r="A9524" s="9"/>
      <c r="B9524" s="15"/>
      <c r="C9524" s="9">
        <f>IFERROR(__xludf.DUMMYFUNCTION("""COMPUTED_VALUE"""),45044.0013025)</f>
        <v>45044.0013</v>
      </c>
      <c r="D9524" s="15">
        <f>IFERROR(__xludf.DUMMYFUNCTION("""COMPUTED_VALUE"""),1.03)</f>
        <v>1.03</v>
      </c>
      <c r="E9524" s="16">
        <f>IFERROR(__xludf.DUMMYFUNCTION("""COMPUTED_VALUE"""),62.0)</f>
        <v>62</v>
      </c>
      <c r="F9524" s="19" t="str">
        <f>IFERROR(__xludf.DUMMYFUNCTION("""COMPUTED_VALUE"""),"BLUE")</f>
        <v>BLUE</v>
      </c>
      <c r="G9524" s="20" t="str">
        <f>IFERROR(__xludf.DUMMYFUNCTION("""COMPUTED_VALUE"""),"Uncle Sams Cider (04/04/2023)")</f>
        <v>Uncle Sams Cider (04/04/2023)</v>
      </c>
      <c r="H9524" s="19"/>
    </row>
    <row r="9525">
      <c r="A9525" s="9"/>
      <c r="B9525" s="15"/>
      <c r="C9525" s="9">
        <f>IFERROR(__xludf.DUMMYFUNCTION("""COMPUTED_VALUE"""),45043.9908812037)</f>
        <v>45043.99088</v>
      </c>
      <c r="D9525" s="15">
        <f>IFERROR(__xludf.DUMMYFUNCTION("""COMPUTED_VALUE"""),1.03)</f>
        <v>1.03</v>
      </c>
      <c r="E9525" s="16">
        <f>IFERROR(__xludf.DUMMYFUNCTION("""COMPUTED_VALUE"""),62.0)</f>
        <v>62</v>
      </c>
      <c r="F9525" s="19" t="str">
        <f>IFERROR(__xludf.DUMMYFUNCTION("""COMPUTED_VALUE"""),"BLUE")</f>
        <v>BLUE</v>
      </c>
      <c r="G9525" s="20" t="str">
        <f>IFERROR(__xludf.DUMMYFUNCTION("""COMPUTED_VALUE"""),"Uncle Sams Cider (04/04/2023)")</f>
        <v>Uncle Sams Cider (04/04/2023)</v>
      </c>
      <c r="H9525" s="19"/>
    </row>
    <row r="9526">
      <c r="A9526" s="9"/>
      <c r="B9526" s="15"/>
      <c r="C9526" s="9">
        <f>IFERROR(__xludf.DUMMYFUNCTION("""COMPUTED_VALUE"""),45043.980460868)</f>
        <v>45043.98046</v>
      </c>
      <c r="D9526" s="15">
        <f>IFERROR(__xludf.DUMMYFUNCTION("""COMPUTED_VALUE"""),1.03)</f>
        <v>1.03</v>
      </c>
      <c r="E9526" s="16">
        <f>IFERROR(__xludf.DUMMYFUNCTION("""COMPUTED_VALUE"""),62.0)</f>
        <v>62</v>
      </c>
      <c r="F9526" s="19" t="str">
        <f>IFERROR(__xludf.DUMMYFUNCTION("""COMPUTED_VALUE"""),"BLUE")</f>
        <v>BLUE</v>
      </c>
      <c r="G9526" s="20" t="str">
        <f>IFERROR(__xludf.DUMMYFUNCTION("""COMPUTED_VALUE"""),"Uncle Sams Cider (04/04/2023)")</f>
        <v>Uncle Sams Cider (04/04/2023)</v>
      </c>
      <c r="H9526" s="19"/>
    </row>
    <row r="9527">
      <c r="A9527" s="9"/>
      <c r="B9527" s="15"/>
      <c r="C9527" s="9">
        <f>IFERROR(__xludf.DUMMYFUNCTION("""COMPUTED_VALUE"""),45043.9700401736)</f>
        <v>45043.97004</v>
      </c>
      <c r="D9527" s="15">
        <f>IFERROR(__xludf.DUMMYFUNCTION("""COMPUTED_VALUE"""),1.03)</f>
        <v>1.03</v>
      </c>
      <c r="E9527" s="16">
        <f>IFERROR(__xludf.DUMMYFUNCTION("""COMPUTED_VALUE"""),62.0)</f>
        <v>62</v>
      </c>
      <c r="F9527" s="19" t="str">
        <f>IFERROR(__xludf.DUMMYFUNCTION("""COMPUTED_VALUE"""),"BLUE")</f>
        <v>BLUE</v>
      </c>
      <c r="G9527" s="20" t="str">
        <f>IFERROR(__xludf.DUMMYFUNCTION("""COMPUTED_VALUE"""),"Uncle Sams Cider (04/04/2023)")</f>
        <v>Uncle Sams Cider (04/04/2023)</v>
      </c>
      <c r="H9527" s="19"/>
    </row>
    <row r="9528">
      <c r="A9528" s="9"/>
      <c r="B9528" s="15"/>
      <c r="C9528" s="9">
        <f>IFERROR(__xludf.DUMMYFUNCTION("""COMPUTED_VALUE"""),45043.9596188078)</f>
        <v>45043.95962</v>
      </c>
      <c r="D9528" s="15">
        <f>IFERROR(__xludf.DUMMYFUNCTION("""COMPUTED_VALUE"""),1.03)</f>
        <v>1.03</v>
      </c>
      <c r="E9528" s="16">
        <f>IFERROR(__xludf.DUMMYFUNCTION("""COMPUTED_VALUE"""),62.0)</f>
        <v>62</v>
      </c>
      <c r="F9528" s="19" t="str">
        <f>IFERROR(__xludf.DUMMYFUNCTION("""COMPUTED_VALUE"""),"BLUE")</f>
        <v>BLUE</v>
      </c>
      <c r="G9528" s="20" t="str">
        <f>IFERROR(__xludf.DUMMYFUNCTION("""COMPUTED_VALUE"""),"Uncle Sams Cider (04/04/2023)")</f>
        <v>Uncle Sams Cider (04/04/2023)</v>
      </c>
      <c r="H9528" s="19"/>
    </row>
    <row r="9529">
      <c r="A9529" s="9"/>
      <c r="B9529" s="15"/>
      <c r="C9529" s="9">
        <f>IFERROR(__xludf.DUMMYFUNCTION("""COMPUTED_VALUE"""),45043.9491974768)</f>
        <v>45043.9492</v>
      </c>
      <c r="D9529" s="15">
        <f>IFERROR(__xludf.DUMMYFUNCTION("""COMPUTED_VALUE"""),1.031)</f>
        <v>1.031</v>
      </c>
      <c r="E9529" s="16">
        <f>IFERROR(__xludf.DUMMYFUNCTION("""COMPUTED_VALUE"""),62.0)</f>
        <v>62</v>
      </c>
      <c r="F9529" s="19" t="str">
        <f>IFERROR(__xludf.DUMMYFUNCTION("""COMPUTED_VALUE"""),"BLUE")</f>
        <v>BLUE</v>
      </c>
      <c r="G9529" s="20" t="str">
        <f>IFERROR(__xludf.DUMMYFUNCTION("""COMPUTED_VALUE"""),"Uncle Sams Cider (04/04/2023)")</f>
        <v>Uncle Sams Cider (04/04/2023)</v>
      </c>
      <c r="H9529" s="19"/>
    </row>
    <row r="9530">
      <c r="A9530" s="9"/>
      <c r="B9530" s="15"/>
      <c r="C9530" s="9">
        <f>IFERROR(__xludf.DUMMYFUNCTION("""COMPUTED_VALUE"""),45043.9387759027)</f>
        <v>45043.93878</v>
      </c>
      <c r="D9530" s="15">
        <f>IFERROR(__xludf.DUMMYFUNCTION("""COMPUTED_VALUE"""),1.03)</f>
        <v>1.03</v>
      </c>
      <c r="E9530" s="16">
        <f>IFERROR(__xludf.DUMMYFUNCTION("""COMPUTED_VALUE"""),62.0)</f>
        <v>62</v>
      </c>
      <c r="F9530" s="19" t="str">
        <f>IFERROR(__xludf.DUMMYFUNCTION("""COMPUTED_VALUE"""),"BLUE")</f>
        <v>BLUE</v>
      </c>
      <c r="G9530" s="20" t="str">
        <f>IFERROR(__xludf.DUMMYFUNCTION("""COMPUTED_VALUE"""),"Uncle Sams Cider (04/04/2023)")</f>
        <v>Uncle Sams Cider (04/04/2023)</v>
      </c>
      <c r="H9530" s="19"/>
    </row>
    <row r="9531">
      <c r="A9531" s="9"/>
      <c r="B9531" s="15"/>
      <c r="C9531" s="9">
        <f>IFERROR(__xludf.DUMMYFUNCTION("""COMPUTED_VALUE"""),45043.928353831)</f>
        <v>45043.92835</v>
      </c>
      <c r="D9531" s="15">
        <f>IFERROR(__xludf.DUMMYFUNCTION("""COMPUTED_VALUE"""),1.031)</f>
        <v>1.031</v>
      </c>
      <c r="E9531" s="16">
        <f>IFERROR(__xludf.DUMMYFUNCTION("""COMPUTED_VALUE"""),62.0)</f>
        <v>62</v>
      </c>
      <c r="F9531" s="19" t="str">
        <f>IFERROR(__xludf.DUMMYFUNCTION("""COMPUTED_VALUE"""),"BLUE")</f>
        <v>BLUE</v>
      </c>
      <c r="G9531" s="20" t="str">
        <f>IFERROR(__xludf.DUMMYFUNCTION("""COMPUTED_VALUE"""),"Uncle Sams Cider (04/04/2023)")</f>
        <v>Uncle Sams Cider (04/04/2023)</v>
      </c>
      <c r="H9531" s="19"/>
    </row>
    <row r="9532">
      <c r="A9532" s="9"/>
      <c r="B9532" s="15"/>
      <c r="C9532" s="9">
        <f>IFERROR(__xludf.DUMMYFUNCTION("""COMPUTED_VALUE"""),45043.9179331944)</f>
        <v>45043.91793</v>
      </c>
      <c r="D9532" s="15">
        <f>IFERROR(__xludf.DUMMYFUNCTION("""COMPUTED_VALUE"""),1.031)</f>
        <v>1.031</v>
      </c>
      <c r="E9532" s="16">
        <f>IFERROR(__xludf.DUMMYFUNCTION("""COMPUTED_VALUE"""),62.0)</f>
        <v>62</v>
      </c>
      <c r="F9532" s="19" t="str">
        <f>IFERROR(__xludf.DUMMYFUNCTION("""COMPUTED_VALUE"""),"BLUE")</f>
        <v>BLUE</v>
      </c>
      <c r="G9532" s="20" t="str">
        <f>IFERROR(__xludf.DUMMYFUNCTION("""COMPUTED_VALUE"""),"Uncle Sams Cider (04/04/2023)")</f>
        <v>Uncle Sams Cider (04/04/2023)</v>
      </c>
      <c r="H9532" s="19"/>
    </row>
    <row r="9533">
      <c r="A9533" s="9"/>
      <c r="B9533" s="15"/>
      <c r="C9533" s="9">
        <f>IFERROR(__xludf.DUMMYFUNCTION("""COMPUTED_VALUE"""),45043.9075113773)</f>
        <v>45043.90751</v>
      </c>
      <c r="D9533" s="15">
        <f>IFERROR(__xludf.DUMMYFUNCTION("""COMPUTED_VALUE"""),1.03)</f>
        <v>1.03</v>
      </c>
      <c r="E9533" s="16">
        <f>IFERROR(__xludf.DUMMYFUNCTION("""COMPUTED_VALUE"""),62.0)</f>
        <v>62</v>
      </c>
      <c r="F9533" s="19" t="str">
        <f>IFERROR(__xludf.DUMMYFUNCTION("""COMPUTED_VALUE"""),"BLUE")</f>
        <v>BLUE</v>
      </c>
      <c r="G9533" s="20" t="str">
        <f>IFERROR(__xludf.DUMMYFUNCTION("""COMPUTED_VALUE"""),"Uncle Sams Cider (04/04/2023)")</f>
        <v>Uncle Sams Cider (04/04/2023)</v>
      </c>
      <c r="H9533" s="19"/>
    </row>
    <row r="9534">
      <c r="A9534" s="9"/>
      <c r="B9534" s="15"/>
      <c r="C9534" s="9">
        <f>IFERROR(__xludf.DUMMYFUNCTION("""COMPUTED_VALUE"""),45043.8970910416)</f>
        <v>45043.89709</v>
      </c>
      <c r="D9534" s="15">
        <f>IFERROR(__xludf.DUMMYFUNCTION("""COMPUTED_VALUE"""),1.031)</f>
        <v>1.031</v>
      </c>
      <c r="E9534" s="16">
        <f>IFERROR(__xludf.DUMMYFUNCTION("""COMPUTED_VALUE"""),62.0)</f>
        <v>62</v>
      </c>
      <c r="F9534" s="19" t="str">
        <f>IFERROR(__xludf.DUMMYFUNCTION("""COMPUTED_VALUE"""),"BLUE")</f>
        <v>BLUE</v>
      </c>
      <c r="G9534" s="20" t="str">
        <f>IFERROR(__xludf.DUMMYFUNCTION("""COMPUTED_VALUE"""),"Uncle Sams Cider (04/04/2023)")</f>
        <v>Uncle Sams Cider (04/04/2023)</v>
      </c>
      <c r="H9534" s="19"/>
    </row>
    <row r="9535">
      <c r="A9535" s="9"/>
      <c r="B9535" s="15"/>
      <c r="C9535" s="9">
        <f>IFERROR(__xludf.DUMMYFUNCTION("""COMPUTED_VALUE"""),45043.886658368)</f>
        <v>45043.88666</v>
      </c>
      <c r="D9535" s="15">
        <f>IFERROR(__xludf.DUMMYFUNCTION("""COMPUTED_VALUE"""),1.03)</f>
        <v>1.03</v>
      </c>
      <c r="E9535" s="16">
        <f>IFERROR(__xludf.DUMMYFUNCTION("""COMPUTED_VALUE"""),62.0)</f>
        <v>62</v>
      </c>
      <c r="F9535" s="19" t="str">
        <f>IFERROR(__xludf.DUMMYFUNCTION("""COMPUTED_VALUE"""),"BLUE")</f>
        <v>BLUE</v>
      </c>
      <c r="G9535" s="20" t="str">
        <f>IFERROR(__xludf.DUMMYFUNCTION("""COMPUTED_VALUE"""),"Uncle Sams Cider (04/04/2023)")</f>
        <v>Uncle Sams Cider (04/04/2023)</v>
      </c>
      <c r="H9535" s="19"/>
    </row>
    <row r="9536">
      <c r="A9536" s="9"/>
      <c r="B9536" s="15"/>
      <c r="C9536" s="9">
        <f>IFERROR(__xludf.DUMMYFUNCTION("""COMPUTED_VALUE"""),45043.8762372338)</f>
        <v>45043.87624</v>
      </c>
      <c r="D9536" s="15">
        <f>IFERROR(__xludf.DUMMYFUNCTION("""COMPUTED_VALUE"""),1.03)</f>
        <v>1.03</v>
      </c>
      <c r="E9536" s="16">
        <f>IFERROR(__xludf.DUMMYFUNCTION("""COMPUTED_VALUE"""),62.0)</f>
        <v>62</v>
      </c>
      <c r="F9536" s="19" t="str">
        <f>IFERROR(__xludf.DUMMYFUNCTION("""COMPUTED_VALUE"""),"BLUE")</f>
        <v>BLUE</v>
      </c>
      <c r="G9536" s="20" t="str">
        <f>IFERROR(__xludf.DUMMYFUNCTION("""COMPUTED_VALUE"""),"Uncle Sams Cider (04/04/2023)")</f>
        <v>Uncle Sams Cider (04/04/2023)</v>
      </c>
      <c r="H9536" s="19"/>
    </row>
    <row r="9537">
      <c r="A9537" s="9"/>
      <c r="B9537" s="15"/>
      <c r="C9537" s="9">
        <f>IFERROR(__xludf.DUMMYFUNCTION("""COMPUTED_VALUE"""),45043.8658176736)</f>
        <v>45043.86582</v>
      </c>
      <c r="D9537" s="15">
        <f>IFERROR(__xludf.DUMMYFUNCTION("""COMPUTED_VALUE"""),1.031)</f>
        <v>1.031</v>
      </c>
      <c r="E9537" s="16">
        <f>IFERROR(__xludf.DUMMYFUNCTION("""COMPUTED_VALUE"""),62.0)</f>
        <v>62</v>
      </c>
      <c r="F9537" s="19" t="str">
        <f>IFERROR(__xludf.DUMMYFUNCTION("""COMPUTED_VALUE"""),"BLUE")</f>
        <v>BLUE</v>
      </c>
      <c r="G9537" s="20" t="str">
        <f>IFERROR(__xludf.DUMMYFUNCTION("""COMPUTED_VALUE"""),"Uncle Sams Cider (04/04/2023)")</f>
        <v>Uncle Sams Cider (04/04/2023)</v>
      </c>
      <c r="H9537" s="19"/>
    </row>
    <row r="9538">
      <c r="A9538" s="9"/>
      <c r="B9538" s="15"/>
      <c r="C9538" s="9">
        <f>IFERROR(__xludf.DUMMYFUNCTION("""COMPUTED_VALUE"""),45043.8553980208)</f>
        <v>45043.8554</v>
      </c>
      <c r="D9538" s="15">
        <f>IFERROR(__xludf.DUMMYFUNCTION("""COMPUTED_VALUE"""),1.031)</f>
        <v>1.031</v>
      </c>
      <c r="E9538" s="16">
        <f>IFERROR(__xludf.DUMMYFUNCTION("""COMPUTED_VALUE"""),62.0)</f>
        <v>62</v>
      </c>
      <c r="F9538" s="19" t="str">
        <f>IFERROR(__xludf.DUMMYFUNCTION("""COMPUTED_VALUE"""),"BLUE")</f>
        <v>BLUE</v>
      </c>
      <c r="G9538" s="20" t="str">
        <f>IFERROR(__xludf.DUMMYFUNCTION("""COMPUTED_VALUE"""),"Uncle Sams Cider (04/04/2023)")</f>
        <v>Uncle Sams Cider (04/04/2023)</v>
      </c>
      <c r="H9538" s="19"/>
    </row>
    <row r="9539">
      <c r="A9539" s="9"/>
      <c r="B9539" s="15"/>
      <c r="C9539" s="9">
        <f>IFERROR(__xludf.DUMMYFUNCTION("""COMPUTED_VALUE"""),45043.8449746643)</f>
        <v>45043.84497</v>
      </c>
      <c r="D9539" s="15">
        <f>IFERROR(__xludf.DUMMYFUNCTION("""COMPUTED_VALUE"""),1.031)</f>
        <v>1.031</v>
      </c>
      <c r="E9539" s="16">
        <f>IFERROR(__xludf.DUMMYFUNCTION("""COMPUTED_VALUE"""),62.0)</f>
        <v>62</v>
      </c>
      <c r="F9539" s="19" t="str">
        <f>IFERROR(__xludf.DUMMYFUNCTION("""COMPUTED_VALUE"""),"BLUE")</f>
        <v>BLUE</v>
      </c>
      <c r="G9539" s="20" t="str">
        <f>IFERROR(__xludf.DUMMYFUNCTION("""COMPUTED_VALUE"""),"Uncle Sams Cider (04/04/2023)")</f>
        <v>Uncle Sams Cider (04/04/2023)</v>
      </c>
      <c r="H9539" s="19"/>
    </row>
    <row r="9540">
      <c r="A9540" s="9"/>
      <c r="B9540" s="15"/>
      <c r="C9540" s="9">
        <f>IFERROR(__xludf.DUMMYFUNCTION("""COMPUTED_VALUE"""),45043.8345525925)</f>
        <v>45043.83455</v>
      </c>
      <c r="D9540" s="15">
        <f>IFERROR(__xludf.DUMMYFUNCTION("""COMPUTED_VALUE"""),1.031)</f>
        <v>1.031</v>
      </c>
      <c r="E9540" s="16">
        <f>IFERROR(__xludf.DUMMYFUNCTION("""COMPUTED_VALUE"""),62.0)</f>
        <v>62</v>
      </c>
      <c r="F9540" s="19" t="str">
        <f>IFERROR(__xludf.DUMMYFUNCTION("""COMPUTED_VALUE"""),"BLUE")</f>
        <v>BLUE</v>
      </c>
      <c r="G9540" s="20" t="str">
        <f>IFERROR(__xludf.DUMMYFUNCTION("""COMPUTED_VALUE"""),"Uncle Sams Cider (04/04/2023)")</f>
        <v>Uncle Sams Cider (04/04/2023)</v>
      </c>
      <c r="H9540" s="19"/>
    </row>
    <row r="9541">
      <c r="A9541" s="9"/>
      <c r="B9541" s="15"/>
      <c r="C9541" s="9">
        <f>IFERROR(__xludf.DUMMYFUNCTION("""COMPUTED_VALUE"""),45043.8241199652)</f>
        <v>45043.82412</v>
      </c>
      <c r="D9541" s="15">
        <f>IFERROR(__xludf.DUMMYFUNCTION("""COMPUTED_VALUE"""),1.031)</f>
        <v>1.031</v>
      </c>
      <c r="E9541" s="16">
        <f>IFERROR(__xludf.DUMMYFUNCTION("""COMPUTED_VALUE"""),62.0)</f>
        <v>62</v>
      </c>
      <c r="F9541" s="19" t="str">
        <f>IFERROR(__xludf.DUMMYFUNCTION("""COMPUTED_VALUE"""),"BLUE")</f>
        <v>BLUE</v>
      </c>
      <c r="G9541" s="20" t="str">
        <f>IFERROR(__xludf.DUMMYFUNCTION("""COMPUTED_VALUE"""),"Uncle Sams Cider (04/04/2023)")</f>
        <v>Uncle Sams Cider (04/04/2023)</v>
      </c>
      <c r="H9541" s="19"/>
    </row>
    <row r="9542">
      <c r="A9542" s="9"/>
      <c r="B9542" s="15"/>
      <c r="C9542" s="9">
        <f>IFERROR(__xludf.DUMMYFUNCTION("""COMPUTED_VALUE"""),45043.8136992939)</f>
        <v>45043.8137</v>
      </c>
      <c r="D9542" s="15">
        <f>IFERROR(__xludf.DUMMYFUNCTION("""COMPUTED_VALUE"""),1.031)</f>
        <v>1.031</v>
      </c>
      <c r="E9542" s="16">
        <f>IFERROR(__xludf.DUMMYFUNCTION("""COMPUTED_VALUE"""),62.0)</f>
        <v>62</v>
      </c>
      <c r="F9542" s="19" t="str">
        <f>IFERROR(__xludf.DUMMYFUNCTION("""COMPUTED_VALUE"""),"BLUE")</f>
        <v>BLUE</v>
      </c>
      <c r="G9542" s="20" t="str">
        <f>IFERROR(__xludf.DUMMYFUNCTION("""COMPUTED_VALUE"""),"Uncle Sams Cider (04/04/2023)")</f>
        <v>Uncle Sams Cider (04/04/2023)</v>
      </c>
      <c r="H9542" s="19"/>
    </row>
    <row r="9543">
      <c r="A9543" s="9"/>
      <c r="B9543" s="15"/>
      <c r="C9543" s="9">
        <f>IFERROR(__xludf.DUMMYFUNCTION("""COMPUTED_VALUE"""),45043.8032792939)</f>
        <v>45043.80328</v>
      </c>
      <c r="D9543" s="15">
        <f>IFERROR(__xludf.DUMMYFUNCTION("""COMPUTED_VALUE"""),1.031)</f>
        <v>1.031</v>
      </c>
      <c r="E9543" s="16">
        <f>IFERROR(__xludf.DUMMYFUNCTION("""COMPUTED_VALUE"""),62.0)</f>
        <v>62</v>
      </c>
      <c r="F9543" s="19" t="str">
        <f>IFERROR(__xludf.DUMMYFUNCTION("""COMPUTED_VALUE"""),"BLUE")</f>
        <v>BLUE</v>
      </c>
      <c r="G9543" s="20" t="str">
        <f>IFERROR(__xludf.DUMMYFUNCTION("""COMPUTED_VALUE"""),"Uncle Sams Cider (04/04/2023)")</f>
        <v>Uncle Sams Cider (04/04/2023)</v>
      </c>
      <c r="H9543" s="19"/>
    </row>
    <row r="9544">
      <c r="A9544" s="9"/>
      <c r="B9544" s="15"/>
      <c r="C9544" s="9">
        <f>IFERROR(__xludf.DUMMYFUNCTION("""COMPUTED_VALUE"""),45043.7928571296)</f>
        <v>45043.79286</v>
      </c>
      <c r="D9544" s="15">
        <f>IFERROR(__xludf.DUMMYFUNCTION("""COMPUTED_VALUE"""),1.031)</f>
        <v>1.031</v>
      </c>
      <c r="E9544" s="16">
        <f>IFERROR(__xludf.DUMMYFUNCTION("""COMPUTED_VALUE"""),62.0)</f>
        <v>62</v>
      </c>
      <c r="F9544" s="19" t="str">
        <f>IFERROR(__xludf.DUMMYFUNCTION("""COMPUTED_VALUE"""),"BLUE")</f>
        <v>BLUE</v>
      </c>
      <c r="G9544" s="20" t="str">
        <f>IFERROR(__xludf.DUMMYFUNCTION("""COMPUTED_VALUE"""),"Uncle Sams Cider (04/04/2023)")</f>
        <v>Uncle Sams Cider (04/04/2023)</v>
      </c>
      <c r="H9544" s="19"/>
    </row>
    <row r="9545">
      <c r="A9545" s="9"/>
      <c r="B9545" s="15"/>
      <c r="C9545" s="9">
        <f>IFERROR(__xludf.DUMMYFUNCTION("""COMPUTED_VALUE"""),45043.7824381828)</f>
        <v>45043.78244</v>
      </c>
      <c r="D9545" s="15">
        <f>IFERROR(__xludf.DUMMYFUNCTION("""COMPUTED_VALUE"""),1.031)</f>
        <v>1.031</v>
      </c>
      <c r="E9545" s="16">
        <f>IFERROR(__xludf.DUMMYFUNCTION("""COMPUTED_VALUE"""),62.0)</f>
        <v>62</v>
      </c>
      <c r="F9545" s="19" t="str">
        <f>IFERROR(__xludf.DUMMYFUNCTION("""COMPUTED_VALUE"""),"BLUE")</f>
        <v>BLUE</v>
      </c>
      <c r="G9545" s="20" t="str">
        <f>IFERROR(__xludf.DUMMYFUNCTION("""COMPUTED_VALUE"""),"Uncle Sams Cider (04/04/2023)")</f>
        <v>Uncle Sams Cider (04/04/2023)</v>
      </c>
      <c r="H9545" s="19"/>
    </row>
    <row r="9546">
      <c r="A9546" s="9"/>
      <c r="B9546" s="15"/>
      <c r="C9546" s="9">
        <f>IFERROR(__xludf.DUMMYFUNCTION("""COMPUTED_VALUE"""),45043.7720168865)</f>
        <v>45043.77202</v>
      </c>
      <c r="D9546" s="15">
        <f>IFERROR(__xludf.DUMMYFUNCTION("""COMPUTED_VALUE"""),1.031)</f>
        <v>1.031</v>
      </c>
      <c r="E9546" s="16">
        <f>IFERROR(__xludf.DUMMYFUNCTION("""COMPUTED_VALUE"""),62.0)</f>
        <v>62</v>
      </c>
      <c r="F9546" s="19" t="str">
        <f>IFERROR(__xludf.DUMMYFUNCTION("""COMPUTED_VALUE"""),"BLUE")</f>
        <v>BLUE</v>
      </c>
      <c r="G9546" s="20" t="str">
        <f>IFERROR(__xludf.DUMMYFUNCTION("""COMPUTED_VALUE"""),"Uncle Sams Cider (04/04/2023)")</f>
        <v>Uncle Sams Cider (04/04/2023)</v>
      </c>
      <c r="H9546" s="19"/>
    </row>
    <row r="9547">
      <c r="A9547" s="9"/>
      <c r="B9547" s="15"/>
      <c r="C9547" s="9">
        <f>IFERROR(__xludf.DUMMYFUNCTION("""COMPUTED_VALUE"""),45043.7615732291)</f>
        <v>45043.76157</v>
      </c>
      <c r="D9547" s="15">
        <f>IFERROR(__xludf.DUMMYFUNCTION("""COMPUTED_VALUE"""),1.031)</f>
        <v>1.031</v>
      </c>
      <c r="E9547" s="16">
        <f>IFERROR(__xludf.DUMMYFUNCTION("""COMPUTED_VALUE"""),62.0)</f>
        <v>62</v>
      </c>
      <c r="F9547" s="19" t="str">
        <f>IFERROR(__xludf.DUMMYFUNCTION("""COMPUTED_VALUE"""),"BLUE")</f>
        <v>BLUE</v>
      </c>
      <c r="G9547" s="20" t="str">
        <f>IFERROR(__xludf.DUMMYFUNCTION("""COMPUTED_VALUE"""),"Uncle Sams Cider (04/04/2023)")</f>
        <v>Uncle Sams Cider (04/04/2023)</v>
      </c>
      <c r="H9547" s="19"/>
    </row>
    <row r="9548">
      <c r="A9548" s="9"/>
      <c r="B9548" s="15"/>
      <c r="C9548" s="9">
        <f>IFERROR(__xludf.DUMMYFUNCTION("""COMPUTED_VALUE"""),45043.7511535763)</f>
        <v>45043.75115</v>
      </c>
      <c r="D9548" s="15">
        <f>IFERROR(__xludf.DUMMYFUNCTION("""COMPUTED_VALUE"""),1.031)</f>
        <v>1.031</v>
      </c>
      <c r="E9548" s="16">
        <f>IFERROR(__xludf.DUMMYFUNCTION("""COMPUTED_VALUE"""),62.0)</f>
        <v>62</v>
      </c>
      <c r="F9548" s="19" t="str">
        <f>IFERROR(__xludf.DUMMYFUNCTION("""COMPUTED_VALUE"""),"BLUE")</f>
        <v>BLUE</v>
      </c>
      <c r="G9548" s="20" t="str">
        <f>IFERROR(__xludf.DUMMYFUNCTION("""COMPUTED_VALUE"""),"Uncle Sams Cider (04/04/2023)")</f>
        <v>Uncle Sams Cider (04/04/2023)</v>
      </c>
      <c r="H9548" s="19"/>
    </row>
    <row r="9549">
      <c r="A9549" s="9"/>
      <c r="B9549" s="15"/>
      <c r="C9549" s="9">
        <f>IFERROR(__xludf.DUMMYFUNCTION("""COMPUTED_VALUE"""),45043.7407327893)</f>
        <v>45043.74073</v>
      </c>
      <c r="D9549" s="15">
        <f>IFERROR(__xludf.DUMMYFUNCTION("""COMPUTED_VALUE"""),1.031)</f>
        <v>1.031</v>
      </c>
      <c r="E9549" s="16">
        <f>IFERROR(__xludf.DUMMYFUNCTION("""COMPUTED_VALUE"""),62.0)</f>
        <v>62</v>
      </c>
      <c r="F9549" s="19" t="str">
        <f>IFERROR(__xludf.DUMMYFUNCTION("""COMPUTED_VALUE"""),"BLUE")</f>
        <v>BLUE</v>
      </c>
      <c r="G9549" s="20" t="str">
        <f>IFERROR(__xludf.DUMMYFUNCTION("""COMPUTED_VALUE"""),"Uncle Sams Cider (04/04/2023)")</f>
        <v>Uncle Sams Cider (04/04/2023)</v>
      </c>
      <c r="H9549" s="19"/>
    </row>
    <row r="9550">
      <c r="A9550" s="9"/>
      <c r="B9550" s="15"/>
      <c r="C9550" s="9">
        <f>IFERROR(__xludf.DUMMYFUNCTION("""COMPUTED_VALUE"""),45043.7302981597)</f>
        <v>45043.7303</v>
      </c>
      <c r="D9550" s="15">
        <f>IFERROR(__xludf.DUMMYFUNCTION("""COMPUTED_VALUE"""),1.031)</f>
        <v>1.031</v>
      </c>
      <c r="E9550" s="16">
        <f>IFERROR(__xludf.DUMMYFUNCTION("""COMPUTED_VALUE"""),62.0)</f>
        <v>62</v>
      </c>
      <c r="F9550" s="19" t="str">
        <f>IFERROR(__xludf.DUMMYFUNCTION("""COMPUTED_VALUE"""),"BLUE")</f>
        <v>BLUE</v>
      </c>
      <c r="G9550" s="20" t="str">
        <f>IFERROR(__xludf.DUMMYFUNCTION("""COMPUTED_VALUE"""),"Uncle Sams Cider (04/04/2023)")</f>
        <v>Uncle Sams Cider (04/04/2023)</v>
      </c>
      <c r="H9550" s="19"/>
    </row>
    <row r="9551">
      <c r="A9551" s="9"/>
      <c r="B9551" s="15"/>
      <c r="C9551" s="9">
        <f>IFERROR(__xludf.DUMMYFUNCTION("""COMPUTED_VALUE"""),45043.7198760648)</f>
        <v>45043.71988</v>
      </c>
      <c r="D9551" s="15">
        <f>IFERROR(__xludf.DUMMYFUNCTION("""COMPUTED_VALUE"""),1.031)</f>
        <v>1.031</v>
      </c>
      <c r="E9551" s="16">
        <f>IFERROR(__xludf.DUMMYFUNCTION("""COMPUTED_VALUE"""),62.0)</f>
        <v>62</v>
      </c>
      <c r="F9551" s="19" t="str">
        <f>IFERROR(__xludf.DUMMYFUNCTION("""COMPUTED_VALUE"""),"BLUE")</f>
        <v>BLUE</v>
      </c>
      <c r="G9551" s="20" t="str">
        <f>IFERROR(__xludf.DUMMYFUNCTION("""COMPUTED_VALUE"""),"Uncle Sams Cider (04/04/2023)")</f>
        <v>Uncle Sams Cider (04/04/2023)</v>
      </c>
      <c r="H9551" s="19"/>
    </row>
    <row r="9552">
      <c r="A9552" s="9"/>
      <c r="B9552" s="15"/>
      <c r="C9552" s="9">
        <f>IFERROR(__xludf.DUMMYFUNCTION("""COMPUTED_VALUE"""),45043.7094447916)</f>
        <v>45043.70944</v>
      </c>
      <c r="D9552" s="15">
        <f>IFERROR(__xludf.DUMMYFUNCTION("""COMPUTED_VALUE"""),1.031)</f>
        <v>1.031</v>
      </c>
      <c r="E9552" s="16">
        <f>IFERROR(__xludf.DUMMYFUNCTION("""COMPUTED_VALUE"""),62.0)</f>
        <v>62</v>
      </c>
      <c r="F9552" s="19" t="str">
        <f>IFERROR(__xludf.DUMMYFUNCTION("""COMPUTED_VALUE"""),"BLUE")</f>
        <v>BLUE</v>
      </c>
      <c r="G9552" s="20" t="str">
        <f>IFERROR(__xludf.DUMMYFUNCTION("""COMPUTED_VALUE"""),"Uncle Sams Cider (04/04/2023)")</f>
        <v>Uncle Sams Cider (04/04/2023)</v>
      </c>
      <c r="H9552" s="19"/>
    </row>
    <row r="9553">
      <c r="A9553" s="9"/>
      <c r="B9553" s="15"/>
      <c r="C9553" s="9">
        <f>IFERROR(__xludf.DUMMYFUNCTION("""COMPUTED_VALUE"""),45043.6990234722)</f>
        <v>45043.69902</v>
      </c>
      <c r="D9553" s="15">
        <f>IFERROR(__xludf.DUMMYFUNCTION("""COMPUTED_VALUE"""),1.031)</f>
        <v>1.031</v>
      </c>
      <c r="E9553" s="16">
        <f>IFERROR(__xludf.DUMMYFUNCTION("""COMPUTED_VALUE"""),62.0)</f>
        <v>62</v>
      </c>
      <c r="F9553" s="19" t="str">
        <f>IFERROR(__xludf.DUMMYFUNCTION("""COMPUTED_VALUE"""),"BLUE")</f>
        <v>BLUE</v>
      </c>
      <c r="G9553" s="20" t="str">
        <f>IFERROR(__xludf.DUMMYFUNCTION("""COMPUTED_VALUE"""),"Uncle Sams Cider (04/04/2023)")</f>
        <v>Uncle Sams Cider (04/04/2023)</v>
      </c>
      <c r="H9553" s="19"/>
    </row>
    <row r="9554">
      <c r="A9554" s="9"/>
      <c r="B9554" s="15"/>
      <c r="C9554" s="9">
        <f>IFERROR(__xludf.DUMMYFUNCTION("""COMPUTED_VALUE"""),45043.6886007638)</f>
        <v>45043.6886</v>
      </c>
      <c r="D9554" s="15">
        <f>IFERROR(__xludf.DUMMYFUNCTION("""COMPUTED_VALUE"""),1.031)</f>
        <v>1.031</v>
      </c>
      <c r="E9554" s="16">
        <f>IFERROR(__xludf.DUMMYFUNCTION("""COMPUTED_VALUE"""),62.0)</f>
        <v>62</v>
      </c>
      <c r="F9554" s="19" t="str">
        <f>IFERROR(__xludf.DUMMYFUNCTION("""COMPUTED_VALUE"""),"BLUE")</f>
        <v>BLUE</v>
      </c>
      <c r="G9554" s="20" t="str">
        <f>IFERROR(__xludf.DUMMYFUNCTION("""COMPUTED_VALUE"""),"Uncle Sams Cider (04/04/2023)")</f>
        <v>Uncle Sams Cider (04/04/2023)</v>
      </c>
      <c r="H9554" s="19"/>
    </row>
    <row r="9555">
      <c r="A9555" s="9"/>
      <c r="B9555" s="15"/>
      <c r="C9555" s="9">
        <f>IFERROR(__xludf.DUMMYFUNCTION("""COMPUTED_VALUE"""),45043.6781811458)</f>
        <v>45043.67818</v>
      </c>
      <c r="D9555" s="15">
        <f>IFERROR(__xludf.DUMMYFUNCTION("""COMPUTED_VALUE"""),1.031)</f>
        <v>1.031</v>
      </c>
      <c r="E9555" s="16">
        <f>IFERROR(__xludf.DUMMYFUNCTION("""COMPUTED_VALUE"""),62.0)</f>
        <v>62</v>
      </c>
      <c r="F9555" s="19" t="str">
        <f>IFERROR(__xludf.DUMMYFUNCTION("""COMPUTED_VALUE"""),"BLUE")</f>
        <v>BLUE</v>
      </c>
      <c r="G9555" s="20" t="str">
        <f>IFERROR(__xludf.DUMMYFUNCTION("""COMPUTED_VALUE"""),"Uncle Sams Cider (04/04/2023)")</f>
        <v>Uncle Sams Cider (04/04/2023)</v>
      </c>
      <c r="H9555" s="19"/>
    </row>
    <row r="9556">
      <c r="A9556" s="9"/>
      <c r="B9556" s="15"/>
      <c r="C9556" s="9">
        <f>IFERROR(__xludf.DUMMYFUNCTION("""COMPUTED_VALUE"""),45043.6677505671)</f>
        <v>45043.66775</v>
      </c>
      <c r="D9556" s="15">
        <f>IFERROR(__xludf.DUMMYFUNCTION("""COMPUTED_VALUE"""),1.031)</f>
        <v>1.031</v>
      </c>
      <c r="E9556" s="16">
        <f>IFERROR(__xludf.DUMMYFUNCTION("""COMPUTED_VALUE"""),62.0)</f>
        <v>62</v>
      </c>
      <c r="F9556" s="19" t="str">
        <f>IFERROR(__xludf.DUMMYFUNCTION("""COMPUTED_VALUE"""),"BLUE")</f>
        <v>BLUE</v>
      </c>
      <c r="G9556" s="20" t="str">
        <f>IFERROR(__xludf.DUMMYFUNCTION("""COMPUTED_VALUE"""),"Uncle Sams Cider (04/04/2023)")</f>
        <v>Uncle Sams Cider (04/04/2023)</v>
      </c>
      <c r="H9556" s="19"/>
    </row>
    <row r="9557">
      <c r="A9557" s="9"/>
      <c r="B9557" s="15"/>
      <c r="C9557" s="9">
        <f>IFERROR(__xludf.DUMMYFUNCTION("""COMPUTED_VALUE"""),45043.6573289351)</f>
        <v>45043.65733</v>
      </c>
      <c r="D9557" s="15">
        <f>IFERROR(__xludf.DUMMYFUNCTION("""COMPUTED_VALUE"""),1.031)</f>
        <v>1.031</v>
      </c>
      <c r="E9557" s="16">
        <f>IFERROR(__xludf.DUMMYFUNCTION("""COMPUTED_VALUE"""),62.0)</f>
        <v>62</v>
      </c>
      <c r="F9557" s="19" t="str">
        <f>IFERROR(__xludf.DUMMYFUNCTION("""COMPUTED_VALUE"""),"BLUE")</f>
        <v>BLUE</v>
      </c>
      <c r="G9557" s="20" t="str">
        <f>IFERROR(__xludf.DUMMYFUNCTION("""COMPUTED_VALUE"""),"Uncle Sams Cider (04/04/2023)")</f>
        <v>Uncle Sams Cider (04/04/2023)</v>
      </c>
      <c r="H9557" s="19"/>
    </row>
    <row r="9558">
      <c r="A9558" s="9"/>
      <c r="B9558" s="15"/>
      <c r="C9558" s="9">
        <f>IFERROR(__xludf.DUMMYFUNCTION("""COMPUTED_VALUE"""),45043.6469065393)</f>
        <v>45043.64691</v>
      </c>
      <c r="D9558" s="15">
        <f>IFERROR(__xludf.DUMMYFUNCTION("""COMPUTED_VALUE"""),1.031)</f>
        <v>1.031</v>
      </c>
      <c r="E9558" s="16">
        <f>IFERROR(__xludf.DUMMYFUNCTION("""COMPUTED_VALUE"""),62.0)</f>
        <v>62</v>
      </c>
      <c r="F9558" s="19" t="str">
        <f>IFERROR(__xludf.DUMMYFUNCTION("""COMPUTED_VALUE"""),"BLUE")</f>
        <v>BLUE</v>
      </c>
      <c r="G9558" s="20" t="str">
        <f>IFERROR(__xludf.DUMMYFUNCTION("""COMPUTED_VALUE"""),"Uncle Sams Cider (04/04/2023)")</f>
        <v>Uncle Sams Cider (04/04/2023)</v>
      </c>
      <c r="H9558" s="19"/>
    </row>
    <row r="9559">
      <c r="A9559" s="9"/>
      <c r="B9559" s="15"/>
      <c r="C9559" s="9">
        <f>IFERROR(__xludf.DUMMYFUNCTION("""COMPUTED_VALUE"""),45043.6364851041)</f>
        <v>45043.63649</v>
      </c>
      <c r="D9559" s="15">
        <f>IFERROR(__xludf.DUMMYFUNCTION("""COMPUTED_VALUE"""),1.031)</f>
        <v>1.031</v>
      </c>
      <c r="E9559" s="16">
        <f>IFERROR(__xludf.DUMMYFUNCTION("""COMPUTED_VALUE"""),62.0)</f>
        <v>62</v>
      </c>
      <c r="F9559" s="19" t="str">
        <f>IFERROR(__xludf.DUMMYFUNCTION("""COMPUTED_VALUE"""),"BLUE")</f>
        <v>BLUE</v>
      </c>
      <c r="G9559" s="20" t="str">
        <f>IFERROR(__xludf.DUMMYFUNCTION("""COMPUTED_VALUE"""),"Uncle Sams Cider (04/04/2023)")</f>
        <v>Uncle Sams Cider (04/04/2023)</v>
      </c>
      <c r="H9559" s="19"/>
    </row>
    <row r="9560">
      <c r="A9560" s="9"/>
      <c r="B9560" s="15"/>
      <c r="C9560" s="9">
        <f>IFERROR(__xludf.DUMMYFUNCTION("""COMPUTED_VALUE"""),45043.6260648263)</f>
        <v>45043.62606</v>
      </c>
      <c r="D9560" s="15">
        <f>IFERROR(__xludf.DUMMYFUNCTION("""COMPUTED_VALUE"""),1.031)</f>
        <v>1.031</v>
      </c>
      <c r="E9560" s="16">
        <f>IFERROR(__xludf.DUMMYFUNCTION("""COMPUTED_VALUE"""),62.0)</f>
        <v>62</v>
      </c>
      <c r="F9560" s="19" t="str">
        <f>IFERROR(__xludf.DUMMYFUNCTION("""COMPUTED_VALUE"""),"BLUE")</f>
        <v>BLUE</v>
      </c>
      <c r="G9560" s="20" t="str">
        <f>IFERROR(__xludf.DUMMYFUNCTION("""COMPUTED_VALUE"""),"Uncle Sams Cider (04/04/2023)")</f>
        <v>Uncle Sams Cider (04/04/2023)</v>
      </c>
      <c r="H9560" s="19"/>
    </row>
    <row r="9561">
      <c r="A9561" s="9"/>
      <c r="B9561" s="15"/>
      <c r="C9561" s="9">
        <f>IFERROR(__xludf.DUMMYFUNCTION("""COMPUTED_VALUE"""),45043.6156442939)</f>
        <v>45043.61564</v>
      </c>
      <c r="D9561" s="15">
        <f>IFERROR(__xludf.DUMMYFUNCTION("""COMPUTED_VALUE"""),1.031)</f>
        <v>1.031</v>
      </c>
      <c r="E9561" s="16">
        <f>IFERROR(__xludf.DUMMYFUNCTION("""COMPUTED_VALUE"""),62.0)</f>
        <v>62</v>
      </c>
      <c r="F9561" s="19" t="str">
        <f>IFERROR(__xludf.DUMMYFUNCTION("""COMPUTED_VALUE"""),"BLUE")</f>
        <v>BLUE</v>
      </c>
      <c r="G9561" s="20" t="str">
        <f>IFERROR(__xludf.DUMMYFUNCTION("""COMPUTED_VALUE"""),"Uncle Sams Cider (04/04/2023)")</f>
        <v>Uncle Sams Cider (04/04/2023)</v>
      </c>
      <c r="H9561" s="19"/>
    </row>
    <row r="9562">
      <c r="A9562" s="9"/>
      <c r="B9562" s="15"/>
      <c r="C9562" s="9">
        <f>IFERROR(__xludf.DUMMYFUNCTION("""COMPUTED_VALUE"""),45043.6052237615)</f>
        <v>45043.60522</v>
      </c>
      <c r="D9562" s="15">
        <f>IFERROR(__xludf.DUMMYFUNCTION("""COMPUTED_VALUE"""),1.031)</f>
        <v>1.031</v>
      </c>
      <c r="E9562" s="16">
        <f>IFERROR(__xludf.DUMMYFUNCTION("""COMPUTED_VALUE"""),62.0)</f>
        <v>62</v>
      </c>
      <c r="F9562" s="19" t="str">
        <f>IFERROR(__xludf.DUMMYFUNCTION("""COMPUTED_VALUE"""),"BLUE")</f>
        <v>BLUE</v>
      </c>
      <c r="G9562" s="20" t="str">
        <f>IFERROR(__xludf.DUMMYFUNCTION("""COMPUTED_VALUE"""),"Uncle Sams Cider (04/04/2023)")</f>
        <v>Uncle Sams Cider (04/04/2023)</v>
      </c>
      <c r="H9562" s="19"/>
    </row>
    <row r="9563">
      <c r="A9563" s="9"/>
      <c r="B9563" s="15"/>
      <c r="C9563" s="9">
        <f>IFERROR(__xludf.DUMMYFUNCTION("""COMPUTED_VALUE"""),45043.5947915277)</f>
        <v>45043.59479</v>
      </c>
      <c r="D9563" s="15">
        <f>IFERROR(__xludf.DUMMYFUNCTION("""COMPUTED_VALUE"""),1.031)</f>
        <v>1.031</v>
      </c>
      <c r="E9563" s="16">
        <f>IFERROR(__xludf.DUMMYFUNCTION("""COMPUTED_VALUE"""),62.0)</f>
        <v>62</v>
      </c>
      <c r="F9563" s="19" t="str">
        <f>IFERROR(__xludf.DUMMYFUNCTION("""COMPUTED_VALUE"""),"BLUE")</f>
        <v>BLUE</v>
      </c>
      <c r="G9563" s="20" t="str">
        <f>IFERROR(__xludf.DUMMYFUNCTION("""COMPUTED_VALUE"""),"Uncle Sams Cider (04/04/2023)")</f>
        <v>Uncle Sams Cider (04/04/2023)</v>
      </c>
      <c r="H9563" s="19"/>
    </row>
    <row r="9564">
      <c r="A9564" s="9"/>
      <c r="B9564" s="15"/>
      <c r="C9564" s="9">
        <f>IFERROR(__xludf.DUMMYFUNCTION("""COMPUTED_VALUE"""),45043.5843702546)</f>
        <v>45043.58437</v>
      </c>
      <c r="D9564" s="15">
        <f>IFERROR(__xludf.DUMMYFUNCTION("""COMPUTED_VALUE"""),1.031)</f>
        <v>1.031</v>
      </c>
      <c r="E9564" s="16">
        <f>IFERROR(__xludf.DUMMYFUNCTION("""COMPUTED_VALUE"""),62.0)</f>
        <v>62</v>
      </c>
      <c r="F9564" s="19" t="str">
        <f>IFERROR(__xludf.DUMMYFUNCTION("""COMPUTED_VALUE"""),"BLUE")</f>
        <v>BLUE</v>
      </c>
      <c r="G9564" s="20" t="str">
        <f>IFERROR(__xludf.DUMMYFUNCTION("""COMPUTED_VALUE"""),"Uncle Sams Cider (04/04/2023)")</f>
        <v>Uncle Sams Cider (04/04/2023)</v>
      </c>
      <c r="H9564" s="19"/>
    </row>
    <row r="9565">
      <c r="A9565" s="9"/>
      <c r="B9565" s="15"/>
      <c r="C9565" s="9">
        <f>IFERROR(__xludf.DUMMYFUNCTION("""COMPUTED_VALUE"""),45043.5739488888)</f>
        <v>45043.57395</v>
      </c>
      <c r="D9565" s="15">
        <f>IFERROR(__xludf.DUMMYFUNCTION("""COMPUTED_VALUE"""),1.031)</f>
        <v>1.031</v>
      </c>
      <c r="E9565" s="16">
        <f>IFERROR(__xludf.DUMMYFUNCTION("""COMPUTED_VALUE"""),62.0)</f>
        <v>62</v>
      </c>
      <c r="F9565" s="19" t="str">
        <f>IFERROR(__xludf.DUMMYFUNCTION("""COMPUTED_VALUE"""),"BLUE")</f>
        <v>BLUE</v>
      </c>
      <c r="G9565" s="20" t="str">
        <f>IFERROR(__xludf.DUMMYFUNCTION("""COMPUTED_VALUE"""),"Uncle Sams Cider (04/04/2023)")</f>
        <v>Uncle Sams Cider (04/04/2023)</v>
      </c>
      <c r="H9565" s="19"/>
    </row>
    <row r="9566">
      <c r="A9566" s="9"/>
      <c r="B9566" s="15"/>
      <c r="C9566" s="9">
        <f>IFERROR(__xludf.DUMMYFUNCTION("""COMPUTED_VALUE"""),45043.5635277083)</f>
        <v>45043.56353</v>
      </c>
      <c r="D9566" s="15">
        <f>IFERROR(__xludf.DUMMYFUNCTION("""COMPUTED_VALUE"""),1.031)</f>
        <v>1.031</v>
      </c>
      <c r="E9566" s="16">
        <f>IFERROR(__xludf.DUMMYFUNCTION("""COMPUTED_VALUE"""),62.0)</f>
        <v>62</v>
      </c>
      <c r="F9566" s="19" t="str">
        <f>IFERROR(__xludf.DUMMYFUNCTION("""COMPUTED_VALUE"""),"BLUE")</f>
        <v>BLUE</v>
      </c>
      <c r="G9566" s="20" t="str">
        <f>IFERROR(__xludf.DUMMYFUNCTION("""COMPUTED_VALUE"""),"Uncle Sams Cider (04/04/2023)")</f>
        <v>Uncle Sams Cider (04/04/2023)</v>
      </c>
      <c r="H9566" s="19"/>
    </row>
    <row r="9567">
      <c r="A9567" s="9"/>
      <c r="B9567" s="15"/>
      <c r="C9567" s="9">
        <f>IFERROR(__xludf.DUMMYFUNCTION("""COMPUTED_VALUE"""),45043.5531052546)</f>
        <v>45043.55311</v>
      </c>
      <c r="D9567" s="15">
        <f>IFERROR(__xludf.DUMMYFUNCTION("""COMPUTED_VALUE"""),1.031)</f>
        <v>1.031</v>
      </c>
      <c r="E9567" s="16">
        <f>IFERROR(__xludf.DUMMYFUNCTION("""COMPUTED_VALUE"""),62.0)</f>
        <v>62</v>
      </c>
      <c r="F9567" s="19" t="str">
        <f>IFERROR(__xludf.DUMMYFUNCTION("""COMPUTED_VALUE"""),"BLUE")</f>
        <v>BLUE</v>
      </c>
      <c r="G9567" s="20" t="str">
        <f>IFERROR(__xludf.DUMMYFUNCTION("""COMPUTED_VALUE"""),"Uncle Sams Cider (04/04/2023)")</f>
        <v>Uncle Sams Cider (04/04/2023)</v>
      </c>
      <c r="H9567" s="19"/>
    </row>
    <row r="9568">
      <c r="A9568" s="9"/>
      <c r="B9568" s="15"/>
      <c r="C9568" s="9">
        <f>IFERROR(__xludf.DUMMYFUNCTION("""COMPUTED_VALUE"""),45043.5426838773)</f>
        <v>45043.54268</v>
      </c>
      <c r="D9568" s="15">
        <f>IFERROR(__xludf.DUMMYFUNCTION("""COMPUTED_VALUE"""),1.031)</f>
        <v>1.031</v>
      </c>
      <c r="E9568" s="16">
        <f>IFERROR(__xludf.DUMMYFUNCTION("""COMPUTED_VALUE"""),62.0)</f>
        <v>62</v>
      </c>
      <c r="F9568" s="19" t="str">
        <f>IFERROR(__xludf.DUMMYFUNCTION("""COMPUTED_VALUE"""),"BLUE")</f>
        <v>BLUE</v>
      </c>
      <c r="G9568" s="20" t="str">
        <f>IFERROR(__xludf.DUMMYFUNCTION("""COMPUTED_VALUE"""),"Uncle Sams Cider (04/04/2023)")</f>
        <v>Uncle Sams Cider (04/04/2023)</v>
      </c>
      <c r="H9568" s="19"/>
    </row>
    <row r="9569">
      <c r="A9569" s="9"/>
      <c r="B9569" s="15"/>
      <c r="C9569" s="9">
        <f>IFERROR(__xludf.DUMMYFUNCTION("""COMPUTED_VALUE"""),45043.5322641088)</f>
        <v>45043.53226</v>
      </c>
      <c r="D9569" s="15">
        <f>IFERROR(__xludf.DUMMYFUNCTION("""COMPUTED_VALUE"""),1.031)</f>
        <v>1.031</v>
      </c>
      <c r="E9569" s="16">
        <f>IFERROR(__xludf.DUMMYFUNCTION("""COMPUTED_VALUE"""),62.0)</f>
        <v>62</v>
      </c>
      <c r="F9569" s="19" t="str">
        <f>IFERROR(__xludf.DUMMYFUNCTION("""COMPUTED_VALUE"""),"BLUE")</f>
        <v>BLUE</v>
      </c>
      <c r="G9569" s="20" t="str">
        <f>IFERROR(__xludf.DUMMYFUNCTION("""COMPUTED_VALUE"""),"Uncle Sams Cider (04/04/2023)")</f>
        <v>Uncle Sams Cider (04/04/2023)</v>
      </c>
      <c r="H9569" s="19"/>
    </row>
    <row r="9570">
      <c r="A9570" s="9"/>
      <c r="B9570" s="15"/>
      <c r="C9570" s="9">
        <f>IFERROR(__xludf.DUMMYFUNCTION("""COMPUTED_VALUE"""),45043.5218426389)</f>
        <v>45043.52184</v>
      </c>
      <c r="D9570" s="15">
        <f>IFERROR(__xludf.DUMMYFUNCTION("""COMPUTED_VALUE"""),1.031)</f>
        <v>1.031</v>
      </c>
      <c r="E9570" s="16">
        <f>IFERROR(__xludf.DUMMYFUNCTION("""COMPUTED_VALUE"""),62.0)</f>
        <v>62</v>
      </c>
      <c r="F9570" s="19" t="str">
        <f>IFERROR(__xludf.DUMMYFUNCTION("""COMPUTED_VALUE"""),"BLUE")</f>
        <v>BLUE</v>
      </c>
      <c r="G9570" s="20" t="str">
        <f>IFERROR(__xludf.DUMMYFUNCTION("""COMPUTED_VALUE"""),"Uncle Sams Cider (04/04/2023)")</f>
        <v>Uncle Sams Cider (04/04/2023)</v>
      </c>
      <c r="H9570" s="19"/>
    </row>
    <row r="9571">
      <c r="A9571" s="9"/>
      <c r="B9571" s="15"/>
      <c r="C9571" s="9">
        <f>IFERROR(__xludf.DUMMYFUNCTION("""COMPUTED_VALUE"""),45043.5114087384)</f>
        <v>45043.51141</v>
      </c>
      <c r="D9571" s="15">
        <f>IFERROR(__xludf.DUMMYFUNCTION("""COMPUTED_VALUE"""),1.031)</f>
        <v>1.031</v>
      </c>
      <c r="E9571" s="16">
        <f>IFERROR(__xludf.DUMMYFUNCTION("""COMPUTED_VALUE"""),62.0)</f>
        <v>62</v>
      </c>
      <c r="F9571" s="19" t="str">
        <f>IFERROR(__xludf.DUMMYFUNCTION("""COMPUTED_VALUE"""),"BLUE")</f>
        <v>BLUE</v>
      </c>
      <c r="G9571" s="20" t="str">
        <f>IFERROR(__xludf.DUMMYFUNCTION("""COMPUTED_VALUE"""),"Uncle Sams Cider (04/04/2023)")</f>
        <v>Uncle Sams Cider (04/04/2023)</v>
      </c>
      <c r="H9571" s="19"/>
    </row>
    <row r="9572">
      <c r="A9572" s="9"/>
      <c r="B9572" s="15"/>
      <c r="C9572" s="9">
        <f>IFERROR(__xludf.DUMMYFUNCTION("""COMPUTED_VALUE"""),45043.5009884722)</f>
        <v>45043.50099</v>
      </c>
      <c r="D9572" s="15">
        <f>IFERROR(__xludf.DUMMYFUNCTION("""COMPUTED_VALUE"""),1.031)</f>
        <v>1.031</v>
      </c>
      <c r="E9572" s="16">
        <f>IFERROR(__xludf.DUMMYFUNCTION("""COMPUTED_VALUE"""),62.0)</f>
        <v>62</v>
      </c>
      <c r="F9572" s="19" t="str">
        <f>IFERROR(__xludf.DUMMYFUNCTION("""COMPUTED_VALUE"""),"BLUE")</f>
        <v>BLUE</v>
      </c>
      <c r="G9572" s="20" t="str">
        <f>IFERROR(__xludf.DUMMYFUNCTION("""COMPUTED_VALUE"""),"Uncle Sams Cider (04/04/2023)")</f>
        <v>Uncle Sams Cider (04/04/2023)</v>
      </c>
      <c r="H9572" s="19"/>
    </row>
    <row r="9573">
      <c r="A9573" s="9"/>
      <c r="B9573" s="15"/>
      <c r="C9573" s="9">
        <f>IFERROR(__xludf.DUMMYFUNCTION("""COMPUTED_VALUE"""),45043.4905666435)</f>
        <v>45043.49057</v>
      </c>
      <c r="D9573" s="15">
        <f>IFERROR(__xludf.DUMMYFUNCTION("""COMPUTED_VALUE"""),1.031)</f>
        <v>1.031</v>
      </c>
      <c r="E9573" s="16">
        <f>IFERROR(__xludf.DUMMYFUNCTION("""COMPUTED_VALUE"""),62.0)</f>
        <v>62</v>
      </c>
      <c r="F9573" s="19" t="str">
        <f>IFERROR(__xludf.DUMMYFUNCTION("""COMPUTED_VALUE"""),"BLUE")</f>
        <v>BLUE</v>
      </c>
      <c r="G9573" s="20" t="str">
        <f>IFERROR(__xludf.DUMMYFUNCTION("""COMPUTED_VALUE"""),"Uncle Sams Cider (04/04/2023)")</f>
        <v>Uncle Sams Cider (04/04/2023)</v>
      </c>
      <c r="H9573" s="19"/>
    </row>
    <row r="9574">
      <c r="A9574" s="9"/>
      <c r="B9574" s="15"/>
      <c r="C9574" s="9">
        <f>IFERROR(__xludf.DUMMYFUNCTION("""COMPUTED_VALUE"""),45043.4801323148)</f>
        <v>45043.48013</v>
      </c>
      <c r="D9574" s="15">
        <f>IFERROR(__xludf.DUMMYFUNCTION("""COMPUTED_VALUE"""),1.031)</f>
        <v>1.031</v>
      </c>
      <c r="E9574" s="16">
        <f>IFERROR(__xludf.DUMMYFUNCTION("""COMPUTED_VALUE"""),62.0)</f>
        <v>62</v>
      </c>
      <c r="F9574" s="19" t="str">
        <f>IFERROR(__xludf.DUMMYFUNCTION("""COMPUTED_VALUE"""),"BLUE")</f>
        <v>BLUE</v>
      </c>
      <c r="G9574" s="20" t="str">
        <f>IFERROR(__xludf.DUMMYFUNCTION("""COMPUTED_VALUE"""),"Uncle Sams Cider (04/04/2023)")</f>
        <v>Uncle Sams Cider (04/04/2023)</v>
      </c>
      <c r="H9574" s="19"/>
    </row>
    <row r="9575">
      <c r="A9575" s="9"/>
      <c r="B9575" s="15"/>
      <c r="C9575" s="9">
        <f>IFERROR(__xludf.DUMMYFUNCTION("""COMPUTED_VALUE"""),45043.4696992361)</f>
        <v>45043.4697</v>
      </c>
      <c r="D9575" s="15">
        <f>IFERROR(__xludf.DUMMYFUNCTION("""COMPUTED_VALUE"""),1.031)</f>
        <v>1.031</v>
      </c>
      <c r="E9575" s="16">
        <f>IFERROR(__xludf.DUMMYFUNCTION("""COMPUTED_VALUE"""),62.0)</f>
        <v>62</v>
      </c>
      <c r="F9575" s="19" t="str">
        <f>IFERROR(__xludf.DUMMYFUNCTION("""COMPUTED_VALUE"""),"BLUE")</f>
        <v>BLUE</v>
      </c>
      <c r="G9575" s="20" t="str">
        <f>IFERROR(__xludf.DUMMYFUNCTION("""COMPUTED_VALUE"""),"Uncle Sams Cider (04/04/2023)")</f>
        <v>Uncle Sams Cider (04/04/2023)</v>
      </c>
      <c r="H9575" s="19"/>
    </row>
    <row r="9576">
      <c r="A9576" s="9"/>
      <c r="B9576" s="15"/>
      <c r="C9576" s="9">
        <f>IFERROR(__xludf.DUMMYFUNCTION("""COMPUTED_VALUE"""),45043.4592774884)</f>
        <v>45043.45928</v>
      </c>
      <c r="D9576" s="15">
        <f>IFERROR(__xludf.DUMMYFUNCTION("""COMPUTED_VALUE"""),1.031)</f>
        <v>1.031</v>
      </c>
      <c r="E9576" s="16">
        <f>IFERROR(__xludf.DUMMYFUNCTION("""COMPUTED_VALUE"""),62.0)</f>
        <v>62</v>
      </c>
      <c r="F9576" s="19" t="str">
        <f>IFERROR(__xludf.DUMMYFUNCTION("""COMPUTED_VALUE"""),"BLUE")</f>
        <v>BLUE</v>
      </c>
      <c r="G9576" s="20" t="str">
        <f>IFERROR(__xludf.DUMMYFUNCTION("""COMPUTED_VALUE"""),"Uncle Sams Cider (04/04/2023)")</f>
        <v>Uncle Sams Cider (04/04/2023)</v>
      </c>
      <c r="H9576" s="19"/>
    </row>
    <row r="9577">
      <c r="A9577" s="9"/>
      <c r="B9577" s="15"/>
      <c r="C9577" s="9">
        <f>IFERROR(__xludf.DUMMYFUNCTION("""COMPUTED_VALUE"""),45043.4488551736)</f>
        <v>45043.44886</v>
      </c>
      <c r="D9577" s="15">
        <f>IFERROR(__xludf.DUMMYFUNCTION("""COMPUTED_VALUE"""),1.031)</f>
        <v>1.031</v>
      </c>
      <c r="E9577" s="16">
        <f>IFERROR(__xludf.DUMMYFUNCTION("""COMPUTED_VALUE"""),62.0)</f>
        <v>62</v>
      </c>
      <c r="F9577" s="19" t="str">
        <f>IFERROR(__xludf.DUMMYFUNCTION("""COMPUTED_VALUE"""),"BLUE")</f>
        <v>BLUE</v>
      </c>
      <c r="G9577" s="20" t="str">
        <f>IFERROR(__xludf.DUMMYFUNCTION("""COMPUTED_VALUE"""),"Uncle Sams Cider (04/04/2023)")</f>
        <v>Uncle Sams Cider (04/04/2023)</v>
      </c>
      <c r="H9577" s="19"/>
    </row>
    <row r="9578">
      <c r="A9578" s="9"/>
      <c r="B9578" s="15"/>
      <c r="C9578" s="9">
        <f>IFERROR(__xludf.DUMMYFUNCTION("""COMPUTED_VALUE"""),45043.4384341782)</f>
        <v>45043.43843</v>
      </c>
      <c r="D9578" s="15">
        <f>IFERROR(__xludf.DUMMYFUNCTION("""COMPUTED_VALUE"""),1.031)</f>
        <v>1.031</v>
      </c>
      <c r="E9578" s="16">
        <f>IFERROR(__xludf.DUMMYFUNCTION("""COMPUTED_VALUE"""),62.0)</f>
        <v>62</v>
      </c>
      <c r="F9578" s="19" t="str">
        <f>IFERROR(__xludf.DUMMYFUNCTION("""COMPUTED_VALUE"""),"BLUE")</f>
        <v>BLUE</v>
      </c>
      <c r="G9578" s="20" t="str">
        <f>IFERROR(__xludf.DUMMYFUNCTION("""COMPUTED_VALUE"""),"Uncle Sams Cider (04/04/2023)")</f>
        <v>Uncle Sams Cider (04/04/2023)</v>
      </c>
      <c r="H9578" s="19"/>
    </row>
    <row r="9579">
      <c r="A9579" s="9"/>
      <c r="B9579" s="15"/>
      <c r="C9579" s="9">
        <f>IFERROR(__xludf.DUMMYFUNCTION("""COMPUTED_VALUE"""),45043.4280015509)</f>
        <v>45043.428</v>
      </c>
      <c r="D9579" s="15">
        <f>IFERROR(__xludf.DUMMYFUNCTION("""COMPUTED_VALUE"""),1.031)</f>
        <v>1.031</v>
      </c>
      <c r="E9579" s="16">
        <f>IFERROR(__xludf.DUMMYFUNCTION("""COMPUTED_VALUE"""),62.0)</f>
        <v>62</v>
      </c>
      <c r="F9579" s="19" t="str">
        <f>IFERROR(__xludf.DUMMYFUNCTION("""COMPUTED_VALUE"""),"BLUE")</f>
        <v>BLUE</v>
      </c>
      <c r="G9579" s="20" t="str">
        <f>IFERROR(__xludf.DUMMYFUNCTION("""COMPUTED_VALUE"""),"Uncle Sams Cider (04/04/2023)")</f>
        <v>Uncle Sams Cider (04/04/2023)</v>
      </c>
      <c r="H9579" s="19"/>
    </row>
    <row r="9580">
      <c r="A9580" s="9"/>
      <c r="B9580" s="15"/>
      <c r="C9580" s="9">
        <f>IFERROR(__xludf.DUMMYFUNCTION("""COMPUTED_VALUE"""),45043.4175821875)</f>
        <v>45043.41758</v>
      </c>
      <c r="D9580" s="15">
        <f>IFERROR(__xludf.DUMMYFUNCTION("""COMPUTED_VALUE"""),1.031)</f>
        <v>1.031</v>
      </c>
      <c r="E9580" s="16">
        <f>IFERROR(__xludf.DUMMYFUNCTION("""COMPUTED_VALUE"""),62.0)</f>
        <v>62</v>
      </c>
      <c r="F9580" s="19" t="str">
        <f>IFERROR(__xludf.DUMMYFUNCTION("""COMPUTED_VALUE"""),"BLUE")</f>
        <v>BLUE</v>
      </c>
      <c r="G9580" s="20" t="str">
        <f>IFERROR(__xludf.DUMMYFUNCTION("""COMPUTED_VALUE"""),"Uncle Sams Cider (04/04/2023)")</f>
        <v>Uncle Sams Cider (04/04/2023)</v>
      </c>
      <c r="H9580" s="19"/>
    </row>
    <row r="9581">
      <c r="A9581" s="9"/>
      <c r="B9581" s="15"/>
      <c r="C9581" s="9">
        <f>IFERROR(__xludf.DUMMYFUNCTION("""COMPUTED_VALUE"""),45043.4071572916)</f>
        <v>45043.40716</v>
      </c>
      <c r="D9581" s="15">
        <f>IFERROR(__xludf.DUMMYFUNCTION("""COMPUTED_VALUE"""),1.031)</f>
        <v>1.031</v>
      </c>
      <c r="E9581" s="16">
        <f>IFERROR(__xludf.DUMMYFUNCTION("""COMPUTED_VALUE"""),62.0)</f>
        <v>62</v>
      </c>
      <c r="F9581" s="19" t="str">
        <f>IFERROR(__xludf.DUMMYFUNCTION("""COMPUTED_VALUE"""),"BLUE")</f>
        <v>BLUE</v>
      </c>
      <c r="G9581" s="20" t="str">
        <f>IFERROR(__xludf.DUMMYFUNCTION("""COMPUTED_VALUE"""),"Uncle Sams Cider (04/04/2023)")</f>
        <v>Uncle Sams Cider (04/04/2023)</v>
      </c>
      <c r="H9581" s="19"/>
    </row>
    <row r="9582">
      <c r="A9582" s="9"/>
      <c r="B9582" s="15"/>
      <c r="C9582" s="9">
        <f>IFERROR(__xludf.DUMMYFUNCTION("""COMPUTED_VALUE"""),45043.3967113426)</f>
        <v>45043.39671</v>
      </c>
      <c r="D9582" s="15">
        <f>IFERROR(__xludf.DUMMYFUNCTION("""COMPUTED_VALUE"""),1.031)</f>
        <v>1.031</v>
      </c>
      <c r="E9582" s="16">
        <f>IFERROR(__xludf.DUMMYFUNCTION("""COMPUTED_VALUE"""),62.0)</f>
        <v>62</v>
      </c>
      <c r="F9582" s="19" t="str">
        <f>IFERROR(__xludf.DUMMYFUNCTION("""COMPUTED_VALUE"""),"BLUE")</f>
        <v>BLUE</v>
      </c>
      <c r="G9582" s="20" t="str">
        <f>IFERROR(__xludf.DUMMYFUNCTION("""COMPUTED_VALUE"""),"Uncle Sams Cider (04/04/2023)")</f>
        <v>Uncle Sams Cider (04/04/2023)</v>
      </c>
      <c r="H9582" s="19"/>
    </row>
    <row r="9583">
      <c r="A9583" s="9"/>
      <c r="B9583" s="15"/>
      <c r="C9583" s="9">
        <f>IFERROR(__xludf.DUMMYFUNCTION("""COMPUTED_VALUE"""),45043.3862779398)</f>
        <v>45043.38628</v>
      </c>
      <c r="D9583" s="15">
        <f>IFERROR(__xludf.DUMMYFUNCTION("""COMPUTED_VALUE"""),1.031)</f>
        <v>1.031</v>
      </c>
      <c r="E9583" s="16">
        <f>IFERROR(__xludf.DUMMYFUNCTION("""COMPUTED_VALUE"""),62.0)</f>
        <v>62</v>
      </c>
      <c r="F9583" s="19" t="str">
        <f>IFERROR(__xludf.DUMMYFUNCTION("""COMPUTED_VALUE"""),"BLUE")</f>
        <v>BLUE</v>
      </c>
      <c r="G9583" s="20" t="str">
        <f>IFERROR(__xludf.DUMMYFUNCTION("""COMPUTED_VALUE"""),"Uncle Sams Cider (04/04/2023)")</f>
        <v>Uncle Sams Cider (04/04/2023)</v>
      </c>
      <c r="H9583" s="19"/>
    </row>
    <row r="9584">
      <c r="A9584" s="9"/>
      <c r="B9584" s="15"/>
      <c r="C9584" s="9">
        <f>IFERROR(__xludf.DUMMYFUNCTION("""COMPUTED_VALUE"""),45043.3758567361)</f>
        <v>45043.37586</v>
      </c>
      <c r="D9584" s="15">
        <f>IFERROR(__xludf.DUMMYFUNCTION("""COMPUTED_VALUE"""),1.031)</f>
        <v>1.031</v>
      </c>
      <c r="E9584" s="16">
        <f>IFERROR(__xludf.DUMMYFUNCTION("""COMPUTED_VALUE"""),62.0)</f>
        <v>62</v>
      </c>
      <c r="F9584" s="19" t="str">
        <f>IFERROR(__xludf.DUMMYFUNCTION("""COMPUTED_VALUE"""),"BLUE")</f>
        <v>BLUE</v>
      </c>
      <c r="G9584" s="20" t="str">
        <f>IFERROR(__xludf.DUMMYFUNCTION("""COMPUTED_VALUE"""),"Uncle Sams Cider (04/04/2023)")</f>
        <v>Uncle Sams Cider (04/04/2023)</v>
      </c>
      <c r="H9584" s="19"/>
    </row>
    <row r="9585">
      <c r="A9585" s="9"/>
      <c r="B9585" s="15"/>
      <c r="C9585" s="9">
        <f>IFERROR(__xludf.DUMMYFUNCTION("""COMPUTED_VALUE"""),45043.3654356828)</f>
        <v>45043.36544</v>
      </c>
      <c r="D9585" s="15">
        <f>IFERROR(__xludf.DUMMYFUNCTION("""COMPUTED_VALUE"""),1.031)</f>
        <v>1.031</v>
      </c>
      <c r="E9585" s="16">
        <f>IFERROR(__xludf.DUMMYFUNCTION("""COMPUTED_VALUE"""),62.0)</f>
        <v>62</v>
      </c>
      <c r="F9585" s="19" t="str">
        <f>IFERROR(__xludf.DUMMYFUNCTION("""COMPUTED_VALUE"""),"BLUE")</f>
        <v>BLUE</v>
      </c>
      <c r="G9585" s="20" t="str">
        <f>IFERROR(__xludf.DUMMYFUNCTION("""COMPUTED_VALUE"""),"Uncle Sams Cider (04/04/2023)")</f>
        <v>Uncle Sams Cider (04/04/2023)</v>
      </c>
      <c r="H9585" s="19"/>
    </row>
    <row r="9586">
      <c r="A9586" s="9"/>
      <c r="B9586" s="15"/>
      <c r="C9586" s="9">
        <f>IFERROR(__xludf.DUMMYFUNCTION("""COMPUTED_VALUE"""),45043.3550021412)</f>
        <v>45043.355</v>
      </c>
      <c r="D9586" s="15">
        <f>IFERROR(__xludf.DUMMYFUNCTION("""COMPUTED_VALUE"""),1.031)</f>
        <v>1.031</v>
      </c>
      <c r="E9586" s="16">
        <f>IFERROR(__xludf.DUMMYFUNCTION("""COMPUTED_VALUE"""),62.0)</f>
        <v>62</v>
      </c>
      <c r="F9586" s="19" t="str">
        <f>IFERROR(__xludf.DUMMYFUNCTION("""COMPUTED_VALUE"""),"BLUE")</f>
        <v>BLUE</v>
      </c>
      <c r="G9586" s="20" t="str">
        <f>IFERROR(__xludf.DUMMYFUNCTION("""COMPUTED_VALUE"""),"Uncle Sams Cider (04/04/2023)")</f>
        <v>Uncle Sams Cider (04/04/2023)</v>
      </c>
      <c r="H9586" s="19"/>
    </row>
    <row r="9587">
      <c r="A9587" s="9"/>
      <c r="B9587" s="15"/>
      <c r="C9587" s="9">
        <f>IFERROR(__xludf.DUMMYFUNCTION("""COMPUTED_VALUE"""),45043.3445808449)</f>
        <v>45043.34458</v>
      </c>
      <c r="D9587" s="15">
        <f>IFERROR(__xludf.DUMMYFUNCTION("""COMPUTED_VALUE"""),1.031)</f>
        <v>1.031</v>
      </c>
      <c r="E9587" s="16">
        <f>IFERROR(__xludf.DUMMYFUNCTION("""COMPUTED_VALUE"""),62.0)</f>
        <v>62</v>
      </c>
      <c r="F9587" s="19" t="str">
        <f>IFERROR(__xludf.DUMMYFUNCTION("""COMPUTED_VALUE"""),"BLUE")</f>
        <v>BLUE</v>
      </c>
      <c r="G9587" s="20" t="str">
        <f>IFERROR(__xludf.DUMMYFUNCTION("""COMPUTED_VALUE"""),"Uncle Sams Cider (04/04/2023)")</f>
        <v>Uncle Sams Cider (04/04/2023)</v>
      </c>
      <c r="H9587" s="19"/>
    </row>
    <row r="9588">
      <c r="A9588" s="9"/>
      <c r="B9588" s="15"/>
      <c r="C9588" s="9">
        <f>IFERROR(__xludf.DUMMYFUNCTION("""COMPUTED_VALUE"""),45043.3341593171)</f>
        <v>45043.33416</v>
      </c>
      <c r="D9588" s="15">
        <f>IFERROR(__xludf.DUMMYFUNCTION("""COMPUTED_VALUE"""),1.031)</f>
        <v>1.031</v>
      </c>
      <c r="E9588" s="16">
        <f>IFERROR(__xludf.DUMMYFUNCTION("""COMPUTED_VALUE"""),62.0)</f>
        <v>62</v>
      </c>
      <c r="F9588" s="19" t="str">
        <f>IFERROR(__xludf.DUMMYFUNCTION("""COMPUTED_VALUE"""),"BLUE")</f>
        <v>BLUE</v>
      </c>
      <c r="G9588" s="20" t="str">
        <f>IFERROR(__xludf.DUMMYFUNCTION("""COMPUTED_VALUE"""),"Uncle Sams Cider (04/04/2023)")</f>
        <v>Uncle Sams Cider (04/04/2023)</v>
      </c>
      <c r="H9588" s="19"/>
    </row>
    <row r="9589">
      <c r="A9589" s="9"/>
      <c r="B9589" s="15"/>
      <c r="C9589" s="9">
        <f>IFERROR(__xludf.DUMMYFUNCTION("""COMPUTED_VALUE"""),45043.3237377662)</f>
        <v>45043.32374</v>
      </c>
      <c r="D9589" s="15">
        <f>IFERROR(__xludf.DUMMYFUNCTION("""COMPUTED_VALUE"""),1.031)</f>
        <v>1.031</v>
      </c>
      <c r="E9589" s="16">
        <f>IFERROR(__xludf.DUMMYFUNCTION("""COMPUTED_VALUE"""),62.0)</f>
        <v>62</v>
      </c>
      <c r="F9589" s="19" t="str">
        <f>IFERROR(__xludf.DUMMYFUNCTION("""COMPUTED_VALUE"""),"BLUE")</f>
        <v>BLUE</v>
      </c>
      <c r="G9589" s="20" t="str">
        <f>IFERROR(__xludf.DUMMYFUNCTION("""COMPUTED_VALUE"""),"Uncle Sams Cider (04/04/2023)")</f>
        <v>Uncle Sams Cider (04/04/2023)</v>
      </c>
      <c r="H9589" s="19"/>
    </row>
    <row r="9590">
      <c r="A9590" s="9"/>
      <c r="B9590" s="15"/>
      <c r="C9590" s="9">
        <f>IFERROR(__xludf.DUMMYFUNCTION("""COMPUTED_VALUE"""),45043.3133148495)</f>
        <v>45043.31331</v>
      </c>
      <c r="D9590" s="15">
        <f>IFERROR(__xludf.DUMMYFUNCTION("""COMPUTED_VALUE"""),1.031)</f>
        <v>1.031</v>
      </c>
      <c r="E9590" s="16">
        <f>IFERROR(__xludf.DUMMYFUNCTION("""COMPUTED_VALUE"""),62.0)</f>
        <v>62</v>
      </c>
      <c r="F9590" s="19" t="str">
        <f>IFERROR(__xludf.DUMMYFUNCTION("""COMPUTED_VALUE"""),"BLUE")</f>
        <v>BLUE</v>
      </c>
      <c r="G9590" s="20" t="str">
        <f>IFERROR(__xludf.DUMMYFUNCTION("""COMPUTED_VALUE"""),"Uncle Sams Cider (04/04/2023)")</f>
        <v>Uncle Sams Cider (04/04/2023)</v>
      </c>
      <c r="H9590" s="19"/>
    </row>
    <row r="9591">
      <c r="A9591" s="9"/>
      <c r="B9591" s="15"/>
      <c r="C9591" s="9">
        <f>IFERROR(__xludf.DUMMYFUNCTION("""COMPUTED_VALUE"""),45043.3028933101)</f>
        <v>45043.30289</v>
      </c>
      <c r="D9591" s="15">
        <f>IFERROR(__xludf.DUMMYFUNCTION("""COMPUTED_VALUE"""),1.031)</f>
        <v>1.031</v>
      </c>
      <c r="E9591" s="16">
        <f>IFERROR(__xludf.DUMMYFUNCTION("""COMPUTED_VALUE"""),62.0)</f>
        <v>62</v>
      </c>
      <c r="F9591" s="19" t="str">
        <f>IFERROR(__xludf.DUMMYFUNCTION("""COMPUTED_VALUE"""),"BLUE")</f>
        <v>BLUE</v>
      </c>
      <c r="G9591" s="20" t="str">
        <f>IFERROR(__xludf.DUMMYFUNCTION("""COMPUTED_VALUE"""),"Uncle Sams Cider (04/04/2023)")</f>
        <v>Uncle Sams Cider (04/04/2023)</v>
      </c>
      <c r="H9591" s="19"/>
    </row>
    <row r="9592">
      <c r="A9592" s="9"/>
      <c r="B9592" s="15"/>
      <c r="C9592" s="9">
        <f>IFERROR(__xludf.DUMMYFUNCTION("""COMPUTED_VALUE"""),45043.2924712731)</f>
        <v>45043.29247</v>
      </c>
      <c r="D9592" s="15">
        <f>IFERROR(__xludf.DUMMYFUNCTION("""COMPUTED_VALUE"""),1.031)</f>
        <v>1.031</v>
      </c>
      <c r="E9592" s="16">
        <f>IFERROR(__xludf.DUMMYFUNCTION("""COMPUTED_VALUE"""),62.0)</f>
        <v>62</v>
      </c>
      <c r="F9592" s="19" t="str">
        <f>IFERROR(__xludf.DUMMYFUNCTION("""COMPUTED_VALUE"""),"BLUE")</f>
        <v>BLUE</v>
      </c>
      <c r="G9592" s="20" t="str">
        <f>IFERROR(__xludf.DUMMYFUNCTION("""COMPUTED_VALUE"""),"Uncle Sams Cider (04/04/2023)")</f>
        <v>Uncle Sams Cider (04/04/2023)</v>
      </c>
      <c r="H9592" s="19"/>
    </row>
    <row r="9593">
      <c r="A9593" s="9"/>
      <c r="B9593" s="15"/>
      <c r="C9593" s="9">
        <f>IFERROR(__xludf.DUMMYFUNCTION("""COMPUTED_VALUE"""),45043.282050162)</f>
        <v>45043.28205</v>
      </c>
      <c r="D9593" s="15">
        <f>IFERROR(__xludf.DUMMYFUNCTION("""COMPUTED_VALUE"""),1.031)</f>
        <v>1.031</v>
      </c>
      <c r="E9593" s="16">
        <f>IFERROR(__xludf.DUMMYFUNCTION("""COMPUTED_VALUE"""),62.0)</f>
        <v>62</v>
      </c>
      <c r="F9593" s="19" t="str">
        <f>IFERROR(__xludf.DUMMYFUNCTION("""COMPUTED_VALUE"""),"BLUE")</f>
        <v>BLUE</v>
      </c>
      <c r="G9593" s="20" t="str">
        <f>IFERROR(__xludf.DUMMYFUNCTION("""COMPUTED_VALUE"""),"Uncle Sams Cider (04/04/2023)")</f>
        <v>Uncle Sams Cider (04/04/2023)</v>
      </c>
      <c r="H9593" s="19"/>
    </row>
    <row r="9594">
      <c r="A9594" s="9"/>
      <c r="B9594" s="15"/>
      <c r="C9594" s="9">
        <f>IFERROR(__xludf.DUMMYFUNCTION("""COMPUTED_VALUE"""),45043.2716290393)</f>
        <v>45043.27163</v>
      </c>
      <c r="D9594" s="15">
        <f>IFERROR(__xludf.DUMMYFUNCTION("""COMPUTED_VALUE"""),1.031)</f>
        <v>1.031</v>
      </c>
      <c r="E9594" s="16">
        <f>IFERROR(__xludf.DUMMYFUNCTION("""COMPUTED_VALUE"""),62.0)</f>
        <v>62</v>
      </c>
      <c r="F9594" s="19" t="str">
        <f>IFERROR(__xludf.DUMMYFUNCTION("""COMPUTED_VALUE"""),"BLUE")</f>
        <v>BLUE</v>
      </c>
      <c r="G9594" s="20" t="str">
        <f>IFERROR(__xludf.DUMMYFUNCTION("""COMPUTED_VALUE"""),"Uncle Sams Cider (04/04/2023)")</f>
        <v>Uncle Sams Cider (04/04/2023)</v>
      </c>
      <c r="H9594" s="19"/>
    </row>
    <row r="9595">
      <c r="A9595" s="9"/>
      <c r="B9595" s="15"/>
      <c r="C9595" s="9">
        <f>IFERROR(__xludf.DUMMYFUNCTION("""COMPUTED_VALUE"""),45043.2611847453)</f>
        <v>45043.26118</v>
      </c>
      <c r="D9595" s="15">
        <f>IFERROR(__xludf.DUMMYFUNCTION("""COMPUTED_VALUE"""),1.031)</f>
        <v>1.031</v>
      </c>
      <c r="E9595" s="16">
        <f>IFERROR(__xludf.DUMMYFUNCTION("""COMPUTED_VALUE"""),62.0)</f>
        <v>62</v>
      </c>
      <c r="F9595" s="19" t="str">
        <f>IFERROR(__xludf.DUMMYFUNCTION("""COMPUTED_VALUE"""),"BLUE")</f>
        <v>BLUE</v>
      </c>
      <c r="G9595" s="20" t="str">
        <f>IFERROR(__xludf.DUMMYFUNCTION("""COMPUTED_VALUE"""),"Uncle Sams Cider (04/04/2023)")</f>
        <v>Uncle Sams Cider (04/04/2023)</v>
      </c>
      <c r="H9595" s="19"/>
    </row>
    <row r="9596">
      <c r="A9596" s="9"/>
      <c r="B9596" s="15"/>
      <c r="C9596" s="9">
        <f>IFERROR(__xludf.DUMMYFUNCTION("""COMPUTED_VALUE"""),45043.2507627546)</f>
        <v>45043.25076</v>
      </c>
      <c r="D9596" s="15">
        <f>IFERROR(__xludf.DUMMYFUNCTION("""COMPUTED_VALUE"""),1.031)</f>
        <v>1.031</v>
      </c>
      <c r="E9596" s="16">
        <f>IFERROR(__xludf.DUMMYFUNCTION("""COMPUTED_VALUE"""),62.0)</f>
        <v>62</v>
      </c>
      <c r="F9596" s="19" t="str">
        <f>IFERROR(__xludf.DUMMYFUNCTION("""COMPUTED_VALUE"""),"BLUE")</f>
        <v>BLUE</v>
      </c>
      <c r="G9596" s="20" t="str">
        <f>IFERROR(__xludf.DUMMYFUNCTION("""COMPUTED_VALUE"""),"Uncle Sams Cider (04/04/2023)")</f>
        <v>Uncle Sams Cider (04/04/2023)</v>
      </c>
      <c r="H9596" s="19"/>
    </row>
    <row r="9597">
      <c r="A9597" s="9"/>
      <c r="B9597" s="15"/>
      <c r="C9597" s="9">
        <f>IFERROR(__xludf.DUMMYFUNCTION("""COMPUTED_VALUE"""),45043.2403411342)</f>
        <v>45043.24034</v>
      </c>
      <c r="D9597" s="15">
        <f>IFERROR(__xludf.DUMMYFUNCTION("""COMPUTED_VALUE"""),1.031)</f>
        <v>1.031</v>
      </c>
      <c r="E9597" s="16">
        <f>IFERROR(__xludf.DUMMYFUNCTION("""COMPUTED_VALUE"""),62.0)</f>
        <v>62</v>
      </c>
      <c r="F9597" s="19" t="str">
        <f>IFERROR(__xludf.DUMMYFUNCTION("""COMPUTED_VALUE"""),"BLUE")</f>
        <v>BLUE</v>
      </c>
      <c r="G9597" s="20" t="str">
        <f>IFERROR(__xludf.DUMMYFUNCTION("""COMPUTED_VALUE"""),"Uncle Sams Cider (04/04/2023)")</f>
        <v>Uncle Sams Cider (04/04/2023)</v>
      </c>
      <c r="H9597" s="19"/>
    </row>
    <row r="9598">
      <c r="A9598" s="9"/>
      <c r="B9598" s="15"/>
      <c r="C9598" s="9">
        <f>IFERROR(__xludf.DUMMYFUNCTION("""COMPUTED_VALUE"""),45043.2299200926)</f>
        <v>45043.22992</v>
      </c>
      <c r="D9598" s="15">
        <f>IFERROR(__xludf.DUMMYFUNCTION("""COMPUTED_VALUE"""),1.031)</f>
        <v>1.031</v>
      </c>
      <c r="E9598" s="16">
        <f>IFERROR(__xludf.DUMMYFUNCTION("""COMPUTED_VALUE"""),62.0)</f>
        <v>62</v>
      </c>
      <c r="F9598" s="19" t="str">
        <f>IFERROR(__xludf.DUMMYFUNCTION("""COMPUTED_VALUE"""),"BLUE")</f>
        <v>BLUE</v>
      </c>
      <c r="G9598" s="20" t="str">
        <f>IFERROR(__xludf.DUMMYFUNCTION("""COMPUTED_VALUE"""),"Uncle Sams Cider (04/04/2023)")</f>
        <v>Uncle Sams Cider (04/04/2023)</v>
      </c>
      <c r="H9598" s="19"/>
    </row>
    <row r="9599">
      <c r="A9599" s="9"/>
      <c r="B9599" s="15"/>
      <c r="C9599" s="9">
        <f>IFERROR(__xludf.DUMMYFUNCTION("""COMPUTED_VALUE"""),45043.2194993518)</f>
        <v>45043.2195</v>
      </c>
      <c r="D9599" s="15">
        <f>IFERROR(__xludf.DUMMYFUNCTION("""COMPUTED_VALUE"""),1.031)</f>
        <v>1.031</v>
      </c>
      <c r="E9599" s="16">
        <f>IFERROR(__xludf.DUMMYFUNCTION("""COMPUTED_VALUE"""),62.0)</f>
        <v>62</v>
      </c>
      <c r="F9599" s="19" t="str">
        <f>IFERROR(__xludf.DUMMYFUNCTION("""COMPUTED_VALUE"""),"BLUE")</f>
        <v>BLUE</v>
      </c>
      <c r="G9599" s="20" t="str">
        <f>IFERROR(__xludf.DUMMYFUNCTION("""COMPUTED_VALUE"""),"Uncle Sams Cider (04/04/2023)")</f>
        <v>Uncle Sams Cider (04/04/2023)</v>
      </c>
      <c r="H9599" s="19"/>
    </row>
    <row r="9600">
      <c r="A9600" s="9"/>
      <c r="B9600" s="15"/>
      <c r="C9600" s="9">
        <f>IFERROR(__xludf.DUMMYFUNCTION("""COMPUTED_VALUE"""),45043.2090777662)</f>
        <v>45043.20908</v>
      </c>
      <c r="D9600" s="15">
        <f>IFERROR(__xludf.DUMMYFUNCTION("""COMPUTED_VALUE"""),1.031)</f>
        <v>1.031</v>
      </c>
      <c r="E9600" s="16">
        <f>IFERROR(__xludf.DUMMYFUNCTION("""COMPUTED_VALUE"""),62.0)</f>
        <v>62</v>
      </c>
      <c r="F9600" s="19" t="str">
        <f>IFERROR(__xludf.DUMMYFUNCTION("""COMPUTED_VALUE"""),"BLUE")</f>
        <v>BLUE</v>
      </c>
      <c r="G9600" s="20" t="str">
        <f>IFERROR(__xludf.DUMMYFUNCTION("""COMPUTED_VALUE"""),"Uncle Sams Cider (04/04/2023)")</f>
        <v>Uncle Sams Cider (04/04/2023)</v>
      </c>
      <c r="H9600" s="19"/>
    </row>
    <row r="9601">
      <c r="A9601" s="9"/>
      <c r="B9601" s="15"/>
      <c r="C9601" s="9">
        <f>IFERROR(__xludf.DUMMYFUNCTION("""COMPUTED_VALUE"""),45043.1986327083)</f>
        <v>45043.19863</v>
      </c>
      <c r="D9601" s="15">
        <f>IFERROR(__xludf.DUMMYFUNCTION("""COMPUTED_VALUE"""),1.031)</f>
        <v>1.031</v>
      </c>
      <c r="E9601" s="16">
        <f>IFERROR(__xludf.DUMMYFUNCTION("""COMPUTED_VALUE"""),62.0)</f>
        <v>62</v>
      </c>
      <c r="F9601" s="19" t="str">
        <f>IFERROR(__xludf.DUMMYFUNCTION("""COMPUTED_VALUE"""),"BLUE")</f>
        <v>BLUE</v>
      </c>
      <c r="G9601" s="20" t="str">
        <f>IFERROR(__xludf.DUMMYFUNCTION("""COMPUTED_VALUE"""),"Uncle Sams Cider (04/04/2023)")</f>
        <v>Uncle Sams Cider (04/04/2023)</v>
      </c>
      <c r="H9601" s="19"/>
    </row>
    <row r="9602">
      <c r="A9602" s="9"/>
      <c r="B9602" s="15"/>
      <c r="C9602" s="9">
        <f>IFERROR(__xludf.DUMMYFUNCTION("""COMPUTED_VALUE"""),45043.1881984259)</f>
        <v>45043.1882</v>
      </c>
      <c r="D9602" s="15">
        <f>IFERROR(__xludf.DUMMYFUNCTION("""COMPUTED_VALUE"""),1.031)</f>
        <v>1.031</v>
      </c>
      <c r="E9602" s="16">
        <f>IFERROR(__xludf.DUMMYFUNCTION("""COMPUTED_VALUE"""),62.0)</f>
        <v>62</v>
      </c>
      <c r="F9602" s="19" t="str">
        <f>IFERROR(__xludf.DUMMYFUNCTION("""COMPUTED_VALUE"""),"BLUE")</f>
        <v>BLUE</v>
      </c>
      <c r="G9602" s="20" t="str">
        <f>IFERROR(__xludf.DUMMYFUNCTION("""COMPUTED_VALUE"""),"Uncle Sams Cider (04/04/2023)")</f>
        <v>Uncle Sams Cider (04/04/2023)</v>
      </c>
      <c r="H9602" s="19"/>
    </row>
    <row r="9603">
      <c r="A9603" s="9"/>
      <c r="B9603" s="15"/>
      <c r="C9603" s="9">
        <f>IFERROR(__xludf.DUMMYFUNCTION("""COMPUTED_VALUE"""),45043.1777652199)</f>
        <v>45043.17777</v>
      </c>
      <c r="D9603" s="15">
        <f>IFERROR(__xludf.DUMMYFUNCTION("""COMPUTED_VALUE"""),1.031)</f>
        <v>1.031</v>
      </c>
      <c r="E9603" s="16">
        <f>IFERROR(__xludf.DUMMYFUNCTION("""COMPUTED_VALUE"""),62.0)</f>
        <v>62</v>
      </c>
      <c r="F9603" s="19" t="str">
        <f>IFERROR(__xludf.DUMMYFUNCTION("""COMPUTED_VALUE"""),"BLUE")</f>
        <v>BLUE</v>
      </c>
      <c r="G9603" s="20" t="str">
        <f>IFERROR(__xludf.DUMMYFUNCTION("""COMPUTED_VALUE"""),"Uncle Sams Cider (04/04/2023)")</f>
        <v>Uncle Sams Cider (04/04/2023)</v>
      </c>
      <c r="H9603" s="19"/>
    </row>
    <row r="9604">
      <c r="A9604" s="9"/>
      <c r="B9604" s="15"/>
      <c r="C9604" s="9">
        <f>IFERROR(__xludf.DUMMYFUNCTION("""COMPUTED_VALUE"""),45043.1673334953)</f>
        <v>45043.16733</v>
      </c>
      <c r="D9604" s="15">
        <f>IFERROR(__xludf.DUMMYFUNCTION("""COMPUTED_VALUE"""),1.031)</f>
        <v>1.031</v>
      </c>
      <c r="E9604" s="16">
        <f>IFERROR(__xludf.DUMMYFUNCTION("""COMPUTED_VALUE"""),62.0)</f>
        <v>62</v>
      </c>
      <c r="F9604" s="19" t="str">
        <f>IFERROR(__xludf.DUMMYFUNCTION("""COMPUTED_VALUE"""),"BLUE")</f>
        <v>BLUE</v>
      </c>
      <c r="G9604" s="20" t="str">
        <f>IFERROR(__xludf.DUMMYFUNCTION("""COMPUTED_VALUE"""),"Uncle Sams Cider (04/04/2023)")</f>
        <v>Uncle Sams Cider (04/04/2023)</v>
      </c>
      <c r="H9604" s="19"/>
    </row>
    <row r="9605">
      <c r="A9605" s="9"/>
      <c r="B9605" s="15"/>
      <c r="C9605" s="9">
        <f>IFERROR(__xludf.DUMMYFUNCTION("""COMPUTED_VALUE"""),45043.1569111921)</f>
        <v>45043.15691</v>
      </c>
      <c r="D9605" s="15">
        <f>IFERROR(__xludf.DUMMYFUNCTION("""COMPUTED_VALUE"""),1.031)</f>
        <v>1.031</v>
      </c>
      <c r="E9605" s="16">
        <f>IFERROR(__xludf.DUMMYFUNCTION("""COMPUTED_VALUE"""),62.0)</f>
        <v>62</v>
      </c>
      <c r="F9605" s="19" t="str">
        <f>IFERROR(__xludf.DUMMYFUNCTION("""COMPUTED_VALUE"""),"BLUE")</f>
        <v>BLUE</v>
      </c>
      <c r="G9605" s="20" t="str">
        <f>IFERROR(__xludf.DUMMYFUNCTION("""COMPUTED_VALUE"""),"Uncle Sams Cider (04/04/2023)")</f>
        <v>Uncle Sams Cider (04/04/2023)</v>
      </c>
      <c r="H9605" s="19"/>
    </row>
    <row r="9606">
      <c r="A9606" s="9"/>
      <c r="B9606" s="15"/>
      <c r="C9606" s="9">
        <f>IFERROR(__xludf.DUMMYFUNCTION("""COMPUTED_VALUE"""),45043.1464774768)</f>
        <v>45043.14648</v>
      </c>
      <c r="D9606" s="15">
        <f>IFERROR(__xludf.DUMMYFUNCTION("""COMPUTED_VALUE"""),1.031)</f>
        <v>1.031</v>
      </c>
      <c r="E9606" s="16">
        <f>IFERROR(__xludf.DUMMYFUNCTION("""COMPUTED_VALUE"""),62.0)</f>
        <v>62</v>
      </c>
      <c r="F9606" s="19" t="str">
        <f>IFERROR(__xludf.DUMMYFUNCTION("""COMPUTED_VALUE"""),"BLUE")</f>
        <v>BLUE</v>
      </c>
      <c r="G9606" s="20" t="str">
        <f>IFERROR(__xludf.DUMMYFUNCTION("""COMPUTED_VALUE"""),"Uncle Sams Cider (04/04/2023)")</f>
        <v>Uncle Sams Cider (04/04/2023)</v>
      </c>
      <c r="H9606" s="19"/>
    </row>
    <row r="9607">
      <c r="A9607" s="9"/>
      <c r="B9607" s="15"/>
      <c r="C9607" s="9">
        <f>IFERROR(__xludf.DUMMYFUNCTION("""COMPUTED_VALUE"""),45043.1360563425)</f>
        <v>45043.13606</v>
      </c>
      <c r="D9607" s="15">
        <f>IFERROR(__xludf.DUMMYFUNCTION("""COMPUTED_VALUE"""),1.031)</f>
        <v>1.031</v>
      </c>
      <c r="E9607" s="16">
        <f>IFERROR(__xludf.DUMMYFUNCTION("""COMPUTED_VALUE"""),62.0)</f>
        <v>62</v>
      </c>
      <c r="F9607" s="19" t="str">
        <f>IFERROR(__xludf.DUMMYFUNCTION("""COMPUTED_VALUE"""),"BLUE")</f>
        <v>BLUE</v>
      </c>
      <c r="G9607" s="20" t="str">
        <f>IFERROR(__xludf.DUMMYFUNCTION("""COMPUTED_VALUE"""),"Uncle Sams Cider (04/04/2023)")</f>
        <v>Uncle Sams Cider (04/04/2023)</v>
      </c>
      <c r="H9607" s="19"/>
    </row>
    <row r="9608">
      <c r="A9608" s="9"/>
      <c r="B9608" s="15"/>
      <c r="C9608" s="9">
        <f>IFERROR(__xludf.DUMMYFUNCTION("""COMPUTED_VALUE"""),45043.1256352314)</f>
        <v>45043.12564</v>
      </c>
      <c r="D9608" s="15">
        <f>IFERROR(__xludf.DUMMYFUNCTION("""COMPUTED_VALUE"""),1.031)</f>
        <v>1.031</v>
      </c>
      <c r="E9608" s="16">
        <f>IFERROR(__xludf.DUMMYFUNCTION("""COMPUTED_VALUE"""),62.0)</f>
        <v>62</v>
      </c>
      <c r="F9608" s="19" t="str">
        <f>IFERROR(__xludf.DUMMYFUNCTION("""COMPUTED_VALUE"""),"BLUE")</f>
        <v>BLUE</v>
      </c>
      <c r="G9608" s="20" t="str">
        <f>IFERROR(__xludf.DUMMYFUNCTION("""COMPUTED_VALUE"""),"Uncle Sams Cider (04/04/2023)")</f>
        <v>Uncle Sams Cider (04/04/2023)</v>
      </c>
      <c r="H9608" s="19"/>
    </row>
    <row r="9609">
      <c r="A9609" s="9"/>
      <c r="B9609" s="15"/>
      <c r="C9609" s="9">
        <f>IFERROR(__xludf.DUMMYFUNCTION("""COMPUTED_VALUE"""),45043.1152143981)</f>
        <v>45043.11521</v>
      </c>
      <c r="D9609" s="15">
        <f>IFERROR(__xludf.DUMMYFUNCTION("""COMPUTED_VALUE"""),1.031)</f>
        <v>1.031</v>
      </c>
      <c r="E9609" s="16">
        <f>IFERROR(__xludf.DUMMYFUNCTION("""COMPUTED_VALUE"""),62.0)</f>
        <v>62</v>
      </c>
      <c r="F9609" s="19" t="str">
        <f>IFERROR(__xludf.DUMMYFUNCTION("""COMPUTED_VALUE"""),"BLUE")</f>
        <v>BLUE</v>
      </c>
      <c r="G9609" s="20" t="str">
        <f>IFERROR(__xludf.DUMMYFUNCTION("""COMPUTED_VALUE"""),"Uncle Sams Cider (04/04/2023)")</f>
        <v>Uncle Sams Cider (04/04/2023)</v>
      </c>
      <c r="H9609" s="19"/>
    </row>
    <row r="9610">
      <c r="A9610" s="9"/>
      <c r="B9610" s="15"/>
      <c r="C9610" s="9">
        <f>IFERROR(__xludf.DUMMYFUNCTION("""COMPUTED_VALUE"""),45043.1047932638)</f>
        <v>45043.10479</v>
      </c>
      <c r="D9610" s="15">
        <f>IFERROR(__xludf.DUMMYFUNCTION("""COMPUTED_VALUE"""),1.031)</f>
        <v>1.031</v>
      </c>
      <c r="E9610" s="16">
        <f>IFERROR(__xludf.DUMMYFUNCTION("""COMPUTED_VALUE"""),62.0)</f>
        <v>62</v>
      </c>
      <c r="F9610" s="19" t="str">
        <f>IFERROR(__xludf.DUMMYFUNCTION("""COMPUTED_VALUE"""),"BLUE")</f>
        <v>BLUE</v>
      </c>
      <c r="G9610" s="20" t="str">
        <f>IFERROR(__xludf.DUMMYFUNCTION("""COMPUTED_VALUE"""),"Uncle Sams Cider (04/04/2023)")</f>
        <v>Uncle Sams Cider (04/04/2023)</v>
      </c>
      <c r="H9610" s="19"/>
    </row>
    <row r="9611">
      <c r="A9611" s="9"/>
      <c r="B9611" s="15"/>
      <c r="C9611" s="9">
        <f>IFERROR(__xludf.DUMMYFUNCTION("""COMPUTED_VALUE"""),45043.0943359259)</f>
        <v>45043.09434</v>
      </c>
      <c r="D9611" s="15">
        <f>IFERROR(__xludf.DUMMYFUNCTION("""COMPUTED_VALUE"""),1.032)</f>
        <v>1.032</v>
      </c>
      <c r="E9611" s="16">
        <f>IFERROR(__xludf.DUMMYFUNCTION("""COMPUTED_VALUE"""),62.0)</f>
        <v>62</v>
      </c>
      <c r="F9611" s="19" t="str">
        <f>IFERROR(__xludf.DUMMYFUNCTION("""COMPUTED_VALUE"""),"BLUE")</f>
        <v>BLUE</v>
      </c>
      <c r="G9611" s="20" t="str">
        <f>IFERROR(__xludf.DUMMYFUNCTION("""COMPUTED_VALUE"""),"Uncle Sams Cider (04/04/2023)")</f>
        <v>Uncle Sams Cider (04/04/2023)</v>
      </c>
      <c r="H9611" s="19"/>
    </row>
    <row r="9612">
      <c r="A9612" s="9"/>
      <c r="B9612" s="15"/>
      <c r="C9612" s="9">
        <f>IFERROR(__xludf.DUMMYFUNCTION("""COMPUTED_VALUE"""),45043.0839157176)</f>
        <v>45043.08392</v>
      </c>
      <c r="D9612" s="15">
        <f>IFERROR(__xludf.DUMMYFUNCTION("""COMPUTED_VALUE"""),1.031)</f>
        <v>1.031</v>
      </c>
      <c r="E9612" s="16">
        <f>IFERROR(__xludf.DUMMYFUNCTION("""COMPUTED_VALUE"""),62.0)</f>
        <v>62</v>
      </c>
      <c r="F9612" s="19" t="str">
        <f>IFERROR(__xludf.DUMMYFUNCTION("""COMPUTED_VALUE"""),"BLUE")</f>
        <v>BLUE</v>
      </c>
      <c r="G9612" s="20" t="str">
        <f>IFERROR(__xludf.DUMMYFUNCTION("""COMPUTED_VALUE"""),"Uncle Sams Cider (04/04/2023)")</f>
        <v>Uncle Sams Cider (04/04/2023)</v>
      </c>
      <c r="H9612" s="19"/>
    </row>
    <row r="9613">
      <c r="A9613" s="9"/>
      <c r="B9613" s="15"/>
      <c r="C9613" s="9">
        <f>IFERROR(__xludf.DUMMYFUNCTION("""COMPUTED_VALUE"""),45043.0734935185)</f>
        <v>45043.07349</v>
      </c>
      <c r="D9613" s="15">
        <f>IFERROR(__xludf.DUMMYFUNCTION("""COMPUTED_VALUE"""),1.032)</f>
        <v>1.032</v>
      </c>
      <c r="E9613" s="16">
        <f>IFERROR(__xludf.DUMMYFUNCTION("""COMPUTED_VALUE"""),62.0)</f>
        <v>62</v>
      </c>
      <c r="F9613" s="19" t="str">
        <f>IFERROR(__xludf.DUMMYFUNCTION("""COMPUTED_VALUE"""),"BLUE")</f>
        <v>BLUE</v>
      </c>
      <c r="G9613" s="20" t="str">
        <f>IFERROR(__xludf.DUMMYFUNCTION("""COMPUTED_VALUE"""),"Uncle Sams Cider (04/04/2023)")</f>
        <v>Uncle Sams Cider (04/04/2023)</v>
      </c>
      <c r="H9613" s="19"/>
    </row>
    <row r="9614">
      <c r="A9614" s="9"/>
      <c r="B9614" s="15"/>
      <c r="C9614" s="9">
        <f>IFERROR(__xludf.DUMMYFUNCTION("""COMPUTED_VALUE"""),45043.0630612384)</f>
        <v>45043.06306</v>
      </c>
      <c r="D9614" s="15">
        <f>IFERROR(__xludf.DUMMYFUNCTION("""COMPUTED_VALUE"""),1.031)</f>
        <v>1.031</v>
      </c>
      <c r="E9614" s="16">
        <f>IFERROR(__xludf.DUMMYFUNCTION("""COMPUTED_VALUE"""),62.0)</f>
        <v>62</v>
      </c>
      <c r="F9614" s="19" t="str">
        <f>IFERROR(__xludf.DUMMYFUNCTION("""COMPUTED_VALUE"""),"BLUE")</f>
        <v>BLUE</v>
      </c>
      <c r="G9614" s="20" t="str">
        <f>IFERROR(__xludf.DUMMYFUNCTION("""COMPUTED_VALUE"""),"Uncle Sams Cider (04/04/2023)")</f>
        <v>Uncle Sams Cider (04/04/2023)</v>
      </c>
      <c r="H9614" s="19"/>
    </row>
    <row r="9615">
      <c r="A9615" s="9"/>
      <c r="B9615" s="15"/>
      <c r="C9615" s="9">
        <f>IFERROR(__xludf.DUMMYFUNCTION("""COMPUTED_VALUE"""),45043.0526409027)</f>
        <v>45043.05264</v>
      </c>
      <c r="D9615" s="15">
        <f>IFERROR(__xludf.DUMMYFUNCTION("""COMPUTED_VALUE"""),1.031)</f>
        <v>1.031</v>
      </c>
      <c r="E9615" s="16">
        <f>IFERROR(__xludf.DUMMYFUNCTION("""COMPUTED_VALUE"""),62.0)</f>
        <v>62</v>
      </c>
      <c r="F9615" s="19" t="str">
        <f>IFERROR(__xludf.DUMMYFUNCTION("""COMPUTED_VALUE"""),"BLUE")</f>
        <v>BLUE</v>
      </c>
      <c r="G9615" s="20" t="str">
        <f>IFERROR(__xludf.DUMMYFUNCTION("""COMPUTED_VALUE"""),"Uncle Sams Cider (04/04/2023)")</f>
        <v>Uncle Sams Cider (04/04/2023)</v>
      </c>
      <c r="H9615" s="19"/>
    </row>
    <row r="9616">
      <c r="A9616" s="9"/>
      <c r="B9616" s="15"/>
      <c r="C9616" s="9">
        <f>IFERROR(__xludf.DUMMYFUNCTION("""COMPUTED_VALUE"""),45043.0422192476)</f>
        <v>45043.04222</v>
      </c>
      <c r="D9616" s="15">
        <f>IFERROR(__xludf.DUMMYFUNCTION("""COMPUTED_VALUE"""),1.032)</f>
        <v>1.032</v>
      </c>
      <c r="E9616" s="16">
        <f>IFERROR(__xludf.DUMMYFUNCTION("""COMPUTED_VALUE"""),62.0)</f>
        <v>62</v>
      </c>
      <c r="F9616" s="19" t="str">
        <f>IFERROR(__xludf.DUMMYFUNCTION("""COMPUTED_VALUE"""),"BLUE")</f>
        <v>BLUE</v>
      </c>
      <c r="G9616" s="20" t="str">
        <f>IFERROR(__xludf.DUMMYFUNCTION("""COMPUTED_VALUE"""),"Uncle Sams Cider (04/04/2023)")</f>
        <v>Uncle Sams Cider (04/04/2023)</v>
      </c>
      <c r="H9616" s="19"/>
    </row>
    <row r="9617">
      <c r="A9617" s="9"/>
      <c r="B9617" s="15"/>
      <c r="C9617" s="9">
        <f>IFERROR(__xludf.DUMMYFUNCTION("""COMPUTED_VALUE"""),45043.0317980555)</f>
        <v>45043.0318</v>
      </c>
      <c r="D9617" s="15">
        <f>IFERROR(__xludf.DUMMYFUNCTION("""COMPUTED_VALUE"""),1.032)</f>
        <v>1.032</v>
      </c>
      <c r="E9617" s="16">
        <f>IFERROR(__xludf.DUMMYFUNCTION("""COMPUTED_VALUE"""),62.0)</f>
        <v>62</v>
      </c>
      <c r="F9617" s="19" t="str">
        <f>IFERROR(__xludf.DUMMYFUNCTION("""COMPUTED_VALUE"""),"BLUE")</f>
        <v>BLUE</v>
      </c>
      <c r="G9617" s="20" t="str">
        <f>IFERROR(__xludf.DUMMYFUNCTION("""COMPUTED_VALUE"""),"Uncle Sams Cider (04/04/2023)")</f>
        <v>Uncle Sams Cider (04/04/2023)</v>
      </c>
      <c r="H9617" s="19"/>
    </row>
    <row r="9618">
      <c r="A9618" s="9"/>
      <c r="B9618" s="15"/>
      <c r="C9618" s="9">
        <f>IFERROR(__xludf.DUMMYFUNCTION("""COMPUTED_VALUE"""),45043.021376875)</f>
        <v>45043.02138</v>
      </c>
      <c r="D9618" s="15">
        <f>IFERROR(__xludf.DUMMYFUNCTION("""COMPUTED_VALUE"""),1.032)</f>
        <v>1.032</v>
      </c>
      <c r="E9618" s="16">
        <f>IFERROR(__xludf.DUMMYFUNCTION("""COMPUTED_VALUE"""),62.0)</f>
        <v>62</v>
      </c>
      <c r="F9618" s="19" t="str">
        <f>IFERROR(__xludf.DUMMYFUNCTION("""COMPUTED_VALUE"""),"BLUE")</f>
        <v>BLUE</v>
      </c>
      <c r="G9618" s="20" t="str">
        <f>IFERROR(__xludf.DUMMYFUNCTION("""COMPUTED_VALUE"""),"Uncle Sams Cider (04/04/2023)")</f>
        <v>Uncle Sams Cider (04/04/2023)</v>
      </c>
      <c r="H9618" s="19"/>
    </row>
    <row r="9619">
      <c r="A9619" s="9"/>
      <c r="B9619" s="15"/>
      <c r="C9619" s="9">
        <f>IFERROR(__xludf.DUMMYFUNCTION("""COMPUTED_VALUE"""),45043.0109441203)</f>
        <v>45043.01094</v>
      </c>
      <c r="D9619" s="15">
        <f>IFERROR(__xludf.DUMMYFUNCTION("""COMPUTED_VALUE"""),1.032)</f>
        <v>1.032</v>
      </c>
      <c r="E9619" s="16">
        <f>IFERROR(__xludf.DUMMYFUNCTION("""COMPUTED_VALUE"""),62.0)</f>
        <v>62</v>
      </c>
      <c r="F9619" s="19" t="str">
        <f>IFERROR(__xludf.DUMMYFUNCTION("""COMPUTED_VALUE"""),"BLUE")</f>
        <v>BLUE</v>
      </c>
      <c r="G9619" s="20" t="str">
        <f>IFERROR(__xludf.DUMMYFUNCTION("""COMPUTED_VALUE"""),"Uncle Sams Cider (04/04/2023)")</f>
        <v>Uncle Sams Cider (04/04/2023)</v>
      </c>
      <c r="H9619" s="19"/>
    </row>
    <row r="9620">
      <c r="A9620" s="9"/>
      <c r="B9620" s="15"/>
      <c r="C9620" s="9">
        <f>IFERROR(__xludf.DUMMYFUNCTION("""COMPUTED_VALUE"""),45043.0005115972)</f>
        <v>45043.00051</v>
      </c>
      <c r="D9620" s="15">
        <f>IFERROR(__xludf.DUMMYFUNCTION("""COMPUTED_VALUE"""),1.032)</f>
        <v>1.032</v>
      </c>
      <c r="E9620" s="16">
        <f>IFERROR(__xludf.DUMMYFUNCTION("""COMPUTED_VALUE"""),62.0)</f>
        <v>62</v>
      </c>
      <c r="F9620" s="19" t="str">
        <f>IFERROR(__xludf.DUMMYFUNCTION("""COMPUTED_VALUE"""),"BLUE")</f>
        <v>BLUE</v>
      </c>
      <c r="G9620" s="20" t="str">
        <f>IFERROR(__xludf.DUMMYFUNCTION("""COMPUTED_VALUE"""),"Uncle Sams Cider (04/04/2023)")</f>
        <v>Uncle Sams Cider (04/04/2023)</v>
      </c>
      <c r="H9620" s="19"/>
    </row>
    <row r="9621">
      <c r="A9621" s="9"/>
      <c r="B9621" s="15"/>
      <c r="C9621" s="9">
        <f>IFERROR(__xludf.DUMMYFUNCTION("""COMPUTED_VALUE"""),45042.9900782407)</f>
        <v>45042.99008</v>
      </c>
      <c r="D9621" s="15">
        <f>IFERROR(__xludf.DUMMYFUNCTION("""COMPUTED_VALUE"""),1.032)</f>
        <v>1.032</v>
      </c>
      <c r="E9621" s="16">
        <f>IFERROR(__xludf.DUMMYFUNCTION("""COMPUTED_VALUE"""),62.0)</f>
        <v>62</v>
      </c>
      <c r="F9621" s="19" t="str">
        <f>IFERROR(__xludf.DUMMYFUNCTION("""COMPUTED_VALUE"""),"BLUE")</f>
        <v>BLUE</v>
      </c>
      <c r="G9621" s="20" t="str">
        <f>IFERROR(__xludf.DUMMYFUNCTION("""COMPUTED_VALUE"""),"Uncle Sams Cider (04/04/2023)")</f>
        <v>Uncle Sams Cider (04/04/2023)</v>
      </c>
      <c r="H9621" s="19"/>
    </row>
    <row r="9622">
      <c r="A9622" s="9"/>
      <c r="B9622" s="15"/>
      <c r="C9622" s="9">
        <f>IFERROR(__xludf.DUMMYFUNCTION("""COMPUTED_VALUE"""),45042.9796452662)</f>
        <v>45042.97965</v>
      </c>
      <c r="D9622" s="15">
        <f>IFERROR(__xludf.DUMMYFUNCTION("""COMPUTED_VALUE"""),1.031)</f>
        <v>1.031</v>
      </c>
      <c r="E9622" s="16">
        <f>IFERROR(__xludf.DUMMYFUNCTION("""COMPUTED_VALUE"""),62.0)</f>
        <v>62</v>
      </c>
      <c r="F9622" s="19" t="str">
        <f>IFERROR(__xludf.DUMMYFUNCTION("""COMPUTED_VALUE"""),"BLUE")</f>
        <v>BLUE</v>
      </c>
      <c r="G9622" s="20" t="str">
        <f>IFERROR(__xludf.DUMMYFUNCTION("""COMPUTED_VALUE"""),"Uncle Sams Cider (04/04/2023)")</f>
        <v>Uncle Sams Cider (04/04/2023)</v>
      </c>
      <c r="H9622" s="19"/>
    </row>
    <row r="9623">
      <c r="A9623" s="9"/>
      <c r="B9623" s="15"/>
      <c r="C9623" s="9">
        <f>IFERROR(__xludf.DUMMYFUNCTION("""COMPUTED_VALUE"""),45042.9692270949)</f>
        <v>45042.96923</v>
      </c>
      <c r="D9623" s="15">
        <f>IFERROR(__xludf.DUMMYFUNCTION("""COMPUTED_VALUE"""),1.032)</f>
        <v>1.032</v>
      </c>
      <c r="E9623" s="16">
        <f>IFERROR(__xludf.DUMMYFUNCTION("""COMPUTED_VALUE"""),62.0)</f>
        <v>62</v>
      </c>
      <c r="F9623" s="19" t="str">
        <f>IFERROR(__xludf.DUMMYFUNCTION("""COMPUTED_VALUE"""),"BLUE")</f>
        <v>BLUE</v>
      </c>
      <c r="G9623" s="20" t="str">
        <f>IFERROR(__xludf.DUMMYFUNCTION("""COMPUTED_VALUE"""),"Uncle Sams Cider (04/04/2023)")</f>
        <v>Uncle Sams Cider (04/04/2023)</v>
      </c>
      <c r="H9623" s="19"/>
    </row>
    <row r="9624">
      <c r="A9624" s="9"/>
      <c r="B9624" s="15"/>
      <c r="C9624" s="9">
        <f>IFERROR(__xludf.DUMMYFUNCTION("""COMPUTED_VALUE"""),45042.9588054398)</f>
        <v>45042.95881</v>
      </c>
      <c r="D9624" s="15">
        <f>IFERROR(__xludf.DUMMYFUNCTION("""COMPUTED_VALUE"""),1.032)</f>
        <v>1.032</v>
      </c>
      <c r="E9624" s="16">
        <f>IFERROR(__xludf.DUMMYFUNCTION("""COMPUTED_VALUE"""),62.0)</f>
        <v>62</v>
      </c>
      <c r="F9624" s="19" t="str">
        <f>IFERROR(__xludf.DUMMYFUNCTION("""COMPUTED_VALUE"""),"BLUE")</f>
        <v>BLUE</v>
      </c>
      <c r="G9624" s="20" t="str">
        <f>IFERROR(__xludf.DUMMYFUNCTION("""COMPUTED_VALUE"""),"Uncle Sams Cider (04/04/2023)")</f>
        <v>Uncle Sams Cider (04/04/2023)</v>
      </c>
      <c r="H9624" s="19"/>
    </row>
    <row r="9625">
      <c r="A9625" s="9"/>
      <c r="B9625" s="15"/>
      <c r="C9625" s="9">
        <f>IFERROR(__xludf.DUMMYFUNCTION("""COMPUTED_VALUE"""),45042.9483852546)</f>
        <v>45042.94839</v>
      </c>
      <c r="D9625" s="15">
        <f>IFERROR(__xludf.DUMMYFUNCTION("""COMPUTED_VALUE"""),1.032)</f>
        <v>1.032</v>
      </c>
      <c r="E9625" s="16">
        <f>IFERROR(__xludf.DUMMYFUNCTION("""COMPUTED_VALUE"""),62.0)</f>
        <v>62</v>
      </c>
      <c r="F9625" s="19" t="str">
        <f>IFERROR(__xludf.DUMMYFUNCTION("""COMPUTED_VALUE"""),"BLUE")</f>
        <v>BLUE</v>
      </c>
      <c r="G9625" s="20" t="str">
        <f>IFERROR(__xludf.DUMMYFUNCTION("""COMPUTED_VALUE"""),"Uncle Sams Cider (04/04/2023)")</f>
        <v>Uncle Sams Cider (04/04/2023)</v>
      </c>
      <c r="H9625" s="19"/>
    </row>
    <row r="9626">
      <c r="A9626" s="9"/>
      <c r="B9626" s="15"/>
      <c r="C9626" s="9">
        <f>IFERROR(__xludf.DUMMYFUNCTION("""COMPUTED_VALUE"""),45042.9379637152)</f>
        <v>45042.93796</v>
      </c>
      <c r="D9626" s="15">
        <f>IFERROR(__xludf.DUMMYFUNCTION("""COMPUTED_VALUE"""),1.032)</f>
        <v>1.032</v>
      </c>
      <c r="E9626" s="16">
        <f>IFERROR(__xludf.DUMMYFUNCTION("""COMPUTED_VALUE"""),62.0)</f>
        <v>62</v>
      </c>
      <c r="F9626" s="19" t="str">
        <f>IFERROR(__xludf.DUMMYFUNCTION("""COMPUTED_VALUE"""),"BLUE")</f>
        <v>BLUE</v>
      </c>
      <c r="G9626" s="20" t="str">
        <f>IFERROR(__xludf.DUMMYFUNCTION("""COMPUTED_VALUE"""),"Uncle Sams Cider (04/04/2023)")</f>
        <v>Uncle Sams Cider (04/04/2023)</v>
      </c>
      <c r="H9626" s="19"/>
    </row>
    <row r="9627">
      <c r="A9627" s="9"/>
      <c r="B9627" s="15"/>
      <c r="C9627" s="9">
        <f>IFERROR(__xludf.DUMMYFUNCTION("""COMPUTED_VALUE"""),45042.9275423264)</f>
        <v>45042.92754</v>
      </c>
      <c r="D9627" s="15">
        <f>IFERROR(__xludf.DUMMYFUNCTION("""COMPUTED_VALUE"""),1.032)</f>
        <v>1.032</v>
      </c>
      <c r="E9627" s="16">
        <f>IFERROR(__xludf.DUMMYFUNCTION("""COMPUTED_VALUE"""),62.0)</f>
        <v>62</v>
      </c>
      <c r="F9627" s="19" t="str">
        <f>IFERROR(__xludf.DUMMYFUNCTION("""COMPUTED_VALUE"""),"BLUE")</f>
        <v>BLUE</v>
      </c>
      <c r="G9627" s="20" t="str">
        <f>IFERROR(__xludf.DUMMYFUNCTION("""COMPUTED_VALUE"""),"Uncle Sams Cider (04/04/2023)")</f>
        <v>Uncle Sams Cider (04/04/2023)</v>
      </c>
      <c r="H9627" s="19"/>
    </row>
    <row r="9628">
      <c r="A9628" s="9"/>
      <c r="B9628" s="15"/>
      <c r="C9628" s="9">
        <f>IFERROR(__xludf.DUMMYFUNCTION("""COMPUTED_VALUE"""),45042.9171208217)</f>
        <v>45042.91712</v>
      </c>
      <c r="D9628" s="15">
        <f>IFERROR(__xludf.DUMMYFUNCTION("""COMPUTED_VALUE"""),1.032)</f>
        <v>1.032</v>
      </c>
      <c r="E9628" s="16">
        <f>IFERROR(__xludf.DUMMYFUNCTION("""COMPUTED_VALUE"""),62.0)</f>
        <v>62</v>
      </c>
      <c r="F9628" s="19" t="str">
        <f>IFERROR(__xludf.DUMMYFUNCTION("""COMPUTED_VALUE"""),"BLUE")</f>
        <v>BLUE</v>
      </c>
      <c r="G9628" s="20" t="str">
        <f>IFERROR(__xludf.DUMMYFUNCTION("""COMPUTED_VALUE"""),"Uncle Sams Cider (04/04/2023)")</f>
        <v>Uncle Sams Cider (04/04/2023)</v>
      </c>
      <c r="H9628" s="19"/>
    </row>
    <row r="9629">
      <c r="A9629" s="9"/>
      <c r="B9629" s="15"/>
      <c r="C9629" s="9">
        <f>IFERROR(__xludf.DUMMYFUNCTION("""COMPUTED_VALUE"""),45042.9067011574)</f>
        <v>45042.9067</v>
      </c>
      <c r="D9629" s="15">
        <f>IFERROR(__xludf.DUMMYFUNCTION("""COMPUTED_VALUE"""),1.032)</f>
        <v>1.032</v>
      </c>
      <c r="E9629" s="16">
        <f>IFERROR(__xludf.DUMMYFUNCTION("""COMPUTED_VALUE"""),62.0)</f>
        <v>62</v>
      </c>
      <c r="F9629" s="19" t="str">
        <f>IFERROR(__xludf.DUMMYFUNCTION("""COMPUTED_VALUE"""),"BLUE")</f>
        <v>BLUE</v>
      </c>
      <c r="G9629" s="20" t="str">
        <f>IFERROR(__xludf.DUMMYFUNCTION("""COMPUTED_VALUE"""),"Uncle Sams Cider (04/04/2023)")</f>
        <v>Uncle Sams Cider (04/04/2023)</v>
      </c>
      <c r="H9629" s="19"/>
    </row>
    <row r="9630">
      <c r="A9630" s="9"/>
      <c r="B9630" s="15"/>
      <c r="C9630" s="9">
        <f>IFERROR(__xludf.DUMMYFUNCTION("""COMPUTED_VALUE"""),45042.8962709838)</f>
        <v>45042.89627</v>
      </c>
      <c r="D9630" s="15">
        <f>IFERROR(__xludf.DUMMYFUNCTION("""COMPUTED_VALUE"""),1.032)</f>
        <v>1.032</v>
      </c>
      <c r="E9630" s="16">
        <f>IFERROR(__xludf.DUMMYFUNCTION("""COMPUTED_VALUE"""),62.0)</f>
        <v>62</v>
      </c>
      <c r="F9630" s="19" t="str">
        <f>IFERROR(__xludf.DUMMYFUNCTION("""COMPUTED_VALUE"""),"BLUE")</f>
        <v>BLUE</v>
      </c>
      <c r="G9630" s="20" t="str">
        <f>IFERROR(__xludf.DUMMYFUNCTION("""COMPUTED_VALUE"""),"Uncle Sams Cider (04/04/2023)")</f>
        <v>Uncle Sams Cider (04/04/2023)</v>
      </c>
      <c r="H9630" s="19"/>
    </row>
    <row r="9631">
      <c r="A9631" s="9"/>
      <c r="B9631" s="15"/>
      <c r="C9631" s="9">
        <f>IFERROR(__xludf.DUMMYFUNCTION("""COMPUTED_VALUE"""),45042.8858492824)</f>
        <v>45042.88585</v>
      </c>
      <c r="D9631" s="15">
        <f>IFERROR(__xludf.DUMMYFUNCTION("""COMPUTED_VALUE"""),1.032)</f>
        <v>1.032</v>
      </c>
      <c r="E9631" s="16">
        <f>IFERROR(__xludf.DUMMYFUNCTION("""COMPUTED_VALUE"""),62.0)</f>
        <v>62</v>
      </c>
      <c r="F9631" s="19" t="str">
        <f>IFERROR(__xludf.DUMMYFUNCTION("""COMPUTED_VALUE"""),"BLUE")</f>
        <v>BLUE</v>
      </c>
      <c r="G9631" s="20" t="str">
        <f>IFERROR(__xludf.DUMMYFUNCTION("""COMPUTED_VALUE"""),"Uncle Sams Cider (04/04/2023)")</f>
        <v>Uncle Sams Cider (04/04/2023)</v>
      </c>
      <c r="H9631" s="19"/>
    </row>
    <row r="9632">
      <c r="A9632" s="9"/>
      <c r="B9632" s="15"/>
      <c r="C9632" s="9">
        <f>IFERROR(__xludf.DUMMYFUNCTION("""COMPUTED_VALUE"""),45042.8754293634)</f>
        <v>45042.87543</v>
      </c>
      <c r="D9632" s="15">
        <f>IFERROR(__xludf.DUMMYFUNCTION("""COMPUTED_VALUE"""),1.032)</f>
        <v>1.032</v>
      </c>
      <c r="E9632" s="16">
        <f>IFERROR(__xludf.DUMMYFUNCTION("""COMPUTED_VALUE"""),62.0)</f>
        <v>62</v>
      </c>
      <c r="F9632" s="19" t="str">
        <f>IFERROR(__xludf.DUMMYFUNCTION("""COMPUTED_VALUE"""),"BLUE")</f>
        <v>BLUE</v>
      </c>
      <c r="G9632" s="20" t="str">
        <f>IFERROR(__xludf.DUMMYFUNCTION("""COMPUTED_VALUE"""),"Uncle Sams Cider (04/04/2023)")</f>
        <v>Uncle Sams Cider (04/04/2023)</v>
      </c>
      <c r="H9632" s="19"/>
    </row>
    <row r="9633">
      <c r="A9633" s="9"/>
      <c r="B9633" s="15"/>
      <c r="C9633" s="9">
        <f>IFERROR(__xludf.DUMMYFUNCTION("""COMPUTED_VALUE"""),45042.8650071064)</f>
        <v>45042.86501</v>
      </c>
      <c r="D9633" s="15">
        <f>IFERROR(__xludf.DUMMYFUNCTION("""COMPUTED_VALUE"""),1.032)</f>
        <v>1.032</v>
      </c>
      <c r="E9633" s="16">
        <f>IFERROR(__xludf.DUMMYFUNCTION("""COMPUTED_VALUE"""),62.0)</f>
        <v>62</v>
      </c>
      <c r="F9633" s="19" t="str">
        <f>IFERROR(__xludf.DUMMYFUNCTION("""COMPUTED_VALUE"""),"BLUE")</f>
        <v>BLUE</v>
      </c>
      <c r="G9633" s="20" t="str">
        <f>IFERROR(__xludf.DUMMYFUNCTION("""COMPUTED_VALUE"""),"Uncle Sams Cider (04/04/2023)")</f>
        <v>Uncle Sams Cider (04/04/2023)</v>
      </c>
      <c r="H9633" s="19"/>
    </row>
    <row r="9634">
      <c r="A9634" s="9"/>
      <c r="B9634" s="15"/>
      <c r="C9634" s="9">
        <f>IFERROR(__xludf.DUMMYFUNCTION("""COMPUTED_VALUE"""),45042.854586331)</f>
        <v>45042.85459</v>
      </c>
      <c r="D9634" s="15">
        <f>IFERROR(__xludf.DUMMYFUNCTION("""COMPUTED_VALUE"""),1.032)</f>
        <v>1.032</v>
      </c>
      <c r="E9634" s="16">
        <f>IFERROR(__xludf.DUMMYFUNCTION("""COMPUTED_VALUE"""),62.0)</f>
        <v>62</v>
      </c>
      <c r="F9634" s="19" t="str">
        <f>IFERROR(__xludf.DUMMYFUNCTION("""COMPUTED_VALUE"""),"BLUE")</f>
        <v>BLUE</v>
      </c>
      <c r="G9634" s="20" t="str">
        <f>IFERROR(__xludf.DUMMYFUNCTION("""COMPUTED_VALUE"""),"Uncle Sams Cider (04/04/2023)")</f>
        <v>Uncle Sams Cider (04/04/2023)</v>
      </c>
      <c r="H9634" s="19"/>
    </row>
    <row r="9635">
      <c r="A9635" s="9"/>
      <c r="B9635" s="15"/>
      <c r="C9635" s="9">
        <f>IFERROR(__xludf.DUMMYFUNCTION("""COMPUTED_VALUE"""),45042.8441638425)</f>
        <v>45042.84416</v>
      </c>
      <c r="D9635" s="15">
        <f>IFERROR(__xludf.DUMMYFUNCTION("""COMPUTED_VALUE"""),1.032)</f>
        <v>1.032</v>
      </c>
      <c r="E9635" s="16">
        <f>IFERROR(__xludf.DUMMYFUNCTION("""COMPUTED_VALUE"""),62.0)</f>
        <v>62</v>
      </c>
      <c r="F9635" s="19" t="str">
        <f>IFERROR(__xludf.DUMMYFUNCTION("""COMPUTED_VALUE"""),"BLUE")</f>
        <v>BLUE</v>
      </c>
      <c r="G9635" s="20" t="str">
        <f>IFERROR(__xludf.DUMMYFUNCTION("""COMPUTED_VALUE"""),"Uncle Sams Cider (04/04/2023)")</f>
        <v>Uncle Sams Cider (04/04/2023)</v>
      </c>
      <c r="H9635" s="19"/>
    </row>
    <row r="9636">
      <c r="A9636" s="9"/>
      <c r="B9636" s="15"/>
      <c r="C9636" s="9">
        <f>IFERROR(__xludf.DUMMYFUNCTION("""COMPUTED_VALUE"""),45042.8337436342)</f>
        <v>45042.83374</v>
      </c>
      <c r="D9636" s="15">
        <f>IFERROR(__xludf.DUMMYFUNCTION("""COMPUTED_VALUE"""),1.032)</f>
        <v>1.032</v>
      </c>
      <c r="E9636" s="16">
        <f>IFERROR(__xludf.DUMMYFUNCTION("""COMPUTED_VALUE"""),62.0)</f>
        <v>62</v>
      </c>
      <c r="F9636" s="19" t="str">
        <f>IFERROR(__xludf.DUMMYFUNCTION("""COMPUTED_VALUE"""),"BLUE")</f>
        <v>BLUE</v>
      </c>
      <c r="G9636" s="20" t="str">
        <f>IFERROR(__xludf.DUMMYFUNCTION("""COMPUTED_VALUE"""),"Uncle Sams Cider (04/04/2023)")</f>
        <v>Uncle Sams Cider (04/04/2023)</v>
      </c>
      <c r="H9636" s="19"/>
    </row>
    <row r="9637">
      <c r="A9637" s="9"/>
      <c r="B9637" s="15"/>
      <c r="C9637" s="9">
        <f>IFERROR(__xludf.DUMMYFUNCTION("""COMPUTED_VALUE"""),45042.823323287)</f>
        <v>45042.82332</v>
      </c>
      <c r="D9637" s="15">
        <f>IFERROR(__xludf.DUMMYFUNCTION("""COMPUTED_VALUE"""),1.032)</f>
        <v>1.032</v>
      </c>
      <c r="E9637" s="16">
        <f>IFERROR(__xludf.DUMMYFUNCTION("""COMPUTED_VALUE"""),62.0)</f>
        <v>62</v>
      </c>
      <c r="F9637" s="19" t="str">
        <f>IFERROR(__xludf.DUMMYFUNCTION("""COMPUTED_VALUE"""),"BLUE")</f>
        <v>BLUE</v>
      </c>
      <c r="G9637" s="20" t="str">
        <f>IFERROR(__xludf.DUMMYFUNCTION("""COMPUTED_VALUE"""),"Uncle Sams Cider (04/04/2023)")</f>
        <v>Uncle Sams Cider (04/04/2023)</v>
      </c>
      <c r="H9637" s="19"/>
    </row>
    <row r="9638">
      <c r="A9638" s="9"/>
      <c r="B9638" s="15"/>
      <c r="C9638" s="9">
        <f>IFERROR(__xludf.DUMMYFUNCTION("""COMPUTED_VALUE"""),45042.8128891666)</f>
        <v>45042.81289</v>
      </c>
      <c r="D9638" s="15">
        <f>IFERROR(__xludf.DUMMYFUNCTION("""COMPUTED_VALUE"""),1.032)</f>
        <v>1.032</v>
      </c>
      <c r="E9638" s="16">
        <f>IFERROR(__xludf.DUMMYFUNCTION("""COMPUTED_VALUE"""),62.0)</f>
        <v>62</v>
      </c>
      <c r="F9638" s="19" t="str">
        <f>IFERROR(__xludf.DUMMYFUNCTION("""COMPUTED_VALUE"""),"BLUE")</f>
        <v>BLUE</v>
      </c>
      <c r="G9638" s="20" t="str">
        <f>IFERROR(__xludf.DUMMYFUNCTION("""COMPUTED_VALUE"""),"Uncle Sams Cider (04/04/2023)")</f>
        <v>Uncle Sams Cider (04/04/2023)</v>
      </c>
      <c r="H9638" s="19"/>
    </row>
    <row r="9639">
      <c r="A9639" s="9"/>
      <c r="B9639" s="15"/>
      <c r="C9639" s="9">
        <f>IFERROR(__xludf.DUMMYFUNCTION("""COMPUTED_VALUE"""),45042.8024688773)</f>
        <v>45042.80247</v>
      </c>
      <c r="D9639" s="15">
        <f>IFERROR(__xludf.DUMMYFUNCTION("""COMPUTED_VALUE"""),1.032)</f>
        <v>1.032</v>
      </c>
      <c r="E9639" s="16">
        <f>IFERROR(__xludf.DUMMYFUNCTION("""COMPUTED_VALUE"""),62.0)</f>
        <v>62</v>
      </c>
      <c r="F9639" s="19" t="str">
        <f>IFERROR(__xludf.DUMMYFUNCTION("""COMPUTED_VALUE"""),"BLUE")</f>
        <v>BLUE</v>
      </c>
      <c r="G9639" s="20" t="str">
        <f>IFERROR(__xludf.DUMMYFUNCTION("""COMPUTED_VALUE"""),"Uncle Sams Cider (04/04/2023)")</f>
        <v>Uncle Sams Cider (04/04/2023)</v>
      </c>
      <c r="H9639" s="19"/>
    </row>
    <row r="9640">
      <c r="A9640" s="9"/>
      <c r="B9640" s="15"/>
      <c r="C9640" s="9">
        <f>IFERROR(__xludf.DUMMYFUNCTION("""COMPUTED_VALUE"""),45042.7920342129)</f>
        <v>45042.79203</v>
      </c>
      <c r="D9640" s="15">
        <f>IFERROR(__xludf.DUMMYFUNCTION("""COMPUTED_VALUE"""),1.032)</f>
        <v>1.032</v>
      </c>
      <c r="E9640" s="16">
        <f>IFERROR(__xludf.DUMMYFUNCTION("""COMPUTED_VALUE"""),62.0)</f>
        <v>62</v>
      </c>
      <c r="F9640" s="19" t="str">
        <f>IFERROR(__xludf.DUMMYFUNCTION("""COMPUTED_VALUE"""),"BLUE")</f>
        <v>BLUE</v>
      </c>
      <c r="G9640" s="20" t="str">
        <f>IFERROR(__xludf.DUMMYFUNCTION("""COMPUTED_VALUE"""),"Uncle Sams Cider (04/04/2023)")</f>
        <v>Uncle Sams Cider (04/04/2023)</v>
      </c>
      <c r="H9640" s="19"/>
    </row>
    <row r="9641">
      <c r="A9641" s="9"/>
      <c r="B9641" s="15"/>
      <c r="C9641" s="9">
        <f>IFERROR(__xludf.DUMMYFUNCTION("""COMPUTED_VALUE"""),45042.7816134259)</f>
        <v>45042.78161</v>
      </c>
      <c r="D9641" s="15">
        <f>IFERROR(__xludf.DUMMYFUNCTION("""COMPUTED_VALUE"""),1.032)</f>
        <v>1.032</v>
      </c>
      <c r="E9641" s="16">
        <f>IFERROR(__xludf.DUMMYFUNCTION("""COMPUTED_VALUE"""),62.0)</f>
        <v>62</v>
      </c>
      <c r="F9641" s="19" t="str">
        <f>IFERROR(__xludf.DUMMYFUNCTION("""COMPUTED_VALUE"""),"BLUE")</f>
        <v>BLUE</v>
      </c>
      <c r="G9641" s="20" t="str">
        <f>IFERROR(__xludf.DUMMYFUNCTION("""COMPUTED_VALUE"""),"Uncle Sams Cider (04/04/2023)")</f>
        <v>Uncle Sams Cider (04/04/2023)</v>
      </c>
      <c r="H9641" s="19"/>
    </row>
    <row r="9642">
      <c r="A9642" s="9"/>
      <c r="B9642" s="15"/>
      <c r="C9642" s="9">
        <f>IFERROR(__xludf.DUMMYFUNCTION("""COMPUTED_VALUE"""),45042.7711917939)</f>
        <v>45042.77119</v>
      </c>
      <c r="D9642" s="15">
        <f>IFERROR(__xludf.DUMMYFUNCTION("""COMPUTED_VALUE"""),1.032)</f>
        <v>1.032</v>
      </c>
      <c r="E9642" s="16">
        <f>IFERROR(__xludf.DUMMYFUNCTION("""COMPUTED_VALUE"""),62.0)</f>
        <v>62</v>
      </c>
      <c r="F9642" s="19" t="str">
        <f>IFERROR(__xludf.DUMMYFUNCTION("""COMPUTED_VALUE"""),"BLUE")</f>
        <v>BLUE</v>
      </c>
      <c r="G9642" s="20" t="str">
        <f>IFERROR(__xludf.DUMMYFUNCTION("""COMPUTED_VALUE"""),"Uncle Sams Cider (04/04/2023)")</f>
        <v>Uncle Sams Cider (04/04/2023)</v>
      </c>
      <c r="H9642" s="19"/>
    </row>
    <row r="9643">
      <c r="A9643" s="9"/>
      <c r="B9643" s="15"/>
      <c r="C9643" s="9">
        <f>IFERROR(__xludf.DUMMYFUNCTION("""COMPUTED_VALUE"""),45042.7607608101)</f>
        <v>45042.76076</v>
      </c>
      <c r="D9643" s="15">
        <f>IFERROR(__xludf.DUMMYFUNCTION("""COMPUTED_VALUE"""),1.032)</f>
        <v>1.032</v>
      </c>
      <c r="E9643" s="16">
        <f>IFERROR(__xludf.DUMMYFUNCTION("""COMPUTED_VALUE"""),62.0)</f>
        <v>62</v>
      </c>
      <c r="F9643" s="19" t="str">
        <f>IFERROR(__xludf.DUMMYFUNCTION("""COMPUTED_VALUE"""),"BLUE")</f>
        <v>BLUE</v>
      </c>
      <c r="G9643" s="20" t="str">
        <f>IFERROR(__xludf.DUMMYFUNCTION("""COMPUTED_VALUE"""),"Uncle Sams Cider (04/04/2023)")</f>
        <v>Uncle Sams Cider (04/04/2023)</v>
      </c>
      <c r="H9643" s="19"/>
    </row>
    <row r="9644">
      <c r="A9644" s="9"/>
      <c r="B9644" s="15"/>
      <c r="C9644" s="9">
        <f>IFERROR(__xludf.DUMMYFUNCTION("""COMPUTED_VALUE"""),45042.750338449)</f>
        <v>45042.75034</v>
      </c>
      <c r="D9644" s="15">
        <f>IFERROR(__xludf.DUMMYFUNCTION("""COMPUTED_VALUE"""),1.032)</f>
        <v>1.032</v>
      </c>
      <c r="E9644" s="16">
        <f>IFERROR(__xludf.DUMMYFUNCTION("""COMPUTED_VALUE"""),62.0)</f>
        <v>62</v>
      </c>
      <c r="F9644" s="19" t="str">
        <f>IFERROR(__xludf.DUMMYFUNCTION("""COMPUTED_VALUE"""),"BLUE")</f>
        <v>BLUE</v>
      </c>
      <c r="G9644" s="20" t="str">
        <f>IFERROR(__xludf.DUMMYFUNCTION("""COMPUTED_VALUE"""),"Uncle Sams Cider (04/04/2023)")</f>
        <v>Uncle Sams Cider (04/04/2023)</v>
      </c>
      <c r="H9644" s="19"/>
    </row>
    <row r="9645">
      <c r="A9645" s="9"/>
      <c r="B9645" s="15"/>
      <c r="C9645" s="9">
        <f>IFERROR(__xludf.DUMMYFUNCTION("""COMPUTED_VALUE"""),45042.7399167476)</f>
        <v>45042.73992</v>
      </c>
      <c r="D9645" s="15">
        <f>IFERROR(__xludf.DUMMYFUNCTION("""COMPUTED_VALUE"""),1.032)</f>
        <v>1.032</v>
      </c>
      <c r="E9645" s="16">
        <f>IFERROR(__xludf.DUMMYFUNCTION("""COMPUTED_VALUE"""),62.0)</f>
        <v>62</v>
      </c>
      <c r="F9645" s="19" t="str">
        <f>IFERROR(__xludf.DUMMYFUNCTION("""COMPUTED_VALUE"""),"BLUE")</f>
        <v>BLUE</v>
      </c>
      <c r="G9645" s="20" t="str">
        <f>IFERROR(__xludf.DUMMYFUNCTION("""COMPUTED_VALUE"""),"Uncle Sams Cider (04/04/2023)")</f>
        <v>Uncle Sams Cider (04/04/2023)</v>
      </c>
      <c r="H9645" s="19"/>
    </row>
    <row r="9646">
      <c r="A9646" s="9"/>
      <c r="B9646" s="15"/>
      <c r="C9646" s="9">
        <f>IFERROR(__xludf.DUMMYFUNCTION("""COMPUTED_VALUE"""),45042.729495405)</f>
        <v>45042.7295</v>
      </c>
      <c r="D9646" s="15">
        <f>IFERROR(__xludf.DUMMYFUNCTION("""COMPUTED_VALUE"""),1.032)</f>
        <v>1.032</v>
      </c>
      <c r="E9646" s="16">
        <f>IFERROR(__xludf.DUMMYFUNCTION("""COMPUTED_VALUE"""),62.0)</f>
        <v>62</v>
      </c>
      <c r="F9646" s="19" t="str">
        <f>IFERROR(__xludf.DUMMYFUNCTION("""COMPUTED_VALUE"""),"BLUE")</f>
        <v>BLUE</v>
      </c>
      <c r="G9646" s="20" t="str">
        <f>IFERROR(__xludf.DUMMYFUNCTION("""COMPUTED_VALUE"""),"Uncle Sams Cider (04/04/2023)")</f>
        <v>Uncle Sams Cider (04/04/2023)</v>
      </c>
      <c r="H9646" s="19"/>
    </row>
    <row r="9647">
      <c r="A9647" s="9"/>
      <c r="B9647" s="15"/>
      <c r="C9647" s="9">
        <f>IFERROR(__xludf.DUMMYFUNCTION("""COMPUTED_VALUE"""),45042.7190755555)</f>
        <v>45042.71908</v>
      </c>
      <c r="D9647" s="15">
        <f>IFERROR(__xludf.DUMMYFUNCTION("""COMPUTED_VALUE"""),1.032)</f>
        <v>1.032</v>
      </c>
      <c r="E9647" s="16">
        <f>IFERROR(__xludf.DUMMYFUNCTION("""COMPUTED_VALUE"""),62.0)</f>
        <v>62</v>
      </c>
      <c r="F9647" s="19" t="str">
        <f>IFERROR(__xludf.DUMMYFUNCTION("""COMPUTED_VALUE"""),"BLUE")</f>
        <v>BLUE</v>
      </c>
      <c r="G9647" s="20" t="str">
        <f>IFERROR(__xludf.DUMMYFUNCTION("""COMPUTED_VALUE"""),"Uncle Sams Cider (04/04/2023)")</f>
        <v>Uncle Sams Cider (04/04/2023)</v>
      </c>
      <c r="H9647" s="19"/>
    </row>
    <row r="9648">
      <c r="A9648" s="9"/>
      <c r="B9648" s="15"/>
      <c r="C9648" s="9">
        <f>IFERROR(__xludf.DUMMYFUNCTION("""COMPUTED_VALUE"""),45042.7086546412)</f>
        <v>45042.70865</v>
      </c>
      <c r="D9648" s="15">
        <f>IFERROR(__xludf.DUMMYFUNCTION("""COMPUTED_VALUE"""),1.032)</f>
        <v>1.032</v>
      </c>
      <c r="E9648" s="16">
        <f>IFERROR(__xludf.DUMMYFUNCTION("""COMPUTED_VALUE"""),62.0)</f>
        <v>62</v>
      </c>
      <c r="F9648" s="19" t="str">
        <f>IFERROR(__xludf.DUMMYFUNCTION("""COMPUTED_VALUE"""),"BLUE")</f>
        <v>BLUE</v>
      </c>
      <c r="G9648" s="20" t="str">
        <f>IFERROR(__xludf.DUMMYFUNCTION("""COMPUTED_VALUE"""),"Uncle Sams Cider (04/04/2023)")</f>
        <v>Uncle Sams Cider (04/04/2023)</v>
      </c>
      <c r="H9648" s="19"/>
    </row>
    <row r="9649">
      <c r="A9649" s="9"/>
      <c r="B9649" s="15"/>
      <c r="C9649" s="9">
        <f>IFERROR(__xludf.DUMMYFUNCTION("""COMPUTED_VALUE"""),45042.6982340625)</f>
        <v>45042.69823</v>
      </c>
      <c r="D9649" s="15">
        <f>IFERROR(__xludf.DUMMYFUNCTION("""COMPUTED_VALUE"""),1.032)</f>
        <v>1.032</v>
      </c>
      <c r="E9649" s="16">
        <f>IFERROR(__xludf.DUMMYFUNCTION("""COMPUTED_VALUE"""),62.0)</f>
        <v>62</v>
      </c>
      <c r="F9649" s="19" t="str">
        <f>IFERROR(__xludf.DUMMYFUNCTION("""COMPUTED_VALUE"""),"BLUE")</f>
        <v>BLUE</v>
      </c>
      <c r="G9649" s="20" t="str">
        <f>IFERROR(__xludf.DUMMYFUNCTION("""COMPUTED_VALUE"""),"Uncle Sams Cider (04/04/2023)")</f>
        <v>Uncle Sams Cider (04/04/2023)</v>
      </c>
      <c r="H9649" s="19"/>
    </row>
    <row r="9650">
      <c r="A9650" s="9"/>
      <c r="B9650" s="15"/>
      <c r="C9650" s="9">
        <f>IFERROR(__xludf.DUMMYFUNCTION("""COMPUTED_VALUE"""),45042.687811875)</f>
        <v>45042.68781</v>
      </c>
      <c r="D9650" s="15">
        <f>IFERROR(__xludf.DUMMYFUNCTION("""COMPUTED_VALUE"""),1.032)</f>
        <v>1.032</v>
      </c>
      <c r="E9650" s="16">
        <f>IFERROR(__xludf.DUMMYFUNCTION("""COMPUTED_VALUE"""),62.0)</f>
        <v>62</v>
      </c>
      <c r="F9650" s="19" t="str">
        <f>IFERROR(__xludf.DUMMYFUNCTION("""COMPUTED_VALUE"""),"BLUE")</f>
        <v>BLUE</v>
      </c>
      <c r="G9650" s="20" t="str">
        <f>IFERROR(__xludf.DUMMYFUNCTION("""COMPUTED_VALUE"""),"Uncle Sams Cider (04/04/2023)")</f>
        <v>Uncle Sams Cider (04/04/2023)</v>
      </c>
      <c r="H9650" s="19"/>
    </row>
    <row r="9651">
      <c r="A9651" s="9"/>
      <c r="B9651" s="15"/>
      <c r="C9651" s="9">
        <f>IFERROR(__xludf.DUMMYFUNCTION("""COMPUTED_VALUE"""),45042.6773893287)</f>
        <v>45042.67739</v>
      </c>
      <c r="D9651" s="15">
        <f>IFERROR(__xludf.DUMMYFUNCTION("""COMPUTED_VALUE"""),1.032)</f>
        <v>1.032</v>
      </c>
      <c r="E9651" s="16">
        <f>IFERROR(__xludf.DUMMYFUNCTION("""COMPUTED_VALUE"""),62.0)</f>
        <v>62</v>
      </c>
      <c r="F9651" s="19" t="str">
        <f>IFERROR(__xludf.DUMMYFUNCTION("""COMPUTED_VALUE"""),"BLUE")</f>
        <v>BLUE</v>
      </c>
      <c r="G9651" s="20" t="str">
        <f>IFERROR(__xludf.DUMMYFUNCTION("""COMPUTED_VALUE"""),"Uncle Sams Cider (04/04/2023)")</f>
        <v>Uncle Sams Cider (04/04/2023)</v>
      </c>
      <c r="H9651" s="19"/>
    </row>
    <row r="9652">
      <c r="A9652" s="9"/>
      <c r="B9652" s="15"/>
      <c r="C9652" s="9">
        <f>IFERROR(__xludf.DUMMYFUNCTION("""COMPUTED_VALUE"""),45042.6669683449)</f>
        <v>45042.66697</v>
      </c>
      <c r="D9652" s="15">
        <f>IFERROR(__xludf.DUMMYFUNCTION("""COMPUTED_VALUE"""),1.032)</f>
        <v>1.032</v>
      </c>
      <c r="E9652" s="16">
        <f>IFERROR(__xludf.DUMMYFUNCTION("""COMPUTED_VALUE"""),62.0)</f>
        <v>62</v>
      </c>
      <c r="F9652" s="19" t="str">
        <f>IFERROR(__xludf.DUMMYFUNCTION("""COMPUTED_VALUE"""),"BLUE")</f>
        <v>BLUE</v>
      </c>
      <c r="G9652" s="20" t="str">
        <f>IFERROR(__xludf.DUMMYFUNCTION("""COMPUTED_VALUE"""),"Uncle Sams Cider (04/04/2023)")</f>
        <v>Uncle Sams Cider (04/04/2023)</v>
      </c>
      <c r="H9652" s="19"/>
    </row>
    <row r="9653">
      <c r="A9653" s="9"/>
      <c r="B9653" s="15"/>
      <c r="C9653" s="9">
        <f>IFERROR(__xludf.DUMMYFUNCTION("""COMPUTED_VALUE"""),45042.6565467361)</f>
        <v>45042.65655</v>
      </c>
      <c r="D9653" s="15">
        <f>IFERROR(__xludf.DUMMYFUNCTION("""COMPUTED_VALUE"""),1.032)</f>
        <v>1.032</v>
      </c>
      <c r="E9653" s="16">
        <f>IFERROR(__xludf.DUMMYFUNCTION("""COMPUTED_VALUE"""),62.0)</f>
        <v>62</v>
      </c>
      <c r="F9653" s="19" t="str">
        <f>IFERROR(__xludf.DUMMYFUNCTION("""COMPUTED_VALUE"""),"BLUE")</f>
        <v>BLUE</v>
      </c>
      <c r="G9653" s="20" t="str">
        <f>IFERROR(__xludf.DUMMYFUNCTION("""COMPUTED_VALUE"""),"Uncle Sams Cider (04/04/2023)")</f>
        <v>Uncle Sams Cider (04/04/2023)</v>
      </c>
      <c r="H9653" s="19"/>
    </row>
    <row r="9654">
      <c r="A9654" s="9"/>
      <c r="B9654" s="15"/>
      <c r="C9654" s="9">
        <f>IFERROR(__xludf.DUMMYFUNCTION("""COMPUTED_VALUE"""),45042.6461145717)</f>
        <v>45042.64611</v>
      </c>
      <c r="D9654" s="15">
        <f>IFERROR(__xludf.DUMMYFUNCTION("""COMPUTED_VALUE"""),1.032)</f>
        <v>1.032</v>
      </c>
      <c r="E9654" s="16">
        <f>IFERROR(__xludf.DUMMYFUNCTION("""COMPUTED_VALUE"""),62.0)</f>
        <v>62</v>
      </c>
      <c r="F9654" s="19" t="str">
        <f>IFERROR(__xludf.DUMMYFUNCTION("""COMPUTED_VALUE"""),"BLUE")</f>
        <v>BLUE</v>
      </c>
      <c r="G9654" s="20" t="str">
        <f>IFERROR(__xludf.DUMMYFUNCTION("""COMPUTED_VALUE"""),"Uncle Sams Cider (04/04/2023)")</f>
        <v>Uncle Sams Cider (04/04/2023)</v>
      </c>
      <c r="H9654" s="19"/>
    </row>
    <row r="9655">
      <c r="A9655" s="9"/>
      <c r="B9655" s="15"/>
      <c r="C9655" s="9">
        <f>IFERROR(__xludf.DUMMYFUNCTION("""COMPUTED_VALUE"""),45042.6356941203)</f>
        <v>45042.63569</v>
      </c>
      <c r="D9655" s="15">
        <f>IFERROR(__xludf.DUMMYFUNCTION("""COMPUTED_VALUE"""),1.032)</f>
        <v>1.032</v>
      </c>
      <c r="E9655" s="16">
        <f>IFERROR(__xludf.DUMMYFUNCTION("""COMPUTED_VALUE"""),62.0)</f>
        <v>62</v>
      </c>
      <c r="F9655" s="19" t="str">
        <f>IFERROR(__xludf.DUMMYFUNCTION("""COMPUTED_VALUE"""),"BLUE")</f>
        <v>BLUE</v>
      </c>
      <c r="G9655" s="20" t="str">
        <f>IFERROR(__xludf.DUMMYFUNCTION("""COMPUTED_VALUE"""),"Uncle Sams Cider (04/04/2023)")</f>
        <v>Uncle Sams Cider (04/04/2023)</v>
      </c>
      <c r="H9655" s="19"/>
    </row>
    <row r="9656">
      <c r="A9656" s="9"/>
      <c r="B9656" s="15"/>
      <c r="C9656" s="9">
        <f>IFERROR(__xludf.DUMMYFUNCTION("""COMPUTED_VALUE"""),45042.6252723379)</f>
        <v>45042.62527</v>
      </c>
      <c r="D9656" s="15">
        <f>IFERROR(__xludf.DUMMYFUNCTION("""COMPUTED_VALUE"""),1.032)</f>
        <v>1.032</v>
      </c>
      <c r="E9656" s="16">
        <f>IFERROR(__xludf.DUMMYFUNCTION("""COMPUTED_VALUE"""),62.0)</f>
        <v>62</v>
      </c>
      <c r="F9656" s="19" t="str">
        <f>IFERROR(__xludf.DUMMYFUNCTION("""COMPUTED_VALUE"""),"BLUE")</f>
        <v>BLUE</v>
      </c>
      <c r="G9656" s="20" t="str">
        <f>IFERROR(__xludf.DUMMYFUNCTION("""COMPUTED_VALUE"""),"Uncle Sams Cider (04/04/2023)")</f>
        <v>Uncle Sams Cider (04/04/2023)</v>
      </c>
      <c r="H9656" s="19"/>
    </row>
    <row r="9657">
      <c r="A9657" s="9"/>
      <c r="B9657" s="15"/>
      <c r="C9657" s="9">
        <f>IFERROR(__xludf.DUMMYFUNCTION("""COMPUTED_VALUE"""),45042.6148504282)</f>
        <v>45042.61485</v>
      </c>
      <c r="D9657" s="15">
        <f>IFERROR(__xludf.DUMMYFUNCTION("""COMPUTED_VALUE"""),1.032)</f>
        <v>1.032</v>
      </c>
      <c r="E9657" s="16">
        <f>IFERROR(__xludf.DUMMYFUNCTION("""COMPUTED_VALUE"""),62.0)</f>
        <v>62</v>
      </c>
      <c r="F9657" s="19" t="str">
        <f>IFERROR(__xludf.DUMMYFUNCTION("""COMPUTED_VALUE"""),"BLUE")</f>
        <v>BLUE</v>
      </c>
      <c r="G9657" s="20" t="str">
        <f>IFERROR(__xludf.DUMMYFUNCTION("""COMPUTED_VALUE"""),"Uncle Sams Cider (04/04/2023)")</f>
        <v>Uncle Sams Cider (04/04/2023)</v>
      </c>
      <c r="H9657" s="19"/>
    </row>
    <row r="9658">
      <c r="A9658" s="9"/>
      <c r="B9658" s="15"/>
      <c r="C9658" s="9">
        <f>IFERROR(__xludf.DUMMYFUNCTION("""COMPUTED_VALUE"""),45042.6044286458)</f>
        <v>45042.60443</v>
      </c>
      <c r="D9658" s="15">
        <f>IFERROR(__xludf.DUMMYFUNCTION("""COMPUTED_VALUE"""),1.032)</f>
        <v>1.032</v>
      </c>
      <c r="E9658" s="16">
        <f>IFERROR(__xludf.DUMMYFUNCTION("""COMPUTED_VALUE"""),62.0)</f>
        <v>62</v>
      </c>
      <c r="F9658" s="19" t="str">
        <f>IFERROR(__xludf.DUMMYFUNCTION("""COMPUTED_VALUE"""),"BLUE")</f>
        <v>BLUE</v>
      </c>
      <c r="G9658" s="20" t="str">
        <f>IFERROR(__xludf.DUMMYFUNCTION("""COMPUTED_VALUE"""),"Uncle Sams Cider (04/04/2023)")</f>
        <v>Uncle Sams Cider (04/04/2023)</v>
      </c>
      <c r="H9658" s="19"/>
    </row>
    <row r="9659">
      <c r="A9659" s="9"/>
      <c r="B9659" s="15"/>
      <c r="C9659" s="9">
        <f>IFERROR(__xludf.DUMMYFUNCTION("""COMPUTED_VALUE"""),45042.5939946875)</f>
        <v>45042.59399</v>
      </c>
      <c r="D9659" s="15">
        <f>IFERROR(__xludf.DUMMYFUNCTION("""COMPUTED_VALUE"""),1.032)</f>
        <v>1.032</v>
      </c>
      <c r="E9659" s="16">
        <f>IFERROR(__xludf.DUMMYFUNCTION("""COMPUTED_VALUE"""),62.0)</f>
        <v>62</v>
      </c>
      <c r="F9659" s="19" t="str">
        <f>IFERROR(__xludf.DUMMYFUNCTION("""COMPUTED_VALUE"""),"BLUE")</f>
        <v>BLUE</v>
      </c>
      <c r="G9659" s="20" t="str">
        <f>IFERROR(__xludf.DUMMYFUNCTION("""COMPUTED_VALUE"""),"Uncle Sams Cider (04/04/2023)")</f>
        <v>Uncle Sams Cider (04/04/2023)</v>
      </c>
      <c r="H9659" s="19"/>
    </row>
    <row r="9660">
      <c r="A9660" s="9"/>
      <c r="B9660" s="15"/>
      <c r="C9660" s="9">
        <f>IFERROR(__xludf.DUMMYFUNCTION("""COMPUTED_VALUE"""),45042.5835731712)</f>
        <v>45042.58357</v>
      </c>
      <c r="D9660" s="15">
        <f>IFERROR(__xludf.DUMMYFUNCTION("""COMPUTED_VALUE"""),1.032)</f>
        <v>1.032</v>
      </c>
      <c r="E9660" s="16">
        <f>IFERROR(__xludf.DUMMYFUNCTION("""COMPUTED_VALUE"""),62.0)</f>
        <v>62</v>
      </c>
      <c r="F9660" s="19" t="str">
        <f>IFERROR(__xludf.DUMMYFUNCTION("""COMPUTED_VALUE"""),"BLUE")</f>
        <v>BLUE</v>
      </c>
      <c r="G9660" s="20" t="str">
        <f>IFERROR(__xludf.DUMMYFUNCTION("""COMPUTED_VALUE"""),"Uncle Sams Cider (04/04/2023)")</f>
        <v>Uncle Sams Cider (04/04/2023)</v>
      </c>
      <c r="H9660" s="19"/>
    </row>
    <row r="9661">
      <c r="A9661" s="9"/>
      <c r="B9661" s="15"/>
      <c r="C9661" s="9">
        <f>IFERROR(__xludf.DUMMYFUNCTION("""COMPUTED_VALUE"""),45042.5731520486)</f>
        <v>45042.57315</v>
      </c>
      <c r="D9661" s="15">
        <f>IFERROR(__xludf.DUMMYFUNCTION("""COMPUTED_VALUE"""),1.032)</f>
        <v>1.032</v>
      </c>
      <c r="E9661" s="16">
        <f>IFERROR(__xludf.DUMMYFUNCTION("""COMPUTED_VALUE"""),62.0)</f>
        <v>62</v>
      </c>
      <c r="F9661" s="19" t="str">
        <f>IFERROR(__xludf.DUMMYFUNCTION("""COMPUTED_VALUE"""),"BLUE")</f>
        <v>BLUE</v>
      </c>
      <c r="G9661" s="20" t="str">
        <f>IFERROR(__xludf.DUMMYFUNCTION("""COMPUTED_VALUE"""),"Uncle Sams Cider (04/04/2023)")</f>
        <v>Uncle Sams Cider (04/04/2023)</v>
      </c>
      <c r="H9661" s="19"/>
    </row>
    <row r="9662">
      <c r="A9662" s="9"/>
      <c r="B9662" s="15"/>
      <c r="C9662" s="9">
        <f>IFERROR(__xludf.DUMMYFUNCTION("""COMPUTED_VALUE"""),45042.5627308333)</f>
        <v>45042.56273</v>
      </c>
      <c r="D9662" s="15">
        <f>IFERROR(__xludf.DUMMYFUNCTION("""COMPUTED_VALUE"""),1.032)</f>
        <v>1.032</v>
      </c>
      <c r="E9662" s="16">
        <f>IFERROR(__xludf.DUMMYFUNCTION("""COMPUTED_VALUE"""),62.0)</f>
        <v>62</v>
      </c>
      <c r="F9662" s="19" t="str">
        <f>IFERROR(__xludf.DUMMYFUNCTION("""COMPUTED_VALUE"""),"BLUE")</f>
        <v>BLUE</v>
      </c>
      <c r="G9662" s="20" t="str">
        <f>IFERROR(__xludf.DUMMYFUNCTION("""COMPUTED_VALUE"""),"Uncle Sams Cider (04/04/2023)")</f>
        <v>Uncle Sams Cider (04/04/2023)</v>
      </c>
      <c r="H9662" s="19"/>
    </row>
    <row r="9663">
      <c r="A9663" s="9"/>
      <c r="B9663" s="15"/>
      <c r="C9663" s="9">
        <f>IFERROR(__xludf.DUMMYFUNCTION("""COMPUTED_VALUE"""),45042.5523094791)</f>
        <v>45042.55231</v>
      </c>
      <c r="D9663" s="15">
        <f>IFERROR(__xludf.DUMMYFUNCTION("""COMPUTED_VALUE"""),1.032)</f>
        <v>1.032</v>
      </c>
      <c r="E9663" s="16">
        <f>IFERROR(__xludf.DUMMYFUNCTION("""COMPUTED_VALUE"""),62.0)</f>
        <v>62</v>
      </c>
      <c r="F9663" s="19" t="str">
        <f>IFERROR(__xludf.DUMMYFUNCTION("""COMPUTED_VALUE"""),"BLUE")</f>
        <v>BLUE</v>
      </c>
      <c r="G9663" s="20" t="str">
        <f>IFERROR(__xludf.DUMMYFUNCTION("""COMPUTED_VALUE"""),"Uncle Sams Cider (04/04/2023)")</f>
        <v>Uncle Sams Cider (04/04/2023)</v>
      </c>
      <c r="H9663" s="19"/>
    </row>
    <row r="9664">
      <c r="A9664" s="9"/>
      <c r="B9664" s="15"/>
      <c r="C9664" s="9">
        <f>IFERROR(__xludf.DUMMYFUNCTION("""COMPUTED_VALUE"""),45042.541878206)</f>
        <v>45042.54188</v>
      </c>
      <c r="D9664" s="15">
        <f>IFERROR(__xludf.DUMMYFUNCTION("""COMPUTED_VALUE"""),1.032)</f>
        <v>1.032</v>
      </c>
      <c r="E9664" s="16">
        <f>IFERROR(__xludf.DUMMYFUNCTION("""COMPUTED_VALUE"""),62.0)</f>
        <v>62</v>
      </c>
      <c r="F9664" s="19" t="str">
        <f>IFERROR(__xludf.DUMMYFUNCTION("""COMPUTED_VALUE"""),"BLUE")</f>
        <v>BLUE</v>
      </c>
      <c r="G9664" s="20" t="str">
        <f>IFERROR(__xludf.DUMMYFUNCTION("""COMPUTED_VALUE"""),"Uncle Sams Cider (04/04/2023)")</f>
        <v>Uncle Sams Cider (04/04/2023)</v>
      </c>
      <c r="H9664" s="19"/>
    </row>
    <row r="9665">
      <c r="A9665" s="9"/>
      <c r="B9665" s="15"/>
      <c r="C9665" s="9">
        <f>IFERROR(__xludf.DUMMYFUNCTION("""COMPUTED_VALUE"""),45042.5314568518)</f>
        <v>45042.53146</v>
      </c>
      <c r="D9665" s="15">
        <f>IFERROR(__xludf.DUMMYFUNCTION("""COMPUTED_VALUE"""),1.032)</f>
        <v>1.032</v>
      </c>
      <c r="E9665" s="16">
        <f>IFERROR(__xludf.DUMMYFUNCTION("""COMPUTED_VALUE"""),62.0)</f>
        <v>62</v>
      </c>
      <c r="F9665" s="19" t="str">
        <f>IFERROR(__xludf.DUMMYFUNCTION("""COMPUTED_VALUE"""),"BLUE")</f>
        <v>BLUE</v>
      </c>
      <c r="G9665" s="20" t="str">
        <f>IFERROR(__xludf.DUMMYFUNCTION("""COMPUTED_VALUE"""),"Uncle Sams Cider (04/04/2023)")</f>
        <v>Uncle Sams Cider (04/04/2023)</v>
      </c>
      <c r="H9665" s="19"/>
    </row>
    <row r="9666">
      <c r="A9666" s="9"/>
      <c r="B9666" s="15"/>
      <c r="C9666" s="9">
        <f>IFERROR(__xludf.DUMMYFUNCTION("""COMPUTED_VALUE"""),45042.5210341088)</f>
        <v>45042.52103</v>
      </c>
      <c r="D9666" s="15">
        <f>IFERROR(__xludf.DUMMYFUNCTION("""COMPUTED_VALUE"""),1.032)</f>
        <v>1.032</v>
      </c>
      <c r="E9666" s="16">
        <f>IFERROR(__xludf.DUMMYFUNCTION("""COMPUTED_VALUE"""),62.0)</f>
        <v>62</v>
      </c>
      <c r="F9666" s="19" t="str">
        <f>IFERROR(__xludf.DUMMYFUNCTION("""COMPUTED_VALUE"""),"BLUE")</f>
        <v>BLUE</v>
      </c>
      <c r="G9666" s="20" t="str">
        <f>IFERROR(__xludf.DUMMYFUNCTION("""COMPUTED_VALUE"""),"Uncle Sams Cider (04/04/2023)")</f>
        <v>Uncle Sams Cider (04/04/2023)</v>
      </c>
      <c r="H9666" s="19"/>
    </row>
    <row r="9667">
      <c r="A9667" s="9"/>
      <c r="B9667" s="15"/>
      <c r="C9667" s="9">
        <f>IFERROR(__xludf.DUMMYFUNCTION("""COMPUTED_VALUE"""),45042.5106021643)</f>
        <v>45042.5106</v>
      </c>
      <c r="D9667" s="15">
        <f>IFERROR(__xludf.DUMMYFUNCTION("""COMPUTED_VALUE"""),1.032)</f>
        <v>1.032</v>
      </c>
      <c r="E9667" s="16">
        <f>IFERROR(__xludf.DUMMYFUNCTION("""COMPUTED_VALUE"""),62.0)</f>
        <v>62</v>
      </c>
      <c r="F9667" s="19" t="str">
        <f>IFERROR(__xludf.DUMMYFUNCTION("""COMPUTED_VALUE"""),"BLUE")</f>
        <v>BLUE</v>
      </c>
      <c r="G9667" s="20" t="str">
        <f>IFERROR(__xludf.DUMMYFUNCTION("""COMPUTED_VALUE"""),"Uncle Sams Cider (04/04/2023)")</f>
        <v>Uncle Sams Cider (04/04/2023)</v>
      </c>
      <c r="H9667" s="19"/>
    </row>
    <row r="9668">
      <c r="A9668" s="9"/>
      <c r="B9668" s="15"/>
      <c r="C9668" s="9">
        <f>IFERROR(__xludf.DUMMYFUNCTION("""COMPUTED_VALUE"""),45042.5001705671)</f>
        <v>45042.50017</v>
      </c>
      <c r="D9668" s="15">
        <f>IFERROR(__xludf.DUMMYFUNCTION("""COMPUTED_VALUE"""),1.032)</f>
        <v>1.032</v>
      </c>
      <c r="E9668" s="16">
        <f>IFERROR(__xludf.DUMMYFUNCTION("""COMPUTED_VALUE"""),62.0)</f>
        <v>62</v>
      </c>
      <c r="F9668" s="19" t="str">
        <f>IFERROR(__xludf.DUMMYFUNCTION("""COMPUTED_VALUE"""),"BLUE")</f>
        <v>BLUE</v>
      </c>
      <c r="G9668" s="20" t="str">
        <f>IFERROR(__xludf.DUMMYFUNCTION("""COMPUTED_VALUE"""),"Uncle Sams Cider (04/04/2023)")</f>
        <v>Uncle Sams Cider (04/04/2023)</v>
      </c>
      <c r="H9668" s="19"/>
    </row>
    <row r="9669">
      <c r="A9669" s="9"/>
      <c r="B9669" s="15"/>
      <c r="C9669" s="9">
        <f>IFERROR(__xludf.DUMMYFUNCTION("""COMPUTED_VALUE"""),45042.4897510185)</f>
        <v>45042.48975</v>
      </c>
      <c r="D9669" s="15">
        <f>IFERROR(__xludf.DUMMYFUNCTION("""COMPUTED_VALUE"""),1.032)</f>
        <v>1.032</v>
      </c>
      <c r="E9669" s="16">
        <f>IFERROR(__xludf.DUMMYFUNCTION("""COMPUTED_VALUE"""),62.0)</f>
        <v>62</v>
      </c>
      <c r="F9669" s="19" t="str">
        <f>IFERROR(__xludf.DUMMYFUNCTION("""COMPUTED_VALUE"""),"BLUE")</f>
        <v>BLUE</v>
      </c>
      <c r="G9669" s="20" t="str">
        <f>IFERROR(__xludf.DUMMYFUNCTION("""COMPUTED_VALUE"""),"Uncle Sams Cider (04/04/2023)")</f>
        <v>Uncle Sams Cider (04/04/2023)</v>
      </c>
      <c r="H9669" s="19"/>
    </row>
    <row r="9670">
      <c r="A9670" s="9"/>
      <c r="B9670" s="15"/>
      <c r="C9670" s="9">
        <f>IFERROR(__xludf.DUMMYFUNCTION("""COMPUTED_VALUE"""),45042.4793300694)</f>
        <v>45042.47933</v>
      </c>
      <c r="D9670" s="15">
        <f>IFERROR(__xludf.DUMMYFUNCTION("""COMPUTED_VALUE"""),1.032)</f>
        <v>1.032</v>
      </c>
      <c r="E9670" s="16">
        <f>IFERROR(__xludf.DUMMYFUNCTION("""COMPUTED_VALUE"""),62.0)</f>
        <v>62</v>
      </c>
      <c r="F9670" s="19" t="str">
        <f>IFERROR(__xludf.DUMMYFUNCTION("""COMPUTED_VALUE"""),"BLUE")</f>
        <v>BLUE</v>
      </c>
      <c r="G9670" s="20" t="str">
        <f>IFERROR(__xludf.DUMMYFUNCTION("""COMPUTED_VALUE"""),"Uncle Sams Cider (04/04/2023)")</f>
        <v>Uncle Sams Cider (04/04/2023)</v>
      </c>
      <c r="H9670" s="19"/>
    </row>
    <row r="9671">
      <c r="A9671" s="9"/>
      <c r="B9671" s="15"/>
      <c r="C9671" s="9">
        <f>IFERROR(__xludf.DUMMYFUNCTION("""COMPUTED_VALUE"""),45042.4689098495)</f>
        <v>45042.46891</v>
      </c>
      <c r="D9671" s="15">
        <f>IFERROR(__xludf.DUMMYFUNCTION("""COMPUTED_VALUE"""),1.032)</f>
        <v>1.032</v>
      </c>
      <c r="E9671" s="16">
        <f>IFERROR(__xludf.DUMMYFUNCTION("""COMPUTED_VALUE"""),62.0)</f>
        <v>62</v>
      </c>
      <c r="F9671" s="19" t="str">
        <f>IFERROR(__xludf.DUMMYFUNCTION("""COMPUTED_VALUE"""),"BLUE")</f>
        <v>BLUE</v>
      </c>
      <c r="G9671" s="20" t="str">
        <f>IFERROR(__xludf.DUMMYFUNCTION("""COMPUTED_VALUE"""),"Uncle Sams Cider (04/04/2023)")</f>
        <v>Uncle Sams Cider (04/04/2023)</v>
      </c>
      <c r="H9671" s="19"/>
    </row>
    <row r="9672">
      <c r="A9672" s="9"/>
      <c r="B9672" s="15"/>
      <c r="C9672" s="9">
        <f>IFERROR(__xludf.DUMMYFUNCTION("""COMPUTED_VALUE"""),45042.4584898958)</f>
        <v>45042.45849</v>
      </c>
      <c r="D9672" s="15">
        <f>IFERROR(__xludf.DUMMYFUNCTION("""COMPUTED_VALUE"""),1.032)</f>
        <v>1.032</v>
      </c>
      <c r="E9672" s="16">
        <f>IFERROR(__xludf.DUMMYFUNCTION("""COMPUTED_VALUE"""),62.0)</f>
        <v>62</v>
      </c>
      <c r="F9672" s="19" t="str">
        <f>IFERROR(__xludf.DUMMYFUNCTION("""COMPUTED_VALUE"""),"BLUE")</f>
        <v>BLUE</v>
      </c>
      <c r="G9672" s="20" t="str">
        <f>IFERROR(__xludf.DUMMYFUNCTION("""COMPUTED_VALUE"""),"Uncle Sams Cider (04/04/2023)")</f>
        <v>Uncle Sams Cider (04/04/2023)</v>
      </c>
      <c r="H9672" s="19"/>
    </row>
    <row r="9673">
      <c r="A9673" s="9"/>
      <c r="B9673" s="15"/>
      <c r="C9673" s="9">
        <f>IFERROR(__xludf.DUMMYFUNCTION("""COMPUTED_VALUE"""),45042.4480443055)</f>
        <v>45042.44804</v>
      </c>
      <c r="D9673" s="15">
        <f>IFERROR(__xludf.DUMMYFUNCTION("""COMPUTED_VALUE"""),1.032)</f>
        <v>1.032</v>
      </c>
      <c r="E9673" s="16">
        <f>IFERROR(__xludf.DUMMYFUNCTION("""COMPUTED_VALUE"""),62.0)</f>
        <v>62</v>
      </c>
      <c r="F9673" s="19" t="str">
        <f>IFERROR(__xludf.DUMMYFUNCTION("""COMPUTED_VALUE"""),"BLUE")</f>
        <v>BLUE</v>
      </c>
      <c r="G9673" s="20" t="str">
        <f>IFERROR(__xludf.DUMMYFUNCTION("""COMPUTED_VALUE"""),"Uncle Sams Cider (04/04/2023)")</f>
        <v>Uncle Sams Cider (04/04/2023)</v>
      </c>
      <c r="H9673" s="19"/>
    </row>
    <row r="9674">
      <c r="A9674" s="9"/>
      <c r="B9674" s="15"/>
      <c r="C9674" s="9">
        <f>IFERROR(__xludf.DUMMYFUNCTION("""COMPUTED_VALUE"""),45042.4376231597)</f>
        <v>45042.43762</v>
      </c>
      <c r="D9674" s="15">
        <f>IFERROR(__xludf.DUMMYFUNCTION("""COMPUTED_VALUE"""),1.033)</f>
        <v>1.033</v>
      </c>
      <c r="E9674" s="16">
        <f>IFERROR(__xludf.DUMMYFUNCTION("""COMPUTED_VALUE"""),62.0)</f>
        <v>62</v>
      </c>
      <c r="F9674" s="19" t="str">
        <f>IFERROR(__xludf.DUMMYFUNCTION("""COMPUTED_VALUE"""),"BLUE")</f>
        <v>BLUE</v>
      </c>
      <c r="G9674" s="20" t="str">
        <f>IFERROR(__xludf.DUMMYFUNCTION("""COMPUTED_VALUE"""),"Uncle Sams Cider (04/04/2023)")</f>
        <v>Uncle Sams Cider (04/04/2023)</v>
      </c>
      <c r="H9674" s="19"/>
    </row>
    <row r="9675">
      <c r="A9675" s="9"/>
      <c r="B9675" s="15"/>
      <c r="C9675" s="9">
        <f>IFERROR(__xludf.DUMMYFUNCTION("""COMPUTED_VALUE"""),45042.427202824)</f>
        <v>45042.4272</v>
      </c>
      <c r="D9675" s="15">
        <f>IFERROR(__xludf.DUMMYFUNCTION("""COMPUTED_VALUE"""),1.032)</f>
        <v>1.032</v>
      </c>
      <c r="E9675" s="16">
        <f>IFERROR(__xludf.DUMMYFUNCTION("""COMPUTED_VALUE"""),62.0)</f>
        <v>62</v>
      </c>
      <c r="F9675" s="19" t="str">
        <f>IFERROR(__xludf.DUMMYFUNCTION("""COMPUTED_VALUE"""),"BLUE")</f>
        <v>BLUE</v>
      </c>
      <c r="G9675" s="20" t="str">
        <f>IFERROR(__xludf.DUMMYFUNCTION("""COMPUTED_VALUE"""),"Uncle Sams Cider (04/04/2023)")</f>
        <v>Uncle Sams Cider (04/04/2023)</v>
      </c>
      <c r="H9675" s="19"/>
    </row>
    <row r="9676">
      <c r="A9676" s="9"/>
      <c r="B9676" s="15"/>
      <c r="C9676" s="9">
        <f>IFERROR(__xludf.DUMMYFUNCTION("""COMPUTED_VALUE"""),45042.4167819791)</f>
        <v>45042.41678</v>
      </c>
      <c r="D9676" s="15">
        <f>IFERROR(__xludf.DUMMYFUNCTION("""COMPUTED_VALUE"""),1.032)</f>
        <v>1.032</v>
      </c>
      <c r="E9676" s="16">
        <f>IFERROR(__xludf.DUMMYFUNCTION("""COMPUTED_VALUE"""),62.0)</f>
        <v>62</v>
      </c>
      <c r="F9676" s="19" t="str">
        <f>IFERROR(__xludf.DUMMYFUNCTION("""COMPUTED_VALUE"""),"BLUE")</f>
        <v>BLUE</v>
      </c>
      <c r="G9676" s="20" t="str">
        <f>IFERROR(__xludf.DUMMYFUNCTION("""COMPUTED_VALUE"""),"Uncle Sams Cider (04/04/2023)")</f>
        <v>Uncle Sams Cider (04/04/2023)</v>
      </c>
      <c r="H9676" s="19"/>
    </row>
    <row r="9677">
      <c r="A9677" s="9"/>
      <c r="B9677" s="15"/>
      <c r="C9677" s="9">
        <f>IFERROR(__xludf.DUMMYFUNCTION("""COMPUTED_VALUE"""),45042.4063606712)</f>
        <v>45042.40636</v>
      </c>
      <c r="D9677" s="15">
        <f>IFERROR(__xludf.DUMMYFUNCTION("""COMPUTED_VALUE"""),1.032)</f>
        <v>1.032</v>
      </c>
      <c r="E9677" s="16">
        <f>IFERROR(__xludf.DUMMYFUNCTION("""COMPUTED_VALUE"""),62.0)</f>
        <v>62</v>
      </c>
      <c r="F9677" s="19" t="str">
        <f>IFERROR(__xludf.DUMMYFUNCTION("""COMPUTED_VALUE"""),"BLUE")</f>
        <v>BLUE</v>
      </c>
      <c r="G9677" s="20" t="str">
        <f>IFERROR(__xludf.DUMMYFUNCTION("""COMPUTED_VALUE"""),"Uncle Sams Cider (04/04/2023)")</f>
        <v>Uncle Sams Cider (04/04/2023)</v>
      </c>
      <c r="H9677" s="19"/>
    </row>
    <row r="9678">
      <c r="A9678" s="9"/>
      <c r="B9678" s="15"/>
      <c r="C9678" s="9">
        <f>IFERROR(__xludf.DUMMYFUNCTION("""COMPUTED_VALUE"""),45042.3959403472)</f>
        <v>45042.39594</v>
      </c>
      <c r="D9678" s="15">
        <f>IFERROR(__xludf.DUMMYFUNCTION("""COMPUTED_VALUE"""),1.033)</f>
        <v>1.033</v>
      </c>
      <c r="E9678" s="16">
        <f>IFERROR(__xludf.DUMMYFUNCTION("""COMPUTED_VALUE"""),62.0)</f>
        <v>62</v>
      </c>
      <c r="F9678" s="19" t="str">
        <f>IFERROR(__xludf.DUMMYFUNCTION("""COMPUTED_VALUE"""),"BLUE")</f>
        <v>BLUE</v>
      </c>
      <c r="G9678" s="20" t="str">
        <f>IFERROR(__xludf.DUMMYFUNCTION("""COMPUTED_VALUE"""),"Uncle Sams Cider (04/04/2023)")</f>
        <v>Uncle Sams Cider (04/04/2023)</v>
      </c>
      <c r="H9678" s="19"/>
    </row>
    <row r="9679">
      <c r="A9679" s="9"/>
      <c r="B9679" s="15"/>
      <c r="C9679" s="9">
        <f>IFERROR(__xludf.DUMMYFUNCTION("""COMPUTED_VALUE"""),45042.3855191782)</f>
        <v>45042.38552</v>
      </c>
      <c r="D9679" s="15">
        <f>IFERROR(__xludf.DUMMYFUNCTION("""COMPUTED_VALUE"""),1.033)</f>
        <v>1.033</v>
      </c>
      <c r="E9679" s="16">
        <f>IFERROR(__xludf.DUMMYFUNCTION("""COMPUTED_VALUE"""),62.0)</f>
        <v>62</v>
      </c>
      <c r="F9679" s="19" t="str">
        <f>IFERROR(__xludf.DUMMYFUNCTION("""COMPUTED_VALUE"""),"BLUE")</f>
        <v>BLUE</v>
      </c>
      <c r="G9679" s="20" t="str">
        <f>IFERROR(__xludf.DUMMYFUNCTION("""COMPUTED_VALUE"""),"Uncle Sams Cider (04/04/2023)")</f>
        <v>Uncle Sams Cider (04/04/2023)</v>
      </c>
      <c r="H9679" s="19"/>
    </row>
    <row r="9680">
      <c r="A9680" s="9"/>
      <c r="B9680" s="15"/>
      <c r="C9680" s="9">
        <f>IFERROR(__xludf.DUMMYFUNCTION("""COMPUTED_VALUE"""),45042.3750992245)</f>
        <v>45042.3751</v>
      </c>
      <c r="D9680" s="15">
        <f>IFERROR(__xludf.DUMMYFUNCTION("""COMPUTED_VALUE"""),1.033)</f>
        <v>1.033</v>
      </c>
      <c r="E9680" s="16">
        <f>IFERROR(__xludf.DUMMYFUNCTION("""COMPUTED_VALUE"""),62.0)</f>
        <v>62</v>
      </c>
      <c r="F9680" s="19" t="str">
        <f>IFERROR(__xludf.DUMMYFUNCTION("""COMPUTED_VALUE"""),"BLUE")</f>
        <v>BLUE</v>
      </c>
      <c r="G9680" s="20" t="str">
        <f>IFERROR(__xludf.DUMMYFUNCTION("""COMPUTED_VALUE"""),"Uncle Sams Cider (04/04/2023)")</f>
        <v>Uncle Sams Cider (04/04/2023)</v>
      </c>
      <c r="H9680" s="19"/>
    </row>
    <row r="9681">
      <c r="A9681" s="9"/>
      <c r="B9681" s="15"/>
      <c r="C9681" s="9">
        <f>IFERROR(__xludf.DUMMYFUNCTION("""COMPUTED_VALUE"""),45042.3646788541)</f>
        <v>45042.36468</v>
      </c>
      <c r="D9681" s="15">
        <f>IFERROR(__xludf.DUMMYFUNCTION("""COMPUTED_VALUE"""),1.033)</f>
        <v>1.033</v>
      </c>
      <c r="E9681" s="16">
        <f>IFERROR(__xludf.DUMMYFUNCTION("""COMPUTED_VALUE"""),62.0)</f>
        <v>62</v>
      </c>
      <c r="F9681" s="19" t="str">
        <f>IFERROR(__xludf.DUMMYFUNCTION("""COMPUTED_VALUE"""),"BLUE")</f>
        <v>BLUE</v>
      </c>
      <c r="G9681" s="20" t="str">
        <f>IFERROR(__xludf.DUMMYFUNCTION("""COMPUTED_VALUE"""),"Uncle Sams Cider (04/04/2023)")</f>
        <v>Uncle Sams Cider (04/04/2023)</v>
      </c>
      <c r="H9681" s="19"/>
    </row>
    <row r="9682">
      <c r="A9682" s="9"/>
      <c r="B9682" s="15"/>
      <c r="C9682" s="9">
        <f>IFERROR(__xludf.DUMMYFUNCTION("""COMPUTED_VALUE"""),45042.3542575231)</f>
        <v>45042.35426</v>
      </c>
      <c r="D9682" s="15">
        <f>IFERROR(__xludf.DUMMYFUNCTION("""COMPUTED_VALUE"""),1.033)</f>
        <v>1.033</v>
      </c>
      <c r="E9682" s="16">
        <f>IFERROR(__xludf.DUMMYFUNCTION("""COMPUTED_VALUE"""),62.0)</f>
        <v>62</v>
      </c>
      <c r="F9682" s="19" t="str">
        <f>IFERROR(__xludf.DUMMYFUNCTION("""COMPUTED_VALUE"""),"BLUE")</f>
        <v>BLUE</v>
      </c>
      <c r="G9682" s="20" t="str">
        <f>IFERROR(__xludf.DUMMYFUNCTION("""COMPUTED_VALUE"""),"Uncle Sams Cider (04/04/2023)")</f>
        <v>Uncle Sams Cider (04/04/2023)</v>
      </c>
      <c r="H9682" s="19"/>
    </row>
    <row r="9683">
      <c r="A9683" s="9"/>
      <c r="B9683" s="15"/>
      <c r="C9683" s="9">
        <f>IFERROR(__xludf.DUMMYFUNCTION("""COMPUTED_VALUE"""),45042.3438364467)</f>
        <v>45042.34384</v>
      </c>
      <c r="D9683" s="15">
        <f>IFERROR(__xludf.DUMMYFUNCTION("""COMPUTED_VALUE"""),1.033)</f>
        <v>1.033</v>
      </c>
      <c r="E9683" s="16">
        <f>IFERROR(__xludf.DUMMYFUNCTION("""COMPUTED_VALUE"""),62.0)</f>
        <v>62</v>
      </c>
      <c r="F9683" s="19" t="str">
        <f>IFERROR(__xludf.DUMMYFUNCTION("""COMPUTED_VALUE"""),"BLUE")</f>
        <v>BLUE</v>
      </c>
      <c r="G9683" s="20" t="str">
        <f>IFERROR(__xludf.DUMMYFUNCTION("""COMPUTED_VALUE"""),"Uncle Sams Cider (04/04/2023)")</f>
        <v>Uncle Sams Cider (04/04/2023)</v>
      </c>
      <c r="H9683" s="19"/>
    </row>
    <row r="9684">
      <c r="A9684" s="9"/>
      <c r="B9684" s="15"/>
      <c r="C9684" s="9">
        <f>IFERROR(__xludf.DUMMYFUNCTION("""COMPUTED_VALUE"""),45042.3334159722)</f>
        <v>45042.33342</v>
      </c>
      <c r="D9684" s="15">
        <f>IFERROR(__xludf.DUMMYFUNCTION("""COMPUTED_VALUE"""),1.033)</f>
        <v>1.033</v>
      </c>
      <c r="E9684" s="16">
        <f>IFERROR(__xludf.DUMMYFUNCTION("""COMPUTED_VALUE"""),62.0)</f>
        <v>62</v>
      </c>
      <c r="F9684" s="19" t="str">
        <f>IFERROR(__xludf.DUMMYFUNCTION("""COMPUTED_VALUE"""),"BLUE")</f>
        <v>BLUE</v>
      </c>
      <c r="G9684" s="20" t="str">
        <f>IFERROR(__xludf.DUMMYFUNCTION("""COMPUTED_VALUE"""),"Uncle Sams Cider (04/04/2023)")</f>
        <v>Uncle Sams Cider (04/04/2023)</v>
      </c>
      <c r="H9684" s="19"/>
    </row>
    <row r="9685">
      <c r="A9685" s="9"/>
      <c r="B9685" s="15"/>
      <c r="C9685" s="9">
        <f>IFERROR(__xludf.DUMMYFUNCTION("""COMPUTED_VALUE"""),45042.3229939699)</f>
        <v>45042.32299</v>
      </c>
      <c r="D9685" s="15">
        <f>IFERROR(__xludf.DUMMYFUNCTION("""COMPUTED_VALUE"""),1.033)</f>
        <v>1.033</v>
      </c>
      <c r="E9685" s="16">
        <f>IFERROR(__xludf.DUMMYFUNCTION("""COMPUTED_VALUE"""),62.0)</f>
        <v>62</v>
      </c>
      <c r="F9685" s="19" t="str">
        <f>IFERROR(__xludf.DUMMYFUNCTION("""COMPUTED_VALUE"""),"BLUE")</f>
        <v>BLUE</v>
      </c>
      <c r="G9685" s="20" t="str">
        <f>IFERROR(__xludf.DUMMYFUNCTION("""COMPUTED_VALUE"""),"Uncle Sams Cider (04/04/2023)")</f>
        <v>Uncle Sams Cider (04/04/2023)</v>
      </c>
      <c r="H9685" s="19"/>
    </row>
    <row r="9686">
      <c r="A9686" s="9"/>
      <c r="B9686" s="15"/>
      <c r="C9686" s="9">
        <f>IFERROR(__xludf.DUMMYFUNCTION("""COMPUTED_VALUE"""),45042.3125493287)</f>
        <v>45042.31255</v>
      </c>
      <c r="D9686" s="15">
        <f>IFERROR(__xludf.DUMMYFUNCTION("""COMPUTED_VALUE"""),1.033)</f>
        <v>1.033</v>
      </c>
      <c r="E9686" s="16">
        <f>IFERROR(__xludf.DUMMYFUNCTION("""COMPUTED_VALUE"""),62.0)</f>
        <v>62</v>
      </c>
      <c r="F9686" s="19" t="str">
        <f>IFERROR(__xludf.DUMMYFUNCTION("""COMPUTED_VALUE"""),"BLUE")</f>
        <v>BLUE</v>
      </c>
      <c r="G9686" s="20" t="str">
        <f>IFERROR(__xludf.DUMMYFUNCTION("""COMPUTED_VALUE"""),"Uncle Sams Cider (04/04/2023)")</f>
        <v>Uncle Sams Cider (04/04/2023)</v>
      </c>
      <c r="H9686" s="19"/>
    </row>
    <row r="9687">
      <c r="A9687" s="9"/>
      <c r="B9687" s="15"/>
      <c r="C9687" s="9">
        <f>IFERROR(__xludf.DUMMYFUNCTION("""COMPUTED_VALUE"""),45042.3021298726)</f>
        <v>45042.30213</v>
      </c>
      <c r="D9687" s="15">
        <f>IFERROR(__xludf.DUMMYFUNCTION("""COMPUTED_VALUE"""),1.033)</f>
        <v>1.033</v>
      </c>
      <c r="E9687" s="16">
        <f>IFERROR(__xludf.DUMMYFUNCTION("""COMPUTED_VALUE"""),62.0)</f>
        <v>62</v>
      </c>
      <c r="F9687" s="19" t="str">
        <f>IFERROR(__xludf.DUMMYFUNCTION("""COMPUTED_VALUE"""),"BLUE")</f>
        <v>BLUE</v>
      </c>
      <c r="G9687" s="20" t="str">
        <f>IFERROR(__xludf.DUMMYFUNCTION("""COMPUTED_VALUE"""),"Uncle Sams Cider (04/04/2023)")</f>
        <v>Uncle Sams Cider (04/04/2023)</v>
      </c>
      <c r="H9687" s="19"/>
    </row>
    <row r="9688">
      <c r="A9688" s="9"/>
      <c r="B9688" s="15"/>
      <c r="C9688" s="9">
        <f>IFERROR(__xludf.DUMMYFUNCTION("""COMPUTED_VALUE"""),45042.2916971064)</f>
        <v>45042.2917</v>
      </c>
      <c r="D9688" s="15">
        <f>IFERROR(__xludf.DUMMYFUNCTION("""COMPUTED_VALUE"""),1.033)</f>
        <v>1.033</v>
      </c>
      <c r="E9688" s="16">
        <f>IFERROR(__xludf.DUMMYFUNCTION("""COMPUTED_VALUE"""),62.0)</f>
        <v>62</v>
      </c>
      <c r="F9688" s="19" t="str">
        <f>IFERROR(__xludf.DUMMYFUNCTION("""COMPUTED_VALUE"""),"BLUE")</f>
        <v>BLUE</v>
      </c>
      <c r="G9688" s="20" t="str">
        <f>IFERROR(__xludf.DUMMYFUNCTION("""COMPUTED_VALUE"""),"Uncle Sams Cider (04/04/2023)")</f>
        <v>Uncle Sams Cider (04/04/2023)</v>
      </c>
      <c r="H9688" s="19"/>
    </row>
    <row r="9689">
      <c r="A9689" s="9"/>
      <c r="B9689" s="15"/>
      <c r="C9689" s="9">
        <f>IFERROR(__xludf.DUMMYFUNCTION("""COMPUTED_VALUE"""),45042.2812766898)</f>
        <v>45042.28128</v>
      </c>
      <c r="D9689" s="15">
        <f>IFERROR(__xludf.DUMMYFUNCTION("""COMPUTED_VALUE"""),1.033)</f>
        <v>1.033</v>
      </c>
      <c r="E9689" s="16">
        <f>IFERROR(__xludf.DUMMYFUNCTION("""COMPUTED_VALUE"""),62.0)</f>
        <v>62</v>
      </c>
      <c r="F9689" s="19" t="str">
        <f>IFERROR(__xludf.DUMMYFUNCTION("""COMPUTED_VALUE"""),"BLUE")</f>
        <v>BLUE</v>
      </c>
      <c r="G9689" s="20" t="str">
        <f>IFERROR(__xludf.DUMMYFUNCTION("""COMPUTED_VALUE"""),"Uncle Sams Cider (04/04/2023)")</f>
        <v>Uncle Sams Cider (04/04/2023)</v>
      </c>
      <c r="H9689" s="19"/>
    </row>
    <row r="9690">
      <c r="A9690" s="9"/>
      <c r="B9690" s="15"/>
      <c r="C9690" s="9">
        <f>IFERROR(__xludf.DUMMYFUNCTION("""COMPUTED_VALUE"""),45042.2708552777)</f>
        <v>45042.27086</v>
      </c>
      <c r="D9690" s="15">
        <f>IFERROR(__xludf.DUMMYFUNCTION("""COMPUTED_VALUE"""),1.033)</f>
        <v>1.033</v>
      </c>
      <c r="E9690" s="16">
        <f>IFERROR(__xludf.DUMMYFUNCTION("""COMPUTED_VALUE"""),62.0)</f>
        <v>62</v>
      </c>
      <c r="F9690" s="19" t="str">
        <f>IFERROR(__xludf.DUMMYFUNCTION("""COMPUTED_VALUE"""),"BLUE")</f>
        <v>BLUE</v>
      </c>
      <c r="G9690" s="20" t="str">
        <f>IFERROR(__xludf.DUMMYFUNCTION("""COMPUTED_VALUE"""),"Uncle Sams Cider (04/04/2023)")</f>
        <v>Uncle Sams Cider (04/04/2023)</v>
      </c>
      <c r="H9690" s="19"/>
    </row>
    <row r="9691">
      <c r="A9691" s="9"/>
      <c r="B9691" s="15"/>
      <c r="C9691" s="9">
        <f>IFERROR(__xludf.DUMMYFUNCTION("""COMPUTED_VALUE"""),45042.2604330208)</f>
        <v>45042.26043</v>
      </c>
      <c r="D9691" s="15">
        <f>IFERROR(__xludf.DUMMYFUNCTION("""COMPUTED_VALUE"""),1.033)</f>
        <v>1.033</v>
      </c>
      <c r="E9691" s="16">
        <f>IFERROR(__xludf.DUMMYFUNCTION("""COMPUTED_VALUE"""),62.0)</f>
        <v>62</v>
      </c>
      <c r="F9691" s="19" t="str">
        <f>IFERROR(__xludf.DUMMYFUNCTION("""COMPUTED_VALUE"""),"BLUE")</f>
        <v>BLUE</v>
      </c>
      <c r="G9691" s="20" t="str">
        <f>IFERROR(__xludf.DUMMYFUNCTION("""COMPUTED_VALUE"""),"Uncle Sams Cider (04/04/2023)")</f>
        <v>Uncle Sams Cider (04/04/2023)</v>
      </c>
      <c r="H9691" s="19"/>
    </row>
    <row r="9692">
      <c r="A9692" s="9"/>
      <c r="B9692" s="15"/>
      <c r="C9692" s="9">
        <f>IFERROR(__xludf.DUMMYFUNCTION("""COMPUTED_VALUE"""),45042.2500112037)</f>
        <v>45042.25001</v>
      </c>
      <c r="D9692" s="15">
        <f>IFERROR(__xludf.DUMMYFUNCTION("""COMPUTED_VALUE"""),1.033)</f>
        <v>1.033</v>
      </c>
      <c r="E9692" s="16">
        <f>IFERROR(__xludf.DUMMYFUNCTION("""COMPUTED_VALUE"""),62.0)</f>
        <v>62</v>
      </c>
      <c r="F9692" s="19" t="str">
        <f>IFERROR(__xludf.DUMMYFUNCTION("""COMPUTED_VALUE"""),"BLUE")</f>
        <v>BLUE</v>
      </c>
      <c r="G9692" s="20" t="str">
        <f>IFERROR(__xludf.DUMMYFUNCTION("""COMPUTED_VALUE"""),"Uncle Sams Cider (04/04/2023)")</f>
        <v>Uncle Sams Cider (04/04/2023)</v>
      </c>
      <c r="H9692" s="19"/>
    </row>
    <row r="9693">
      <c r="A9693" s="9"/>
      <c r="B9693" s="15"/>
      <c r="C9693" s="9">
        <f>IFERROR(__xludf.DUMMYFUNCTION("""COMPUTED_VALUE"""),45042.2395886111)</f>
        <v>45042.23959</v>
      </c>
      <c r="D9693" s="15">
        <f>IFERROR(__xludf.DUMMYFUNCTION("""COMPUTED_VALUE"""),1.033)</f>
        <v>1.033</v>
      </c>
      <c r="E9693" s="16">
        <f>IFERROR(__xludf.DUMMYFUNCTION("""COMPUTED_VALUE"""),62.0)</f>
        <v>62</v>
      </c>
      <c r="F9693" s="19" t="str">
        <f>IFERROR(__xludf.DUMMYFUNCTION("""COMPUTED_VALUE"""),"BLUE")</f>
        <v>BLUE</v>
      </c>
      <c r="G9693" s="20" t="str">
        <f>IFERROR(__xludf.DUMMYFUNCTION("""COMPUTED_VALUE"""),"Uncle Sams Cider (04/04/2023)")</f>
        <v>Uncle Sams Cider (04/04/2023)</v>
      </c>
      <c r="H9693" s="19"/>
    </row>
    <row r="9694">
      <c r="A9694" s="9"/>
      <c r="B9694" s="15"/>
      <c r="C9694" s="9">
        <f>IFERROR(__xludf.DUMMYFUNCTION("""COMPUTED_VALUE"""),45042.2291546412)</f>
        <v>45042.22915</v>
      </c>
      <c r="D9694" s="15">
        <f>IFERROR(__xludf.DUMMYFUNCTION("""COMPUTED_VALUE"""),1.033)</f>
        <v>1.033</v>
      </c>
      <c r="E9694" s="16">
        <f>IFERROR(__xludf.DUMMYFUNCTION("""COMPUTED_VALUE"""),62.0)</f>
        <v>62</v>
      </c>
      <c r="F9694" s="19" t="str">
        <f>IFERROR(__xludf.DUMMYFUNCTION("""COMPUTED_VALUE"""),"BLUE")</f>
        <v>BLUE</v>
      </c>
      <c r="G9694" s="20" t="str">
        <f>IFERROR(__xludf.DUMMYFUNCTION("""COMPUTED_VALUE"""),"Uncle Sams Cider (04/04/2023)")</f>
        <v>Uncle Sams Cider (04/04/2023)</v>
      </c>
      <c r="H9694" s="19"/>
    </row>
    <row r="9695">
      <c r="A9695" s="9"/>
      <c r="B9695" s="15"/>
      <c r="C9695" s="9">
        <f>IFERROR(__xludf.DUMMYFUNCTION("""COMPUTED_VALUE"""),45042.2187329398)</f>
        <v>45042.21873</v>
      </c>
      <c r="D9695" s="15">
        <f>IFERROR(__xludf.DUMMYFUNCTION("""COMPUTED_VALUE"""),1.033)</f>
        <v>1.033</v>
      </c>
      <c r="E9695" s="16">
        <f>IFERROR(__xludf.DUMMYFUNCTION("""COMPUTED_VALUE"""),62.0)</f>
        <v>62</v>
      </c>
      <c r="F9695" s="19" t="str">
        <f>IFERROR(__xludf.DUMMYFUNCTION("""COMPUTED_VALUE"""),"BLUE")</f>
        <v>BLUE</v>
      </c>
      <c r="G9695" s="20" t="str">
        <f>IFERROR(__xludf.DUMMYFUNCTION("""COMPUTED_VALUE"""),"Uncle Sams Cider (04/04/2023)")</f>
        <v>Uncle Sams Cider (04/04/2023)</v>
      </c>
      <c r="H9695" s="19"/>
    </row>
    <row r="9696">
      <c r="A9696" s="9"/>
      <c r="B9696" s="15"/>
      <c r="C9696" s="9">
        <f>IFERROR(__xludf.DUMMYFUNCTION("""COMPUTED_VALUE"""),45042.2083109953)</f>
        <v>45042.20831</v>
      </c>
      <c r="D9696" s="15">
        <f>IFERROR(__xludf.DUMMYFUNCTION("""COMPUTED_VALUE"""),1.033)</f>
        <v>1.033</v>
      </c>
      <c r="E9696" s="16">
        <f>IFERROR(__xludf.DUMMYFUNCTION("""COMPUTED_VALUE"""),62.0)</f>
        <v>62</v>
      </c>
      <c r="F9696" s="19" t="str">
        <f>IFERROR(__xludf.DUMMYFUNCTION("""COMPUTED_VALUE"""),"BLUE")</f>
        <v>BLUE</v>
      </c>
      <c r="G9696" s="20" t="str">
        <f>IFERROR(__xludf.DUMMYFUNCTION("""COMPUTED_VALUE"""),"Uncle Sams Cider (04/04/2023)")</f>
        <v>Uncle Sams Cider (04/04/2023)</v>
      </c>
      <c r="H9696" s="19"/>
    </row>
    <row r="9697">
      <c r="A9697" s="9"/>
      <c r="B9697" s="15"/>
      <c r="C9697" s="9">
        <f>IFERROR(__xludf.DUMMYFUNCTION("""COMPUTED_VALUE"""),45042.1978664467)</f>
        <v>45042.19787</v>
      </c>
      <c r="D9697" s="15">
        <f>IFERROR(__xludf.DUMMYFUNCTION("""COMPUTED_VALUE"""),1.033)</f>
        <v>1.033</v>
      </c>
      <c r="E9697" s="16">
        <f>IFERROR(__xludf.DUMMYFUNCTION("""COMPUTED_VALUE"""),62.0)</f>
        <v>62</v>
      </c>
      <c r="F9697" s="19" t="str">
        <f>IFERROR(__xludf.DUMMYFUNCTION("""COMPUTED_VALUE"""),"BLUE")</f>
        <v>BLUE</v>
      </c>
      <c r="G9697" s="20" t="str">
        <f>IFERROR(__xludf.DUMMYFUNCTION("""COMPUTED_VALUE"""),"Uncle Sams Cider (04/04/2023)")</f>
        <v>Uncle Sams Cider (04/04/2023)</v>
      </c>
      <c r="H9697" s="19"/>
    </row>
    <row r="9698">
      <c r="A9698" s="9"/>
      <c r="B9698" s="15"/>
      <c r="C9698" s="9">
        <f>IFERROR(__xludf.DUMMYFUNCTION("""COMPUTED_VALUE"""),45042.1874322569)</f>
        <v>45042.18743</v>
      </c>
      <c r="D9698" s="15">
        <f>IFERROR(__xludf.DUMMYFUNCTION("""COMPUTED_VALUE"""),1.033)</f>
        <v>1.033</v>
      </c>
      <c r="E9698" s="16">
        <f>IFERROR(__xludf.DUMMYFUNCTION("""COMPUTED_VALUE"""),62.0)</f>
        <v>62</v>
      </c>
      <c r="F9698" s="19" t="str">
        <f>IFERROR(__xludf.DUMMYFUNCTION("""COMPUTED_VALUE"""),"BLUE")</f>
        <v>BLUE</v>
      </c>
      <c r="G9698" s="20" t="str">
        <f>IFERROR(__xludf.DUMMYFUNCTION("""COMPUTED_VALUE"""),"Uncle Sams Cider (04/04/2023)")</f>
        <v>Uncle Sams Cider (04/04/2023)</v>
      </c>
      <c r="H9698" s="19"/>
    </row>
    <row r="9699">
      <c r="A9699" s="9"/>
      <c r="B9699" s="15"/>
      <c r="C9699" s="9">
        <f>IFERROR(__xludf.DUMMYFUNCTION("""COMPUTED_VALUE"""),45042.1770112731)</f>
        <v>45042.17701</v>
      </c>
      <c r="D9699" s="15">
        <f>IFERROR(__xludf.DUMMYFUNCTION("""COMPUTED_VALUE"""),1.033)</f>
        <v>1.033</v>
      </c>
      <c r="E9699" s="16">
        <f>IFERROR(__xludf.DUMMYFUNCTION("""COMPUTED_VALUE"""),62.0)</f>
        <v>62</v>
      </c>
      <c r="F9699" s="19" t="str">
        <f>IFERROR(__xludf.DUMMYFUNCTION("""COMPUTED_VALUE"""),"BLUE")</f>
        <v>BLUE</v>
      </c>
      <c r="G9699" s="20" t="str">
        <f>IFERROR(__xludf.DUMMYFUNCTION("""COMPUTED_VALUE"""),"Uncle Sams Cider (04/04/2023)")</f>
        <v>Uncle Sams Cider (04/04/2023)</v>
      </c>
      <c r="H9699" s="19"/>
    </row>
    <row r="9700">
      <c r="A9700" s="9"/>
      <c r="B9700" s="15"/>
      <c r="C9700" s="9">
        <f>IFERROR(__xludf.DUMMYFUNCTION("""COMPUTED_VALUE"""),45042.1665899768)</f>
        <v>45042.16659</v>
      </c>
      <c r="D9700" s="15">
        <f>IFERROR(__xludf.DUMMYFUNCTION("""COMPUTED_VALUE"""),1.033)</f>
        <v>1.033</v>
      </c>
      <c r="E9700" s="16">
        <f>IFERROR(__xludf.DUMMYFUNCTION("""COMPUTED_VALUE"""),62.0)</f>
        <v>62</v>
      </c>
      <c r="F9700" s="19" t="str">
        <f>IFERROR(__xludf.DUMMYFUNCTION("""COMPUTED_VALUE"""),"BLUE")</f>
        <v>BLUE</v>
      </c>
      <c r="G9700" s="20" t="str">
        <f>IFERROR(__xludf.DUMMYFUNCTION("""COMPUTED_VALUE"""),"Uncle Sams Cider (04/04/2023)")</f>
        <v>Uncle Sams Cider (04/04/2023)</v>
      </c>
      <c r="H9700" s="19"/>
    </row>
    <row r="9701">
      <c r="A9701" s="9"/>
      <c r="B9701" s="15"/>
      <c r="C9701" s="9">
        <f>IFERROR(__xludf.DUMMYFUNCTION("""COMPUTED_VALUE"""),45042.1561701967)</f>
        <v>45042.15617</v>
      </c>
      <c r="D9701" s="15">
        <f>IFERROR(__xludf.DUMMYFUNCTION("""COMPUTED_VALUE"""),1.033)</f>
        <v>1.033</v>
      </c>
      <c r="E9701" s="16">
        <f>IFERROR(__xludf.DUMMYFUNCTION("""COMPUTED_VALUE"""),62.0)</f>
        <v>62</v>
      </c>
      <c r="F9701" s="19" t="str">
        <f>IFERROR(__xludf.DUMMYFUNCTION("""COMPUTED_VALUE"""),"BLUE")</f>
        <v>BLUE</v>
      </c>
      <c r="G9701" s="20" t="str">
        <f>IFERROR(__xludf.DUMMYFUNCTION("""COMPUTED_VALUE"""),"Uncle Sams Cider (04/04/2023)")</f>
        <v>Uncle Sams Cider (04/04/2023)</v>
      </c>
      <c r="H9701" s="19"/>
    </row>
    <row r="9702">
      <c r="A9702" s="9"/>
      <c r="B9702" s="15"/>
      <c r="C9702" s="9">
        <f>IFERROR(__xludf.DUMMYFUNCTION("""COMPUTED_VALUE"""),45042.1457374421)</f>
        <v>45042.14574</v>
      </c>
      <c r="D9702" s="15">
        <f>IFERROR(__xludf.DUMMYFUNCTION("""COMPUTED_VALUE"""),1.033)</f>
        <v>1.033</v>
      </c>
      <c r="E9702" s="16">
        <f>IFERROR(__xludf.DUMMYFUNCTION("""COMPUTED_VALUE"""),62.0)</f>
        <v>62</v>
      </c>
      <c r="F9702" s="19" t="str">
        <f>IFERROR(__xludf.DUMMYFUNCTION("""COMPUTED_VALUE"""),"BLUE")</f>
        <v>BLUE</v>
      </c>
      <c r="G9702" s="20" t="str">
        <f>IFERROR(__xludf.DUMMYFUNCTION("""COMPUTED_VALUE"""),"Uncle Sams Cider (04/04/2023)")</f>
        <v>Uncle Sams Cider (04/04/2023)</v>
      </c>
      <c r="H9702" s="19"/>
    </row>
    <row r="9703">
      <c r="A9703" s="9"/>
      <c r="B9703" s="15"/>
      <c r="C9703" s="9">
        <f>IFERROR(__xludf.DUMMYFUNCTION("""COMPUTED_VALUE"""),45042.1353157176)</f>
        <v>45042.13532</v>
      </c>
      <c r="D9703" s="15">
        <f>IFERROR(__xludf.DUMMYFUNCTION("""COMPUTED_VALUE"""),1.033)</f>
        <v>1.033</v>
      </c>
      <c r="E9703" s="16">
        <f>IFERROR(__xludf.DUMMYFUNCTION("""COMPUTED_VALUE"""),62.0)</f>
        <v>62</v>
      </c>
      <c r="F9703" s="19" t="str">
        <f>IFERROR(__xludf.DUMMYFUNCTION("""COMPUTED_VALUE"""),"BLUE")</f>
        <v>BLUE</v>
      </c>
      <c r="G9703" s="20" t="str">
        <f>IFERROR(__xludf.DUMMYFUNCTION("""COMPUTED_VALUE"""),"Uncle Sams Cider (04/04/2023)")</f>
        <v>Uncle Sams Cider (04/04/2023)</v>
      </c>
      <c r="H9703" s="19"/>
    </row>
    <row r="9704">
      <c r="A9704" s="9"/>
      <c r="B9704" s="15"/>
      <c r="C9704" s="9">
        <f>IFERROR(__xludf.DUMMYFUNCTION("""COMPUTED_VALUE"""),45042.1248944213)</f>
        <v>45042.12489</v>
      </c>
      <c r="D9704" s="15">
        <f>IFERROR(__xludf.DUMMYFUNCTION("""COMPUTED_VALUE"""),1.033)</f>
        <v>1.033</v>
      </c>
      <c r="E9704" s="16">
        <f>IFERROR(__xludf.DUMMYFUNCTION("""COMPUTED_VALUE"""),62.0)</f>
        <v>62</v>
      </c>
      <c r="F9704" s="19" t="str">
        <f>IFERROR(__xludf.DUMMYFUNCTION("""COMPUTED_VALUE"""),"BLUE")</f>
        <v>BLUE</v>
      </c>
      <c r="G9704" s="20" t="str">
        <f>IFERROR(__xludf.DUMMYFUNCTION("""COMPUTED_VALUE"""),"Uncle Sams Cider (04/04/2023)")</f>
        <v>Uncle Sams Cider (04/04/2023)</v>
      </c>
      <c r="H9704" s="19"/>
    </row>
    <row r="9705">
      <c r="A9705" s="9"/>
      <c r="B9705" s="15"/>
      <c r="C9705" s="9">
        <f>IFERROR(__xludf.DUMMYFUNCTION("""COMPUTED_VALUE"""),45042.1144724305)</f>
        <v>45042.11447</v>
      </c>
      <c r="D9705" s="15">
        <f>IFERROR(__xludf.DUMMYFUNCTION("""COMPUTED_VALUE"""),1.033)</f>
        <v>1.033</v>
      </c>
      <c r="E9705" s="16">
        <f>IFERROR(__xludf.DUMMYFUNCTION("""COMPUTED_VALUE"""),62.0)</f>
        <v>62</v>
      </c>
      <c r="F9705" s="19" t="str">
        <f>IFERROR(__xludf.DUMMYFUNCTION("""COMPUTED_VALUE"""),"BLUE")</f>
        <v>BLUE</v>
      </c>
      <c r="G9705" s="20" t="str">
        <f>IFERROR(__xludf.DUMMYFUNCTION("""COMPUTED_VALUE"""),"Uncle Sams Cider (04/04/2023)")</f>
        <v>Uncle Sams Cider (04/04/2023)</v>
      </c>
      <c r="H9705" s="19"/>
    </row>
    <row r="9706">
      <c r="A9706" s="9"/>
      <c r="B9706" s="15"/>
      <c r="C9706" s="9">
        <f>IFERROR(__xludf.DUMMYFUNCTION("""COMPUTED_VALUE"""),45042.104050162)</f>
        <v>45042.10405</v>
      </c>
      <c r="D9706" s="15">
        <f>IFERROR(__xludf.DUMMYFUNCTION("""COMPUTED_VALUE"""),1.033)</f>
        <v>1.033</v>
      </c>
      <c r="E9706" s="16">
        <f>IFERROR(__xludf.DUMMYFUNCTION("""COMPUTED_VALUE"""),62.0)</f>
        <v>62</v>
      </c>
      <c r="F9706" s="19" t="str">
        <f>IFERROR(__xludf.DUMMYFUNCTION("""COMPUTED_VALUE"""),"BLUE")</f>
        <v>BLUE</v>
      </c>
      <c r="G9706" s="20" t="str">
        <f>IFERROR(__xludf.DUMMYFUNCTION("""COMPUTED_VALUE"""),"Uncle Sams Cider (04/04/2023)")</f>
        <v>Uncle Sams Cider (04/04/2023)</v>
      </c>
      <c r="H9706" s="19"/>
    </row>
    <row r="9707">
      <c r="A9707" s="9"/>
      <c r="B9707" s="15"/>
      <c r="C9707" s="9">
        <f>IFERROR(__xludf.DUMMYFUNCTION("""COMPUTED_VALUE"""),45042.0936063888)</f>
        <v>45042.09361</v>
      </c>
      <c r="D9707" s="15">
        <f>IFERROR(__xludf.DUMMYFUNCTION("""COMPUTED_VALUE"""),1.033)</f>
        <v>1.033</v>
      </c>
      <c r="E9707" s="16">
        <f>IFERROR(__xludf.DUMMYFUNCTION("""COMPUTED_VALUE"""),62.0)</f>
        <v>62</v>
      </c>
      <c r="F9707" s="19" t="str">
        <f>IFERROR(__xludf.DUMMYFUNCTION("""COMPUTED_VALUE"""),"BLUE")</f>
        <v>BLUE</v>
      </c>
      <c r="G9707" s="20" t="str">
        <f>IFERROR(__xludf.DUMMYFUNCTION("""COMPUTED_VALUE"""),"Uncle Sams Cider (04/04/2023)")</f>
        <v>Uncle Sams Cider (04/04/2023)</v>
      </c>
      <c r="H9707" s="19"/>
    </row>
    <row r="9708">
      <c r="A9708" s="9"/>
      <c r="B9708" s="15"/>
      <c r="C9708" s="9">
        <f>IFERROR(__xludf.DUMMYFUNCTION("""COMPUTED_VALUE"""),45042.0831856134)</f>
        <v>45042.08319</v>
      </c>
      <c r="D9708" s="15">
        <f>IFERROR(__xludf.DUMMYFUNCTION("""COMPUTED_VALUE"""),1.033)</f>
        <v>1.033</v>
      </c>
      <c r="E9708" s="16">
        <f>IFERROR(__xludf.DUMMYFUNCTION("""COMPUTED_VALUE"""),62.0)</f>
        <v>62</v>
      </c>
      <c r="F9708" s="19" t="str">
        <f>IFERROR(__xludf.DUMMYFUNCTION("""COMPUTED_VALUE"""),"BLUE")</f>
        <v>BLUE</v>
      </c>
      <c r="G9708" s="20" t="str">
        <f>IFERROR(__xludf.DUMMYFUNCTION("""COMPUTED_VALUE"""),"Uncle Sams Cider (04/04/2023)")</f>
        <v>Uncle Sams Cider (04/04/2023)</v>
      </c>
      <c r="H9708" s="19"/>
    </row>
    <row r="9709">
      <c r="A9709" s="9"/>
      <c r="B9709" s="15"/>
      <c r="C9709" s="9">
        <f>IFERROR(__xludf.DUMMYFUNCTION("""COMPUTED_VALUE"""),45042.0727639583)</f>
        <v>45042.07276</v>
      </c>
      <c r="D9709" s="15">
        <f>IFERROR(__xludf.DUMMYFUNCTION("""COMPUTED_VALUE"""),1.033)</f>
        <v>1.033</v>
      </c>
      <c r="E9709" s="16">
        <f>IFERROR(__xludf.DUMMYFUNCTION("""COMPUTED_VALUE"""),62.0)</f>
        <v>62</v>
      </c>
      <c r="F9709" s="19" t="str">
        <f>IFERROR(__xludf.DUMMYFUNCTION("""COMPUTED_VALUE"""),"BLUE")</f>
        <v>BLUE</v>
      </c>
      <c r="G9709" s="20" t="str">
        <f>IFERROR(__xludf.DUMMYFUNCTION("""COMPUTED_VALUE"""),"Uncle Sams Cider (04/04/2023)")</f>
        <v>Uncle Sams Cider (04/04/2023)</v>
      </c>
      <c r="H9709" s="19"/>
    </row>
    <row r="9710">
      <c r="A9710" s="9"/>
      <c r="B9710" s="15"/>
      <c r="C9710" s="9">
        <f>IFERROR(__xludf.DUMMYFUNCTION("""COMPUTED_VALUE"""),45042.0623435763)</f>
        <v>45042.06234</v>
      </c>
      <c r="D9710" s="15">
        <f>IFERROR(__xludf.DUMMYFUNCTION("""COMPUTED_VALUE"""),1.033)</f>
        <v>1.033</v>
      </c>
      <c r="E9710" s="16">
        <f>IFERROR(__xludf.DUMMYFUNCTION("""COMPUTED_VALUE"""),62.0)</f>
        <v>62</v>
      </c>
      <c r="F9710" s="19" t="str">
        <f>IFERROR(__xludf.DUMMYFUNCTION("""COMPUTED_VALUE"""),"BLUE")</f>
        <v>BLUE</v>
      </c>
      <c r="G9710" s="20" t="str">
        <f>IFERROR(__xludf.DUMMYFUNCTION("""COMPUTED_VALUE"""),"Uncle Sams Cider (04/04/2023)")</f>
        <v>Uncle Sams Cider (04/04/2023)</v>
      </c>
      <c r="H9710" s="19"/>
    </row>
    <row r="9711">
      <c r="A9711" s="9"/>
      <c r="B9711" s="15"/>
      <c r="C9711" s="9">
        <f>IFERROR(__xludf.DUMMYFUNCTION("""COMPUTED_VALUE"""),45042.0519224652)</f>
        <v>45042.05192</v>
      </c>
      <c r="D9711" s="15">
        <f>IFERROR(__xludf.DUMMYFUNCTION("""COMPUTED_VALUE"""),1.033)</f>
        <v>1.033</v>
      </c>
      <c r="E9711" s="16">
        <f>IFERROR(__xludf.DUMMYFUNCTION("""COMPUTED_VALUE"""),62.0)</f>
        <v>62</v>
      </c>
      <c r="F9711" s="19" t="str">
        <f>IFERROR(__xludf.DUMMYFUNCTION("""COMPUTED_VALUE"""),"BLUE")</f>
        <v>BLUE</v>
      </c>
      <c r="G9711" s="20" t="str">
        <f>IFERROR(__xludf.DUMMYFUNCTION("""COMPUTED_VALUE"""),"Uncle Sams Cider (04/04/2023)")</f>
        <v>Uncle Sams Cider (04/04/2023)</v>
      </c>
      <c r="H9711" s="19"/>
    </row>
    <row r="9712">
      <c r="A9712" s="9"/>
      <c r="B9712" s="15"/>
      <c r="C9712" s="9">
        <f>IFERROR(__xludf.DUMMYFUNCTION("""COMPUTED_VALUE"""),45042.0415026851)</f>
        <v>45042.0415</v>
      </c>
      <c r="D9712" s="15">
        <f>IFERROR(__xludf.DUMMYFUNCTION("""COMPUTED_VALUE"""),1.033)</f>
        <v>1.033</v>
      </c>
      <c r="E9712" s="16">
        <f>IFERROR(__xludf.DUMMYFUNCTION("""COMPUTED_VALUE"""),62.0)</f>
        <v>62</v>
      </c>
      <c r="F9712" s="19" t="str">
        <f>IFERROR(__xludf.DUMMYFUNCTION("""COMPUTED_VALUE"""),"BLUE")</f>
        <v>BLUE</v>
      </c>
      <c r="G9712" s="20" t="str">
        <f>IFERROR(__xludf.DUMMYFUNCTION("""COMPUTED_VALUE"""),"Uncle Sams Cider (04/04/2023)")</f>
        <v>Uncle Sams Cider (04/04/2023)</v>
      </c>
      <c r="H9712" s="19"/>
    </row>
    <row r="9713">
      <c r="A9713" s="9"/>
      <c r="B9713" s="15"/>
      <c r="C9713" s="9">
        <f>IFERROR(__xludf.DUMMYFUNCTION("""COMPUTED_VALUE"""),45042.0310819328)</f>
        <v>45042.03108</v>
      </c>
      <c r="D9713" s="15">
        <f>IFERROR(__xludf.DUMMYFUNCTION("""COMPUTED_VALUE"""),1.033)</f>
        <v>1.033</v>
      </c>
      <c r="E9713" s="16">
        <f>IFERROR(__xludf.DUMMYFUNCTION("""COMPUTED_VALUE"""),62.0)</f>
        <v>62</v>
      </c>
      <c r="F9713" s="19" t="str">
        <f>IFERROR(__xludf.DUMMYFUNCTION("""COMPUTED_VALUE"""),"BLUE")</f>
        <v>BLUE</v>
      </c>
      <c r="G9713" s="20" t="str">
        <f>IFERROR(__xludf.DUMMYFUNCTION("""COMPUTED_VALUE"""),"Uncle Sams Cider (04/04/2023)")</f>
        <v>Uncle Sams Cider (04/04/2023)</v>
      </c>
      <c r="H9713" s="19"/>
    </row>
    <row r="9714">
      <c r="A9714" s="9"/>
      <c r="B9714" s="15"/>
      <c r="C9714" s="9">
        <f>IFERROR(__xludf.DUMMYFUNCTION("""COMPUTED_VALUE"""),45042.0206618171)</f>
        <v>45042.02066</v>
      </c>
      <c r="D9714" s="15">
        <f>IFERROR(__xludf.DUMMYFUNCTION("""COMPUTED_VALUE"""),1.033)</f>
        <v>1.033</v>
      </c>
      <c r="E9714" s="16">
        <f>IFERROR(__xludf.DUMMYFUNCTION("""COMPUTED_VALUE"""),62.0)</f>
        <v>62</v>
      </c>
      <c r="F9714" s="19" t="str">
        <f>IFERROR(__xludf.DUMMYFUNCTION("""COMPUTED_VALUE"""),"BLUE")</f>
        <v>BLUE</v>
      </c>
      <c r="G9714" s="20" t="str">
        <f>IFERROR(__xludf.DUMMYFUNCTION("""COMPUTED_VALUE"""),"Uncle Sams Cider (04/04/2023)")</f>
        <v>Uncle Sams Cider (04/04/2023)</v>
      </c>
      <c r="H9714" s="19"/>
    </row>
    <row r="9715">
      <c r="A9715" s="9"/>
      <c r="B9715" s="15"/>
      <c r="C9715" s="9">
        <f>IFERROR(__xludf.DUMMYFUNCTION("""COMPUTED_VALUE"""),45042.0102403472)</f>
        <v>45042.01024</v>
      </c>
      <c r="D9715" s="15">
        <f>IFERROR(__xludf.DUMMYFUNCTION("""COMPUTED_VALUE"""),1.033)</f>
        <v>1.033</v>
      </c>
      <c r="E9715" s="16">
        <f>IFERROR(__xludf.DUMMYFUNCTION("""COMPUTED_VALUE"""),62.0)</f>
        <v>62</v>
      </c>
      <c r="F9715" s="19" t="str">
        <f>IFERROR(__xludf.DUMMYFUNCTION("""COMPUTED_VALUE"""),"BLUE")</f>
        <v>BLUE</v>
      </c>
      <c r="G9715" s="20" t="str">
        <f>IFERROR(__xludf.DUMMYFUNCTION("""COMPUTED_VALUE"""),"Uncle Sams Cider (04/04/2023)")</f>
        <v>Uncle Sams Cider (04/04/2023)</v>
      </c>
      <c r="H9715" s="19"/>
    </row>
    <row r="9716">
      <c r="A9716" s="9"/>
      <c r="B9716" s="15"/>
      <c r="C9716" s="9">
        <f>IFERROR(__xludf.DUMMYFUNCTION("""COMPUTED_VALUE"""),45041.9998198611)</f>
        <v>45041.99982</v>
      </c>
      <c r="D9716" s="15">
        <f>IFERROR(__xludf.DUMMYFUNCTION("""COMPUTED_VALUE"""),1.033)</f>
        <v>1.033</v>
      </c>
      <c r="E9716" s="16">
        <f>IFERROR(__xludf.DUMMYFUNCTION("""COMPUTED_VALUE"""),62.0)</f>
        <v>62</v>
      </c>
      <c r="F9716" s="19" t="str">
        <f>IFERROR(__xludf.DUMMYFUNCTION("""COMPUTED_VALUE"""),"BLUE")</f>
        <v>BLUE</v>
      </c>
      <c r="G9716" s="20" t="str">
        <f>IFERROR(__xludf.DUMMYFUNCTION("""COMPUTED_VALUE"""),"Uncle Sams Cider (04/04/2023)")</f>
        <v>Uncle Sams Cider (04/04/2023)</v>
      </c>
      <c r="H9716" s="19"/>
    </row>
    <row r="9717">
      <c r="A9717" s="9"/>
      <c r="B9717" s="15"/>
      <c r="C9717" s="9">
        <f>IFERROR(__xludf.DUMMYFUNCTION("""COMPUTED_VALUE"""),45041.9893960069)</f>
        <v>45041.9894</v>
      </c>
      <c r="D9717" s="15">
        <f>IFERROR(__xludf.DUMMYFUNCTION("""COMPUTED_VALUE"""),1.033)</f>
        <v>1.033</v>
      </c>
      <c r="E9717" s="16">
        <f>IFERROR(__xludf.DUMMYFUNCTION("""COMPUTED_VALUE"""),62.0)</f>
        <v>62</v>
      </c>
      <c r="F9717" s="19" t="str">
        <f>IFERROR(__xludf.DUMMYFUNCTION("""COMPUTED_VALUE"""),"BLUE")</f>
        <v>BLUE</v>
      </c>
      <c r="G9717" s="20" t="str">
        <f>IFERROR(__xludf.DUMMYFUNCTION("""COMPUTED_VALUE"""),"Uncle Sams Cider (04/04/2023)")</f>
        <v>Uncle Sams Cider (04/04/2023)</v>
      </c>
      <c r="H9717" s="19"/>
    </row>
    <row r="9718">
      <c r="A9718" s="9"/>
      <c r="B9718" s="15"/>
      <c r="C9718" s="9">
        <f>IFERROR(__xludf.DUMMYFUNCTION("""COMPUTED_VALUE"""),45041.9789761458)</f>
        <v>45041.97898</v>
      </c>
      <c r="D9718" s="15">
        <f>IFERROR(__xludf.DUMMYFUNCTION("""COMPUTED_VALUE"""),1.033)</f>
        <v>1.033</v>
      </c>
      <c r="E9718" s="16">
        <f>IFERROR(__xludf.DUMMYFUNCTION("""COMPUTED_VALUE"""),62.0)</f>
        <v>62</v>
      </c>
      <c r="F9718" s="19" t="str">
        <f>IFERROR(__xludf.DUMMYFUNCTION("""COMPUTED_VALUE"""),"BLUE")</f>
        <v>BLUE</v>
      </c>
      <c r="G9718" s="20" t="str">
        <f>IFERROR(__xludf.DUMMYFUNCTION("""COMPUTED_VALUE"""),"Uncle Sams Cider (04/04/2023)")</f>
        <v>Uncle Sams Cider (04/04/2023)</v>
      </c>
      <c r="H9718" s="19"/>
    </row>
    <row r="9719">
      <c r="A9719" s="9"/>
      <c r="B9719" s="15"/>
      <c r="C9719" s="9">
        <f>IFERROR(__xludf.DUMMYFUNCTION("""COMPUTED_VALUE"""),45041.9685437615)</f>
        <v>45041.96854</v>
      </c>
      <c r="D9719" s="15">
        <f>IFERROR(__xludf.DUMMYFUNCTION("""COMPUTED_VALUE"""),1.033)</f>
        <v>1.033</v>
      </c>
      <c r="E9719" s="16">
        <f>IFERROR(__xludf.DUMMYFUNCTION("""COMPUTED_VALUE"""),62.0)</f>
        <v>62</v>
      </c>
      <c r="F9719" s="19" t="str">
        <f>IFERROR(__xludf.DUMMYFUNCTION("""COMPUTED_VALUE"""),"BLUE")</f>
        <v>BLUE</v>
      </c>
      <c r="G9719" s="20" t="str">
        <f>IFERROR(__xludf.DUMMYFUNCTION("""COMPUTED_VALUE"""),"Uncle Sams Cider (04/04/2023)")</f>
        <v>Uncle Sams Cider (04/04/2023)</v>
      </c>
      <c r="H9719" s="19"/>
    </row>
    <row r="9720">
      <c r="A9720" s="9"/>
      <c r="B9720" s="15"/>
      <c r="C9720" s="9">
        <f>IFERROR(__xludf.DUMMYFUNCTION("""COMPUTED_VALUE"""),45041.9581096643)</f>
        <v>45041.95811</v>
      </c>
      <c r="D9720" s="15">
        <f>IFERROR(__xludf.DUMMYFUNCTION("""COMPUTED_VALUE"""),1.033)</f>
        <v>1.033</v>
      </c>
      <c r="E9720" s="16">
        <f>IFERROR(__xludf.DUMMYFUNCTION("""COMPUTED_VALUE"""),62.0)</f>
        <v>62</v>
      </c>
      <c r="F9720" s="19" t="str">
        <f>IFERROR(__xludf.DUMMYFUNCTION("""COMPUTED_VALUE"""),"BLUE")</f>
        <v>BLUE</v>
      </c>
      <c r="G9720" s="20" t="str">
        <f>IFERROR(__xludf.DUMMYFUNCTION("""COMPUTED_VALUE"""),"Uncle Sams Cider (04/04/2023)")</f>
        <v>Uncle Sams Cider (04/04/2023)</v>
      </c>
      <c r="H9720" s="19"/>
    </row>
    <row r="9721">
      <c r="A9721" s="9"/>
      <c r="B9721" s="15"/>
      <c r="C9721" s="9">
        <f>IFERROR(__xludf.DUMMYFUNCTION("""COMPUTED_VALUE"""),45041.9476885763)</f>
        <v>45041.94769</v>
      </c>
      <c r="D9721" s="15">
        <f>IFERROR(__xludf.DUMMYFUNCTION("""COMPUTED_VALUE"""),1.033)</f>
        <v>1.033</v>
      </c>
      <c r="E9721" s="16">
        <f>IFERROR(__xludf.DUMMYFUNCTION("""COMPUTED_VALUE"""),62.0)</f>
        <v>62</v>
      </c>
      <c r="F9721" s="19" t="str">
        <f>IFERROR(__xludf.DUMMYFUNCTION("""COMPUTED_VALUE"""),"BLUE")</f>
        <v>BLUE</v>
      </c>
      <c r="G9721" s="20" t="str">
        <f>IFERROR(__xludf.DUMMYFUNCTION("""COMPUTED_VALUE"""),"Uncle Sams Cider (04/04/2023)")</f>
        <v>Uncle Sams Cider (04/04/2023)</v>
      </c>
      <c r="H9721" s="19"/>
    </row>
    <row r="9722">
      <c r="A9722" s="9"/>
      <c r="B9722" s="15"/>
      <c r="C9722" s="9">
        <f>IFERROR(__xludf.DUMMYFUNCTION("""COMPUTED_VALUE"""),45041.937266331)</f>
        <v>45041.93727</v>
      </c>
      <c r="D9722" s="15">
        <f>IFERROR(__xludf.DUMMYFUNCTION("""COMPUTED_VALUE"""),1.033)</f>
        <v>1.033</v>
      </c>
      <c r="E9722" s="16">
        <f>IFERROR(__xludf.DUMMYFUNCTION("""COMPUTED_VALUE"""),62.0)</f>
        <v>62</v>
      </c>
      <c r="F9722" s="19" t="str">
        <f>IFERROR(__xludf.DUMMYFUNCTION("""COMPUTED_VALUE"""),"BLUE")</f>
        <v>BLUE</v>
      </c>
      <c r="G9722" s="20" t="str">
        <f>IFERROR(__xludf.DUMMYFUNCTION("""COMPUTED_VALUE"""),"Uncle Sams Cider (04/04/2023)")</f>
        <v>Uncle Sams Cider (04/04/2023)</v>
      </c>
      <c r="H9722" s="19"/>
    </row>
    <row r="9723">
      <c r="A9723" s="9"/>
      <c r="B9723" s="15"/>
      <c r="C9723" s="9">
        <f>IFERROR(__xludf.DUMMYFUNCTION("""COMPUTED_VALUE"""),45041.9268445949)</f>
        <v>45041.92684</v>
      </c>
      <c r="D9723" s="15">
        <f>IFERROR(__xludf.DUMMYFUNCTION("""COMPUTED_VALUE"""),1.033)</f>
        <v>1.033</v>
      </c>
      <c r="E9723" s="16">
        <f>IFERROR(__xludf.DUMMYFUNCTION("""COMPUTED_VALUE"""),62.0)</f>
        <v>62</v>
      </c>
      <c r="F9723" s="19" t="str">
        <f>IFERROR(__xludf.DUMMYFUNCTION("""COMPUTED_VALUE"""),"BLUE")</f>
        <v>BLUE</v>
      </c>
      <c r="G9723" s="20" t="str">
        <f>IFERROR(__xludf.DUMMYFUNCTION("""COMPUTED_VALUE"""),"Uncle Sams Cider (04/04/2023)")</f>
        <v>Uncle Sams Cider (04/04/2023)</v>
      </c>
      <c r="H9723" s="19"/>
    </row>
    <row r="9724">
      <c r="A9724" s="9"/>
      <c r="B9724" s="15"/>
      <c r="C9724" s="9">
        <f>IFERROR(__xludf.DUMMYFUNCTION("""COMPUTED_VALUE"""),45041.9164241087)</f>
        <v>45041.91642</v>
      </c>
      <c r="D9724" s="15">
        <f>IFERROR(__xludf.DUMMYFUNCTION("""COMPUTED_VALUE"""),1.033)</f>
        <v>1.033</v>
      </c>
      <c r="E9724" s="16">
        <f>IFERROR(__xludf.DUMMYFUNCTION("""COMPUTED_VALUE"""),62.0)</f>
        <v>62</v>
      </c>
      <c r="F9724" s="19" t="str">
        <f>IFERROR(__xludf.DUMMYFUNCTION("""COMPUTED_VALUE"""),"BLUE")</f>
        <v>BLUE</v>
      </c>
      <c r="G9724" s="20" t="str">
        <f>IFERROR(__xludf.DUMMYFUNCTION("""COMPUTED_VALUE"""),"Uncle Sams Cider (04/04/2023)")</f>
        <v>Uncle Sams Cider (04/04/2023)</v>
      </c>
      <c r="H9724" s="19"/>
    </row>
    <row r="9725">
      <c r="A9725" s="9"/>
      <c r="B9725" s="15"/>
      <c r="C9725" s="9">
        <f>IFERROR(__xludf.DUMMYFUNCTION("""COMPUTED_VALUE"""),45041.9060025115)</f>
        <v>45041.906</v>
      </c>
      <c r="D9725" s="15">
        <f>IFERROR(__xludf.DUMMYFUNCTION("""COMPUTED_VALUE"""),1.033)</f>
        <v>1.033</v>
      </c>
      <c r="E9725" s="16">
        <f>IFERROR(__xludf.DUMMYFUNCTION("""COMPUTED_VALUE"""),62.0)</f>
        <v>62</v>
      </c>
      <c r="F9725" s="19" t="str">
        <f>IFERROR(__xludf.DUMMYFUNCTION("""COMPUTED_VALUE"""),"BLUE")</f>
        <v>BLUE</v>
      </c>
      <c r="G9725" s="20" t="str">
        <f>IFERROR(__xludf.DUMMYFUNCTION("""COMPUTED_VALUE"""),"Uncle Sams Cider (04/04/2023)")</f>
        <v>Uncle Sams Cider (04/04/2023)</v>
      </c>
      <c r="H9725" s="19"/>
    </row>
    <row r="9726">
      <c r="A9726" s="9"/>
      <c r="B9726" s="15"/>
      <c r="C9726" s="9">
        <f>IFERROR(__xludf.DUMMYFUNCTION("""COMPUTED_VALUE"""),45041.8955697569)</f>
        <v>45041.89557</v>
      </c>
      <c r="D9726" s="15">
        <f>IFERROR(__xludf.DUMMYFUNCTION("""COMPUTED_VALUE"""),1.033)</f>
        <v>1.033</v>
      </c>
      <c r="E9726" s="16">
        <f>IFERROR(__xludf.DUMMYFUNCTION("""COMPUTED_VALUE"""),62.0)</f>
        <v>62</v>
      </c>
      <c r="F9726" s="19" t="str">
        <f>IFERROR(__xludf.DUMMYFUNCTION("""COMPUTED_VALUE"""),"BLUE")</f>
        <v>BLUE</v>
      </c>
      <c r="G9726" s="20" t="str">
        <f>IFERROR(__xludf.DUMMYFUNCTION("""COMPUTED_VALUE"""),"Uncle Sams Cider (04/04/2023)")</f>
        <v>Uncle Sams Cider (04/04/2023)</v>
      </c>
      <c r="H9726" s="19"/>
    </row>
    <row r="9727">
      <c r="A9727" s="9"/>
      <c r="B9727" s="15"/>
      <c r="C9727" s="9">
        <f>IFERROR(__xludf.DUMMYFUNCTION("""COMPUTED_VALUE"""),45041.8851478703)</f>
        <v>45041.88515</v>
      </c>
      <c r="D9727" s="15">
        <f>IFERROR(__xludf.DUMMYFUNCTION("""COMPUTED_VALUE"""),1.033)</f>
        <v>1.033</v>
      </c>
      <c r="E9727" s="16">
        <f>IFERROR(__xludf.DUMMYFUNCTION("""COMPUTED_VALUE"""),62.0)</f>
        <v>62</v>
      </c>
      <c r="F9727" s="19" t="str">
        <f>IFERROR(__xludf.DUMMYFUNCTION("""COMPUTED_VALUE"""),"BLUE")</f>
        <v>BLUE</v>
      </c>
      <c r="G9727" s="20" t="str">
        <f>IFERROR(__xludf.DUMMYFUNCTION("""COMPUTED_VALUE"""),"Uncle Sams Cider (04/04/2023)")</f>
        <v>Uncle Sams Cider (04/04/2023)</v>
      </c>
      <c r="H9727" s="19"/>
    </row>
    <row r="9728">
      <c r="A9728" s="9"/>
      <c r="B9728" s="15"/>
      <c r="C9728" s="9">
        <f>IFERROR(__xludf.DUMMYFUNCTION("""COMPUTED_VALUE"""),45041.8747277314)</f>
        <v>45041.87473</v>
      </c>
      <c r="D9728" s="15">
        <f>IFERROR(__xludf.DUMMYFUNCTION("""COMPUTED_VALUE"""),1.033)</f>
        <v>1.033</v>
      </c>
      <c r="E9728" s="16">
        <f>IFERROR(__xludf.DUMMYFUNCTION("""COMPUTED_VALUE"""),62.0)</f>
        <v>62</v>
      </c>
      <c r="F9728" s="19" t="str">
        <f>IFERROR(__xludf.DUMMYFUNCTION("""COMPUTED_VALUE"""),"BLUE")</f>
        <v>BLUE</v>
      </c>
      <c r="G9728" s="20" t="str">
        <f>IFERROR(__xludf.DUMMYFUNCTION("""COMPUTED_VALUE"""),"Uncle Sams Cider (04/04/2023)")</f>
        <v>Uncle Sams Cider (04/04/2023)</v>
      </c>
      <c r="H9728" s="19"/>
    </row>
    <row r="9729">
      <c r="A9729" s="9"/>
      <c r="B9729" s="15"/>
      <c r="C9729" s="9">
        <f>IFERROR(__xludf.DUMMYFUNCTION("""COMPUTED_VALUE"""),45041.864305162)</f>
        <v>45041.86431</v>
      </c>
      <c r="D9729" s="15">
        <f>IFERROR(__xludf.DUMMYFUNCTION("""COMPUTED_VALUE"""),1.033)</f>
        <v>1.033</v>
      </c>
      <c r="E9729" s="16">
        <f>IFERROR(__xludf.DUMMYFUNCTION("""COMPUTED_VALUE"""),62.0)</f>
        <v>62</v>
      </c>
      <c r="F9729" s="19" t="str">
        <f>IFERROR(__xludf.DUMMYFUNCTION("""COMPUTED_VALUE"""),"BLUE")</f>
        <v>BLUE</v>
      </c>
      <c r="G9729" s="20" t="str">
        <f>IFERROR(__xludf.DUMMYFUNCTION("""COMPUTED_VALUE"""),"Uncle Sams Cider (04/04/2023)")</f>
        <v>Uncle Sams Cider (04/04/2023)</v>
      </c>
      <c r="H9729" s="19"/>
    </row>
    <row r="9730">
      <c r="A9730" s="9"/>
      <c r="B9730" s="15"/>
      <c r="C9730" s="9">
        <f>IFERROR(__xludf.DUMMYFUNCTION("""COMPUTED_VALUE"""),45041.8538739351)</f>
        <v>45041.85387</v>
      </c>
      <c r="D9730" s="15">
        <f>IFERROR(__xludf.DUMMYFUNCTION("""COMPUTED_VALUE"""),1.033)</f>
        <v>1.033</v>
      </c>
      <c r="E9730" s="16">
        <f>IFERROR(__xludf.DUMMYFUNCTION("""COMPUTED_VALUE"""),62.0)</f>
        <v>62</v>
      </c>
      <c r="F9730" s="19" t="str">
        <f>IFERROR(__xludf.DUMMYFUNCTION("""COMPUTED_VALUE"""),"BLUE")</f>
        <v>BLUE</v>
      </c>
      <c r="G9730" s="20" t="str">
        <f>IFERROR(__xludf.DUMMYFUNCTION("""COMPUTED_VALUE"""),"Uncle Sams Cider (04/04/2023)")</f>
        <v>Uncle Sams Cider (04/04/2023)</v>
      </c>
      <c r="H9730" s="19"/>
    </row>
    <row r="9731">
      <c r="A9731" s="9"/>
      <c r="B9731" s="15"/>
      <c r="C9731" s="9">
        <f>IFERROR(__xludf.DUMMYFUNCTION("""COMPUTED_VALUE"""),45041.8434530324)</f>
        <v>45041.84345</v>
      </c>
      <c r="D9731" s="15">
        <f>IFERROR(__xludf.DUMMYFUNCTION("""COMPUTED_VALUE"""),1.033)</f>
        <v>1.033</v>
      </c>
      <c r="E9731" s="16">
        <f>IFERROR(__xludf.DUMMYFUNCTION("""COMPUTED_VALUE"""),62.0)</f>
        <v>62</v>
      </c>
      <c r="F9731" s="19" t="str">
        <f>IFERROR(__xludf.DUMMYFUNCTION("""COMPUTED_VALUE"""),"BLUE")</f>
        <v>BLUE</v>
      </c>
      <c r="G9731" s="20" t="str">
        <f>IFERROR(__xludf.DUMMYFUNCTION("""COMPUTED_VALUE"""),"Uncle Sams Cider (04/04/2023)")</f>
        <v>Uncle Sams Cider (04/04/2023)</v>
      </c>
      <c r="H9731" s="19"/>
    </row>
    <row r="9732">
      <c r="A9732" s="9"/>
      <c r="B9732" s="15"/>
      <c r="C9732" s="9">
        <f>IFERROR(__xludf.DUMMYFUNCTION("""COMPUTED_VALUE"""),45041.8330310532)</f>
        <v>45041.83303</v>
      </c>
      <c r="D9732" s="15">
        <f>IFERROR(__xludf.DUMMYFUNCTION("""COMPUTED_VALUE"""),1.033)</f>
        <v>1.033</v>
      </c>
      <c r="E9732" s="16">
        <f>IFERROR(__xludf.DUMMYFUNCTION("""COMPUTED_VALUE"""),62.0)</f>
        <v>62</v>
      </c>
      <c r="F9732" s="19" t="str">
        <f>IFERROR(__xludf.DUMMYFUNCTION("""COMPUTED_VALUE"""),"BLUE")</f>
        <v>BLUE</v>
      </c>
      <c r="G9732" s="20" t="str">
        <f>IFERROR(__xludf.DUMMYFUNCTION("""COMPUTED_VALUE"""),"Uncle Sams Cider (04/04/2023)")</f>
        <v>Uncle Sams Cider (04/04/2023)</v>
      </c>
      <c r="H9732" s="19"/>
    </row>
    <row r="9733">
      <c r="A9733" s="9"/>
      <c r="B9733" s="15"/>
      <c r="C9733" s="9">
        <f>IFERROR(__xludf.DUMMYFUNCTION("""COMPUTED_VALUE"""),45041.8226100925)</f>
        <v>45041.82261</v>
      </c>
      <c r="D9733" s="15">
        <f>IFERROR(__xludf.DUMMYFUNCTION("""COMPUTED_VALUE"""),1.033)</f>
        <v>1.033</v>
      </c>
      <c r="E9733" s="16">
        <f>IFERROR(__xludf.DUMMYFUNCTION("""COMPUTED_VALUE"""),62.0)</f>
        <v>62</v>
      </c>
      <c r="F9733" s="19" t="str">
        <f>IFERROR(__xludf.DUMMYFUNCTION("""COMPUTED_VALUE"""),"BLUE")</f>
        <v>BLUE</v>
      </c>
      <c r="G9733" s="20" t="str">
        <f>IFERROR(__xludf.DUMMYFUNCTION("""COMPUTED_VALUE"""),"Uncle Sams Cider (04/04/2023)")</f>
        <v>Uncle Sams Cider (04/04/2023)</v>
      </c>
      <c r="H9733" s="19"/>
    </row>
    <row r="9734">
      <c r="A9734" s="9"/>
      <c r="B9734" s="15"/>
      <c r="C9734" s="9">
        <f>IFERROR(__xludf.DUMMYFUNCTION("""COMPUTED_VALUE"""),45041.8121892708)</f>
        <v>45041.81219</v>
      </c>
      <c r="D9734" s="15">
        <f>IFERROR(__xludf.DUMMYFUNCTION("""COMPUTED_VALUE"""),1.033)</f>
        <v>1.033</v>
      </c>
      <c r="E9734" s="16">
        <f>IFERROR(__xludf.DUMMYFUNCTION("""COMPUTED_VALUE"""),62.0)</f>
        <v>62</v>
      </c>
      <c r="F9734" s="19" t="str">
        <f>IFERROR(__xludf.DUMMYFUNCTION("""COMPUTED_VALUE"""),"BLUE")</f>
        <v>BLUE</v>
      </c>
      <c r="G9734" s="20" t="str">
        <f>IFERROR(__xludf.DUMMYFUNCTION("""COMPUTED_VALUE"""),"Uncle Sams Cider (04/04/2023)")</f>
        <v>Uncle Sams Cider (04/04/2023)</v>
      </c>
      <c r="H9734" s="19"/>
    </row>
    <row r="9735">
      <c r="A9735" s="9"/>
      <c r="B9735" s="15"/>
      <c r="C9735" s="9">
        <f>IFERROR(__xludf.DUMMYFUNCTION("""COMPUTED_VALUE"""),45041.8017701851)</f>
        <v>45041.80177</v>
      </c>
      <c r="D9735" s="15">
        <f>IFERROR(__xludf.DUMMYFUNCTION("""COMPUTED_VALUE"""),1.033)</f>
        <v>1.033</v>
      </c>
      <c r="E9735" s="16">
        <f>IFERROR(__xludf.DUMMYFUNCTION("""COMPUTED_VALUE"""),62.0)</f>
        <v>62</v>
      </c>
      <c r="F9735" s="19" t="str">
        <f>IFERROR(__xludf.DUMMYFUNCTION("""COMPUTED_VALUE"""),"BLUE")</f>
        <v>BLUE</v>
      </c>
      <c r="G9735" s="20" t="str">
        <f>IFERROR(__xludf.DUMMYFUNCTION("""COMPUTED_VALUE"""),"Uncle Sams Cider (04/04/2023)")</f>
        <v>Uncle Sams Cider (04/04/2023)</v>
      </c>
      <c r="H9735" s="19"/>
    </row>
    <row r="9736">
      <c r="A9736" s="9"/>
      <c r="B9736" s="15"/>
      <c r="C9736" s="9">
        <f>IFERROR(__xludf.DUMMYFUNCTION("""COMPUTED_VALUE"""),45041.7913489583)</f>
        <v>45041.79135</v>
      </c>
      <c r="D9736" s="15">
        <f>IFERROR(__xludf.DUMMYFUNCTION("""COMPUTED_VALUE"""),1.033)</f>
        <v>1.033</v>
      </c>
      <c r="E9736" s="16">
        <f>IFERROR(__xludf.DUMMYFUNCTION("""COMPUTED_VALUE"""),62.0)</f>
        <v>62</v>
      </c>
      <c r="F9736" s="19" t="str">
        <f>IFERROR(__xludf.DUMMYFUNCTION("""COMPUTED_VALUE"""),"BLUE")</f>
        <v>BLUE</v>
      </c>
      <c r="G9736" s="20" t="str">
        <f>IFERROR(__xludf.DUMMYFUNCTION("""COMPUTED_VALUE"""),"Uncle Sams Cider (04/04/2023)")</f>
        <v>Uncle Sams Cider (04/04/2023)</v>
      </c>
      <c r="H9736" s="19"/>
    </row>
    <row r="9737">
      <c r="A9737" s="9"/>
      <c r="B9737" s="15"/>
      <c r="C9737" s="9">
        <f>IFERROR(__xludf.DUMMYFUNCTION("""COMPUTED_VALUE"""),45041.7809267708)</f>
        <v>45041.78093</v>
      </c>
      <c r="D9737" s="15">
        <f>IFERROR(__xludf.DUMMYFUNCTION("""COMPUTED_VALUE"""),1.033)</f>
        <v>1.033</v>
      </c>
      <c r="E9737" s="16">
        <f>IFERROR(__xludf.DUMMYFUNCTION("""COMPUTED_VALUE"""),62.0)</f>
        <v>62</v>
      </c>
      <c r="F9737" s="19" t="str">
        <f>IFERROR(__xludf.DUMMYFUNCTION("""COMPUTED_VALUE"""),"BLUE")</f>
        <v>BLUE</v>
      </c>
      <c r="G9737" s="20" t="str">
        <f>IFERROR(__xludf.DUMMYFUNCTION("""COMPUTED_VALUE"""),"Uncle Sams Cider (04/04/2023)")</f>
        <v>Uncle Sams Cider (04/04/2023)</v>
      </c>
      <c r="H9737" s="19"/>
    </row>
    <row r="9738">
      <c r="A9738" s="9"/>
      <c r="B9738" s="15"/>
      <c r="C9738" s="9">
        <f>IFERROR(__xludf.DUMMYFUNCTION("""COMPUTED_VALUE"""),45041.770504456)</f>
        <v>45041.7705</v>
      </c>
      <c r="D9738" s="15">
        <f>IFERROR(__xludf.DUMMYFUNCTION("""COMPUTED_VALUE"""),1.033)</f>
        <v>1.033</v>
      </c>
      <c r="E9738" s="16">
        <f>IFERROR(__xludf.DUMMYFUNCTION("""COMPUTED_VALUE"""),62.0)</f>
        <v>62</v>
      </c>
      <c r="F9738" s="19" t="str">
        <f>IFERROR(__xludf.DUMMYFUNCTION("""COMPUTED_VALUE"""),"BLUE")</f>
        <v>BLUE</v>
      </c>
      <c r="G9738" s="20" t="str">
        <f>IFERROR(__xludf.DUMMYFUNCTION("""COMPUTED_VALUE"""),"Uncle Sams Cider (04/04/2023)")</f>
        <v>Uncle Sams Cider (04/04/2023)</v>
      </c>
      <c r="H9738" s="19"/>
    </row>
    <row r="9739">
      <c r="A9739" s="9"/>
      <c r="B9739" s="15"/>
      <c r="C9739" s="9">
        <f>IFERROR(__xludf.DUMMYFUNCTION("""COMPUTED_VALUE"""),45041.7600711574)</f>
        <v>45041.76007</v>
      </c>
      <c r="D9739" s="15">
        <f>IFERROR(__xludf.DUMMYFUNCTION("""COMPUTED_VALUE"""),1.033)</f>
        <v>1.033</v>
      </c>
      <c r="E9739" s="16">
        <f>IFERROR(__xludf.DUMMYFUNCTION("""COMPUTED_VALUE"""),62.0)</f>
        <v>62</v>
      </c>
      <c r="F9739" s="19" t="str">
        <f>IFERROR(__xludf.DUMMYFUNCTION("""COMPUTED_VALUE"""),"BLUE")</f>
        <v>BLUE</v>
      </c>
      <c r="G9739" s="20" t="str">
        <f>IFERROR(__xludf.DUMMYFUNCTION("""COMPUTED_VALUE"""),"Uncle Sams Cider (04/04/2023)")</f>
        <v>Uncle Sams Cider (04/04/2023)</v>
      </c>
      <c r="H9739" s="19"/>
    </row>
    <row r="9740">
      <c r="A9740" s="9"/>
      <c r="B9740" s="15"/>
      <c r="C9740" s="9">
        <f>IFERROR(__xludf.DUMMYFUNCTION("""COMPUTED_VALUE"""),45041.7496488888)</f>
        <v>45041.74965</v>
      </c>
      <c r="D9740" s="15">
        <f>IFERROR(__xludf.DUMMYFUNCTION("""COMPUTED_VALUE"""),1.033)</f>
        <v>1.033</v>
      </c>
      <c r="E9740" s="16">
        <f>IFERROR(__xludf.DUMMYFUNCTION("""COMPUTED_VALUE"""),62.0)</f>
        <v>62</v>
      </c>
      <c r="F9740" s="19" t="str">
        <f>IFERROR(__xludf.DUMMYFUNCTION("""COMPUTED_VALUE"""),"BLUE")</f>
        <v>BLUE</v>
      </c>
      <c r="G9740" s="20" t="str">
        <f>IFERROR(__xludf.DUMMYFUNCTION("""COMPUTED_VALUE"""),"Uncle Sams Cider (04/04/2023)")</f>
        <v>Uncle Sams Cider (04/04/2023)</v>
      </c>
      <c r="H9740" s="19"/>
    </row>
    <row r="9741">
      <c r="A9741" s="9"/>
      <c r="B9741" s="15"/>
      <c r="C9741" s="9">
        <f>IFERROR(__xludf.DUMMYFUNCTION("""COMPUTED_VALUE"""),45041.7392280902)</f>
        <v>45041.73923</v>
      </c>
      <c r="D9741" s="15">
        <f>IFERROR(__xludf.DUMMYFUNCTION("""COMPUTED_VALUE"""),1.033)</f>
        <v>1.033</v>
      </c>
      <c r="E9741" s="16">
        <f>IFERROR(__xludf.DUMMYFUNCTION("""COMPUTED_VALUE"""),62.0)</f>
        <v>62</v>
      </c>
      <c r="F9741" s="19" t="str">
        <f>IFERROR(__xludf.DUMMYFUNCTION("""COMPUTED_VALUE"""),"BLUE")</f>
        <v>BLUE</v>
      </c>
      <c r="G9741" s="20" t="str">
        <f>IFERROR(__xludf.DUMMYFUNCTION("""COMPUTED_VALUE"""),"Uncle Sams Cider (04/04/2023)")</f>
        <v>Uncle Sams Cider (04/04/2023)</v>
      </c>
      <c r="H9741" s="19"/>
    </row>
    <row r="9742">
      <c r="A9742" s="9"/>
      <c r="B9742" s="15"/>
      <c r="C9742" s="9">
        <f>IFERROR(__xludf.DUMMYFUNCTION("""COMPUTED_VALUE"""),45041.7288077777)</f>
        <v>45041.72881</v>
      </c>
      <c r="D9742" s="15">
        <f>IFERROR(__xludf.DUMMYFUNCTION("""COMPUTED_VALUE"""),1.033)</f>
        <v>1.033</v>
      </c>
      <c r="E9742" s="16">
        <f>IFERROR(__xludf.DUMMYFUNCTION("""COMPUTED_VALUE"""),62.0)</f>
        <v>62</v>
      </c>
      <c r="F9742" s="19" t="str">
        <f>IFERROR(__xludf.DUMMYFUNCTION("""COMPUTED_VALUE"""),"BLUE")</f>
        <v>BLUE</v>
      </c>
      <c r="G9742" s="20" t="str">
        <f>IFERROR(__xludf.DUMMYFUNCTION("""COMPUTED_VALUE"""),"Uncle Sams Cider (04/04/2023)")</f>
        <v>Uncle Sams Cider (04/04/2023)</v>
      </c>
      <c r="H9742" s="19"/>
    </row>
    <row r="9743">
      <c r="A9743" s="9"/>
      <c r="B9743" s="15"/>
      <c r="C9743" s="9">
        <f>IFERROR(__xludf.DUMMYFUNCTION("""COMPUTED_VALUE"""),45041.7183753356)</f>
        <v>45041.71838</v>
      </c>
      <c r="D9743" s="15">
        <f>IFERROR(__xludf.DUMMYFUNCTION("""COMPUTED_VALUE"""),1.033)</f>
        <v>1.033</v>
      </c>
      <c r="E9743" s="16">
        <f>IFERROR(__xludf.DUMMYFUNCTION("""COMPUTED_VALUE"""),62.0)</f>
        <v>62</v>
      </c>
      <c r="F9743" s="19" t="str">
        <f>IFERROR(__xludf.DUMMYFUNCTION("""COMPUTED_VALUE"""),"BLUE")</f>
        <v>BLUE</v>
      </c>
      <c r="G9743" s="20" t="str">
        <f>IFERROR(__xludf.DUMMYFUNCTION("""COMPUTED_VALUE"""),"Uncle Sams Cider (04/04/2023)")</f>
        <v>Uncle Sams Cider (04/04/2023)</v>
      </c>
      <c r="H9743" s="19"/>
    </row>
    <row r="9744">
      <c r="A9744" s="9"/>
      <c r="B9744" s="15"/>
      <c r="C9744" s="9">
        <f>IFERROR(__xludf.DUMMYFUNCTION("""COMPUTED_VALUE"""),45041.7079534953)</f>
        <v>45041.70795</v>
      </c>
      <c r="D9744" s="15">
        <f>IFERROR(__xludf.DUMMYFUNCTION("""COMPUTED_VALUE"""),1.033)</f>
        <v>1.033</v>
      </c>
      <c r="E9744" s="16">
        <f>IFERROR(__xludf.DUMMYFUNCTION("""COMPUTED_VALUE"""),62.0)</f>
        <v>62</v>
      </c>
      <c r="F9744" s="19" t="str">
        <f>IFERROR(__xludf.DUMMYFUNCTION("""COMPUTED_VALUE"""),"BLUE")</f>
        <v>BLUE</v>
      </c>
      <c r="G9744" s="20" t="str">
        <f>IFERROR(__xludf.DUMMYFUNCTION("""COMPUTED_VALUE"""),"Uncle Sams Cider (04/04/2023)")</f>
        <v>Uncle Sams Cider (04/04/2023)</v>
      </c>
      <c r="H9744" s="19"/>
    </row>
    <row r="9745">
      <c r="A9745" s="9"/>
      <c r="B9745" s="15"/>
      <c r="C9745" s="9">
        <f>IFERROR(__xludf.DUMMYFUNCTION("""COMPUTED_VALUE"""),45041.6975325925)</f>
        <v>45041.69753</v>
      </c>
      <c r="D9745" s="15">
        <f>IFERROR(__xludf.DUMMYFUNCTION("""COMPUTED_VALUE"""),1.033)</f>
        <v>1.033</v>
      </c>
      <c r="E9745" s="16">
        <f>IFERROR(__xludf.DUMMYFUNCTION("""COMPUTED_VALUE"""),62.0)</f>
        <v>62</v>
      </c>
      <c r="F9745" s="19" t="str">
        <f>IFERROR(__xludf.DUMMYFUNCTION("""COMPUTED_VALUE"""),"BLUE")</f>
        <v>BLUE</v>
      </c>
      <c r="G9745" s="20" t="str">
        <f>IFERROR(__xludf.DUMMYFUNCTION("""COMPUTED_VALUE"""),"Uncle Sams Cider (04/04/2023)")</f>
        <v>Uncle Sams Cider (04/04/2023)</v>
      </c>
      <c r="H9745" s="19"/>
    </row>
    <row r="9746">
      <c r="A9746" s="9"/>
      <c r="B9746" s="15"/>
      <c r="C9746" s="9">
        <f>IFERROR(__xludf.DUMMYFUNCTION("""COMPUTED_VALUE"""),45041.6871108912)</f>
        <v>45041.68711</v>
      </c>
      <c r="D9746" s="15">
        <f>IFERROR(__xludf.DUMMYFUNCTION("""COMPUTED_VALUE"""),1.033)</f>
        <v>1.033</v>
      </c>
      <c r="E9746" s="16">
        <f>IFERROR(__xludf.DUMMYFUNCTION("""COMPUTED_VALUE"""),62.0)</f>
        <v>62</v>
      </c>
      <c r="F9746" s="19" t="str">
        <f>IFERROR(__xludf.DUMMYFUNCTION("""COMPUTED_VALUE"""),"BLUE")</f>
        <v>BLUE</v>
      </c>
      <c r="G9746" s="20" t="str">
        <f>IFERROR(__xludf.DUMMYFUNCTION("""COMPUTED_VALUE"""),"Uncle Sams Cider (04/04/2023)")</f>
        <v>Uncle Sams Cider (04/04/2023)</v>
      </c>
      <c r="H9746" s="19"/>
    </row>
    <row r="9747">
      <c r="A9747" s="9"/>
      <c r="B9747" s="15"/>
      <c r="C9747" s="9">
        <f>IFERROR(__xludf.DUMMYFUNCTION("""COMPUTED_VALUE"""),45041.6766904745)</f>
        <v>45041.67669</v>
      </c>
      <c r="D9747" s="15">
        <f>IFERROR(__xludf.DUMMYFUNCTION("""COMPUTED_VALUE"""),1.033)</f>
        <v>1.033</v>
      </c>
      <c r="E9747" s="16">
        <f>IFERROR(__xludf.DUMMYFUNCTION("""COMPUTED_VALUE"""),62.0)</f>
        <v>62</v>
      </c>
      <c r="F9747" s="19" t="str">
        <f>IFERROR(__xludf.DUMMYFUNCTION("""COMPUTED_VALUE"""),"BLUE")</f>
        <v>BLUE</v>
      </c>
      <c r="G9747" s="20" t="str">
        <f>IFERROR(__xludf.DUMMYFUNCTION("""COMPUTED_VALUE"""),"Uncle Sams Cider (04/04/2023)")</f>
        <v>Uncle Sams Cider (04/04/2023)</v>
      </c>
      <c r="H9747" s="19"/>
    </row>
    <row r="9748">
      <c r="A9748" s="9"/>
      <c r="B9748" s="15"/>
      <c r="C9748" s="9">
        <f>IFERROR(__xludf.DUMMYFUNCTION("""COMPUTED_VALUE"""),45041.6662458796)</f>
        <v>45041.66625</v>
      </c>
      <c r="D9748" s="15">
        <f>IFERROR(__xludf.DUMMYFUNCTION("""COMPUTED_VALUE"""),1.033)</f>
        <v>1.033</v>
      </c>
      <c r="E9748" s="16">
        <f>IFERROR(__xludf.DUMMYFUNCTION("""COMPUTED_VALUE"""),62.0)</f>
        <v>62</v>
      </c>
      <c r="F9748" s="19" t="str">
        <f>IFERROR(__xludf.DUMMYFUNCTION("""COMPUTED_VALUE"""),"BLUE")</f>
        <v>BLUE</v>
      </c>
      <c r="G9748" s="20" t="str">
        <f>IFERROR(__xludf.DUMMYFUNCTION("""COMPUTED_VALUE"""),"Uncle Sams Cider (04/04/2023)")</f>
        <v>Uncle Sams Cider (04/04/2023)</v>
      </c>
      <c r="H9748" s="19"/>
    </row>
    <row r="9749">
      <c r="A9749" s="9"/>
      <c r="B9749" s="15"/>
      <c r="C9749" s="9">
        <f>IFERROR(__xludf.DUMMYFUNCTION("""COMPUTED_VALUE"""),45041.6558229861)</f>
        <v>45041.65582</v>
      </c>
      <c r="D9749" s="15">
        <f>IFERROR(__xludf.DUMMYFUNCTION("""COMPUTED_VALUE"""),1.033)</f>
        <v>1.033</v>
      </c>
      <c r="E9749" s="16">
        <f>IFERROR(__xludf.DUMMYFUNCTION("""COMPUTED_VALUE"""),62.0)</f>
        <v>62</v>
      </c>
      <c r="F9749" s="19" t="str">
        <f>IFERROR(__xludf.DUMMYFUNCTION("""COMPUTED_VALUE"""),"BLUE")</f>
        <v>BLUE</v>
      </c>
      <c r="G9749" s="20" t="str">
        <f>IFERROR(__xludf.DUMMYFUNCTION("""COMPUTED_VALUE"""),"Uncle Sams Cider (04/04/2023)")</f>
        <v>Uncle Sams Cider (04/04/2023)</v>
      </c>
      <c r="H9749" s="19"/>
    </row>
    <row r="9750">
      <c r="A9750" s="9"/>
      <c r="B9750" s="15"/>
      <c r="C9750" s="9">
        <f>IFERROR(__xludf.DUMMYFUNCTION("""COMPUTED_VALUE"""),45041.6454017129)</f>
        <v>45041.6454</v>
      </c>
      <c r="D9750" s="15">
        <f>IFERROR(__xludf.DUMMYFUNCTION("""COMPUTED_VALUE"""),1.034)</f>
        <v>1.034</v>
      </c>
      <c r="E9750" s="16">
        <f>IFERROR(__xludf.DUMMYFUNCTION("""COMPUTED_VALUE"""),62.0)</f>
        <v>62</v>
      </c>
      <c r="F9750" s="19" t="str">
        <f>IFERROR(__xludf.DUMMYFUNCTION("""COMPUTED_VALUE"""),"BLUE")</f>
        <v>BLUE</v>
      </c>
      <c r="G9750" s="20" t="str">
        <f>IFERROR(__xludf.DUMMYFUNCTION("""COMPUTED_VALUE"""),"Uncle Sams Cider (04/04/2023)")</f>
        <v>Uncle Sams Cider (04/04/2023)</v>
      </c>
      <c r="H9750" s="19"/>
    </row>
    <row r="9751">
      <c r="A9751" s="9"/>
      <c r="B9751" s="15"/>
      <c r="C9751" s="9">
        <f>IFERROR(__xludf.DUMMYFUNCTION("""COMPUTED_VALUE"""),45041.6349804398)</f>
        <v>45041.63498</v>
      </c>
      <c r="D9751" s="15">
        <f>IFERROR(__xludf.DUMMYFUNCTION("""COMPUTED_VALUE"""),1.033)</f>
        <v>1.033</v>
      </c>
      <c r="E9751" s="16">
        <f>IFERROR(__xludf.DUMMYFUNCTION("""COMPUTED_VALUE"""),62.0)</f>
        <v>62</v>
      </c>
      <c r="F9751" s="19" t="str">
        <f>IFERROR(__xludf.DUMMYFUNCTION("""COMPUTED_VALUE"""),"BLUE")</f>
        <v>BLUE</v>
      </c>
      <c r="G9751" s="20" t="str">
        <f>IFERROR(__xludf.DUMMYFUNCTION("""COMPUTED_VALUE"""),"Uncle Sams Cider (04/04/2023)")</f>
        <v>Uncle Sams Cider (04/04/2023)</v>
      </c>
      <c r="H9751" s="19"/>
    </row>
    <row r="9752">
      <c r="A9752" s="9"/>
      <c r="B9752" s="15"/>
      <c r="C9752" s="9">
        <f>IFERROR(__xludf.DUMMYFUNCTION("""COMPUTED_VALUE"""),45041.6245481134)</f>
        <v>45041.62455</v>
      </c>
      <c r="D9752" s="15">
        <f>IFERROR(__xludf.DUMMYFUNCTION("""COMPUTED_VALUE"""),1.033)</f>
        <v>1.033</v>
      </c>
      <c r="E9752" s="16">
        <f>IFERROR(__xludf.DUMMYFUNCTION("""COMPUTED_VALUE"""),62.0)</f>
        <v>62</v>
      </c>
      <c r="F9752" s="19" t="str">
        <f>IFERROR(__xludf.DUMMYFUNCTION("""COMPUTED_VALUE"""),"BLUE")</f>
        <v>BLUE</v>
      </c>
      <c r="G9752" s="20" t="str">
        <f>IFERROR(__xludf.DUMMYFUNCTION("""COMPUTED_VALUE"""),"Uncle Sams Cider (04/04/2023)")</f>
        <v>Uncle Sams Cider (04/04/2023)</v>
      </c>
      <c r="H9752" s="19"/>
    </row>
    <row r="9753">
      <c r="A9753" s="9"/>
      <c r="B9753" s="15"/>
      <c r="C9753" s="9">
        <f>IFERROR(__xludf.DUMMYFUNCTION("""COMPUTED_VALUE"""),45041.6141275231)</f>
        <v>45041.61413</v>
      </c>
      <c r="D9753" s="15">
        <f>IFERROR(__xludf.DUMMYFUNCTION("""COMPUTED_VALUE"""),1.033)</f>
        <v>1.033</v>
      </c>
      <c r="E9753" s="16">
        <f>IFERROR(__xludf.DUMMYFUNCTION("""COMPUTED_VALUE"""),62.0)</f>
        <v>62</v>
      </c>
      <c r="F9753" s="19" t="str">
        <f>IFERROR(__xludf.DUMMYFUNCTION("""COMPUTED_VALUE"""),"BLUE")</f>
        <v>BLUE</v>
      </c>
      <c r="G9753" s="20" t="str">
        <f>IFERROR(__xludf.DUMMYFUNCTION("""COMPUTED_VALUE"""),"Uncle Sams Cider (04/04/2023)")</f>
        <v>Uncle Sams Cider (04/04/2023)</v>
      </c>
      <c r="H9753" s="19"/>
    </row>
    <row r="9754">
      <c r="A9754" s="9"/>
      <c r="B9754" s="15"/>
      <c r="C9754" s="9">
        <f>IFERROR(__xludf.DUMMYFUNCTION("""COMPUTED_VALUE"""),45041.6037050578)</f>
        <v>45041.60371</v>
      </c>
      <c r="D9754" s="15">
        <f>IFERROR(__xludf.DUMMYFUNCTION("""COMPUTED_VALUE"""),1.033)</f>
        <v>1.033</v>
      </c>
      <c r="E9754" s="16">
        <f>IFERROR(__xludf.DUMMYFUNCTION("""COMPUTED_VALUE"""),62.0)</f>
        <v>62</v>
      </c>
      <c r="F9754" s="19" t="str">
        <f>IFERROR(__xludf.DUMMYFUNCTION("""COMPUTED_VALUE"""),"BLUE")</f>
        <v>BLUE</v>
      </c>
      <c r="G9754" s="20" t="str">
        <f>IFERROR(__xludf.DUMMYFUNCTION("""COMPUTED_VALUE"""),"Uncle Sams Cider (04/04/2023)")</f>
        <v>Uncle Sams Cider (04/04/2023)</v>
      </c>
      <c r="H9754" s="19"/>
    </row>
    <row r="9755">
      <c r="A9755" s="9"/>
      <c r="B9755" s="15"/>
      <c r="C9755" s="9">
        <f>IFERROR(__xludf.DUMMYFUNCTION("""COMPUTED_VALUE"""),45041.5932827893)</f>
        <v>45041.59328</v>
      </c>
      <c r="D9755" s="15">
        <f>IFERROR(__xludf.DUMMYFUNCTION("""COMPUTED_VALUE"""),1.034)</f>
        <v>1.034</v>
      </c>
      <c r="E9755" s="16">
        <f>IFERROR(__xludf.DUMMYFUNCTION("""COMPUTED_VALUE"""),62.0)</f>
        <v>62</v>
      </c>
      <c r="F9755" s="19" t="str">
        <f>IFERROR(__xludf.DUMMYFUNCTION("""COMPUTED_VALUE"""),"BLUE")</f>
        <v>BLUE</v>
      </c>
      <c r="G9755" s="20" t="str">
        <f>IFERROR(__xludf.DUMMYFUNCTION("""COMPUTED_VALUE"""),"Uncle Sams Cider (04/04/2023)")</f>
        <v>Uncle Sams Cider (04/04/2023)</v>
      </c>
      <c r="H9755" s="19"/>
    </row>
    <row r="9756">
      <c r="A9756" s="9"/>
      <c r="B9756" s="15"/>
      <c r="C9756" s="9">
        <f>IFERROR(__xludf.DUMMYFUNCTION("""COMPUTED_VALUE"""),45041.5828611921)</f>
        <v>45041.58286</v>
      </c>
      <c r="D9756" s="15">
        <f>IFERROR(__xludf.DUMMYFUNCTION("""COMPUTED_VALUE"""),1.033)</f>
        <v>1.033</v>
      </c>
      <c r="E9756" s="16">
        <f>IFERROR(__xludf.DUMMYFUNCTION("""COMPUTED_VALUE"""),62.0)</f>
        <v>62</v>
      </c>
      <c r="F9756" s="19" t="str">
        <f>IFERROR(__xludf.DUMMYFUNCTION("""COMPUTED_VALUE"""),"BLUE")</f>
        <v>BLUE</v>
      </c>
      <c r="G9756" s="20" t="str">
        <f>IFERROR(__xludf.DUMMYFUNCTION("""COMPUTED_VALUE"""),"Uncle Sams Cider (04/04/2023)")</f>
        <v>Uncle Sams Cider (04/04/2023)</v>
      </c>
      <c r="H9756" s="19"/>
    </row>
    <row r="9757">
      <c r="A9757" s="9"/>
      <c r="B9757" s="15"/>
      <c r="C9757" s="9">
        <f>IFERROR(__xludf.DUMMYFUNCTION("""COMPUTED_VALUE"""),45041.572429537)</f>
        <v>45041.57243</v>
      </c>
      <c r="D9757" s="15">
        <f>IFERROR(__xludf.DUMMYFUNCTION("""COMPUTED_VALUE"""),1.034)</f>
        <v>1.034</v>
      </c>
      <c r="E9757" s="16">
        <f>IFERROR(__xludf.DUMMYFUNCTION("""COMPUTED_VALUE"""),62.0)</f>
        <v>62</v>
      </c>
      <c r="F9757" s="19" t="str">
        <f>IFERROR(__xludf.DUMMYFUNCTION("""COMPUTED_VALUE"""),"BLUE")</f>
        <v>BLUE</v>
      </c>
      <c r="G9757" s="20" t="str">
        <f>IFERROR(__xludf.DUMMYFUNCTION("""COMPUTED_VALUE"""),"Uncle Sams Cider (04/04/2023)")</f>
        <v>Uncle Sams Cider (04/04/2023)</v>
      </c>
      <c r="H9757" s="19"/>
    </row>
    <row r="9758">
      <c r="A9758" s="9"/>
      <c r="B9758" s="15"/>
      <c r="C9758" s="9">
        <f>IFERROR(__xludf.DUMMYFUNCTION("""COMPUTED_VALUE"""),45041.5620087847)</f>
        <v>45041.56201</v>
      </c>
      <c r="D9758" s="15">
        <f>IFERROR(__xludf.DUMMYFUNCTION("""COMPUTED_VALUE"""),1.034)</f>
        <v>1.034</v>
      </c>
      <c r="E9758" s="16">
        <f>IFERROR(__xludf.DUMMYFUNCTION("""COMPUTED_VALUE"""),62.0)</f>
        <v>62</v>
      </c>
      <c r="F9758" s="19" t="str">
        <f>IFERROR(__xludf.DUMMYFUNCTION("""COMPUTED_VALUE"""),"BLUE")</f>
        <v>BLUE</v>
      </c>
      <c r="G9758" s="20" t="str">
        <f>IFERROR(__xludf.DUMMYFUNCTION("""COMPUTED_VALUE"""),"Uncle Sams Cider (04/04/2023)")</f>
        <v>Uncle Sams Cider (04/04/2023)</v>
      </c>
      <c r="H9758" s="19"/>
    </row>
    <row r="9759">
      <c r="A9759" s="9"/>
      <c r="B9759" s="15"/>
      <c r="C9759" s="9">
        <f>IFERROR(__xludf.DUMMYFUNCTION("""COMPUTED_VALUE"""),45041.5515772338)</f>
        <v>45041.55158</v>
      </c>
      <c r="D9759" s="15">
        <f>IFERROR(__xludf.DUMMYFUNCTION("""COMPUTED_VALUE"""),1.033)</f>
        <v>1.033</v>
      </c>
      <c r="E9759" s="16">
        <f>IFERROR(__xludf.DUMMYFUNCTION("""COMPUTED_VALUE"""),62.0)</f>
        <v>62</v>
      </c>
      <c r="F9759" s="19" t="str">
        <f>IFERROR(__xludf.DUMMYFUNCTION("""COMPUTED_VALUE"""),"BLUE")</f>
        <v>BLUE</v>
      </c>
      <c r="G9759" s="20" t="str">
        <f>IFERROR(__xludf.DUMMYFUNCTION("""COMPUTED_VALUE"""),"Uncle Sams Cider (04/04/2023)")</f>
        <v>Uncle Sams Cider (04/04/2023)</v>
      </c>
      <c r="H9759" s="19"/>
    </row>
    <row r="9760">
      <c r="A9760" s="9"/>
      <c r="B9760" s="15"/>
      <c r="C9760" s="9">
        <f>IFERROR(__xludf.DUMMYFUNCTION("""COMPUTED_VALUE"""),45041.5411568287)</f>
        <v>45041.54116</v>
      </c>
      <c r="D9760" s="15">
        <f>IFERROR(__xludf.DUMMYFUNCTION("""COMPUTED_VALUE"""),1.034)</f>
        <v>1.034</v>
      </c>
      <c r="E9760" s="16">
        <f>IFERROR(__xludf.DUMMYFUNCTION("""COMPUTED_VALUE"""),62.0)</f>
        <v>62</v>
      </c>
      <c r="F9760" s="19" t="str">
        <f>IFERROR(__xludf.DUMMYFUNCTION("""COMPUTED_VALUE"""),"BLUE")</f>
        <v>BLUE</v>
      </c>
      <c r="G9760" s="20" t="str">
        <f>IFERROR(__xludf.DUMMYFUNCTION("""COMPUTED_VALUE"""),"Uncle Sams Cider (04/04/2023)")</f>
        <v>Uncle Sams Cider (04/04/2023)</v>
      </c>
      <c r="H9760" s="19"/>
    </row>
    <row r="9761">
      <c r="A9761" s="9"/>
      <c r="B9761" s="15"/>
      <c r="C9761" s="9">
        <f>IFERROR(__xludf.DUMMYFUNCTION("""COMPUTED_VALUE"""),45041.5307355787)</f>
        <v>45041.53074</v>
      </c>
      <c r="D9761" s="15">
        <f>IFERROR(__xludf.DUMMYFUNCTION("""COMPUTED_VALUE"""),1.033)</f>
        <v>1.033</v>
      </c>
      <c r="E9761" s="16">
        <f>IFERROR(__xludf.DUMMYFUNCTION("""COMPUTED_VALUE"""),62.0)</f>
        <v>62</v>
      </c>
      <c r="F9761" s="19" t="str">
        <f>IFERROR(__xludf.DUMMYFUNCTION("""COMPUTED_VALUE"""),"BLUE")</f>
        <v>BLUE</v>
      </c>
      <c r="G9761" s="20" t="str">
        <f>IFERROR(__xludf.DUMMYFUNCTION("""COMPUTED_VALUE"""),"Uncle Sams Cider (04/04/2023)")</f>
        <v>Uncle Sams Cider (04/04/2023)</v>
      </c>
      <c r="H9761" s="19"/>
    </row>
    <row r="9762">
      <c r="A9762" s="9"/>
      <c r="B9762" s="15"/>
      <c r="C9762" s="9">
        <f>IFERROR(__xludf.DUMMYFUNCTION("""COMPUTED_VALUE"""),45041.5203030902)</f>
        <v>45041.5203</v>
      </c>
      <c r="D9762" s="15">
        <f>IFERROR(__xludf.DUMMYFUNCTION("""COMPUTED_VALUE"""),1.034)</f>
        <v>1.034</v>
      </c>
      <c r="E9762" s="16">
        <f>IFERROR(__xludf.DUMMYFUNCTION("""COMPUTED_VALUE"""),62.0)</f>
        <v>62</v>
      </c>
      <c r="F9762" s="19" t="str">
        <f>IFERROR(__xludf.DUMMYFUNCTION("""COMPUTED_VALUE"""),"BLUE")</f>
        <v>BLUE</v>
      </c>
      <c r="G9762" s="20" t="str">
        <f>IFERROR(__xludf.DUMMYFUNCTION("""COMPUTED_VALUE"""),"Uncle Sams Cider (04/04/2023)")</f>
        <v>Uncle Sams Cider (04/04/2023)</v>
      </c>
      <c r="H9762" s="19"/>
    </row>
    <row r="9763">
      <c r="A9763" s="9"/>
      <c r="B9763" s="15"/>
      <c r="C9763" s="9">
        <f>IFERROR(__xludf.DUMMYFUNCTION("""COMPUTED_VALUE"""),45041.5098816435)</f>
        <v>45041.50988</v>
      </c>
      <c r="D9763" s="15">
        <f>IFERROR(__xludf.DUMMYFUNCTION("""COMPUTED_VALUE"""),1.034)</f>
        <v>1.034</v>
      </c>
      <c r="E9763" s="16">
        <f>IFERROR(__xludf.DUMMYFUNCTION("""COMPUTED_VALUE"""),62.0)</f>
        <v>62</v>
      </c>
      <c r="F9763" s="19" t="str">
        <f>IFERROR(__xludf.DUMMYFUNCTION("""COMPUTED_VALUE"""),"BLUE")</f>
        <v>BLUE</v>
      </c>
      <c r="G9763" s="20" t="str">
        <f>IFERROR(__xludf.DUMMYFUNCTION("""COMPUTED_VALUE"""),"Uncle Sams Cider (04/04/2023)")</f>
        <v>Uncle Sams Cider (04/04/2023)</v>
      </c>
      <c r="H9763" s="19"/>
    </row>
    <row r="9764">
      <c r="A9764" s="9"/>
      <c r="B9764" s="15"/>
      <c r="C9764" s="9">
        <f>IFERROR(__xludf.DUMMYFUNCTION("""COMPUTED_VALUE"""),45041.4994610416)</f>
        <v>45041.49946</v>
      </c>
      <c r="D9764" s="15">
        <f>IFERROR(__xludf.DUMMYFUNCTION("""COMPUTED_VALUE"""),1.034)</f>
        <v>1.034</v>
      </c>
      <c r="E9764" s="16">
        <f>IFERROR(__xludf.DUMMYFUNCTION("""COMPUTED_VALUE"""),62.0)</f>
        <v>62</v>
      </c>
      <c r="F9764" s="19" t="str">
        <f>IFERROR(__xludf.DUMMYFUNCTION("""COMPUTED_VALUE"""),"BLUE")</f>
        <v>BLUE</v>
      </c>
      <c r="G9764" s="20" t="str">
        <f>IFERROR(__xludf.DUMMYFUNCTION("""COMPUTED_VALUE"""),"Uncle Sams Cider (04/04/2023)")</f>
        <v>Uncle Sams Cider (04/04/2023)</v>
      </c>
      <c r="H9764" s="19"/>
    </row>
    <row r="9765">
      <c r="A9765" s="9"/>
      <c r="B9765" s="15"/>
      <c r="C9765" s="9">
        <f>IFERROR(__xludf.DUMMYFUNCTION("""COMPUTED_VALUE"""),45041.48904103)</f>
        <v>45041.48904</v>
      </c>
      <c r="D9765" s="15">
        <f>IFERROR(__xludf.DUMMYFUNCTION("""COMPUTED_VALUE"""),1.034)</f>
        <v>1.034</v>
      </c>
      <c r="E9765" s="16">
        <f>IFERROR(__xludf.DUMMYFUNCTION("""COMPUTED_VALUE"""),62.0)</f>
        <v>62</v>
      </c>
      <c r="F9765" s="19" t="str">
        <f>IFERROR(__xludf.DUMMYFUNCTION("""COMPUTED_VALUE"""),"BLUE")</f>
        <v>BLUE</v>
      </c>
      <c r="G9765" s="20" t="str">
        <f>IFERROR(__xludf.DUMMYFUNCTION("""COMPUTED_VALUE"""),"Uncle Sams Cider (04/04/2023)")</f>
        <v>Uncle Sams Cider (04/04/2023)</v>
      </c>
      <c r="H9765" s="19"/>
    </row>
    <row r="9766">
      <c r="A9766" s="9"/>
      <c r="B9766" s="15"/>
      <c r="C9766" s="9">
        <f>IFERROR(__xludf.DUMMYFUNCTION("""COMPUTED_VALUE"""),45041.4786058333)</f>
        <v>45041.47861</v>
      </c>
      <c r="D9766" s="15">
        <f>IFERROR(__xludf.DUMMYFUNCTION("""COMPUTED_VALUE"""),1.034)</f>
        <v>1.034</v>
      </c>
      <c r="E9766" s="16">
        <f>IFERROR(__xludf.DUMMYFUNCTION("""COMPUTED_VALUE"""),62.0)</f>
        <v>62</v>
      </c>
      <c r="F9766" s="19" t="str">
        <f>IFERROR(__xludf.DUMMYFUNCTION("""COMPUTED_VALUE"""),"BLUE")</f>
        <v>BLUE</v>
      </c>
      <c r="G9766" s="20" t="str">
        <f>IFERROR(__xludf.DUMMYFUNCTION("""COMPUTED_VALUE"""),"Uncle Sams Cider (04/04/2023)")</f>
        <v>Uncle Sams Cider (04/04/2023)</v>
      </c>
      <c r="H9766" s="19"/>
    </row>
    <row r="9767">
      <c r="A9767" s="9"/>
      <c r="B9767" s="15"/>
      <c r="C9767" s="9">
        <f>IFERROR(__xludf.DUMMYFUNCTION("""COMPUTED_VALUE"""),45041.4681856018)</f>
        <v>45041.46819</v>
      </c>
      <c r="D9767" s="15">
        <f>IFERROR(__xludf.DUMMYFUNCTION("""COMPUTED_VALUE"""),1.034)</f>
        <v>1.034</v>
      </c>
      <c r="E9767" s="16">
        <f>IFERROR(__xludf.DUMMYFUNCTION("""COMPUTED_VALUE"""),62.0)</f>
        <v>62</v>
      </c>
      <c r="F9767" s="19" t="str">
        <f>IFERROR(__xludf.DUMMYFUNCTION("""COMPUTED_VALUE"""),"BLUE")</f>
        <v>BLUE</v>
      </c>
      <c r="G9767" s="20" t="str">
        <f>IFERROR(__xludf.DUMMYFUNCTION("""COMPUTED_VALUE"""),"Uncle Sams Cider (04/04/2023)")</f>
        <v>Uncle Sams Cider (04/04/2023)</v>
      </c>
      <c r="H9767" s="19"/>
    </row>
    <row r="9768">
      <c r="A9768" s="9"/>
      <c r="B9768" s="15"/>
      <c r="C9768" s="9">
        <f>IFERROR(__xludf.DUMMYFUNCTION("""COMPUTED_VALUE"""),45041.4577533564)</f>
        <v>45041.45775</v>
      </c>
      <c r="D9768" s="15">
        <f>IFERROR(__xludf.DUMMYFUNCTION("""COMPUTED_VALUE"""),1.034)</f>
        <v>1.034</v>
      </c>
      <c r="E9768" s="16">
        <f>IFERROR(__xludf.DUMMYFUNCTION("""COMPUTED_VALUE"""),62.0)</f>
        <v>62</v>
      </c>
      <c r="F9768" s="19" t="str">
        <f>IFERROR(__xludf.DUMMYFUNCTION("""COMPUTED_VALUE"""),"BLUE")</f>
        <v>BLUE</v>
      </c>
      <c r="G9768" s="20" t="str">
        <f>IFERROR(__xludf.DUMMYFUNCTION("""COMPUTED_VALUE"""),"Uncle Sams Cider (04/04/2023)")</f>
        <v>Uncle Sams Cider (04/04/2023)</v>
      </c>
      <c r="H9768" s="19"/>
    </row>
    <row r="9769">
      <c r="A9769" s="9"/>
      <c r="B9769" s="15"/>
      <c r="C9769" s="9">
        <f>IFERROR(__xludf.DUMMYFUNCTION("""COMPUTED_VALUE"""),45041.4473328819)</f>
        <v>45041.44733</v>
      </c>
      <c r="D9769" s="15">
        <f>IFERROR(__xludf.DUMMYFUNCTION("""COMPUTED_VALUE"""),1.034)</f>
        <v>1.034</v>
      </c>
      <c r="E9769" s="16">
        <f>IFERROR(__xludf.DUMMYFUNCTION("""COMPUTED_VALUE"""),62.0)</f>
        <v>62</v>
      </c>
      <c r="F9769" s="19" t="str">
        <f>IFERROR(__xludf.DUMMYFUNCTION("""COMPUTED_VALUE"""),"BLUE")</f>
        <v>BLUE</v>
      </c>
      <c r="G9769" s="20" t="str">
        <f>IFERROR(__xludf.DUMMYFUNCTION("""COMPUTED_VALUE"""),"Uncle Sams Cider (04/04/2023)")</f>
        <v>Uncle Sams Cider (04/04/2023)</v>
      </c>
      <c r="H9769" s="19"/>
    </row>
    <row r="9770">
      <c r="A9770" s="9"/>
      <c r="B9770" s="15"/>
      <c r="C9770" s="9">
        <f>IFERROR(__xludf.DUMMYFUNCTION("""COMPUTED_VALUE"""),45041.4369003935)</f>
        <v>45041.4369</v>
      </c>
      <c r="D9770" s="15">
        <f>IFERROR(__xludf.DUMMYFUNCTION("""COMPUTED_VALUE"""),1.034)</f>
        <v>1.034</v>
      </c>
      <c r="E9770" s="16">
        <f>IFERROR(__xludf.DUMMYFUNCTION("""COMPUTED_VALUE"""),62.0)</f>
        <v>62</v>
      </c>
      <c r="F9770" s="19" t="str">
        <f>IFERROR(__xludf.DUMMYFUNCTION("""COMPUTED_VALUE"""),"BLUE")</f>
        <v>BLUE</v>
      </c>
      <c r="G9770" s="20" t="str">
        <f>IFERROR(__xludf.DUMMYFUNCTION("""COMPUTED_VALUE"""),"Uncle Sams Cider (04/04/2023)")</f>
        <v>Uncle Sams Cider (04/04/2023)</v>
      </c>
      <c r="H9770" s="19"/>
    </row>
    <row r="9771">
      <c r="A9771" s="9"/>
      <c r="B9771" s="15"/>
      <c r="C9771" s="9">
        <f>IFERROR(__xludf.DUMMYFUNCTION("""COMPUTED_VALUE"""),45041.4264678356)</f>
        <v>45041.42647</v>
      </c>
      <c r="D9771" s="15">
        <f>IFERROR(__xludf.DUMMYFUNCTION("""COMPUTED_VALUE"""),1.034)</f>
        <v>1.034</v>
      </c>
      <c r="E9771" s="16">
        <f>IFERROR(__xludf.DUMMYFUNCTION("""COMPUTED_VALUE"""),62.0)</f>
        <v>62</v>
      </c>
      <c r="F9771" s="19" t="str">
        <f>IFERROR(__xludf.DUMMYFUNCTION("""COMPUTED_VALUE"""),"BLUE")</f>
        <v>BLUE</v>
      </c>
      <c r="G9771" s="20" t="str">
        <f>IFERROR(__xludf.DUMMYFUNCTION("""COMPUTED_VALUE"""),"Uncle Sams Cider (04/04/2023)")</f>
        <v>Uncle Sams Cider (04/04/2023)</v>
      </c>
      <c r="H9771" s="19"/>
    </row>
    <row r="9772">
      <c r="A9772" s="9"/>
      <c r="B9772" s="15"/>
      <c r="C9772" s="9">
        <f>IFERROR(__xludf.DUMMYFUNCTION("""COMPUTED_VALUE"""),45041.4160461458)</f>
        <v>45041.41605</v>
      </c>
      <c r="D9772" s="15">
        <f>IFERROR(__xludf.DUMMYFUNCTION("""COMPUTED_VALUE"""),1.034)</f>
        <v>1.034</v>
      </c>
      <c r="E9772" s="16">
        <f>IFERROR(__xludf.DUMMYFUNCTION("""COMPUTED_VALUE"""),62.0)</f>
        <v>62</v>
      </c>
      <c r="F9772" s="19" t="str">
        <f>IFERROR(__xludf.DUMMYFUNCTION("""COMPUTED_VALUE"""),"BLUE")</f>
        <v>BLUE</v>
      </c>
      <c r="G9772" s="20" t="str">
        <f>IFERROR(__xludf.DUMMYFUNCTION("""COMPUTED_VALUE"""),"Uncle Sams Cider (04/04/2023)")</f>
        <v>Uncle Sams Cider (04/04/2023)</v>
      </c>
      <c r="H9772" s="19"/>
    </row>
    <row r="9773">
      <c r="A9773" s="9"/>
      <c r="B9773" s="15"/>
      <c r="C9773" s="9">
        <f>IFERROR(__xludf.DUMMYFUNCTION("""COMPUTED_VALUE"""),45041.4056262037)</f>
        <v>45041.40563</v>
      </c>
      <c r="D9773" s="15">
        <f>IFERROR(__xludf.DUMMYFUNCTION("""COMPUTED_VALUE"""),1.034)</f>
        <v>1.034</v>
      </c>
      <c r="E9773" s="16">
        <f>IFERROR(__xludf.DUMMYFUNCTION("""COMPUTED_VALUE"""),62.0)</f>
        <v>62</v>
      </c>
      <c r="F9773" s="19" t="str">
        <f>IFERROR(__xludf.DUMMYFUNCTION("""COMPUTED_VALUE"""),"BLUE")</f>
        <v>BLUE</v>
      </c>
      <c r="G9773" s="20" t="str">
        <f>IFERROR(__xludf.DUMMYFUNCTION("""COMPUTED_VALUE"""),"Uncle Sams Cider (04/04/2023)")</f>
        <v>Uncle Sams Cider (04/04/2023)</v>
      </c>
      <c r="H9773" s="19"/>
    </row>
    <row r="9774">
      <c r="A9774" s="9"/>
      <c r="B9774" s="15"/>
      <c r="C9774" s="9">
        <f>IFERROR(__xludf.DUMMYFUNCTION("""COMPUTED_VALUE"""),45041.3952037962)</f>
        <v>45041.3952</v>
      </c>
      <c r="D9774" s="15">
        <f>IFERROR(__xludf.DUMMYFUNCTION("""COMPUTED_VALUE"""),1.034)</f>
        <v>1.034</v>
      </c>
      <c r="E9774" s="16">
        <f>IFERROR(__xludf.DUMMYFUNCTION("""COMPUTED_VALUE"""),62.0)</f>
        <v>62</v>
      </c>
      <c r="F9774" s="19" t="str">
        <f>IFERROR(__xludf.DUMMYFUNCTION("""COMPUTED_VALUE"""),"BLUE")</f>
        <v>BLUE</v>
      </c>
      <c r="G9774" s="20" t="str">
        <f>IFERROR(__xludf.DUMMYFUNCTION("""COMPUTED_VALUE"""),"Uncle Sams Cider (04/04/2023)")</f>
        <v>Uncle Sams Cider (04/04/2023)</v>
      </c>
      <c r="H9774" s="19"/>
    </row>
    <row r="9775">
      <c r="A9775" s="9"/>
      <c r="B9775" s="15"/>
      <c r="C9775" s="9">
        <f>IFERROR(__xludf.DUMMYFUNCTION("""COMPUTED_VALUE"""),45041.3847836574)</f>
        <v>45041.38478</v>
      </c>
      <c r="D9775" s="15">
        <f>IFERROR(__xludf.DUMMYFUNCTION("""COMPUTED_VALUE"""),1.034)</f>
        <v>1.034</v>
      </c>
      <c r="E9775" s="16">
        <f>IFERROR(__xludf.DUMMYFUNCTION("""COMPUTED_VALUE"""),62.0)</f>
        <v>62</v>
      </c>
      <c r="F9775" s="19" t="str">
        <f>IFERROR(__xludf.DUMMYFUNCTION("""COMPUTED_VALUE"""),"BLUE")</f>
        <v>BLUE</v>
      </c>
      <c r="G9775" s="20" t="str">
        <f>IFERROR(__xludf.DUMMYFUNCTION("""COMPUTED_VALUE"""),"Uncle Sams Cider (04/04/2023)")</f>
        <v>Uncle Sams Cider (04/04/2023)</v>
      </c>
      <c r="H9775" s="19"/>
    </row>
    <row r="9776">
      <c r="A9776" s="9"/>
      <c r="B9776" s="15"/>
      <c r="C9776" s="9">
        <f>IFERROR(__xludf.DUMMYFUNCTION("""COMPUTED_VALUE"""),45041.3743511226)</f>
        <v>45041.37435</v>
      </c>
      <c r="D9776" s="15">
        <f>IFERROR(__xludf.DUMMYFUNCTION("""COMPUTED_VALUE"""),1.034)</f>
        <v>1.034</v>
      </c>
      <c r="E9776" s="16">
        <f>IFERROR(__xludf.DUMMYFUNCTION("""COMPUTED_VALUE"""),63.0)</f>
        <v>63</v>
      </c>
      <c r="F9776" s="19" t="str">
        <f>IFERROR(__xludf.DUMMYFUNCTION("""COMPUTED_VALUE"""),"BLUE")</f>
        <v>BLUE</v>
      </c>
      <c r="G9776" s="20" t="str">
        <f>IFERROR(__xludf.DUMMYFUNCTION("""COMPUTED_VALUE"""),"Uncle Sams Cider (04/04/2023)")</f>
        <v>Uncle Sams Cider (04/04/2023)</v>
      </c>
      <c r="H9776" s="19"/>
    </row>
    <row r="9777">
      <c r="A9777" s="9"/>
      <c r="B9777" s="15"/>
      <c r="C9777" s="9">
        <f>IFERROR(__xludf.DUMMYFUNCTION("""COMPUTED_VALUE"""),45041.363928449)</f>
        <v>45041.36393</v>
      </c>
      <c r="D9777" s="15">
        <f>IFERROR(__xludf.DUMMYFUNCTION("""COMPUTED_VALUE"""),1.034)</f>
        <v>1.034</v>
      </c>
      <c r="E9777" s="16">
        <f>IFERROR(__xludf.DUMMYFUNCTION("""COMPUTED_VALUE"""),62.0)</f>
        <v>62</v>
      </c>
      <c r="F9777" s="19" t="str">
        <f>IFERROR(__xludf.DUMMYFUNCTION("""COMPUTED_VALUE"""),"BLUE")</f>
        <v>BLUE</v>
      </c>
      <c r="G9777" s="20" t="str">
        <f>IFERROR(__xludf.DUMMYFUNCTION("""COMPUTED_VALUE"""),"Uncle Sams Cider (04/04/2023)")</f>
        <v>Uncle Sams Cider (04/04/2023)</v>
      </c>
      <c r="H9777" s="19"/>
    </row>
    <row r="9778">
      <c r="A9778" s="9"/>
      <c r="B9778" s="15"/>
      <c r="C9778" s="9">
        <f>IFERROR(__xludf.DUMMYFUNCTION("""COMPUTED_VALUE"""),45041.353506493)</f>
        <v>45041.35351</v>
      </c>
      <c r="D9778" s="15">
        <f>IFERROR(__xludf.DUMMYFUNCTION("""COMPUTED_VALUE"""),1.034)</f>
        <v>1.034</v>
      </c>
      <c r="E9778" s="16">
        <f>IFERROR(__xludf.DUMMYFUNCTION("""COMPUTED_VALUE"""),62.0)</f>
        <v>62</v>
      </c>
      <c r="F9778" s="19" t="str">
        <f>IFERROR(__xludf.DUMMYFUNCTION("""COMPUTED_VALUE"""),"BLUE")</f>
        <v>BLUE</v>
      </c>
      <c r="G9778" s="20" t="str">
        <f>IFERROR(__xludf.DUMMYFUNCTION("""COMPUTED_VALUE"""),"Uncle Sams Cider (04/04/2023)")</f>
        <v>Uncle Sams Cider (04/04/2023)</v>
      </c>
      <c r="H9778" s="19"/>
    </row>
    <row r="9779">
      <c r="A9779" s="9"/>
      <c r="B9779" s="15"/>
      <c r="C9779" s="9">
        <f>IFERROR(__xludf.DUMMYFUNCTION("""COMPUTED_VALUE"""),45041.3430860069)</f>
        <v>45041.34309</v>
      </c>
      <c r="D9779" s="15">
        <f>IFERROR(__xludf.DUMMYFUNCTION("""COMPUTED_VALUE"""),1.034)</f>
        <v>1.034</v>
      </c>
      <c r="E9779" s="16">
        <f>IFERROR(__xludf.DUMMYFUNCTION("""COMPUTED_VALUE"""),62.0)</f>
        <v>62</v>
      </c>
      <c r="F9779" s="19" t="str">
        <f>IFERROR(__xludf.DUMMYFUNCTION("""COMPUTED_VALUE"""),"BLUE")</f>
        <v>BLUE</v>
      </c>
      <c r="G9779" s="20" t="str">
        <f>IFERROR(__xludf.DUMMYFUNCTION("""COMPUTED_VALUE"""),"Uncle Sams Cider (04/04/2023)")</f>
        <v>Uncle Sams Cider (04/04/2023)</v>
      </c>
      <c r="H9779" s="19"/>
    </row>
    <row r="9780">
      <c r="A9780" s="9"/>
      <c r="B9780" s="15"/>
      <c r="C9780" s="9">
        <f>IFERROR(__xludf.DUMMYFUNCTION("""COMPUTED_VALUE"""),45041.3326627199)</f>
        <v>45041.33266</v>
      </c>
      <c r="D9780" s="15">
        <f>IFERROR(__xludf.DUMMYFUNCTION("""COMPUTED_VALUE"""),1.034)</f>
        <v>1.034</v>
      </c>
      <c r="E9780" s="16">
        <f>IFERROR(__xludf.DUMMYFUNCTION("""COMPUTED_VALUE"""),63.0)</f>
        <v>63</v>
      </c>
      <c r="F9780" s="19" t="str">
        <f>IFERROR(__xludf.DUMMYFUNCTION("""COMPUTED_VALUE"""),"BLUE")</f>
        <v>BLUE</v>
      </c>
      <c r="G9780" s="20" t="str">
        <f>IFERROR(__xludf.DUMMYFUNCTION("""COMPUTED_VALUE"""),"Uncle Sams Cider (04/04/2023)")</f>
        <v>Uncle Sams Cider (04/04/2023)</v>
      </c>
      <c r="H9780" s="19"/>
    </row>
    <row r="9781">
      <c r="A9781" s="9"/>
      <c r="B9781" s="15"/>
      <c r="C9781" s="9">
        <f>IFERROR(__xludf.DUMMYFUNCTION("""COMPUTED_VALUE"""),45041.3222422222)</f>
        <v>45041.32224</v>
      </c>
      <c r="D9781" s="15">
        <f>IFERROR(__xludf.DUMMYFUNCTION("""COMPUTED_VALUE"""),1.034)</f>
        <v>1.034</v>
      </c>
      <c r="E9781" s="16">
        <f>IFERROR(__xludf.DUMMYFUNCTION("""COMPUTED_VALUE"""),63.0)</f>
        <v>63</v>
      </c>
      <c r="F9781" s="19" t="str">
        <f>IFERROR(__xludf.DUMMYFUNCTION("""COMPUTED_VALUE"""),"BLUE")</f>
        <v>BLUE</v>
      </c>
      <c r="G9781" s="20" t="str">
        <f>IFERROR(__xludf.DUMMYFUNCTION("""COMPUTED_VALUE"""),"Uncle Sams Cider (04/04/2023)")</f>
        <v>Uncle Sams Cider (04/04/2023)</v>
      </c>
      <c r="H9781" s="19"/>
    </row>
    <row r="9782">
      <c r="A9782" s="9"/>
      <c r="B9782" s="15"/>
      <c r="C9782" s="9">
        <f>IFERROR(__xludf.DUMMYFUNCTION("""COMPUTED_VALUE"""),45041.3118212037)</f>
        <v>45041.31182</v>
      </c>
      <c r="D9782" s="15">
        <f>IFERROR(__xludf.DUMMYFUNCTION("""COMPUTED_VALUE"""),1.034)</f>
        <v>1.034</v>
      </c>
      <c r="E9782" s="16">
        <f>IFERROR(__xludf.DUMMYFUNCTION("""COMPUTED_VALUE"""),63.0)</f>
        <v>63</v>
      </c>
      <c r="F9782" s="19" t="str">
        <f>IFERROR(__xludf.DUMMYFUNCTION("""COMPUTED_VALUE"""),"BLUE")</f>
        <v>BLUE</v>
      </c>
      <c r="G9782" s="20" t="str">
        <f>IFERROR(__xludf.DUMMYFUNCTION("""COMPUTED_VALUE"""),"Uncle Sams Cider (04/04/2023)")</f>
        <v>Uncle Sams Cider (04/04/2023)</v>
      </c>
      <c r="H9782" s="19"/>
    </row>
    <row r="9783">
      <c r="A9783" s="9"/>
      <c r="B9783" s="15"/>
      <c r="C9783" s="9">
        <f>IFERROR(__xludf.DUMMYFUNCTION("""COMPUTED_VALUE"""),45041.3013985995)</f>
        <v>45041.3014</v>
      </c>
      <c r="D9783" s="15">
        <f>IFERROR(__xludf.DUMMYFUNCTION("""COMPUTED_VALUE"""),1.034)</f>
        <v>1.034</v>
      </c>
      <c r="E9783" s="16">
        <f>IFERROR(__xludf.DUMMYFUNCTION("""COMPUTED_VALUE"""),63.0)</f>
        <v>63</v>
      </c>
      <c r="F9783" s="19" t="str">
        <f>IFERROR(__xludf.DUMMYFUNCTION("""COMPUTED_VALUE"""),"BLUE")</f>
        <v>BLUE</v>
      </c>
      <c r="G9783" s="20" t="str">
        <f>IFERROR(__xludf.DUMMYFUNCTION("""COMPUTED_VALUE"""),"Uncle Sams Cider (04/04/2023)")</f>
        <v>Uncle Sams Cider (04/04/2023)</v>
      </c>
      <c r="H9783" s="19"/>
    </row>
    <row r="9784">
      <c r="A9784" s="9"/>
      <c r="B9784" s="15"/>
      <c r="C9784" s="9">
        <f>IFERROR(__xludf.DUMMYFUNCTION("""COMPUTED_VALUE"""),45041.2909765856)</f>
        <v>45041.29098</v>
      </c>
      <c r="D9784" s="15">
        <f>IFERROR(__xludf.DUMMYFUNCTION("""COMPUTED_VALUE"""),1.034)</f>
        <v>1.034</v>
      </c>
      <c r="E9784" s="16">
        <f>IFERROR(__xludf.DUMMYFUNCTION("""COMPUTED_VALUE"""),63.0)</f>
        <v>63</v>
      </c>
      <c r="F9784" s="19" t="str">
        <f>IFERROR(__xludf.DUMMYFUNCTION("""COMPUTED_VALUE"""),"BLUE")</f>
        <v>BLUE</v>
      </c>
      <c r="G9784" s="20" t="str">
        <f>IFERROR(__xludf.DUMMYFUNCTION("""COMPUTED_VALUE"""),"Uncle Sams Cider (04/04/2023)")</f>
        <v>Uncle Sams Cider (04/04/2023)</v>
      </c>
      <c r="H9784" s="19"/>
    </row>
    <row r="9785">
      <c r="A9785" s="9"/>
      <c r="B9785" s="15"/>
      <c r="C9785" s="9">
        <f>IFERROR(__xludf.DUMMYFUNCTION("""COMPUTED_VALUE"""),45041.280554699)</f>
        <v>45041.28055</v>
      </c>
      <c r="D9785" s="15">
        <f>IFERROR(__xludf.DUMMYFUNCTION("""COMPUTED_VALUE"""),1.034)</f>
        <v>1.034</v>
      </c>
      <c r="E9785" s="16">
        <f>IFERROR(__xludf.DUMMYFUNCTION("""COMPUTED_VALUE"""),63.0)</f>
        <v>63</v>
      </c>
      <c r="F9785" s="19" t="str">
        <f>IFERROR(__xludf.DUMMYFUNCTION("""COMPUTED_VALUE"""),"BLUE")</f>
        <v>BLUE</v>
      </c>
      <c r="G9785" s="20" t="str">
        <f>IFERROR(__xludf.DUMMYFUNCTION("""COMPUTED_VALUE"""),"Uncle Sams Cider (04/04/2023)")</f>
        <v>Uncle Sams Cider (04/04/2023)</v>
      </c>
      <c r="H9785" s="19"/>
    </row>
    <row r="9786">
      <c r="A9786" s="9"/>
      <c r="B9786" s="15"/>
      <c r="C9786" s="9">
        <f>IFERROR(__xludf.DUMMYFUNCTION("""COMPUTED_VALUE"""),45041.2701343981)</f>
        <v>45041.27013</v>
      </c>
      <c r="D9786" s="15">
        <f>IFERROR(__xludf.DUMMYFUNCTION("""COMPUTED_VALUE"""),1.034)</f>
        <v>1.034</v>
      </c>
      <c r="E9786" s="16">
        <f>IFERROR(__xludf.DUMMYFUNCTION("""COMPUTED_VALUE"""),63.0)</f>
        <v>63</v>
      </c>
      <c r="F9786" s="19" t="str">
        <f>IFERROR(__xludf.DUMMYFUNCTION("""COMPUTED_VALUE"""),"BLUE")</f>
        <v>BLUE</v>
      </c>
      <c r="G9786" s="20" t="str">
        <f>IFERROR(__xludf.DUMMYFUNCTION("""COMPUTED_VALUE"""),"Uncle Sams Cider (04/04/2023)")</f>
        <v>Uncle Sams Cider (04/04/2023)</v>
      </c>
      <c r="H9786" s="19"/>
    </row>
    <row r="9787">
      <c r="A9787" s="9"/>
      <c r="B9787" s="15"/>
      <c r="C9787" s="9">
        <f>IFERROR(__xludf.DUMMYFUNCTION("""COMPUTED_VALUE"""),45041.2597016319)</f>
        <v>45041.2597</v>
      </c>
      <c r="D9787" s="15">
        <f>IFERROR(__xludf.DUMMYFUNCTION("""COMPUTED_VALUE"""),1.034)</f>
        <v>1.034</v>
      </c>
      <c r="E9787" s="16">
        <f>IFERROR(__xludf.DUMMYFUNCTION("""COMPUTED_VALUE"""),63.0)</f>
        <v>63</v>
      </c>
      <c r="F9787" s="19" t="str">
        <f>IFERROR(__xludf.DUMMYFUNCTION("""COMPUTED_VALUE"""),"BLUE")</f>
        <v>BLUE</v>
      </c>
      <c r="G9787" s="20" t="str">
        <f>IFERROR(__xludf.DUMMYFUNCTION("""COMPUTED_VALUE"""),"Uncle Sams Cider (04/04/2023)")</f>
        <v>Uncle Sams Cider (04/04/2023)</v>
      </c>
      <c r="H9787" s="19"/>
    </row>
    <row r="9788">
      <c r="A9788" s="9"/>
      <c r="B9788" s="15"/>
      <c r="C9788" s="9">
        <f>IFERROR(__xludf.DUMMYFUNCTION("""COMPUTED_VALUE"""),45041.2492795601)</f>
        <v>45041.24928</v>
      </c>
      <c r="D9788" s="15">
        <f>IFERROR(__xludf.DUMMYFUNCTION("""COMPUTED_VALUE"""),1.034)</f>
        <v>1.034</v>
      </c>
      <c r="E9788" s="16">
        <f>IFERROR(__xludf.DUMMYFUNCTION("""COMPUTED_VALUE"""),63.0)</f>
        <v>63</v>
      </c>
      <c r="F9788" s="19" t="str">
        <f>IFERROR(__xludf.DUMMYFUNCTION("""COMPUTED_VALUE"""),"BLUE")</f>
        <v>BLUE</v>
      </c>
      <c r="G9788" s="20" t="str">
        <f>IFERROR(__xludf.DUMMYFUNCTION("""COMPUTED_VALUE"""),"Uncle Sams Cider (04/04/2023)")</f>
        <v>Uncle Sams Cider (04/04/2023)</v>
      </c>
      <c r="H9788" s="19"/>
    </row>
    <row r="9789">
      <c r="A9789" s="9"/>
      <c r="B9789" s="15"/>
      <c r="C9789" s="9">
        <f>IFERROR(__xludf.DUMMYFUNCTION("""COMPUTED_VALUE"""),45041.2388572453)</f>
        <v>45041.23886</v>
      </c>
      <c r="D9789" s="15">
        <f>IFERROR(__xludf.DUMMYFUNCTION("""COMPUTED_VALUE"""),1.034)</f>
        <v>1.034</v>
      </c>
      <c r="E9789" s="16">
        <f>IFERROR(__xludf.DUMMYFUNCTION("""COMPUTED_VALUE"""),63.0)</f>
        <v>63</v>
      </c>
      <c r="F9789" s="19" t="str">
        <f>IFERROR(__xludf.DUMMYFUNCTION("""COMPUTED_VALUE"""),"BLUE")</f>
        <v>BLUE</v>
      </c>
      <c r="G9789" s="20" t="str">
        <f>IFERROR(__xludf.DUMMYFUNCTION("""COMPUTED_VALUE"""),"Uncle Sams Cider (04/04/2023)")</f>
        <v>Uncle Sams Cider (04/04/2023)</v>
      </c>
      <c r="H9789" s="19"/>
    </row>
    <row r="9790">
      <c r="A9790" s="9"/>
      <c r="B9790" s="15"/>
      <c r="C9790" s="9">
        <f>IFERROR(__xludf.DUMMYFUNCTION("""COMPUTED_VALUE"""),45041.228434537)</f>
        <v>45041.22843</v>
      </c>
      <c r="D9790" s="15">
        <f>IFERROR(__xludf.DUMMYFUNCTION("""COMPUTED_VALUE"""),1.034)</f>
        <v>1.034</v>
      </c>
      <c r="E9790" s="16">
        <f>IFERROR(__xludf.DUMMYFUNCTION("""COMPUTED_VALUE"""),63.0)</f>
        <v>63</v>
      </c>
      <c r="F9790" s="19" t="str">
        <f>IFERROR(__xludf.DUMMYFUNCTION("""COMPUTED_VALUE"""),"BLUE")</f>
        <v>BLUE</v>
      </c>
      <c r="G9790" s="20" t="str">
        <f>IFERROR(__xludf.DUMMYFUNCTION("""COMPUTED_VALUE"""),"Uncle Sams Cider (04/04/2023)")</f>
        <v>Uncle Sams Cider (04/04/2023)</v>
      </c>
      <c r="H9790" s="19"/>
    </row>
    <row r="9791">
      <c r="A9791" s="9"/>
      <c r="B9791" s="15"/>
      <c r="C9791" s="9">
        <f>IFERROR(__xludf.DUMMYFUNCTION("""COMPUTED_VALUE"""),45041.2180139004)</f>
        <v>45041.21801</v>
      </c>
      <c r="D9791" s="15">
        <f>IFERROR(__xludf.DUMMYFUNCTION("""COMPUTED_VALUE"""),1.034)</f>
        <v>1.034</v>
      </c>
      <c r="E9791" s="16">
        <f>IFERROR(__xludf.DUMMYFUNCTION("""COMPUTED_VALUE"""),63.0)</f>
        <v>63</v>
      </c>
      <c r="F9791" s="19" t="str">
        <f>IFERROR(__xludf.DUMMYFUNCTION("""COMPUTED_VALUE"""),"BLUE")</f>
        <v>BLUE</v>
      </c>
      <c r="G9791" s="20" t="str">
        <f>IFERROR(__xludf.DUMMYFUNCTION("""COMPUTED_VALUE"""),"Uncle Sams Cider (04/04/2023)")</f>
        <v>Uncle Sams Cider (04/04/2023)</v>
      </c>
      <c r="H9791" s="19"/>
    </row>
    <row r="9792">
      <c r="A9792" s="9"/>
      <c r="B9792" s="15"/>
      <c r="C9792" s="9">
        <f>IFERROR(__xludf.DUMMYFUNCTION("""COMPUTED_VALUE"""),45041.2075930787)</f>
        <v>45041.20759</v>
      </c>
      <c r="D9792" s="15">
        <f>IFERROR(__xludf.DUMMYFUNCTION("""COMPUTED_VALUE"""),1.034)</f>
        <v>1.034</v>
      </c>
      <c r="E9792" s="16">
        <f>IFERROR(__xludf.DUMMYFUNCTION("""COMPUTED_VALUE"""),63.0)</f>
        <v>63</v>
      </c>
      <c r="F9792" s="19" t="str">
        <f>IFERROR(__xludf.DUMMYFUNCTION("""COMPUTED_VALUE"""),"BLUE")</f>
        <v>BLUE</v>
      </c>
      <c r="G9792" s="20" t="str">
        <f>IFERROR(__xludf.DUMMYFUNCTION("""COMPUTED_VALUE"""),"Uncle Sams Cider (04/04/2023)")</f>
        <v>Uncle Sams Cider (04/04/2023)</v>
      </c>
      <c r="H9792" s="19"/>
    </row>
    <row r="9793">
      <c r="A9793" s="9"/>
      <c r="B9793" s="15"/>
      <c r="C9793" s="9">
        <f>IFERROR(__xludf.DUMMYFUNCTION("""COMPUTED_VALUE"""),45041.1971710879)</f>
        <v>45041.19717</v>
      </c>
      <c r="D9793" s="15">
        <f>IFERROR(__xludf.DUMMYFUNCTION("""COMPUTED_VALUE"""),1.034)</f>
        <v>1.034</v>
      </c>
      <c r="E9793" s="16">
        <f>IFERROR(__xludf.DUMMYFUNCTION("""COMPUTED_VALUE"""),63.0)</f>
        <v>63</v>
      </c>
      <c r="F9793" s="19" t="str">
        <f>IFERROR(__xludf.DUMMYFUNCTION("""COMPUTED_VALUE"""),"BLUE")</f>
        <v>BLUE</v>
      </c>
      <c r="G9793" s="20" t="str">
        <f>IFERROR(__xludf.DUMMYFUNCTION("""COMPUTED_VALUE"""),"Uncle Sams Cider (04/04/2023)")</f>
        <v>Uncle Sams Cider (04/04/2023)</v>
      </c>
      <c r="H9793" s="19"/>
    </row>
    <row r="9794">
      <c r="A9794" s="9"/>
      <c r="B9794" s="15"/>
      <c r="C9794" s="9">
        <f>IFERROR(__xludf.DUMMYFUNCTION("""COMPUTED_VALUE"""),45041.1867380324)</f>
        <v>45041.18674</v>
      </c>
      <c r="D9794" s="15">
        <f>IFERROR(__xludf.DUMMYFUNCTION("""COMPUTED_VALUE"""),1.034)</f>
        <v>1.034</v>
      </c>
      <c r="E9794" s="16">
        <f>IFERROR(__xludf.DUMMYFUNCTION("""COMPUTED_VALUE"""),63.0)</f>
        <v>63</v>
      </c>
      <c r="F9794" s="19" t="str">
        <f>IFERROR(__xludf.DUMMYFUNCTION("""COMPUTED_VALUE"""),"BLUE")</f>
        <v>BLUE</v>
      </c>
      <c r="G9794" s="20" t="str">
        <f>IFERROR(__xludf.DUMMYFUNCTION("""COMPUTED_VALUE"""),"Uncle Sams Cider (04/04/2023)")</f>
        <v>Uncle Sams Cider (04/04/2023)</v>
      </c>
      <c r="H9794" s="19"/>
    </row>
    <row r="9795">
      <c r="A9795" s="9"/>
      <c r="B9795" s="15"/>
      <c r="C9795" s="9">
        <f>IFERROR(__xludf.DUMMYFUNCTION("""COMPUTED_VALUE"""),45041.176314375)</f>
        <v>45041.17631</v>
      </c>
      <c r="D9795" s="15">
        <f>IFERROR(__xludf.DUMMYFUNCTION("""COMPUTED_VALUE"""),1.034)</f>
        <v>1.034</v>
      </c>
      <c r="E9795" s="16">
        <f>IFERROR(__xludf.DUMMYFUNCTION("""COMPUTED_VALUE"""),63.0)</f>
        <v>63</v>
      </c>
      <c r="F9795" s="19" t="str">
        <f>IFERROR(__xludf.DUMMYFUNCTION("""COMPUTED_VALUE"""),"BLUE")</f>
        <v>BLUE</v>
      </c>
      <c r="G9795" s="20" t="str">
        <f>IFERROR(__xludf.DUMMYFUNCTION("""COMPUTED_VALUE"""),"Uncle Sams Cider (04/04/2023)")</f>
        <v>Uncle Sams Cider (04/04/2023)</v>
      </c>
      <c r="H9795" s="19"/>
    </row>
    <row r="9796">
      <c r="A9796" s="9"/>
      <c r="B9796" s="15"/>
      <c r="C9796" s="9">
        <f>IFERROR(__xludf.DUMMYFUNCTION("""COMPUTED_VALUE"""),45041.1658928819)</f>
        <v>45041.16589</v>
      </c>
      <c r="D9796" s="15">
        <f>IFERROR(__xludf.DUMMYFUNCTION("""COMPUTED_VALUE"""),1.034)</f>
        <v>1.034</v>
      </c>
      <c r="E9796" s="16">
        <f>IFERROR(__xludf.DUMMYFUNCTION("""COMPUTED_VALUE"""),63.0)</f>
        <v>63</v>
      </c>
      <c r="F9796" s="19" t="str">
        <f>IFERROR(__xludf.DUMMYFUNCTION("""COMPUTED_VALUE"""),"BLUE")</f>
        <v>BLUE</v>
      </c>
      <c r="G9796" s="20" t="str">
        <f>IFERROR(__xludf.DUMMYFUNCTION("""COMPUTED_VALUE"""),"Uncle Sams Cider (04/04/2023)")</f>
        <v>Uncle Sams Cider (04/04/2023)</v>
      </c>
      <c r="H9796" s="19"/>
    </row>
    <row r="9797">
      <c r="A9797" s="9"/>
      <c r="B9797" s="15"/>
      <c r="C9797" s="9">
        <f>IFERROR(__xludf.DUMMYFUNCTION("""COMPUTED_VALUE"""),45041.1554721875)</f>
        <v>45041.15547</v>
      </c>
      <c r="D9797" s="15">
        <f>IFERROR(__xludf.DUMMYFUNCTION("""COMPUTED_VALUE"""),1.034)</f>
        <v>1.034</v>
      </c>
      <c r="E9797" s="16">
        <f>IFERROR(__xludf.DUMMYFUNCTION("""COMPUTED_VALUE"""),63.0)</f>
        <v>63</v>
      </c>
      <c r="F9797" s="19" t="str">
        <f>IFERROR(__xludf.DUMMYFUNCTION("""COMPUTED_VALUE"""),"BLUE")</f>
        <v>BLUE</v>
      </c>
      <c r="G9797" s="20" t="str">
        <f>IFERROR(__xludf.DUMMYFUNCTION("""COMPUTED_VALUE"""),"Uncle Sams Cider (04/04/2023)")</f>
        <v>Uncle Sams Cider (04/04/2023)</v>
      </c>
      <c r="H9797" s="19"/>
    </row>
    <row r="9798">
      <c r="A9798" s="9"/>
      <c r="B9798" s="15"/>
      <c r="C9798" s="9">
        <f>IFERROR(__xludf.DUMMYFUNCTION("""COMPUTED_VALUE"""),45041.1450522685)</f>
        <v>45041.14505</v>
      </c>
      <c r="D9798" s="15">
        <f>IFERROR(__xludf.DUMMYFUNCTION("""COMPUTED_VALUE"""),1.034)</f>
        <v>1.034</v>
      </c>
      <c r="E9798" s="16">
        <f>IFERROR(__xludf.DUMMYFUNCTION("""COMPUTED_VALUE"""),63.0)</f>
        <v>63</v>
      </c>
      <c r="F9798" s="19" t="str">
        <f>IFERROR(__xludf.DUMMYFUNCTION("""COMPUTED_VALUE"""),"BLUE")</f>
        <v>BLUE</v>
      </c>
      <c r="G9798" s="20" t="str">
        <f>IFERROR(__xludf.DUMMYFUNCTION("""COMPUTED_VALUE"""),"Uncle Sams Cider (04/04/2023)")</f>
        <v>Uncle Sams Cider (04/04/2023)</v>
      </c>
      <c r="H9798" s="19"/>
    </row>
    <row r="9799">
      <c r="A9799" s="9"/>
      <c r="B9799" s="15"/>
      <c r="C9799" s="9">
        <f>IFERROR(__xludf.DUMMYFUNCTION("""COMPUTED_VALUE"""),45041.1346181481)</f>
        <v>45041.13462</v>
      </c>
      <c r="D9799" s="15">
        <f>IFERROR(__xludf.DUMMYFUNCTION("""COMPUTED_VALUE"""),1.034)</f>
        <v>1.034</v>
      </c>
      <c r="E9799" s="16">
        <f>IFERROR(__xludf.DUMMYFUNCTION("""COMPUTED_VALUE"""),63.0)</f>
        <v>63</v>
      </c>
      <c r="F9799" s="19" t="str">
        <f>IFERROR(__xludf.DUMMYFUNCTION("""COMPUTED_VALUE"""),"BLUE")</f>
        <v>BLUE</v>
      </c>
      <c r="G9799" s="20" t="str">
        <f>IFERROR(__xludf.DUMMYFUNCTION("""COMPUTED_VALUE"""),"Uncle Sams Cider (04/04/2023)")</f>
        <v>Uncle Sams Cider (04/04/2023)</v>
      </c>
      <c r="H9799" s="19"/>
    </row>
    <row r="9800">
      <c r="A9800" s="9"/>
      <c r="B9800" s="15"/>
      <c r="C9800" s="9">
        <f>IFERROR(__xludf.DUMMYFUNCTION("""COMPUTED_VALUE"""),45041.1241970254)</f>
        <v>45041.1242</v>
      </c>
      <c r="D9800" s="15">
        <f>IFERROR(__xludf.DUMMYFUNCTION("""COMPUTED_VALUE"""),1.034)</f>
        <v>1.034</v>
      </c>
      <c r="E9800" s="16">
        <f>IFERROR(__xludf.DUMMYFUNCTION("""COMPUTED_VALUE"""),63.0)</f>
        <v>63</v>
      </c>
      <c r="F9800" s="19" t="str">
        <f>IFERROR(__xludf.DUMMYFUNCTION("""COMPUTED_VALUE"""),"BLUE")</f>
        <v>BLUE</v>
      </c>
      <c r="G9800" s="20" t="str">
        <f>IFERROR(__xludf.DUMMYFUNCTION("""COMPUTED_VALUE"""),"Uncle Sams Cider (04/04/2023)")</f>
        <v>Uncle Sams Cider (04/04/2023)</v>
      </c>
      <c r="H9800" s="19"/>
    </row>
    <row r="9801">
      <c r="A9801" s="9"/>
      <c r="B9801" s="15"/>
      <c r="C9801" s="9">
        <f>IFERROR(__xludf.DUMMYFUNCTION("""COMPUTED_VALUE"""),45041.1137738888)</f>
        <v>45041.11377</v>
      </c>
      <c r="D9801" s="15">
        <f>IFERROR(__xludf.DUMMYFUNCTION("""COMPUTED_VALUE"""),1.034)</f>
        <v>1.034</v>
      </c>
      <c r="E9801" s="16">
        <f>IFERROR(__xludf.DUMMYFUNCTION("""COMPUTED_VALUE"""),63.0)</f>
        <v>63</v>
      </c>
      <c r="F9801" s="19" t="str">
        <f>IFERROR(__xludf.DUMMYFUNCTION("""COMPUTED_VALUE"""),"BLUE")</f>
        <v>BLUE</v>
      </c>
      <c r="G9801" s="20" t="str">
        <f>IFERROR(__xludf.DUMMYFUNCTION("""COMPUTED_VALUE"""),"Uncle Sams Cider (04/04/2023)")</f>
        <v>Uncle Sams Cider (04/04/2023)</v>
      </c>
      <c r="H9801" s="19"/>
    </row>
    <row r="9802">
      <c r="A9802" s="9"/>
      <c r="B9802" s="15"/>
      <c r="C9802" s="9">
        <f>IFERROR(__xludf.DUMMYFUNCTION("""COMPUTED_VALUE"""),45041.1033529513)</f>
        <v>45041.10335</v>
      </c>
      <c r="D9802" s="15">
        <f>IFERROR(__xludf.DUMMYFUNCTION("""COMPUTED_VALUE"""),1.034)</f>
        <v>1.034</v>
      </c>
      <c r="E9802" s="16">
        <f>IFERROR(__xludf.DUMMYFUNCTION("""COMPUTED_VALUE"""),63.0)</f>
        <v>63</v>
      </c>
      <c r="F9802" s="19" t="str">
        <f>IFERROR(__xludf.DUMMYFUNCTION("""COMPUTED_VALUE"""),"BLUE")</f>
        <v>BLUE</v>
      </c>
      <c r="G9802" s="20" t="str">
        <f>IFERROR(__xludf.DUMMYFUNCTION("""COMPUTED_VALUE"""),"Uncle Sams Cider (04/04/2023)")</f>
        <v>Uncle Sams Cider (04/04/2023)</v>
      </c>
      <c r="H9802" s="19"/>
    </row>
    <row r="9803">
      <c r="A9803" s="9"/>
      <c r="B9803" s="15"/>
      <c r="C9803" s="9">
        <f>IFERROR(__xludf.DUMMYFUNCTION("""COMPUTED_VALUE"""),45041.0929197106)</f>
        <v>45041.09292</v>
      </c>
      <c r="D9803" s="15">
        <f>IFERROR(__xludf.DUMMYFUNCTION("""COMPUTED_VALUE"""),1.034)</f>
        <v>1.034</v>
      </c>
      <c r="E9803" s="16">
        <f>IFERROR(__xludf.DUMMYFUNCTION("""COMPUTED_VALUE"""),63.0)</f>
        <v>63</v>
      </c>
      <c r="F9803" s="19" t="str">
        <f>IFERROR(__xludf.DUMMYFUNCTION("""COMPUTED_VALUE"""),"BLUE")</f>
        <v>BLUE</v>
      </c>
      <c r="G9803" s="20" t="str">
        <f>IFERROR(__xludf.DUMMYFUNCTION("""COMPUTED_VALUE"""),"Uncle Sams Cider (04/04/2023)")</f>
        <v>Uncle Sams Cider (04/04/2023)</v>
      </c>
      <c r="H9803" s="19"/>
    </row>
    <row r="9804">
      <c r="A9804" s="9"/>
      <c r="B9804" s="15"/>
      <c r="C9804" s="9">
        <f>IFERROR(__xludf.DUMMYFUNCTION("""COMPUTED_VALUE"""),45041.0824997222)</f>
        <v>45041.0825</v>
      </c>
      <c r="D9804" s="15">
        <f>IFERROR(__xludf.DUMMYFUNCTION("""COMPUTED_VALUE"""),1.034)</f>
        <v>1.034</v>
      </c>
      <c r="E9804" s="16">
        <f>IFERROR(__xludf.DUMMYFUNCTION("""COMPUTED_VALUE"""),63.0)</f>
        <v>63</v>
      </c>
      <c r="F9804" s="19" t="str">
        <f>IFERROR(__xludf.DUMMYFUNCTION("""COMPUTED_VALUE"""),"BLUE")</f>
        <v>BLUE</v>
      </c>
      <c r="G9804" s="20" t="str">
        <f>IFERROR(__xludf.DUMMYFUNCTION("""COMPUTED_VALUE"""),"Uncle Sams Cider (04/04/2023)")</f>
        <v>Uncle Sams Cider (04/04/2023)</v>
      </c>
      <c r="H9804" s="19"/>
    </row>
    <row r="9805">
      <c r="A9805" s="9"/>
      <c r="B9805" s="15"/>
      <c r="C9805" s="9">
        <f>IFERROR(__xludf.DUMMYFUNCTION("""COMPUTED_VALUE"""),45041.0720775)</f>
        <v>45041.07208</v>
      </c>
      <c r="D9805" s="15">
        <f>IFERROR(__xludf.DUMMYFUNCTION("""COMPUTED_VALUE"""),1.034)</f>
        <v>1.034</v>
      </c>
      <c r="E9805" s="16">
        <f>IFERROR(__xludf.DUMMYFUNCTION("""COMPUTED_VALUE"""),63.0)</f>
        <v>63</v>
      </c>
      <c r="F9805" s="19" t="str">
        <f>IFERROR(__xludf.DUMMYFUNCTION("""COMPUTED_VALUE"""),"BLUE")</f>
        <v>BLUE</v>
      </c>
      <c r="G9805" s="20" t="str">
        <f>IFERROR(__xludf.DUMMYFUNCTION("""COMPUTED_VALUE"""),"Uncle Sams Cider (04/04/2023)")</f>
        <v>Uncle Sams Cider (04/04/2023)</v>
      </c>
      <c r="H9805" s="19"/>
    </row>
    <row r="9806">
      <c r="A9806" s="9"/>
      <c r="B9806" s="15"/>
      <c r="C9806" s="9">
        <f>IFERROR(__xludf.DUMMYFUNCTION("""COMPUTED_VALUE"""),45041.0616562615)</f>
        <v>45041.06166</v>
      </c>
      <c r="D9806" s="15">
        <f>IFERROR(__xludf.DUMMYFUNCTION("""COMPUTED_VALUE"""),1.034)</f>
        <v>1.034</v>
      </c>
      <c r="E9806" s="16">
        <f>IFERROR(__xludf.DUMMYFUNCTION("""COMPUTED_VALUE"""),63.0)</f>
        <v>63</v>
      </c>
      <c r="F9806" s="19" t="str">
        <f>IFERROR(__xludf.DUMMYFUNCTION("""COMPUTED_VALUE"""),"BLUE")</f>
        <v>BLUE</v>
      </c>
      <c r="G9806" s="20" t="str">
        <f>IFERROR(__xludf.DUMMYFUNCTION("""COMPUTED_VALUE"""),"Uncle Sams Cider (04/04/2023)")</f>
        <v>Uncle Sams Cider (04/04/2023)</v>
      </c>
      <c r="H9806" s="19"/>
    </row>
    <row r="9807">
      <c r="A9807" s="9"/>
      <c r="B9807" s="15"/>
      <c r="C9807" s="9">
        <f>IFERROR(__xludf.DUMMYFUNCTION("""COMPUTED_VALUE"""),45041.0512340393)</f>
        <v>45041.05123</v>
      </c>
      <c r="D9807" s="15">
        <f>IFERROR(__xludf.DUMMYFUNCTION("""COMPUTED_VALUE"""),1.034)</f>
        <v>1.034</v>
      </c>
      <c r="E9807" s="16">
        <f>IFERROR(__xludf.DUMMYFUNCTION("""COMPUTED_VALUE"""),63.0)</f>
        <v>63</v>
      </c>
      <c r="F9807" s="19" t="str">
        <f>IFERROR(__xludf.DUMMYFUNCTION("""COMPUTED_VALUE"""),"BLUE")</f>
        <v>BLUE</v>
      </c>
      <c r="G9807" s="20" t="str">
        <f>IFERROR(__xludf.DUMMYFUNCTION("""COMPUTED_VALUE"""),"Uncle Sams Cider (04/04/2023)")</f>
        <v>Uncle Sams Cider (04/04/2023)</v>
      </c>
      <c r="H9807" s="19"/>
    </row>
    <row r="9808">
      <c r="A9808" s="9"/>
      <c r="B9808" s="15"/>
      <c r="C9808" s="9">
        <f>IFERROR(__xludf.DUMMYFUNCTION("""COMPUTED_VALUE"""),45041.0408119907)</f>
        <v>45041.04081</v>
      </c>
      <c r="D9808" s="15">
        <f>IFERROR(__xludf.DUMMYFUNCTION("""COMPUTED_VALUE"""),1.034)</f>
        <v>1.034</v>
      </c>
      <c r="E9808" s="16">
        <f>IFERROR(__xludf.DUMMYFUNCTION("""COMPUTED_VALUE"""),63.0)</f>
        <v>63</v>
      </c>
      <c r="F9808" s="19" t="str">
        <f>IFERROR(__xludf.DUMMYFUNCTION("""COMPUTED_VALUE"""),"BLUE")</f>
        <v>BLUE</v>
      </c>
      <c r="G9808" s="20" t="str">
        <f>IFERROR(__xludf.DUMMYFUNCTION("""COMPUTED_VALUE"""),"Uncle Sams Cider (04/04/2023)")</f>
        <v>Uncle Sams Cider (04/04/2023)</v>
      </c>
      <c r="H9808" s="19"/>
    </row>
    <row r="9809">
      <c r="A9809" s="9"/>
      <c r="B9809" s="15"/>
      <c r="C9809" s="9">
        <f>IFERROR(__xludf.DUMMYFUNCTION("""COMPUTED_VALUE"""),45041.0303902083)</f>
        <v>45041.03039</v>
      </c>
      <c r="D9809" s="15">
        <f>IFERROR(__xludf.DUMMYFUNCTION("""COMPUTED_VALUE"""),1.034)</f>
        <v>1.034</v>
      </c>
      <c r="E9809" s="16">
        <f>IFERROR(__xludf.DUMMYFUNCTION("""COMPUTED_VALUE"""),63.0)</f>
        <v>63</v>
      </c>
      <c r="F9809" s="19" t="str">
        <f>IFERROR(__xludf.DUMMYFUNCTION("""COMPUTED_VALUE"""),"BLUE")</f>
        <v>BLUE</v>
      </c>
      <c r="G9809" s="20" t="str">
        <f>IFERROR(__xludf.DUMMYFUNCTION("""COMPUTED_VALUE"""),"Uncle Sams Cider (04/04/2023)")</f>
        <v>Uncle Sams Cider (04/04/2023)</v>
      </c>
      <c r="H9809" s="19"/>
    </row>
    <row r="9810">
      <c r="A9810" s="9"/>
      <c r="B9810" s="15"/>
      <c r="C9810" s="9">
        <f>IFERROR(__xludf.DUMMYFUNCTION("""COMPUTED_VALUE"""),45041.0199698726)</f>
        <v>45041.01997</v>
      </c>
      <c r="D9810" s="15">
        <f>IFERROR(__xludf.DUMMYFUNCTION("""COMPUTED_VALUE"""),1.034)</f>
        <v>1.034</v>
      </c>
      <c r="E9810" s="16">
        <f>IFERROR(__xludf.DUMMYFUNCTION("""COMPUTED_VALUE"""),63.0)</f>
        <v>63</v>
      </c>
      <c r="F9810" s="19" t="str">
        <f>IFERROR(__xludf.DUMMYFUNCTION("""COMPUTED_VALUE"""),"BLUE")</f>
        <v>BLUE</v>
      </c>
      <c r="G9810" s="20" t="str">
        <f>IFERROR(__xludf.DUMMYFUNCTION("""COMPUTED_VALUE"""),"Uncle Sams Cider (04/04/2023)")</f>
        <v>Uncle Sams Cider (04/04/2023)</v>
      </c>
      <c r="H9810" s="19"/>
    </row>
    <row r="9811">
      <c r="A9811" s="9"/>
      <c r="B9811" s="15"/>
      <c r="C9811" s="9">
        <f>IFERROR(__xludf.DUMMYFUNCTION("""COMPUTED_VALUE"""),45041.0095492245)</f>
        <v>45041.00955</v>
      </c>
      <c r="D9811" s="15">
        <f>IFERROR(__xludf.DUMMYFUNCTION("""COMPUTED_VALUE"""),1.034)</f>
        <v>1.034</v>
      </c>
      <c r="E9811" s="16">
        <f>IFERROR(__xludf.DUMMYFUNCTION("""COMPUTED_VALUE"""),63.0)</f>
        <v>63</v>
      </c>
      <c r="F9811" s="19" t="str">
        <f>IFERROR(__xludf.DUMMYFUNCTION("""COMPUTED_VALUE"""),"BLUE")</f>
        <v>BLUE</v>
      </c>
      <c r="G9811" s="20" t="str">
        <f>IFERROR(__xludf.DUMMYFUNCTION("""COMPUTED_VALUE"""),"Uncle Sams Cider (04/04/2023)")</f>
        <v>Uncle Sams Cider (04/04/2023)</v>
      </c>
      <c r="H9811" s="19"/>
    </row>
    <row r="9812">
      <c r="A9812" s="9"/>
      <c r="B9812" s="15"/>
      <c r="C9812" s="9">
        <f>IFERROR(__xludf.DUMMYFUNCTION("""COMPUTED_VALUE"""),45040.9991037037)</f>
        <v>45040.9991</v>
      </c>
      <c r="D9812" s="15">
        <f>IFERROR(__xludf.DUMMYFUNCTION("""COMPUTED_VALUE"""),1.034)</f>
        <v>1.034</v>
      </c>
      <c r="E9812" s="16">
        <f>IFERROR(__xludf.DUMMYFUNCTION("""COMPUTED_VALUE"""),63.0)</f>
        <v>63</v>
      </c>
      <c r="F9812" s="19" t="str">
        <f>IFERROR(__xludf.DUMMYFUNCTION("""COMPUTED_VALUE"""),"BLUE")</f>
        <v>BLUE</v>
      </c>
      <c r="G9812" s="20" t="str">
        <f>IFERROR(__xludf.DUMMYFUNCTION("""COMPUTED_VALUE"""),"Uncle Sams Cider (04/04/2023)")</f>
        <v>Uncle Sams Cider (04/04/2023)</v>
      </c>
      <c r="H9812" s="19"/>
    </row>
    <row r="9813">
      <c r="A9813" s="9"/>
      <c r="B9813" s="15"/>
      <c r="C9813" s="9">
        <f>IFERROR(__xludf.DUMMYFUNCTION("""COMPUTED_VALUE"""),45040.9886577546)</f>
        <v>45040.98866</v>
      </c>
      <c r="D9813" s="15">
        <f>IFERROR(__xludf.DUMMYFUNCTION("""COMPUTED_VALUE"""),1.034)</f>
        <v>1.034</v>
      </c>
      <c r="E9813" s="16">
        <f>IFERROR(__xludf.DUMMYFUNCTION("""COMPUTED_VALUE"""),63.0)</f>
        <v>63</v>
      </c>
      <c r="F9813" s="19" t="str">
        <f>IFERROR(__xludf.DUMMYFUNCTION("""COMPUTED_VALUE"""),"BLUE")</f>
        <v>BLUE</v>
      </c>
      <c r="G9813" s="20" t="str">
        <f>IFERROR(__xludf.DUMMYFUNCTION("""COMPUTED_VALUE"""),"Uncle Sams Cider (04/04/2023)")</f>
        <v>Uncle Sams Cider (04/04/2023)</v>
      </c>
      <c r="H9813" s="19"/>
    </row>
    <row r="9814">
      <c r="A9814" s="9"/>
      <c r="B9814" s="15"/>
      <c r="C9814" s="9">
        <f>IFERROR(__xludf.DUMMYFUNCTION("""COMPUTED_VALUE"""),45040.9782344791)</f>
        <v>45040.97823</v>
      </c>
      <c r="D9814" s="15">
        <f>IFERROR(__xludf.DUMMYFUNCTION("""COMPUTED_VALUE"""),1.034)</f>
        <v>1.034</v>
      </c>
      <c r="E9814" s="16">
        <f>IFERROR(__xludf.DUMMYFUNCTION("""COMPUTED_VALUE"""),63.0)</f>
        <v>63</v>
      </c>
      <c r="F9814" s="19" t="str">
        <f>IFERROR(__xludf.DUMMYFUNCTION("""COMPUTED_VALUE"""),"BLUE")</f>
        <v>BLUE</v>
      </c>
      <c r="G9814" s="20" t="str">
        <f>IFERROR(__xludf.DUMMYFUNCTION("""COMPUTED_VALUE"""),"Uncle Sams Cider (04/04/2023)")</f>
        <v>Uncle Sams Cider (04/04/2023)</v>
      </c>
      <c r="H9814" s="19"/>
    </row>
    <row r="9815">
      <c r="A9815" s="9"/>
      <c r="B9815" s="15"/>
      <c r="C9815" s="9">
        <f>IFERROR(__xludf.DUMMYFUNCTION("""COMPUTED_VALUE"""),45040.9678136226)</f>
        <v>45040.96781</v>
      </c>
      <c r="D9815" s="15">
        <f>IFERROR(__xludf.DUMMYFUNCTION("""COMPUTED_VALUE"""),1.034)</f>
        <v>1.034</v>
      </c>
      <c r="E9815" s="16">
        <f>IFERROR(__xludf.DUMMYFUNCTION("""COMPUTED_VALUE"""),63.0)</f>
        <v>63</v>
      </c>
      <c r="F9815" s="19" t="str">
        <f>IFERROR(__xludf.DUMMYFUNCTION("""COMPUTED_VALUE"""),"BLUE")</f>
        <v>BLUE</v>
      </c>
      <c r="G9815" s="20" t="str">
        <f>IFERROR(__xludf.DUMMYFUNCTION("""COMPUTED_VALUE"""),"Uncle Sams Cider (04/04/2023)")</f>
        <v>Uncle Sams Cider (04/04/2023)</v>
      </c>
      <c r="H9815" s="19"/>
    </row>
    <row r="9816">
      <c r="A9816" s="9"/>
      <c r="B9816" s="15"/>
      <c r="C9816" s="9">
        <f>IFERROR(__xludf.DUMMYFUNCTION("""COMPUTED_VALUE"""),45040.9573911689)</f>
        <v>45040.95739</v>
      </c>
      <c r="D9816" s="15">
        <f>IFERROR(__xludf.DUMMYFUNCTION("""COMPUTED_VALUE"""),1.035)</f>
        <v>1.035</v>
      </c>
      <c r="E9816" s="16">
        <f>IFERROR(__xludf.DUMMYFUNCTION("""COMPUTED_VALUE"""),63.0)</f>
        <v>63</v>
      </c>
      <c r="F9816" s="19" t="str">
        <f>IFERROR(__xludf.DUMMYFUNCTION("""COMPUTED_VALUE"""),"BLUE")</f>
        <v>BLUE</v>
      </c>
      <c r="G9816" s="20" t="str">
        <f>IFERROR(__xludf.DUMMYFUNCTION("""COMPUTED_VALUE"""),"Uncle Sams Cider (04/04/2023)")</f>
        <v>Uncle Sams Cider (04/04/2023)</v>
      </c>
      <c r="H9816" s="19"/>
    </row>
    <row r="9817">
      <c r="A9817" s="9"/>
      <c r="B9817" s="15"/>
      <c r="C9817" s="9">
        <f>IFERROR(__xludf.DUMMYFUNCTION("""COMPUTED_VALUE"""),45040.9469461921)</f>
        <v>45040.94695</v>
      </c>
      <c r="D9817" s="15">
        <f>IFERROR(__xludf.DUMMYFUNCTION("""COMPUTED_VALUE"""),1.034)</f>
        <v>1.034</v>
      </c>
      <c r="E9817" s="16">
        <f>IFERROR(__xludf.DUMMYFUNCTION("""COMPUTED_VALUE"""),63.0)</f>
        <v>63</v>
      </c>
      <c r="F9817" s="19" t="str">
        <f>IFERROR(__xludf.DUMMYFUNCTION("""COMPUTED_VALUE"""),"BLUE")</f>
        <v>BLUE</v>
      </c>
      <c r="G9817" s="20" t="str">
        <f>IFERROR(__xludf.DUMMYFUNCTION("""COMPUTED_VALUE"""),"Uncle Sams Cider (04/04/2023)")</f>
        <v>Uncle Sams Cider (04/04/2023)</v>
      </c>
      <c r="H9817" s="19"/>
    </row>
    <row r="9818">
      <c r="A9818" s="9"/>
      <c r="B9818" s="15"/>
      <c r="C9818" s="9">
        <f>IFERROR(__xludf.DUMMYFUNCTION("""COMPUTED_VALUE"""),45040.9365240162)</f>
        <v>45040.93652</v>
      </c>
      <c r="D9818" s="15">
        <f>IFERROR(__xludf.DUMMYFUNCTION("""COMPUTED_VALUE"""),1.035)</f>
        <v>1.035</v>
      </c>
      <c r="E9818" s="16">
        <f>IFERROR(__xludf.DUMMYFUNCTION("""COMPUTED_VALUE"""),63.0)</f>
        <v>63</v>
      </c>
      <c r="F9818" s="19" t="str">
        <f>IFERROR(__xludf.DUMMYFUNCTION("""COMPUTED_VALUE"""),"BLUE")</f>
        <v>BLUE</v>
      </c>
      <c r="G9818" s="20" t="str">
        <f>IFERROR(__xludf.DUMMYFUNCTION("""COMPUTED_VALUE"""),"Uncle Sams Cider (04/04/2023)")</f>
        <v>Uncle Sams Cider (04/04/2023)</v>
      </c>
      <c r="H9818" s="19"/>
    </row>
    <row r="9819">
      <c r="A9819" s="9"/>
      <c r="B9819" s="15"/>
      <c r="C9819" s="9">
        <f>IFERROR(__xludf.DUMMYFUNCTION("""COMPUTED_VALUE"""),45040.9261035416)</f>
        <v>45040.9261</v>
      </c>
      <c r="D9819" s="15">
        <f>IFERROR(__xludf.DUMMYFUNCTION("""COMPUTED_VALUE"""),1.035)</f>
        <v>1.035</v>
      </c>
      <c r="E9819" s="16">
        <f>IFERROR(__xludf.DUMMYFUNCTION("""COMPUTED_VALUE"""),63.0)</f>
        <v>63</v>
      </c>
      <c r="F9819" s="19" t="str">
        <f>IFERROR(__xludf.DUMMYFUNCTION("""COMPUTED_VALUE"""),"BLUE")</f>
        <v>BLUE</v>
      </c>
      <c r="G9819" s="20" t="str">
        <f>IFERROR(__xludf.DUMMYFUNCTION("""COMPUTED_VALUE"""),"Uncle Sams Cider (04/04/2023)")</f>
        <v>Uncle Sams Cider (04/04/2023)</v>
      </c>
      <c r="H9819" s="19"/>
    </row>
    <row r="9820">
      <c r="A9820" s="9"/>
      <c r="B9820" s="15"/>
      <c r="C9820" s="9">
        <f>IFERROR(__xludf.DUMMYFUNCTION("""COMPUTED_VALUE"""),45040.9156720717)</f>
        <v>45040.91567</v>
      </c>
      <c r="D9820" s="15">
        <f>IFERROR(__xludf.DUMMYFUNCTION("""COMPUTED_VALUE"""),1.035)</f>
        <v>1.035</v>
      </c>
      <c r="E9820" s="16">
        <f>IFERROR(__xludf.DUMMYFUNCTION("""COMPUTED_VALUE"""),63.0)</f>
        <v>63</v>
      </c>
      <c r="F9820" s="19" t="str">
        <f>IFERROR(__xludf.DUMMYFUNCTION("""COMPUTED_VALUE"""),"BLUE")</f>
        <v>BLUE</v>
      </c>
      <c r="G9820" s="20" t="str">
        <f>IFERROR(__xludf.DUMMYFUNCTION("""COMPUTED_VALUE"""),"Uncle Sams Cider (04/04/2023)")</f>
        <v>Uncle Sams Cider (04/04/2023)</v>
      </c>
      <c r="H9820" s="19"/>
    </row>
    <row r="9821">
      <c r="A9821" s="9"/>
      <c r="B9821" s="15"/>
      <c r="C9821" s="9">
        <f>IFERROR(__xludf.DUMMYFUNCTION("""COMPUTED_VALUE"""),45040.9052506134)</f>
        <v>45040.90525</v>
      </c>
      <c r="D9821" s="15">
        <f>IFERROR(__xludf.DUMMYFUNCTION("""COMPUTED_VALUE"""),1.035)</f>
        <v>1.035</v>
      </c>
      <c r="E9821" s="16">
        <f>IFERROR(__xludf.DUMMYFUNCTION("""COMPUTED_VALUE"""),63.0)</f>
        <v>63</v>
      </c>
      <c r="F9821" s="19" t="str">
        <f>IFERROR(__xludf.DUMMYFUNCTION("""COMPUTED_VALUE"""),"BLUE")</f>
        <v>BLUE</v>
      </c>
      <c r="G9821" s="20" t="str">
        <f>IFERROR(__xludf.DUMMYFUNCTION("""COMPUTED_VALUE"""),"Uncle Sams Cider (04/04/2023)")</f>
        <v>Uncle Sams Cider (04/04/2023)</v>
      </c>
      <c r="H9821" s="19"/>
    </row>
    <row r="9822">
      <c r="A9822" s="9"/>
      <c r="B9822" s="15"/>
      <c r="C9822" s="9">
        <f>IFERROR(__xludf.DUMMYFUNCTION("""COMPUTED_VALUE"""),45040.8948164699)</f>
        <v>45040.89482</v>
      </c>
      <c r="D9822" s="15">
        <f>IFERROR(__xludf.DUMMYFUNCTION("""COMPUTED_VALUE"""),1.035)</f>
        <v>1.035</v>
      </c>
      <c r="E9822" s="16">
        <f>IFERROR(__xludf.DUMMYFUNCTION("""COMPUTED_VALUE"""),63.0)</f>
        <v>63</v>
      </c>
      <c r="F9822" s="19" t="str">
        <f>IFERROR(__xludf.DUMMYFUNCTION("""COMPUTED_VALUE"""),"BLUE")</f>
        <v>BLUE</v>
      </c>
      <c r="G9822" s="20" t="str">
        <f>IFERROR(__xludf.DUMMYFUNCTION("""COMPUTED_VALUE"""),"Uncle Sams Cider (04/04/2023)")</f>
        <v>Uncle Sams Cider (04/04/2023)</v>
      </c>
      <c r="H9822" s="19"/>
    </row>
    <row r="9823">
      <c r="A9823" s="9"/>
      <c r="B9823" s="15"/>
      <c r="C9823" s="9">
        <f>IFERROR(__xludf.DUMMYFUNCTION("""COMPUTED_VALUE"""),45040.8843952893)</f>
        <v>45040.8844</v>
      </c>
      <c r="D9823" s="15">
        <f>IFERROR(__xludf.DUMMYFUNCTION("""COMPUTED_VALUE"""),1.035)</f>
        <v>1.035</v>
      </c>
      <c r="E9823" s="16">
        <f>IFERROR(__xludf.DUMMYFUNCTION("""COMPUTED_VALUE"""),63.0)</f>
        <v>63</v>
      </c>
      <c r="F9823" s="19" t="str">
        <f>IFERROR(__xludf.DUMMYFUNCTION("""COMPUTED_VALUE"""),"BLUE")</f>
        <v>BLUE</v>
      </c>
      <c r="G9823" s="20" t="str">
        <f>IFERROR(__xludf.DUMMYFUNCTION("""COMPUTED_VALUE"""),"Uncle Sams Cider (04/04/2023)")</f>
        <v>Uncle Sams Cider (04/04/2023)</v>
      </c>
      <c r="H9823" s="19"/>
    </row>
    <row r="9824">
      <c r="A9824" s="9"/>
      <c r="B9824" s="15"/>
      <c r="C9824" s="9">
        <f>IFERROR(__xludf.DUMMYFUNCTION("""COMPUTED_VALUE"""),45040.8739745717)</f>
        <v>45040.87397</v>
      </c>
      <c r="D9824" s="15">
        <f>IFERROR(__xludf.DUMMYFUNCTION("""COMPUTED_VALUE"""),1.035)</f>
        <v>1.035</v>
      </c>
      <c r="E9824" s="16">
        <f>IFERROR(__xludf.DUMMYFUNCTION("""COMPUTED_VALUE"""),63.0)</f>
        <v>63</v>
      </c>
      <c r="F9824" s="19" t="str">
        <f>IFERROR(__xludf.DUMMYFUNCTION("""COMPUTED_VALUE"""),"BLUE")</f>
        <v>BLUE</v>
      </c>
      <c r="G9824" s="20" t="str">
        <f>IFERROR(__xludf.DUMMYFUNCTION("""COMPUTED_VALUE"""),"Uncle Sams Cider (04/04/2023)")</f>
        <v>Uncle Sams Cider (04/04/2023)</v>
      </c>
      <c r="H9824" s="19"/>
    </row>
    <row r="9825">
      <c r="A9825" s="9"/>
      <c r="B9825" s="15"/>
      <c r="C9825" s="9">
        <f>IFERROR(__xludf.DUMMYFUNCTION("""COMPUTED_VALUE"""),45040.8635524884)</f>
        <v>45040.86355</v>
      </c>
      <c r="D9825" s="15">
        <f>IFERROR(__xludf.DUMMYFUNCTION("""COMPUTED_VALUE"""),1.035)</f>
        <v>1.035</v>
      </c>
      <c r="E9825" s="16">
        <f>IFERROR(__xludf.DUMMYFUNCTION("""COMPUTED_VALUE"""),63.0)</f>
        <v>63</v>
      </c>
      <c r="F9825" s="19" t="str">
        <f>IFERROR(__xludf.DUMMYFUNCTION("""COMPUTED_VALUE"""),"BLUE")</f>
        <v>BLUE</v>
      </c>
      <c r="G9825" s="20" t="str">
        <f>IFERROR(__xludf.DUMMYFUNCTION("""COMPUTED_VALUE"""),"Uncle Sams Cider (04/04/2023)")</f>
        <v>Uncle Sams Cider (04/04/2023)</v>
      </c>
      <c r="H9825" s="19"/>
    </row>
    <row r="9826">
      <c r="A9826" s="9"/>
      <c r="B9826" s="15"/>
      <c r="C9826" s="9">
        <f>IFERROR(__xludf.DUMMYFUNCTION("""COMPUTED_VALUE"""),45040.8531302546)</f>
        <v>45040.85313</v>
      </c>
      <c r="D9826" s="15">
        <f>IFERROR(__xludf.DUMMYFUNCTION("""COMPUTED_VALUE"""),1.035)</f>
        <v>1.035</v>
      </c>
      <c r="E9826" s="16">
        <f>IFERROR(__xludf.DUMMYFUNCTION("""COMPUTED_VALUE"""),63.0)</f>
        <v>63</v>
      </c>
      <c r="F9826" s="19" t="str">
        <f>IFERROR(__xludf.DUMMYFUNCTION("""COMPUTED_VALUE"""),"BLUE")</f>
        <v>BLUE</v>
      </c>
      <c r="G9826" s="20" t="str">
        <f>IFERROR(__xludf.DUMMYFUNCTION("""COMPUTED_VALUE"""),"Uncle Sams Cider (04/04/2023)")</f>
        <v>Uncle Sams Cider (04/04/2023)</v>
      </c>
      <c r="H9826" s="19"/>
    </row>
    <row r="9827">
      <c r="A9827" s="9"/>
      <c r="B9827" s="15"/>
      <c r="C9827" s="9">
        <f>IFERROR(__xludf.DUMMYFUNCTION("""COMPUTED_VALUE"""),45040.8427092476)</f>
        <v>45040.84271</v>
      </c>
      <c r="D9827" s="15">
        <f>IFERROR(__xludf.DUMMYFUNCTION("""COMPUTED_VALUE"""),1.035)</f>
        <v>1.035</v>
      </c>
      <c r="E9827" s="16">
        <f>IFERROR(__xludf.DUMMYFUNCTION("""COMPUTED_VALUE"""),63.0)</f>
        <v>63</v>
      </c>
      <c r="F9827" s="19" t="str">
        <f>IFERROR(__xludf.DUMMYFUNCTION("""COMPUTED_VALUE"""),"BLUE")</f>
        <v>BLUE</v>
      </c>
      <c r="G9827" s="20" t="str">
        <f>IFERROR(__xludf.DUMMYFUNCTION("""COMPUTED_VALUE"""),"Uncle Sams Cider (04/04/2023)")</f>
        <v>Uncle Sams Cider (04/04/2023)</v>
      </c>
      <c r="H9827" s="19"/>
    </row>
    <row r="9828">
      <c r="A9828" s="9"/>
      <c r="B9828" s="15"/>
      <c r="C9828" s="9">
        <f>IFERROR(__xludf.DUMMYFUNCTION("""COMPUTED_VALUE"""),45040.8322878472)</f>
        <v>45040.83229</v>
      </c>
      <c r="D9828" s="15">
        <f>IFERROR(__xludf.DUMMYFUNCTION("""COMPUTED_VALUE"""),1.035)</f>
        <v>1.035</v>
      </c>
      <c r="E9828" s="16">
        <f>IFERROR(__xludf.DUMMYFUNCTION("""COMPUTED_VALUE"""),63.0)</f>
        <v>63</v>
      </c>
      <c r="F9828" s="19" t="str">
        <f>IFERROR(__xludf.DUMMYFUNCTION("""COMPUTED_VALUE"""),"BLUE")</f>
        <v>BLUE</v>
      </c>
      <c r="G9828" s="20" t="str">
        <f>IFERROR(__xludf.DUMMYFUNCTION("""COMPUTED_VALUE"""),"Uncle Sams Cider (04/04/2023)")</f>
        <v>Uncle Sams Cider (04/04/2023)</v>
      </c>
      <c r="H9828" s="19"/>
    </row>
    <row r="9829">
      <c r="A9829" s="9"/>
      <c r="B9829" s="15"/>
      <c r="C9829" s="9">
        <f>IFERROR(__xludf.DUMMYFUNCTION("""COMPUTED_VALUE"""),45040.821867824)</f>
        <v>45040.82187</v>
      </c>
      <c r="D9829" s="15">
        <f>IFERROR(__xludf.DUMMYFUNCTION("""COMPUTED_VALUE"""),1.035)</f>
        <v>1.035</v>
      </c>
      <c r="E9829" s="16">
        <f>IFERROR(__xludf.DUMMYFUNCTION("""COMPUTED_VALUE"""),63.0)</f>
        <v>63</v>
      </c>
      <c r="F9829" s="19" t="str">
        <f>IFERROR(__xludf.DUMMYFUNCTION("""COMPUTED_VALUE"""),"BLUE")</f>
        <v>BLUE</v>
      </c>
      <c r="G9829" s="20" t="str">
        <f>IFERROR(__xludf.DUMMYFUNCTION("""COMPUTED_VALUE"""),"Uncle Sams Cider (04/04/2023)")</f>
        <v>Uncle Sams Cider (04/04/2023)</v>
      </c>
      <c r="H9829" s="19"/>
    </row>
    <row r="9830">
      <c r="A9830" s="9"/>
      <c r="B9830" s="15"/>
      <c r="C9830" s="9">
        <f>IFERROR(__xludf.DUMMYFUNCTION("""COMPUTED_VALUE"""),45040.8114460648)</f>
        <v>45040.81145</v>
      </c>
      <c r="D9830" s="15">
        <f>IFERROR(__xludf.DUMMYFUNCTION("""COMPUTED_VALUE"""),1.035)</f>
        <v>1.035</v>
      </c>
      <c r="E9830" s="16">
        <f>IFERROR(__xludf.DUMMYFUNCTION("""COMPUTED_VALUE"""),63.0)</f>
        <v>63</v>
      </c>
      <c r="F9830" s="19" t="str">
        <f>IFERROR(__xludf.DUMMYFUNCTION("""COMPUTED_VALUE"""),"BLUE")</f>
        <v>BLUE</v>
      </c>
      <c r="G9830" s="20" t="str">
        <f>IFERROR(__xludf.DUMMYFUNCTION("""COMPUTED_VALUE"""),"Uncle Sams Cider (04/04/2023)")</f>
        <v>Uncle Sams Cider (04/04/2023)</v>
      </c>
      <c r="H9830" s="19"/>
    </row>
    <row r="9831">
      <c r="A9831" s="9"/>
      <c r="B9831" s="15"/>
      <c r="C9831" s="9">
        <f>IFERROR(__xludf.DUMMYFUNCTION("""COMPUTED_VALUE"""),45040.8010132175)</f>
        <v>45040.80101</v>
      </c>
      <c r="D9831" s="15">
        <f>IFERROR(__xludf.DUMMYFUNCTION("""COMPUTED_VALUE"""),1.035)</f>
        <v>1.035</v>
      </c>
      <c r="E9831" s="16">
        <f>IFERROR(__xludf.DUMMYFUNCTION("""COMPUTED_VALUE"""),63.0)</f>
        <v>63</v>
      </c>
      <c r="F9831" s="19" t="str">
        <f>IFERROR(__xludf.DUMMYFUNCTION("""COMPUTED_VALUE"""),"BLUE")</f>
        <v>BLUE</v>
      </c>
      <c r="G9831" s="20" t="str">
        <f>IFERROR(__xludf.DUMMYFUNCTION("""COMPUTED_VALUE"""),"Uncle Sams Cider (04/04/2023)")</f>
        <v>Uncle Sams Cider (04/04/2023)</v>
      </c>
      <c r="H9831" s="19"/>
    </row>
    <row r="9832">
      <c r="A9832" s="9"/>
      <c r="B9832" s="15"/>
      <c r="C9832" s="9">
        <f>IFERROR(__xludf.DUMMYFUNCTION("""COMPUTED_VALUE"""),45040.7905899189)</f>
        <v>45040.79059</v>
      </c>
      <c r="D9832" s="15">
        <f>IFERROR(__xludf.DUMMYFUNCTION("""COMPUTED_VALUE"""),1.035)</f>
        <v>1.035</v>
      </c>
      <c r="E9832" s="16">
        <f>IFERROR(__xludf.DUMMYFUNCTION("""COMPUTED_VALUE"""),63.0)</f>
        <v>63</v>
      </c>
      <c r="F9832" s="19" t="str">
        <f>IFERROR(__xludf.DUMMYFUNCTION("""COMPUTED_VALUE"""),"BLUE")</f>
        <v>BLUE</v>
      </c>
      <c r="G9832" s="20" t="str">
        <f>IFERROR(__xludf.DUMMYFUNCTION("""COMPUTED_VALUE"""),"Uncle Sams Cider (04/04/2023)")</f>
        <v>Uncle Sams Cider (04/04/2023)</v>
      </c>
      <c r="H9832" s="19"/>
    </row>
    <row r="9833">
      <c r="A9833" s="9"/>
      <c r="B9833" s="15"/>
      <c r="C9833" s="9">
        <f>IFERROR(__xludf.DUMMYFUNCTION("""COMPUTED_VALUE"""),45040.7801564236)</f>
        <v>45040.78016</v>
      </c>
      <c r="D9833" s="15">
        <f>IFERROR(__xludf.DUMMYFUNCTION("""COMPUTED_VALUE"""),1.035)</f>
        <v>1.035</v>
      </c>
      <c r="E9833" s="16">
        <f>IFERROR(__xludf.DUMMYFUNCTION("""COMPUTED_VALUE"""),63.0)</f>
        <v>63</v>
      </c>
      <c r="F9833" s="19" t="str">
        <f>IFERROR(__xludf.DUMMYFUNCTION("""COMPUTED_VALUE"""),"BLUE")</f>
        <v>BLUE</v>
      </c>
      <c r="G9833" s="20" t="str">
        <f>IFERROR(__xludf.DUMMYFUNCTION("""COMPUTED_VALUE"""),"Uncle Sams Cider (04/04/2023)")</f>
        <v>Uncle Sams Cider (04/04/2023)</v>
      </c>
      <c r="H9833" s="19"/>
    </row>
    <row r="9834">
      <c r="A9834" s="9"/>
      <c r="B9834" s="15"/>
      <c r="C9834" s="9">
        <f>IFERROR(__xludf.DUMMYFUNCTION("""COMPUTED_VALUE"""),45040.7697351041)</f>
        <v>45040.76974</v>
      </c>
      <c r="D9834" s="15">
        <f>IFERROR(__xludf.DUMMYFUNCTION("""COMPUTED_VALUE"""),1.035)</f>
        <v>1.035</v>
      </c>
      <c r="E9834" s="16">
        <f>IFERROR(__xludf.DUMMYFUNCTION("""COMPUTED_VALUE"""),63.0)</f>
        <v>63</v>
      </c>
      <c r="F9834" s="19" t="str">
        <f>IFERROR(__xludf.DUMMYFUNCTION("""COMPUTED_VALUE"""),"BLUE")</f>
        <v>BLUE</v>
      </c>
      <c r="G9834" s="20" t="str">
        <f>IFERROR(__xludf.DUMMYFUNCTION("""COMPUTED_VALUE"""),"Uncle Sams Cider (04/04/2023)")</f>
        <v>Uncle Sams Cider (04/04/2023)</v>
      </c>
      <c r="H9834" s="19"/>
    </row>
    <row r="9835">
      <c r="A9835" s="9"/>
      <c r="B9835" s="15"/>
      <c r="C9835" s="9">
        <f>IFERROR(__xludf.DUMMYFUNCTION("""COMPUTED_VALUE"""),45040.7593143402)</f>
        <v>45040.75931</v>
      </c>
      <c r="D9835" s="15">
        <f>IFERROR(__xludf.DUMMYFUNCTION("""COMPUTED_VALUE"""),1.035)</f>
        <v>1.035</v>
      </c>
      <c r="E9835" s="16">
        <f>IFERROR(__xludf.DUMMYFUNCTION("""COMPUTED_VALUE"""),63.0)</f>
        <v>63</v>
      </c>
      <c r="F9835" s="19" t="str">
        <f>IFERROR(__xludf.DUMMYFUNCTION("""COMPUTED_VALUE"""),"BLUE")</f>
        <v>BLUE</v>
      </c>
      <c r="G9835" s="20" t="str">
        <f>IFERROR(__xludf.DUMMYFUNCTION("""COMPUTED_VALUE"""),"Uncle Sams Cider (04/04/2023)")</f>
        <v>Uncle Sams Cider (04/04/2023)</v>
      </c>
      <c r="H9835" s="19"/>
    </row>
    <row r="9836">
      <c r="A9836" s="9"/>
      <c r="B9836" s="15"/>
      <c r="C9836" s="9">
        <f>IFERROR(__xludf.DUMMYFUNCTION("""COMPUTED_VALUE"""),45040.7488942708)</f>
        <v>45040.74889</v>
      </c>
      <c r="D9836" s="15">
        <f>IFERROR(__xludf.DUMMYFUNCTION("""COMPUTED_VALUE"""),1.035)</f>
        <v>1.035</v>
      </c>
      <c r="E9836" s="16">
        <f>IFERROR(__xludf.DUMMYFUNCTION("""COMPUTED_VALUE"""),63.0)</f>
        <v>63</v>
      </c>
      <c r="F9836" s="19" t="str">
        <f>IFERROR(__xludf.DUMMYFUNCTION("""COMPUTED_VALUE"""),"BLUE")</f>
        <v>BLUE</v>
      </c>
      <c r="G9836" s="20" t="str">
        <f>IFERROR(__xludf.DUMMYFUNCTION("""COMPUTED_VALUE"""),"Uncle Sams Cider (04/04/2023)")</f>
        <v>Uncle Sams Cider (04/04/2023)</v>
      </c>
      <c r="H9836" s="19"/>
    </row>
    <row r="9837">
      <c r="A9837" s="9"/>
      <c r="B9837" s="15"/>
      <c r="C9837" s="9">
        <f>IFERROR(__xludf.DUMMYFUNCTION("""COMPUTED_VALUE"""),45040.7384633912)</f>
        <v>45040.73846</v>
      </c>
      <c r="D9837" s="15">
        <f>IFERROR(__xludf.DUMMYFUNCTION("""COMPUTED_VALUE"""),1.035)</f>
        <v>1.035</v>
      </c>
      <c r="E9837" s="16">
        <f>IFERROR(__xludf.DUMMYFUNCTION("""COMPUTED_VALUE"""),63.0)</f>
        <v>63</v>
      </c>
      <c r="F9837" s="19" t="str">
        <f>IFERROR(__xludf.DUMMYFUNCTION("""COMPUTED_VALUE"""),"BLUE")</f>
        <v>BLUE</v>
      </c>
      <c r="G9837" s="20" t="str">
        <f>IFERROR(__xludf.DUMMYFUNCTION("""COMPUTED_VALUE"""),"Uncle Sams Cider (04/04/2023)")</f>
        <v>Uncle Sams Cider (04/04/2023)</v>
      </c>
      <c r="H9837" s="19"/>
    </row>
    <row r="9838">
      <c r="A9838" s="9"/>
      <c r="B9838" s="15"/>
      <c r="C9838" s="9">
        <f>IFERROR(__xludf.DUMMYFUNCTION("""COMPUTED_VALUE"""),45040.7280432407)</f>
        <v>45040.72804</v>
      </c>
      <c r="D9838" s="15">
        <f>IFERROR(__xludf.DUMMYFUNCTION("""COMPUTED_VALUE"""),1.035)</f>
        <v>1.035</v>
      </c>
      <c r="E9838" s="16">
        <f>IFERROR(__xludf.DUMMYFUNCTION("""COMPUTED_VALUE"""),63.0)</f>
        <v>63</v>
      </c>
      <c r="F9838" s="19" t="str">
        <f>IFERROR(__xludf.DUMMYFUNCTION("""COMPUTED_VALUE"""),"BLUE")</f>
        <v>BLUE</v>
      </c>
      <c r="G9838" s="20" t="str">
        <f>IFERROR(__xludf.DUMMYFUNCTION("""COMPUTED_VALUE"""),"Uncle Sams Cider (04/04/2023)")</f>
        <v>Uncle Sams Cider (04/04/2023)</v>
      </c>
      <c r="H9838" s="19"/>
    </row>
    <row r="9839">
      <c r="A9839" s="9"/>
      <c r="B9839" s="15"/>
      <c r="C9839" s="9">
        <f>IFERROR(__xludf.DUMMYFUNCTION("""COMPUTED_VALUE"""),45040.7176230787)</f>
        <v>45040.71762</v>
      </c>
      <c r="D9839" s="15">
        <f>IFERROR(__xludf.DUMMYFUNCTION("""COMPUTED_VALUE"""),1.035)</f>
        <v>1.035</v>
      </c>
      <c r="E9839" s="16">
        <f>IFERROR(__xludf.DUMMYFUNCTION("""COMPUTED_VALUE"""),63.0)</f>
        <v>63</v>
      </c>
      <c r="F9839" s="19" t="str">
        <f>IFERROR(__xludf.DUMMYFUNCTION("""COMPUTED_VALUE"""),"BLUE")</f>
        <v>BLUE</v>
      </c>
      <c r="G9839" s="20" t="str">
        <f>IFERROR(__xludf.DUMMYFUNCTION("""COMPUTED_VALUE"""),"Uncle Sams Cider (04/04/2023)")</f>
        <v>Uncle Sams Cider (04/04/2023)</v>
      </c>
      <c r="H9839" s="19"/>
    </row>
    <row r="9840">
      <c r="A9840" s="9"/>
      <c r="B9840" s="15"/>
      <c r="C9840" s="9">
        <f>IFERROR(__xludf.DUMMYFUNCTION("""COMPUTED_VALUE"""),45040.7072010301)</f>
        <v>45040.7072</v>
      </c>
      <c r="D9840" s="15">
        <f>IFERROR(__xludf.DUMMYFUNCTION("""COMPUTED_VALUE"""),1.035)</f>
        <v>1.035</v>
      </c>
      <c r="E9840" s="16">
        <f>IFERROR(__xludf.DUMMYFUNCTION("""COMPUTED_VALUE"""),63.0)</f>
        <v>63</v>
      </c>
      <c r="F9840" s="19" t="str">
        <f>IFERROR(__xludf.DUMMYFUNCTION("""COMPUTED_VALUE"""),"BLUE")</f>
        <v>BLUE</v>
      </c>
      <c r="G9840" s="20" t="str">
        <f>IFERROR(__xludf.DUMMYFUNCTION("""COMPUTED_VALUE"""),"Uncle Sams Cider (04/04/2023)")</f>
        <v>Uncle Sams Cider (04/04/2023)</v>
      </c>
      <c r="H9840" s="19"/>
    </row>
    <row r="9841">
      <c r="A9841" s="9"/>
      <c r="B9841" s="15"/>
      <c r="C9841" s="9">
        <f>IFERROR(__xludf.DUMMYFUNCTION("""COMPUTED_VALUE"""),45040.6967797569)</f>
        <v>45040.69678</v>
      </c>
      <c r="D9841" s="15">
        <f>IFERROR(__xludf.DUMMYFUNCTION("""COMPUTED_VALUE"""),1.035)</f>
        <v>1.035</v>
      </c>
      <c r="E9841" s="16">
        <f>IFERROR(__xludf.DUMMYFUNCTION("""COMPUTED_VALUE"""),63.0)</f>
        <v>63</v>
      </c>
      <c r="F9841" s="19" t="str">
        <f>IFERROR(__xludf.DUMMYFUNCTION("""COMPUTED_VALUE"""),"BLUE")</f>
        <v>BLUE</v>
      </c>
      <c r="G9841" s="20" t="str">
        <f>IFERROR(__xludf.DUMMYFUNCTION("""COMPUTED_VALUE"""),"Uncle Sams Cider (04/04/2023)")</f>
        <v>Uncle Sams Cider (04/04/2023)</v>
      </c>
      <c r="H9841" s="19"/>
    </row>
    <row r="9842">
      <c r="A9842" s="9"/>
      <c r="B9842" s="15"/>
      <c r="C9842" s="9">
        <f>IFERROR(__xludf.DUMMYFUNCTION("""COMPUTED_VALUE"""),45040.6863585879)</f>
        <v>45040.68636</v>
      </c>
      <c r="D9842" s="15">
        <f>IFERROR(__xludf.DUMMYFUNCTION("""COMPUTED_VALUE"""),1.035)</f>
        <v>1.035</v>
      </c>
      <c r="E9842" s="16">
        <f>IFERROR(__xludf.DUMMYFUNCTION("""COMPUTED_VALUE"""),63.0)</f>
        <v>63</v>
      </c>
      <c r="F9842" s="19" t="str">
        <f>IFERROR(__xludf.DUMMYFUNCTION("""COMPUTED_VALUE"""),"BLUE")</f>
        <v>BLUE</v>
      </c>
      <c r="G9842" s="20" t="str">
        <f>IFERROR(__xludf.DUMMYFUNCTION("""COMPUTED_VALUE"""),"Uncle Sams Cider (04/04/2023)")</f>
        <v>Uncle Sams Cider (04/04/2023)</v>
      </c>
      <c r="H9842" s="19"/>
    </row>
    <row r="9843">
      <c r="A9843" s="9"/>
      <c r="B9843" s="15"/>
      <c r="C9843" s="9">
        <f>IFERROR(__xludf.DUMMYFUNCTION("""COMPUTED_VALUE"""),45040.675940324)</f>
        <v>45040.67594</v>
      </c>
      <c r="D9843" s="15">
        <f>IFERROR(__xludf.DUMMYFUNCTION("""COMPUTED_VALUE"""),1.035)</f>
        <v>1.035</v>
      </c>
      <c r="E9843" s="16">
        <f>IFERROR(__xludf.DUMMYFUNCTION("""COMPUTED_VALUE"""),63.0)</f>
        <v>63</v>
      </c>
      <c r="F9843" s="19" t="str">
        <f>IFERROR(__xludf.DUMMYFUNCTION("""COMPUTED_VALUE"""),"BLUE")</f>
        <v>BLUE</v>
      </c>
      <c r="G9843" s="20" t="str">
        <f>IFERROR(__xludf.DUMMYFUNCTION("""COMPUTED_VALUE"""),"Uncle Sams Cider (04/04/2023)")</f>
        <v>Uncle Sams Cider (04/04/2023)</v>
      </c>
      <c r="H9843" s="19"/>
    </row>
    <row r="9844">
      <c r="A9844" s="9"/>
      <c r="B9844" s="15"/>
      <c r="C9844" s="9">
        <f>IFERROR(__xludf.DUMMYFUNCTION("""COMPUTED_VALUE"""),45040.6655181481)</f>
        <v>45040.66552</v>
      </c>
      <c r="D9844" s="15">
        <f>IFERROR(__xludf.DUMMYFUNCTION("""COMPUTED_VALUE"""),1.035)</f>
        <v>1.035</v>
      </c>
      <c r="E9844" s="16">
        <f>IFERROR(__xludf.DUMMYFUNCTION("""COMPUTED_VALUE"""),63.0)</f>
        <v>63</v>
      </c>
      <c r="F9844" s="19" t="str">
        <f>IFERROR(__xludf.DUMMYFUNCTION("""COMPUTED_VALUE"""),"BLUE")</f>
        <v>BLUE</v>
      </c>
      <c r="G9844" s="20" t="str">
        <f>IFERROR(__xludf.DUMMYFUNCTION("""COMPUTED_VALUE"""),"Uncle Sams Cider (04/04/2023)")</f>
        <v>Uncle Sams Cider (04/04/2023)</v>
      </c>
      <c r="H9844" s="19"/>
    </row>
    <row r="9845">
      <c r="A9845" s="9"/>
      <c r="B9845" s="15"/>
      <c r="C9845" s="9">
        <f>IFERROR(__xludf.DUMMYFUNCTION("""COMPUTED_VALUE"""),45040.6550984259)</f>
        <v>45040.6551</v>
      </c>
      <c r="D9845" s="15">
        <f>IFERROR(__xludf.DUMMYFUNCTION("""COMPUTED_VALUE"""),1.035)</f>
        <v>1.035</v>
      </c>
      <c r="E9845" s="16">
        <f>IFERROR(__xludf.DUMMYFUNCTION("""COMPUTED_VALUE"""),63.0)</f>
        <v>63</v>
      </c>
      <c r="F9845" s="19" t="str">
        <f>IFERROR(__xludf.DUMMYFUNCTION("""COMPUTED_VALUE"""),"BLUE")</f>
        <v>BLUE</v>
      </c>
      <c r="G9845" s="20" t="str">
        <f>IFERROR(__xludf.DUMMYFUNCTION("""COMPUTED_VALUE"""),"Uncle Sams Cider (04/04/2023)")</f>
        <v>Uncle Sams Cider (04/04/2023)</v>
      </c>
      <c r="H9845" s="19"/>
    </row>
    <row r="9846">
      <c r="A9846" s="9"/>
      <c r="B9846" s="15"/>
      <c r="C9846" s="9">
        <f>IFERROR(__xludf.DUMMYFUNCTION("""COMPUTED_VALUE"""),45040.6446758449)</f>
        <v>45040.64468</v>
      </c>
      <c r="D9846" s="15">
        <f>IFERROR(__xludf.DUMMYFUNCTION("""COMPUTED_VALUE"""),1.035)</f>
        <v>1.035</v>
      </c>
      <c r="E9846" s="16">
        <f>IFERROR(__xludf.DUMMYFUNCTION("""COMPUTED_VALUE"""),63.0)</f>
        <v>63</v>
      </c>
      <c r="F9846" s="19" t="str">
        <f>IFERROR(__xludf.DUMMYFUNCTION("""COMPUTED_VALUE"""),"BLUE")</f>
        <v>BLUE</v>
      </c>
      <c r="G9846" s="20" t="str">
        <f>IFERROR(__xludf.DUMMYFUNCTION("""COMPUTED_VALUE"""),"Uncle Sams Cider (04/04/2023)")</f>
        <v>Uncle Sams Cider (04/04/2023)</v>
      </c>
      <c r="H9846" s="19"/>
    </row>
    <row r="9847">
      <c r="A9847" s="9"/>
      <c r="B9847" s="15"/>
      <c r="C9847" s="9">
        <f>IFERROR(__xludf.DUMMYFUNCTION("""COMPUTED_VALUE"""),45040.6342512731)</f>
        <v>45040.63425</v>
      </c>
      <c r="D9847" s="15">
        <f>IFERROR(__xludf.DUMMYFUNCTION("""COMPUTED_VALUE"""),1.035)</f>
        <v>1.035</v>
      </c>
      <c r="E9847" s="16">
        <f>IFERROR(__xludf.DUMMYFUNCTION("""COMPUTED_VALUE"""),63.0)</f>
        <v>63</v>
      </c>
      <c r="F9847" s="19" t="str">
        <f>IFERROR(__xludf.DUMMYFUNCTION("""COMPUTED_VALUE"""),"BLUE")</f>
        <v>BLUE</v>
      </c>
      <c r="G9847" s="20" t="str">
        <f>IFERROR(__xludf.DUMMYFUNCTION("""COMPUTED_VALUE"""),"Uncle Sams Cider (04/04/2023)")</f>
        <v>Uncle Sams Cider (04/04/2023)</v>
      </c>
      <c r="H9847" s="19"/>
    </row>
    <row r="9848">
      <c r="A9848" s="9"/>
      <c r="B9848" s="15"/>
      <c r="C9848" s="9">
        <f>IFERROR(__xludf.DUMMYFUNCTION("""COMPUTED_VALUE"""),45040.6238311458)</f>
        <v>45040.62383</v>
      </c>
      <c r="D9848" s="15">
        <f>IFERROR(__xludf.DUMMYFUNCTION("""COMPUTED_VALUE"""),1.035)</f>
        <v>1.035</v>
      </c>
      <c r="E9848" s="16">
        <f>IFERROR(__xludf.DUMMYFUNCTION("""COMPUTED_VALUE"""),63.0)</f>
        <v>63</v>
      </c>
      <c r="F9848" s="19" t="str">
        <f>IFERROR(__xludf.DUMMYFUNCTION("""COMPUTED_VALUE"""),"BLUE")</f>
        <v>BLUE</v>
      </c>
      <c r="G9848" s="20" t="str">
        <f>IFERROR(__xludf.DUMMYFUNCTION("""COMPUTED_VALUE"""),"Uncle Sams Cider (04/04/2023)")</f>
        <v>Uncle Sams Cider (04/04/2023)</v>
      </c>
      <c r="H9848" s="19"/>
    </row>
    <row r="9849">
      <c r="A9849" s="9"/>
      <c r="B9849" s="15"/>
      <c r="C9849" s="9">
        <f>IFERROR(__xludf.DUMMYFUNCTION("""COMPUTED_VALUE"""),45040.6134110069)</f>
        <v>45040.61341</v>
      </c>
      <c r="D9849" s="15">
        <f>IFERROR(__xludf.DUMMYFUNCTION("""COMPUTED_VALUE"""),1.035)</f>
        <v>1.035</v>
      </c>
      <c r="E9849" s="16">
        <f>IFERROR(__xludf.DUMMYFUNCTION("""COMPUTED_VALUE"""),63.0)</f>
        <v>63</v>
      </c>
      <c r="F9849" s="19" t="str">
        <f>IFERROR(__xludf.DUMMYFUNCTION("""COMPUTED_VALUE"""),"BLUE")</f>
        <v>BLUE</v>
      </c>
      <c r="G9849" s="20" t="str">
        <f>IFERROR(__xludf.DUMMYFUNCTION("""COMPUTED_VALUE"""),"Uncle Sams Cider (04/04/2023)")</f>
        <v>Uncle Sams Cider (04/04/2023)</v>
      </c>
      <c r="H9849" s="19"/>
    </row>
    <row r="9850">
      <c r="A9850" s="9"/>
      <c r="B9850" s="15"/>
      <c r="C9850" s="9">
        <f>IFERROR(__xludf.DUMMYFUNCTION("""COMPUTED_VALUE"""),45040.6029650578)</f>
        <v>45040.60297</v>
      </c>
      <c r="D9850" s="15">
        <f>IFERROR(__xludf.DUMMYFUNCTION("""COMPUTED_VALUE"""),1.035)</f>
        <v>1.035</v>
      </c>
      <c r="E9850" s="16">
        <f>IFERROR(__xludf.DUMMYFUNCTION("""COMPUTED_VALUE"""),63.0)</f>
        <v>63</v>
      </c>
      <c r="F9850" s="19" t="str">
        <f>IFERROR(__xludf.DUMMYFUNCTION("""COMPUTED_VALUE"""),"BLUE")</f>
        <v>BLUE</v>
      </c>
      <c r="G9850" s="20" t="str">
        <f>IFERROR(__xludf.DUMMYFUNCTION("""COMPUTED_VALUE"""),"Uncle Sams Cider (04/04/2023)")</f>
        <v>Uncle Sams Cider (04/04/2023)</v>
      </c>
      <c r="H9850" s="19"/>
    </row>
    <row r="9851">
      <c r="A9851" s="9"/>
      <c r="B9851" s="15"/>
      <c r="C9851" s="9">
        <f>IFERROR(__xludf.DUMMYFUNCTION("""COMPUTED_VALUE"""),45040.5925440856)</f>
        <v>45040.59254</v>
      </c>
      <c r="D9851" s="15">
        <f>IFERROR(__xludf.DUMMYFUNCTION("""COMPUTED_VALUE"""),1.035)</f>
        <v>1.035</v>
      </c>
      <c r="E9851" s="16">
        <f>IFERROR(__xludf.DUMMYFUNCTION("""COMPUTED_VALUE"""),63.0)</f>
        <v>63</v>
      </c>
      <c r="F9851" s="19" t="str">
        <f>IFERROR(__xludf.DUMMYFUNCTION("""COMPUTED_VALUE"""),"BLUE")</f>
        <v>BLUE</v>
      </c>
      <c r="G9851" s="20" t="str">
        <f>IFERROR(__xludf.DUMMYFUNCTION("""COMPUTED_VALUE"""),"Uncle Sams Cider (04/04/2023)")</f>
        <v>Uncle Sams Cider (04/04/2023)</v>
      </c>
      <c r="H9851" s="19"/>
    </row>
    <row r="9852">
      <c r="A9852" s="9"/>
      <c r="B9852" s="15"/>
      <c r="C9852" s="9">
        <f>IFERROR(__xludf.DUMMYFUNCTION("""COMPUTED_VALUE"""),45040.582123449)</f>
        <v>45040.58212</v>
      </c>
      <c r="D9852" s="15">
        <f>IFERROR(__xludf.DUMMYFUNCTION("""COMPUTED_VALUE"""),1.035)</f>
        <v>1.035</v>
      </c>
      <c r="E9852" s="16">
        <f>IFERROR(__xludf.DUMMYFUNCTION("""COMPUTED_VALUE"""),63.0)</f>
        <v>63</v>
      </c>
      <c r="F9852" s="19" t="str">
        <f>IFERROR(__xludf.DUMMYFUNCTION("""COMPUTED_VALUE"""),"BLUE")</f>
        <v>BLUE</v>
      </c>
      <c r="G9852" s="20" t="str">
        <f>IFERROR(__xludf.DUMMYFUNCTION("""COMPUTED_VALUE"""),"Uncle Sams Cider (04/04/2023)")</f>
        <v>Uncle Sams Cider (04/04/2023)</v>
      </c>
      <c r="H9852" s="19"/>
    </row>
    <row r="9853">
      <c r="A9853" s="9"/>
      <c r="B9853" s="15"/>
      <c r="C9853" s="9">
        <f>IFERROR(__xludf.DUMMYFUNCTION("""COMPUTED_VALUE"""),45040.5717022453)</f>
        <v>45040.5717</v>
      </c>
      <c r="D9853" s="15">
        <f>IFERROR(__xludf.DUMMYFUNCTION("""COMPUTED_VALUE"""),1.035)</f>
        <v>1.035</v>
      </c>
      <c r="E9853" s="16">
        <f>IFERROR(__xludf.DUMMYFUNCTION("""COMPUTED_VALUE"""),63.0)</f>
        <v>63</v>
      </c>
      <c r="F9853" s="19" t="str">
        <f>IFERROR(__xludf.DUMMYFUNCTION("""COMPUTED_VALUE"""),"BLUE")</f>
        <v>BLUE</v>
      </c>
      <c r="G9853" s="20" t="str">
        <f>IFERROR(__xludf.DUMMYFUNCTION("""COMPUTED_VALUE"""),"Uncle Sams Cider (04/04/2023)")</f>
        <v>Uncle Sams Cider (04/04/2023)</v>
      </c>
      <c r="H9853" s="19"/>
    </row>
    <row r="9854">
      <c r="A9854" s="9"/>
      <c r="B9854" s="15"/>
      <c r="C9854" s="9">
        <f>IFERROR(__xludf.DUMMYFUNCTION("""COMPUTED_VALUE"""),45040.561281655)</f>
        <v>45040.56128</v>
      </c>
      <c r="D9854" s="15">
        <f>IFERROR(__xludf.DUMMYFUNCTION("""COMPUTED_VALUE"""),1.035)</f>
        <v>1.035</v>
      </c>
      <c r="E9854" s="16">
        <f>IFERROR(__xludf.DUMMYFUNCTION("""COMPUTED_VALUE"""),63.0)</f>
        <v>63</v>
      </c>
      <c r="F9854" s="19" t="str">
        <f>IFERROR(__xludf.DUMMYFUNCTION("""COMPUTED_VALUE"""),"BLUE")</f>
        <v>BLUE</v>
      </c>
      <c r="G9854" s="20" t="str">
        <f>IFERROR(__xludf.DUMMYFUNCTION("""COMPUTED_VALUE"""),"Uncle Sams Cider (04/04/2023)")</f>
        <v>Uncle Sams Cider (04/04/2023)</v>
      </c>
      <c r="H9854" s="19"/>
    </row>
    <row r="9855">
      <c r="A9855" s="9"/>
      <c r="B9855" s="15"/>
      <c r="C9855" s="9">
        <f>IFERROR(__xludf.DUMMYFUNCTION("""COMPUTED_VALUE"""),45040.550860625)</f>
        <v>45040.55086</v>
      </c>
      <c r="D9855" s="15">
        <f>IFERROR(__xludf.DUMMYFUNCTION("""COMPUTED_VALUE"""),1.035)</f>
        <v>1.035</v>
      </c>
      <c r="E9855" s="16">
        <f>IFERROR(__xludf.DUMMYFUNCTION("""COMPUTED_VALUE"""),63.0)</f>
        <v>63</v>
      </c>
      <c r="F9855" s="19" t="str">
        <f>IFERROR(__xludf.DUMMYFUNCTION("""COMPUTED_VALUE"""),"BLUE")</f>
        <v>BLUE</v>
      </c>
      <c r="G9855" s="20" t="str">
        <f>IFERROR(__xludf.DUMMYFUNCTION("""COMPUTED_VALUE"""),"Uncle Sams Cider (04/04/2023)")</f>
        <v>Uncle Sams Cider (04/04/2023)</v>
      </c>
      <c r="H9855" s="19"/>
    </row>
    <row r="9856">
      <c r="A9856" s="9"/>
      <c r="B9856" s="15"/>
      <c r="C9856" s="9">
        <f>IFERROR(__xludf.DUMMYFUNCTION("""COMPUTED_VALUE"""),45040.5404402199)</f>
        <v>45040.54044</v>
      </c>
      <c r="D9856" s="15">
        <f>IFERROR(__xludf.DUMMYFUNCTION("""COMPUTED_VALUE"""),1.035)</f>
        <v>1.035</v>
      </c>
      <c r="E9856" s="16">
        <f>IFERROR(__xludf.DUMMYFUNCTION("""COMPUTED_VALUE"""),63.0)</f>
        <v>63</v>
      </c>
      <c r="F9856" s="19" t="str">
        <f>IFERROR(__xludf.DUMMYFUNCTION("""COMPUTED_VALUE"""),"BLUE")</f>
        <v>BLUE</v>
      </c>
      <c r="G9856" s="20" t="str">
        <f>IFERROR(__xludf.DUMMYFUNCTION("""COMPUTED_VALUE"""),"Uncle Sams Cider (04/04/2023)")</f>
        <v>Uncle Sams Cider (04/04/2023)</v>
      </c>
      <c r="H9856" s="19"/>
    </row>
    <row r="9857">
      <c r="A9857" s="9"/>
      <c r="B9857" s="15"/>
      <c r="C9857" s="9">
        <f>IFERROR(__xludf.DUMMYFUNCTION("""COMPUTED_VALUE"""),45040.5300185995)</f>
        <v>45040.53002</v>
      </c>
      <c r="D9857" s="15">
        <f>IFERROR(__xludf.DUMMYFUNCTION("""COMPUTED_VALUE"""),1.035)</f>
        <v>1.035</v>
      </c>
      <c r="E9857" s="16">
        <f>IFERROR(__xludf.DUMMYFUNCTION("""COMPUTED_VALUE"""),63.0)</f>
        <v>63</v>
      </c>
      <c r="F9857" s="19" t="str">
        <f>IFERROR(__xludf.DUMMYFUNCTION("""COMPUTED_VALUE"""),"BLUE")</f>
        <v>BLUE</v>
      </c>
      <c r="G9857" s="20" t="str">
        <f>IFERROR(__xludf.DUMMYFUNCTION("""COMPUTED_VALUE"""),"Uncle Sams Cider (04/04/2023)")</f>
        <v>Uncle Sams Cider (04/04/2023)</v>
      </c>
      <c r="H9857" s="19"/>
    </row>
    <row r="9858">
      <c r="A9858" s="9"/>
      <c r="B9858" s="15"/>
      <c r="C9858" s="9">
        <f>IFERROR(__xludf.DUMMYFUNCTION("""COMPUTED_VALUE"""),45040.5195965162)</f>
        <v>45040.5196</v>
      </c>
      <c r="D9858" s="15">
        <f>IFERROR(__xludf.DUMMYFUNCTION("""COMPUTED_VALUE"""),1.035)</f>
        <v>1.035</v>
      </c>
      <c r="E9858" s="16">
        <f>IFERROR(__xludf.DUMMYFUNCTION("""COMPUTED_VALUE"""),63.0)</f>
        <v>63</v>
      </c>
      <c r="F9858" s="19" t="str">
        <f>IFERROR(__xludf.DUMMYFUNCTION("""COMPUTED_VALUE"""),"BLUE")</f>
        <v>BLUE</v>
      </c>
      <c r="G9858" s="20" t="str">
        <f>IFERROR(__xludf.DUMMYFUNCTION("""COMPUTED_VALUE"""),"Uncle Sams Cider (04/04/2023)")</f>
        <v>Uncle Sams Cider (04/04/2023)</v>
      </c>
      <c r="H9858" s="19"/>
    </row>
    <row r="9859">
      <c r="A9859" s="9"/>
      <c r="B9859" s="15"/>
      <c r="C9859" s="9">
        <f>IFERROR(__xludf.DUMMYFUNCTION("""COMPUTED_VALUE"""),45040.5091768634)</f>
        <v>45040.50918</v>
      </c>
      <c r="D9859" s="15">
        <f>IFERROR(__xludf.DUMMYFUNCTION("""COMPUTED_VALUE"""),1.035)</f>
        <v>1.035</v>
      </c>
      <c r="E9859" s="16">
        <f>IFERROR(__xludf.DUMMYFUNCTION("""COMPUTED_VALUE"""),63.0)</f>
        <v>63</v>
      </c>
      <c r="F9859" s="19" t="str">
        <f>IFERROR(__xludf.DUMMYFUNCTION("""COMPUTED_VALUE"""),"BLUE")</f>
        <v>BLUE</v>
      </c>
      <c r="G9859" s="20" t="str">
        <f>IFERROR(__xludf.DUMMYFUNCTION("""COMPUTED_VALUE"""),"Uncle Sams Cider (04/04/2023)")</f>
        <v>Uncle Sams Cider (04/04/2023)</v>
      </c>
      <c r="H9859" s="19"/>
    </row>
    <row r="9860">
      <c r="A9860" s="9"/>
      <c r="B9860" s="15"/>
      <c r="C9860" s="9">
        <f>IFERROR(__xludf.DUMMYFUNCTION("""COMPUTED_VALUE"""),45040.498756956)</f>
        <v>45040.49876</v>
      </c>
      <c r="D9860" s="15">
        <f>IFERROR(__xludf.DUMMYFUNCTION("""COMPUTED_VALUE"""),1.036)</f>
        <v>1.036</v>
      </c>
      <c r="E9860" s="16">
        <f>IFERROR(__xludf.DUMMYFUNCTION("""COMPUTED_VALUE"""),63.0)</f>
        <v>63</v>
      </c>
      <c r="F9860" s="19" t="str">
        <f>IFERROR(__xludf.DUMMYFUNCTION("""COMPUTED_VALUE"""),"BLUE")</f>
        <v>BLUE</v>
      </c>
      <c r="G9860" s="20" t="str">
        <f>IFERROR(__xludf.DUMMYFUNCTION("""COMPUTED_VALUE"""),"Uncle Sams Cider (04/04/2023)")</f>
        <v>Uncle Sams Cider (04/04/2023)</v>
      </c>
      <c r="H9860" s="19"/>
    </row>
    <row r="9861">
      <c r="A9861" s="9"/>
      <c r="B9861" s="15"/>
      <c r="C9861" s="9">
        <f>IFERROR(__xludf.DUMMYFUNCTION("""COMPUTED_VALUE"""),45040.4883346759)</f>
        <v>45040.48833</v>
      </c>
      <c r="D9861" s="15">
        <f>IFERROR(__xludf.DUMMYFUNCTION("""COMPUTED_VALUE"""),1.035)</f>
        <v>1.035</v>
      </c>
      <c r="E9861" s="16">
        <f>IFERROR(__xludf.DUMMYFUNCTION("""COMPUTED_VALUE"""),64.0)</f>
        <v>64</v>
      </c>
      <c r="F9861" s="19" t="str">
        <f>IFERROR(__xludf.DUMMYFUNCTION("""COMPUTED_VALUE"""),"BLUE")</f>
        <v>BLUE</v>
      </c>
      <c r="G9861" s="20" t="str">
        <f>IFERROR(__xludf.DUMMYFUNCTION("""COMPUTED_VALUE"""),"Uncle Sams Cider (04/04/2023)")</f>
        <v>Uncle Sams Cider (04/04/2023)</v>
      </c>
      <c r="H9861" s="19"/>
    </row>
    <row r="9862">
      <c r="A9862" s="9"/>
      <c r="B9862" s="15"/>
      <c r="C9862" s="9">
        <f>IFERROR(__xludf.DUMMYFUNCTION("""COMPUTED_VALUE"""),45040.4779036226)</f>
        <v>45040.4779</v>
      </c>
      <c r="D9862" s="15">
        <f>IFERROR(__xludf.DUMMYFUNCTION("""COMPUTED_VALUE"""),1.035)</f>
        <v>1.035</v>
      </c>
      <c r="E9862" s="16">
        <f>IFERROR(__xludf.DUMMYFUNCTION("""COMPUTED_VALUE"""),63.0)</f>
        <v>63</v>
      </c>
      <c r="F9862" s="19" t="str">
        <f>IFERROR(__xludf.DUMMYFUNCTION("""COMPUTED_VALUE"""),"BLUE")</f>
        <v>BLUE</v>
      </c>
      <c r="G9862" s="20" t="str">
        <f>IFERROR(__xludf.DUMMYFUNCTION("""COMPUTED_VALUE"""),"Uncle Sams Cider (04/04/2023)")</f>
        <v>Uncle Sams Cider (04/04/2023)</v>
      </c>
      <c r="H9862" s="19"/>
    </row>
    <row r="9863">
      <c r="A9863" s="9"/>
      <c r="B9863" s="15"/>
      <c r="C9863" s="9">
        <f>IFERROR(__xludf.DUMMYFUNCTION("""COMPUTED_VALUE"""),45040.4674713194)</f>
        <v>45040.46747</v>
      </c>
      <c r="D9863" s="15">
        <f>IFERROR(__xludf.DUMMYFUNCTION("""COMPUTED_VALUE"""),1.036)</f>
        <v>1.036</v>
      </c>
      <c r="E9863" s="16">
        <f>IFERROR(__xludf.DUMMYFUNCTION("""COMPUTED_VALUE"""),63.0)</f>
        <v>63</v>
      </c>
      <c r="F9863" s="19" t="str">
        <f>IFERROR(__xludf.DUMMYFUNCTION("""COMPUTED_VALUE"""),"BLUE")</f>
        <v>BLUE</v>
      </c>
      <c r="G9863" s="20" t="str">
        <f>IFERROR(__xludf.DUMMYFUNCTION("""COMPUTED_VALUE"""),"Uncle Sams Cider (04/04/2023)")</f>
        <v>Uncle Sams Cider (04/04/2023)</v>
      </c>
      <c r="H9863" s="19"/>
    </row>
    <row r="9864">
      <c r="A9864" s="9"/>
      <c r="B9864" s="15"/>
      <c r="C9864" s="9">
        <f>IFERROR(__xludf.DUMMYFUNCTION("""COMPUTED_VALUE"""),45040.4570375231)</f>
        <v>45040.45704</v>
      </c>
      <c r="D9864" s="15">
        <f>IFERROR(__xludf.DUMMYFUNCTION("""COMPUTED_VALUE"""),1.035)</f>
        <v>1.035</v>
      </c>
      <c r="E9864" s="16">
        <f>IFERROR(__xludf.DUMMYFUNCTION("""COMPUTED_VALUE"""),63.0)</f>
        <v>63</v>
      </c>
      <c r="F9864" s="19" t="str">
        <f>IFERROR(__xludf.DUMMYFUNCTION("""COMPUTED_VALUE"""),"BLUE")</f>
        <v>BLUE</v>
      </c>
      <c r="G9864" s="20" t="str">
        <f>IFERROR(__xludf.DUMMYFUNCTION("""COMPUTED_VALUE"""),"Uncle Sams Cider (04/04/2023)")</f>
        <v>Uncle Sams Cider (04/04/2023)</v>
      </c>
      <c r="H9864" s="19"/>
    </row>
    <row r="9865">
      <c r="A9865" s="9"/>
      <c r="B9865" s="15"/>
      <c r="C9865" s="9">
        <f>IFERROR(__xludf.DUMMYFUNCTION("""COMPUTED_VALUE"""),45040.4466160763)</f>
        <v>45040.44662</v>
      </c>
      <c r="D9865" s="15">
        <f>IFERROR(__xludf.DUMMYFUNCTION("""COMPUTED_VALUE"""),1.035)</f>
        <v>1.035</v>
      </c>
      <c r="E9865" s="16">
        <f>IFERROR(__xludf.DUMMYFUNCTION("""COMPUTED_VALUE"""),64.0)</f>
        <v>64</v>
      </c>
      <c r="F9865" s="19" t="str">
        <f>IFERROR(__xludf.DUMMYFUNCTION("""COMPUTED_VALUE"""),"BLUE")</f>
        <v>BLUE</v>
      </c>
      <c r="G9865" s="20" t="str">
        <f>IFERROR(__xludf.DUMMYFUNCTION("""COMPUTED_VALUE"""),"Uncle Sams Cider (04/04/2023)")</f>
        <v>Uncle Sams Cider (04/04/2023)</v>
      </c>
      <c r="H9865" s="19"/>
    </row>
    <row r="9866">
      <c r="A9866" s="9"/>
      <c r="B9866" s="15"/>
      <c r="C9866" s="9">
        <f>IFERROR(__xludf.DUMMYFUNCTION("""COMPUTED_VALUE"""),45040.4361943171)</f>
        <v>45040.43619</v>
      </c>
      <c r="D9866" s="15">
        <f>IFERROR(__xludf.DUMMYFUNCTION("""COMPUTED_VALUE"""),1.035)</f>
        <v>1.035</v>
      </c>
      <c r="E9866" s="16">
        <f>IFERROR(__xludf.DUMMYFUNCTION("""COMPUTED_VALUE"""),64.0)</f>
        <v>64</v>
      </c>
      <c r="F9866" s="19" t="str">
        <f>IFERROR(__xludf.DUMMYFUNCTION("""COMPUTED_VALUE"""),"BLUE")</f>
        <v>BLUE</v>
      </c>
      <c r="G9866" s="20" t="str">
        <f>IFERROR(__xludf.DUMMYFUNCTION("""COMPUTED_VALUE"""),"Uncle Sams Cider (04/04/2023)")</f>
        <v>Uncle Sams Cider (04/04/2023)</v>
      </c>
      <c r="H9866" s="19"/>
    </row>
    <row r="9867">
      <c r="A9867" s="9"/>
      <c r="B9867" s="15"/>
      <c r="C9867" s="9">
        <f>IFERROR(__xludf.DUMMYFUNCTION("""COMPUTED_VALUE"""),45040.4257735069)</f>
        <v>45040.42577</v>
      </c>
      <c r="D9867" s="15">
        <f>IFERROR(__xludf.DUMMYFUNCTION("""COMPUTED_VALUE"""),1.035)</f>
        <v>1.035</v>
      </c>
      <c r="E9867" s="16">
        <f>IFERROR(__xludf.DUMMYFUNCTION("""COMPUTED_VALUE"""),63.0)</f>
        <v>63</v>
      </c>
      <c r="F9867" s="19" t="str">
        <f>IFERROR(__xludf.DUMMYFUNCTION("""COMPUTED_VALUE"""),"BLUE")</f>
        <v>BLUE</v>
      </c>
      <c r="G9867" s="20" t="str">
        <f>IFERROR(__xludf.DUMMYFUNCTION("""COMPUTED_VALUE"""),"Uncle Sams Cider (04/04/2023)")</f>
        <v>Uncle Sams Cider (04/04/2023)</v>
      </c>
      <c r="H9867" s="19"/>
    </row>
    <row r="9868">
      <c r="A9868" s="9"/>
      <c r="B9868" s="15"/>
      <c r="C9868" s="9">
        <f>IFERROR(__xludf.DUMMYFUNCTION("""COMPUTED_VALUE"""),45040.415351493)</f>
        <v>45040.41535</v>
      </c>
      <c r="D9868" s="15">
        <f>IFERROR(__xludf.DUMMYFUNCTION("""COMPUTED_VALUE"""),1.035)</f>
        <v>1.035</v>
      </c>
      <c r="E9868" s="16">
        <f>IFERROR(__xludf.DUMMYFUNCTION("""COMPUTED_VALUE"""),64.0)</f>
        <v>64</v>
      </c>
      <c r="F9868" s="19" t="str">
        <f>IFERROR(__xludf.DUMMYFUNCTION("""COMPUTED_VALUE"""),"BLUE")</f>
        <v>BLUE</v>
      </c>
      <c r="G9868" s="20" t="str">
        <f>IFERROR(__xludf.DUMMYFUNCTION("""COMPUTED_VALUE"""),"Uncle Sams Cider (04/04/2023)")</f>
        <v>Uncle Sams Cider (04/04/2023)</v>
      </c>
      <c r="H9868" s="19"/>
    </row>
    <row r="9869">
      <c r="A9869" s="9"/>
      <c r="B9869" s="15"/>
      <c r="C9869" s="9">
        <f>IFERROR(__xludf.DUMMYFUNCTION("""COMPUTED_VALUE"""),45040.4049280787)</f>
        <v>45040.40493</v>
      </c>
      <c r="D9869" s="15">
        <f>IFERROR(__xludf.DUMMYFUNCTION("""COMPUTED_VALUE"""),1.036)</f>
        <v>1.036</v>
      </c>
      <c r="E9869" s="16">
        <f>IFERROR(__xludf.DUMMYFUNCTION("""COMPUTED_VALUE"""),64.0)</f>
        <v>64</v>
      </c>
      <c r="F9869" s="19" t="str">
        <f>IFERROR(__xludf.DUMMYFUNCTION("""COMPUTED_VALUE"""),"BLUE")</f>
        <v>BLUE</v>
      </c>
      <c r="G9869" s="20" t="str">
        <f>IFERROR(__xludf.DUMMYFUNCTION("""COMPUTED_VALUE"""),"Uncle Sams Cider (04/04/2023)")</f>
        <v>Uncle Sams Cider (04/04/2023)</v>
      </c>
      <c r="H9869" s="19"/>
    </row>
    <row r="9870">
      <c r="A9870" s="9"/>
      <c r="B9870" s="15"/>
      <c r="C9870" s="9">
        <f>IFERROR(__xludf.DUMMYFUNCTION("""COMPUTED_VALUE"""),45040.3945097569)</f>
        <v>45040.39451</v>
      </c>
      <c r="D9870" s="15">
        <f>IFERROR(__xludf.DUMMYFUNCTION("""COMPUTED_VALUE"""),1.035)</f>
        <v>1.035</v>
      </c>
      <c r="E9870" s="16">
        <f>IFERROR(__xludf.DUMMYFUNCTION("""COMPUTED_VALUE"""),64.0)</f>
        <v>64</v>
      </c>
      <c r="F9870" s="19" t="str">
        <f>IFERROR(__xludf.DUMMYFUNCTION("""COMPUTED_VALUE"""),"BLUE")</f>
        <v>BLUE</v>
      </c>
      <c r="G9870" s="20" t="str">
        <f>IFERROR(__xludf.DUMMYFUNCTION("""COMPUTED_VALUE"""),"Uncle Sams Cider (04/04/2023)")</f>
        <v>Uncle Sams Cider (04/04/2023)</v>
      </c>
      <c r="H9870" s="19"/>
    </row>
    <row r="9871">
      <c r="A9871" s="9"/>
      <c r="B9871" s="15"/>
      <c r="C9871" s="9">
        <f>IFERROR(__xludf.DUMMYFUNCTION("""COMPUTED_VALUE"""),45040.3840917361)</f>
        <v>45040.38409</v>
      </c>
      <c r="D9871" s="15">
        <f>IFERROR(__xludf.DUMMYFUNCTION("""COMPUTED_VALUE"""),1.036)</f>
        <v>1.036</v>
      </c>
      <c r="E9871" s="16">
        <f>IFERROR(__xludf.DUMMYFUNCTION("""COMPUTED_VALUE"""),64.0)</f>
        <v>64</v>
      </c>
      <c r="F9871" s="19" t="str">
        <f>IFERROR(__xludf.DUMMYFUNCTION("""COMPUTED_VALUE"""),"BLUE")</f>
        <v>BLUE</v>
      </c>
      <c r="G9871" s="20" t="str">
        <f>IFERROR(__xludf.DUMMYFUNCTION("""COMPUTED_VALUE"""),"Uncle Sams Cider (04/04/2023)")</f>
        <v>Uncle Sams Cider (04/04/2023)</v>
      </c>
      <c r="H9871" s="19"/>
    </row>
    <row r="9872">
      <c r="A9872" s="9"/>
      <c r="B9872" s="15"/>
      <c r="C9872" s="9">
        <f>IFERROR(__xludf.DUMMYFUNCTION("""COMPUTED_VALUE"""),45040.3736699074)</f>
        <v>45040.37367</v>
      </c>
      <c r="D9872" s="15">
        <f>IFERROR(__xludf.DUMMYFUNCTION("""COMPUTED_VALUE"""),1.036)</f>
        <v>1.036</v>
      </c>
      <c r="E9872" s="16">
        <f>IFERROR(__xludf.DUMMYFUNCTION("""COMPUTED_VALUE"""),64.0)</f>
        <v>64</v>
      </c>
      <c r="F9872" s="19" t="str">
        <f>IFERROR(__xludf.DUMMYFUNCTION("""COMPUTED_VALUE"""),"BLUE")</f>
        <v>BLUE</v>
      </c>
      <c r="G9872" s="20" t="str">
        <f>IFERROR(__xludf.DUMMYFUNCTION("""COMPUTED_VALUE"""),"Uncle Sams Cider (04/04/2023)")</f>
        <v>Uncle Sams Cider (04/04/2023)</v>
      </c>
      <c r="H9872" s="19"/>
    </row>
    <row r="9873">
      <c r="A9873" s="9"/>
      <c r="B9873" s="15"/>
      <c r="C9873" s="9">
        <f>IFERROR(__xludf.DUMMYFUNCTION("""COMPUTED_VALUE"""),45040.3632489467)</f>
        <v>45040.36325</v>
      </c>
      <c r="D9873" s="15">
        <f>IFERROR(__xludf.DUMMYFUNCTION("""COMPUTED_VALUE"""),1.036)</f>
        <v>1.036</v>
      </c>
      <c r="E9873" s="16">
        <f>IFERROR(__xludf.DUMMYFUNCTION("""COMPUTED_VALUE"""),64.0)</f>
        <v>64</v>
      </c>
      <c r="F9873" s="19" t="str">
        <f>IFERROR(__xludf.DUMMYFUNCTION("""COMPUTED_VALUE"""),"BLUE")</f>
        <v>BLUE</v>
      </c>
      <c r="G9873" s="20" t="str">
        <f>IFERROR(__xludf.DUMMYFUNCTION("""COMPUTED_VALUE"""),"Uncle Sams Cider (04/04/2023)")</f>
        <v>Uncle Sams Cider (04/04/2023)</v>
      </c>
      <c r="H9873" s="19"/>
    </row>
    <row r="9874">
      <c r="A9874" s="9"/>
      <c r="B9874" s="15"/>
      <c r="C9874" s="9">
        <f>IFERROR(__xludf.DUMMYFUNCTION("""COMPUTED_VALUE"""),45040.3528287615)</f>
        <v>45040.35283</v>
      </c>
      <c r="D9874" s="15">
        <f>IFERROR(__xludf.DUMMYFUNCTION("""COMPUTED_VALUE"""),1.036)</f>
        <v>1.036</v>
      </c>
      <c r="E9874" s="16">
        <f>IFERROR(__xludf.DUMMYFUNCTION("""COMPUTED_VALUE"""),64.0)</f>
        <v>64</v>
      </c>
      <c r="F9874" s="19" t="str">
        <f>IFERROR(__xludf.DUMMYFUNCTION("""COMPUTED_VALUE"""),"BLUE")</f>
        <v>BLUE</v>
      </c>
      <c r="G9874" s="20" t="str">
        <f>IFERROR(__xludf.DUMMYFUNCTION("""COMPUTED_VALUE"""),"Uncle Sams Cider (04/04/2023)")</f>
        <v>Uncle Sams Cider (04/04/2023)</v>
      </c>
      <c r="H9874" s="19"/>
    </row>
    <row r="9875">
      <c r="A9875" s="9"/>
      <c r="B9875" s="15"/>
      <c r="C9875" s="9">
        <f>IFERROR(__xludf.DUMMYFUNCTION("""COMPUTED_VALUE"""),45040.3424084838)</f>
        <v>45040.34241</v>
      </c>
      <c r="D9875" s="15">
        <f>IFERROR(__xludf.DUMMYFUNCTION("""COMPUTED_VALUE"""),1.036)</f>
        <v>1.036</v>
      </c>
      <c r="E9875" s="16">
        <f>IFERROR(__xludf.DUMMYFUNCTION("""COMPUTED_VALUE"""),64.0)</f>
        <v>64</v>
      </c>
      <c r="F9875" s="19" t="str">
        <f>IFERROR(__xludf.DUMMYFUNCTION("""COMPUTED_VALUE"""),"BLUE")</f>
        <v>BLUE</v>
      </c>
      <c r="G9875" s="20" t="str">
        <f>IFERROR(__xludf.DUMMYFUNCTION("""COMPUTED_VALUE"""),"Uncle Sams Cider (04/04/2023)")</f>
        <v>Uncle Sams Cider (04/04/2023)</v>
      </c>
      <c r="H9875" s="19"/>
    </row>
    <row r="9876">
      <c r="A9876" s="9"/>
      <c r="B9876" s="15"/>
      <c r="C9876" s="9">
        <f>IFERROR(__xludf.DUMMYFUNCTION("""COMPUTED_VALUE"""),45040.3319872801)</f>
        <v>45040.33199</v>
      </c>
      <c r="D9876" s="15">
        <f>IFERROR(__xludf.DUMMYFUNCTION("""COMPUTED_VALUE"""),1.036)</f>
        <v>1.036</v>
      </c>
      <c r="E9876" s="16">
        <f>IFERROR(__xludf.DUMMYFUNCTION("""COMPUTED_VALUE"""),64.0)</f>
        <v>64</v>
      </c>
      <c r="F9876" s="19" t="str">
        <f>IFERROR(__xludf.DUMMYFUNCTION("""COMPUTED_VALUE"""),"BLUE")</f>
        <v>BLUE</v>
      </c>
      <c r="G9876" s="20" t="str">
        <f>IFERROR(__xludf.DUMMYFUNCTION("""COMPUTED_VALUE"""),"Uncle Sams Cider (04/04/2023)")</f>
        <v>Uncle Sams Cider (04/04/2023)</v>
      </c>
      <c r="H9876" s="19"/>
    </row>
    <row r="9877">
      <c r="A9877" s="9"/>
      <c r="B9877" s="15"/>
      <c r="C9877" s="9">
        <f>IFERROR(__xludf.DUMMYFUNCTION("""COMPUTED_VALUE"""),45040.3215537615)</f>
        <v>45040.32155</v>
      </c>
      <c r="D9877" s="15">
        <f>IFERROR(__xludf.DUMMYFUNCTION("""COMPUTED_VALUE"""),1.036)</f>
        <v>1.036</v>
      </c>
      <c r="E9877" s="16">
        <f>IFERROR(__xludf.DUMMYFUNCTION("""COMPUTED_VALUE"""),64.0)</f>
        <v>64</v>
      </c>
      <c r="F9877" s="19" t="str">
        <f>IFERROR(__xludf.DUMMYFUNCTION("""COMPUTED_VALUE"""),"BLUE")</f>
        <v>BLUE</v>
      </c>
      <c r="G9877" s="20" t="str">
        <f>IFERROR(__xludf.DUMMYFUNCTION("""COMPUTED_VALUE"""),"Uncle Sams Cider (04/04/2023)")</f>
        <v>Uncle Sams Cider (04/04/2023)</v>
      </c>
      <c r="H9877" s="19"/>
    </row>
    <row r="9878">
      <c r="A9878" s="9"/>
      <c r="B9878" s="15"/>
      <c r="C9878" s="9">
        <f>IFERROR(__xludf.DUMMYFUNCTION("""COMPUTED_VALUE"""),45040.3111333564)</f>
        <v>45040.31113</v>
      </c>
      <c r="D9878" s="15">
        <f>IFERROR(__xludf.DUMMYFUNCTION("""COMPUTED_VALUE"""),1.036)</f>
        <v>1.036</v>
      </c>
      <c r="E9878" s="16">
        <f>IFERROR(__xludf.DUMMYFUNCTION("""COMPUTED_VALUE"""),64.0)</f>
        <v>64</v>
      </c>
      <c r="F9878" s="19" t="str">
        <f>IFERROR(__xludf.DUMMYFUNCTION("""COMPUTED_VALUE"""),"BLUE")</f>
        <v>BLUE</v>
      </c>
      <c r="G9878" s="20" t="str">
        <f>IFERROR(__xludf.DUMMYFUNCTION("""COMPUTED_VALUE"""),"Uncle Sams Cider (04/04/2023)")</f>
        <v>Uncle Sams Cider (04/04/2023)</v>
      </c>
      <c r="H9878" s="19"/>
    </row>
    <row r="9879">
      <c r="A9879" s="9"/>
      <c r="B9879" s="15"/>
      <c r="C9879" s="9">
        <f>IFERROR(__xludf.DUMMYFUNCTION("""COMPUTED_VALUE"""),45040.3007129745)</f>
        <v>45040.30071</v>
      </c>
      <c r="D9879" s="15">
        <f>IFERROR(__xludf.DUMMYFUNCTION("""COMPUTED_VALUE"""),1.036)</f>
        <v>1.036</v>
      </c>
      <c r="E9879" s="16">
        <f>IFERROR(__xludf.DUMMYFUNCTION("""COMPUTED_VALUE"""),64.0)</f>
        <v>64</v>
      </c>
      <c r="F9879" s="19" t="str">
        <f>IFERROR(__xludf.DUMMYFUNCTION("""COMPUTED_VALUE"""),"BLUE")</f>
        <v>BLUE</v>
      </c>
      <c r="G9879" s="20" t="str">
        <f>IFERROR(__xludf.DUMMYFUNCTION("""COMPUTED_VALUE"""),"Uncle Sams Cider (04/04/2023)")</f>
        <v>Uncle Sams Cider (04/04/2023)</v>
      </c>
      <c r="H9879" s="19"/>
    </row>
    <row r="9880">
      <c r="A9880" s="9"/>
      <c r="B9880" s="15"/>
      <c r="C9880" s="9">
        <f>IFERROR(__xludf.DUMMYFUNCTION("""COMPUTED_VALUE"""),45040.2902680555)</f>
        <v>45040.29027</v>
      </c>
      <c r="D9880" s="15">
        <f>IFERROR(__xludf.DUMMYFUNCTION("""COMPUTED_VALUE"""),1.036)</f>
        <v>1.036</v>
      </c>
      <c r="E9880" s="16">
        <f>IFERROR(__xludf.DUMMYFUNCTION("""COMPUTED_VALUE"""),64.0)</f>
        <v>64</v>
      </c>
      <c r="F9880" s="19" t="str">
        <f>IFERROR(__xludf.DUMMYFUNCTION("""COMPUTED_VALUE"""),"BLUE")</f>
        <v>BLUE</v>
      </c>
      <c r="G9880" s="20" t="str">
        <f>IFERROR(__xludf.DUMMYFUNCTION("""COMPUTED_VALUE"""),"Uncle Sams Cider (04/04/2023)")</f>
        <v>Uncle Sams Cider (04/04/2023)</v>
      </c>
      <c r="H9880" s="19"/>
    </row>
    <row r="9881">
      <c r="A9881" s="9"/>
      <c r="B9881" s="15"/>
      <c r="C9881" s="9">
        <f>IFERROR(__xludf.DUMMYFUNCTION("""COMPUTED_VALUE"""),45040.2798474652)</f>
        <v>45040.27985</v>
      </c>
      <c r="D9881" s="15">
        <f>IFERROR(__xludf.DUMMYFUNCTION("""COMPUTED_VALUE"""),1.036)</f>
        <v>1.036</v>
      </c>
      <c r="E9881" s="16">
        <f>IFERROR(__xludf.DUMMYFUNCTION("""COMPUTED_VALUE"""),64.0)</f>
        <v>64</v>
      </c>
      <c r="F9881" s="19" t="str">
        <f>IFERROR(__xludf.DUMMYFUNCTION("""COMPUTED_VALUE"""),"BLUE")</f>
        <v>BLUE</v>
      </c>
      <c r="G9881" s="20" t="str">
        <f>IFERROR(__xludf.DUMMYFUNCTION("""COMPUTED_VALUE"""),"Uncle Sams Cider (04/04/2023)")</f>
        <v>Uncle Sams Cider (04/04/2023)</v>
      </c>
      <c r="H9881" s="19"/>
    </row>
    <row r="9882">
      <c r="A9882" s="9"/>
      <c r="B9882" s="15"/>
      <c r="C9882" s="9">
        <f>IFERROR(__xludf.DUMMYFUNCTION("""COMPUTED_VALUE"""),45040.2694293055)</f>
        <v>45040.26943</v>
      </c>
      <c r="D9882" s="15">
        <f>IFERROR(__xludf.DUMMYFUNCTION("""COMPUTED_VALUE"""),1.036)</f>
        <v>1.036</v>
      </c>
      <c r="E9882" s="16">
        <f>IFERROR(__xludf.DUMMYFUNCTION("""COMPUTED_VALUE"""),64.0)</f>
        <v>64</v>
      </c>
      <c r="F9882" s="19" t="str">
        <f>IFERROR(__xludf.DUMMYFUNCTION("""COMPUTED_VALUE"""),"BLUE")</f>
        <v>BLUE</v>
      </c>
      <c r="G9882" s="20" t="str">
        <f>IFERROR(__xludf.DUMMYFUNCTION("""COMPUTED_VALUE"""),"Uncle Sams Cider (04/04/2023)")</f>
        <v>Uncle Sams Cider (04/04/2023)</v>
      </c>
      <c r="H9882" s="19"/>
    </row>
    <row r="9883">
      <c r="A9883" s="9"/>
      <c r="B9883" s="15"/>
      <c r="C9883" s="9">
        <f>IFERROR(__xludf.DUMMYFUNCTION("""COMPUTED_VALUE"""),45040.2590089699)</f>
        <v>45040.25901</v>
      </c>
      <c r="D9883" s="15">
        <f>IFERROR(__xludf.DUMMYFUNCTION("""COMPUTED_VALUE"""),1.036)</f>
        <v>1.036</v>
      </c>
      <c r="E9883" s="16">
        <f>IFERROR(__xludf.DUMMYFUNCTION("""COMPUTED_VALUE"""),64.0)</f>
        <v>64</v>
      </c>
      <c r="F9883" s="19" t="str">
        <f>IFERROR(__xludf.DUMMYFUNCTION("""COMPUTED_VALUE"""),"BLUE")</f>
        <v>BLUE</v>
      </c>
      <c r="G9883" s="20" t="str">
        <f>IFERROR(__xludf.DUMMYFUNCTION("""COMPUTED_VALUE"""),"Uncle Sams Cider (04/04/2023)")</f>
        <v>Uncle Sams Cider (04/04/2023)</v>
      </c>
      <c r="H9883" s="19"/>
    </row>
    <row r="9884">
      <c r="A9884" s="9"/>
      <c r="B9884" s="15"/>
      <c r="C9884" s="9">
        <f>IFERROR(__xludf.DUMMYFUNCTION("""COMPUTED_VALUE"""),45040.2485880671)</f>
        <v>45040.24859</v>
      </c>
      <c r="D9884" s="15">
        <f>IFERROR(__xludf.DUMMYFUNCTION("""COMPUTED_VALUE"""),1.036)</f>
        <v>1.036</v>
      </c>
      <c r="E9884" s="16">
        <f>IFERROR(__xludf.DUMMYFUNCTION("""COMPUTED_VALUE"""),64.0)</f>
        <v>64</v>
      </c>
      <c r="F9884" s="19" t="str">
        <f>IFERROR(__xludf.DUMMYFUNCTION("""COMPUTED_VALUE"""),"BLUE")</f>
        <v>BLUE</v>
      </c>
      <c r="G9884" s="20" t="str">
        <f>IFERROR(__xludf.DUMMYFUNCTION("""COMPUTED_VALUE"""),"Uncle Sams Cider (04/04/2023)")</f>
        <v>Uncle Sams Cider (04/04/2023)</v>
      </c>
      <c r="H9884" s="19"/>
    </row>
    <row r="9885">
      <c r="A9885" s="9"/>
      <c r="B9885" s="15"/>
      <c r="C9885" s="9">
        <f>IFERROR(__xludf.DUMMYFUNCTION("""COMPUTED_VALUE"""),45040.2381678125)</f>
        <v>45040.23817</v>
      </c>
      <c r="D9885" s="15">
        <f>IFERROR(__xludf.DUMMYFUNCTION("""COMPUTED_VALUE"""),1.036)</f>
        <v>1.036</v>
      </c>
      <c r="E9885" s="16">
        <f>IFERROR(__xludf.DUMMYFUNCTION("""COMPUTED_VALUE"""),64.0)</f>
        <v>64</v>
      </c>
      <c r="F9885" s="19" t="str">
        <f>IFERROR(__xludf.DUMMYFUNCTION("""COMPUTED_VALUE"""),"BLUE")</f>
        <v>BLUE</v>
      </c>
      <c r="G9885" s="20" t="str">
        <f>IFERROR(__xludf.DUMMYFUNCTION("""COMPUTED_VALUE"""),"Uncle Sams Cider (04/04/2023)")</f>
        <v>Uncle Sams Cider (04/04/2023)</v>
      </c>
      <c r="H9885" s="19"/>
    </row>
    <row r="9886">
      <c r="A9886" s="9"/>
      <c r="B9886" s="15"/>
      <c r="C9886" s="9">
        <f>IFERROR(__xludf.DUMMYFUNCTION("""COMPUTED_VALUE"""),45040.2277445254)</f>
        <v>45040.22774</v>
      </c>
      <c r="D9886" s="15">
        <f>IFERROR(__xludf.DUMMYFUNCTION("""COMPUTED_VALUE"""),1.036)</f>
        <v>1.036</v>
      </c>
      <c r="E9886" s="16">
        <f>IFERROR(__xludf.DUMMYFUNCTION("""COMPUTED_VALUE"""),64.0)</f>
        <v>64</v>
      </c>
      <c r="F9886" s="19" t="str">
        <f>IFERROR(__xludf.DUMMYFUNCTION("""COMPUTED_VALUE"""),"BLUE")</f>
        <v>BLUE</v>
      </c>
      <c r="G9886" s="20" t="str">
        <f>IFERROR(__xludf.DUMMYFUNCTION("""COMPUTED_VALUE"""),"Uncle Sams Cider (04/04/2023)")</f>
        <v>Uncle Sams Cider (04/04/2023)</v>
      </c>
      <c r="H9886" s="19"/>
    </row>
    <row r="9887">
      <c r="A9887" s="9"/>
      <c r="B9887" s="15"/>
      <c r="C9887" s="9">
        <f>IFERROR(__xludf.DUMMYFUNCTION("""COMPUTED_VALUE"""),45040.2173230671)</f>
        <v>45040.21732</v>
      </c>
      <c r="D9887" s="15">
        <f>IFERROR(__xludf.DUMMYFUNCTION("""COMPUTED_VALUE"""),1.036)</f>
        <v>1.036</v>
      </c>
      <c r="E9887" s="16">
        <f>IFERROR(__xludf.DUMMYFUNCTION("""COMPUTED_VALUE"""),64.0)</f>
        <v>64</v>
      </c>
      <c r="F9887" s="19" t="str">
        <f>IFERROR(__xludf.DUMMYFUNCTION("""COMPUTED_VALUE"""),"BLUE")</f>
        <v>BLUE</v>
      </c>
      <c r="G9887" s="20" t="str">
        <f>IFERROR(__xludf.DUMMYFUNCTION("""COMPUTED_VALUE"""),"Uncle Sams Cider (04/04/2023)")</f>
        <v>Uncle Sams Cider (04/04/2023)</v>
      </c>
      <c r="H9887" s="19"/>
    </row>
    <row r="9888">
      <c r="A9888" s="9"/>
      <c r="B9888" s="15"/>
      <c r="C9888" s="9">
        <f>IFERROR(__xludf.DUMMYFUNCTION("""COMPUTED_VALUE"""),45040.2069019444)</f>
        <v>45040.2069</v>
      </c>
      <c r="D9888" s="15">
        <f>IFERROR(__xludf.DUMMYFUNCTION("""COMPUTED_VALUE"""),1.036)</f>
        <v>1.036</v>
      </c>
      <c r="E9888" s="16">
        <f>IFERROR(__xludf.DUMMYFUNCTION("""COMPUTED_VALUE"""),64.0)</f>
        <v>64</v>
      </c>
      <c r="F9888" s="19" t="str">
        <f>IFERROR(__xludf.DUMMYFUNCTION("""COMPUTED_VALUE"""),"BLUE")</f>
        <v>BLUE</v>
      </c>
      <c r="G9888" s="20" t="str">
        <f>IFERROR(__xludf.DUMMYFUNCTION("""COMPUTED_VALUE"""),"Uncle Sams Cider (04/04/2023)")</f>
        <v>Uncle Sams Cider (04/04/2023)</v>
      </c>
      <c r="H9888" s="19"/>
    </row>
    <row r="9889">
      <c r="A9889" s="9"/>
      <c r="B9889" s="15"/>
      <c r="C9889" s="9">
        <f>IFERROR(__xludf.DUMMYFUNCTION("""COMPUTED_VALUE"""),45040.1964817129)</f>
        <v>45040.19648</v>
      </c>
      <c r="D9889" s="15">
        <f>IFERROR(__xludf.DUMMYFUNCTION("""COMPUTED_VALUE"""),1.036)</f>
        <v>1.036</v>
      </c>
      <c r="E9889" s="16">
        <f>IFERROR(__xludf.DUMMYFUNCTION("""COMPUTED_VALUE"""),64.0)</f>
        <v>64</v>
      </c>
      <c r="F9889" s="19" t="str">
        <f>IFERROR(__xludf.DUMMYFUNCTION("""COMPUTED_VALUE"""),"BLUE")</f>
        <v>BLUE</v>
      </c>
      <c r="G9889" s="20" t="str">
        <f>IFERROR(__xludf.DUMMYFUNCTION("""COMPUTED_VALUE"""),"Uncle Sams Cider (04/04/2023)")</f>
        <v>Uncle Sams Cider (04/04/2023)</v>
      </c>
      <c r="H9889" s="19"/>
    </row>
    <row r="9890">
      <c r="A9890" s="9"/>
      <c r="B9890" s="15"/>
      <c r="C9890" s="9">
        <f>IFERROR(__xludf.DUMMYFUNCTION("""COMPUTED_VALUE"""),45040.1860606944)</f>
        <v>45040.18606</v>
      </c>
      <c r="D9890" s="15">
        <f>IFERROR(__xludf.DUMMYFUNCTION("""COMPUTED_VALUE"""),1.036)</f>
        <v>1.036</v>
      </c>
      <c r="E9890" s="16">
        <f>IFERROR(__xludf.DUMMYFUNCTION("""COMPUTED_VALUE"""),64.0)</f>
        <v>64</v>
      </c>
      <c r="F9890" s="19" t="str">
        <f>IFERROR(__xludf.DUMMYFUNCTION("""COMPUTED_VALUE"""),"BLUE")</f>
        <v>BLUE</v>
      </c>
      <c r="G9890" s="20" t="str">
        <f>IFERROR(__xludf.DUMMYFUNCTION("""COMPUTED_VALUE"""),"Uncle Sams Cider (04/04/2023)")</f>
        <v>Uncle Sams Cider (04/04/2023)</v>
      </c>
      <c r="H9890" s="19"/>
    </row>
    <row r="9891">
      <c r="A9891" s="9"/>
      <c r="B9891" s="15"/>
      <c r="C9891" s="9">
        <f>IFERROR(__xludf.DUMMYFUNCTION("""COMPUTED_VALUE"""),45040.175639074)</f>
        <v>45040.17564</v>
      </c>
      <c r="D9891" s="15">
        <f>IFERROR(__xludf.DUMMYFUNCTION("""COMPUTED_VALUE"""),1.036)</f>
        <v>1.036</v>
      </c>
      <c r="E9891" s="16">
        <f>IFERROR(__xludf.DUMMYFUNCTION("""COMPUTED_VALUE"""),64.0)</f>
        <v>64</v>
      </c>
      <c r="F9891" s="19" t="str">
        <f>IFERROR(__xludf.DUMMYFUNCTION("""COMPUTED_VALUE"""),"BLUE")</f>
        <v>BLUE</v>
      </c>
      <c r="G9891" s="20" t="str">
        <f>IFERROR(__xludf.DUMMYFUNCTION("""COMPUTED_VALUE"""),"Uncle Sams Cider (04/04/2023)")</f>
        <v>Uncle Sams Cider (04/04/2023)</v>
      </c>
      <c r="H9891" s="19"/>
    </row>
    <row r="9892">
      <c r="A9892" s="9"/>
      <c r="B9892" s="15"/>
      <c r="C9892" s="9">
        <f>IFERROR(__xludf.DUMMYFUNCTION("""COMPUTED_VALUE"""),45040.1652068981)</f>
        <v>45040.16521</v>
      </c>
      <c r="D9892" s="15">
        <f>IFERROR(__xludf.DUMMYFUNCTION("""COMPUTED_VALUE"""),1.036)</f>
        <v>1.036</v>
      </c>
      <c r="E9892" s="16">
        <f>IFERROR(__xludf.DUMMYFUNCTION("""COMPUTED_VALUE"""),64.0)</f>
        <v>64</v>
      </c>
      <c r="F9892" s="19" t="str">
        <f>IFERROR(__xludf.DUMMYFUNCTION("""COMPUTED_VALUE"""),"BLUE")</f>
        <v>BLUE</v>
      </c>
      <c r="G9892" s="20" t="str">
        <f>IFERROR(__xludf.DUMMYFUNCTION("""COMPUTED_VALUE"""),"Uncle Sams Cider (04/04/2023)")</f>
        <v>Uncle Sams Cider (04/04/2023)</v>
      </c>
      <c r="H9892" s="19"/>
    </row>
    <row r="9893">
      <c r="A9893" s="9"/>
      <c r="B9893" s="15"/>
      <c r="C9893" s="9">
        <f>IFERROR(__xludf.DUMMYFUNCTION("""COMPUTED_VALUE"""),45040.1547867129)</f>
        <v>45040.15479</v>
      </c>
      <c r="D9893" s="15">
        <f>IFERROR(__xludf.DUMMYFUNCTION("""COMPUTED_VALUE"""),1.036)</f>
        <v>1.036</v>
      </c>
      <c r="E9893" s="16">
        <f>IFERROR(__xludf.DUMMYFUNCTION("""COMPUTED_VALUE"""),64.0)</f>
        <v>64</v>
      </c>
      <c r="F9893" s="19" t="str">
        <f>IFERROR(__xludf.DUMMYFUNCTION("""COMPUTED_VALUE"""),"BLUE")</f>
        <v>BLUE</v>
      </c>
      <c r="G9893" s="20" t="str">
        <f>IFERROR(__xludf.DUMMYFUNCTION("""COMPUTED_VALUE"""),"Uncle Sams Cider (04/04/2023)")</f>
        <v>Uncle Sams Cider (04/04/2023)</v>
      </c>
      <c r="H9893" s="19"/>
    </row>
    <row r="9894">
      <c r="A9894" s="9"/>
      <c r="B9894" s="15"/>
      <c r="C9894" s="9">
        <f>IFERROR(__xludf.DUMMYFUNCTION("""COMPUTED_VALUE"""),45040.1443658449)</f>
        <v>45040.14437</v>
      </c>
      <c r="D9894" s="15">
        <f>IFERROR(__xludf.DUMMYFUNCTION("""COMPUTED_VALUE"""),1.036)</f>
        <v>1.036</v>
      </c>
      <c r="E9894" s="16">
        <f>IFERROR(__xludf.DUMMYFUNCTION("""COMPUTED_VALUE"""),64.0)</f>
        <v>64</v>
      </c>
      <c r="F9894" s="19" t="str">
        <f>IFERROR(__xludf.DUMMYFUNCTION("""COMPUTED_VALUE"""),"BLUE")</f>
        <v>BLUE</v>
      </c>
      <c r="G9894" s="20" t="str">
        <f>IFERROR(__xludf.DUMMYFUNCTION("""COMPUTED_VALUE"""),"Uncle Sams Cider (04/04/2023)")</f>
        <v>Uncle Sams Cider (04/04/2023)</v>
      </c>
      <c r="H9894" s="19"/>
    </row>
    <row r="9895">
      <c r="A9895" s="9"/>
      <c r="B9895" s="15"/>
      <c r="C9895" s="9">
        <f>IFERROR(__xludf.DUMMYFUNCTION("""COMPUTED_VALUE"""),45040.1339428703)</f>
        <v>45040.13394</v>
      </c>
      <c r="D9895" s="15">
        <f>IFERROR(__xludf.DUMMYFUNCTION("""COMPUTED_VALUE"""),1.036)</f>
        <v>1.036</v>
      </c>
      <c r="E9895" s="16">
        <f>IFERROR(__xludf.DUMMYFUNCTION("""COMPUTED_VALUE"""),64.0)</f>
        <v>64</v>
      </c>
      <c r="F9895" s="19" t="str">
        <f>IFERROR(__xludf.DUMMYFUNCTION("""COMPUTED_VALUE"""),"BLUE")</f>
        <v>BLUE</v>
      </c>
      <c r="G9895" s="20" t="str">
        <f>IFERROR(__xludf.DUMMYFUNCTION("""COMPUTED_VALUE"""),"Uncle Sams Cider (04/04/2023)")</f>
        <v>Uncle Sams Cider (04/04/2023)</v>
      </c>
      <c r="H9895" s="19"/>
    </row>
    <row r="9896">
      <c r="A9896" s="9"/>
      <c r="B9896" s="15"/>
      <c r="C9896" s="9">
        <f>IFERROR(__xludf.DUMMYFUNCTION("""COMPUTED_VALUE"""),45040.1235199189)</f>
        <v>45040.12352</v>
      </c>
      <c r="D9896" s="15">
        <f>IFERROR(__xludf.DUMMYFUNCTION("""COMPUTED_VALUE"""),1.036)</f>
        <v>1.036</v>
      </c>
      <c r="E9896" s="16">
        <f>IFERROR(__xludf.DUMMYFUNCTION("""COMPUTED_VALUE"""),64.0)</f>
        <v>64</v>
      </c>
      <c r="F9896" s="19" t="str">
        <f>IFERROR(__xludf.DUMMYFUNCTION("""COMPUTED_VALUE"""),"BLUE")</f>
        <v>BLUE</v>
      </c>
      <c r="G9896" s="20" t="str">
        <f>IFERROR(__xludf.DUMMYFUNCTION("""COMPUTED_VALUE"""),"Uncle Sams Cider (04/04/2023)")</f>
        <v>Uncle Sams Cider (04/04/2023)</v>
      </c>
      <c r="H9896" s="19"/>
    </row>
    <row r="9897">
      <c r="A9897" s="9"/>
      <c r="B9897" s="15"/>
      <c r="C9897" s="9">
        <f>IFERROR(__xludf.DUMMYFUNCTION("""COMPUTED_VALUE"""),45040.1130999305)</f>
        <v>45040.1131</v>
      </c>
      <c r="D9897" s="15">
        <f>IFERROR(__xludf.DUMMYFUNCTION("""COMPUTED_VALUE"""),1.036)</f>
        <v>1.036</v>
      </c>
      <c r="E9897" s="16">
        <f>IFERROR(__xludf.DUMMYFUNCTION("""COMPUTED_VALUE"""),64.0)</f>
        <v>64</v>
      </c>
      <c r="F9897" s="19" t="str">
        <f>IFERROR(__xludf.DUMMYFUNCTION("""COMPUTED_VALUE"""),"BLUE")</f>
        <v>BLUE</v>
      </c>
      <c r="G9897" s="20" t="str">
        <f>IFERROR(__xludf.DUMMYFUNCTION("""COMPUTED_VALUE"""),"Uncle Sams Cider (04/04/2023)")</f>
        <v>Uncle Sams Cider (04/04/2023)</v>
      </c>
      <c r="H9897" s="19"/>
    </row>
    <row r="9898">
      <c r="A9898" s="9"/>
      <c r="B9898" s="15"/>
      <c r="C9898" s="9">
        <f>IFERROR(__xludf.DUMMYFUNCTION("""COMPUTED_VALUE"""),45040.1026809143)</f>
        <v>45040.10268</v>
      </c>
      <c r="D9898" s="15">
        <f>IFERROR(__xludf.DUMMYFUNCTION("""COMPUTED_VALUE"""),1.036)</f>
        <v>1.036</v>
      </c>
      <c r="E9898" s="16">
        <f>IFERROR(__xludf.DUMMYFUNCTION("""COMPUTED_VALUE"""),64.0)</f>
        <v>64</v>
      </c>
      <c r="F9898" s="19" t="str">
        <f>IFERROR(__xludf.DUMMYFUNCTION("""COMPUTED_VALUE"""),"BLUE")</f>
        <v>BLUE</v>
      </c>
      <c r="G9898" s="20" t="str">
        <f>IFERROR(__xludf.DUMMYFUNCTION("""COMPUTED_VALUE"""),"Uncle Sams Cider (04/04/2023)")</f>
        <v>Uncle Sams Cider (04/04/2023)</v>
      </c>
      <c r="H9898" s="19"/>
    </row>
    <row r="9899">
      <c r="A9899" s="9"/>
      <c r="B9899" s="15"/>
      <c r="C9899" s="9">
        <f>IFERROR(__xludf.DUMMYFUNCTION("""COMPUTED_VALUE"""),45040.0922486921)</f>
        <v>45040.09225</v>
      </c>
      <c r="D9899" s="15">
        <f>IFERROR(__xludf.DUMMYFUNCTION("""COMPUTED_VALUE"""),1.036)</f>
        <v>1.036</v>
      </c>
      <c r="E9899" s="16">
        <f>IFERROR(__xludf.DUMMYFUNCTION("""COMPUTED_VALUE"""),64.0)</f>
        <v>64</v>
      </c>
      <c r="F9899" s="19" t="str">
        <f>IFERROR(__xludf.DUMMYFUNCTION("""COMPUTED_VALUE"""),"BLUE")</f>
        <v>BLUE</v>
      </c>
      <c r="G9899" s="20" t="str">
        <f>IFERROR(__xludf.DUMMYFUNCTION("""COMPUTED_VALUE"""),"Uncle Sams Cider (04/04/2023)")</f>
        <v>Uncle Sams Cider (04/04/2023)</v>
      </c>
      <c r="H9899" s="19"/>
    </row>
    <row r="9900">
      <c r="A9900" s="9"/>
      <c r="B9900" s="15"/>
      <c r="C9900" s="9">
        <f>IFERROR(__xludf.DUMMYFUNCTION("""COMPUTED_VALUE"""),45040.0818272916)</f>
        <v>45040.08183</v>
      </c>
      <c r="D9900" s="15">
        <f>IFERROR(__xludf.DUMMYFUNCTION("""COMPUTED_VALUE"""),1.036)</f>
        <v>1.036</v>
      </c>
      <c r="E9900" s="16">
        <f>IFERROR(__xludf.DUMMYFUNCTION("""COMPUTED_VALUE"""),64.0)</f>
        <v>64</v>
      </c>
      <c r="F9900" s="19" t="str">
        <f>IFERROR(__xludf.DUMMYFUNCTION("""COMPUTED_VALUE"""),"BLUE")</f>
        <v>BLUE</v>
      </c>
      <c r="G9900" s="20" t="str">
        <f>IFERROR(__xludf.DUMMYFUNCTION("""COMPUTED_VALUE"""),"Uncle Sams Cider (04/04/2023)")</f>
        <v>Uncle Sams Cider (04/04/2023)</v>
      </c>
      <c r="H9900" s="19"/>
    </row>
    <row r="9901">
      <c r="A9901" s="9"/>
      <c r="B9901" s="15"/>
      <c r="C9901" s="9">
        <f>IFERROR(__xludf.DUMMYFUNCTION("""COMPUTED_VALUE"""),45040.0713940046)</f>
        <v>45040.07139</v>
      </c>
      <c r="D9901" s="15">
        <f>IFERROR(__xludf.DUMMYFUNCTION("""COMPUTED_VALUE"""),1.036)</f>
        <v>1.036</v>
      </c>
      <c r="E9901" s="16">
        <f>IFERROR(__xludf.DUMMYFUNCTION("""COMPUTED_VALUE"""),64.0)</f>
        <v>64</v>
      </c>
      <c r="F9901" s="19" t="str">
        <f>IFERROR(__xludf.DUMMYFUNCTION("""COMPUTED_VALUE"""),"BLUE")</f>
        <v>BLUE</v>
      </c>
      <c r="G9901" s="20" t="str">
        <f>IFERROR(__xludf.DUMMYFUNCTION("""COMPUTED_VALUE"""),"Uncle Sams Cider (04/04/2023)")</f>
        <v>Uncle Sams Cider (04/04/2023)</v>
      </c>
      <c r="H9901" s="19"/>
    </row>
    <row r="9902">
      <c r="A9902" s="9"/>
      <c r="B9902" s="15"/>
      <c r="C9902" s="9">
        <f>IFERROR(__xludf.DUMMYFUNCTION("""COMPUTED_VALUE"""),45040.0609745717)</f>
        <v>45040.06097</v>
      </c>
      <c r="D9902" s="15">
        <f>IFERROR(__xludf.DUMMYFUNCTION("""COMPUTED_VALUE"""),1.036)</f>
        <v>1.036</v>
      </c>
      <c r="E9902" s="16">
        <f>IFERROR(__xludf.DUMMYFUNCTION("""COMPUTED_VALUE"""),64.0)</f>
        <v>64</v>
      </c>
      <c r="F9902" s="19" t="str">
        <f>IFERROR(__xludf.DUMMYFUNCTION("""COMPUTED_VALUE"""),"BLUE")</f>
        <v>BLUE</v>
      </c>
      <c r="G9902" s="20" t="str">
        <f>IFERROR(__xludf.DUMMYFUNCTION("""COMPUTED_VALUE"""),"Uncle Sams Cider (04/04/2023)")</f>
        <v>Uncle Sams Cider (04/04/2023)</v>
      </c>
      <c r="H9902" s="19"/>
    </row>
    <row r="9903">
      <c r="A9903" s="9"/>
      <c r="B9903" s="15"/>
      <c r="C9903" s="9">
        <f>IFERROR(__xludf.DUMMYFUNCTION("""COMPUTED_VALUE"""),45040.0505538426)</f>
        <v>45040.05055</v>
      </c>
      <c r="D9903" s="15">
        <f>IFERROR(__xludf.DUMMYFUNCTION("""COMPUTED_VALUE"""),1.036)</f>
        <v>1.036</v>
      </c>
      <c r="E9903" s="16">
        <f>IFERROR(__xludf.DUMMYFUNCTION("""COMPUTED_VALUE"""),64.0)</f>
        <v>64</v>
      </c>
      <c r="F9903" s="19" t="str">
        <f>IFERROR(__xludf.DUMMYFUNCTION("""COMPUTED_VALUE"""),"BLUE")</f>
        <v>BLUE</v>
      </c>
      <c r="G9903" s="20" t="str">
        <f>IFERROR(__xludf.DUMMYFUNCTION("""COMPUTED_VALUE"""),"Uncle Sams Cider (04/04/2023)")</f>
        <v>Uncle Sams Cider (04/04/2023)</v>
      </c>
      <c r="H9903" s="19"/>
    </row>
    <row r="9904">
      <c r="A9904" s="9"/>
      <c r="B9904" s="15"/>
      <c r="C9904" s="9">
        <f>IFERROR(__xludf.DUMMYFUNCTION("""COMPUTED_VALUE"""),45040.0401339583)</f>
        <v>45040.04013</v>
      </c>
      <c r="D9904" s="15">
        <f>IFERROR(__xludf.DUMMYFUNCTION("""COMPUTED_VALUE"""),1.036)</f>
        <v>1.036</v>
      </c>
      <c r="E9904" s="16">
        <f>IFERROR(__xludf.DUMMYFUNCTION("""COMPUTED_VALUE"""),64.0)</f>
        <v>64</v>
      </c>
      <c r="F9904" s="19" t="str">
        <f>IFERROR(__xludf.DUMMYFUNCTION("""COMPUTED_VALUE"""),"BLUE")</f>
        <v>BLUE</v>
      </c>
      <c r="G9904" s="20" t="str">
        <f>IFERROR(__xludf.DUMMYFUNCTION("""COMPUTED_VALUE"""),"Uncle Sams Cider (04/04/2023)")</f>
        <v>Uncle Sams Cider (04/04/2023)</v>
      </c>
      <c r="H9904" s="19"/>
    </row>
    <row r="9905">
      <c r="A9905" s="9"/>
      <c r="B9905" s="15"/>
      <c r="C9905" s="9">
        <f>IFERROR(__xludf.DUMMYFUNCTION("""COMPUTED_VALUE"""),45040.0297137384)</f>
        <v>45040.02971</v>
      </c>
      <c r="D9905" s="15">
        <f>IFERROR(__xludf.DUMMYFUNCTION("""COMPUTED_VALUE"""),1.036)</f>
        <v>1.036</v>
      </c>
      <c r="E9905" s="16">
        <f>IFERROR(__xludf.DUMMYFUNCTION("""COMPUTED_VALUE"""),64.0)</f>
        <v>64</v>
      </c>
      <c r="F9905" s="19" t="str">
        <f>IFERROR(__xludf.DUMMYFUNCTION("""COMPUTED_VALUE"""),"BLUE")</f>
        <v>BLUE</v>
      </c>
      <c r="G9905" s="20" t="str">
        <f>IFERROR(__xludf.DUMMYFUNCTION("""COMPUTED_VALUE"""),"Uncle Sams Cider (04/04/2023)")</f>
        <v>Uncle Sams Cider (04/04/2023)</v>
      </c>
      <c r="H9905" s="19"/>
    </row>
    <row r="9906">
      <c r="A9906" s="9"/>
      <c r="B9906" s="15"/>
      <c r="C9906" s="9">
        <f>IFERROR(__xludf.DUMMYFUNCTION("""COMPUTED_VALUE"""),45040.0192915393)</f>
        <v>45040.01929</v>
      </c>
      <c r="D9906" s="15">
        <f>IFERROR(__xludf.DUMMYFUNCTION("""COMPUTED_VALUE"""),1.036)</f>
        <v>1.036</v>
      </c>
      <c r="E9906" s="16">
        <f>IFERROR(__xludf.DUMMYFUNCTION("""COMPUTED_VALUE"""),64.0)</f>
        <v>64</v>
      </c>
      <c r="F9906" s="19" t="str">
        <f>IFERROR(__xludf.DUMMYFUNCTION("""COMPUTED_VALUE"""),"BLUE")</f>
        <v>BLUE</v>
      </c>
      <c r="G9906" s="20" t="str">
        <f>IFERROR(__xludf.DUMMYFUNCTION("""COMPUTED_VALUE"""),"Uncle Sams Cider (04/04/2023)")</f>
        <v>Uncle Sams Cider (04/04/2023)</v>
      </c>
      <c r="H9906" s="19"/>
    </row>
    <row r="9907">
      <c r="A9907" s="9"/>
      <c r="B9907" s="15"/>
      <c r="C9907" s="9">
        <f>IFERROR(__xludf.DUMMYFUNCTION("""COMPUTED_VALUE"""),45040.0088593634)</f>
        <v>45040.00886</v>
      </c>
      <c r="D9907" s="15">
        <f>IFERROR(__xludf.DUMMYFUNCTION("""COMPUTED_VALUE"""),1.036)</f>
        <v>1.036</v>
      </c>
      <c r="E9907" s="16">
        <f>IFERROR(__xludf.DUMMYFUNCTION("""COMPUTED_VALUE"""),64.0)</f>
        <v>64</v>
      </c>
      <c r="F9907" s="19" t="str">
        <f>IFERROR(__xludf.DUMMYFUNCTION("""COMPUTED_VALUE"""),"BLUE")</f>
        <v>BLUE</v>
      </c>
      <c r="G9907" s="20" t="str">
        <f>IFERROR(__xludf.DUMMYFUNCTION("""COMPUTED_VALUE"""),"Uncle Sams Cider (04/04/2023)")</f>
        <v>Uncle Sams Cider (04/04/2023)</v>
      </c>
      <c r="H9907" s="19"/>
    </row>
    <row r="9908">
      <c r="A9908" s="9"/>
      <c r="B9908" s="15"/>
      <c r="C9908" s="9">
        <f>IFERROR(__xludf.DUMMYFUNCTION("""COMPUTED_VALUE"""),45039.9984378935)</f>
        <v>45039.99844</v>
      </c>
      <c r="D9908" s="15">
        <f>IFERROR(__xludf.DUMMYFUNCTION("""COMPUTED_VALUE"""),1.036)</f>
        <v>1.036</v>
      </c>
      <c r="E9908" s="16">
        <f>IFERROR(__xludf.DUMMYFUNCTION("""COMPUTED_VALUE"""),64.0)</f>
        <v>64</v>
      </c>
      <c r="F9908" s="19" t="str">
        <f>IFERROR(__xludf.DUMMYFUNCTION("""COMPUTED_VALUE"""),"BLUE")</f>
        <v>BLUE</v>
      </c>
      <c r="G9908" s="20" t="str">
        <f>IFERROR(__xludf.DUMMYFUNCTION("""COMPUTED_VALUE"""),"Uncle Sams Cider (04/04/2023)")</f>
        <v>Uncle Sams Cider (04/04/2023)</v>
      </c>
      <c r="H9908" s="19"/>
    </row>
    <row r="9909">
      <c r="A9909" s="9"/>
      <c r="B9909" s="15"/>
      <c r="C9909" s="9">
        <f>IFERROR(__xludf.DUMMYFUNCTION("""COMPUTED_VALUE"""),45039.9880169097)</f>
        <v>45039.98802</v>
      </c>
      <c r="D9909" s="15">
        <f>IFERROR(__xludf.DUMMYFUNCTION("""COMPUTED_VALUE"""),1.036)</f>
        <v>1.036</v>
      </c>
      <c r="E9909" s="16">
        <f>IFERROR(__xludf.DUMMYFUNCTION("""COMPUTED_VALUE"""),64.0)</f>
        <v>64</v>
      </c>
      <c r="F9909" s="19" t="str">
        <f>IFERROR(__xludf.DUMMYFUNCTION("""COMPUTED_VALUE"""),"BLUE")</f>
        <v>BLUE</v>
      </c>
      <c r="G9909" s="20" t="str">
        <f>IFERROR(__xludf.DUMMYFUNCTION("""COMPUTED_VALUE"""),"Uncle Sams Cider (04/04/2023)")</f>
        <v>Uncle Sams Cider (04/04/2023)</v>
      </c>
      <c r="H9909" s="19"/>
    </row>
    <row r="9910">
      <c r="A9910" s="9"/>
      <c r="B9910" s="15"/>
      <c r="C9910" s="9">
        <f>IFERROR(__xludf.DUMMYFUNCTION("""COMPUTED_VALUE"""),45039.9775939583)</f>
        <v>45039.97759</v>
      </c>
      <c r="D9910" s="15">
        <f>IFERROR(__xludf.DUMMYFUNCTION("""COMPUTED_VALUE"""),1.036)</f>
        <v>1.036</v>
      </c>
      <c r="E9910" s="16">
        <f>IFERROR(__xludf.DUMMYFUNCTION("""COMPUTED_VALUE"""),64.0)</f>
        <v>64</v>
      </c>
      <c r="F9910" s="19" t="str">
        <f>IFERROR(__xludf.DUMMYFUNCTION("""COMPUTED_VALUE"""),"BLUE")</f>
        <v>BLUE</v>
      </c>
      <c r="G9910" s="20" t="str">
        <f>IFERROR(__xludf.DUMMYFUNCTION("""COMPUTED_VALUE"""),"Uncle Sams Cider (04/04/2023)")</f>
        <v>Uncle Sams Cider (04/04/2023)</v>
      </c>
      <c r="H9910" s="19"/>
    </row>
    <row r="9911">
      <c r="A9911" s="9"/>
      <c r="B9911" s="15"/>
      <c r="C9911" s="9">
        <f>IFERROR(__xludf.DUMMYFUNCTION("""COMPUTED_VALUE"""),45039.9671736342)</f>
        <v>45039.96717</v>
      </c>
      <c r="D9911" s="15">
        <f>IFERROR(__xludf.DUMMYFUNCTION("""COMPUTED_VALUE"""),1.036)</f>
        <v>1.036</v>
      </c>
      <c r="E9911" s="16">
        <f>IFERROR(__xludf.DUMMYFUNCTION("""COMPUTED_VALUE"""),64.0)</f>
        <v>64</v>
      </c>
      <c r="F9911" s="19" t="str">
        <f>IFERROR(__xludf.DUMMYFUNCTION("""COMPUTED_VALUE"""),"BLUE")</f>
        <v>BLUE</v>
      </c>
      <c r="G9911" s="20" t="str">
        <f>IFERROR(__xludf.DUMMYFUNCTION("""COMPUTED_VALUE"""),"Uncle Sams Cider (04/04/2023)")</f>
        <v>Uncle Sams Cider (04/04/2023)</v>
      </c>
      <c r="H9911" s="19"/>
    </row>
    <row r="9912">
      <c r="A9912" s="9"/>
      <c r="B9912" s="15"/>
      <c r="C9912" s="9">
        <f>IFERROR(__xludf.DUMMYFUNCTION("""COMPUTED_VALUE"""),45039.9567501504)</f>
        <v>45039.95675</v>
      </c>
      <c r="D9912" s="15">
        <f>IFERROR(__xludf.DUMMYFUNCTION("""COMPUTED_VALUE"""),1.036)</f>
        <v>1.036</v>
      </c>
      <c r="E9912" s="16">
        <f>IFERROR(__xludf.DUMMYFUNCTION("""COMPUTED_VALUE"""),64.0)</f>
        <v>64</v>
      </c>
      <c r="F9912" s="19" t="str">
        <f>IFERROR(__xludf.DUMMYFUNCTION("""COMPUTED_VALUE"""),"BLUE")</f>
        <v>BLUE</v>
      </c>
      <c r="G9912" s="20" t="str">
        <f>IFERROR(__xludf.DUMMYFUNCTION("""COMPUTED_VALUE"""),"Uncle Sams Cider (04/04/2023)")</f>
        <v>Uncle Sams Cider (04/04/2023)</v>
      </c>
      <c r="H9912" s="19"/>
    </row>
    <row r="9913">
      <c r="A9913" s="9"/>
      <c r="B9913" s="15"/>
      <c r="C9913" s="9">
        <f>IFERROR(__xludf.DUMMYFUNCTION("""COMPUTED_VALUE"""),45039.946328449)</f>
        <v>45039.94633</v>
      </c>
      <c r="D9913" s="15">
        <f>IFERROR(__xludf.DUMMYFUNCTION("""COMPUTED_VALUE"""),1.036)</f>
        <v>1.036</v>
      </c>
      <c r="E9913" s="16">
        <f>IFERROR(__xludf.DUMMYFUNCTION("""COMPUTED_VALUE"""),64.0)</f>
        <v>64</v>
      </c>
      <c r="F9913" s="19" t="str">
        <f>IFERROR(__xludf.DUMMYFUNCTION("""COMPUTED_VALUE"""),"BLUE")</f>
        <v>BLUE</v>
      </c>
      <c r="G9913" s="20" t="str">
        <f>IFERROR(__xludf.DUMMYFUNCTION("""COMPUTED_VALUE"""),"Uncle Sams Cider (04/04/2023)")</f>
        <v>Uncle Sams Cider (04/04/2023)</v>
      </c>
      <c r="H9913" s="19"/>
    </row>
    <row r="9914">
      <c r="A9914" s="9"/>
      <c r="B9914" s="15"/>
      <c r="C9914" s="9">
        <f>IFERROR(__xludf.DUMMYFUNCTION("""COMPUTED_VALUE"""),45039.9359081713)</f>
        <v>45039.93591</v>
      </c>
      <c r="D9914" s="15">
        <f>IFERROR(__xludf.DUMMYFUNCTION("""COMPUTED_VALUE"""),1.036)</f>
        <v>1.036</v>
      </c>
      <c r="E9914" s="16">
        <f>IFERROR(__xludf.DUMMYFUNCTION("""COMPUTED_VALUE"""),64.0)</f>
        <v>64</v>
      </c>
      <c r="F9914" s="19" t="str">
        <f>IFERROR(__xludf.DUMMYFUNCTION("""COMPUTED_VALUE"""),"BLUE")</f>
        <v>BLUE</v>
      </c>
      <c r="G9914" s="20" t="str">
        <f>IFERROR(__xludf.DUMMYFUNCTION("""COMPUTED_VALUE"""),"Uncle Sams Cider (04/04/2023)")</f>
        <v>Uncle Sams Cider (04/04/2023)</v>
      </c>
      <c r="H9914" s="19"/>
    </row>
    <row r="9915">
      <c r="A9915" s="9"/>
      <c r="B9915" s="15"/>
      <c r="C9915" s="9">
        <f>IFERROR(__xludf.DUMMYFUNCTION("""COMPUTED_VALUE"""),45039.925488368)</f>
        <v>45039.92549</v>
      </c>
      <c r="D9915" s="15">
        <f>IFERROR(__xludf.DUMMYFUNCTION("""COMPUTED_VALUE"""),1.036)</f>
        <v>1.036</v>
      </c>
      <c r="E9915" s="16">
        <f>IFERROR(__xludf.DUMMYFUNCTION("""COMPUTED_VALUE"""),64.0)</f>
        <v>64</v>
      </c>
      <c r="F9915" s="19" t="str">
        <f>IFERROR(__xludf.DUMMYFUNCTION("""COMPUTED_VALUE"""),"BLUE")</f>
        <v>BLUE</v>
      </c>
      <c r="G9915" s="20" t="str">
        <f>IFERROR(__xludf.DUMMYFUNCTION("""COMPUTED_VALUE"""),"Uncle Sams Cider (04/04/2023)")</f>
        <v>Uncle Sams Cider (04/04/2023)</v>
      </c>
      <c r="H9915" s="19"/>
    </row>
    <row r="9916">
      <c r="A9916" s="9"/>
      <c r="B9916" s="15"/>
      <c r="C9916" s="9">
        <f>IFERROR(__xludf.DUMMYFUNCTION("""COMPUTED_VALUE"""),45039.9150671527)</f>
        <v>45039.91507</v>
      </c>
      <c r="D9916" s="15">
        <f>IFERROR(__xludf.DUMMYFUNCTION("""COMPUTED_VALUE"""),1.036)</f>
        <v>1.036</v>
      </c>
      <c r="E9916" s="16">
        <f>IFERROR(__xludf.DUMMYFUNCTION("""COMPUTED_VALUE"""),64.0)</f>
        <v>64</v>
      </c>
      <c r="F9916" s="19" t="str">
        <f>IFERROR(__xludf.DUMMYFUNCTION("""COMPUTED_VALUE"""),"BLUE")</f>
        <v>BLUE</v>
      </c>
      <c r="G9916" s="20" t="str">
        <f>IFERROR(__xludf.DUMMYFUNCTION("""COMPUTED_VALUE"""),"Uncle Sams Cider (04/04/2023)")</f>
        <v>Uncle Sams Cider (04/04/2023)</v>
      </c>
      <c r="H9916" s="19"/>
    </row>
    <row r="9917">
      <c r="A9917" s="9"/>
      <c r="B9917" s="15"/>
      <c r="C9917" s="9">
        <f>IFERROR(__xludf.DUMMYFUNCTION("""COMPUTED_VALUE"""),45039.9046466319)</f>
        <v>45039.90465</v>
      </c>
      <c r="D9917" s="15">
        <f>IFERROR(__xludf.DUMMYFUNCTION("""COMPUTED_VALUE"""),1.036)</f>
        <v>1.036</v>
      </c>
      <c r="E9917" s="16">
        <f>IFERROR(__xludf.DUMMYFUNCTION("""COMPUTED_VALUE"""),64.0)</f>
        <v>64</v>
      </c>
      <c r="F9917" s="19" t="str">
        <f>IFERROR(__xludf.DUMMYFUNCTION("""COMPUTED_VALUE"""),"BLUE")</f>
        <v>BLUE</v>
      </c>
      <c r="G9917" s="20" t="str">
        <f>IFERROR(__xludf.DUMMYFUNCTION("""COMPUTED_VALUE"""),"Uncle Sams Cider (04/04/2023)")</f>
        <v>Uncle Sams Cider (04/04/2023)</v>
      </c>
      <c r="H9917" s="19"/>
    </row>
    <row r="9918">
      <c r="A9918" s="9"/>
      <c r="B9918" s="15"/>
      <c r="C9918" s="9">
        <f>IFERROR(__xludf.DUMMYFUNCTION("""COMPUTED_VALUE"""),45039.894226412)</f>
        <v>45039.89423</v>
      </c>
      <c r="D9918" s="15">
        <f>IFERROR(__xludf.DUMMYFUNCTION("""COMPUTED_VALUE"""),1.036)</f>
        <v>1.036</v>
      </c>
      <c r="E9918" s="16">
        <f>IFERROR(__xludf.DUMMYFUNCTION("""COMPUTED_VALUE"""),64.0)</f>
        <v>64</v>
      </c>
      <c r="F9918" s="19" t="str">
        <f>IFERROR(__xludf.DUMMYFUNCTION("""COMPUTED_VALUE"""),"BLUE")</f>
        <v>BLUE</v>
      </c>
      <c r="G9918" s="20" t="str">
        <f>IFERROR(__xludf.DUMMYFUNCTION("""COMPUTED_VALUE"""),"Uncle Sams Cider (04/04/2023)")</f>
        <v>Uncle Sams Cider (04/04/2023)</v>
      </c>
      <c r="H9918" s="19"/>
    </row>
    <row r="9919">
      <c r="A9919" s="9"/>
      <c r="B9919" s="15"/>
      <c r="C9919" s="9">
        <f>IFERROR(__xludf.DUMMYFUNCTION("""COMPUTED_VALUE"""),45039.8838047916)</f>
        <v>45039.8838</v>
      </c>
      <c r="D9919" s="15">
        <f>IFERROR(__xludf.DUMMYFUNCTION("""COMPUTED_VALUE"""),1.036)</f>
        <v>1.036</v>
      </c>
      <c r="E9919" s="16">
        <f>IFERROR(__xludf.DUMMYFUNCTION("""COMPUTED_VALUE"""),64.0)</f>
        <v>64</v>
      </c>
      <c r="F9919" s="19" t="str">
        <f>IFERROR(__xludf.DUMMYFUNCTION("""COMPUTED_VALUE"""),"BLUE")</f>
        <v>BLUE</v>
      </c>
      <c r="G9919" s="20" t="str">
        <f>IFERROR(__xludf.DUMMYFUNCTION("""COMPUTED_VALUE"""),"Uncle Sams Cider (04/04/2023)")</f>
        <v>Uncle Sams Cider (04/04/2023)</v>
      </c>
      <c r="H9919" s="19"/>
    </row>
    <row r="9920">
      <c r="A9920" s="9"/>
      <c r="B9920" s="15"/>
      <c r="C9920" s="9">
        <f>IFERROR(__xludf.DUMMYFUNCTION("""COMPUTED_VALUE"""),45039.8733841319)</f>
        <v>45039.87338</v>
      </c>
      <c r="D9920" s="15">
        <f>IFERROR(__xludf.DUMMYFUNCTION("""COMPUTED_VALUE"""),1.036)</f>
        <v>1.036</v>
      </c>
      <c r="E9920" s="16">
        <f>IFERROR(__xludf.DUMMYFUNCTION("""COMPUTED_VALUE"""),64.0)</f>
        <v>64</v>
      </c>
      <c r="F9920" s="19" t="str">
        <f>IFERROR(__xludf.DUMMYFUNCTION("""COMPUTED_VALUE"""),"BLUE")</f>
        <v>BLUE</v>
      </c>
      <c r="G9920" s="20" t="str">
        <f>IFERROR(__xludf.DUMMYFUNCTION("""COMPUTED_VALUE"""),"Uncle Sams Cider (04/04/2023)")</f>
        <v>Uncle Sams Cider (04/04/2023)</v>
      </c>
      <c r="H9920" s="19"/>
    </row>
    <row r="9921">
      <c r="A9921" s="9"/>
      <c r="B9921" s="15"/>
      <c r="C9921" s="9">
        <f>IFERROR(__xludf.DUMMYFUNCTION("""COMPUTED_VALUE"""),45039.8629645601)</f>
        <v>45039.86296</v>
      </c>
      <c r="D9921" s="15">
        <f>IFERROR(__xludf.DUMMYFUNCTION("""COMPUTED_VALUE"""),1.036)</f>
        <v>1.036</v>
      </c>
      <c r="E9921" s="16">
        <f>IFERROR(__xludf.DUMMYFUNCTION("""COMPUTED_VALUE"""),64.0)</f>
        <v>64</v>
      </c>
      <c r="F9921" s="19" t="str">
        <f>IFERROR(__xludf.DUMMYFUNCTION("""COMPUTED_VALUE"""),"BLUE")</f>
        <v>BLUE</v>
      </c>
      <c r="G9921" s="20" t="str">
        <f>IFERROR(__xludf.DUMMYFUNCTION("""COMPUTED_VALUE"""),"Uncle Sams Cider (04/04/2023)")</f>
        <v>Uncle Sams Cider (04/04/2023)</v>
      </c>
      <c r="H9921" s="19"/>
    </row>
    <row r="9922">
      <c r="A9922" s="9"/>
      <c r="B9922" s="15"/>
      <c r="C9922" s="9">
        <f>IFERROR(__xludf.DUMMYFUNCTION("""COMPUTED_VALUE"""),45039.85254353)</f>
        <v>45039.85254</v>
      </c>
      <c r="D9922" s="15">
        <f>IFERROR(__xludf.DUMMYFUNCTION("""COMPUTED_VALUE"""),1.036)</f>
        <v>1.036</v>
      </c>
      <c r="E9922" s="16">
        <f>IFERROR(__xludf.DUMMYFUNCTION("""COMPUTED_VALUE"""),64.0)</f>
        <v>64</v>
      </c>
      <c r="F9922" s="19" t="str">
        <f>IFERROR(__xludf.DUMMYFUNCTION("""COMPUTED_VALUE"""),"BLUE")</f>
        <v>BLUE</v>
      </c>
      <c r="G9922" s="20" t="str">
        <f>IFERROR(__xludf.DUMMYFUNCTION("""COMPUTED_VALUE"""),"Uncle Sams Cider (04/04/2023)")</f>
        <v>Uncle Sams Cider (04/04/2023)</v>
      </c>
      <c r="H9922" s="19"/>
    </row>
    <row r="9923">
      <c r="A9923" s="9"/>
      <c r="B9923" s="15"/>
      <c r="C9923" s="9">
        <f>IFERROR(__xludf.DUMMYFUNCTION("""COMPUTED_VALUE"""),45039.8421224421)</f>
        <v>45039.84212</v>
      </c>
      <c r="D9923" s="15">
        <f>IFERROR(__xludf.DUMMYFUNCTION("""COMPUTED_VALUE"""),1.036)</f>
        <v>1.036</v>
      </c>
      <c r="E9923" s="16">
        <f>IFERROR(__xludf.DUMMYFUNCTION("""COMPUTED_VALUE"""),64.0)</f>
        <v>64</v>
      </c>
      <c r="F9923" s="19" t="str">
        <f>IFERROR(__xludf.DUMMYFUNCTION("""COMPUTED_VALUE"""),"BLUE")</f>
        <v>BLUE</v>
      </c>
      <c r="G9923" s="20" t="str">
        <f>IFERROR(__xludf.DUMMYFUNCTION("""COMPUTED_VALUE"""),"Uncle Sams Cider (04/04/2023)")</f>
        <v>Uncle Sams Cider (04/04/2023)</v>
      </c>
      <c r="H9923" s="19"/>
    </row>
    <row r="9924">
      <c r="A9924" s="9"/>
      <c r="B9924" s="15"/>
      <c r="C9924" s="9">
        <f>IFERROR(__xludf.DUMMYFUNCTION("""COMPUTED_VALUE"""),45039.8317032638)</f>
        <v>45039.8317</v>
      </c>
      <c r="D9924" s="15">
        <f>IFERROR(__xludf.DUMMYFUNCTION("""COMPUTED_VALUE"""),1.037)</f>
        <v>1.037</v>
      </c>
      <c r="E9924" s="16">
        <f>IFERROR(__xludf.DUMMYFUNCTION("""COMPUTED_VALUE"""),64.0)</f>
        <v>64</v>
      </c>
      <c r="F9924" s="19" t="str">
        <f>IFERROR(__xludf.DUMMYFUNCTION("""COMPUTED_VALUE"""),"BLUE")</f>
        <v>BLUE</v>
      </c>
      <c r="G9924" s="20" t="str">
        <f>IFERROR(__xludf.DUMMYFUNCTION("""COMPUTED_VALUE"""),"Uncle Sams Cider (04/04/2023)")</f>
        <v>Uncle Sams Cider (04/04/2023)</v>
      </c>
      <c r="H9924" s="19"/>
    </row>
    <row r="9925">
      <c r="A9925" s="9"/>
      <c r="B9925" s="15"/>
      <c r="C9925" s="9">
        <f>IFERROR(__xludf.DUMMYFUNCTION("""COMPUTED_VALUE"""),45039.8212824884)</f>
        <v>45039.82128</v>
      </c>
      <c r="D9925" s="15">
        <f>IFERROR(__xludf.DUMMYFUNCTION("""COMPUTED_VALUE"""),1.037)</f>
        <v>1.037</v>
      </c>
      <c r="E9925" s="16">
        <f>IFERROR(__xludf.DUMMYFUNCTION("""COMPUTED_VALUE"""),64.0)</f>
        <v>64</v>
      </c>
      <c r="F9925" s="19" t="str">
        <f>IFERROR(__xludf.DUMMYFUNCTION("""COMPUTED_VALUE"""),"BLUE")</f>
        <v>BLUE</v>
      </c>
      <c r="G9925" s="20" t="str">
        <f>IFERROR(__xludf.DUMMYFUNCTION("""COMPUTED_VALUE"""),"Uncle Sams Cider (04/04/2023)")</f>
        <v>Uncle Sams Cider (04/04/2023)</v>
      </c>
      <c r="H9925" s="19"/>
    </row>
    <row r="9926">
      <c r="A9926" s="9"/>
      <c r="B9926" s="15"/>
      <c r="C9926" s="9">
        <f>IFERROR(__xludf.DUMMYFUNCTION("""COMPUTED_VALUE"""),45039.810860868)</f>
        <v>45039.81086</v>
      </c>
      <c r="D9926" s="15">
        <f>IFERROR(__xludf.DUMMYFUNCTION("""COMPUTED_VALUE"""),1.037)</f>
        <v>1.037</v>
      </c>
      <c r="E9926" s="16">
        <f>IFERROR(__xludf.DUMMYFUNCTION("""COMPUTED_VALUE"""),64.0)</f>
        <v>64</v>
      </c>
      <c r="F9926" s="19" t="str">
        <f>IFERROR(__xludf.DUMMYFUNCTION("""COMPUTED_VALUE"""),"BLUE")</f>
        <v>BLUE</v>
      </c>
      <c r="G9926" s="20" t="str">
        <f>IFERROR(__xludf.DUMMYFUNCTION("""COMPUTED_VALUE"""),"Uncle Sams Cider (04/04/2023)")</f>
        <v>Uncle Sams Cider (04/04/2023)</v>
      </c>
      <c r="H9926" s="19"/>
    </row>
    <row r="9927">
      <c r="A9927" s="9"/>
      <c r="B9927" s="15"/>
      <c r="C9927" s="9">
        <f>IFERROR(__xludf.DUMMYFUNCTION("""COMPUTED_VALUE"""),45039.8004395023)</f>
        <v>45039.80044</v>
      </c>
      <c r="D9927" s="15">
        <f>IFERROR(__xludf.DUMMYFUNCTION("""COMPUTED_VALUE"""),1.037)</f>
        <v>1.037</v>
      </c>
      <c r="E9927" s="16">
        <f>IFERROR(__xludf.DUMMYFUNCTION("""COMPUTED_VALUE"""),64.0)</f>
        <v>64</v>
      </c>
      <c r="F9927" s="19" t="str">
        <f>IFERROR(__xludf.DUMMYFUNCTION("""COMPUTED_VALUE"""),"BLUE")</f>
        <v>BLUE</v>
      </c>
      <c r="G9927" s="20" t="str">
        <f>IFERROR(__xludf.DUMMYFUNCTION("""COMPUTED_VALUE"""),"Uncle Sams Cider (04/04/2023)")</f>
        <v>Uncle Sams Cider (04/04/2023)</v>
      </c>
      <c r="H9927" s="19"/>
    </row>
    <row r="9928">
      <c r="A9928" s="9"/>
      <c r="B9928" s="15"/>
      <c r="C9928" s="9">
        <f>IFERROR(__xludf.DUMMYFUNCTION("""COMPUTED_VALUE"""),45039.7900184953)</f>
        <v>45039.79002</v>
      </c>
      <c r="D9928" s="15">
        <f>IFERROR(__xludf.DUMMYFUNCTION("""COMPUTED_VALUE"""),1.037)</f>
        <v>1.037</v>
      </c>
      <c r="E9928" s="16">
        <f>IFERROR(__xludf.DUMMYFUNCTION("""COMPUTED_VALUE"""),64.0)</f>
        <v>64</v>
      </c>
      <c r="F9928" s="19" t="str">
        <f>IFERROR(__xludf.DUMMYFUNCTION("""COMPUTED_VALUE"""),"BLUE")</f>
        <v>BLUE</v>
      </c>
      <c r="G9928" s="20" t="str">
        <f>IFERROR(__xludf.DUMMYFUNCTION("""COMPUTED_VALUE"""),"Uncle Sams Cider (04/04/2023)")</f>
        <v>Uncle Sams Cider (04/04/2023)</v>
      </c>
      <c r="H9928" s="19"/>
    </row>
    <row r="9929">
      <c r="A9929" s="9"/>
      <c r="B9929" s="15"/>
      <c r="C9929" s="9">
        <f>IFERROR(__xludf.DUMMYFUNCTION("""COMPUTED_VALUE"""),45039.7795977314)</f>
        <v>45039.7796</v>
      </c>
      <c r="D9929" s="15">
        <f>IFERROR(__xludf.DUMMYFUNCTION("""COMPUTED_VALUE"""),1.037)</f>
        <v>1.037</v>
      </c>
      <c r="E9929" s="16">
        <f>IFERROR(__xludf.DUMMYFUNCTION("""COMPUTED_VALUE"""),64.0)</f>
        <v>64</v>
      </c>
      <c r="F9929" s="19" t="str">
        <f>IFERROR(__xludf.DUMMYFUNCTION("""COMPUTED_VALUE"""),"BLUE")</f>
        <v>BLUE</v>
      </c>
      <c r="G9929" s="20" t="str">
        <f>IFERROR(__xludf.DUMMYFUNCTION("""COMPUTED_VALUE"""),"Uncle Sams Cider (04/04/2023)")</f>
        <v>Uncle Sams Cider (04/04/2023)</v>
      </c>
      <c r="H9929" s="19"/>
    </row>
    <row r="9930">
      <c r="A9930" s="9"/>
      <c r="B9930" s="15"/>
      <c r="C9930" s="9">
        <f>IFERROR(__xludf.DUMMYFUNCTION("""COMPUTED_VALUE"""),45039.7691767361)</f>
        <v>45039.76918</v>
      </c>
      <c r="D9930" s="15">
        <f>IFERROR(__xludf.DUMMYFUNCTION("""COMPUTED_VALUE"""),1.036)</f>
        <v>1.036</v>
      </c>
      <c r="E9930" s="16">
        <f>IFERROR(__xludf.DUMMYFUNCTION("""COMPUTED_VALUE"""),64.0)</f>
        <v>64</v>
      </c>
      <c r="F9930" s="19" t="str">
        <f>IFERROR(__xludf.DUMMYFUNCTION("""COMPUTED_VALUE"""),"BLUE")</f>
        <v>BLUE</v>
      </c>
      <c r="G9930" s="20" t="str">
        <f>IFERROR(__xludf.DUMMYFUNCTION("""COMPUTED_VALUE"""),"Uncle Sams Cider (04/04/2023)")</f>
        <v>Uncle Sams Cider (04/04/2023)</v>
      </c>
      <c r="H9930" s="19"/>
    </row>
    <row r="9931">
      <c r="A9931" s="9"/>
      <c r="B9931" s="15"/>
      <c r="C9931" s="9">
        <f>IFERROR(__xludf.DUMMYFUNCTION("""COMPUTED_VALUE"""),45039.7587566666)</f>
        <v>45039.75876</v>
      </c>
      <c r="D9931" s="15">
        <f>IFERROR(__xludf.DUMMYFUNCTION("""COMPUTED_VALUE"""),1.037)</f>
        <v>1.037</v>
      </c>
      <c r="E9931" s="16">
        <f>IFERROR(__xludf.DUMMYFUNCTION("""COMPUTED_VALUE"""),64.0)</f>
        <v>64</v>
      </c>
      <c r="F9931" s="19" t="str">
        <f>IFERROR(__xludf.DUMMYFUNCTION("""COMPUTED_VALUE"""),"BLUE")</f>
        <v>BLUE</v>
      </c>
      <c r="G9931" s="20" t="str">
        <f>IFERROR(__xludf.DUMMYFUNCTION("""COMPUTED_VALUE"""),"Uncle Sams Cider (04/04/2023)")</f>
        <v>Uncle Sams Cider (04/04/2023)</v>
      </c>
      <c r="H9931" s="19"/>
    </row>
    <row r="9932">
      <c r="A9932" s="9"/>
      <c r="B9932" s="15"/>
      <c r="C9932" s="9">
        <f>IFERROR(__xludf.DUMMYFUNCTION("""COMPUTED_VALUE"""),45039.7483364351)</f>
        <v>45039.74834</v>
      </c>
      <c r="D9932" s="15">
        <f>IFERROR(__xludf.DUMMYFUNCTION("""COMPUTED_VALUE"""),1.037)</f>
        <v>1.037</v>
      </c>
      <c r="E9932" s="16">
        <f>IFERROR(__xludf.DUMMYFUNCTION("""COMPUTED_VALUE"""),64.0)</f>
        <v>64</v>
      </c>
      <c r="F9932" s="19" t="str">
        <f>IFERROR(__xludf.DUMMYFUNCTION("""COMPUTED_VALUE"""),"BLUE")</f>
        <v>BLUE</v>
      </c>
      <c r="G9932" s="20" t="str">
        <f>IFERROR(__xludf.DUMMYFUNCTION("""COMPUTED_VALUE"""),"Uncle Sams Cider (04/04/2023)")</f>
        <v>Uncle Sams Cider (04/04/2023)</v>
      </c>
      <c r="H9932" s="19"/>
    </row>
    <row r="9933">
      <c r="A9933" s="9"/>
      <c r="B9933" s="15"/>
      <c r="C9933" s="9">
        <f>IFERROR(__xludf.DUMMYFUNCTION("""COMPUTED_VALUE"""),45039.7379159837)</f>
        <v>45039.73792</v>
      </c>
      <c r="D9933" s="15">
        <f>IFERROR(__xludf.DUMMYFUNCTION("""COMPUTED_VALUE"""),1.037)</f>
        <v>1.037</v>
      </c>
      <c r="E9933" s="16">
        <f>IFERROR(__xludf.DUMMYFUNCTION("""COMPUTED_VALUE"""),64.0)</f>
        <v>64</v>
      </c>
      <c r="F9933" s="19" t="str">
        <f>IFERROR(__xludf.DUMMYFUNCTION("""COMPUTED_VALUE"""),"BLUE")</f>
        <v>BLUE</v>
      </c>
      <c r="G9933" s="20" t="str">
        <f>IFERROR(__xludf.DUMMYFUNCTION("""COMPUTED_VALUE"""),"Uncle Sams Cider (04/04/2023)")</f>
        <v>Uncle Sams Cider (04/04/2023)</v>
      </c>
      <c r="H9933" s="19"/>
    </row>
    <row r="9934">
      <c r="A9934" s="9"/>
      <c r="B9934" s="15"/>
      <c r="C9934" s="9">
        <f>IFERROR(__xludf.DUMMYFUNCTION("""COMPUTED_VALUE"""),45039.7274965972)</f>
        <v>45039.7275</v>
      </c>
      <c r="D9934" s="15">
        <f>IFERROR(__xludf.DUMMYFUNCTION("""COMPUTED_VALUE"""),1.037)</f>
        <v>1.037</v>
      </c>
      <c r="E9934" s="16">
        <f>IFERROR(__xludf.DUMMYFUNCTION("""COMPUTED_VALUE"""),64.0)</f>
        <v>64</v>
      </c>
      <c r="F9934" s="19" t="str">
        <f>IFERROR(__xludf.DUMMYFUNCTION("""COMPUTED_VALUE"""),"BLUE")</f>
        <v>BLUE</v>
      </c>
      <c r="G9934" s="20" t="str">
        <f>IFERROR(__xludf.DUMMYFUNCTION("""COMPUTED_VALUE"""),"Uncle Sams Cider (04/04/2023)")</f>
        <v>Uncle Sams Cider (04/04/2023)</v>
      </c>
      <c r="H9934" s="19"/>
    </row>
    <row r="9935">
      <c r="A9935" s="9"/>
      <c r="B9935" s="15"/>
      <c r="C9935" s="9">
        <f>IFERROR(__xludf.DUMMYFUNCTION("""COMPUTED_VALUE"""),45039.7170762847)</f>
        <v>45039.71708</v>
      </c>
      <c r="D9935" s="15">
        <f>IFERROR(__xludf.DUMMYFUNCTION("""COMPUTED_VALUE"""),1.037)</f>
        <v>1.037</v>
      </c>
      <c r="E9935" s="16">
        <f>IFERROR(__xludf.DUMMYFUNCTION("""COMPUTED_VALUE"""),64.0)</f>
        <v>64</v>
      </c>
      <c r="F9935" s="19" t="str">
        <f>IFERROR(__xludf.DUMMYFUNCTION("""COMPUTED_VALUE"""),"BLUE")</f>
        <v>BLUE</v>
      </c>
      <c r="G9935" s="20" t="str">
        <f>IFERROR(__xludf.DUMMYFUNCTION("""COMPUTED_VALUE"""),"Uncle Sams Cider (04/04/2023)")</f>
        <v>Uncle Sams Cider (04/04/2023)</v>
      </c>
      <c r="H9935" s="19"/>
    </row>
    <row r="9936">
      <c r="A9936" s="9"/>
      <c r="B9936" s="15"/>
      <c r="C9936" s="9">
        <f>IFERROR(__xludf.DUMMYFUNCTION("""COMPUTED_VALUE"""),45039.7066450115)</f>
        <v>45039.70665</v>
      </c>
      <c r="D9936" s="15">
        <f>IFERROR(__xludf.DUMMYFUNCTION("""COMPUTED_VALUE"""),1.037)</f>
        <v>1.037</v>
      </c>
      <c r="E9936" s="16">
        <f>IFERROR(__xludf.DUMMYFUNCTION("""COMPUTED_VALUE"""),64.0)</f>
        <v>64</v>
      </c>
      <c r="F9936" s="19" t="str">
        <f>IFERROR(__xludf.DUMMYFUNCTION("""COMPUTED_VALUE"""),"BLUE")</f>
        <v>BLUE</v>
      </c>
      <c r="G9936" s="20" t="str">
        <f>IFERROR(__xludf.DUMMYFUNCTION("""COMPUTED_VALUE"""),"Uncle Sams Cider (04/04/2023)")</f>
        <v>Uncle Sams Cider (04/04/2023)</v>
      </c>
      <c r="H9936" s="19"/>
    </row>
    <row r="9937">
      <c r="A9937" s="9"/>
      <c r="B9937" s="15"/>
      <c r="C9937" s="9">
        <f>IFERROR(__xludf.DUMMYFUNCTION("""COMPUTED_VALUE"""),45039.6962220717)</f>
        <v>45039.69622</v>
      </c>
      <c r="D9937" s="15">
        <f>IFERROR(__xludf.DUMMYFUNCTION("""COMPUTED_VALUE"""),1.037)</f>
        <v>1.037</v>
      </c>
      <c r="E9937" s="16">
        <f>IFERROR(__xludf.DUMMYFUNCTION("""COMPUTED_VALUE"""),64.0)</f>
        <v>64</v>
      </c>
      <c r="F9937" s="19" t="str">
        <f>IFERROR(__xludf.DUMMYFUNCTION("""COMPUTED_VALUE"""),"BLUE")</f>
        <v>BLUE</v>
      </c>
      <c r="G9937" s="20" t="str">
        <f>IFERROR(__xludf.DUMMYFUNCTION("""COMPUTED_VALUE"""),"Uncle Sams Cider (04/04/2023)")</f>
        <v>Uncle Sams Cider (04/04/2023)</v>
      </c>
      <c r="H9937" s="19"/>
    </row>
    <row r="9938">
      <c r="A9938" s="9"/>
      <c r="B9938" s="15"/>
      <c r="C9938" s="9">
        <f>IFERROR(__xludf.DUMMYFUNCTION("""COMPUTED_VALUE"""),45039.6858010879)</f>
        <v>45039.6858</v>
      </c>
      <c r="D9938" s="15">
        <f>IFERROR(__xludf.DUMMYFUNCTION("""COMPUTED_VALUE"""),1.037)</f>
        <v>1.037</v>
      </c>
      <c r="E9938" s="16">
        <f>IFERROR(__xludf.DUMMYFUNCTION("""COMPUTED_VALUE"""),64.0)</f>
        <v>64</v>
      </c>
      <c r="F9938" s="19" t="str">
        <f>IFERROR(__xludf.DUMMYFUNCTION("""COMPUTED_VALUE"""),"BLUE")</f>
        <v>BLUE</v>
      </c>
      <c r="G9938" s="20" t="str">
        <f>IFERROR(__xludf.DUMMYFUNCTION("""COMPUTED_VALUE"""),"Uncle Sams Cider (04/04/2023)")</f>
        <v>Uncle Sams Cider (04/04/2023)</v>
      </c>
      <c r="H9938" s="19"/>
    </row>
    <row r="9939">
      <c r="A9939" s="9"/>
      <c r="B9939" s="15"/>
      <c r="C9939" s="9">
        <f>IFERROR(__xludf.DUMMYFUNCTION("""COMPUTED_VALUE"""),45039.675380625)</f>
        <v>45039.67538</v>
      </c>
      <c r="D9939" s="15">
        <f>IFERROR(__xludf.DUMMYFUNCTION("""COMPUTED_VALUE"""),1.037)</f>
        <v>1.037</v>
      </c>
      <c r="E9939" s="16">
        <f>IFERROR(__xludf.DUMMYFUNCTION("""COMPUTED_VALUE"""),64.0)</f>
        <v>64</v>
      </c>
      <c r="F9939" s="19" t="str">
        <f>IFERROR(__xludf.DUMMYFUNCTION("""COMPUTED_VALUE"""),"BLUE")</f>
        <v>BLUE</v>
      </c>
      <c r="G9939" s="20" t="str">
        <f>IFERROR(__xludf.DUMMYFUNCTION("""COMPUTED_VALUE"""),"Uncle Sams Cider (04/04/2023)")</f>
        <v>Uncle Sams Cider (04/04/2023)</v>
      </c>
      <c r="H9939" s="19"/>
    </row>
    <row r="9940">
      <c r="A9940" s="9"/>
      <c r="B9940" s="15"/>
      <c r="C9940" s="9">
        <f>IFERROR(__xludf.DUMMYFUNCTION("""COMPUTED_VALUE"""),45039.6649602546)</f>
        <v>45039.66496</v>
      </c>
      <c r="D9940" s="15">
        <f>IFERROR(__xludf.DUMMYFUNCTION("""COMPUTED_VALUE"""),1.037)</f>
        <v>1.037</v>
      </c>
      <c r="E9940" s="16">
        <f>IFERROR(__xludf.DUMMYFUNCTION("""COMPUTED_VALUE"""),64.0)</f>
        <v>64</v>
      </c>
      <c r="F9940" s="19" t="str">
        <f>IFERROR(__xludf.DUMMYFUNCTION("""COMPUTED_VALUE"""),"BLUE")</f>
        <v>BLUE</v>
      </c>
      <c r="G9940" s="20" t="str">
        <f>IFERROR(__xludf.DUMMYFUNCTION("""COMPUTED_VALUE"""),"Uncle Sams Cider (04/04/2023)")</f>
        <v>Uncle Sams Cider (04/04/2023)</v>
      </c>
      <c r="H9940" s="19"/>
    </row>
    <row r="9941">
      <c r="A9941" s="9"/>
      <c r="B9941" s="15"/>
      <c r="C9941" s="9">
        <f>IFERROR(__xludf.DUMMYFUNCTION("""COMPUTED_VALUE"""),45039.6545370601)</f>
        <v>45039.65454</v>
      </c>
      <c r="D9941" s="15">
        <f>IFERROR(__xludf.DUMMYFUNCTION("""COMPUTED_VALUE"""),1.037)</f>
        <v>1.037</v>
      </c>
      <c r="E9941" s="16">
        <f>IFERROR(__xludf.DUMMYFUNCTION("""COMPUTED_VALUE"""),64.0)</f>
        <v>64</v>
      </c>
      <c r="F9941" s="19" t="str">
        <f>IFERROR(__xludf.DUMMYFUNCTION("""COMPUTED_VALUE"""),"BLUE")</f>
        <v>BLUE</v>
      </c>
      <c r="G9941" s="20" t="str">
        <f>IFERROR(__xludf.DUMMYFUNCTION("""COMPUTED_VALUE"""),"Uncle Sams Cider (04/04/2023)")</f>
        <v>Uncle Sams Cider (04/04/2023)</v>
      </c>
      <c r="H9941" s="19"/>
    </row>
    <row r="9942">
      <c r="A9942" s="9"/>
      <c r="B9942" s="15"/>
      <c r="C9942" s="9">
        <f>IFERROR(__xludf.DUMMYFUNCTION("""COMPUTED_VALUE"""),45039.6441162615)</f>
        <v>45039.64412</v>
      </c>
      <c r="D9942" s="15">
        <f>IFERROR(__xludf.DUMMYFUNCTION("""COMPUTED_VALUE"""),1.037)</f>
        <v>1.037</v>
      </c>
      <c r="E9942" s="16">
        <f>IFERROR(__xludf.DUMMYFUNCTION("""COMPUTED_VALUE"""),64.0)</f>
        <v>64</v>
      </c>
      <c r="F9942" s="19" t="str">
        <f>IFERROR(__xludf.DUMMYFUNCTION("""COMPUTED_VALUE"""),"BLUE")</f>
        <v>BLUE</v>
      </c>
      <c r="G9942" s="20" t="str">
        <f>IFERROR(__xludf.DUMMYFUNCTION("""COMPUTED_VALUE"""),"Uncle Sams Cider (04/04/2023)")</f>
        <v>Uncle Sams Cider (04/04/2023)</v>
      </c>
      <c r="H9942" s="19"/>
    </row>
    <row r="9943">
      <c r="A9943" s="9"/>
      <c r="B9943" s="15"/>
      <c r="C9943" s="9">
        <f>IFERROR(__xludf.DUMMYFUNCTION("""COMPUTED_VALUE"""),45039.6336949652)</f>
        <v>45039.63369</v>
      </c>
      <c r="D9943" s="15">
        <f>IFERROR(__xludf.DUMMYFUNCTION("""COMPUTED_VALUE"""),1.037)</f>
        <v>1.037</v>
      </c>
      <c r="E9943" s="16">
        <f>IFERROR(__xludf.DUMMYFUNCTION("""COMPUTED_VALUE"""),64.0)</f>
        <v>64</v>
      </c>
      <c r="F9943" s="19" t="str">
        <f>IFERROR(__xludf.DUMMYFUNCTION("""COMPUTED_VALUE"""),"BLUE")</f>
        <v>BLUE</v>
      </c>
      <c r="G9943" s="20" t="str">
        <f>IFERROR(__xludf.DUMMYFUNCTION("""COMPUTED_VALUE"""),"Uncle Sams Cider (04/04/2023)")</f>
        <v>Uncle Sams Cider (04/04/2023)</v>
      </c>
      <c r="H9943" s="19"/>
    </row>
    <row r="9944">
      <c r="A9944" s="9"/>
      <c r="B9944" s="15"/>
      <c r="C9944" s="9">
        <f>IFERROR(__xludf.DUMMYFUNCTION("""COMPUTED_VALUE"""),45039.6232737037)</f>
        <v>45039.62327</v>
      </c>
      <c r="D9944" s="15">
        <f>IFERROR(__xludf.DUMMYFUNCTION("""COMPUTED_VALUE"""),1.037)</f>
        <v>1.037</v>
      </c>
      <c r="E9944" s="16">
        <f>IFERROR(__xludf.DUMMYFUNCTION("""COMPUTED_VALUE"""),64.0)</f>
        <v>64</v>
      </c>
      <c r="F9944" s="19" t="str">
        <f>IFERROR(__xludf.DUMMYFUNCTION("""COMPUTED_VALUE"""),"BLUE")</f>
        <v>BLUE</v>
      </c>
      <c r="G9944" s="20" t="str">
        <f>IFERROR(__xludf.DUMMYFUNCTION("""COMPUTED_VALUE"""),"Uncle Sams Cider (04/04/2023)")</f>
        <v>Uncle Sams Cider (04/04/2023)</v>
      </c>
      <c r="H9944" s="19"/>
    </row>
    <row r="9945">
      <c r="A9945" s="9"/>
      <c r="B9945" s="15"/>
      <c r="C9945" s="9">
        <f>IFERROR(__xludf.DUMMYFUNCTION("""COMPUTED_VALUE"""),45039.6128515972)</f>
        <v>45039.61285</v>
      </c>
      <c r="D9945" s="15">
        <f>IFERROR(__xludf.DUMMYFUNCTION("""COMPUTED_VALUE"""),1.037)</f>
        <v>1.037</v>
      </c>
      <c r="E9945" s="16">
        <f>IFERROR(__xludf.DUMMYFUNCTION("""COMPUTED_VALUE"""),64.0)</f>
        <v>64</v>
      </c>
      <c r="F9945" s="19" t="str">
        <f>IFERROR(__xludf.DUMMYFUNCTION("""COMPUTED_VALUE"""),"BLUE")</f>
        <v>BLUE</v>
      </c>
      <c r="G9945" s="20" t="str">
        <f>IFERROR(__xludf.DUMMYFUNCTION("""COMPUTED_VALUE"""),"Uncle Sams Cider (04/04/2023)")</f>
        <v>Uncle Sams Cider (04/04/2023)</v>
      </c>
      <c r="H9945" s="19"/>
    </row>
    <row r="9946">
      <c r="A9946" s="9"/>
      <c r="B9946" s="15"/>
      <c r="C9946" s="9">
        <f>IFERROR(__xludf.DUMMYFUNCTION("""COMPUTED_VALUE"""),45039.6024307754)</f>
        <v>45039.60243</v>
      </c>
      <c r="D9946" s="15">
        <f>IFERROR(__xludf.DUMMYFUNCTION("""COMPUTED_VALUE"""),1.037)</f>
        <v>1.037</v>
      </c>
      <c r="E9946" s="16">
        <f>IFERROR(__xludf.DUMMYFUNCTION("""COMPUTED_VALUE"""),64.0)</f>
        <v>64</v>
      </c>
      <c r="F9946" s="19" t="str">
        <f>IFERROR(__xludf.DUMMYFUNCTION("""COMPUTED_VALUE"""),"BLUE")</f>
        <v>BLUE</v>
      </c>
      <c r="G9946" s="20" t="str">
        <f>IFERROR(__xludf.DUMMYFUNCTION("""COMPUTED_VALUE"""),"Uncle Sams Cider (04/04/2023)")</f>
        <v>Uncle Sams Cider (04/04/2023)</v>
      </c>
      <c r="H9946" s="19"/>
    </row>
    <row r="9947">
      <c r="A9947" s="9"/>
      <c r="B9947" s="15"/>
      <c r="C9947" s="9">
        <f>IFERROR(__xludf.DUMMYFUNCTION("""COMPUTED_VALUE"""),45039.591975243)</f>
        <v>45039.59198</v>
      </c>
      <c r="D9947" s="15">
        <f>IFERROR(__xludf.DUMMYFUNCTION("""COMPUTED_VALUE"""),1.037)</f>
        <v>1.037</v>
      </c>
      <c r="E9947" s="16">
        <f>IFERROR(__xludf.DUMMYFUNCTION("""COMPUTED_VALUE"""),64.0)</f>
        <v>64</v>
      </c>
      <c r="F9947" s="19" t="str">
        <f>IFERROR(__xludf.DUMMYFUNCTION("""COMPUTED_VALUE"""),"BLUE")</f>
        <v>BLUE</v>
      </c>
      <c r="G9947" s="20" t="str">
        <f>IFERROR(__xludf.DUMMYFUNCTION("""COMPUTED_VALUE"""),"Uncle Sams Cider (04/04/2023)")</f>
        <v>Uncle Sams Cider (04/04/2023)</v>
      </c>
      <c r="H9947" s="19"/>
    </row>
    <row r="9948">
      <c r="A9948" s="9"/>
      <c r="B9948" s="15"/>
      <c r="C9948" s="9">
        <f>IFERROR(__xludf.DUMMYFUNCTION("""COMPUTED_VALUE"""),45039.581553831)</f>
        <v>45039.58155</v>
      </c>
      <c r="D9948" s="15">
        <f>IFERROR(__xludf.DUMMYFUNCTION("""COMPUTED_VALUE"""),1.037)</f>
        <v>1.037</v>
      </c>
      <c r="E9948" s="16">
        <f>IFERROR(__xludf.DUMMYFUNCTION("""COMPUTED_VALUE"""),64.0)</f>
        <v>64</v>
      </c>
      <c r="F9948" s="19" t="str">
        <f>IFERROR(__xludf.DUMMYFUNCTION("""COMPUTED_VALUE"""),"BLUE")</f>
        <v>BLUE</v>
      </c>
      <c r="G9948" s="20" t="str">
        <f>IFERROR(__xludf.DUMMYFUNCTION("""COMPUTED_VALUE"""),"Uncle Sams Cider (04/04/2023)")</f>
        <v>Uncle Sams Cider (04/04/2023)</v>
      </c>
      <c r="H9948" s="19"/>
    </row>
    <row r="9949">
      <c r="A9949" s="9"/>
      <c r="B9949" s="15"/>
      <c r="C9949" s="9">
        <f>IFERROR(__xludf.DUMMYFUNCTION("""COMPUTED_VALUE"""),45039.5711329166)</f>
        <v>45039.57113</v>
      </c>
      <c r="D9949" s="15">
        <f>IFERROR(__xludf.DUMMYFUNCTION("""COMPUTED_VALUE"""),1.037)</f>
        <v>1.037</v>
      </c>
      <c r="E9949" s="16">
        <f>IFERROR(__xludf.DUMMYFUNCTION("""COMPUTED_VALUE"""),64.0)</f>
        <v>64</v>
      </c>
      <c r="F9949" s="19" t="str">
        <f>IFERROR(__xludf.DUMMYFUNCTION("""COMPUTED_VALUE"""),"BLUE")</f>
        <v>BLUE</v>
      </c>
      <c r="G9949" s="20" t="str">
        <f>IFERROR(__xludf.DUMMYFUNCTION("""COMPUTED_VALUE"""),"Uncle Sams Cider (04/04/2023)")</f>
        <v>Uncle Sams Cider (04/04/2023)</v>
      </c>
      <c r="H9949" s="19"/>
    </row>
    <row r="9950">
      <c r="A9950" s="9"/>
      <c r="B9950" s="15"/>
      <c r="C9950" s="9">
        <f>IFERROR(__xludf.DUMMYFUNCTION("""COMPUTED_VALUE"""),45039.5607104629)</f>
        <v>45039.56071</v>
      </c>
      <c r="D9950" s="15">
        <f>IFERROR(__xludf.DUMMYFUNCTION("""COMPUTED_VALUE"""),1.037)</f>
        <v>1.037</v>
      </c>
      <c r="E9950" s="16">
        <f>IFERROR(__xludf.DUMMYFUNCTION("""COMPUTED_VALUE"""),64.0)</f>
        <v>64</v>
      </c>
      <c r="F9950" s="19" t="str">
        <f>IFERROR(__xludf.DUMMYFUNCTION("""COMPUTED_VALUE"""),"BLUE")</f>
        <v>BLUE</v>
      </c>
      <c r="G9950" s="20" t="str">
        <f>IFERROR(__xludf.DUMMYFUNCTION("""COMPUTED_VALUE"""),"Uncle Sams Cider (04/04/2023)")</f>
        <v>Uncle Sams Cider (04/04/2023)</v>
      </c>
      <c r="H9950" s="19"/>
    </row>
    <row r="9951">
      <c r="A9951" s="9"/>
      <c r="B9951" s="15"/>
      <c r="C9951" s="9">
        <f>IFERROR(__xludf.DUMMYFUNCTION("""COMPUTED_VALUE"""),45039.5502893634)</f>
        <v>45039.55029</v>
      </c>
      <c r="D9951" s="15">
        <f>IFERROR(__xludf.DUMMYFUNCTION("""COMPUTED_VALUE"""),1.037)</f>
        <v>1.037</v>
      </c>
      <c r="E9951" s="16">
        <f>IFERROR(__xludf.DUMMYFUNCTION("""COMPUTED_VALUE"""),64.0)</f>
        <v>64</v>
      </c>
      <c r="F9951" s="19" t="str">
        <f>IFERROR(__xludf.DUMMYFUNCTION("""COMPUTED_VALUE"""),"BLUE")</f>
        <v>BLUE</v>
      </c>
      <c r="G9951" s="20" t="str">
        <f>IFERROR(__xludf.DUMMYFUNCTION("""COMPUTED_VALUE"""),"Uncle Sams Cider (04/04/2023)")</f>
        <v>Uncle Sams Cider (04/04/2023)</v>
      </c>
      <c r="H9951" s="19"/>
    </row>
    <row r="9952">
      <c r="A9952" s="9"/>
      <c r="B9952" s="15"/>
      <c r="C9952" s="9">
        <f>IFERROR(__xludf.DUMMYFUNCTION("""COMPUTED_VALUE"""),45039.5398474652)</f>
        <v>45039.53985</v>
      </c>
      <c r="D9952" s="15">
        <f>IFERROR(__xludf.DUMMYFUNCTION("""COMPUTED_VALUE"""),1.037)</f>
        <v>1.037</v>
      </c>
      <c r="E9952" s="16">
        <f>IFERROR(__xludf.DUMMYFUNCTION("""COMPUTED_VALUE"""),64.0)</f>
        <v>64</v>
      </c>
      <c r="F9952" s="19" t="str">
        <f>IFERROR(__xludf.DUMMYFUNCTION("""COMPUTED_VALUE"""),"BLUE")</f>
        <v>BLUE</v>
      </c>
      <c r="G9952" s="20" t="str">
        <f>IFERROR(__xludf.DUMMYFUNCTION("""COMPUTED_VALUE"""),"Uncle Sams Cider (04/04/2023)")</f>
        <v>Uncle Sams Cider (04/04/2023)</v>
      </c>
      <c r="H9952" s="19"/>
    </row>
    <row r="9953">
      <c r="A9953" s="9"/>
      <c r="B9953" s="15"/>
      <c r="C9953" s="9">
        <f>IFERROR(__xludf.DUMMYFUNCTION("""COMPUTED_VALUE"""),45039.5294128819)</f>
        <v>45039.52941</v>
      </c>
      <c r="D9953" s="15">
        <f>IFERROR(__xludf.DUMMYFUNCTION("""COMPUTED_VALUE"""),1.037)</f>
        <v>1.037</v>
      </c>
      <c r="E9953" s="16">
        <f>IFERROR(__xludf.DUMMYFUNCTION("""COMPUTED_VALUE"""),64.0)</f>
        <v>64</v>
      </c>
      <c r="F9953" s="19" t="str">
        <f>IFERROR(__xludf.DUMMYFUNCTION("""COMPUTED_VALUE"""),"BLUE")</f>
        <v>BLUE</v>
      </c>
      <c r="G9953" s="20" t="str">
        <f>IFERROR(__xludf.DUMMYFUNCTION("""COMPUTED_VALUE"""),"Uncle Sams Cider (04/04/2023)")</f>
        <v>Uncle Sams Cider (04/04/2023)</v>
      </c>
      <c r="H9953" s="19"/>
    </row>
    <row r="9954">
      <c r="A9954" s="9"/>
      <c r="B9954" s="15"/>
      <c r="C9954" s="9">
        <f>IFERROR(__xludf.DUMMYFUNCTION("""COMPUTED_VALUE"""),45039.5189781828)</f>
        <v>45039.51898</v>
      </c>
      <c r="D9954" s="15">
        <f>IFERROR(__xludf.DUMMYFUNCTION("""COMPUTED_VALUE"""),1.037)</f>
        <v>1.037</v>
      </c>
      <c r="E9954" s="16">
        <f>IFERROR(__xludf.DUMMYFUNCTION("""COMPUTED_VALUE"""),64.0)</f>
        <v>64</v>
      </c>
      <c r="F9954" s="19" t="str">
        <f>IFERROR(__xludf.DUMMYFUNCTION("""COMPUTED_VALUE"""),"BLUE")</f>
        <v>BLUE</v>
      </c>
      <c r="G9954" s="20" t="str">
        <f>IFERROR(__xludf.DUMMYFUNCTION("""COMPUTED_VALUE"""),"Uncle Sams Cider (04/04/2023)")</f>
        <v>Uncle Sams Cider (04/04/2023)</v>
      </c>
      <c r="H9954" s="19"/>
    </row>
    <row r="9955">
      <c r="A9955" s="9"/>
      <c r="B9955" s="15"/>
      <c r="C9955" s="9">
        <f>IFERROR(__xludf.DUMMYFUNCTION("""COMPUTED_VALUE"""),45039.5085555324)</f>
        <v>45039.50856</v>
      </c>
      <c r="D9955" s="15">
        <f>IFERROR(__xludf.DUMMYFUNCTION("""COMPUTED_VALUE"""),1.037)</f>
        <v>1.037</v>
      </c>
      <c r="E9955" s="16">
        <f>IFERROR(__xludf.DUMMYFUNCTION("""COMPUTED_VALUE"""),64.0)</f>
        <v>64</v>
      </c>
      <c r="F9955" s="19" t="str">
        <f>IFERROR(__xludf.DUMMYFUNCTION("""COMPUTED_VALUE"""),"BLUE")</f>
        <v>BLUE</v>
      </c>
      <c r="G9955" s="20" t="str">
        <f>IFERROR(__xludf.DUMMYFUNCTION("""COMPUTED_VALUE"""),"Uncle Sams Cider (04/04/2023)")</f>
        <v>Uncle Sams Cider (04/04/2023)</v>
      </c>
      <c r="H9955" s="19"/>
    </row>
    <row r="9956">
      <c r="A9956" s="9"/>
      <c r="B9956" s="15"/>
      <c r="C9956" s="9">
        <f>IFERROR(__xludf.DUMMYFUNCTION("""COMPUTED_VALUE"""),45039.4981353703)</f>
        <v>45039.49814</v>
      </c>
      <c r="D9956" s="15">
        <f>IFERROR(__xludf.DUMMYFUNCTION("""COMPUTED_VALUE"""),1.037)</f>
        <v>1.037</v>
      </c>
      <c r="E9956" s="16">
        <f>IFERROR(__xludf.DUMMYFUNCTION("""COMPUTED_VALUE"""),64.0)</f>
        <v>64</v>
      </c>
      <c r="F9956" s="19" t="str">
        <f>IFERROR(__xludf.DUMMYFUNCTION("""COMPUTED_VALUE"""),"BLUE")</f>
        <v>BLUE</v>
      </c>
      <c r="G9956" s="20" t="str">
        <f>IFERROR(__xludf.DUMMYFUNCTION("""COMPUTED_VALUE"""),"Uncle Sams Cider (04/04/2023)")</f>
        <v>Uncle Sams Cider (04/04/2023)</v>
      </c>
      <c r="H9956" s="19"/>
    </row>
    <row r="9957">
      <c r="A9957" s="9"/>
      <c r="B9957" s="15"/>
      <c r="C9957" s="9">
        <f>IFERROR(__xludf.DUMMYFUNCTION("""COMPUTED_VALUE"""),45039.4877140162)</f>
        <v>45039.48771</v>
      </c>
      <c r="D9957" s="15">
        <f>IFERROR(__xludf.DUMMYFUNCTION("""COMPUTED_VALUE"""),1.037)</f>
        <v>1.037</v>
      </c>
      <c r="E9957" s="16">
        <f>IFERROR(__xludf.DUMMYFUNCTION("""COMPUTED_VALUE"""),64.0)</f>
        <v>64</v>
      </c>
      <c r="F9957" s="19" t="str">
        <f>IFERROR(__xludf.DUMMYFUNCTION("""COMPUTED_VALUE"""),"BLUE")</f>
        <v>BLUE</v>
      </c>
      <c r="G9957" s="20" t="str">
        <f>IFERROR(__xludf.DUMMYFUNCTION("""COMPUTED_VALUE"""),"Uncle Sams Cider (04/04/2023)")</f>
        <v>Uncle Sams Cider (04/04/2023)</v>
      </c>
      <c r="H9957" s="19"/>
    </row>
    <row r="9958">
      <c r="A9958" s="9"/>
      <c r="B9958" s="15"/>
      <c r="C9958" s="9">
        <f>IFERROR(__xludf.DUMMYFUNCTION("""COMPUTED_VALUE"""),45039.4772929513)</f>
        <v>45039.47729</v>
      </c>
      <c r="D9958" s="15">
        <f>IFERROR(__xludf.DUMMYFUNCTION("""COMPUTED_VALUE"""),1.037)</f>
        <v>1.037</v>
      </c>
      <c r="E9958" s="16">
        <f>IFERROR(__xludf.DUMMYFUNCTION("""COMPUTED_VALUE"""),64.0)</f>
        <v>64</v>
      </c>
      <c r="F9958" s="19" t="str">
        <f>IFERROR(__xludf.DUMMYFUNCTION("""COMPUTED_VALUE"""),"BLUE")</f>
        <v>BLUE</v>
      </c>
      <c r="G9958" s="20" t="str">
        <f>IFERROR(__xludf.DUMMYFUNCTION("""COMPUTED_VALUE"""),"Uncle Sams Cider (04/04/2023)")</f>
        <v>Uncle Sams Cider (04/04/2023)</v>
      </c>
      <c r="H9958" s="19"/>
    </row>
    <row r="9959">
      <c r="A9959" s="9"/>
      <c r="B9959" s="15"/>
      <c r="C9959" s="9">
        <f>IFERROR(__xludf.DUMMYFUNCTION("""COMPUTED_VALUE"""),45039.4668706018)</f>
        <v>45039.46687</v>
      </c>
      <c r="D9959" s="15">
        <f>IFERROR(__xludf.DUMMYFUNCTION("""COMPUTED_VALUE"""),1.037)</f>
        <v>1.037</v>
      </c>
      <c r="E9959" s="16">
        <f>IFERROR(__xludf.DUMMYFUNCTION("""COMPUTED_VALUE"""),64.0)</f>
        <v>64</v>
      </c>
      <c r="F9959" s="19" t="str">
        <f>IFERROR(__xludf.DUMMYFUNCTION("""COMPUTED_VALUE"""),"BLUE")</f>
        <v>BLUE</v>
      </c>
      <c r="G9959" s="20" t="str">
        <f>IFERROR(__xludf.DUMMYFUNCTION("""COMPUTED_VALUE"""),"Uncle Sams Cider (04/04/2023)")</f>
        <v>Uncle Sams Cider (04/04/2023)</v>
      </c>
      <c r="H9959" s="19"/>
    </row>
    <row r="9960">
      <c r="A9960" s="9"/>
      <c r="B9960" s="15"/>
      <c r="C9960" s="9">
        <f>IFERROR(__xludf.DUMMYFUNCTION("""COMPUTED_VALUE"""),45039.4564373379)</f>
        <v>45039.45644</v>
      </c>
      <c r="D9960" s="15">
        <f>IFERROR(__xludf.DUMMYFUNCTION("""COMPUTED_VALUE"""),1.037)</f>
        <v>1.037</v>
      </c>
      <c r="E9960" s="16">
        <f>IFERROR(__xludf.DUMMYFUNCTION("""COMPUTED_VALUE"""),64.0)</f>
        <v>64</v>
      </c>
      <c r="F9960" s="19" t="str">
        <f>IFERROR(__xludf.DUMMYFUNCTION("""COMPUTED_VALUE"""),"BLUE")</f>
        <v>BLUE</v>
      </c>
      <c r="G9960" s="20" t="str">
        <f>IFERROR(__xludf.DUMMYFUNCTION("""COMPUTED_VALUE"""),"Uncle Sams Cider (04/04/2023)")</f>
        <v>Uncle Sams Cider (04/04/2023)</v>
      </c>
      <c r="H9960" s="19"/>
    </row>
    <row r="9961">
      <c r="A9961" s="9"/>
      <c r="B9961" s="15"/>
      <c r="C9961" s="9">
        <f>IFERROR(__xludf.DUMMYFUNCTION("""COMPUTED_VALUE"""),45039.4460163426)</f>
        <v>45039.44602</v>
      </c>
      <c r="D9961" s="15">
        <f>IFERROR(__xludf.DUMMYFUNCTION("""COMPUTED_VALUE"""),1.037)</f>
        <v>1.037</v>
      </c>
      <c r="E9961" s="16">
        <f>IFERROR(__xludf.DUMMYFUNCTION("""COMPUTED_VALUE"""),64.0)</f>
        <v>64</v>
      </c>
      <c r="F9961" s="19" t="str">
        <f>IFERROR(__xludf.DUMMYFUNCTION("""COMPUTED_VALUE"""),"BLUE")</f>
        <v>BLUE</v>
      </c>
      <c r="G9961" s="20" t="str">
        <f>IFERROR(__xludf.DUMMYFUNCTION("""COMPUTED_VALUE"""),"Uncle Sams Cider (04/04/2023)")</f>
        <v>Uncle Sams Cider (04/04/2023)</v>
      </c>
      <c r="H9961" s="19"/>
    </row>
    <row r="9962">
      <c r="A9962" s="9"/>
      <c r="B9962" s="15"/>
      <c r="C9962" s="9">
        <f>IFERROR(__xludf.DUMMYFUNCTION("""COMPUTED_VALUE"""),45039.4355852777)</f>
        <v>45039.43559</v>
      </c>
      <c r="D9962" s="15">
        <f>IFERROR(__xludf.DUMMYFUNCTION("""COMPUTED_VALUE"""),1.037)</f>
        <v>1.037</v>
      </c>
      <c r="E9962" s="16">
        <f>IFERROR(__xludf.DUMMYFUNCTION("""COMPUTED_VALUE"""),64.0)</f>
        <v>64</v>
      </c>
      <c r="F9962" s="19" t="str">
        <f>IFERROR(__xludf.DUMMYFUNCTION("""COMPUTED_VALUE"""),"BLUE")</f>
        <v>BLUE</v>
      </c>
      <c r="G9962" s="20" t="str">
        <f>IFERROR(__xludf.DUMMYFUNCTION("""COMPUTED_VALUE"""),"Uncle Sams Cider (04/04/2023)")</f>
        <v>Uncle Sams Cider (04/04/2023)</v>
      </c>
      <c r="H9962" s="19"/>
    </row>
    <row r="9963">
      <c r="A9963" s="9"/>
      <c r="B9963" s="15"/>
      <c r="C9963" s="9">
        <f>IFERROR(__xludf.DUMMYFUNCTION("""COMPUTED_VALUE"""),45039.4251631944)</f>
        <v>45039.42516</v>
      </c>
      <c r="D9963" s="15">
        <f>IFERROR(__xludf.DUMMYFUNCTION("""COMPUTED_VALUE"""),1.037)</f>
        <v>1.037</v>
      </c>
      <c r="E9963" s="16">
        <f>IFERROR(__xludf.DUMMYFUNCTION("""COMPUTED_VALUE"""),64.0)</f>
        <v>64</v>
      </c>
      <c r="F9963" s="19" t="str">
        <f>IFERROR(__xludf.DUMMYFUNCTION("""COMPUTED_VALUE"""),"BLUE")</f>
        <v>BLUE</v>
      </c>
      <c r="G9963" s="20" t="str">
        <f>IFERROR(__xludf.DUMMYFUNCTION("""COMPUTED_VALUE"""),"Uncle Sams Cider (04/04/2023)")</f>
        <v>Uncle Sams Cider (04/04/2023)</v>
      </c>
      <c r="H9963" s="19"/>
    </row>
    <row r="9964">
      <c r="A9964" s="9"/>
      <c r="B9964" s="15"/>
      <c r="C9964" s="9">
        <f>IFERROR(__xludf.DUMMYFUNCTION("""COMPUTED_VALUE"""),45039.414741412)</f>
        <v>45039.41474</v>
      </c>
      <c r="D9964" s="15">
        <f>IFERROR(__xludf.DUMMYFUNCTION("""COMPUTED_VALUE"""),1.037)</f>
        <v>1.037</v>
      </c>
      <c r="E9964" s="16">
        <f>IFERROR(__xludf.DUMMYFUNCTION("""COMPUTED_VALUE"""),64.0)</f>
        <v>64</v>
      </c>
      <c r="F9964" s="19" t="str">
        <f>IFERROR(__xludf.DUMMYFUNCTION("""COMPUTED_VALUE"""),"BLUE")</f>
        <v>BLUE</v>
      </c>
      <c r="G9964" s="20" t="str">
        <f>IFERROR(__xludf.DUMMYFUNCTION("""COMPUTED_VALUE"""),"Uncle Sams Cider (04/04/2023)")</f>
        <v>Uncle Sams Cider (04/04/2023)</v>
      </c>
      <c r="H9964" s="19"/>
    </row>
    <row r="9965">
      <c r="A9965" s="9"/>
      <c r="B9965" s="15"/>
      <c r="C9965" s="9">
        <f>IFERROR(__xludf.DUMMYFUNCTION("""COMPUTED_VALUE"""),45039.4043184259)</f>
        <v>45039.40432</v>
      </c>
      <c r="D9965" s="15">
        <f>IFERROR(__xludf.DUMMYFUNCTION("""COMPUTED_VALUE"""),1.037)</f>
        <v>1.037</v>
      </c>
      <c r="E9965" s="16">
        <f>IFERROR(__xludf.DUMMYFUNCTION("""COMPUTED_VALUE"""),64.0)</f>
        <v>64</v>
      </c>
      <c r="F9965" s="19" t="str">
        <f>IFERROR(__xludf.DUMMYFUNCTION("""COMPUTED_VALUE"""),"BLUE")</f>
        <v>BLUE</v>
      </c>
      <c r="G9965" s="20" t="str">
        <f>IFERROR(__xludf.DUMMYFUNCTION("""COMPUTED_VALUE"""),"Uncle Sams Cider (04/04/2023)")</f>
        <v>Uncle Sams Cider (04/04/2023)</v>
      </c>
      <c r="H9965" s="19"/>
    </row>
    <row r="9966">
      <c r="A9966" s="9"/>
      <c r="B9966" s="15"/>
      <c r="C9966" s="9">
        <f>IFERROR(__xludf.DUMMYFUNCTION("""COMPUTED_VALUE"""),45039.3938990509)</f>
        <v>45039.3939</v>
      </c>
      <c r="D9966" s="15">
        <f>IFERROR(__xludf.DUMMYFUNCTION("""COMPUTED_VALUE"""),1.037)</f>
        <v>1.037</v>
      </c>
      <c r="E9966" s="16">
        <f>IFERROR(__xludf.DUMMYFUNCTION("""COMPUTED_VALUE"""),64.0)</f>
        <v>64</v>
      </c>
      <c r="F9966" s="19" t="str">
        <f>IFERROR(__xludf.DUMMYFUNCTION("""COMPUTED_VALUE"""),"BLUE")</f>
        <v>BLUE</v>
      </c>
      <c r="G9966" s="20" t="str">
        <f>IFERROR(__xludf.DUMMYFUNCTION("""COMPUTED_VALUE"""),"Uncle Sams Cider (04/04/2023)")</f>
        <v>Uncle Sams Cider (04/04/2023)</v>
      </c>
      <c r="H9966" s="19"/>
    </row>
    <row r="9967">
      <c r="A9967" s="9"/>
      <c r="B9967" s="15"/>
      <c r="C9967" s="9">
        <f>IFERROR(__xludf.DUMMYFUNCTION("""COMPUTED_VALUE"""),45039.3834665046)</f>
        <v>45039.38347</v>
      </c>
      <c r="D9967" s="15">
        <f>IFERROR(__xludf.DUMMYFUNCTION("""COMPUTED_VALUE"""),1.037)</f>
        <v>1.037</v>
      </c>
      <c r="E9967" s="16">
        <f>IFERROR(__xludf.DUMMYFUNCTION("""COMPUTED_VALUE"""),64.0)</f>
        <v>64</v>
      </c>
      <c r="F9967" s="19" t="str">
        <f>IFERROR(__xludf.DUMMYFUNCTION("""COMPUTED_VALUE"""),"BLUE")</f>
        <v>BLUE</v>
      </c>
      <c r="G9967" s="20" t="str">
        <f>IFERROR(__xludf.DUMMYFUNCTION("""COMPUTED_VALUE"""),"Uncle Sams Cider (04/04/2023)")</f>
        <v>Uncle Sams Cider (04/04/2023)</v>
      </c>
      <c r="H9967" s="19"/>
    </row>
    <row r="9968">
      <c r="A9968" s="9"/>
      <c r="B9968" s="15"/>
      <c r="C9968" s="9">
        <f>IFERROR(__xludf.DUMMYFUNCTION("""COMPUTED_VALUE"""),45039.3730451967)</f>
        <v>45039.37305</v>
      </c>
      <c r="D9968" s="15">
        <f>IFERROR(__xludf.DUMMYFUNCTION("""COMPUTED_VALUE"""),1.037)</f>
        <v>1.037</v>
      </c>
      <c r="E9968" s="16">
        <f>IFERROR(__xludf.DUMMYFUNCTION("""COMPUTED_VALUE"""),64.0)</f>
        <v>64</v>
      </c>
      <c r="F9968" s="19" t="str">
        <f>IFERROR(__xludf.DUMMYFUNCTION("""COMPUTED_VALUE"""),"BLUE")</f>
        <v>BLUE</v>
      </c>
      <c r="G9968" s="20" t="str">
        <f>IFERROR(__xludf.DUMMYFUNCTION("""COMPUTED_VALUE"""),"Uncle Sams Cider (04/04/2023)")</f>
        <v>Uncle Sams Cider (04/04/2023)</v>
      </c>
      <c r="H9968" s="19"/>
    </row>
    <row r="9969">
      <c r="A9969" s="9"/>
      <c r="B9969" s="15"/>
      <c r="C9969" s="9">
        <f>IFERROR(__xludf.DUMMYFUNCTION("""COMPUTED_VALUE"""),45039.362623912)</f>
        <v>45039.36262</v>
      </c>
      <c r="D9969" s="15">
        <f>IFERROR(__xludf.DUMMYFUNCTION("""COMPUTED_VALUE"""),1.037)</f>
        <v>1.037</v>
      </c>
      <c r="E9969" s="16">
        <f>IFERROR(__xludf.DUMMYFUNCTION("""COMPUTED_VALUE"""),64.0)</f>
        <v>64</v>
      </c>
      <c r="F9969" s="19" t="str">
        <f>IFERROR(__xludf.DUMMYFUNCTION("""COMPUTED_VALUE"""),"BLUE")</f>
        <v>BLUE</v>
      </c>
      <c r="G9969" s="20" t="str">
        <f>IFERROR(__xludf.DUMMYFUNCTION("""COMPUTED_VALUE"""),"Uncle Sams Cider (04/04/2023)")</f>
        <v>Uncle Sams Cider (04/04/2023)</v>
      </c>
      <c r="H9969" s="19"/>
    </row>
    <row r="9970">
      <c r="A9970" s="9"/>
      <c r="B9970" s="15"/>
      <c r="C9970" s="9">
        <f>IFERROR(__xludf.DUMMYFUNCTION("""COMPUTED_VALUE"""),45039.3522031828)</f>
        <v>45039.3522</v>
      </c>
      <c r="D9970" s="15">
        <f>IFERROR(__xludf.DUMMYFUNCTION("""COMPUTED_VALUE"""),1.037)</f>
        <v>1.037</v>
      </c>
      <c r="E9970" s="16">
        <f>IFERROR(__xludf.DUMMYFUNCTION("""COMPUTED_VALUE"""),64.0)</f>
        <v>64</v>
      </c>
      <c r="F9970" s="19" t="str">
        <f>IFERROR(__xludf.DUMMYFUNCTION("""COMPUTED_VALUE"""),"BLUE")</f>
        <v>BLUE</v>
      </c>
      <c r="G9970" s="20" t="str">
        <f>IFERROR(__xludf.DUMMYFUNCTION("""COMPUTED_VALUE"""),"Uncle Sams Cider (04/04/2023)")</f>
        <v>Uncle Sams Cider (04/04/2023)</v>
      </c>
      <c r="H9970" s="19"/>
    </row>
    <row r="9971">
      <c r="A9971" s="9"/>
      <c r="B9971" s="15"/>
      <c r="C9971" s="9">
        <f>IFERROR(__xludf.DUMMYFUNCTION("""COMPUTED_VALUE"""),45039.3417836574)</f>
        <v>45039.34178</v>
      </c>
      <c r="D9971" s="15">
        <f>IFERROR(__xludf.DUMMYFUNCTION("""COMPUTED_VALUE"""),1.037)</f>
        <v>1.037</v>
      </c>
      <c r="E9971" s="16">
        <f>IFERROR(__xludf.DUMMYFUNCTION("""COMPUTED_VALUE"""),64.0)</f>
        <v>64</v>
      </c>
      <c r="F9971" s="19" t="str">
        <f>IFERROR(__xludf.DUMMYFUNCTION("""COMPUTED_VALUE"""),"BLUE")</f>
        <v>BLUE</v>
      </c>
      <c r="G9971" s="20" t="str">
        <f>IFERROR(__xludf.DUMMYFUNCTION("""COMPUTED_VALUE"""),"Uncle Sams Cider (04/04/2023)")</f>
        <v>Uncle Sams Cider (04/04/2023)</v>
      </c>
      <c r="H9971" s="19"/>
    </row>
    <row r="9972">
      <c r="A9972" s="9"/>
      <c r="B9972" s="15"/>
      <c r="C9972" s="9">
        <f>IFERROR(__xludf.DUMMYFUNCTION("""COMPUTED_VALUE"""),45039.3313514814)</f>
        <v>45039.33135</v>
      </c>
      <c r="D9972" s="15">
        <f>IFERROR(__xludf.DUMMYFUNCTION("""COMPUTED_VALUE"""),1.037)</f>
        <v>1.037</v>
      </c>
      <c r="E9972" s="16">
        <f>IFERROR(__xludf.DUMMYFUNCTION("""COMPUTED_VALUE"""),65.0)</f>
        <v>65</v>
      </c>
      <c r="F9972" s="19" t="str">
        <f>IFERROR(__xludf.DUMMYFUNCTION("""COMPUTED_VALUE"""),"BLUE")</f>
        <v>BLUE</v>
      </c>
      <c r="G9972" s="20" t="str">
        <f>IFERROR(__xludf.DUMMYFUNCTION("""COMPUTED_VALUE"""),"Uncle Sams Cider (04/04/2023)")</f>
        <v>Uncle Sams Cider (04/04/2023)</v>
      </c>
      <c r="H9972" s="19"/>
    </row>
    <row r="9973">
      <c r="A9973" s="9"/>
      <c r="B9973" s="15"/>
      <c r="C9973" s="9">
        <f>IFERROR(__xludf.DUMMYFUNCTION("""COMPUTED_VALUE"""),45039.3209306944)</f>
        <v>45039.32093</v>
      </c>
      <c r="D9973" s="15">
        <f>IFERROR(__xludf.DUMMYFUNCTION("""COMPUTED_VALUE"""),1.037)</f>
        <v>1.037</v>
      </c>
      <c r="E9973" s="16">
        <f>IFERROR(__xludf.DUMMYFUNCTION("""COMPUTED_VALUE"""),65.0)</f>
        <v>65</v>
      </c>
      <c r="F9973" s="19" t="str">
        <f>IFERROR(__xludf.DUMMYFUNCTION("""COMPUTED_VALUE"""),"BLUE")</f>
        <v>BLUE</v>
      </c>
      <c r="G9973" s="20" t="str">
        <f>IFERROR(__xludf.DUMMYFUNCTION("""COMPUTED_VALUE"""),"Uncle Sams Cider (04/04/2023)")</f>
        <v>Uncle Sams Cider (04/04/2023)</v>
      </c>
      <c r="H9973" s="19"/>
    </row>
    <row r="9974">
      <c r="A9974" s="9"/>
      <c r="B9974" s="15"/>
      <c r="C9974" s="9">
        <f>IFERROR(__xludf.DUMMYFUNCTION("""COMPUTED_VALUE"""),45039.3104977777)</f>
        <v>45039.3105</v>
      </c>
      <c r="D9974" s="15">
        <f>IFERROR(__xludf.DUMMYFUNCTION("""COMPUTED_VALUE"""),1.038)</f>
        <v>1.038</v>
      </c>
      <c r="E9974" s="16">
        <f>IFERROR(__xludf.DUMMYFUNCTION("""COMPUTED_VALUE"""),64.0)</f>
        <v>64</v>
      </c>
      <c r="F9974" s="19" t="str">
        <f>IFERROR(__xludf.DUMMYFUNCTION("""COMPUTED_VALUE"""),"BLUE")</f>
        <v>BLUE</v>
      </c>
      <c r="G9974" s="20" t="str">
        <f>IFERROR(__xludf.DUMMYFUNCTION("""COMPUTED_VALUE"""),"Uncle Sams Cider (04/04/2023)")</f>
        <v>Uncle Sams Cider (04/04/2023)</v>
      </c>
      <c r="H9974" s="19"/>
    </row>
    <row r="9975">
      <c r="A9975" s="9"/>
      <c r="B9975" s="15"/>
      <c r="C9975" s="9">
        <f>IFERROR(__xludf.DUMMYFUNCTION("""COMPUTED_VALUE"""),45039.3000765393)</f>
        <v>45039.30008</v>
      </c>
      <c r="D9975" s="15">
        <f>IFERROR(__xludf.DUMMYFUNCTION("""COMPUTED_VALUE"""),1.037)</f>
        <v>1.037</v>
      </c>
      <c r="E9975" s="16">
        <f>IFERROR(__xludf.DUMMYFUNCTION("""COMPUTED_VALUE"""),64.0)</f>
        <v>64</v>
      </c>
      <c r="F9975" s="19" t="str">
        <f>IFERROR(__xludf.DUMMYFUNCTION("""COMPUTED_VALUE"""),"BLUE")</f>
        <v>BLUE</v>
      </c>
      <c r="G9975" s="20" t="str">
        <f>IFERROR(__xludf.DUMMYFUNCTION("""COMPUTED_VALUE"""),"Uncle Sams Cider (04/04/2023)")</f>
        <v>Uncle Sams Cider (04/04/2023)</v>
      </c>
      <c r="H9975" s="19"/>
    </row>
    <row r="9976">
      <c r="A9976" s="9"/>
      <c r="B9976" s="15"/>
      <c r="C9976" s="9">
        <f>IFERROR(__xludf.DUMMYFUNCTION("""COMPUTED_VALUE"""),45039.2896547569)</f>
        <v>45039.28965</v>
      </c>
      <c r="D9976" s="15">
        <f>IFERROR(__xludf.DUMMYFUNCTION("""COMPUTED_VALUE"""),1.038)</f>
        <v>1.038</v>
      </c>
      <c r="E9976" s="16">
        <f>IFERROR(__xludf.DUMMYFUNCTION("""COMPUTED_VALUE"""),65.0)</f>
        <v>65</v>
      </c>
      <c r="F9976" s="19" t="str">
        <f>IFERROR(__xludf.DUMMYFUNCTION("""COMPUTED_VALUE"""),"BLUE")</f>
        <v>BLUE</v>
      </c>
      <c r="G9976" s="20" t="str">
        <f>IFERROR(__xludf.DUMMYFUNCTION("""COMPUTED_VALUE"""),"Uncle Sams Cider (04/04/2023)")</f>
        <v>Uncle Sams Cider (04/04/2023)</v>
      </c>
      <c r="H9976" s="19"/>
    </row>
    <row r="9977">
      <c r="A9977" s="9"/>
      <c r="B9977" s="15"/>
      <c r="C9977" s="9">
        <f>IFERROR(__xludf.DUMMYFUNCTION("""COMPUTED_VALUE"""),45039.2792235763)</f>
        <v>45039.27922</v>
      </c>
      <c r="D9977" s="15">
        <f>IFERROR(__xludf.DUMMYFUNCTION("""COMPUTED_VALUE"""),1.037)</f>
        <v>1.037</v>
      </c>
      <c r="E9977" s="16">
        <f>IFERROR(__xludf.DUMMYFUNCTION("""COMPUTED_VALUE"""),64.0)</f>
        <v>64</v>
      </c>
      <c r="F9977" s="19" t="str">
        <f>IFERROR(__xludf.DUMMYFUNCTION("""COMPUTED_VALUE"""),"BLUE")</f>
        <v>BLUE</v>
      </c>
      <c r="G9977" s="20" t="str">
        <f>IFERROR(__xludf.DUMMYFUNCTION("""COMPUTED_VALUE"""),"Uncle Sams Cider (04/04/2023)")</f>
        <v>Uncle Sams Cider (04/04/2023)</v>
      </c>
      <c r="H9977" s="19"/>
    </row>
    <row r="9978">
      <c r="A9978" s="9"/>
      <c r="B9978" s="15"/>
      <c r="C9978" s="9">
        <f>IFERROR(__xludf.DUMMYFUNCTION("""COMPUTED_VALUE"""),45039.2688037037)</f>
        <v>45039.2688</v>
      </c>
      <c r="D9978" s="15">
        <f>IFERROR(__xludf.DUMMYFUNCTION("""COMPUTED_VALUE"""),1.037)</f>
        <v>1.037</v>
      </c>
      <c r="E9978" s="16">
        <f>IFERROR(__xludf.DUMMYFUNCTION("""COMPUTED_VALUE"""),64.0)</f>
        <v>64</v>
      </c>
      <c r="F9978" s="19" t="str">
        <f>IFERROR(__xludf.DUMMYFUNCTION("""COMPUTED_VALUE"""),"BLUE")</f>
        <v>BLUE</v>
      </c>
      <c r="G9978" s="20" t="str">
        <f>IFERROR(__xludf.DUMMYFUNCTION("""COMPUTED_VALUE"""),"Uncle Sams Cider (04/04/2023)")</f>
        <v>Uncle Sams Cider (04/04/2023)</v>
      </c>
      <c r="H9978" s="19"/>
    </row>
    <row r="9979">
      <c r="A9979" s="9"/>
      <c r="B9979" s="15"/>
      <c r="C9979" s="9">
        <f>IFERROR(__xludf.DUMMYFUNCTION("""COMPUTED_VALUE"""),45039.2583817476)</f>
        <v>45039.25838</v>
      </c>
      <c r="D9979" s="15">
        <f>IFERROR(__xludf.DUMMYFUNCTION("""COMPUTED_VALUE"""),1.037)</f>
        <v>1.037</v>
      </c>
      <c r="E9979" s="16">
        <f>IFERROR(__xludf.DUMMYFUNCTION("""COMPUTED_VALUE"""),64.0)</f>
        <v>64</v>
      </c>
      <c r="F9979" s="19" t="str">
        <f>IFERROR(__xludf.DUMMYFUNCTION("""COMPUTED_VALUE"""),"BLUE")</f>
        <v>BLUE</v>
      </c>
      <c r="G9979" s="20" t="str">
        <f>IFERROR(__xludf.DUMMYFUNCTION("""COMPUTED_VALUE"""),"Uncle Sams Cider (04/04/2023)")</f>
        <v>Uncle Sams Cider (04/04/2023)</v>
      </c>
      <c r="H9979" s="19"/>
    </row>
    <row r="9980">
      <c r="A9980" s="9"/>
      <c r="B9980" s="15"/>
      <c r="C9980" s="9">
        <f>IFERROR(__xludf.DUMMYFUNCTION("""COMPUTED_VALUE"""),45039.247950081)</f>
        <v>45039.24795</v>
      </c>
      <c r="D9980" s="15">
        <f>IFERROR(__xludf.DUMMYFUNCTION("""COMPUTED_VALUE"""),1.038)</f>
        <v>1.038</v>
      </c>
      <c r="E9980" s="16">
        <f>IFERROR(__xludf.DUMMYFUNCTION("""COMPUTED_VALUE"""),65.0)</f>
        <v>65</v>
      </c>
      <c r="F9980" s="19" t="str">
        <f>IFERROR(__xludf.DUMMYFUNCTION("""COMPUTED_VALUE"""),"BLUE")</f>
        <v>BLUE</v>
      </c>
      <c r="G9980" s="20" t="str">
        <f>IFERROR(__xludf.DUMMYFUNCTION("""COMPUTED_VALUE"""),"Uncle Sams Cider (04/04/2023)")</f>
        <v>Uncle Sams Cider (04/04/2023)</v>
      </c>
      <c r="H9980" s="19"/>
    </row>
    <row r="9981">
      <c r="A9981" s="9"/>
      <c r="B9981" s="15"/>
      <c r="C9981" s="9">
        <f>IFERROR(__xludf.DUMMYFUNCTION("""COMPUTED_VALUE"""),45039.2375281712)</f>
        <v>45039.23753</v>
      </c>
      <c r="D9981" s="15">
        <f>IFERROR(__xludf.DUMMYFUNCTION("""COMPUTED_VALUE"""),1.037)</f>
        <v>1.037</v>
      </c>
      <c r="E9981" s="16">
        <f>IFERROR(__xludf.DUMMYFUNCTION("""COMPUTED_VALUE"""),64.0)</f>
        <v>64</v>
      </c>
      <c r="F9981" s="19" t="str">
        <f>IFERROR(__xludf.DUMMYFUNCTION("""COMPUTED_VALUE"""),"BLUE")</f>
        <v>BLUE</v>
      </c>
      <c r="G9981" s="20" t="str">
        <f>IFERROR(__xludf.DUMMYFUNCTION("""COMPUTED_VALUE"""),"Uncle Sams Cider (04/04/2023)")</f>
        <v>Uncle Sams Cider (04/04/2023)</v>
      </c>
      <c r="H9981" s="19"/>
    </row>
    <row r="9982">
      <c r="A9982" s="9"/>
      <c r="B9982" s="15"/>
      <c r="C9982" s="9">
        <f>IFERROR(__xludf.DUMMYFUNCTION("""COMPUTED_VALUE"""),45039.227106493)</f>
        <v>45039.22711</v>
      </c>
      <c r="D9982" s="15">
        <f>IFERROR(__xludf.DUMMYFUNCTION("""COMPUTED_VALUE"""),1.037)</f>
        <v>1.037</v>
      </c>
      <c r="E9982" s="16">
        <f>IFERROR(__xludf.DUMMYFUNCTION("""COMPUTED_VALUE"""),65.0)</f>
        <v>65</v>
      </c>
      <c r="F9982" s="19" t="str">
        <f>IFERROR(__xludf.DUMMYFUNCTION("""COMPUTED_VALUE"""),"BLUE")</f>
        <v>BLUE</v>
      </c>
      <c r="G9982" s="20" t="str">
        <f>IFERROR(__xludf.DUMMYFUNCTION("""COMPUTED_VALUE"""),"Uncle Sams Cider (04/04/2023)")</f>
        <v>Uncle Sams Cider (04/04/2023)</v>
      </c>
      <c r="H9982" s="19"/>
    </row>
    <row r="9983">
      <c r="A9983" s="9"/>
      <c r="B9983" s="15"/>
      <c r="C9983" s="9">
        <f>IFERROR(__xludf.DUMMYFUNCTION("""COMPUTED_VALUE"""),45039.216685625)</f>
        <v>45039.21669</v>
      </c>
      <c r="D9983" s="15">
        <f>IFERROR(__xludf.DUMMYFUNCTION("""COMPUTED_VALUE"""),1.037)</f>
        <v>1.037</v>
      </c>
      <c r="E9983" s="16">
        <f>IFERROR(__xludf.DUMMYFUNCTION("""COMPUTED_VALUE"""),65.0)</f>
        <v>65</v>
      </c>
      <c r="F9983" s="19" t="str">
        <f>IFERROR(__xludf.DUMMYFUNCTION("""COMPUTED_VALUE"""),"BLUE")</f>
        <v>BLUE</v>
      </c>
      <c r="G9983" s="20" t="str">
        <f>IFERROR(__xludf.DUMMYFUNCTION("""COMPUTED_VALUE"""),"Uncle Sams Cider (04/04/2023)")</f>
        <v>Uncle Sams Cider (04/04/2023)</v>
      </c>
      <c r="H9983" s="19"/>
    </row>
    <row r="9984">
      <c r="A9984" s="9"/>
      <c r="B9984" s="15"/>
      <c r="C9984" s="9">
        <f>IFERROR(__xludf.DUMMYFUNCTION("""COMPUTED_VALUE"""),45039.2062637963)</f>
        <v>45039.20626</v>
      </c>
      <c r="D9984" s="15">
        <f>IFERROR(__xludf.DUMMYFUNCTION("""COMPUTED_VALUE"""),1.038)</f>
        <v>1.038</v>
      </c>
      <c r="E9984" s="16">
        <f>IFERROR(__xludf.DUMMYFUNCTION("""COMPUTED_VALUE"""),64.0)</f>
        <v>64</v>
      </c>
      <c r="F9984" s="19" t="str">
        <f>IFERROR(__xludf.DUMMYFUNCTION("""COMPUTED_VALUE"""),"BLUE")</f>
        <v>BLUE</v>
      </c>
      <c r="G9984" s="20" t="str">
        <f>IFERROR(__xludf.DUMMYFUNCTION("""COMPUTED_VALUE"""),"Uncle Sams Cider (04/04/2023)")</f>
        <v>Uncle Sams Cider (04/04/2023)</v>
      </c>
      <c r="H9984" s="19"/>
    </row>
    <row r="9985">
      <c r="A9985" s="9"/>
      <c r="B9985" s="15"/>
      <c r="C9985" s="9">
        <f>IFERROR(__xludf.DUMMYFUNCTION("""COMPUTED_VALUE"""),45039.1958425694)</f>
        <v>45039.19584</v>
      </c>
      <c r="D9985" s="15">
        <f>IFERROR(__xludf.DUMMYFUNCTION("""COMPUTED_VALUE"""),1.038)</f>
        <v>1.038</v>
      </c>
      <c r="E9985" s="16">
        <f>IFERROR(__xludf.DUMMYFUNCTION("""COMPUTED_VALUE"""),64.0)</f>
        <v>64</v>
      </c>
      <c r="F9985" s="19" t="str">
        <f>IFERROR(__xludf.DUMMYFUNCTION("""COMPUTED_VALUE"""),"BLUE")</f>
        <v>BLUE</v>
      </c>
      <c r="G9985" s="20" t="str">
        <f>IFERROR(__xludf.DUMMYFUNCTION("""COMPUTED_VALUE"""),"Uncle Sams Cider (04/04/2023)")</f>
        <v>Uncle Sams Cider (04/04/2023)</v>
      </c>
      <c r="H9985" s="19"/>
    </row>
    <row r="9986">
      <c r="A9986" s="9"/>
      <c r="B9986" s="15"/>
      <c r="C9986" s="9">
        <f>IFERROR(__xludf.DUMMYFUNCTION("""COMPUTED_VALUE"""),45039.1854087847)</f>
        <v>45039.18541</v>
      </c>
      <c r="D9986" s="15">
        <f>IFERROR(__xludf.DUMMYFUNCTION("""COMPUTED_VALUE"""),1.038)</f>
        <v>1.038</v>
      </c>
      <c r="E9986" s="16">
        <f>IFERROR(__xludf.DUMMYFUNCTION("""COMPUTED_VALUE"""),65.0)</f>
        <v>65</v>
      </c>
      <c r="F9986" s="19" t="str">
        <f>IFERROR(__xludf.DUMMYFUNCTION("""COMPUTED_VALUE"""),"BLUE")</f>
        <v>BLUE</v>
      </c>
      <c r="G9986" s="20" t="str">
        <f>IFERROR(__xludf.DUMMYFUNCTION("""COMPUTED_VALUE"""),"Uncle Sams Cider (04/04/2023)")</f>
        <v>Uncle Sams Cider (04/04/2023)</v>
      </c>
      <c r="H9986" s="19"/>
    </row>
    <row r="9987">
      <c r="A9987" s="9"/>
      <c r="B9987" s="15"/>
      <c r="C9987" s="9">
        <f>IFERROR(__xludf.DUMMYFUNCTION("""COMPUTED_VALUE"""),45039.1749772222)</f>
        <v>45039.17498</v>
      </c>
      <c r="D9987" s="15">
        <f>IFERROR(__xludf.DUMMYFUNCTION("""COMPUTED_VALUE"""),1.037)</f>
        <v>1.037</v>
      </c>
      <c r="E9987" s="16">
        <f>IFERROR(__xludf.DUMMYFUNCTION("""COMPUTED_VALUE"""),65.0)</f>
        <v>65</v>
      </c>
      <c r="F9987" s="19" t="str">
        <f>IFERROR(__xludf.DUMMYFUNCTION("""COMPUTED_VALUE"""),"BLUE")</f>
        <v>BLUE</v>
      </c>
      <c r="G9987" s="20" t="str">
        <f>IFERROR(__xludf.DUMMYFUNCTION("""COMPUTED_VALUE"""),"Uncle Sams Cider (04/04/2023)")</f>
        <v>Uncle Sams Cider (04/04/2023)</v>
      </c>
      <c r="H9987" s="19"/>
    </row>
    <row r="9988">
      <c r="A9988" s="9"/>
      <c r="B9988" s="15"/>
      <c r="C9988" s="9">
        <f>IFERROR(__xludf.DUMMYFUNCTION("""COMPUTED_VALUE"""),45039.1645568055)</f>
        <v>45039.16456</v>
      </c>
      <c r="D9988" s="15">
        <f>IFERROR(__xludf.DUMMYFUNCTION("""COMPUTED_VALUE"""),1.038)</f>
        <v>1.038</v>
      </c>
      <c r="E9988" s="16">
        <f>IFERROR(__xludf.DUMMYFUNCTION("""COMPUTED_VALUE"""),64.0)</f>
        <v>64</v>
      </c>
      <c r="F9988" s="19" t="str">
        <f>IFERROR(__xludf.DUMMYFUNCTION("""COMPUTED_VALUE"""),"BLUE")</f>
        <v>BLUE</v>
      </c>
      <c r="G9988" s="20" t="str">
        <f>IFERROR(__xludf.DUMMYFUNCTION("""COMPUTED_VALUE"""),"Uncle Sams Cider (04/04/2023)")</f>
        <v>Uncle Sams Cider (04/04/2023)</v>
      </c>
      <c r="H9988" s="19"/>
    </row>
    <row r="9989">
      <c r="A9989" s="9"/>
      <c r="B9989" s="15"/>
      <c r="C9989" s="9">
        <f>IFERROR(__xludf.DUMMYFUNCTION("""COMPUTED_VALUE"""),45039.1541365625)</f>
        <v>45039.15414</v>
      </c>
      <c r="D9989" s="15">
        <f>IFERROR(__xludf.DUMMYFUNCTION("""COMPUTED_VALUE"""),1.038)</f>
        <v>1.038</v>
      </c>
      <c r="E9989" s="16">
        <f>IFERROR(__xludf.DUMMYFUNCTION("""COMPUTED_VALUE"""),65.0)</f>
        <v>65</v>
      </c>
      <c r="F9989" s="19" t="str">
        <f>IFERROR(__xludf.DUMMYFUNCTION("""COMPUTED_VALUE"""),"BLUE")</f>
        <v>BLUE</v>
      </c>
      <c r="G9989" s="20" t="str">
        <f>IFERROR(__xludf.DUMMYFUNCTION("""COMPUTED_VALUE"""),"Uncle Sams Cider (04/04/2023)")</f>
        <v>Uncle Sams Cider (04/04/2023)</v>
      </c>
      <c r="H9989" s="19"/>
    </row>
    <row r="9990">
      <c r="A9990" s="9"/>
      <c r="B9990" s="15"/>
      <c r="C9990" s="9">
        <f>IFERROR(__xludf.DUMMYFUNCTION("""COMPUTED_VALUE"""),45039.1437152546)</f>
        <v>45039.14372</v>
      </c>
      <c r="D9990" s="15">
        <f>IFERROR(__xludf.DUMMYFUNCTION("""COMPUTED_VALUE"""),1.038)</f>
        <v>1.038</v>
      </c>
      <c r="E9990" s="16">
        <f>IFERROR(__xludf.DUMMYFUNCTION("""COMPUTED_VALUE"""),65.0)</f>
        <v>65</v>
      </c>
      <c r="F9990" s="19" t="str">
        <f>IFERROR(__xludf.DUMMYFUNCTION("""COMPUTED_VALUE"""),"BLUE")</f>
        <v>BLUE</v>
      </c>
      <c r="G9990" s="20" t="str">
        <f>IFERROR(__xludf.DUMMYFUNCTION("""COMPUTED_VALUE"""),"Uncle Sams Cider (04/04/2023)")</f>
        <v>Uncle Sams Cider (04/04/2023)</v>
      </c>
      <c r="H9990" s="19"/>
    </row>
    <row r="9991">
      <c r="A9991" s="9"/>
      <c r="B9991" s="15"/>
      <c r="C9991" s="9">
        <f>IFERROR(__xludf.DUMMYFUNCTION("""COMPUTED_VALUE"""),45039.1332937037)</f>
        <v>45039.13329</v>
      </c>
      <c r="D9991" s="15">
        <f>IFERROR(__xludf.DUMMYFUNCTION("""COMPUTED_VALUE"""),1.038)</f>
        <v>1.038</v>
      </c>
      <c r="E9991" s="16">
        <f>IFERROR(__xludf.DUMMYFUNCTION("""COMPUTED_VALUE"""),65.0)</f>
        <v>65</v>
      </c>
      <c r="F9991" s="19" t="str">
        <f>IFERROR(__xludf.DUMMYFUNCTION("""COMPUTED_VALUE"""),"BLUE")</f>
        <v>BLUE</v>
      </c>
      <c r="G9991" s="20" t="str">
        <f>IFERROR(__xludf.DUMMYFUNCTION("""COMPUTED_VALUE"""),"Uncle Sams Cider (04/04/2023)")</f>
        <v>Uncle Sams Cider (04/04/2023)</v>
      </c>
      <c r="H9991" s="19"/>
    </row>
    <row r="9992">
      <c r="A9992" s="9"/>
      <c r="B9992" s="15"/>
      <c r="C9992" s="9">
        <f>IFERROR(__xludf.DUMMYFUNCTION("""COMPUTED_VALUE"""),45039.1228490393)</f>
        <v>45039.12285</v>
      </c>
      <c r="D9992" s="15">
        <f>IFERROR(__xludf.DUMMYFUNCTION("""COMPUTED_VALUE"""),1.038)</f>
        <v>1.038</v>
      </c>
      <c r="E9992" s="16">
        <f>IFERROR(__xludf.DUMMYFUNCTION("""COMPUTED_VALUE"""),65.0)</f>
        <v>65</v>
      </c>
      <c r="F9992" s="19" t="str">
        <f>IFERROR(__xludf.DUMMYFUNCTION("""COMPUTED_VALUE"""),"BLUE")</f>
        <v>BLUE</v>
      </c>
      <c r="G9992" s="20" t="str">
        <f>IFERROR(__xludf.DUMMYFUNCTION("""COMPUTED_VALUE"""),"Uncle Sams Cider (04/04/2023)")</f>
        <v>Uncle Sams Cider (04/04/2023)</v>
      </c>
      <c r="H9992" s="19"/>
    </row>
    <row r="9993">
      <c r="A9993" s="9"/>
      <c r="B9993" s="15"/>
      <c r="C9993" s="9">
        <f>IFERROR(__xludf.DUMMYFUNCTION("""COMPUTED_VALUE"""),45039.1124288078)</f>
        <v>45039.11243</v>
      </c>
      <c r="D9993" s="15">
        <f>IFERROR(__xludf.DUMMYFUNCTION("""COMPUTED_VALUE"""),1.038)</f>
        <v>1.038</v>
      </c>
      <c r="E9993" s="16">
        <f>IFERROR(__xludf.DUMMYFUNCTION("""COMPUTED_VALUE"""),64.0)</f>
        <v>64</v>
      </c>
      <c r="F9993" s="19" t="str">
        <f>IFERROR(__xludf.DUMMYFUNCTION("""COMPUTED_VALUE"""),"BLUE")</f>
        <v>BLUE</v>
      </c>
      <c r="G9993" s="20" t="str">
        <f>IFERROR(__xludf.DUMMYFUNCTION("""COMPUTED_VALUE"""),"Uncle Sams Cider (04/04/2023)")</f>
        <v>Uncle Sams Cider (04/04/2023)</v>
      </c>
      <c r="H9993" s="19"/>
    </row>
    <row r="9994">
      <c r="A9994" s="9"/>
      <c r="B9994" s="15"/>
      <c r="C9994" s="9">
        <f>IFERROR(__xludf.DUMMYFUNCTION("""COMPUTED_VALUE"""),45039.1020056944)</f>
        <v>45039.10201</v>
      </c>
      <c r="D9994" s="15">
        <f>IFERROR(__xludf.DUMMYFUNCTION("""COMPUTED_VALUE"""),1.038)</f>
        <v>1.038</v>
      </c>
      <c r="E9994" s="16">
        <f>IFERROR(__xludf.DUMMYFUNCTION("""COMPUTED_VALUE"""),64.0)</f>
        <v>64</v>
      </c>
      <c r="F9994" s="19" t="str">
        <f>IFERROR(__xludf.DUMMYFUNCTION("""COMPUTED_VALUE"""),"BLUE")</f>
        <v>BLUE</v>
      </c>
      <c r="G9994" s="20" t="str">
        <f>IFERROR(__xludf.DUMMYFUNCTION("""COMPUTED_VALUE"""),"Uncle Sams Cider (04/04/2023)")</f>
        <v>Uncle Sams Cider (04/04/2023)</v>
      </c>
      <c r="H9994" s="19"/>
    </row>
    <row r="9995">
      <c r="A9995" s="9"/>
      <c r="B9995" s="15"/>
      <c r="C9995" s="9">
        <f>IFERROR(__xludf.DUMMYFUNCTION("""COMPUTED_VALUE"""),45039.091586956)</f>
        <v>45039.09159</v>
      </c>
      <c r="D9995" s="15">
        <f>IFERROR(__xludf.DUMMYFUNCTION("""COMPUTED_VALUE"""),1.038)</f>
        <v>1.038</v>
      </c>
      <c r="E9995" s="16">
        <f>IFERROR(__xludf.DUMMYFUNCTION("""COMPUTED_VALUE"""),64.0)</f>
        <v>64</v>
      </c>
      <c r="F9995" s="19" t="str">
        <f>IFERROR(__xludf.DUMMYFUNCTION("""COMPUTED_VALUE"""),"BLUE")</f>
        <v>BLUE</v>
      </c>
      <c r="G9995" s="20" t="str">
        <f>IFERROR(__xludf.DUMMYFUNCTION("""COMPUTED_VALUE"""),"Uncle Sams Cider (04/04/2023)")</f>
        <v>Uncle Sams Cider (04/04/2023)</v>
      </c>
      <c r="H9995" s="19"/>
    </row>
    <row r="9996">
      <c r="A9996" s="9"/>
      <c r="B9996" s="15"/>
      <c r="C9996" s="9">
        <f>IFERROR(__xludf.DUMMYFUNCTION("""COMPUTED_VALUE"""),45039.0811549768)</f>
        <v>45039.08115</v>
      </c>
      <c r="D9996" s="15">
        <f>IFERROR(__xludf.DUMMYFUNCTION("""COMPUTED_VALUE"""),1.038)</f>
        <v>1.038</v>
      </c>
      <c r="E9996" s="16">
        <f>IFERROR(__xludf.DUMMYFUNCTION("""COMPUTED_VALUE"""),64.0)</f>
        <v>64</v>
      </c>
      <c r="F9996" s="19" t="str">
        <f>IFERROR(__xludf.DUMMYFUNCTION("""COMPUTED_VALUE"""),"BLUE")</f>
        <v>BLUE</v>
      </c>
      <c r="G9996" s="20" t="str">
        <f>IFERROR(__xludf.DUMMYFUNCTION("""COMPUTED_VALUE"""),"Uncle Sams Cider (04/04/2023)")</f>
        <v>Uncle Sams Cider (04/04/2023)</v>
      </c>
      <c r="H9996" s="19"/>
    </row>
    <row r="9997">
      <c r="A9997" s="9"/>
      <c r="B9997" s="15"/>
      <c r="C9997" s="9">
        <f>IFERROR(__xludf.DUMMYFUNCTION("""COMPUTED_VALUE"""),45039.0707342361)</f>
        <v>45039.07073</v>
      </c>
      <c r="D9997" s="15">
        <f>IFERROR(__xludf.DUMMYFUNCTION("""COMPUTED_VALUE"""),1.038)</f>
        <v>1.038</v>
      </c>
      <c r="E9997" s="16">
        <f>IFERROR(__xludf.DUMMYFUNCTION("""COMPUTED_VALUE"""),65.0)</f>
        <v>65</v>
      </c>
      <c r="F9997" s="19" t="str">
        <f>IFERROR(__xludf.DUMMYFUNCTION("""COMPUTED_VALUE"""),"BLUE")</f>
        <v>BLUE</v>
      </c>
      <c r="G9997" s="20" t="str">
        <f>IFERROR(__xludf.DUMMYFUNCTION("""COMPUTED_VALUE"""),"Uncle Sams Cider (04/04/2023)")</f>
        <v>Uncle Sams Cider (04/04/2023)</v>
      </c>
      <c r="H9997" s="19"/>
    </row>
    <row r="9998">
      <c r="A9998" s="9"/>
      <c r="B9998" s="15"/>
      <c r="C9998" s="9">
        <f>IFERROR(__xludf.DUMMYFUNCTION("""COMPUTED_VALUE"""),45039.0603115972)</f>
        <v>45039.06031</v>
      </c>
      <c r="D9998" s="15">
        <f>IFERROR(__xludf.DUMMYFUNCTION("""COMPUTED_VALUE"""),1.038)</f>
        <v>1.038</v>
      </c>
      <c r="E9998" s="16">
        <f>IFERROR(__xludf.DUMMYFUNCTION("""COMPUTED_VALUE"""),64.0)</f>
        <v>64</v>
      </c>
      <c r="F9998" s="19" t="str">
        <f>IFERROR(__xludf.DUMMYFUNCTION("""COMPUTED_VALUE"""),"BLUE")</f>
        <v>BLUE</v>
      </c>
      <c r="G9998" s="20" t="str">
        <f>IFERROR(__xludf.DUMMYFUNCTION("""COMPUTED_VALUE"""),"Uncle Sams Cider (04/04/2023)")</f>
        <v>Uncle Sams Cider (04/04/2023)</v>
      </c>
      <c r="H9998" s="19"/>
    </row>
    <row r="9999">
      <c r="A9999" s="9"/>
      <c r="B9999" s="15"/>
      <c r="C9999" s="9">
        <f>IFERROR(__xludf.DUMMYFUNCTION("""COMPUTED_VALUE"""),45039.0498894444)</f>
        <v>45039.04989</v>
      </c>
      <c r="D9999" s="15">
        <f>IFERROR(__xludf.DUMMYFUNCTION("""COMPUTED_VALUE"""),1.038)</f>
        <v>1.038</v>
      </c>
      <c r="E9999" s="16">
        <f>IFERROR(__xludf.DUMMYFUNCTION("""COMPUTED_VALUE"""),65.0)</f>
        <v>65</v>
      </c>
      <c r="F9999" s="19" t="str">
        <f>IFERROR(__xludf.DUMMYFUNCTION("""COMPUTED_VALUE"""),"BLUE")</f>
        <v>BLUE</v>
      </c>
      <c r="G9999" s="20" t="str">
        <f>IFERROR(__xludf.DUMMYFUNCTION("""COMPUTED_VALUE"""),"Uncle Sams Cider (04/04/2023)")</f>
        <v>Uncle Sams Cider (04/04/2023)</v>
      </c>
      <c r="H9999" s="19"/>
    </row>
    <row r="10000">
      <c r="A10000" s="9"/>
      <c r="B10000" s="15"/>
      <c r="C10000" s="9">
        <f>IFERROR(__xludf.DUMMYFUNCTION("""COMPUTED_VALUE"""),45039.0394456481)</f>
        <v>45039.03945</v>
      </c>
      <c r="D10000" s="15">
        <f>IFERROR(__xludf.DUMMYFUNCTION("""COMPUTED_VALUE"""),1.038)</f>
        <v>1.038</v>
      </c>
      <c r="E10000" s="16">
        <f>IFERROR(__xludf.DUMMYFUNCTION("""COMPUTED_VALUE"""),64.0)</f>
        <v>64</v>
      </c>
      <c r="F10000" s="19" t="str">
        <f>IFERROR(__xludf.DUMMYFUNCTION("""COMPUTED_VALUE"""),"BLUE")</f>
        <v>BLUE</v>
      </c>
      <c r="G10000" s="20" t="str">
        <f>IFERROR(__xludf.DUMMYFUNCTION("""COMPUTED_VALUE"""),"Uncle Sams Cider (04/04/2023)")</f>
        <v>Uncle Sams Cider (04/04/2023)</v>
      </c>
      <c r="H10000" s="19"/>
    </row>
    <row r="10001">
      <c r="A10001" s="9"/>
      <c r="B10001" s="15"/>
      <c r="C10001" s="9">
        <f>IFERROR(__xludf.DUMMYFUNCTION("""COMPUTED_VALUE"""),45039.0290252083)</f>
        <v>45039.02903</v>
      </c>
      <c r="D10001" s="15">
        <f>IFERROR(__xludf.DUMMYFUNCTION("""COMPUTED_VALUE"""),1.038)</f>
        <v>1.038</v>
      </c>
      <c r="E10001" s="16">
        <f>IFERROR(__xludf.DUMMYFUNCTION("""COMPUTED_VALUE"""),64.0)</f>
        <v>64</v>
      </c>
      <c r="F10001" s="19" t="str">
        <f>IFERROR(__xludf.DUMMYFUNCTION("""COMPUTED_VALUE"""),"BLUE")</f>
        <v>BLUE</v>
      </c>
      <c r="G10001" s="20" t="str">
        <f>IFERROR(__xludf.DUMMYFUNCTION("""COMPUTED_VALUE"""),"Uncle Sams Cider (04/04/2023)")</f>
        <v>Uncle Sams Cider (04/04/2023)</v>
      </c>
      <c r="H10001" s="19"/>
    </row>
    <row r="10002">
      <c r="A10002" s="9"/>
      <c r="B10002" s="15"/>
      <c r="C10002" s="9">
        <f>IFERROR(__xludf.DUMMYFUNCTION("""COMPUTED_VALUE"""),45039.0186068171)</f>
        <v>45039.01861</v>
      </c>
      <c r="D10002" s="15">
        <f>IFERROR(__xludf.DUMMYFUNCTION("""COMPUTED_VALUE"""),1.038)</f>
        <v>1.038</v>
      </c>
      <c r="E10002" s="16">
        <f>IFERROR(__xludf.DUMMYFUNCTION("""COMPUTED_VALUE"""),64.0)</f>
        <v>64</v>
      </c>
      <c r="F10002" s="19" t="str">
        <f>IFERROR(__xludf.DUMMYFUNCTION("""COMPUTED_VALUE"""),"BLUE")</f>
        <v>BLUE</v>
      </c>
      <c r="G10002" s="20" t="str">
        <f>IFERROR(__xludf.DUMMYFUNCTION("""COMPUTED_VALUE"""),"Uncle Sams Cider (04/04/2023)")</f>
        <v>Uncle Sams Cider (04/04/2023)</v>
      </c>
      <c r="H10002" s="19"/>
    </row>
    <row r="10003">
      <c r="A10003" s="9"/>
      <c r="B10003" s="15"/>
      <c r="C10003" s="9">
        <f>IFERROR(__xludf.DUMMYFUNCTION("""COMPUTED_VALUE"""),45039.0081849768)</f>
        <v>45039.00818</v>
      </c>
      <c r="D10003" s="15">
        <f>IFERROR(__xludf.DUMMYFUNCTION("""COMPUTED_VALUE"""),1.038)</f>
        <v>1.038</v>
      </c>
      <c r="E10003" s="16">
        <f>IFERROR(__xludf.DUMMYFUNCTION("""COMPUTED_VALUE"""),65.0)</f>
        <v>65</v>
      </c>
      <c r="F10003" s="19" t="str">
        <f>IFERROR(__xludf.DUMMYFUNCTION("""COMPUTED_VALUE"""),"BLUE")</f>
        <v>BLUE</v>
      </c>
      <c r="G10003" s="20" t="str">
        <f>IFERROR(__xludf.DUMMYFUNCTION("""COMPUTED_VALUE"""),"Uncle Sams Cider (04/04/2023)")</f>
        <v>Uncle Sams Cider (04/04/2023)</v>
      </c>
      <c r="H10003" s="19"/>
    </row>
    <row r="10004">
      <c r="A10004" s="9"/>
      <c r="B10004" s="15"/>
      <c r="C10004" s="9">
        <f>IFERROR(__xludf.DUMMYFUNCTION("""COMPUTED_VALUE"""),45038.9977637731)</f>
        <v>45038.99776</v>
      </c>
      <c r="D10004" s="15">
        <f>IFERROR(__xludf.DUMMYFUNCTION("""COMPUTED_VALUE"""),1.038)</f>
        <v>1.038</v>
      </c>
      <c r="E10004" s="16">
        <f>IFERROR(__xludf.DUMMYFUNCTION("""COMPUTED_VALUE"""),65.0)</f>
        <v>65</v>
      </c>
      <c r="F10004" s="19" t="str">
        <f>IFERROR(__xludf.DUMMYFUNCTION("""COMPUTED_VALUE"""),"BLUE")</f>
        <v>BLUE</v>
      </c>
      <c r="G10004" s="20" t="str">
        <f>IFERROR(__xludf.DUMMYFUNCTION("""COMPUTED_VALUE"""),"Uncle Sams Cider (04/04/2023)")</f>
        <v>Uncle Sams Cider (04/04/2023)</v>
      </c>
      <c r="H10004" s="19"/>
    </row>
    <row r="10005">
      <c r="A10005" s="9"/>
      <c r="B10005" s="15"/>
      <c r="C10005" s="9">
        <f>IFERROR(__xludf.DUMMYFUNCTION("""COMPUTED_VALUE"""),45038.9873425694)</f>
        <v>45038.98734</v>
      </c>
      <c r="D10005" s="15">
        <f>IFERROR(__xludf.DUMMYFUNCTION("""COMPUTED_VALUE"""),1.038)</f>
        <v>1.038</v>
      </c>
      <c r="E10005" s="16">
        <f>IFERROR(__xludf.DUMMYFUNCTION("""COMPUTED_VALUE"""),64.0)</f>
        <v>64</v>
      </c>
      <c r="F10005" s="19" t="str">
        <f>IFERROR(__xludf.DUMMYFUNCTION("""COMPUTED_VALUE"""),"BLUE")</f>
        <v>BLUE</v>
      </c>
      <c r="G10005" s="20" t="str">
        <f>IFERROR(__xludf.DUMMYFUNCTION("""COMPUTED_VALUE"""),"Uncle Sams Cider (04/04/2023)")</f>
        <v>Uncle Sams Cider (04/04/2023)</v>
      </c>
      <c r="H10005" s="19"/>
    </row>
    <row r="10006">
      <c r="A10006" s="9"/>
      <c r="B10006" s="15"/>
      <c r="C10006" s="9">
        <f>IFERROR(__xludf.DUMMYFUNCTION("""COMPUTED_VALUE"""),45038.9769207754)</f>
        <v>45038.97692</v>
      </c>
      <c r="D10006" s="15">
        <f>IFERROR(__xludf.DUMMYFUNCTION("""COMPUTED_VALUE"""),1.038)</f>
        <v>1.038</v>
      </c>
      <c r="E10006" s="16">
        <f>IFERROR(__xludf.DUMMYFUNCTION("""COMPUTED_VALUE"""),64.0)</f>
        <v>64</v>
      </c>
      <c r="F10006" s="19" t="str">
        <f>IFERROR(__xludf.DUMMYFUNCTION("""COMPUTED_VALUE"""),"BLUE")</f>
        <v>BLUE</v>
      </c>
      <c r="G10006" s="20" t="str">
        <f>IFERROR(__xludf.DUMMYFUNCTION("""COMPUTED_VALUE"""),"Uncle Sams Cider (04/04/2023)")</f>
        <v>Uncle Sams Cider (04/04/2023)</v>
      </c>
      <c r="H10006" s="19"/>
    </row>
    <row r="10007">
      <c r="A10007" s="9"/>
      <c r="B10007" s="15"/>
      <c r="C10007" s="9">
        <f>IFERROR(__xludf.DUMMYFUNCTION("""COMPUTED_VALUE"""),45038.9664999305)</f>
        <v>45038.9665</v>
      </c>
      <c r="D10007" s="15">
        <f>IFERROR(__xludf.DUMMYFUNCTION("""COMPUTED_VALUE"""),1.038)</f>
        <v>1.038</v>
      </c>
      <c r="E10007" s="16">
        <f>IFERROR(__xludf.DUMMYFUNCTION("""COMPUTED_VALUE"""),65.0)</f>
        <v>65</v>
      </c>
      <c r="F10007" s="19" t="str">
        <f>IFERROR(__xludf.DUMMYFUNCTION("""COMPUTED_VALUE"""),"BLUE")</f>
        <v>BLUE</v>
      </c>
      <c r="G10007" s="20" t="str">
        <f>IFERROR(__xludf.DUMMYFUNCTION("""COMPUTED_VALUE"""),"Uncle Sams Cider (04/04/2023)")</f>
        <v>Uncle Sams Cider (04/04/2023)</v>
      </c>
      <c r="H10007" s="19"/>
    </row>
    <row r="10008">
      <c r="A10008" s="9"/>
      <c r="B10008" s="15"/>
      <c r="C10008" s="9">
        <f>IFERROR(__xludf.DUMMYFUNCTION("""COMPUTED_VALUE"""),45038.9560787615)</f>
        <v>45038.95608</v>
      </c>
      <c r="D10008" s="15">
        <f>IFERROR(__xludf.DUMMYFUNCTION("""COMPUTED_VALUE"""),1.038)</f>
        <v>1.038</v>
      </c>
      <c r="E10008" s="16">
        <f>IFERROR(__xludf.DUMMYFUNCTION("""COMPUTED_VALUE"""),64.0)</f>
        <v>64</v>
      </c>
      <c r="F10008" s="19" t="str">
        <f>IFERROR(__xludf.DUMMYFUNCTION("""COMPUTED_VALUE"""),"BLUE")</f>
        <v>BLUE</v>
      </c>
      <c r="G10008" s="20" t="str">
        <f>IFERROR(__xludf.DUMMYFUNCTION("""COMPUTED_VALUE"""),"Uncle Sams Cider (04/04/2023)")</f>
        <v>Uncle Sams Cider (04/04/2023)</v>
      </c>
      <c r="H10008" s="19"/>
    </row>
    <row r="10009">
      <c r="A10009" s="9"/>
      <c r="B10009" s="15"/>
      <c r="C10009" s="9">
        <f>IFERROR(__xludf.DUMMYFUNCTION("""COMPUTED_VALUE"""),45038.9456584143)</f>
        <v>45038.94566</v>
      </c>
      <c r="D10009" s="15">
        <f>IFERROR(__xludf.DUMMYFUNCTION("""COMPUTED_VALUE"""),1.038)</f>
        <v>1.038</v>
      </c>
      <c r="E10009" s="16">
        <f>IFERROR(__xludf.DUMMYFUNCTION("""COMPUTED_VALUE"""),65.0)</f>
        <v>65</v>
      </c>
      <c r="F10009" s="19" t="str">
        <f>IFERROR(__xludf.DUMMYFUNCTION("""COMPUTED_VALUE"""),"BLUE")</f>
        <v>BLUE</v>
      </c>
      <c r="G10009" s="20" t="str">
        <f>IFERROR(__xludf.DUMMYFUNCTION("""COMPUTED_VALUE"""),"Uncle Sams Cider (04/04/2023)")</f>
        <v>Uncle Sams Cider (04/04/2023)</v>
      </c>
      <c r="H10009" s="19"/>
    </row>
    <row r="10010">
      <c r="A10010" s="9"/>
      <c r="B10010" s="15"/>
      <c r="C10010" s="9">
        <f>IFERROR(__xludf.DUMMYFUNCTION("""COMPUTED_VALUE"""),45038.9352370949)</f>
        <v>45038.93524</v>
      </c>
      <c r="D10010" s="15">
        <f>IFERROR(__xludf.DUMMYFUNCTION("""COMPUTED_VALUE"""),1.038)</f>
        <v>1.038</v>
      </c>
      <c r="E10010" s="16">
        <f>IFERROR(__xludf.DUMMYFUNCTION("""COMPUTED_VALUE"""),65.0)</f>
        <v>65</v>
      </c>
      <c r="F10010" s="19" t="str">
        <f>IFERROR(__xludf.DUMMYFUNCTION("""COMPUTED_VALUE"""),"BLUE")</f>
        <v>BLUE</v>
      </c>
      <c r="G10010" s="20" t="str">
        <f>IFERROR(__xludf.DUMMYFUNCTION("""COMPUTED_VALUE"""),"Uncle Sams Cider (04/04/2023)")</f>
        <v>Uncle Sams Cider (04/04/2023)</v>
      </c>
      <c r="H10010" s="19"/>
    </row>
    <row r="10011">
      <c r="A10011" s="9"/>
      <c r="B10011" s="15"/>
      <c r="C10011" s="9">
        <f>IFERROR(__xludf.DUMMYFUNCTION("""COMPUTED_VALUE"""),45038.9248152662)</f>
        <v>45038.92482</v>
      </c>
      <c r="D10011" s="15">
        <f>IFERROR(__xludf.DUMMYFUNCTION("""COMPUTED_VALUE"""),1.038)</f>
        <v>1.038</v>
      </c>
      <c r="E10011" s="16">
        <f>IFERROR(__xludf.DUMMYFUNCTION("""COMPUTED_VALUE"""),65.0)</f>
        <v>65</v>
      </c>
      <c r="F10011" s="19" t="str">
        <f>IFERROR(__xludf.DUMMYFUNCTION("""COMPUTED_VALUE"""),"BLUE")</f>
        <v>BLUE</v>
      </c>
      <c r="G10011" s="20" t="str">
        <f>IFERROR(__xludf.DUMMYFUNCTION("""COMPUTED_VALUE"""),"Uncle Sams Cider (04/04/2023)")</f>
        <v>Uncle Sams Cider (04/04/2023)</v>
      </c>
      <c r="H10011" s="19"/>
    </row>
    <row r="10012">
      <c r="A10012" s="9"/>
      <c r="B10012" s="15"/>
      <c r="C10012" s="9">
        <f>IFERROR(__xludf.DUMMYFUNCTION("""COMPUTED_VALUE"""),45038.9143942476)</f>
        <v>45038.91439</v>
      </c>
      <c r="D10012" s="15">
        <f>IFERROR(__xludf.DUMMYFUNCTION("""COMPUTED_VALUE"""),1.038)</f>
        <v>1.038</v>
      </c>
      <c r="E10012" s="16">
        <f>IFERROR(__xludf.DUMMYFUNCTION("""COMPUTED_VALUE"""),65.0)</f>
        <v>65</v>
      </c>
      <c r="F10012" s="19" t="str">
        <f>IFERROR(__xludf.DUMMYFUNCTION("""COMPUTED_VALUE"""),"BLUE")</f>
        <v>BLUE</v>
      </c>
      <c r="G10012" s="20" t="str">
        <f>IFERROR(__xludf.DUMMYFUNCTION("""COMPUTED_VALUE"""),"Uncle Sams Cider (04/04/2023)")</f>
        <v>Uncle Sams Cider (04/04/2023)</v>
      </c>
      <c r="H10012" s="19"/>
    </row>
    <row r="10013">
      <c r="A10013" s="9"/>
      <c r="B10013" s="15"/>
      <c r="C10013" s="9">
        <f>IFERROR(__xludf.DUMMYFUNCTION("""COMPUTED_VALUE"""),45038.9039724768)</f>
        <v>45038.90397</v>
      </c>
      <c r="D10013" s="15">
        <f>IFERROR(__xludf.DUMMYFUNCTION("""COMPUTED_VALUE"""),1.038)</f>
        <v>1.038</v>
      </c>
      <c r="E10013" s="16">
        <f>IFERROR(__xludf.DUMMYFUNCTION("""COMPUTED_VALUE"""),64.0)</f>
        <v>64</v>
      </c>
      <c r="F10013" s="19" t="str">
        <f>IFERROR(__xludf.DUMMYFUNCTION("""COMPUTED_VALUE"""),"BLUE")</f>
        <v>BLUE</v>
      </c>
      <c r="G10013" s="20" t="str">
        <f>IFERROR(__xludf.DUMMYFUNCTION("""COMPUTED_VALUE"""),"Uncle Sams Cider (04/04/2023)")</f>
        <v>Uncle Sams Cider (04/04/2023)</v>
      </c>
      <c r="H10013" s="19"/>
    </row>
    <row r="10014">
      <c r="A10014" s="9"/>
      <c r="B10014" s="15"/>
      <c r="C10014" s="9">
        <f>IFERROR(__xludf.DUMMYFUNCTION("""COMPUTED_VALUE"""),45038.8935378472)</f>
        <v>45038.89354</v>
      </c>
      <c r="D10014" s="15">
        <f>IFERROR(__xludf.DUMMYFUNCTION("""COMPUTED_VALUE"""),1.038)</f>
        <v>1.038</v>
      </c>
      <c r="E10014" s="16">
        <f>IFERROR(__xludf.DUMMYFUNCTION("""COMPUTED_VALUE"""),64.0)</f>
        <v>64</v>
      </c>
      <c r="F10014" s="19" t="str">
        <f>IFERROR(__xludf.DUMMYFUNCTION("""COMPUTED_VALUE"""),"BLUE")</f>
        <v>BLUE</v>
      </c>
      <c r="G10014" s="20" t="str">
        <f>IFERROR(__xludf.DUMMYFUNCTION("""COMPUTED_VALUE"""),"Uncle Sams Cider (04/04/2023)")</f>
        <v>Uncle Sams Cider (04/04/2023)</v>
      </c>
      <c r="H10014" s="19"/>
    </row>
    <row r="10015">
      <c r="A10015" s="9"/>
      <c r="B10015" s="15"/>
      <c r="C10015" s="9">
        <f>IFERROR(__xludf.DUMMYFUNCTION("""COMPUTED_VALUE"""),45038.8831064583)</f>
        <v>45038.88311</v>
      </c>
      <c r="D10015" s="15">
        <f>IFERROR(__xludf.DUMMYFUNCTION("""COMPUTED_VALUE"""),1.038)</f>
        <v>1.038</v>
      </c>
      <c r="E10015" s="16">
        <f>IFERROR(__xludf.DUMMYFUNCTION("""COMPUTED_VALUE"""),64.0)</f>
        <v>64</v>
      </c>
      <c r="F10015" s="19" t="str">
        <f>IFERROR(__xludf.DUMMYFUNCTION("""COMPUTED_VALUE"""),"BLUE")</f>
        <v>BLUE</v>
      </c>
      <c r="G10015" s="20" t="str">
        <f>IFERROR(__xludf.DUMMYFUNCTION("""COMPUTED_VALUE"""),"Uncle Sams Cider (04/04/2023)")</f>
        <v>Uncle Sams Cider (04/04/2023)</v>
      </c>
      <c r="H10015" s="19"/>
    </row>
    <row r="10016">
      <c r="A10016" s="9"/>
      <c r="B10016" s="15"/>
      <c r="C10016" s="9">
        <f>IFERROR(__xludf.DUMMYFUNCTION("""COMPUTED_VALUE"""),45038.8726866435)</f>
        <v>45038.87269</v>
      </c>
      <c r="D10016" s="15">
        <f>IFERROR(__xludf.DUMMYFUNCTION("""COMPUTED_VALUE"""),1.038)</f>
        <v>1.038</v>
      </c>
      <c r="E10016" s="16">
        <f>IFERROR(__xludf.DUMMYFUNCTION("""COMPUTED_VALUE"""),64.0)</f>
        <v>64</v>
      </c>
      <c r="F10016" s="19" t="str">
        <f>IFERROR(__xludf.DUMMYFUNCTION("""COMPUTED_VALUE"""),"BLUE")</f>
        <v>BLUE</v>
      </c>
      <c r="G10016" s="20" t="str">
        <f>IFERROR(__xludf.DUMMYFUNCTION("""COMPUTED_VALUE"""),"Uncle Sams Cider (04/04/2023)")</f>
        <v>Uncle Sams Cider (04/04/2023)</v>
      </c>
      <c r="H10016" s="19"/>
    </row>
    <row r="10017">
      <c r="A10017" s="9"/>
      <c r="B10017" s="15"/>
      <c r="C10017" s="9">
        <f>IFERROR(__xludf.DUMMYFUNCTION("""COMPUTED_VALUE"""),45038.8622418055)</f>
        <v>45038.86224</v>
      </c>
      <c r="D10017" s="15">
        <f>IFERROR(__xludf.DUMMYFUNCTION("""COMPUTED_VALUE"""),1.038)</f>
        <v>1.038</v>
      </c>
      <c r="E10017" s="16">
        <f>IFERROR(__xludf.DUMMYFUNCTION("""COMPUTED_VALUE"""),65.0)</f>
        <v>65</v>
      </c>
      <c r="F10017" s="19" t="str">
        <f>IFERROR(__xludf.DUMMYFUNCTION("""COMPUTED_VALUE"""),"BLUE")</f>
        <v>BLUE</v>
      </c>
      <c r="G10017" s="20" t="str">
        <f>IFERROR(__xludf.DUMMYFUNCTION("""COMPUTED_VALUE"""),"Uncle Sams Cider (04/04/2023)")</f>
        <v>Uncle Sams Cider (04/04/2023)</v>
      </c>
      <c r="H10017" s="19"/>
    </row>
    <row r="10018">
      <c r="A10018" s="9"/>
      <c r="B10018" s="15"/>
      <c r="C10018" s="9">
        <f>IFERROR(__xludf.DUMMYFUNCTION("""COMPUTED_VALUE"""),45038.8518219213)</f>
        <v>45038.85182</v>
      </c>
      <c r="D10018" s="15">
        <f>IFERROR(__xludf.DUMMYFUNCTION("""COMPUTED_VALUE"""),1.038)</f>
        <v>1.038</v>
      </c>
      <c r="E10018" s="16">
        <f>IFERROR(__xludf.DUMMYFUNCTION("""COMPUTED_VALUE"""),64.0)</f>
        <v>64</v>
      </c>
      <c r="F10018" s="19" t="str">
        <f>IFERROR(__xludf.DUMMYFUNCTION("""COMPUTED_VALUE"""),"BLUE")</f>
        <v>BLUE</v>
      </c>
      <c r="G10018" s="20" t="str">
        <f>IFERROR(__xludf.DUMMYFUNCTION("""COMPUTED_VALUE"""),"Uncle Sams Cider (04/04/2023)")</f>
        <v>Uncle Sams Cider (04/04/2023)</v>
      </c>
      <c r="H10018" s="19"/>
    </row>
    <row r="10019">
      <c r="A10019" s="9"/>
      <c r="B10019" s="15"/>
      <c r="C10019" s="9">
        <f>IFERROR(__xludf.DUMMYFUNCTION("""COMPUTED_VALUE"""),45038.8414017245)</f>
        <v>45038.8414</v>
      </c>
      <c r="D10019" s="15">
        <f>IFERROR(__xludf.DUMMYFUNCTION("""COMPUTED_VALUE"""),1.038)</f>
        <v>1.038</v>
      </c>
      <c r="E10019" s="16">
        <f>IFERROR(__xludf.DUMMYFUNCTION("""COMPUTED_VALUE"""),64.0)</f>
        <v>64</v>
      </c>
      <c r="F10019" s="19" t="str">
        <f>IFERROR(__xludf.DUMMYFUNCTION("""COMPUTED_VALUE"""),"BLUE")</f>
        <v>BLUE</v>
      </c>
      <c r="G10019" s="20" t="str">
        <f>IFERROR(__xludf.DUMMYFUNCTION("""COMPUTED_VALUE"""),"Uncle Sams Cider (04/04/2023)")</f>
        <v>Uncle Sams Cider (04/04/2023)</v>
      </c>
      <c r="H10019" s="19"/>
    </row>
    <row r="10020">
      <c r="A10020" s="9"/>
      <c r="B10020" s="15"/>
      <c r="C10020" s="9">
        <f>IFERROR(__xludf.DUMMYFUNCTION("""COMPUTED_VALUE"""),45038.8309825925)</f>
        <v>45038.83098</v>
      </c>
      <c r="D10020" s="15">
        <f>IFERROR(__xludf.DUMMYFUNCTION("""COMPUTED_VALUE"""),1.038)</f>
        <v>1.038</v>
      </c>
      <c r="E10020" s="16">
        <f>IFERROR(__xludf.DUMMYFUNCTION("""COMPUTED_VALUE"""),64.0)</f>
        <v>64</v>
      </c>
      <c r="F10020" s="19" t="str">
        <f>IFERROR(__xludf.DUMMYFUNCTION("""COMPUTED_VALUE"""),"BLUE")</f>
        <v>BLUE</v>
      </c>
      <c r="G10020" s="20" t="str">
        <f>IFERROR(__xludf.DUMMYFUNCTION("""COMPUTED_VALUE"""),"Uncle Sams Cider (04/04/2023)")</f>
        <v>Uncle Sams Cider (04/04/2023)</v>
      </c>
      <c r="H10020" s="19"/>
    </row>
    <row r="10021">
      <c r="A10021" s="9"/>
      <c r="B10021" s="15"/>
      <c r="C10021" s="9">
        <f>IFERROR(__xludf.DUMMYFUNCTION("""COMPUTED_VALUE"""),45038.8205605439)</f>
        <v>45038.82056</v>
      </c>
      <c r="D10021" s="15">
        <f>IFERROR(__xludf.DUMMYFUNCTION("""COMPUTED_VALUE"""),1.038)</f>
        <v>1.038</v>
      </c>
      <c r="E10021" s="16">
        <f>IFERROR(__xludf.DUMMYFUNCTION("""COMPUTED_VALUE"""),64.0)</f>
        <v>64</v>
      </c>
      <c r="F10021" s="19" t="str">
        <f>IFERROR(__xludf.DUMMYFUNCTION("""COMPUTED_VALUE"""),"BLUE")</f>
        <v>BLUE</v>
      </c>
      <c r="G10021" s="20" t="str">
        <f>IFERROR(__xludf.DUMMYFUNCTION("""COMPUTED_VALUE"""),"Uncle Sams Cider (04/04/2023)")</f>
        <v>Uncle Sams Cider (04/04/2023)</v>
      </c>
      <c r="H10021" s="19"/>
    </row>
    <row r="10022">
      <c r="A10022" s="9"/>
      <c r="B10022" s="15"/>
      <c r="C10022" s="9">
        <f>IFERROR(__xludf.DUMMYFUNCTION("""COMPUTED_VALUE"""),45038.8101383796)</f>
        <v>45038.81014</v>
      </c>
      <c r="D10022" s="15">
        <f>IFERROR(__xludf.DUMMYFUNCTION("""COMPUTED_VALUE"""),1.038)</f>
        <v>1.038</v>
      </c>
      <c r="E10022" s="16">
        <f>IFERROR(__xludf.DUMMYFUNCTION("""COMPUTED_VALUE"""),64.0)</f>
        <v>64</v>
      </c>
      <c r="F10022" s="19" t="str">
        <f>IFERROR(__xludf.DUMMYFUNCTION("""COMPUTED_VALUE"""),"BLUE")</f>
        <v>BLUE</v>
      </c>
      <c r="G10022" s="20" t="str">
        <f>IFERROR(__xludf.DUMMYFUNCTION("""COMPUTED_VALUE"""),"Uncle Sams Cider (04/04/2023)")</f>
        <v>Uncle Sams Cider (04/04/2023)</v>
      </c>
      <c r="H10022" s="19"/>
    </row>
    <row r="10023">
      <c r="A10023" s="9"/>
      <c r="B10023" s="15"/>
      <c r="C10023" s="9">
        <f>IFERROR(__xludf.DUMMYFUNCTION("""COMPUTED_VALUE"""),45038.7997161574)</f>
        <v>45038.79972</v>
      </c>
      <c r="D10023" s="15">
        <f>IFERROR(__xludf.DUMMYFUNCTION("""COMPUTED_VALUE"""),1.038)</f>
        <v>1.038</v>
      </c>
      <c r="E10023" s="16">
        <f>IFERROR(__xludf.DUMMYFUNCTION("""COMPUTED_VALUE"""),64.0)</f>
        <v>64</v>
      </c>
      <c r="F10023" s="19" t="str">
        <f>IFERROR(__xludf.DUMMYFUNCTION("""COMPUTED_VALUE"""),"BLUE")</f>
        <v>BLUE</v>
      </c>
      <c r="G10023" s="20" t="str">
        <f>IFERROR(__xludf.DUMMYFUNCTION("""COMPUTED_VALUE"""),"Uncle Sams Cider (04/04/2023)")</f>
        <v>Uncle Sams Cider (04/04/2023)</v>
      </c>
      <c r="H10023" s="19"/>
    </row>
    <row r="10024">
      <c r="A10024" s="9"/>
      <c r="B10024" s="15"/>
      <c r="C10024" s="9">
        <f>IFERROR(__xludf.DUMMYFUNCTION("""COMPUTED_VALUE"""),45038.7892952546)</f>
        <v>45038.7893</v>
      </c>
      <c r="D10024" s="15">
        <f>IFERROR(__xludf.DUMMYFUNCTION("""COMPUTED_VALUE"""),1.038)</f>
        <v>1.038</v>
      </c>
      <c r="E10024" s="16">
        <f>IFERROR(__xludf.DUMMYFUNCTION("""COMPUTED_VALUE"""),64.0)</f>
        <v>64</v>
      </c>
      <c r="F10024" s="19" t="str">
        <f>IFERROR(__xludf.DUMMYFUNCTION("""COMPUTED_VALUE"""),"BLUE")</f>
        <v>BLUE</v>
      </c>
      <c r="G10024" s="20" t="str">
        <f>IFERROR(__xludf.DUMMYFUNCTION("""COMPUTED_VALUE"""),"Uncle Sams Cider (04/04/2023)")</f>
        <v>Uncle Sams Cider (04/04/2023)</v>
      </c>
      <c r="H10024" s="19"/>
    </row>
    <row r="10025">
      <c r="A10025" s="9"/>
      <c r="B10025" s="15"/>
      <c r="C10025" s="9">
        <f>IFERROR(__xludf.DUMMYFUNCTION("""COMPUTED_VALUE"""),45038.7788631597)</f>
        <v>45038.77886</v>
      </c>
      <c r="D10025" s="15">
        <f>IFERROR(__xludf.DUMMYFUNCTION("""COMPUTED_VALUE"""),1.038)</f>
        <v>1.038</v>
      </c>
      <c r="E10025" s="16">
        <f>IFERROR(__xludf.DUMMYFUNCTION("""COMPUTED_VALUE"""),64.0)</f>
        <v>64</v>
      </c>
      <c r="F10025" s="19" t="str">
        <f>IFERROR(__xludf.DUMMYFUNCTION("""COMPUTED_VALUE"""),"BLUE")</f>
        <v>BLUE</v>
      </c>
      <c r="G10025" s="20" t="str">
        <f>IFERROR(__xludf.DUMMYFUNCTION("""COMPUTED_VALUE"""),"Uncle Sams Cider (04/04/2023)")</f>
        <v>Uncle Sams Cider (04/04/2023)</v>
      </c>
      <c r="H10025" s="19"/>
    </row>
    <row r="10026">
      <c r="A10026" s="9"/>
      <c r="B10026" s="15"/>
      <c r="C10026" s="9">
        <f>IFERROR(__xludf.DUMMYFUNCTION("""COMPUTED_VALUE"""),45038.7684301388)</f>
        <v>45038.76843</v>
      </c>
      <c r="D10026" s="15">
        <f>IFERROR(__xludf.DUMMYFUNCTION("""COMPUTED_VALUE"""),1.038)</f>
        <v>1.038</v>
      </c>
      <c r="E10026" s="16">
        <f>IFERROR(__xludf.DUMMYFUNCTION("""COMPUTED_VALUE"""),64.0)</f>
        <v>64</v>
      </c>
      <c r="F10026" s="19" t="str">
        <f>IFERROR(__xludf.DUMMYFUNCTION("""COMPUTED_VALUE"""),"BLUE")</f>
        <v>BLUE</v>
      </c>
      <c r="G10026" s="20" t="str">
        <f>IFERROR(__xludf.DUMMYFUNCTION("""COMPUTED_VALUE"""),"Uncle Sams Cider (04/04/2023)")</f>
        <v>Uncle Sams Cider (04/04/2023)</v>
      </c>
      <c r="H10026" s="19"/>
    </row>
    <row r="10027">
      <c r="A10027" s="9"/>
      <c r="B10027" s="15"/>
      <c r="C10027" s="9">
        <f>IFERROR(__xludf.DUMMYFUNCTION("""COMPUTED_VALUE"""),45038.758009618)</f>
        <v>45038.75801</v>
      </c>
      <c r="D10027" s="15">
        <f>IFERROR(__xludf.DUMMYFUNCTION("""COMPUTED_VALUE"""),1.038)</f>
        <v>1.038</v>
      </c>
      <c r="E10027" s="16">
        <f>IFERROR(__xludf.DUMMYFUNCTION("""COMPUTED_VALUE"""),64.0)</f>
        <v>64</v>
      </c>
      <c r="F10027" s="19" t="str">
        <f>IFERROR(__xludf.DUMMYFUNCTION("""COMPUTED_VALUE"""),"BLUE")</f>
        <v>BLUE</v>
      </c>
      <c r="G10027" s="20" t="str">
        <f>IFERROR(__xludf.DUMMYFUNCTION("""COMPUTED_VALUE"""),"Uncle Sams Cider (04/04/2023)")</f>
        <v>Uncle Sams Cider (04/04/2023)</v>
      </c>
      <c r="H10027" s="19"/>
    </row>
    <row r="10028">
      <c r="A10028" s="9"/>
      <c r="B10028" s="15"/>
      <c r="C10028" s="9">
        <f>IFERROR(__xludf.DUMMYFUNCTION("""COMPUTED_VALUE"""),45038.7475891088)</f>
        <v>45038.74759</v>
      </c>
      <c r="D10028" s="15">
        <f>IFERROR(__xludf.DUMMYFUNCTION("""COMPUTED_VALUE"""),1.038)</f>
        <v>1.038</v>
      </c>
      <c r="E10028" s="16">
        <f>IFERROR(__xludf.DUMMYFUNCTION("""COMPUTED_VALUE"""),64.0)</f>
        <v>64</v>
      </c>
      <c r="F10028" s="19" t="str">
        <f>IFERROR(__xludf.DUMMYFUNCTION("""COMPUTED_VALUE"""),"BLUE")</f>
        <v>BLUE</v>
      </c>
      <c r="G10028" s="20" t="str">
        <f>IFERROR(__xludf.DUMMYFUNCTION("""COMPUTED_VALUE"""),"Uncle Sams Cider (04/04/2023)")</f>
        <v>Uncle Sams Cider (04/04/2023)</v>
      </c>
      <c r="H10028" s="19"/>
    </row>
    <row r="10029">
      <c r="A10029" s="9"/>
      <c r="B10029" s="15"/>
      <c r="C10029" s="9">
        <f>IFERROR(__xludf.DUMMYFUNCTION("""COMPUTED_VALUE"""),45038.7371579166)</f>
        <v>45038.73716</v>
      </c>
      <c r="D10029" s="15">
        <f>IFERROR(__xludf.DUMMYFUNCTION("""COMPUTED_VALUE"""),1.038)</f>
        <v>1.038</v>
      </c>
      <c r="E10029" s="16">
        <f>IFERROR(__xludf.DUMMYFUNCTION("""COMPUTED_VALUE"""),64.0)</f>
        <v>64</v>
      </c>
      <c r="F10029" s="19" t="str">
        <f>IFERROR(__xludf.DUMMYFUNCTION("""COMPUTED_VALUE"""),"BLUE")</f>
        <v>BLUE</v>
      </c>
      <c r="G10029" s="20" t="str">
        <f>IFERROR(__xludf.DUMMYFUNCTION("""COMPUTED_VALUE"""),"Uncle Sams Cider (04/04/2023)")</f>
        <v>Uncle Sams Cider (04/04/2023)</v>
      </c>
      <c r="H10029" s="19"/>
    </row>
    <row r="10030">
      <c r="A10030" s="9"/>
      <c r="B10030" s="15"/>
      <c r="C10030" s="9">
        <f>IFERROR(__xludf.DUMMYFUNCTION("""COMPUTED_VALUE"""),45038.7267367245)</f>
        <v>45038.72674</v>
      </c>
      <c r="D10030" s="15">
        <f>IFERROR(__xludf.DUMMYFUNCTION("""COMPUTED_VALUE"""),1.038)</f>
        <v>1.038</v>
      </c>
      <c r="E10030" s="16">
        <f>IFERROR(__xludf.DUMMYFUNCTION("""COMPUTED_VALUE"""),64.0)</f>
        <v>64</v>
      </c>
      <c r="F10030" s="19" t="str">
        <f>IFERROR(__xludf.DUMMYFUNCTION("""COMPUTED_VALUE"""),"BLUE")</f>
        <v>BLUE</v>
      </c>
      <c r="G10030" s="20" t="str">
        <f>IFERROR(__xludf.DUMMYFUNCTION("""COMPUTED_VALUE"""),"Uncle Sams Cider (04/04/2023)")</f>
        <v>Uncle Sams Cider (04/04/2023)</v>
      </c>
      <c r="H10030" s="19"/>
    </row>
    <row r="10031">
      <c r="A10031" s="9"/>
      <c r="B10031" s="15"/>
      <c r="C10031" s="9">
        <f>IFERROR(__xludf.DUMMYFUNCTION("""COMPUTED_VALUE"""),45038.7163025694)</f>
        <v>45038.7163</v>
      </c>
      <c r="D10031" s="15">
        <f>IFERROR(__xludf.DUMMYFUNCTION("""COMPUTED_VALUE"""),1.038)</f>
        <v>1.038</v>
      </c>
      <c r="E10031" s="16">
        <f>IFERROR(__xludf.DUMMYFUNCTION("""COMPUTED_VALUE"""),64.0)</f>
        <v>64</v>
      </c>
      <c r="F10031" s="19" t="str">
        <f>IFERROR(__xludf.DUMMYFUNCTION("""COMPUTED_VALUE"""),"BLUE")</f>
        <v>BLUE</v>
      </c>
      <c r="G10031" s="20" t="str">
        <f>IFERROR(__xludf.DUMMYFUNCTION("""COMPUTED_VALUE"""),"Uncle Sams Cider (04/04/2023)")</f>
        <v>Uncle Sams Cider (04/04/2023)</v>
      </c>
      <c r="H10031" s="19"/>
    </row>
    <row r="10032">
      <c r="A10032" s="9"/>
      <c r="B10032" s="15"/>
      <c r="C10032" s="9">
        <f>IFERROR(__xludf.DUMMYFUNCTION("""COMPUTED_VALUE"""),45038.7058817824)</f>
        <v>45038.70588</v>
      </c>
      <c r="D10032" s="15">
        <f>IFERROR(__xludf.DUMMYFUNCTION("""COMPUTED_VALUE"""),1.038)</f>
        <v>1.038</v>
      </c>
      <c r="E10032" s="16">
        <f>IFERROR(__xludf.DUMMYFUNCTION("""COMPUTED_VALUE"""),64.0)</f>
        <v>64</v>
      </c>
      <c r="F10032" s="19" t="str">
        <f>IFERROR(__xludf.DUMMYFUNCTION("""COMPUTED_VALUE"""),"BLUE")</f>
        <v>BLUE</v>
      </c>
      <c r="G10032" s="20" t="str">
        <f>IFERROR(__xludf.DUMMYFUNCTION("""COMPUTED_VALUE"""),"Uncle Sams Cider (04/04/2023)")</f>
        <v>Uncle Sams Cider (04/04/2023)</v>
      </c>
      <c r="H10032" s="19"/>
    </row>
    <row r="10033">
      <c r="A10033" s="9"/>
      <c r="B10033" s="15"/>
      <c r="C10033" s="9">
        <f>IFERROR(__xludf.DUMMYFUNCTION("""COMPUTED_VALUE"""),45038.6954488657)</f>
        <v>45038.69545</v>
      </c>
      <c r="D10033" s="15">
        <f>IFERROR(__xludf.DUMMYFUNCTION("""COMPUTED_VALUE"""),1.038)</f>
        <v>1.038</v>
      </c>
      <c r="E10033" s="16">
        <f>IFERROR(__xludf.DUMMYFUNCTION("""COMPUTED_VALUE"""),64.0)</f>
        <v>64</v>
      </c>
      <c r="F10033" s="19" t="str">
        <f>IFERROR(__xludf.DUMMYFUNCTION("""COMPUTED_VALUE"""),"BLUE")</f>
        <v>BLUE</v>
      </c>
      <c r="G10033" s="20" t="str">
        <f>IFERROR(__xludf.DUMMYFUNCTION("""COMPUTED_VALUE"""),"Uncle Sams Cider (04/04/2023)")</f>
        <v>Uncle Sams Cider (04/04/2023)</v>
      </c>
      <c r="H10033" s="19"/>
    </row>
    <row r="10034">
      <c r="A10034" s="9"/>
      <c r="B10034" s="15"/>
      <c r="C10034" s="9">
        <f>IFERROR(__xludf.DUMMYFUNCTION("""COMPUTED_VALUE"""),45038.6850148726)</f>
        <v>45038.68501</v>
      </c>
      <c r="D10034" s="15">
        <f>IFERROR(__xludf.DUMMYFUNCTION("""COMPUTED_VALUE"""),1.038)</f>
        <v>1.038</v>
      </c>
      <c r="E10034" s="16">
        <f>IFERROR(__xludf.DUMMYFUNCTION("""COMPUTED_VALUE"""),64.0)</f>
        <v>64</v>
      </c>
      <c r="F10034" s="19" t="str">
        <f>IFERROR(__xludf.DUMMYFUNCTION("""COMPUTED_VALUE"""),"BLUE")</f>
        <v>BLUE</v>
      </c>
      <c r="G10034" s="20" t="str">
        <f>IFERROR(__xludf.DUMMYFUNCTION("""COMPUTED_VALUE"""),"Uncle Sams Cider (04/04/2023)")</f>
        <v>Uncle Sams Cider (04/04/2023)</v>
      </c>
      <c r="H10034" s="19"/>
    </row>
    <row r="10035">
      <c r="A10035" s="9"/>
      <c r="B10035" s="15"/>
      <c r="C10035" s="9">
        <f>IFERROR(__xludf.DUMMYFUNCTION("""COMPUTED_VALUE"""),45038.6745933449)</f>
        <v>45038.67459</v>
      </c>
      <c r="D10035" s="15">
        <f>IFERROR(__xludf.DUMMYFUNCTION("""COMPUTED_VALUE"""),1.038)</f>
        <v>1.038</v>
      </c>
      <c r="E10035" s="16">
        <f>IFERROR(__xludf.DUMMYFUNCTION("""COMPUTED_VALUE"""),64.0)</f>
        <v>64</v>
      </c>
      <c r="F10035" s="19" t="str">
        <f>IFERROR(__xludf.DUMMYFUNCTION("""COMPUTED_VALUE"""),"BLUE")</f>
        <v>BLUE</v>
      </c>
      <c r="G10035" s="20" t="str">
        <f>IFERROR(__xludf.DUMMYFUNCTION("""COMPUTED_VALUE"""),"Uncle Sams Cider (04/04/2023)")</f>
        <v>Uncle Sams Cider (04/04/2023)</v>
      </c>
      <c r="H10035" s="19"/>
    </row>
    <row r="10036">
      <c r="A10036" s="9"/>
      <c r="B10036" s="15"/>
      <c r="C10036" s="9">
        <f>IFERROR(__xludf.DUMMYFUNCTION("""COMPUTED_VALUE"""),45038.6641724421)</f>
        <v>45038.66417</v>
      </c>
      <c r="D10036" s="15">
        <f>IFERROR(__xludf.DUMMYFUNCTION("""COMPUTED_VALUE"""),1.039)</f>
        <v>1.039</v>
      </c>
      <c r="E10036" s="16">
        <f>IFERROR(__xludf.DUMMYFUNCTION("""COMPUTED_VALUE"""),64.0)</f>
        <v>64</v>
      </c>
      <c r="F10036" s="19" t="str">
        <f>IFERROR(__xludf.DUMMYFUNCTION("""COMPUTED_VALUE"""),"BLUE")</f>
        <v>BLUE</v>
      </c>
      <c r="G10036" s="20" t="str">
        <f>IFERROR(__xludf.DUMMYFUNCTION("""COMPUTED_VALUE"""),"Uncle Sams Cider (04/04/2023)")</f>
        <v>Uncle Sams Cider (04/04/2023)</v>
      </c>
      <c r="H10036" s="19"/>
    </row>
    <row r="10037">
      <c r="A10037" s="9"/>
      <c r="B10037" s="15"/>
      <c r="C10037" s="9">
        <f>IFERROR(__xludf.DUMMYFUNCTION("""COMPUTED_VALUE"""),45038.653751875)</f>
        <v>45038.65375</v>
      </c>
      <c r="D10037" s="15">
        <f>IFERROR(__xludf.DUMMYFUNCTION("""COMPUTED_VALUE"""),1.039)</f>
        <v>1.039</v>
      </c>
      <c r="E10037" s="16">
        <f>IFERROR(__xludf.DUMMYFUNCTION("""COMPUTED_VALUE"""),64.0)</f>
        <v>64</v>
      </c>
      <c r="F10037" s="19" t="str">
        <f>IFERROR(__xludf.DUMMYFUNCTION("""COMPUTED_VALUE"""),"BLUE")</f>
        <v>BLUE</v>
      </c>
      <c r="G10037" s="20" t="str">
        <f>IFERROR(__xludf.DUMMYFUNCTION("""COMPUTED_VALUE"""),"Uncle Sams Cider (04/04/2023)")</f>
        <v>Uncle Sams Cider (04/04/2023)</v>
      </c>
      <c r="H10037" s="19"/>
    </row>
    <row r="10038">
      <c r="A10038" s="9"/>
      <c r="B10038" s="15"/>
      <c r="C10038" s="9">
        <f>IFERROR(__xludf.DUMMYFUNCTION("""COMPUTED_VALUE"""),45038.6433298379)</f>
        <v>45038.64333</v>
      </c>
      <c r="D10038" s="15">
        <f>IFERROR(__xludf.DUMMYFUNCTION("""COMPUTED_VALUE"""),1.039)</f>
        <v>1.039</v>
      </c>
      <c r="E10038" s="16">
        <f>IFERROR(__xludf.DUMMYFUNCTION("""COMPUTED_VALUE"""),64.0)</f>
        <v>64</v>
      </c>
      <c r="F10038" s="19" t="str">
        <f>IFERROR(__xludf.DUMMYFUNCTION("""COMPUTED_VALUE"""),"BLUE")</f>
        <v>BLUE</v>
      </c>
      <c r="G10038" s="20" t="str">
        <f>IFERROR(__xludf.DUMMYFUNCTION("""COMPUTED_VALUE"""),"Uncle Sams Cider (04/04/2023)")</f>
        <v>Uncle Sams Cider (04/04/2023)</v>
      </c>
      <c r="H10038" s="19"/>
    </row>
    <row r="10039">
      <c r="A10039" s="9"/>
      <c r="B10039" s="15"/>
      <c r="C10039" s="9">
        <f>IFERROR(__xludf.DUMMYFUNCTION("""COMPUTED_VALUE"""),45038.6329079513)</f>
        <v>45038.63291</v>
      </c>
      <c r="D10039" s="15">
        <f>IFERROR(__xludf.DUMMYFUNCTION("""COMPUTED_VALUE"""),1.039)</f>
        <v>1.039</v>
      </c>
      <c r="E10039" s="16">
        <f>IFERROR(__xludf.DUMMYFUNCTION("""COMPUTED_VALUE"""),64.0)</f>
        <v>64</v>
      </c>
      <c r="F10039" s="19" t="str">
        <f>IFERROR(__xludf.DUMMYFUNCTION("""COMPUTED_VALUE"""),"BLUE")</f>
        <v>BLUE</v>
      </c>
      <c r="G10039" s="20" t="str">
        <f>IFERROR(__xludf.DUMMYFUNCTION("""COMPUTED_VALUE"""),"Uncle Sams Cider (04/04/2023)")</f>
        <v>Uncle Sams Cider (04/04/2023)</v>
      </c>
      <c r="H10039" s="19"/>
    </row>
    <row r="10040">
      <c r="A10040" s="9"/>
      <c r="B10040" s="15"/>
      <c r="C10040" s="9">
        <f>IFERROR(__xludf.DUMMYFUNCTION("""COMPUTED_VALUE"""),45038.6224868865)</f>
        <v>45038.62249</v>
      </c>
      <c r="D10040" s="15">
        <f>IFERROR(__xludf.DUMMYFUNCTION("""COMPUTED_VALUE"""),1.039)</f>
        <v>1.039</v>
      </c>
      <c r="E10040" s="16">
        <f>IFERROR(__xludf.DUMMYFUNCTION("""COMPUTED_VALUE"""),64.0)</f>
        <v>64</v>
      </c>
      <c r="F10040" s="19" t="str">
        <f>IFERROR(__xludf.DUMMYFUNCTION("""COMPUTED_VALUE"""),"BLUE")</f>
        <v>BLUE</v>
      </c>
      <c r="G10040" s="20" t="str">
        <f>IFERROR(__xludf.DUMMYFUNCTION("""COMPUTED_VALUE"""),"Uncle Sams Cider (04/04/2023)")</f>
        <v>Uncle Sams Cider (04/04/2023)</v>
      </c>
      <c r="H10040" s="19"/>
    </row>
    <row r="10041">
      <c r="A10041" s="9"/>
      <c r="B10041" s="15"/>
      <c r="C10041" s="9">
        <f>IFERROR(__xludf.DUMMYFUNCTION("""COMPUTED_VALUE"""),45038.6120667129)</f>
        <v>45038.61207</v>
      </c>
      <c r="D10041" s="15">
        <f>IFERROR(__xludf.DUMMYFUNCTION("""COMPUTED_VALUE"""),1.039)</f>
        <v>1.039</v>
      </c>
      <c r="E10041" s="16">
        <f>IFERROR(__xludf.DUMMYFUNCTION("""COMPUTED_VALUE"""),64.0)</f>
        <v>64</v>
      </c>
      <c r="F10041" s="19" t="str">
        <f>IFERROR(__xludf.DUMMYFUNCTION("""COMPUTED_VALUE"""),"BLUE")</f>
        <v>BLUE</v>
      </c>
      <c r="G10041" s="20" t="str">
        <f>IFERROR(__xludf.DUMMYFUNCTION("""COMPUTED_VALUE"""),"Uncle Sams Cider (04/04/2023)")</f>
        <v>Uncle Sams Cider (04/04/2023)</v>
      </c>
      <c r="H10041" s="19"/>
    </row>
    <row r="10042">
      <c r="A10042" s="9"/>
      <c r="B10042" s="15"/>
      <c r="C10042" s="9">
        <f>IFERROR(__xludf.DUMMYFUNCTION("""COMPUTED_VALUE"""),45038.6016438078)</f>
        <v>45038.60164</v>
      </c>
      <c r="D10042" s="15">
        <f>IFERROR(__xludf.DUMMYFUNCTION("""COMPUTED_VALUE"""),1.039)</f>
        <v>1.039</v>
      </c>
      <c r="E10042" s="16">
        <f>IFERROR(__xludf.DUMMYFUNCTION("""COMPUTED_VALUE"""),64.0)</f>
        <v>64</v>
      </c>
      <c r="F10042" s="19" t="str">
        <f>IFERROR(__xludf.DUMMYFUNCTION("""COMPUTED_VALUE"""),"BLUE")</f>
        <v>BLUE</v>
      </c>
      <c r="G10042" s="20" t="str">
        <f>IFERROR(__xludf.DUMMYFUNCTION("""COMPUTED_VALUE"""),"Uncle Sams Cider (04/04/2023)")</f>
        <v>Uncle Sams Cider (04/04/2023)</v>
      </c>
      <c r="H10042" s="19"/>
    </row>
    <row r="10043">
      <c r="A10043" s="9"/>
      <c r="B10043" s="15"/>
      <c r="C10043" s="9">
        <f>IFERROR(__xludf.DUMMYFUNCTION("""COMPUTED_VALUE"""),45038.5912226041)</f>
        <v>45038.59122</v>
      </c>
      <c r="D10043" s="15">
        <f>IFERROR(__xludf.DUMMYFUNCTION("""COMPUTED_VALUE"""),1.039)</f>
        <v>1.039</v>
      </c>
      <c r="E10043" s="16">
        <f>IFERROR(__xludf.DUMMYFUNCTION("""COMPUTED_VALUE"""),64.0)</f>
        <v>64</v>
      </c>
      <c r="F10043" s="19" t="str">
        <f>IFERROR(__xludf.DUMMYFUNCTION("""COMPUTED_VALUE"""),"BLUE")</f>
        <v>BLUE</v>
      </c>
      <c r="G10043" s="20" t="str">
        <f>IFERROR(__xludf.DUMMYFUNCTION("""COMPUTED_VALUE"""),"Uncle Sams Cider (04/04/2023)")</f>
        <v>Uncle Sams Cider (04/04/2023)</v>
      </c>
      <c r="H10043" s="19"/>
    </row>
    <row r="10044">
      <c r="A10044" s="9"/>
      <c r="B10044" s="15"/>
      <c r="C10044" s="9">
        <f>IFERROR(__xludf.DUMMYFUNCTION("""COMPUTED_VALUE"""),45038.580788206)</f>
        <v>45038.58079</v>
      </c>
      <c r="D10044" s="15">
        <f>IFERROR(__xludf.DUMMYFUNCTION("""COMPUTED_VALUE"""),1.039)</f>
        <v>1.039</v>
      </c>
      <c r="E10044" s="16">
        <f>IFERROR(__xludf.DUMMYFUNCTION("""COMPUTED_VALUE"""),64.0)</f>
        <v>64</v>
      </c>
      <c r="F10044" s="19" t="str">
        <f>IFERROR(__xludf.DUMMYFUNCTION("""COMPUTED_VALUE"""),"BLUE")</f>
        <v>BLUE</v>
      </c>
      <c r="G10044" s="20" t="str">
        <f>IFERROR(__xludf.DUMMYFUNCTION("""COMPUTED_VALUE"""),"Uncle Sams Cider (04/04/2023)")</f>
        <v>Uncle Sams Cider (04/04/2023)</v>
      </c>
      <c r="H10044" s="19"/>
    </row>
    <row r="10045">
      <c r="A10045" s="9"/>
      <c r="B10045" s="15"/>
      <c r="C10045" s="9">
        <f>IFERROR(__xludf.DUMMYFUNCTION("""COMPUTED_VALUE"""),45038.5703648032)</f>
        <v>45038.57036</v>
      </c>
      <c r="D10045" s="15">
        <f>IFERROR(__xludf.DUMMYFUNCTION("""COMPUTED_VALUE"""),1.039)</f>
        <v>1.039</v>
      </c>
      <c r="E10045" s="16">
        <f>IFERROR(__xludf.DUMMYFUNCTION("""COMPUTED_VALUE"""),64.0)</f>
        <v>64</v>
      </c>
      <c r="F10045" s="19" t="str">
        <f>IFERROR(__xludf.DUMMYFUNCTION("""COMPUTED_VALUE"""),"BLUE")</f>
        <v>BLUE</v>
      </c>
      <c r="G10045" s="20" t="str">
        <f>IFERROR(__xludf.DUMMYFUNCTION("""COMPUTED_VALUE"""),"Uncle Sams Cider (04/04/2023)")</f>
        <v>Uncle Sams Cider (04/04/2023)</v>
      </c>
      <c r="H10045" s="19"/>
    </row>
    <row r="10046">
      <c r="A10046" s="9"/>
      <c r="B10046" s="15"/>
      <c r="C10046" s="9">
        <f>IFERROR(__xludf.DUMMYFUNCTION("""COMPUTED_VALUE"""),45038.5599435879)</f>
        <v>45038.55994</v>
      </c>
      <c r="D10046" s="15">
        <f>IFERROR(__xludf.DUMMYFUNCTION("""COMPUTED_VALUE"""),1.039)</f>
        <v>1.039</v>
      </c>
      <c r="E10046" s="16">
        <f>IFERROR(__xludf.DUMMYFUNCTION("""COMPUTED_VALUE"""),64.0)</f>
        <v>64</v>
      </c>
      <c r="F10046" s="19" t="str">
        <f>IFERROR(__xludf.DUMMYFUNCTION("""COMPUTED_VALUE"""),"BLUE")</f>
        <v>BLUE</v>
      </c>
      <c r="G10046" s="20" t="str">
        <f>IFERROR(__xludf.DUMMYFUNCTION("""COMPUTED_VALUE"""),"Uncle Sams Cider (04/04/2023)")</f>
        <v>Uncle Sams Cider (04/04/2023)</v>
      </c>
      <c r="H10046" s="19"/>
    </row>
    <row r="10047">
      <c r="A10047" s="9"/>
      <c r="B10047" s="15"/>
      <c r="C10047" s="9">
        <f>IFERROR(__xludf.DUMMYFUNCTION("""COMPUTED_VALUE"""),45038.5495242476)</f>
        <v>45038.54952</v>
      </c>
      <c r="D10047" s="15">
        <f>IFERROR(__xludf.DUMMYFUNCTION("""COMPUTED_VALUE"""),1.039)</f>
        <v>1.039</v>
      </c>
      <c r="E10047" s="16">
        <f>IFERROR(__xludf.DUMMYFUNCTION("""COMPUTED_VALUE"""),64.0)</f>
        <v>64</v>
      </c>
      <c r="F10047" s="19" t="str">
        <f>IFERROR(__xludf.DUMMYFUNCTION("""COMPUTED_VALUE"""),"BLUE")</f>
        <v>BLUE</v>
      </c>
      <c r="G10047" s="20" t="str">
        <f>IFERROR(__xludf.DUMMYFUNCTION("""COMPUTED_VALUE"""),"Uncle Sams Cider (04/04/2023)")</f>
        <v>Uncle Sams Cider (04/04/2023)</v>
      </c>
      <c r="H10047" s="19"/>
    </row>
    <row r="10048">
      <c r="A10048" s="9"/>
      <c r="B10048" s="15"/>
      <c r="C10048" s="9">
        <f>IFERROR(__xludf.DUMMYFUNCTION("""COMPUTED_VALUE"""),45038.5391029745)</f>
        <v>45038.5391</v>
      </c>
      <c r="D10048" s="15">
        <f>IFERROR(__xludf.DUMMYFUNCTION("""COMPUTED_VALUE"""),1.039)</f>
        <v>1.039</v>
      </c>
      <c r="E10048" s="16">
        <f>IFERROR(__xludf.DUMMYFUNCTION("""COMPUTED_VALUE"""),64.0)</f>
        <v>64</v>
      </c>
      <c r="F10048" s="19" t="str">
        <f>IFERROR(__xludf.DUMMYFUNCTION("""COMPUTED_VALUE"""),"BLUE")</f>
        <v>BLUE</v>
      </c>
      <c r="G10048" s="20" t="str">
        <f>IFERROR(__xludf.DUMMYFUNCTION("""COMPUTED_VALUE"""),"Uncle Sams Cider (04/04/2023)")</f>
        <v>Uncle Sams Cider (04/04/2023)</v>
      </c>
      <c r="H10048" s="19"/>
    </row>
    <row r="10049">
      <c r="A10049" s="9"/>
      <c r="B10049" s="15"/>
      <c r="C10049" s="9">
        <f>IFERROR(__xludf.DUMMYFUNCTION("""COMPUTED_VALUE"""),45038.5286818865)</f>
        <v>45038.52868</v>
      </c>
      <c r="D10049" s="15">
        <f>IFERROR(__xludf.DUMMYFUNCTION("""COMPUTED_VALUE"""),1.039)</f>
        <v>1.039</v>
      </c>
      <c r="E10049" s="16">
        <f>IFERROR(__xludf.DUMMYFUNCTION("""COMPUTED_VALUE"""),64.0)</f>
        <v>64</v>
      </c>
      <c r="F10049" s="19" t="str">
        <f>IFERROR(__xludf.DUMMYFUNCTION("""COMPUTED_VALUE"""),"BLUE")</f>
        <v>BLUE</v>
      </c>
      <c r="G10049" s="20" t="str">
        <f>IFERROR(__xludf.DUMMYFUNCTION("""COMPUTED_VALUE"""),"Uncle Sams Cider (04/04/2023)")</f>
        <v>Uncle Sams Cider (04/04/2023)</v>
      </c>
      <c r="H10049" s="19"/>
    </row>
    <row r="10050">
      <c r="A10050" s="9"/>
      <c r="B10050" s="15"/>
      <c r="C10050" s="9">
        <f>IFERROR(__xludf.DUMMYFUNCTION("""COMPUTED_VALUE"""),45038.5182615277)</f>
        <v>45038.51826</v>
      </c>
      <c r="D10050" s="15">
        <f>IFERROR(__xludf.DUMMYFUNCTION("""COMPUTED_VALUE"""),1.039)</f>
        <v>1.039</v>
      </c>
      <c r="E10050" s="16">
        <f>IFERROR(__xludf.DUMMYFUNCTION("""COMPUTED_VALUE"""),64.0)</f>
        <v>64</v>
      </c>
      <c r="F10050" s="19" t="str">
        <f>IFERROR(__xludf.DUMMYFUNCTION("""COMPUTED_VALUE"""),"BLUE")</f>
        <v>BLUE</v>
      </c>
      <c r="G10050" s="20" t="str">
        <f>IFERROR(__xludf.DUMMYFUNCTION("""COMPUTED_VALUE"""),"Uncle Sams Cider (04/04/2023)")</f>
        <v>Uncle Sams Cider (04/04/2023)</v>
      </c>
      <c r="H10050" s="19"/>
    </row>
    <row r="10051">
      <c r="A10051" s="9"/>
      <c r="B10051" s="15"/>
      <c r="C10051" s="9">
        <f>IFERROR(__xludf.DUMMYFUNCTION("""COMPUTED_VALUE"""),45038.5078399305)</f>
        <v>45038.50784</v>
      </c>
      <c r="D10051" s="15">
        <f>IFERROR(__xludf.DUMMYFUNCTION("""COMPUTED_VALUE"""),1.039)</f>
        <v>1.039</v>
      </c>
      <c r="E10051" s="16">
        <f>IFERROR(__xludf.DUMMYFUNCTION("""COMPUTED_VALUE"""),64.0)</f>
        <v>64</v>
      </c>
      <c r="F10051" s="19" t="str">
        <f>IFERROR(__xludf.DUMMYFUNCTION("""COMPUTED_VALUE"""),"BLUE")</f>
        <v>BLUE</v>
      </c>
      <c r="G10051" s="20" t="str">
        <f>IFERROR(__xludf.DUMMYFUNCTION("""COMPUTED_VALUE"""),"Uncle Sams Cider (04/04/2023)")</f>
        <v>Uncle Sams Cider (04/04/2023)</v>
      </c>
      <c r="H10051" s="19"/>
    </row>
    <row r="10052">
      <c r="A10052" s="9"/>
      <c r="B10052" s="15"/>
      <c r="C10052" s="9">
        <f>IFERROR(__xludf.DUMMYFUNCTION("""COMPUTED_VALUE"""),45038.497418287)</f>
        <v>45038.49742</v>
      </c>
      <c r="D10052" s="15">
        <f>IFERROR(__xludf.DUMMYFUNCTION("""COMPUTED_VALUE"""),1.039)</f>
        <v>1.039</v>
      </c>
      <c r="E10052" s="16">
        <f>IFERROR(__xludf.DUMMYFUNCTION("""COMPUTED_VALUE"""),64.0)</f>
        <v>64</v>
      </c>
      <c r="F10052" s="19" t="str">
        <f>IFERROR(__xludf.DUMMYFUNCTION("""COMPUTED_VALUE"""),"BLUE")</f>
        <v>BLUE</v>
      </c>
      <c r="G10052" s="20" t="str">
        <f>IFERROR(__xludf.DUMMYFUNCTION("""COMPUTED_VALUE"""),"Uncle Sams Cider (04/04/2023)")</f>
        <v>Uncle Sams Cider (04/04/2023)</v>
      </c>
      <c r="H10052" s="19"/>
    </row>
    <row r="10053">
      <c r="A10053" s="9"/>
      <c r="B10053" s="15"/>
      <c r="C10053" s="9">
        <f>IFERROR(__xludf.DUMMYFUNCTION("""COMPUTED_VALUE"""),45038.4869983333)</f>
        <v>45038.487</v>
      </c>
      <c r="D10053" s="15">
        <f>IFERROR(__xludf.DUMMYFUNCTION("""COMPUTED_VALUE"""),1.039)</f>
        <v>1.039</v>
      </c>
      <c r="E10053" s="16">
        <f>IFERROR(__xludf.DUMMYFUNCTION("""COMPUTED_VALUE"""),64.0)</f>
        <v>64</v>
      </c>
      <c r="F10053" s="19" t="str">
        <f>IFERROR(__xludf.DUMMYFUNCTION("""COMPUTED_VALUE"""),"BLUE")</f>
        <v>BLUE</v>
      </c>
      <c r="G10053" s="20" t="str">
        <f>IFERROR(__xludf.DUMMYFUNCTION("""COMPUTED_VALUE"""),"Uncle Sams Cider (04/04/2023)")</f>
        <v>Uncle Sams Cider (04/04/2023)</v>
      </c>
      <c r="H10053" s="19"/>
    </row>
    <row r="10054">
      <c r="A10054" s="9"/>
      <c r="B10054" s="15"/>
      <c r="C10054" s="9">
        <f>IFERROR(__xludf.DUMMYFUNCTION("""COMPUTED_VALUE"""),45038.4765764004)</f>
        <v>45038.47658</v>
      </c>
      <c r="D10054" s="15">
        <f>IFERROR(__xludf.DUMMYFUNCTION("""COMPUTED_VALUE"""),1.039)</f>
        <v>1.039</v>
      </c>
      <c r="E10054" s="16">
        <f>IFERROR(__xludf.DUMMYFUNCTION("""COMPUTED_VALUE"""),64.0)</f>
        <v>64</v>
      </c>
      <c r="F10054" s="19" t="str">
        <f>IFERROR(__xludf.DUMMYFUNCTION("""COMPUTED_VALUE"""),"BLUE")</f>
        <v>BLUE</v>
      </c>
      <c r="G10054" s="20" t="str">
        <f>IFERROR(__xludf.DUMMYFUNCTION("""COMPUTED_VALUE"""),"Uncle Sams Cider (04/04/2023)")</f>
        <v>Uncle Sams Cider (04/04/2023)</v>
      </c>
      <c r="H10054" s="19"/>
    </row>
    <row r="10055">
      <c r="A10055" s="9"/>
      <c r="B10055" s="15"/>
      <c r="C10055" s="9">
        <f>IFERROR(__xludf.DUMMYFUNCTION("""COMPUTED_VALUE"""),45038.4661555787)</f>
        <v>45038.46616</v>
      </c>
      <c r="D10055" s="15">
        <f>IFERROR(__xludf.DUMMYFUNCTION("""COMPUTED_VALUE"""),1.039)</f>
        <v>1.039</v>
      </c>
      <c r="E10055" s="16">
        <f>IFERROR(__xludf.DUMMYFUNCTION("""COMPUTED_VALUE"""),64.0)</f>
        <v>64</v>
      </c>
      <c r="F10055" s="19" t="str">
        <f>IFERROR(__xludf.DUMMYFUNCTION("""COMPUTED_VALUE"""),"BLUE")</f>
        <v>BLUE</v>
      </c>
      <c r="G10055" s="20" t="str">
        <f>IFERROR(__xludf.DUMMYFUNCTION("""COMPUTED_VALUE"""),"Uncle Sams Cider (04/04/2023)")</f>
        <v>Uncle Sams Cider (04/04/2023)</v>
      </c>
      <c r="H10055" s="19"/>
    </row>
    <row r="10056">
      <c r="A10056" s="9"/>
      <c r="B10056" s="15"/>
      <c r="C10056" s="9">
        <f>IFERROR(__xludf.DUMMYFUNCTION("""COMPUTED_VALUE"""),45038.4557341088)</f>
        <v>45038.45573</v>
      </c>
      <c r="D10056" s="15">
        <f>IFERROR(__xludf.DUMMYFUNCTION("""COMPUTED_VALUE"""),1.039)</f>
        <v>1.039</v>
      </c>
      <c r="E10056" s="16">
        <f>IFERROR(__xludf.DUMMYFUNCTION("""COMPUTED_VALUE"""),64.0)</f>
        <v>64</v>
      </c>
      <c r="F10056" s="19" t="str">
        <f>IFERROR(__xludf.DUMMYFUNCTION("""COMPUTED_VALUE"""),"BLUE")</f>
        <v>BLUE</v>
      </c>
      <c r="G10056" s="20" t="str">
        <f>IFERROR(__xludf.DUMMYFUNCTION("""COMPUTED_VALUE"""),"Uncle Sams Cider (04/04/2023)")</f>
        <v>Uncle Sams Cider (04/04/2023)</v>
      </c>
      <c r="H10056" s="19"/>
    </row>
    <row r="10057">
      <c r="A10057" s="9"/>
      <c r="B10057" s="15"/>
      <c r="C10057" s="9">
        <f>IFERROR(__xludf.DUMMYFUNCTION("""COMPUTED_VALUE"""),45038.4453149421)</f>
        <v>45038.44531</v>
      </c>
      <c r="D10057" s="15">
        <f>IFERROR(__xludf.DUMMYFUNCTION("""COMPUTED_VALUE"""),1.039)</f>
        <v>1.039</v>
      </c>
      <c r="E10057" s="16">
        <f>IFERROR(__xludf.DUMMYFUNCTION("""COMPUTED_VALUE"""),64.0)</f>
        <v>64</v>
      </c>
      <c r="F10057" s="19" t="str">
        <f>IFERROR(__xludf.DUMMYFUNCTION("""COMPUTED_VALUE"""),"BLUE")</f>
        <v>BLUE</v>
      </c>
      <c r="G10057" s="20" t="str">
        <f>IFERROR(__xludf.DUMMYFUNCTION("""COMPUTED_VALUE"""),"Uncle Sams Cider (04/04/2023)")</f>
        <v>Uncle Sams Cider (04/04/2023)</v>
      </c>
      <c r="H10057" s="19"/>
    </row>
    <row r="10058">
      <c r="A10058" s="9"/>
      <c r="B10058" s="15"/>
      <c r="C10058" s="9">
        <f>IFERROR(__xludf.DUMMYFUNCTION("""COMPUTED_VALUE"""),45038.4348950347)</f>
        <v>45038.4349</v>
      </c>
      <c r="D10058" s="15">
        <f>IFERROR(__xludf.DUMMYFUNCTION("""COMPUTED_VALUE"""),1.039)</f>
        <v>1.039</v>
      </c>
      <c r="E10058" s="16">
        <f>IFERROR(__xludf.DUMMYFUNCTION("""COMPUTED_VALUE"""),64.0)</f>
        <v>64</v>
      </c>
      <c r="F10058" s="19" t="str">
        <f>IFERROR(__xludf.DUMMYFUNCTION("""COMPUTED_VALUE"""),"BLUE")</f>
        <v>BLUE</v>
      </c>
      <c r="G10058" s="20" t="str">
        <f>IFERROR(__xludf.DUMMYFUNCTION("""COMPUTED_VALUE"""),"Uncle Sams Cider (04/04/2023)")</f>
        <v>Uncle Sams Cider (04/04/2023)</v>
      </c>
      <c r="H10058" s="19"/>
    </row>
    <row r="10059">
      <c r="A10059" s="9"/>
      <c r="B10059" s="15"/>
      <c r="C10059" s="9">
        <f>IFERROR(__xludf.DUMMYFUNCTION("""COMPUTED_VALUE"""),45038.4244728935)</f>
        <v>45038.42447</v>
      </c>
      <c r="D10059" s="15">
        <f>IFERROR(__xludf.DUMMYFUNCTION("""COMPUTED_VALUE"""),1.039)</f>
        <v>1.039</v>
      </c>
      <c r="E10059" s="16">
        <f>IFERROR(__xludf.DUMMYFUNCTION("""COMPUTED_VALUE"""),64.0)</f>
        <v>64</v>
      </c>
      <c r="F10059" s="19" t="str">
        <f>IFERROR(__xludf.DUMMYFUNCTION("""COMPUTED_VALUE"""),"BLUE")</f>
        <v>BLUE</v>
      </c>
      <c r="G10059" s="20" t="str">
        <f>IFERROR(__xludf.DUMMYFUNCTION("""COMPUTED_VALUE"""),"Uncle Sams Cider (04/04/2023)")</f>
        <v>Uncle Sams Cider (04/04/2023)</v>
      </c>
      <c r="H10059" s="19"/>
    </row>
    <row r="10060">
      <c r="A10060" s="9"/>
      <c r="B10060" s="15"/>
      <c r="C10060" s="9">
        <f>IFERROR(__xludf.DUMMYFUNCTION("""COMPUTED_VALUE"""),45038.4140399305)</f>
        <v>45038.41404</v>
      </c>
      <c r="D10060" s="15">
        <f>IFERROR(__xludf.DUMMYFUNCTION("""COMPUTED_VALUE"""),1.039)</f>
        <v>1.039</v>
      </c>
      <c r="E10060" s="16">
        <f>IFERROR(__xludf.DUMMYFUNCTION("""COMPUTED_VALUE"""),64.0)</f>
        <v>64</v>
      </c>
      <c r="F10060" s="19" t="str">
        <f>IFERROR(__xludf.DUMMYFUNCTION("""COMPUTED_VALUE"""),"BLUE")</f>
        <v>BLUE</v>
      </c>
      <c r="G10060" s="20" t="str">
        <f>IFERROR(__xludf.DUMMYFUNCTION("""COMPUTED_VALUE"""),"Uncle Sams Cider (04/04/2023)")</f>
        <v>Uncle Sams Cider (04/04/2023)</v>
      </c>
      <c r="H10060" s="19"/>
    </row>
    <row r="10061">
      <c r="A10061" s="9"/>
      <c r="B10061" s="15"/>
      <c r="C10061" s="9">
        <f>IFERROR(__xludf.DUMMYFUNCTION("""COMPUTED_VALUE"""),45038.4036203588)</f>
        <v>45038.40362</v>
      </c>
      <c r="D10061" s="15">
        <f>IFERROR(__xludf.DUMMYFUNCTION("""COMPUTED_VALUE"""),1.039)</f>
        <v>1.039</v>
      </c>
      <c r="E10061" s="16">
        <f>IFERROR(__xludf.DUMMYFUNCTION("""COMPUTED_VALUE"""),64.0)</f>
        <v>64</v>
      </c>
      <c r="F10061" s="19" t="str">
        <f>IFERROR(__xludf.DUMMYFUNCTION("""COMPUTED_VALUE"""),"BLUE")</f>
        <v>BLUE</v>
      </c>
      <c r="G10061" s="20" t="str">
        <f>IFERROR(__xludf.DUMMYFUNCTION("""COMPUTED_VALUE"""),"Uncle Sams Cider (04/04/2023)")</f>
        <v>Uncle Sams Cider (04/04/2023)</v>
      </c>
      <c r="H10061" s="19"/>
    </row>
    <row r="10062">
      <c r="A10062" s="9"/>
      <c r="B10062" s="15"/>
      <c r="C10062" s="9">
        <f>IFERROR(__xludf.DUMMYFUNCTION("""COMPUTED_VALUE"""),45038.3931994907)</f>
        <v>45038.3932</v>
      </c>
      <c r="D10062" s="15">
        <f>IFERROR(__xludf.DUMMYFUNCTION("""COMPUTED_VALUE"""),1.039)</f>
        <v>1.039</v>
      </c>
      <c r="E10062" s="16">
        <f>IFERROR(__xludf.DUMMYFUNCTION("""COMPUTED_VALUE"""),64.0)</f>
        <v>64</v>
      </c>
      <c r="F10062" s="19" t="str">
        <f>IFERROR(__xludf.DUMMYFUNCTION("""COMPUTED_VALUE"""),"BLUE")</f>
        <v>BLUE</v>
      </c>
      <c r="G10062" s="20" t="str">
        <f>IFERROR(__xludf.DUMMYFUNCTION("""COMPUTED_VALUE"""),"Uncle Sams Cider (04/04/2023)")</f>
        <v>Uncle Sams Cider (04/04/2023)</v>
      </c>
      <c r="H10062" s="19"/>
    </row>
    <row r="10063">
      <c r="A10063" s="9"/>
      <c r="B10063" s="15"/>
      <c r="C10063" s="9">
        <f>IFERROR(__xludf.DUMMYFUNCTION("""COMPUTED_VALUE"""),45038.3827776041)</f>
        <v>45038.38278</v>
      </c>
      <c r="D10063" s="15">
        <f>IFERROR(__xludf.DUMMYFUNCTION("""COMPUTED_VALUE"""),1.039)</f>
        <v>1.039</v>
      </c>
      <c r="E10063" s="16">
        <f>IFERROR(__xludf.DUMMYFUNCTION("""COMPUTED_VALUE"""),64.0)</f>
        <v>64</v>
      </c>
      <c r="F10063" s="19" t="str">
        <f>IFERROR(__xludf.DUMMYFUNCTION("""COMPUTED_VALUE"""),"BLUE")</f>
        <v>BLUE</v>
      </c>
      <c r="G10063" s="20" t="str">
        <f>IFERROR(__xludf.DUMMYFUNCTION("""COMPUTED_VALUE"""),"Uncle Sams Cider (04/04/2023)")</f>
        <v>Uncle Sams Cider (04/04/2023)</v>
      </c>
      <c r="H10063" s="19"/>
    </row>
    <row r="10064">
      <c r="A10064" s="9"/>
      <c r="B10064" s="15"/>
      <c r="C10064" s="9">
        <f>IFERROR(__xludf.DUMMYFUNCTION("""COMPUTED_VALUE"""),45038.3723554629)</f>
        <v>45038.37236</v>
      </c>
      <c r="D10064" s="15">
        <f>IFERROR(__xludf.DUMMYFUNCTION("""COMPUTED_VALUE"""),1.039)</f>
        <v>1.039</v>
      </c>
      <c r="E10064" s="16">
        <f>IFERROR(__xludf.DUMMYFUNCTION("""COMPUTED_VALUE"""),64.0)</f>
        <v>64</v>
      </c>
      <c r="F10064" s="19" t="str">
        <f>IFERROR(__xludf.DUMMYFUNCTION("""COMPUTED_VALUE"""),"BLUE")</f>
        <v>BLUE</v>
      </c>
      <c r="G10064" s="20" t="str">
        <f>IFERROR(__xludf.DUMMYFUNCTION("""COMPUTED_VALUE"""),"Uncle Sams Cider (04/04/2023)")</f>
        <v>Uncle Sams Cider (04/04/2023)</v>
      </c>
      <c r="H10064" s="19"/>
    </row>
    <row r="10065">
      <c r="A10065" s="9"/>
      <c r="B10065" s="15"/>
      <c r="C10065" s="9">
        <f>IFERROR(__xludf.DUMMYFUNCTION("""COMPUTED_VALUE"""),45038.361936655)</f>
        <v>45038.36194</v>
      </c>
      <c r="D10065" s="15">
        <f>IFERROR(__xludf.DUMMYFUNCTION("""COMPUTED_VALUE"""),1.039)</f>
        <v>1.039</v>
      </c>
      <c r="E10065" s="16">
        <f>IFERROR(__xludf.DUMMYFUNCTION("""COMPUTED_VALUE"""),64.0)</f>
        <v>64</v>
      </c>
      <c r="F10065" s="19" t="str">
        <f>IFERROR(__xludf.DUMMYFUNCTION("""COMPUTED_VALUE"""),"BLUE")</f>
        <v>BLUE</v>
      </c>
      <c r="G10065" s="20" t="str">
        <f>IFERROR(__xludf.DUMMYFUNCTION("""COMPUTED_VALUE"""),"Uncle Sams Cider (04/04/2023)")</f>
        <v>Uncle Sams Cider (04/04/2023)</v>
      </c>
      <c r="H10065" s="19"/>
    </row>
    <row r="10066">
      <c r="A10066" s="9"/>
      <c r="B10066" s="15"/>
      <c r="C10066" s="9">
        <f>IFERROR(__xludf.DUMMYFUNCTION("""COMPUTED_VALUE"""),45038.3515157175)</f>
        <v>45038.35152</v>
      </c>
      <c r="D10066" s="15">
        <f>IFERROR(__xludf.DUMMYFUNCTION("""COMPUTED_VALUE"""),1.039)</f>
        <v>1.039</v>
      </c>
      <c r="E10066" s="16">
        <f>IFERROR(__xludf.DUMMYFUNCTION("""COMPUTED_VALUE"""),64.0)</f>
        <v>64</v>
      </c>
      <c r="F10066" s="19" t="str">
        <f>IFERROR(__xludf.DUMMYFUNCTION("""COMPUTED_VALUE"""),"BLUE")</f>
        <v>BLUE</v>
      </c>
      <c r="G10066" s="20" t="str">
        <f>IFERROR(__xludf.DUMMYFUNCTION("""COMPUTED_VALUE"""),"Uncle Sams Cider (04/04/2023)")</f>
        <v>Uncle Sams Cider (04/04/2023)</v>
      </c>
      <c r="H10066" s="19"/>
    </row>
    <row r="10067">
      <c r="A10067" s="9"/>
      <c r="B10067" s="15"/>
      <c r="C10067" s="9">
        <f>IFERROR(__xludf.DUMMYFUNCTION("""COMPUTED_VALUE"""),45038.3410939236)</f>
        <v>45038.34109</v>
      </c>
      <c r="D10067" s="15">
        <f>IFERROR(__xludf.DUMMYFUNCTION("""COMPUTED_VALUE"""),1.039)</f>
        <v>1.039</v>
      </c>
      <c r="E10067" s="16">
        <f>IFERROR(__xludf.DUMMYFUNCTION("""COMPUTED_VALUE"""),64.0)</f>
        <v>64</v>
      </c>
      <c r="F10067" s="19" t="str">
        <f>IFERROR(__xludf.DUMMYFUNCTION("""COMPUTED_VALUE"""),"BLUE")</f>
        <v>BLUE</v>
      </c>
      <c r="G10067" s="20" t="str">
        <f>IFERROR(__xludf.DUMMYFUNCTION("""COMPUTED_VALUE"""),"Uncle Sams Cider (04/04/2023)")</f>
        <v>Uncle Sams Cider (04/04/2023)</v>
      </c>
      <c r="H10067" s="19"/>
    </row>
    <row r="10068">
      <c r="A10068" s="9"/>
      <c r="B10068" s="15"/>
      <c r="C10068" s="9">
        <f>IFERROR(__xludf.DUMMYFUNCTION("""COMPUTED_VALUE"""),45038.330661412)</f>
        <v>45038.33066</v>
      </c>
      <c r="D10068" s="15">
        <f>IFERROR(__xludf.DUMMYFUNCTION("""COMPUTED_VALUE"""),1.039)</f>
        <v>1.039</v>
      </c>
      <c r="E10068" s="16">
        <f>IFERROR(__xludf.DUMMYFUNCTION("""COMPUTED_VALUE"""),64.0)</f>
        <v>64</v>
      </c>
      <c r="F10068" s="19" t="str">
        <f>IFERROR(__xludf.DUMMYFUNCTION("""COMPUTED_VALUE"""),"BLUE")</f>
        <v>BLUE</v>
      </c>
      <c r="G10068" s="20" t="str">
        <f>IFERROR(__xludf.DUMMYFUNCTION("""COMPUTED_VALUE"""),"Uncle Sams Cider (04/04/2023)")</f>
        <v>Uncle Sams Cider (04/04/2023)</v>
      </c>
      <c r="H10068" s="19"/>
    </row>
    <row r="10069">
      <c r="A10069" s="9"/>
      <c r="B10069" s="15"/>
      <c r="C10069" s="9">
        <f>IFERROR(__xludf.DUMMYFUNCTION("""COMPUTED_VALUE"""),45038.3202399074)</f>
        <v>45038.32024</v>
      </c>
      <c r="D10069" s="15">
        <f>IFERROR(__xludf.DUMMYFUNCTION("""COMPUTED_VALUE"""),1.039)</f>
        <v>1.039</v>
      </c>
      <c r="E10069" s="16">
        <f>IFERROR(__xludf.DUMMYFUNCTION("""COMPUTED_VALUE"""),64.0)</f>
        <v>64</v>
      </c>
      <c r="F10069" s="19" t="str">
        <f>IFERROR(__xludf.DUMMYFUNCTION("""COMPUTED_VALUE"""),"BLUE")</f>
        <v>BLUE</v>
      </c>
      <c r="G10069" s="20" t="str">
        <f>IFERROR(__xludf.DUMMYFUNCTION("""COMPUTED_VALUE"""),"Uncle Sams Cider (04/04/2023)")</f>
        <v>Uncle Sams Cider (04/04/2023)</v>
      </c>
      <c r="H10069" s="19"/>
    </row>
    <row r="10070">
      <c r="A10070" s="9"/>
      <c r="B10070" s="15"/>
      <c r="C10070" s="9">
        <f>IFERROR(__xludf.DUMMYFUNCTION("""COMPUTED_VALUE"""),45038.3098163657)</f>
        <v>45038.30982</v>
      </c>
      <c r="D10070" s="15">
        <f>IFERROR(__xludf.DUMMYFUNCTION("""COMPUTED_VALUE"""),1.039)</f>
        <v>1.039</v>
      </c>
      <c r="E10070" s="16">
        <f>IFERROR(__xludf.DUMMYFUNCTION("""COMPUTED_VALUE"""),64.0)</f>
        <v>64</v>
      </c>
      <c r="F10070" s="19" t="str">
        <f>IFERROR(__xludf.DUMMYFUNCTION("""COMPUTED_VALUE"""),"BLUE")</f>
        <v>BLUE</v>
      </c>
      <c r="G10070" s="20" t="str">
        <f>IFERROR(__xludf.DUMMYFUNCTION("""COMPUTED_VALUE"""),"Uncle Sams Cider (04/04/2023)")</f>
        <v>Uncle Sams Cider (04/04/2023)</v>
      </c>
      <c r="H10070" s="19"/>
    </row>
    <row r="10071">
      <c r="A10071" s="9"/>
      <c r="B10071" s="15"/>
      <c r="C10071" s="9">
        <f>IFERROR(__xludf.DUMMYFUNCTION("""COMPUTED_VALUE"""),45038.2993954282)</f>
        <v>45038.2994</v>
      </c>
      <c r="D10071" s="15">
        <f>IFERROR(__xludf.DUMMYFUNCTION("""COMPUTED_VALUE"""),1.039)</f>
        <v>1.039</v>
      </c>
      <c r="E10071" s="16">
        <f>IFERROR(__xludf.DUMMYFUNCTION("""COMPUTED_VALUE"""),64.0)</f>
        <v>64</v>
      </c>
      <c r="F10071" s="19" t="str">
        <f>IFERROR(__xludf.DUMMYFUNCTION("""COMPUTED_VALUE"""),"BLUE")</f>
        <v>BLUE</v>
      </c>
      <c r="G10071" s="20" t="str">
        <f>IFERROR(__xludf.DUMMYFUNCTION("""COMPUTED_VALUE"""),"Uncle Sams Cider (04/04/2023)")</f>
        <v>Uncle Sams Cider (04/04/2023)</v>
      </c>
      <c r="H10071" s="19"/>
    </row>
    <row r="10072">
      <c r="A10072" s="9"/>
      <c r="B10072" s="15"/>
      <c r="C10072" s="9">
        <f>IFERROR(__xludf.DUMMYFUNCTION("""COMPUTED_VALUE"""),45038.2889746759)</f>
        <v>45038.28897</v>
      </c>
      <c r="D10072" s="15">
        <f>IFERROR(__xludf.DUMMYFUNCTION("""COMPUTED_VALUE"""),1.039)</f>
        <v>1.039</v>
      </c>
      <c r="E10072" s="16">
        <f>IFERROR(__xludf.DUMMYFUNCTION("""COMPUTED_VALUE"""),64.0)</f>
        <v>64</v>
      </c>
      <c r="F10072" s="19" t="str">
        <f>IFERROR(__xludf.DUMMYFUNCTION("""COMPUTED_VALUE"""),"BLUE")</f>
        <v>BLUE</v>
      </c>
      <c r="G10072" s="20" t="str">
        <f>IFERROR(__xludf.DUMMYFUNCTION("""COMPUTED_VALUE"""),"Uncle Sams Cider (04/04/2023)")</f>
        <v>Uncle Sams Cider (04/04/2023)</v>
      </c>
      <c r="H10072" s="19"/>
    </row>
    <row r="10073">
      <c r="A10073" s="9"/>
      <c r="B10073" s="15"/>
      <c r="C10073" s="9">
        <f>IFERROR(__xludf.DUMMYFUNCTION("""COMPUTED_VALUE"""),45038.2785523379)</f>
        <v>45038.27855</v>
      </c>
      <c r="D10073" s="15">
        <f>IFERROR(__xludf.DUMMYFUNCTION("""COMPUTED_VALUE"""),1.039)</f>
        <v>1.039</v>
      </c>
      <c r="E10073" s="16">
        <f>IFERROR(__xludf.DUMMYFUNCTION("""COMPUTED_VALUE"""),64.0)</f>
        <v>64</v>
      </c>
      <c r="F10073" s="19" t="str">
        <f>IFERROR(__xludf.DUMMYFUNCTION("""COMPUTED_VALUE"""),"BLUE")</f>
        <v>BLUE</v>
      </c>
      <c r="G10073" s="20" t="str">
        <f>IFERROR(__xludf.DUMMYFUNCTION("""COMPUTED_VALUE"""),"Uncle Sams Cider (04/04/2023)")</f>
        <v>Uncle Sams Cider (04/04/2023)</v>
      </c>
      <c r="H10073" s="19"/>
    </row>
    <row r="10074">
      <c r="A10074" s="9"/>
      <c r="B10074" s="15"/>
      <c r="C10074" s="9">
        <f>IFERROR(__xludf.DUMMYFUNCTION("""COMPUTED_VALUE"""),45038.2681308333)</f>
        <v>45038.26813</v>
      </c>
      <c r="D10074" s="15">
        <f>IFERROR(__xludf.DUMMYFUNCTION("""COMPUTED_VALUE"""),1.039)</f>
        <v>1.039</v>
      </c>
      <c r="E10074" s="16">
        <f>IFERROR(__xludf.DUMMYFUNCTION("""COMPUTED_VALUE"""),64.0)</f>
        <v>64</v>
      </c>
      <c r="F10074" s="19" t="str">
        <f>IFERROR(__xludf.DUMMYFUNCTION("""COMPUTED_VALUE"""),"BLUE")</f>
        <v>BLUE</v>
      </c>
      <c r="G10074" s="20" t="str">
        <f>IFERROR(__xludf.DUMMYFUNCTION("""COMPUTED_VALUE"""),"Uncle Sams Cider (04/04/2023)")</f>
        <v>Uncle Sams Cider (04/04/2023)</v>
      </c>
      <c r="H10074" s="19"/>
    </row>
    <row r="10075">
      <c r="A10075" s="9"/>
      <c r="B10075" s="15"/>
      <c r="C10075" s="9">
        <f>IFERROR(__xludf.DUMMYFUNCTION("""COMPUTED_VALUE"""),45038.257709699)</f>
        <v>45038.25771</v>
      </c>
      <c r="D10075" s="15">
        <f>IFERROR(__xludf.DUMMYFUNCTION("""COMPUTED_VALUE"""),1.039)</f>
        <v>1.039</v>
      </c>
      <c r="E10075" s="16">
        <f>IFERROR(__xludf.DUMMYFUNCTION("""COMPUTED_VALUE"""),64.0)</f>
        <v>64</v>
      </c>
      <c r="F10075" s="19" t="str">
        <f>IFERROR(__xludf.DUMMYFUNCTION("""COMPUTED_VALUE"""),"BLUE")</f>
        <v>BLUE</v>
      </c>
      <c r="G10075" s="20" t="str">
        <f>IFERROR(__xludf.DUMMYFUNCTION("""COMPUTED_VALUE"""),"Uncle Sams Cider (04/04/2023)")</f>
        <v>Uncle Sams Cider (04/04/2023)</v>
      </c>
      <c r="H10075" s="19"/>
    </row>
    <row r="10076">
      <c r="A10076" s="9"/>
      <c r="B10076" s="15"/>
      <c r="C10076" s="9">
        <f>IFERROR(__xludf.DUMMYFUNCTION("""COMPUTED_VALUE"""),45038.2472766319)</f>
        <v>45038.24728</v>
      </c>
      <c r="D10076" s="15">
        <f>IFERROR(__xludf.DUMMYFUNCTION("""COMPUTED_VALUE"""),1.039)</f>
        <v>1.039</v>
      </c>
      <c r="E10076" s="16">
        <f>IFERROR(__xludf.DUMMYFUNCTION("""COMPUTED_VALUE"""),64.0)</f>
        <v>64</v>
      </c>
      <c r="F10076" s="19" t="str">
        <f>IFERROR(__xludf.DUMMYFUNCTION("""COMPUTED_VALUE"""),"BLUE")</f>
        <v>BLUE</v>
      </c>
      <c r="G10076" s="20" t="str">
        <f>IFERROR(__xludf.DUMMYFUNCTION("""COMPUTED_VALUE"""),"Uncle Sams Cider (04/04/2023)")</f>
        <v>Uncle Sams Cider (04/04/2023)</v>
      </c>
      <c r="H10076" s="19"/>
    </row>
    <row r="10077">
      <c r="A10077" s="9"/>
      <c r="B10077" s="15"/>
      <c r="C10077" s="9">
        <f>IFERROR(__xludf.DUMMYFUNCTION("""COMPUTED_VALUE"""),45038.2368545717)</f>
        <v>45038.23685</v>
      </c>
      <c r="D10077" s="15">
        <f>IFERROR(__xludf.DUMMYFUNCTION("""COMPUTED_VALUE"""),1.039)</f>
        <v>1.039</v>
      </c>
      <c r="E10077" s="16">
        <f>IFERROR(__xludf.DUMMYFUNCTION("""COMPUTED_VALUE"""),64.0)</f>
        <v>64</v>
      </c>
      <c r="F10077" s="19" t="str">
        <f>IFERROR(__xludf.DUMMYFUNCTION("""COMPUTED_VALUE"""),"BLUE")</f>
        <v>BLUE</v>
      </c>
      <c r="G10077" s="20" t="str">
        <f>IFERROR(__xludf.DUMMYFUNCTION("""COMPUTED_VALUE"""),"Uncle Sams Cider (04/04/2023)")</f>
        <v>Uncle Sams Cider (04/04/2023)</v>
      </c>
      <c r="H10077" s="19"/>
    </row>
    <row r="10078">
      <c r="A10078" s="9"/>
      <c r="B10078" s="15"/>
      <c r="C10078" s="9">
        <f>IFERROR(__xludf.DUMMYFUNCTION("""COMPUTED_VALUE"""),45038.22643353)</f>
        <v>45038.22643</v>
      </c>
      <c r="D10078" s="15">
        <f>IFERROR(__xludf.DUMMYFUNCTION("""COMPUTED_VALUE"""),1.039)</f>
        <v>1.039</v>
      </c>
      <c r="E10078" s="16">
        <f>IFERROR(__xludf.DUMMYFUNCTION("""COMPUTED_VALUE"""),64.0)</f>
        <v>64</v>
      </c>
      <c r="F10078" s="19" t="str">
        <f>IFERROR(__xludf.DUMMYFUNCTION("""COMPUTED_VALUE"""),"BLUE")</f>
        <v>BLUE</v>
      </c>
      <c r="G10078" s="20" t="str">
        <f>IFERROR(__xludf.DUMMYFUNCTION("""COMPUTED_VALUE"""),"Uncle Sams Cider (04/04/2023)")</f>
        <v>Uncle Sams Cider (04/04/2023)</v>
      </c>
      <c r="H10078" s="19"/>
    </row>
    <row r="10079">
      <c r="A10079" s="9"/>
      <c r="B10079" s="15"/>
      <c r="C10079" s="9">
        <f>IFERROR(__xludf.DUMMYFUNCTION("""COMPUTED_VALUE"""),45038.2159981828)</f>
        <v>45038.216</v>
      </c>
      <c r="D10079" s="15">
        <f>IFERROR(__xludf.DUMMYFUNCTION("""COMPUTED_VALUE"""),1.039)</f>
        <v>1.039</v>
      </c>
      <c r="E10079" s="16">
        <f>IFERROR(__xludf.DUMMYFUNCTION("""COMPUTED_VALUE"""),64.0)</f>
        <v>64</v>
      </c>
      <c r="F10079" s="19" t="str">
        <f>IFERROR(__xludf.DUMMYFUNCTION("""COMPUTED_VALUE"""),"BLUE")</f>
        <v>BLUE</v>
      </c>
      <c r="G10079" s="20" t="str">
        <f>IFERROR(__xludf.DUMMYFUNCTION("""COMPUTED_VALUE"""),"Uncle Sams Cider (04/04/2023)")</f>
        <v>Uncle Sams Cider (04/04/2023)</v>
      </c>
      <c r="H10079" s="19"/>
    </row>
    <row r="10080">
      <c r="A10080" s="9"/>
      <c r="B10080" s="15"/>
      <c r="C10080" s="9">
        <f>IFERROR(__xludf.DUMMYFUNCTION("""COMPUTED_VALUE"""),45038.2055778588)</f>
        <v>45038.20558</v>
      </c>
      <c r="D10080" s="15">
        <f>IFERROR(__xludf.DUMMYFUNCTION("""COMPUTED_VALUE"""),1.039)</f>
        <v>1.039</v>
      </c>
      <c r="E10080" s="16">
        <f>IFERROR(__xludf.DUMMYFUNCTION("""COMPUTED_VALUE"""),64.0)</f>
        <v>64</v>
      </c>
      <c r="F10080" s="19" t="str">
        <f>IFERROR(__xludf.DUMMYFUNCTION("""COMPUTED_VALUE"""),"BLUE")</f>
        <v>BLUE</v>
      </c>
      <c r="G10080" s="20" t="str">
        <f>IFERROR(__xludf.DUMMYFUNCTION("""COMPUTED_VALUE"""),"Uncle Sams Cider (04/04/2023)")</f>
        <v>Uncle Sams Cider (04/04/2023)</v>
      </c>
      <c r="H10080" s="19"/>
    </row>
    <row r="10081">
      <c r="A10081" s="9"/>
      <c r="B10081" s="15"/>
      <c r="C10081" s="9">
        <f>IFERROR(__xludf.DUMMYFUNCTION("""COMPUTED_VALUE"""),45038.1951331944)</f>
        <v>45038.19513</v>
      </c>
      <c r="D10081" s="15">
        <f>IFERROR(__xludf.DUMMYFUNCTION("""COMPUTED_VALUE"""),1.039)</f>
        <v>1.039</v>
      </c>
      <c r="E10081" s="16">
        <f>IFERROR(__xludf.DUMMYFUNCTION("""COMPUTED_VALUE"""),64.0)</f>
        <v>64</v>
      </c>
      <c r="F10081" s="19" t="str">
        <f>IFERROR(__xludf.DUMMYFUNCTION("""COMPUTED_VALUE"""),"BLUE")</f>
        <v>BLUE</v>
      </c>
      <c r="G10081" s="20" t="str">
        <f>IFERROR(__xludf.DUMMYFUNCTION("""COMPUTED_VALUE"""),"Uncle Sams Cider (04/04/2023)")</f>
        <v>Uncle Sams Cider (04/04/2023)</v>
      </c>
      <c r="H10081" s="19"/>
    </row>
    <row r="10082">
      <c r="A10082" s="9"/>
      <c r="B10082" s="15"/>
      <c r="C10082" s="9">
        <f>IFERROR(__xludf.DUMMYFUNCTION("""COMPUTED_VALUE"""),45038.1847095486)</f>
        <v>45038.18471</v>
      </c>
      <c r="D10082" s="15">
        <f>IFERROR(__xludf.DUMMYFUNCTION("""COMPUTED_VALUE"""),1.04)</f>
        <v>1.04</v>
      </c>
      <c r="E10082" s="16">
        <f>IFERROR(__xludf.DUMMYFUNCTION("""COMPUTED_VALUE"""),64.0)</f>
        <v>64</v>
      </c>
      <c r="F10082" s="19" t="str">
        <f>IFERROR(__xludf.DUMMYFUNCTION("""COMPUTED_VALUE"""),"BLUE")</f>
        <v>BLUE</v>
      </c>
      <c r="G10082" s="20" t="str">
        <f>IFERROR(__xludf.DUMMYFUNCTION("""COMPUTED_VALUE"""),"Uncle Sams Cider (04/04/2023)")</f>
        <v>Uncle Sams Cider (04/04/2023)</v>
      </c>
      <c r="H10082" s="19"/>
    </row>
    <row r="10083">
      <c r="A10083" s="9"/>
      <c r="B10083" s="15"/>
      <c r="C10083" s="9">
        <f>IFERROR(__xludf.DUMMYFUNCTION("""COMPUTED_VALUE"""),45038.1742901388)</f>
        <v>45038.17429</v>
      </c>
      <c r="D10083" s="15">
        <f>IFERROR(__xludf.DUMMYFUNCTION("""COMPUTED_VALUE"""),1.04)</f>
        <v>1.04</v>
      </c>
      <c r="E10083" s="16">
        <f>IFERROR(__xludf.DUMMYFUNCTION("""COMPUTED_VALUE"""),64.0)</f>
        <v>64</v>
      </c>
      <c r="F10083" s="19" t="str">
        <f>IFERROR(__xludf.DUMMYFUNCTION("""COMPUTED_VALUE"""),"BLUE")</f>
        <v>BLUE</v>
      </c>
      <c r="G10083" s="20" t="str">
        <f>IFERROR(__xludf.DUMMYFUNCTION("""COMPUTED_VALUE"""),"Uncle Sams Cider (04/04/2023)")</f>
        <v>Uncle Sams Cider (04/04/2023)</v>
      </c>
      <c r="H10083" s="19"/>
    </row>
    <row r="10084">
      <c r="A10084" s="9"/>
      <c r="B10084" s="15"/>
      <c r="C10084" s="9">
        <f>IFERROR(__xludf.DUMMYFUNCTION("""COMPUTED_VALUE"""),45038.1638694907)</f>
        <v>45038.16387</v>
      </c>
      <c r="D10084" s="15">
        <f>IFERROR(__xludf.DUMMYFUNCTION("""COMPUTED_VALUE"""),1.04)</f>
        <v>1.04</v>
      </c>
      <c r="E10084" s="16">
        <f>IFERROR(__xludf.DUMMYFUNCTION("""COMPUTED_VALUE"""),64.0)</f>
        <v>64</v>
      </c>
      <c r="F10084" s="19" t="str">
        <f>IFERROR(__xludf.DUMMYFUNCTION("""COMPUTED_VALUE"""),"BLUE")</f>
        <v>BLUE</v>
      </c>
      <c r="G10084" s="20" t="str">
        <f>IFERROR(__xludf.DUMMYFUNCTION("""COMPUTED_VALUE"""),"Uncle Sams Cider (04/04/2023)")</f>
        <v>Uncle Sams Cider (04/04/2023)</v>
      </c>
      <c r="H10084" s="19"/>
    </row>
    <row r="10085">
      <c r="A10085" s="9"/>
      <c r="B10085" s="15"/>
      <c r="C10085" s="9">
        <f>IFERROR(__xludf.DUMMYFUNCTION("""COMPUTED_VALUE"""),45038.1534477546)</f>
        <v>45038.15345</v>
      </c>
      <c r="D10085" s="15">
        <f>IFERROR(__xludf.DUMMYFUNCTION("""COMPUTED_VALUE"""),1.039)</f>
        <v>1.039</v>
      </c>
      <c r="E10085" s="16">
        <f>IFERROR(__xludf.DUMMYFUNCTION("""COMPUTED_VALUE"""),64.0)</f>
        <v>64</v>
      </c>
      <c r="F10085" s="19" t="str">
        <f>IFERROR(__xludf.DUMMYFUNCTION("""COMPUTED_VALUE"""),"BLUE")</f>
        <v>BLUE</v>
      </c>
      <c r="G10085" s="20" t="str">
        <f>IFERROR(__xludf.DUMMYFUNCTION("""COMPUTED_VALUE"""),"Uncle Sams Cider (04/04/2023)")</f>
        <v>Uncle Sams Cider (04/04/2023)</v>
      </c>
      <c r="H10085" s="19"/>
    </row>
    <row r="10086">
      <c r="A10086" s="9"/>
      <c r="B10086" s="15"/>
      <c r="C10086" s="9">
        <f>IFERROR(__xludf.DUMMYFUNCTION("""COMPUTED_VALUE"""),45038.1430265393)</f>
        <v>45038.14303</v>
      </c>
      <c r="D10086" s="15">
        <f>IFERROR(__xludf.DUMMYFUNCTION("""COMPUTED_VALUE"""),1.04)</f>
        <v>1.04</v>
      </c>
      <c r="E10086" s="16">
        <f>IFERROR(__xludf.DUMMYFUNCTION("""COMPUTED_VALUE"""),64.0)</f>
        <v>64</v>
      </c>
      <c r="F10086" s="19" t="str">
        <f>IFERROR(__xludf.DUMMYFUNCTION("""COMPUTED_VALUE"""),"BLUE")</f>
        <v>BLUE</v>
      </c>
      <c r="G10086" s="20" t="str">
        <f>IFERROR(__xludf.DUMMYFUNCTION("""COMPUTED_VALUE"""),"Uncle Sams Cider (04/04/2023)")</f>
        <v>Uncle Sams Cider (04/04/2023)</v>
      </c>
      <c r="H10086" s="19"/>
    </row>
    <row r="10087">
      <c r="A10087" s="9"/>
      <c r="B10087" s="15"/>
      <c r="C10087" s="9">
        <f>IFERROR(__xludf.DUMMYFUNCTION("""COMPUTED_VALUE"""),45038.1326039236)</f>
        <v>45038.1326</v>
      </c>
      <c r="D10087" s="15">
        <f>IFERROR(__xludf.DUMMYFUNCTION("""COMPUTED_VALUE"""),1.04)</f>
        <v>1.04</v>
      </c>
      <c r="E10087" s="16">
        <f>IFERROR(__xludf.DUMMYFUNCTION("""COMPUTED_VALUE"""),64.0)</f>
        <v>64</v>
      </c>
      <c r="F10087" s="19" t="str">
        <f>IFERROR(__xludf.DUMMYFUNCTION("""COMPUTED_VALUE"""),"BLUE")</f>
        <v>BLUE</v>
      </c>
      <c r="G10087" s="20" t="str">
        <f>IFERROR(__xludf.DUMMYFUNCTION("""COMPUTED_VALUE"""),"Uncle Sams Cider (04/04/2023)")</f>
        <v>Uncle Sams Cider (04/04/2023)</v>
      </c>
      <c r="H10087" s="19"/>
    </row>
    <row r="10088">
      <c r="A10088" s="9"/>
      <c r="B10088" s="15"/>
      <c r="C10088" s="9">
        <f>IFERROR(__xludf.DUMMYFUNCTION("""COMPUTED_VALUE"""),45038.1221834953)</f>
        <v>45038.12218</v>
      </c>
      <c r="D10088" s="15">
        <f>IFERROR(__xludf.DUMMYFUNCTION("""COMPUTED_VALUE"""),1.039)</f>
        <v>1.039</v>
      </c>
      <c r="E10088" s="16">
        <f>IFERROR(__xludf.DUMMYFUNCTION("""COMPUTED_VALUE"""),64.0)</f>
        <v>64</v>
      </c>
      <c r="F10088" s="19" t="str">
        <f>IFERROR(__xludf.DUMMYFUNCTION("""COMPUTED_VALUE"""),"BLUE")</f>
        <v>BLUE</v>
      </c>
      <c r="G10088" s="20" t="str">
        <f>IFERROR(__xludf.DUMMYFUNCTION("""COMPUTED_VALUE"""),"Uncle Sams Cider (04/04/2023)")</f>
        <v>Uncle Sams Cider (04/04/2023)</v>
      </c>
      <c r="H10088" s="19"/>
    </row>
    <row r="10089">
      <c r="A10089" s="9"/>
      <c r="B10089" s="15"/>
      <c r="C10089" s="9">
        <f>IFERROR(__xludf.DUMMYFUNCTION("""COMPUTED_VALUE"""),45038.1117507175)</f>
        <v>45038.11175</v>
      </c>
      <c r="D10089" s="15">
        <f>IFERROR(__xludf.DUMMYFUNCTION("""COMPUTED_VALUE"""),1.04)</f>
        <v>1.04</v>
      </c>
      <c r="E10089" s="16">
        <f>IFERROR(__xludf.DUMMYFUNCTION("""COMPUTED_VALUE"""),64.0)</f>
        <v>64</v>
      </c>
      <c r="F10089" s="19" t="str">
        <f>IFERROR(__xludf.DUMMYFUNCTION("""COMPUTED_VALUE"""),"BLUE")</f>
        <v>BLUE</v>
      </c>
      <c r="G10089" s="20" t="str">
        <f>IFERROR(__xludf.DUMMYFUNCTION("""COMPUTED_VALUE"""),"Uncle Sams Cider (04/04/2023)")</f>
        <v>Uncle Sams Cider (04/04/2023)</v>
      </c>
      <c r="H10089" s="19"/>
    </row>
    <row r="10090">
      <c r="A10090" s="9"/>
      <c r="B10090" s="15"/>
      <c r="C10090" s="9">
        <f>IFERROR(__xludf.DUMMYFUNCTION("""COMPUTED_VALUE"""),45038.1013305208)</f>
        <v>45038.10133</v>
      </c>
      <c r="D10090" s="15">
        <f>IFERROR(__xludf.DUMMYFUNCTION("""COMPUTED_VALUE"""),1.04)</f>
        <v>1.04</v>
      </c>
      <c r="E10090" s="16">
        <f>IFERROR(__xludf.DUMMYFUNCTION("""COMPUTED_VALUE"""),64.0)</f>
        <v>64</v>
      </c>
      <c r="F10090" s="19" t="str">
        <f>IFERROR(__xludf.DUMMYFUNCTION("""COMPUTED_VALUE"""),"BLUE")</f>
        <v>BLUE</v>
      </c>
      <c r="G10090" s="20" t="str">
        <f>IFERROR(__xludf.DUMMYFUNCTION("""COMPUTED_VALUE"""),"Uncle Sams Cider (04/04/2023)")</f>
        <v>Uncle Sams Cider (04/04/2023)</v>
      </c>
      <c r="H10090" s="19"/>
    </row>
    <row r="10091">
      <c r="A10091" s="9"/>
      <c r="B10091" s="15"/>
      <c r="C10091" s="9">
        <f>IFERROR(__xludf.DUMMYFUNCTION("""COMPUTED_VALUE"""),45038.0908970023)</f>
        <v>45038.0909</v>
      </c>
      <c r="D10091" s="15">
        <f>IFERROR(__xludf.DUMMYFUNCTION("""COMPUTED_VALUE"""),1.04)</f>
        <v>1.04</v>
      </c>
      <c r="E10091" s="16">
        <f>IFERROR(__xludf.DUMMYFUNCTION("""COMPUTED_VALUE"""),64.0)</f>
        <v>64</v>
      </c>
      <c r="F10091" s="19" t="str">
        <f>IFERROR(__xludf.DUMMYFUNCTION("""COMPUTED_VALUE"""),"BLUE")</f>
        <v>BLUE</v>
      </c>
      <c r="G10091" s="20" t="str">
        <f>IFERROR(__xludf.DUMMYFUNCTION("""COMPUTED_VALUE"""),"Uncle Sams Cider (04/04/2023)")</f>
        <v>Uncle Sams Cider (04/04/2023)</v>
      </c>
      <c r="H10091" s="19"/>
    </row>
    <row r="10092">
      <c r="A10092" s="9"/>
      <c r="B10092" s="15"/>
      <c r="C10092" s="9">
        <f>IFERROR(__xludf.DUMMYFUNCTION("""COMPUTED_VALUE"""),45038.0804762731)</f>
        <v>45038.08048</v>
      </c>
      <c r="D10092" s="15">
        <f>IFERROR(__xludf.DUMMYFUNCTION("""COMPUTED_VALUE"""),1.04)</f>
        <v>1.04</v>
      </c>
      <c r="E10092" s="16">
        <f>IFERROR(__xludf.DUMMYFUNCTION("""COMPUTED_VALUE"""),64.0)</f>
        <v>64</v>
      </c>
      <c r="F10092" s="19" t="str">
        <f>IFERROR(__xludf.DUMMYFUNCTION("""COMPUTED_VALUE"""),"BLUE")</f>
        <v>BLUE</v>
      </c>
      <c r="G10092" s="20" t="str">
        <f>IFERROR(__xludf.DUMMYFUNCTION("""COMPUTED_VALUE"""),"Uncle Sams Cider (04/04/2023)")</f>
        <v>Uncle Sams Cider (04/04/2023)</v>
      </c>
      <c r="H10092" s="19"/>
    </row>
    <row r="10093">
      <c r="A10093" s="9"/>
      <c r="B10093" s="15"/>
      <c r="C10093" s="9">
        <f>IFERROR(__xludf.DUMMYFUNCTION("""COMPUTED_VALUE"""),45038.0700568402)</f>
        <v>45038.07006</v>
      </c>
      <c r="D10093" s="15">
        <f>IFERROR(__xludf.DUMMYFUNCTION("""COMPUTED_VALUE"""),1.04)</f>
        <v>1.04</v>
      </c>
      <c r="E10093" s="16">
        <f>IFERROR(__xludf.DUMMYFUNCTION("""COMPUTED_VALUE"""),64.0)</f>
        <v>64</v>
      </c>
      <c r="F10093" s="19" t="str">
        <f>IFERROR(__xludf.DUMMYFUNCTION("""COMPUTED_VALUE"""),"BLUE")</f>
        <v>BLUE</v>
      </c>
      <c r="G10093" s="20" t="str">
        <f>IFERROR(__xludf.DUMMYFUNCTION("""COMPUTED_VALUE"""),"Uncle Sams Cider (04/04/2023)")</f>
        <v>Uncle Sams Cider (04/04/2023)</v>
      </c>
      <c r="H10093" s="19"/>
    </row>
    <row r="10094">
      <c r="A10094" s="9"/>
      <c r="B10094" s="15"/>
      <c r="C10094" s="9">
        <f>IFERROR(__xludf.DUMMYFUNCTION("""COMPUTED_VALUE"""),45038.0596373611)</f>
        <v>45038.05964</v>
      </c>
      <c r="D10094" s="15">
        <f>IFERROR(__xludf.DUMMYFUNCTION("""COMPUTED_VALUE"""),1.04)</f>
        <v>1.04</v>
      </c>
      <c r="E10094" s="16">
        <f>IFERROR(__xludf.DUMMYFUNCTION("""COMPUTED_VALUE"""),64.0)</f>
        <v>64</v>
      </c>
      <c r="F10094" s="19" t="str">
        <f>IFERROR(__xludf.DUMMYFUNCTION("""COMPUTED_VALUE"""),"BLUE")</f>
        <v>BLUE</v>
      </c>
      <c r="G10094" s="20" t="str">
        <f>IFERROR(__xludf.DUMMYFUNCTION("""COMPUTED_VALUE"""),"Uncle Sams Cider (04/04/2023)")</f>
        <v>Uncle Sams Cider (04/04/2023)</v>
      </c>
      <c r="H10094" s="19"/>
    </row>
    <row r="10095">
      <c r="A10095" s="9"/>
      <c r="B10095" s="15"/>
      <c r="C10095" s="9">
        <f>IFERROR(__xludf.DUMMYFUNCTION("""COMPUTED_VALUE"""),45038.0492051157)</f>
        <v>45038.04921</v>
      </c>
      <c r="D10095" s="15">
        <f>IFERROR(__xludf.DUMMYFUNCTION("""COMPUTED_VALUE"""),1.04)</f>
        <v>1.04</v>
      </c>
      <c r="E10095" s="16">
        <f>IFERROR(__xludf.DUMMYFUNCTION("""COMPUTED_VALUE"""),64.0)</f>
        <v>64</v>
      </c>
      <c r="F10095" s="19" t="str">
        <f>IFERROR(__xludf.DUMMYFUNCTION("""COMPUTED_VALUE"""),"BLUE")</f>
        <v>BLUE</v>
      </c>
      <c r="G10095" s="20" t="str">
        <f>IFERROR(__xludf.DUMMYFUNCTION("""COMPUTED_VALUE"""),"Uncle Sams Cider (04/04/2023)")</f>
        <v>Uncle Sams Cider (04/04/2023)</v>
      </c>
      <c r="H10095" s="19"/>
    </row>
    <row r="10096">
      <c r="A10096" s="9"/>
      <c r="B10096" s="15"/>
      <c r="C10096" s="9">
        <f>IFERROR(__xludf.DUMMYFUNCTION("""COMPUTED_VALUE"""),45038.0387742939)</f>
        <v>45038.03877</v>
      </c>
      <c r="D10096" s="15">
        <f>IFERROR(__xludf.DUMMYFUNCTION("""COMPUTED_VALUE"""),1.04)</f>
        <v>1.04</v>
      </c>
      <c r="E10096" s="16">
        <f>IFERROR(__xludf.DUMMYFUNCTION("""COMPUTED_VALUE"""),64.0)</f>
        <v>64</v>
      </c>
      <c r="F10096" s="19" t="str">
        <f>IFERROR(__xludf.DUMMYFUNCTION("""COMPUTED_VALUE"""),"BLUE")</f>
        <v>BLUE</v>
      </c>
      <c r="G10096" s="20" t="str">
        <f>IFERROR(__xludf.DUMMYFUNCTION("""COMPUTED_VALUE"""),"Uncle Sams Cider (04/04/2023)")</f>
        <v>Uncle Sams Cider (04/04/2023)</v>
      </c>
      <c r="H10096" s="19"/>
    </row>
    <row r="10097">
      <c r="A10097" s="9"/>
      <c r="B10097" s="15"/>
      <c r="C10097" s="9">
        <f>IFERROR(__xludf.DUMMYFUNCTION("""COMPUTED_VALUE"""),45038.0282960532)</f>
        <v>45038.0283</v>
      </c>
      <c r="D10097" s="15">
        <f>IFERROR(__xludf.DUMMYFUNCTION("""COMPUTED_VALUE"""),1.04)</f>
        <v>1.04</v>
      </c>
      <c r="E10097" s="16">
        <f>IFERROR(__xludf.DUMMYFUNCTION("""COMPUTED_VALUE"""),64.0)</f>
        <v>64</v>
      </c>
      <c r="F10097" s="19" t="str">
        <f>IFERROR(__xludf.DUMMYFUNCTION("""COMPUTED_VALUE"""),"BLUE")</f>
        <v>BLUE</v>
      </c>
      <c r="G10097" s="20" t="str">
        <f>IFERROR(__xludf.DUMMYFUNCTION("""COMPUTED_VALUE"""),"Uncle Sams Cider (04/04/2023)")</f>
        <v>Uncle Sams Cider (04/04/2023)</v>
      </c>
      <c r="H10097" s="19"/>
    </row>
    <row r="10098">
      <c r="A10098" s="9"/>
      <c r="B10098" s="15"/>
      <c r="C10098" s="9">
        <f>IFERROR(__xludf.DUMMYFUNCTION("""COMPUTED_VALUE"""),45038.017873912)</f>
        <v>45038.01787</v>
      </c>
      <c r="D10098" s="15">
        <f>IFERROR(__xludf.DUMMYFUNCTION("""COMPUTED_VALUE"""),1.04)</f>
        <v>1.04</v>
      </c>
      <c r="E10098" s="16">
        <f>IFERROR(__xludf.DUMMYFUNCTION("""COMPUTED_VALUE"""),64.0)</f>
        <v>64</v>
      </c>
      <c r="F10098" s="19" t="str">
        <f>IFERROR(__xludf.DUMMYFUNCTION("""COMPUTED_VALUE"""),"BLUE")</f>
        <v>BLUE</v>
      </c>
      <c r="G10098" s="20" t="str">
        <f>IFERROR(__xludf.DUMMYFUNCTION("""COMPUTED_VALUE"""),"Uncle Sams Cider (04/04/2023)")</f>
        <v>Uncle Sams Cider (04/04/2023)</v>
      </c>
      <c r="H10098" s="19"/>
    </row>
    <row r="10099">
      <c r="A10099" s="9"/>
      <c r="B10099" s="15"/>
      <c r="C10099" s="9">
        <f>IFERROR(__xludf.DUMMYFUNCTION("""COMPUTED_VALUE"""),45038.0074517013)</f>
        <v>45038.00745</v>
      </c>
      <c r="D10099" s="15">
        <f>IFERROR(__xludf.DUMMYFUNCTION("""COMPUTED_VALUE"""),1.04)</f>
        <v>1.04</v>
      </c>
      <c r="E10099" s="16">
        <f>IFERROR(__xludf.DUMMYFUNCTION("""COMPUTED_VALUE"""),64.0)</f>
        <v>64</v>
      </c>
      <c r="F10099" s="19" t="str">
        <f>IFERROR(__xludf.DUMMYFUNCTION("""COMPUTED_VALUE"""),"BLUE")</f>
        <v>BLUE</v>
      </c>
      <c r="G10099" s="20" t="str">
        <f>IFERROR(__xludf.DUMMYFUNCTION("""COMPUTED_VALUE"""),"Uncle Sams Cider (04/04/2023)")</f>
        <v>Uncle Sams Cider (04/04/2023)</v>
      </c>
      <c r="H10099" s="19"/>
    </row>
    <row r="10100">
      <c r="A10100" s="9"/>
      <c r="B10100" s="15"/>
      <c r="C10100" s="9">
        <f>IFERROR(__xludf.DUMMYFUNCTION("""COMPUTED_VALUE"""),45037.9970193981)</f>
        <v>45037.99702</v>
      </c>
      <c r="D10100" s="15">
        <f>IFERROR(__xludf.DUMMYFUNCTION("""COMPUTED_VALUE"""),1.04)</f>
        <v>1.04</v>
      </c>
      <c r="E10100" s="16">
        <f>IFERROR(__xludf.DUMMYFUNCTION("""COMPUTED_VALUE"""),64.0)</f>
        <v>64</v>
      </c>
      <c r="F10100" s="19" t="str">
        <f>IFERROR(__xludf.DUMMYFUNCTION("""COMPUTED_VALUE"""),"BLUE")</f>
        <v>BLUE</v>
      </c>
      <c r="G10100" s="20" t="str">
        <f>IFERROR(__xludf.DUMMYFUNCTION("""COMPUTED_VALUE"""),"Uncle Sams Cider (04/04/2023)")</f>
        <v>Uncle Sams Cider (04/04/2023)</v>
      </c>
      <c r="H10100" s="19"/>
    </row>
    <row r="10101">
      <c r="A10101" s="9"/>
      <c r="B10101" s="15"/>
      <c r="C10101" s="9">
        <f>IFERROR(__xludf.DUMMYFUNCTION("""COMPUTED_VALUE"""),45037.9865963425)</f>
        <v>45037.9866</v>
      </c>
      <c r="D10101" s="15">
        <f>IFERROR(__xludf.DUMMYFUNCTION("""COMPUTED_VALUE"""),1.04)</f>
        <v>1.04</v>
      </c>
      <c r="E10101" s="16">
        <f>IFERROR(__xludf.DUMMYFUNCTION("""COMPUTED_VALUE"""),64.0)</f>
        <v>64</v>
      </c>
      <c r="F10101" s="19" t="str">
        <f>IFERROR(__xludf.DUMMYFUNCTION("""COMPUTED_VALUE"""),"BLUE")</f>
        <v>BLUE</v>
      </c>
      <c r="G10101" s="20" t="str">
        <f>IFERROR(__xludf.DUMMYFUNCTION("""COMPUTED_VALUE"""),"Uncle Sams Cider (04/04/2023)")</f>
        <v>Uncle Sams Cider (04/04/2023)</v>
      </c>
      <c r="H10101" s="19"/>
    </row>
    <row r="10102">
      <c r="A10102" s="9"/>
      <c r="B10102" s="15"/>
      <c r="C10102" s="9">
        <f>IFERROR(__xludf.DUMMYFUNCTION("""COMPUTED_VALUE"""),45037.976175243)</f>
        <v>45037.97618</v>
      </c>
      <c r="D10102" s="15">
        <f>IFERROR(__xludf.DUMMYFUNCTION("""COMPUTED_VALUE"""),1.04)</f>
        <v>1.04</v>
      </c>
      <c r="E10102" s="16">
        <f>IFERROR(__xludf.DUMMYFUNCTION("""COMPUTED_VALUE"""),64.0)</f>
        <v>64</v>
      </c>
      <c r="F10102" s="19" t="str">
        <f>IFERROR(__xludf.DUMMYFUNCTION("""COMPUTED_VALUE"""),"BLUE")</f>
        <v>BLUE</v>
      </c>
      <c r="G10102" s="20" t="str">
        <f>IFERROR(__xludf.DUMMYFUNCTION("""COMPUTED_VALUE"""),"Uncle Sams Cider (04/04/2023)")</f>
        <v>Uncle Sams Cider (04/04/2023)</v>
      </c>
      <c r="H10102" s="19"/>
    </row>
    <row r="10103">
      <c r="A10103" s="9"/>
      <c r="B10103" s="15"/>
      <c r="C10103" s="9">
        <f>IFERROR(__xludf.DUMMYFUNCTION("""COMPUTED_VALUE"""),45037.9657552199)</f>
        <v>45037.96576</v>
      </c>
      <c r="D10103" s="15">
        <f>IFERROR(__xludf.DUMMYFUNCTION("""COMPUTED_VALUE"""),1.04)</f>
        <v>1.04</v>
      </c>
      <c r="E10103" s="16">
        <f>IFERROR(__xludf.DUMMYFUNCTION("""COMPUTED_VALUE"""),64.0)</f>
        <v>64</v>
      </c>
      <c r="F10103" s="19" t="str">
        <f>IFERROR(__xludf.DUMMYFUNCTION("""COMPUTED_VALUE"""),"BLUE")</f>
        <v>BLUE</v>
      </c>
      <c r="G10103" s="20" t="str">
        <f>IFERROR(__xludf.DUMMYFUNCTION("""COMPUTED_VALUE"""),"Uncle Sams Cider (04/04/2023)")</f>
        <v>Uncle Sams Cider (04/04/2023)</v>
      </c>
      <c r="H10103" s="19"/>
    </row>
    <row r="10104">
      <c r="A10104" s="9"/>
      <c r="B10104" s="15"/>
      <c r="C10104" s="9">
        <f>IFERROR(__xludf.DUMMYFUNCTION("""COMPUTED_VALUE"""),45037.955333125)</f>
        <v>45037.95533</v>
      </c>
      <c r="D10104" s="15">
        <f>IFERROR(__xludf.DUMMYFUNCTION("""COMPUTED_VALUE"""),1.04)</f>
        <v>1.04</v>
      </c>
      <c r="E10104" s="16">
        <f>IFERROR(__xludf.DUMMYFUNCTION("""COMPUTED_VALUE"""),64.0)</f>
        <v>64</v>
      </c>
      <c r="F10104" s="19" t="str">
        <f>IFERROR(__xludf.DUMMYFUNCTION("""COMPUTED_VALUE"""),"BLUE")</f>
        <v>BLUE</v>
      </c>
      <c r="G10104" s="20" t="str">
        <f>IFERROR(__xludf.DUMMYFUNCTION("""COMPUTED_VALUE"""),"Uncle Sams Cider (04/04/2023)")</f>
        <v>Uncle Sams Cider (04/04/2023)</v>
      </c>
      <c r="H10104" s="19"/>
    </row>
    <row r="10105">
      <c r="A10105" s="9"/>
      <c r="B10105" s="15"/>
      <c r="C10105" s="9">
        <f>IFERROR(__xludf.DUMMYFUNCTION("""COMPUTED_VALUE"""),45037.9449114351)</f>
        <v>45037.94491</v>
      </c>
      <c r="D10105" s="15">
        <f>IFERROR(__xludf.DUMMYFUNCTION("""COMPUTED_VALUE"""),1.04)</f>
        <v>1.04</v>
      </c>
      <c r="E10105" s="16">
        <f>IFERROR(__xludf.DUMMYFUNCTION("""COMPUTED_VALUE"""),64.0)</f>
        <v>64</v>
      </c>
      <c r="F10105" s="19" t="str">
        <f>IFERROR(__xludf.DUMMYFUNCTION("""COMPUTED_VALUE"""),"BLUE")</f>
        <v>BLUE</v>
      </c>
      <c r="G10105" s="20" t="str">
        <f>IFERROR(__xludf.DUMMYFUNCTION("""COMPUTED_VALUE"""),"Uncle Sams Cider (04/04/2023)")</f>
        <v>Uncle Sams Cider (04/04/2023)</v>
      </c>
      <c r="H10105" s="19"/>
    </row>
    <row r="10106">
      <c r="A10106" s="9"/>
      <c r="B10106" s="15"/>
      <c r="C10106" s="9">
        <f>IFERROR(__xludf.DUMMYFUNCTION("""COMPUTED_VALUE"""),45037.9344880324)</f>
        <v>45037.93449</v>
      </c>
      <c r="D10106" s="15">
        <f>IFERROR(__xludf.DUMMYFUNCTION("""COMPUTED_VALUE"""),1.04)</f>
        <v>1.04</v>
      </c>
      <c r="E10106" s="16">
        <f>IFERROR(__xludf.DUMMYFUNCTION("""COMPUTED_VALUE"""),64.0)</f>
        <v>64</v>
      </c>
      <c r="F10106" s="19" t="str">
        <f>IFERROR(__xludf.DUMMYFUNCTION("""COMPUTED_VALUE"""),"BLUE")</f>
        <v>BLUE</v>
      </c>
      <c r="G10106" s="20" t="str">
        <f>IFERROR(__xludf.DUMMYFUNCTION("""COMPUTED_VALUE"""),"Uncle Sams Cider (04/04/2023)")</f>
        <v>Uncle Sams Cider (04/04/2023)</v>
      </c>
      <c r="H10106" s="19"/>
    </row>
    <row r="10107">
      <c r="A10107" s="9"/>
      <c r="B10107" s="15"/>
      <c r="C10107" s="9">
        <f>IFERROR(__xludf.DUMMYFUNCTION("""COMPUTED_VALUE"""),45037.9240681828)</f>
        <v>45037.92407</v>
      </c>
      <c r="D10107" s="15">
        <f>IFERROR(__xludf.DUMMYFUNCTION("""COMPUTED_VALUE"""),1.04)</f>
        <v>1.04</v>
      </c>
      <c r="E10107" s="16">
        <f>IFERROR(__xludf.DUMMYFUNCTION("""COMPUTED_VALUE"""),64.0)</f>
        <v>64</v>
      </c>
      <c r="F10107" s="19" t="str">
        <f>IFERROR(__xludf.DUMMYFUNCTION("""COMPUTED_VALUE"""),"BLUE")</f>
        <v>BLUE</v>
      </c>
      <c r="G10107" s="20" t="str">
        <f>IFERROR(__xludf.DUMMYFUNCTION("""COMPUTED_VALUE"""),"Uncle Sams Cider (04/04/2023)")</f>
        <v>Uncle Sams Cider (04/04/2023)</v>
      </c>
      <c r="H10107" s="19"/>
    </row>
    <row r="10108">
      <c r="A10108" s="9"/>
      <c r="B10108" s="15"/>
      <c r="C10108" s="9">
        <f>IFERROR(__xludf.DUMMYFUNCTION("""COMPUTED_VALUE"""),45037.9136461689)</f>
        <v>45037.91365</v>
      </c>
      <c r="D10108" s="15">
        <f>IFERROR(__xludf.DUMMYFUNCTION("""COMPUTED_VALUE"""),1.04)</f>
        <v>1.04</v>
      </c>
      <c r="E10108" s="16">
        <f>IFERROR(__xludf.DUMMYFUNCTION("""COMPUTED_VALUE"""),64.0)</f>
        <v>64</v>
      </c>
      <c r="F10108" s="19" t="str">
        <f>IFERROR(__xludf.DUMMYFUNCTION("""COMPUTED_VALUE"""),"BLUE")</f>
        <v>BLUE</v>
      </c>
      <c r="G10108" s="20" t="str">
        <f>IFERROR(__xludf.DUMMYFUNCTION("""COMPUTED_VALUE"""),"Uncle Sams Cider (04/04/2023)")</f>
        <v>Uncle Sams Cider (04/04/2023)</v>
      </c>
      <c r="H10108" s="19"/>
    </row>
    <row r="10109">
      <c r="A10109" s="9"/>
      <c r="B10109" s="15"/>
      <c r="C10109" s="9">
        <f>IFERROR(__xludf.DUMMYFUNCTION("""COMPUTED_VALUE"""),45037.9032129166)</f>
        <v>45037.90321</v>
      </c>
      <c r="D10109" s="15">
        <f>IFERROR(__xludf.DUMMYFUNCTION("""COMPUTED_VALUE"""),1.04)</f>
        <v>1.04</v>
      </c>
      <c r="E10109" s="16">
        <f>IFERROR(__xludf.DUMMYFUNCTION("""COMPUTED_VALUE"""),64.0)</f>
        <v>64</v>
      </c>
      <c r="F10109" s="19" t="str">
        <f>IFERROR(__xludf.DUMMYFUNCTION("""COMPUTED_VALUE"""),"BLUE")</f>
        <v>BLUE</v>
      </c>
      <c r="G10109" s="20" t="str">
        <f>IFERROR(__xludf.DUMMYFUNCTION("""COMPUTED_VALUE"""),"Uncle Sams Cider (04/04/2023)")</f>
        <v>Uncle Sams Cider (04/04/2023)</v>
      </c>
      <c r="H10109" s="19"/>
    </row>
    <row r="10110">
      <c r="A10110" s="9"/>
      <c r="B10110" s="15"/>
      <c r="C10110" s="9">
        <f>IFERROR(__xludf.DUMMYFUNCTION("""COMPUTED_VALUE"""),45037.8927922916)</f>
        <v>45037.89279</v>
      </c>
      <c r="D10110" s="15">
        <f>IFERROR(__xludf.DUMMYFUNCTION("""COMPUTED_VALUE"""),1.04)</f>
        <v>1.04</v>
      </c>
      <c r="E10110" s="16">
        <f>IFERROR(__xludf.DUMMYFUNCTION("""COMPUTED_VALUE"""),64.0)</f>
        <v>64</v>
      </c>
      <c r="F10110" s="19" t="str">
        <f>IFERROR(__xludf.DUMMYFUNCTION("""COMPUTED_VALUE"""),"BLUE")</f>
        <v>BLUE</v>
      </c>
      <c r="G10110" s="20" t="str">
        <f>IFERROR(__xludf.DUMMYFUNCTION("""COMPUTED_VALUE"""),"Uncle Sams Cider (04/04/2023)")</f>
        <v>Uncle Sams Cider (04/04/2023)</v>
      </c>
      <c r="H10110" s="19"/>
    </row>
    <row r="10111">
      <c r="A10111" s="9"/>
      <c r="B10111" s="15"/>
      <c r="C10111" s="9">
        <f>IFERROR(__xludf.DUMMYFUNCTION("""COMPUTED_VALUE"""),45037.8823694675)</f>
        <v>45037.88237</v>
      </c>
      <c r="D10111" s="15">
        <f>IFERROR(__xludf.DUMMYFUNCTION("""COMPUTED_VALUE"""),1.04)</f>
        <v>1.04</v>
      </c>
      <c r="E10111" s="16">
        <f>IFERROR(__xludf.DUMMYFUNCTION("""COMPUTED_VALUE"""),64.0)</f>
        <v>64</v>
      </c>
      <c r="F10111" s="19" t="str">
        <f>IFERROR(__xludf.DUMMYFUNCTION("""COMPUTED_VALUE"""),"BLUE")</f>
        <v>BLUE</v>
      </c>
      <c r="G10111" s="20" t="str">
        <f>IFERROR(__xludf.DUMMYFUNCTION("""COMPUTED_VALUE"""),"Uncle Sams Cider (04/04/2023)")</f>
        <v>Uncle Sams Cider (04/04/2023)</v>
      </c>
      <c r="H10111" s="19"/>
    </row>
    <row r="10112">
      <c r="A10112" s="9"/>
      <c r="B10112" s="15"/>
      <c r="C10112" s="9">
        <f>IFERROR(__xludf.DUMMYFUNCTION("""COMPUTED_VALUE"""),45037.8719484259)</f>
        <v>45037.87195</v>
      </c>
      <c r="D10112" s="15">
        <f>IFERROR(__xludf.DUMMYFUNCTION("""COMPUTED_VALUE"""),1.04)</f>
        <v>1.04</v>
      </c>
      <c r="E10112" s="16">
        <f>IFERROR(__xludf.DUMMYFUNCTION("""COMPUTED_VALUE"""),64.0)</f>
        <v>64</v>
      </c>
      <c r="F10112" s="19" t="str">
        <f>IFERROR(__xludf.DUMMYFUNCTION("""COMPUTED_VALUE"""),"BLUE")</f>
        <v>BLUE</v>
      </c>
      <c r="G10112" s="20" t="str">
        <f>IFERROR(__xludf.DUMMYFUNCTION("""COMPUTED_VALUE"""),"Uncle Sams Cider (04/04/2023)")</f>
        <v>Uncle Sams Cider (04/04/2023)</v>
      </c>
      <c r="H10112" s="19"/>
    </row>
    <row r="10113">
      <c r="A10113" s="9"/>
      <c r="B10113" s="15"/>
      <c r="C10113" s="9">
        <f>IFERROR(__xludf.DUMMYFUNCTION("""COMPUTED_VALUE"""),45037.8615272453)</f>
        <v>45037.86153</v>
      </c>
      <c r="D10113" s="15">
        <f>IFERROR(__xludf.DUMMYFUNCTION("""COMPUTED_VALUE"""),1.04)</f>
        <v>1.04</v>
      </c>
      <c r="E10113" s="16">
        <f>IFERROR(__xludf.DUMMYFUNCTION("""COMPUTED_VALUE"""),64.0)</f>
        <v>64</v>
      </c>
      <c r="F10113" s="19" t="str">
        <f>IFERROR(__xludf.DUMMYFUNCTION("""COMPUTED_VALUE"""),"BLUE")</f>
        <v>BLUE</v>
      </c>
      <c r="G10113" s="20" t="str">
        <f>IFERROR(__xludf.DUMMYFUNCTION("""COMPUTED_VALUE"""),"Uncle Sams Cider (04/04/2023)")</f>
        <v>Uncle Sams Cider (04/04/2023)</v>
      </c>
      <c r="H10113" s="19"/>
    </row>
    <row r="10114">
      <c r="A10114" s="9"/>
      <c r="B10114" s="15"/>
      <c r="C10114" s="9">
        <f>IFERROR(__xludf.DUMMYFUNCTION("""COMPUTED_VALUE"""),45037.8511066088)</f>
        <v>45037.85111</v>
      </c>
      <c r="D10114" s="15">
        <f>IFERROR(__xludf.DUMMYFUNCTION("""COMPUTED_VALUE"""),1.04)</f>
        <v>1.04</v>
      </c>
      <c r="E10114" s="16">
        <f>IFERROR(__xludf.DUMMYFUNCTION("""COMPUTED_VALUE"""),64.0)</f>
        <v>64</v>
      </c>
      <c r="F10114" s="19" t="str">
        <f>IFERROR(__xludf.DUMMYFUNCTION("""COMPUTED_VALUE"""),"BLUE")</f>
        <v>BLUE</v>
      </c>
      <c r="G10114" s="20" t="str">
        <f>IFERROR(__xludf.DUMMYFUNCTION("""COMPUTED_VALUE"""),"Uncle Sams Cider (04/04/2023)")</f>
        <v>Uncle Sams Cider (04/04/2023)</v>
      </c>
      <c r="H10114" s="19"/>
    </row>
    <row r="10115">
      <c r="A10115" s="9"/>
      <c r="B10115" s="15"/>
      <c r="C10115" s="9">
        <f>IFERROR(__xludf.DUMMYFUNCTION("""COMPUTED_VALUE"""),45037.8406854976)</f>
        <v>45037.84069</v>
      </c>
      <c r="D10115" s="15">
        <f>IFERROR(__xludf.DUMMYFUNCTION("""COMPUTED_VALUE"""),1.04)</f>
        <v>1.04</v>
      </c>
      <c r="E10115" s="16">
        <f>IFERROR(__xludf.DUMMYFUNCTION("""COMPUTED_VALUE"""),64.0)</f>
        <v>64</v>
      </c>
      <c r="F10115" s="19" t="str">
        <f>IFERROR(__xludf.DUMMYFUNCTION("""COMPUTED_VALUE"""),"BLUE")</f>
        <v>BLUE</v>
      </c>
      <c r="G10115" s="20" t="str">
        <f>IFERROR(__xludf.DUMMYFUNCTION("""COMPUTED_VALUE"""),"Uncle Sams Cider (04/04/2023)")</f>
        <v>Uncle Sams Cider (04/04/2023)</v>
      </c>
      <c r="H10115" s="19"/>
    </row>
    <row r="10116">
      <c r="A10116" s="9"/>
      <c r="B10116" s="15"/>
      <c r="C10116" s="9">
        <f>IFERROR(__xludf.DUMMYFUNCTION("""COMPUTED_VALUE"""),45037.8302656134)</f>
        <v>45037.83027</v>
      </c>
      <c r="D10116" s="15">
        <f>IFERROR(__xludf.DUMMYFUNCTION("""COMPUTED_VALUE"""),1.04)</f>
        <v>1.04</v>
      </c>
      <c r="E10116" s="16">
        <f>IFERROR(__xludf.DUMMYFUNCTION("""COMPUTED_VALUE"""),64.0)</f>
        <v>64</v>
      </c>
      <c r="F10116" s="19" t="str">
        <f>IFERROR(__xludf.DUMMYFUNCTION("""COMPUTED_VALUE"""),"BLUE")</f>
        <v>BLUE</v>
      </c>
      <c r="G10116" s="20" t="str">
        <f>IFERROR(__xludf.DUMMYFUNCTION("""COMPUTED_VALUE"""),"Uncle Sams Cider (04/04/2023)")</f>
        <v>Uncle Sams Cider (04/04/2023)</v>
      </c>
      <c r="H10116" s="19"/>
    </row>
    <row r="10117">
      <c r="A10117" s="9"/>
      <c r="B10117" s="15"/>
      <c r="C10117" s="9">
        <f>IFERROR(__xludf.DUMMYFUNCTION("""COMPUTED_VALUE"""),45037.8198442245)</f>
        <v>45037.81984</v>
      </c>
      <c r="D10117" s="15">
        <f>IFERROR(__xludf.DUMMYFUNCTION("""COMPUTED_VALUE"""),1.04)</f>
        <v>1.04</v>
      </c>
      <c r="E10117" s="16">
        <f>IFERROR(__xludf.DUMMYFUNCTION("""COMPUTED_VALUE"""),64.0)</f>
        <v>64</v>
      </c>
      <c r="F10117" s="19" t="str">
        <f>IFERROR(__xludf.DUMMYFUNCTION("""COMPUTED_VALUE"""),"BLUE")</f>
        <v>BLUE</v>
      </c>
      <c r="G10117" s="20" t="str">
        <f>IFERROR(__xludf.DUMMYFUNCTION("""COMPUTED_VALUE"""),"Uncle Sams Cider (04/04/2023)")</f>
        <v>Uncle Sams Cider (04/04/2023)</v>
      </c>
      <c r="H10117" s="19"/>
    </row>
    <row r="10118">
      <c r="A10118" s="9"/>
      <c r="B10118" s="15"/>
      <c r="C10118" s="9">
        <f>IFERROR(__xludf.DUMMYFUNCTION("""COMPUTED_VALUE"""),45037.8094229166)</f>
        <v>45037.80942</v>
      </c>
      <c r="D10118" s="15">
        <f>IFERROR(__xludf.DUMMYFUNCTION("""COMPUTED_VALUE"""),1.04)</f>
        <v>1.04</v>
      </c>
      <c r="E10118" s="16">
        <f>IFERROR(__xludf.DUMMYFUNCTION("""COMPUTED_VALUE"""),64.0)</f>
        <v>64</v>
      </c>
      <c r="F10118" s="19" t="str">
        <f>IFERROR(__xludf.DUMMYFUNCTION("""COMPUTED_VALUE"""),"BLUE")</f>
        <v>BLUE</v>
      </c>
      <c r="G10118" s="20" t="str">
        <f>IFERROR(__xludf.DUMMYFUNCTION("""COMPUTED_VALUE"""),"Uncle Sams Cider (04/04/2023)")</f>
        <v>Uncle Sams Cider (04/04/2023)</v>
      </c>
      <c r="H10118" s="19"/>
    </row>
    <row r="10119">
      <c r="A10119" s="9"/>
      <c r="B10119" s="15"/>
      <c r="C10119" s="9">
        <f>IFERROR(__xludf.DUMMYFUNCTION("""COMPUTED_VALUE"""),45037.7990023263)</f>
        <v>45037.799</v>
      </c>
      <c r="D10119" s="15">
        <f>IFERROR(__xludf.DUMMYFUNCTION("""COMPUTED_VALUE"""),1.04)</f>
        <v>1.04</v>
      </c>
      <c r="E10119" s="16">
        <f>IFERROR(__xludf.DUMMYFUNCTION("""COMPUTED_VALUE"""),64.0)</f>
        <v>64</v>
      </c>
      <c r="F10119" s="19" t="str">
        <f>IFERROR(__xludf.DUMMYFUNCTION("""COMPUTED_VALUE"""),"BLUE")</f>
        <v>BLUE</v>
      </c>
      <c r="G10119" s="20" t="str">
        <f>IFERROR(__xludf.DUMMYFUNCTION("""COMPUTED_VALUE"""),"Uncle Sams Cider (04/04/2023)")</f>
        <v>Uncle Sams Cider (04/04/2023)</v>
      </c>
      <c r="H10119" s="19"/>
    </row>
    <row r="10120">
      <c r="A10120" s="9"/>
      <c r="B10120" s="15"/>
      <c r="C10120" s="9">
        <f>IFERROR(__xludf.DUMMYFUNCTION("""COMPUTED_VALUE"""),45037.7885806597)</f>
        <v>45037.78858</v>
      </c>
      <c r="D10120" s="15">
        <f>IFERROR(__xludf.DUMMYFUNCTION("""COMPUTED_VALUE"""),1.04)</f>
        <v>1.04</v>
      </c>
      <c r="E10120" s="16">
        <f>IFERROR(__xludf.DUMMYFUNCTION("""COMPUTED_VALUE"""),64.0)</f>
        <v>64</v>
      </c>
      <c r="F10120" s="19" t="str">
        <f>IFERROR(__xludf.DUMMYFUNCTION("""COMPUTED_VALUE"""),"BLUE")</f>
        <v>BLUE</v>
      </c>
      <c r="G10120" s="20" t="str">
        <f>IFERROR(__xludf.DUMMYFUNCTION("""COMPUTED_VALUE"""),"Uncle Sams Cider (04/04/2023)")</f>
        <v>Uncle Sams Cider (04/04/2023)</v>
      </c>
      <c r="H10120" s="19"/>
    </row>
    <row r="10121">
      <c r="A10121" s="9"/>
      <c r="B10121" s="15"/>
      <c r="C10121" s="9">
        <f>IFERROR(__xludf.DUMMYFUNCTION("""COMPUTED_VALUE"""),45037.778160706)</f>
        <v>45037.77816</v>
      </c>
      <c r="D10121" s="15">
        <f>IFERROR(__xludf.DUMMYFUNCTION("""COMPUTED_VALUE"""),1.04)</f>
        <v>1.04</v>
      </c>
      <c r="E10121" s="16">
        <f>IFERROR(__xludf.DUMMYFUNCTION("""COMPUTED_VALUE"""),64.0)</f>
        <v>64</v>
      </c>
      <c r="F10121" s="19" t="str">
        <f>IFERROR(__xludf.DUMMYFUNCTION("""COMPUTED_VALUE"""),"BLUE")</f>
        <v>BLUE</v>
      </c>
      <c r="G10121" s="20" t="str">
        <f>IFERROR(__xludf.DUMMYFUNCTION("""COMPUTED_VALUE"""),"Uncle Sams Cider (04/04/2023)")</f>
        <v>Uncle Sams Cider (04/04/2023)</v>
      </c>
      <c r="H10121" s="19"/>
    </row>
    <row r="10122">
      <c r="A10122" s="9"/>
      <c r="B10122" s="15"/>
      <c r="C10122" s="9">
        <f>IFERROR(__xludf.DUMMYFUNCTION("""COMPUTED_VALUE"""),45037.7677395949)</f>
        <v>45037.76774</v>
      </c>
      <c r="D10122" s="15">
        <f>IFERROR(__xludf.DUMMYFUNCTION("""COMPUTED_VALUE"""),1.04)</f>
        <v>1.04</v>
      </c>
      <c r="E10122" s="16">
        <f>IFERROR(__xludf.DUMMYFUNCTION("""COMPUTED_VALUE"""),64.0)</f>
        <v>64</v>
      </c>
      <c r="F10122" s="19" t="str">
        <f>IFERROR(__xludf.DUMMYFUNCTION("""COMPUTED_VALUE"""),"BLUE")</f>
        <v>BLUE</v>
      </c>
      <c r="G10122" s="20" t="str">
        <f>IFERROR(__xludf.DUMMYFUNCTION("""COMPUTED_VALUE"""),"Uncle Sams Cider (04/04/2023)")</f>
        <v>Uncle Sams Cider (04/04/2023)</v>
      </c>
      <c r="H10122" s="19"/>
    </row>
    <row r="10123">
      <c r="A10123" s="9"/>
      <c r="B10123" s="15"/>
      <c r="C10123" s="9">
        <f>IFERROR(__xludf.DUMMYFUNCTION("""COMPUTED_VALUE"""),45037.7573192939)</f>
        <v>45037.75732</v>
      </c>
      <c r="D10123" s="15">
        <f>IFERROR(__xludf.DUMMYFUNCTION("""COMPUTED_VALUE"""),1.04)</f>
        <v>1.04</v>
      </c>
      <c r="E10123" s="16">
        <f>IFERROR(__xludf.DUMMYFUNCTION("""COMPUTED_VALUE"""),64.0)</f>
        <v>64</v>
      </c>
      <c r="F10123" s="19" t="str">
        <f>IFERROR(__xludf.DUMMYFUNCTION("""COMPUTED_VALUE"""),"BLUE")</f>
        <v>BLUE</v>
      </c>
      <c r="G10123" s="20" t="str">
        <f>IFERROR(__xludf.DUMMYFUNCTION("""COMPUTED_VALUE"""),"Uncle Sams Cider (04/04/2023)")</f>
        <v>Uncle Sams Cider (04/04/2023)</v>
      </c>
      <c r="H10123" s="19"/>
    </row>
    <row r="10124">
      <c r="A10124" s="9"/>
      <c r="B10124" s="15"/>
      <c r="C10124" s="9">
        <f>IFERROR(__xludf.DUMMYFUNCTION("""COMPUTED_VALUE"""),45037.7468876967)</f>
        <v>45037.74689</v>
      </c>
      <c r="D10124" s="15">
        <f>IFERROR(__xludf.DUMMYFUNCTION("""COMPUTED_VALUE"""),1.04)</f>
        <v>1.04</v>
      </c>
      <c r="E10124" s="16">
        <f>IFERROR(__xludf.DUMMYFUNCTION("""COMPUTED_VALUE"""),64.0)</f>
        <v>64</v>
      </c>
      <c r="F10124" s="19" t="str">
        <f>IFERROR(__xludf.DUMMYFUNCTION("""COMPUTED_VALUE"""),"BLUE")</f>
        <v>BLUE</v>
      </c>
      <c r="G10124" s="20" t="str">
        <f>IFERROR(__xludf.DUMMYFUNCTION("""COMPUTED_VALUE"""),"Uncle Sams Cider (04/04/2023)")</f>
        <v>Uncle Sams Cider (04/04/2023)</v>
      </c>
      <c r="H10124" s="19"/>
    </row>
    <row r="10125">
      <c r="A10125" s="9"/>
      <c r="B10125" s="15"/>
      <c r="C10125" s="9">
        <f>IFERROR(__xludf.DUMMYFUNCTION("""COMPUTED_VALUE"""),45037.7364544328)</f>
        <v>45037.73645</v>
      </c>
      <c r="D10125" s="15">
        <f>IFERROR(__xludf.DUMMYFUNCTION("""COMPUTED_VALUE"""),1.04)</f>
        <v>1.04</v>
      </c>
      <c r="E10125" s="16">
        <f>IFERROR(__xludf.DUMMYFUNCTION("""COMPUTED_VALUE"""),64.0)</f>
        <v>64</v>
      </c>
      <c r="F10125" s="19" t="str">
        <f>IFERROR(__xludf.DUMMYFUNCTION("""COMPUTED_VALUE"""),"BLUE")</f>
        <v>BLUE</v>
      </c>
      <c r="G10125" s="20" t="str">
        <f>IFERROR(__xludf.DUMMYFUNCTION("""COMPUTED_VALUE"""),"Uncle Sams Cider (04/04/2023)")</f>
        <v>Uncle Sams Cider (04/04/2023)</v>
      </c>
      <c r="H10125" s="19"/>
    </row>
    <row r="10126">
      <c r="A10126" s="9"/>
      <c r="B10126" s="15"/>
      <c r="C10126" s="9">
        <f>IFERROR(__xludf.DUMMYFUNCTION("""COMPUTED_VALUE"""),45037.7260330092)</f>
        <v>45037.72603</v>
      </c>
      <c r="D10126" s="15">
        <f>IFERROR(__xludf.DUMMYFUNCTION("""COMPUTED_VALUE"""),1.04)</f>
        <v>1.04</v>
      </c>
      <c r="E10126" s="16">
        <f>IFERROR(__xludf.DUMMYFUNCTION("""COMPUTED_VALUE"""),64.0)</f>
        <v>64</v>
      </c>
      <c r="F10126" s="19" t="str">
        <f>IFERROR(__xludf.DUMMYFUNCTION("""COMPUTED_VALUE"""),"BLUE")</f>
        <v>BLUE</v>
      </c>
      <c r="G10126" s="20" t="str">
        <f>IFERROR(__xludf.DUMMYFUNCTION("""COMPUTED_VALUE"""),"Uncle Sams Cider (04/04/2023)")</f>
        <v>Uncle Sams Cider (04/04/2023)</v>
      </c>
      <c r="H10126" s="19"/>
    </row>
    <row r="10127">
      <c r="A10127" s="9"/>
      <c r="B10127" s="15"/>
      <c r="C10127" s="9">
        <f>IFERROR(__xludf.DUMMYFUNCTION("""COMPUTED_VALUE"""),45037.7156123495)</f>
        <v>45037.71561</v>
      </c>
      <c r="D10127" s="15">
        <f>IFERROR(__xludf.DUMMYFUNCTION("""COMPUTED_VALUE"""),1.04)</f>
        <v>1.04</v>
      </c>
      <c r="E10127" s="16">
        <f>IFERROR(__xludf.DUMMYFUNCTION("""COMPUTED_VALUE"""),64.0)</f>
        <v>64</v>
      </c>
      <c r="F10127" s="19" t="str">
        <f>IFERROR(__xludf.DUMMYFUNCTION("""COMPUTED_VALUE"""),"BLUE")</f>
        <v>BLUE</v>
      </c>
      <c r="G10127" s="20" t="str">
        <f>IFERROR(__xludf.DUMMYFUNCTION("""COMPUTED_VALUE"""),"Uncle Sams Cider (04/04/2023)")</f>
        <v>Uncle Sams Cider (04/04/2023)</v>
      </c>
      <c r="H10127" s="19"/>
    </row>
    <row r="10128">
      <c r="A10128" s="9"/>
      <c r="B10128" s="15"/>
      <c r="C10128" s="9">
        <f>IFERROR(__xludf.DUMMYFUNCTION("""COMPUTED_VALUE"""),45037.7051789583)</f>
        <v>45037.70518</v>
      </c>
      <c r="D10128" s="15">
        <f>IFERROR(__xludf.DUMMYFUNCTION("""COMPUTED_VALUE"""),1.04)</f>
        <v>1.04</v>
      </c>
      <c r="E10128" s="16">
        <f>IFERROR(__xludf.DUMMYFUNCTION("""COMPUTED_VALUE"""),64.0)</f>
        <v>64</v>
      </c>
      <c r="F10128" s="19" t="str">
        <f>IFERROR(__xludf.DUMMYFUNCTION("""COMPUTED_VALUE"""),"BLUE")</f>
        <v>BLUE</v>
      </c>
      <c r="G10128" s="20" t="str">
        <f>IFERROR(__xludf.DUMMYFUNCTION("""COMPUTED_VALUE"""),"Uncle Sams Cider (04/04/2023)")</f>
        <v>Uncle Sams Cider (04/04/2023)</v>
      </c>
      <c r="H10128" s="19"/>
    </row>
    <row r="10129">
      <c r="A10129" s="9"/>
      <c r="B10129" s="15"/>
      <c r="C10129" s="9">
        <f>IFERROR(__xludf.DUMMYFUNCTION("""COMPUTED_VALUE"""),45037.6947574652)</f>
        <v>45037.69476</v>
      </c>
      <c r="D10129" s="15">
        <f>IFERROR(__xludf.DUMMYFUNCTION("""COMPUTED_VALUE"""),1.04)</f>
        <v>1.04</v>
      </c>
      <c r="E10129" s="16">
        <f>IFERROR(__xludf.DUMMYFUNCTION("""COMPUTED_VALUE"""),64.0)</f>
        <v>64</v>
      </c>
      <c r="F10129" s="19" t="str">
        <f>IFERROR(__xludf.DUMMYFUNCTION("""COMPUTED_VALUE"""),"BLUE")</f>
        <v>BLUE</v>
      </c>
      <c r="G10129" s="20" t="str">
        <f>IFERROR(__xludf.DUMMYFUNCTION("""COMPUTED_VALUE"""),"Uncle Sams Cider (04/04/2023)")</f>
        <v>Uncle Sams Cider (04/04/2023)</v>
      </c>
      <c r="H10129" s="19"/>
    </row>
    <row r="10130">
      <c r="A10130" s="9"/>
      <c r="B10130" s="15"/>
      <c r="C10130" s="9">
        <f>IFERROR(__xludf.DUMMYFUNCTION("""COMPUTED_VALUE"""),45037.6843357175)</f>
        <v>45037.68434</v>
      </c>
      <c r="D10130" s="15">
        <f>IFERROR(__xludf.DUMMYFUNCTION("""COMPUTED_VALUE"""),1.04)</f>
        <v>1.04</v>
      </c>
      <c r="E10130" s="16">
        <f>IFERROR(__xludf.DUMMYFUNCTION("""COMPUTED_VALUE"""),64.0)</f>
        <v>64</v>
      </c>
      <c r="F10130" s="19" t="str">
        <f>IFERROR(__xludf.DUMMYFUNCTION("""COMPUTED_VALUE"""),"BLUE")</f>
        <v>BLUE</v>
      </c>
      <c r="G10130" s="20" t="str">
        <f>IFERROR(__xludf.DUMMYFUNCTION("""COMPUTED_VALUE"""),"Uncle Sams Cider (04/04/2023)")</f>
        <v>Uncle Sams Cider (04/04/2023)</v>
      </c>
      <c r="H10130" s="19"/>
    </row>
    <row r="10131">
      <c r="A10131" s="9"/>
      <c r="B10131" s="15"/>
      <c r="C10131" s="9">
        <f>IFERROR(__xludf.DUMMYFUNCTION("""COMPUTED_VALUE"""),45037.673915162)</f>
        <v>45037.67392</v>
      </c>
      <c r="D10131" s="15">
        <f>IFERROR(__xludf.DUMMYFUNCTION("""COMPUTED_VALUE"""),1.04)</f>
        <v>1.04</v>
      </c>
      <c r="E10131" s="16">
        <f>IFERROR(__xludf.DUMMYFUNCTION("""COMPUTED_VALUE"""),64.0)</f>
        <v>64</v>
      </c>
      <c r="F10131" s="19" t="str">
        <f>IFERROR(__xludf.DUMMYFUNCTION("""COMPUTED_VALUE"""),"BLUE")</f>
        <v>BLUE</v>
      </c>
      <c r="G10131" s="20" t="str">
        <f>IFERROR(__xludf.DUMMYFUNCTION("""COMPUTED_VALUE"""),"Uncle Sams Cider (04/04/2023)")</f>
        <v>Uncle Sams Cider (04/04/2023)</v>
      </c>
      <c r="H10131" s="19"/>
    </row>
    <row r="10132">
      <c r="A10132" s="9"/>
      <c r="B10132" s="15"/>
      <c r="C10132" s="9">
        <f>IFERROR(__xludf.DUMMYFUNCTION("""COMPUTED_VALUE"""),45037.6634929629)</f>
        <v>45037.66349</v>
      </c>
      <c r="D10132" s="15">
        <f>IFERROR(__xludf.DUMMYFUNCTION("""COMPUTED_VALUE"""),1.04)</f>
        <v>1.04</v>
      </c>
      <c r="E10132" s="16">
        <f>IFERROR(__xludf.DUMMYFUNCTION("""COMPUTED_VALUE"""),64.0)</f>
        <v>64</v>
      </c>
      <c r="F10132" s="19" t="str">
        <f>IFERROR(__xludf.DUMMYFUNCTION("""COMPUTED_VALUE"""),"BLUE")</f>
        <v>BLUE</v>
      </c>
      <c r="G10132" s="20" t="str">
        <f>IFERROR(__xludf.DUMMYFUNCTION("""COMPUTED_VALUE"""),"Uncle Sams Cider (04/04/2023)")</f>
        <v>Uncle Sams Cider (04/04/2023)</v>
      </c>
      <c r="H10132" s="19"/>
    </row>
    <row r="10133">
      <c r="A10133" s="9"/>
      <c r="B10133" s="15"/>
      <c r="C10133" s="9">
        <f>IFERROR(__xludf.DUMMYFUNCTION("""COMPUTED_VALUE"""),45037.6530721296)</f>
        <v>45037.65307</v>
      </c>
      <c r="D10133" s="15">
        <f>IFERROR(__xludf.DUMMYFUNCTION("""COMPUTED_VALUE"""),1.04)</f>
        <v>1.04</v>
      </c>
      <c r="E10133" s="16">
        <f>IFERROR(__xludf.DUMMYFUNCTION("""COMPUTED_VALUE"""),64.0)</f>
        <v>64</v>
      </c>
      <c r="F10133" s="19" t="str">
        <f>IFERROR(__xludf.DUMMYFUNCTION("""COMPUTED_VALUE"""),"BLUE")</f>
        <v>BLUE</v>
      </c>
      <c r="G10133" s="20" t="str">
        <f>IFERROR(__xludf.DUMMYFUNCTION("""COMPUTED_VALUE"""),"Uncle Sams Cider (04/04/2023)")</f>
        <v>Uncle Sams Cider (04/04/2023)</v>
      </c>
      <c r="H10133" s="19"/>
    </row>
    <row r="10134">
      <c r="A10134" s="9"/>
      <c r="B10134" s="15"/>
      <c r="C10134" s="9">
        <f>IFERROR(__xludf.DUMMYFUNCTION("""COMPUTED_VALUE"""),45037.6426505439)</f>
        <v>45037.64265</v>
      </c>
      <c r="D10134" s="15">
        <f>IFERROR(__xludf.DUMMYFUNCTION("""COMPUTED_VALUE"""),1.04)</f>
        <v>1.04</v>
      </c>
      <c r="E10134" s="16">
        <f>IFERROR(__xludf.DUMMYFUNCTION("""COMPUTED_VALUE"""),64.0)</f>
        <v>64</v>
      </c>
      <c r="F10134" s="19" t="str">
        <f>IFERROR(__xludf.DUMMYFUNCTION("""COMPUTED_VALUE"""),"BLUE")</f>
        <v>BLUE</v>
      </c>
      <c r="G10134" s="20" t="str">
        <f>IFERROR(__xludf.DUMMYFUNCTION("""COMPUTED_VALUE"""),"Uncle Sams Cider (04/04/2023)")</f>
        <v>Uncle Sams Cider (04/04/2023)</v>
      </c>
      <c r="H10134" s="19"/>
    </row>
    <row r="10135">
      <c r="A10135" s="9"/>
      <c r="B10135" s="15"/>
      <c r="C10135" s="9">
        <f>IFERROR(__xludf.DUMMYFUNCTION("""COMPUTED_VALUE"""),45037.6322313426)</f>
        <v>45037.63223</v>
      </c>
      <c r="D10135" s="15">
        <f>IFERROR(__xludf.DUMMYFUNCTION("""COMPUTED_VALUE"""),1.04)</f>
        <v>1.04</v>
      </c>
      <c r="E10135" s="16">
        <f>IFERROR(__xludf.DUMMYFUNCTION("""COMPUTED_VALUE"""),64.0)</f>
        <v>64</v>
      </c>
      <c r="F10135" s="19" t="str">
        <f>IFERROR(__xludf.DUMMYFUNCTION("""COMPUTED_VALUE"""),"BLUE")</f>
        <v>BLUE</v>
      </c>
      <c r="G10135" s="20" t="str">
        <f>IFERROR(__xludf.DUMMYFUNCTION("""COMPUTED_VALUE"""),"Uncle Sams Cider (04/04/2023)")</f>
        <v>Uncle Sams Cider (04/04/2023)</v>
      </c>
      <c r="H10135" s="19"/>
    </row>
    <row r="10136">
      <c r="A10136" s="9"/>
      <c r="B10136" s="15"/>
      <c r="C10136" s="9">
        <f>IFERROR(__xludf.DUMMYFUNCTION("""COMPUTED_VALUE"""),45037.6217975347)</f>
        <v>45037.6218</v>
      </c>
      <c r="D10136" s="15">
        <f>IFERROR(__xludf.DUMMYFUNCTION("""COMPUTED_VALUE"""),1.041)</f>
        <v>1.041</v>
      </c>
      <c r="E10136" s="16">
        <f>IFERROR(__xludf.DUMMYFUNCTION("""COMPUTED_VALUE"""),64.0)</f>
        <v>64</v>
      </c>
      <c r="F10136" s="19" t="str">
        <f>IFERROR(__xludf.DUMMYFUNCTION("""COMPUTED_VALUE"""),"BLUE")</f>
        <v>BLUE</v>
      </c>
      <c r="G10136" s="20" t="str">
        <f>IFERROR(__xludf.DUMMYFUNCTION("""COMPUTED_VALUE"""),"Uncle Sams Cider (04/04/2023)")</f>
        <v>Uncle Sams Cider (04/04/2023)</v>
      </c>
      <c r="H10136" s="19"/>
    </row>
    <row r="10137">
      <c r="A10137" s="9"/>
      <c r="B10137" s="15"/>
      <c r="C10137" s="9">
        <f>IFERROR(__xludf.DUMMYFUNCTION("""COMPUTED_VALUE"""),45037.6113770949)</f>
        <v>45037.61138</v>
      </c>
      <c r="D10137" s="15">
        <f>IFERROR(__xludf.DUMMYFUNCTION("""COMPUTED_VALUE"""),1.041)</f>
        <v>1.041</v>
      </c>
      <c r="E10137" s="16">
        <f>IFERROR(__xludf.DUMMYFUNCTION("""COMPUTED_VALUE"""),64.0)</f>
        <v>64</v>
      </c>
      <c r="F10137" s="19" t="str">
        <f>IFERROR(__xludf.DUMMYFUNCTION("""COMPUTED_VALUE"""),"BLUE")</f>
        <v>BLUE</v>
      </c>
      <c r="G10137" s="20" t="str">
        <f>IFERROR(__xludf.DUMMYFUNCTION("""COMPUTED_VALUE"""),"Uncle Sams Cider (04/04/2023)")</f>
        <v>Uncle Sams Cider (04/04/2023)</v>
      </c>
      <c r="H10137" s="19"/>
    </row>
    <row r="10138">
      <c r="A10138" s="9"/>
      <c r="B10138" s="15"/>
      <c r="C10138" s="9">
        <f>IFERROR(__xludf.DUMMYFUNCTION("""COMPUTED_VALUE"""),45037.6009331018)</f>
        <v>45037.60093</v>
      </c>
      <c r="D10138" s="15">
        <f>IFERROR(__xludf.DUMMYFUNCTION("""COMPUTED_VALUE"""),1.041)</f>
        <v>1.041</v>
      </c>
      <c r="E10138" s="16">
        <f>IFERROR(__xludf.DUMMYFUNCTION("""COMPUTED_VALUE"""),64.0)</f>
        <v>64</v>
      </c>
      <c r="F10138" s="19" t="str">
        <f>IFERROR(__xludf.DUMMYFUNCTION("""COMPUTED_VALUE"""),"BLUE")</f>
        <v>BLUE</v>
      </c>
      <c r="G10138" s="20" t="str">
        <f>IFERROR(__xludf.DUMMYFUNCTION("""COMPUTED_VALUE"""),"Uncle Sams Cider (04/04/2023)")</f>
        <v>Uncle Sams Cider (04/04/2023)</v>
      </c>
      <c r="H10138" s="19"/>
    </row>
    <row r="10139">
      <c r="A10139" s="9"/>
      <c r="B10139" s="15"/>
      <c r="C10139" s="9">
        <f>IFERROR(__xludf.DUMMYFUNCTION("""COMPUTED_VALUE"""),45037.5905123032)</f>
        <v>45037.59051</v>
      </c>
      <c r="D10139" s="15">
        <f>IFERROR(__xludf.DUMMYFUNCTION("""COMPUTED_VALUE"""),1.041)</f>
        <v>1.041</v>
      </c>
      <c r="E10139" s="16">
        <f>IFERROR(__xludf.DUMMYFUNCTION("""COMPUTED_VALUE"""),64.0)</f>
        <v>64</v>
      </c>
      <c r="F10139" s="19" t="str">
        <f>IFERROR(__xludf.DUMMYFUNCTION("""COMPUTED_VALUE"""),"BLUE")</f>
        <v>BLUE</v>
      </c>
      <c r="G10139" s="20" t="str">
        <f>IFERROR(__xludf.DUMMYFUNCTION("""COMPUTED_VALUE"""),"Uncle Sams Cider (04/04/2023)")</f>
        <v>Uncle Sams Cider (04/04/2023)</v>
      </c>
      <c r="H10139" s="19"/>
    </row>
    <row r="10140">
      <c r="A10140" s="9"/>
      <c r="B10140" s="15"/>
      <c r="C10140" s="9">
        <f>IFERROR(__xludf.DUMMYFUNCTION("""COMPUTED_VALUE"""),45037.5800919213)</f>
        <v>45037.58009</v>
      </c>
      <c r="D10140" s="15">
        <f>IFERROR(__xludf.DUMMYFUNCTION("""COMPUTED_VALUE"""),1.041)</f>
        <v>1.041</v>
      </c>
      <c r="E10140" s="16">
        <f>IFERROR(__xludf.DUMMYFUNCTION("""COMPUTED_VALUE"""),64.0)</f>
        <v>64</v>
      </c>
      <c r="F10140" s="19" t="str">
        <f>IFERROR(__xludf.DUMMYFUNCTION("""COMPUTED_VALUE"""),"BLUE")</f>
        <v>BLUE</v>
      </c>
      <c r="G10140" s="20" t="str">
        <f>IFERROR(__xludf.DUMMYFUNCTION("""COMPUTED_VALUE"""),"Uncle Sams Cider (04/04/2023)")</f>
        <v>Uncle Sams Cider (04/04/2023)</v>
      </c>
      <c r="H10140" s="19"/>
    </row>
    <row r="10141">
      <c r="A10141" s="9"/>
      <c r="B10141" s="15"/>
      <c r="C10141" s="9">
        <f>IFERROR(__xludf.DUMMYFUNCTION("""COMPUTED_VALUE"""),45037.5696701736)</f>
        <v>45037.56967</v>
      </c>
      <c r="D10141" s="15">
        <f>IFERROR(__xludf.DUMMYFUNCTION("""COMPUTED_VALUE"""),1.041)</f>
        <v>1.041</v>
      </c>
      <c r="E10141" s="16">
        <f>IFERROR(__xludf.DUMMYFUNCTION("""COMPUTED_VALUE"""),64.0)</f>
        <v>64</v>
      </c>
      <c r="F10141" s="19" t="str">
        <f>IFERROR(__xludf.DUMMYFUNCTION("""COMPUTED_VALUE"""),"BLUE")</f>
        <v>BLUE</v>
      </c>
      <c r="G10141" s="20" t="str">
        <f>IFERROR(__xludf.DUMMYFUNCTION("""COMPUTED_VALUE"""),"Uncle Sams Cider (04/04/2023)")</f>
        <v>Uncle Sams Cider (04/04/2023)</v>
      </c>
      <c r="H10141" s="19"/>
    </row>
    <row r="10142">
      <c r="A10142" s="9"/>
      <c r="B10142" s="15"/>
      <c r="C10142" s="9">
        <f>IFERROR(__xludf.DUMMYFUNCTION("""COMPUTED_VALUE"""),45037.5592495949)</f>
        <v>45037.55925</v>
      </c>
      <c r="D10142" s="15">
        <f>IFERROR(__xludf.DUMMYFUNCTION("""COMPUTED_VALUE"""),1.041)</f>
        <v>1.041</v>
      </c>
      <c r="E10142" s="16">
        <f>IFERROR(__xludf.DUMMYFUNCTION("""COMPUTED_VALUE"""),64.0)</f>
        <v>64</v>
      </c>
      <c r="F10142" s="19" t="str">
        <f>IFERROR(__xludf.DUMMYFUNCTION("""COMPUTED_VALUE"""),"BLUE")</f>
        <v>BLUE</v>
      </c>
      <c r="G10142" s="20" t="str">
        <f>IFERROR(__xludf.DUMMYFUNCTION("""COMPUTED_VALUE"""),"Uncle Sams Cider (04/04/2023)")</f>
        <v>Uncle Sams Cider (04/04/2023)</v>
      </c>
      <c r="H10142" s="19"/>
    </row>
    <row r="10143">
      <c r="A10143" s="9"/>
      <c r="B10143" s="15"/>
      <c r="C10143" s="9">
        <f>IFERROR(__xludf.DUMMYFUNCTION("""COMPUTED_VALUE"""),45037.5488280324)</f>
        <v>45037.54883</v>
      </c>
      <c r="D10143" s="15">
        <f>IFERROR(__xludf.DUMMYFUNCTION("""COMPUTED_VALUE"""),1.041)</f>
        <v>1.041</v>
      </c>
      <c r="E10143" s="16">
        <f>IFERROR(__xludf.DUMMYFUNCTION("""COMPUTED_VALUE"""),64.0)</f>
        <v>64</v>
      </c>
      <c r="F10143" s="19" t="str">
        <f>IFERROR(__xludf.DUMMYFUNCTION("""COMPUTED_VALUE"""),"BLUE")</f>
        <v>BLUE</v>
      </c>
      <c r="G10143" s="20" t="str">
        <f>IFERROR(__xludf.DUMMYFUNCTION("""COMPUTED_VALUE"""),"Uncle Sams Cider (04/04/2023)")</f>
        <v>Uncle Sams Cider (04/04/2023)</v>
      </c>
      <c r="H10143" s="19"/>
    </row>
    <row r="10144">
      <c r="A10144" s="9"/>
      <c r="B10144" s="15"/>
      <c r="C10144" s="9">
        <f>IFERROR(__xludf.DUMMYFUNCTION("""COMPUTED_VALUE"""),45037.5384059722)</f>
        <v>45037.53841</v>
      </c>
      <c r="D10144" s="15">
        <f>IFERROR(__xludf.DUMMYFUNCTION("""COMPUTED_VALUE"""),1.041)</f>
        <v>1.041</v>
      </c>
      <c r="E10144" s="16">
        <f>IFERROR(__xludf.DUMMYFUNCTION("""COMPUTED_VALUE"""),64.0)</f>
        <v>64</v>
      </c>
      <c r="F10144" s="19" t="str">
        <f>IFERROR(__xludf.DUMMYFUNCTION("""COMPUTED_VALUE"""),"BLUE")</f>
        <v>BLUE</v>
      </c>
      <c r="G10144" s="20" t="str">
        <f>IFERROR(__xludf.DUMMYFUNCTION("""COMPUTED_VALUE"""),"Uncle Sams Cider (04/04/2023)")</f>
        <v>Uncle Sams Cider (04/04/2023)</v>
      </c>
      <c r="H10144" s="19"/>
    </row>
    <row r="10145">
      <c r="A10145" s="9"/>
      <c r="B10145" s="15"/>
      <c r="C10145" s="9">
        <f>IFERROR(__xludf.DUMMYFUNCTION("""COMPUTED_VALUE"""),45037.5279850115)</f>
        <v>45037.52799</v>
      </c>
      <c r="D10145" s="15">
        <f>IFERROR(__xludf.DUMMYFUNCTION("""COMPUTED_VALUE"""),1.04)</f>
        <v>1.04</v>
      </c>
      <c r="E10145" s="16">
        <f>IFERROR(__xludf.DUMMYFUNCTION("""COMPUTED_VALUE"""),64.0)</f>
        <v>64</v>
      </c>
      <c r="F10145" s="19" t="str">
        <f>IFERROR(__xludf.DUMMYFUNCTION("""COMPUTED_VALUE"""),"BLUE")</f>
        <v>BLUE</v>
      </c>
      <c r="G10145" s="20" t="str">
        <f>IFERROR(__xludf.DUMMYFUNCTION("""COMPUTED_VALUE"""),"Uncle Sams Cider (04/04/2023)")</f>
        <v>Uncle Sams Cider (04/04/2023)</v>
      </c>
      <c r="H10145" s="19"/>
    </row>
    <row r="10146">
      <c r="A10146" s="9"/>
      <c r="B10146" s="15"/>
      <c r="C10146" s="9">
        <f>IFERROR(__xludf.DUMMYFUNCTION("""COMPUTED_VALUE"""),45037.5175401851)</f>
        <v>45037.51754</v>
      </c>
      <c r="D10146" s="15">
        <f>IFERROR(__xludf.DUMMYFUNCTION("""COMPUTED_VALUE"""),1.041)</f>
        <v>1.041</v>
      </c>
      <c r="E10146" s="16">
        <f>IFERROR(__xludf.DUMMYFUNCTION("""COMPUTED_VALUE"""),64.0)</f>
        <v>64</v>
      </c>
      <c r="F10146" s="19" t="str">
        <f>IFERROR(__xludf.DUMMYFUNCTION("""COMPUTED_VALUE"""),"BLUE")</f>
        <v>BLUE</v>
      </c>
      <c r="G10146" s="20" t="str">
        <f>IFERROR(__xludf.DUMMYFUNCTION("""COMPUTED_VALUE"""),"Uncle Sams Cider (04/04/2023)")</f>
        <v>Uncle Sams Cider (04/04/2023)</v>
      </c>
      <c r="H10146" s="19"/>
    </row>
    <row r="10147">
      <c r="A10147" s="9"/>
      <c r="B10147" s="15"/>
      <c r="C10147" s="9">
        <f>IFERROR(__xludf.DUMMYFUNCTION("""COMPUTED_VALUE"""),45037.5071182986)</f>
        <v>45037.50712</v>
      </c>
      <c r="D10147" s="15">
        <f>IFERROR(__xludf.DUMMYFUNCTION("""COMPUTED_VALUE"""),1.041)</f>
        <v>1.041</v>
      </c>
      <c r="E10147" s="16">
        <f>IFERROR(__xludf.DUMMYFUNCTION("""COMPUTED_VALUE"""),64.0)</f>
        <v>64</v>
      </c>
      <c r="F10147" s="19" t="str">
        <f>IFERROR(__xludf.DUMMYFUNCTION("""COMPUTED_VALUE"""),"BLUE")</f>
        <v>BLUE</v>
      </c>
      <c r="G10147" s="20" t="str">
        <f>IFERROR(__xludf.DUMMYFUNCTION("""COMPUTED_VALUE"""),"Uncle Sams Cider (04/04/2023)")</f>
        <v>Uncle Sams Cider (04/04/2023)</v>
      </c>
      <c r="H10147" s="19"/>
    </row>
    <row r="10148">
      <c r="A10148" s="9"/>
      <c r="B10148" s="15"/>
      <c r="C10148" s="9">
        <f>IFERROR(__xludf.DUMMYFUNCTION("""COMPUTED_VALUE"""),45037.4966858564)</f>
        <v>45037.49669</v>
      </c>
      <c r="D10148" s="15">
        <f>IFERROR(__xludf.DUMMYFUNCTION("""COMPUTED_VALUE"""),1.041)</f>
        <v>1.041</v>
      </c>
      <c r="E10148" s="16">
        <f>IFERROR(__xludf.DUMMYFUNCTION("""COMPUTED_VALUE"""),64.0)</f>
        <v>64</v>
      </c>
      <c r="F10148" s="19" t="str">
        <f>IFERROR(__xludf.DUMMYFUNCTION("""COMPUTED_VALUE"""),"BLUE")</f>
        <v>BLUE</v>
      </c>
      <c r="G10148" s="20" t="str">
        <f>IFERROR(__xludf.DUMMYFUNCTION("""COMPUTED_VALUE"""),"Uncle Sams Cider (04/04/2023)")</f>
        <v>Uncle Sams Cider (04/04/2023)</v>
      </c>
      <c r="H10148" s="19"/>
    </row>
    <row r="10149">
      <c r="A10149" s="9"/>
      <c r="B10149" s="15"/>
      <c r="C10149" s="9">
        <f>IFERROR(__xludf.DUMMYFUNCTION("""COMPUTED_VALUE"""),45037.486266875)</f>
        <v>45037.48627</v>
      </c>
      <c r="D10149" s="15">
        <f>IFERROR(__xludf.DUMMYFUNCTION("""COMPUTED_VALUE"""),1.041)</f>
        <v>1.041</v>
      </c>
      <c r="E10149" s="16">
        <f>IFERROR(__xludf.DUMMYFUNCTION("""COMPUTED_VALUE"""),64.0)</f>
        <v>64</v>
      </c>
      <c r="F10149" s="19" t="str">
        <f>IFERROR(__xludf.DUMMYFUNCTION("""COMPUTED_VALUE"""),"BLUE")</f>
        <v>BLUE</v>
      </c>
      <c r="G10149" s="20" t="str">
        <f>IFERROR(__xludf.DUMMYFUNCTION("""COMPUTED_VALUE"""),"Uncle Sams Cider (04/04/2023)")</f>
        <v>Uncle Sams Cider (04/04/2023)</v>
      </c>
      <c r="H10149" s="19"/>
    </row>
    <row r="10150">
      <c r="A10150" s="9"/>
      <c r="B10150" s="15"/>
      <c r="C10150" s="9">
        <f>IFERROR(__xludf.DUMMYFUNCTION("""COMPUTED_VALUE"""),45037.4758339004)</f>
        <v>45037.47583</v>
      </c>
      <c r="D10150" s="15">
        <f>IFERROR(__xludf.DUMMYFUNCTION("""COMPUTED_VALUE"""),1.041)</f>
        <v>1.041</v>
      </c>
      <c r="E10150" s="16">
        <f>IFERROR(__xludf.DUMMYFUNCTION("""COMPUTED_VALUE"""),64.0)</f>
        <v>64</v>
      </c>
      <c r="F10150" s="19" t="str">
        <f>IFERROR(__xludf.DUMMYFUNCTION("""COMPUTED_VALUE"""),"BLUE")</f>
        <v>BLUE</v>
      </c>
      <c r="G10150" s="20" t="str">
        <f>IFERROR(__xludf.DUMMYFUNCTION("""COMPUTED_VALUE"""),"Uncle Sams Cider (04/04/2023)")</f>
        <v>Uncle Sams Cider (04/04/2023)</v>
      </c>
      <c r="H10150" s="19"/>
    </row>
    <row r="10151">
      <c r="A10151" s="9"/>
      <c r="B10151" s="15"/>
      <c r="C10151" s="9">
        <f>IFERROR(__xludf.DUMMYFUNCTION("""COMPUTED_VALUE"""),45037.4653889814)</f>
        <v>45037.46539</v>
      </c>
      <c r="D10151" s="15">
        <f>IFERROR(__xludf.DUMMYFUNCTION("""COMPUTED_VALUE"""),1.041)</f>
        <v>1.041</v>
      </c>
      <c r="E10151" s="16">
        <f>IFERROR(__xludf.DUMMYFUNCTION("""COMPUTED_VALUE"""),64.0)</f>
        <v>64</v>
      </c>
      <c r="F10151" s="19" t="str">
        <f>IFERROR(__xludf.DUMMYFUNCTION("""COMPUTED_VALUE"""),"BLUE")</f>
        <v>BLUE</v>
      </c>
      <c r="G10151" s="20" t="str">
        <f>IFERROR(__xludf.DUMMYFUNCTION("""COMPUTED_VALUE"""),"Uncle Sams Cider (04/04/2023)")</f>
        <v>Uncle Sams Cider (04/04/2023)</v>
      </c>
      <c r="H10151" s="19"/>
    </row>
    <row r="10152">
      <c r="A10152" s="9"/>
      <c r="B10152" s="15"/>
      <c r="C10152" s="9">
        <f>IFERROR(__xludf.DUMMYFUNCTION("""COMPUTED_VALUE"""),45037.4549680439)</f>
        <v>45037.45497</v>
      </c>
      <c r="D10152" s="15">
        <f>IFERROR(__xludf.DUMMYFUNCTION("""COMPUTED_VALUE"""),1.041)</f>
        <v>1.041</v>
      </c>
      <c r="E10152" s="16">
        <f>IFERROR(__xludf.DUMMYFUNCTION("""COMPUTED_VALUE"""),64.0)</f>
        <v>64</v>
      </c>
      <c r="F10152" s="19" t="str">
        <f>IFERROR(__xludf.DUMMYFUNCTION("""COMPUTED_VALUE"""),"BLUE")</f>
        <v>BLUE</v>
      </c>
      <c r="G10152" s="20" t="str">
        <f>IFERROR(__xludf.DUMMYFUNCTION("""COMPUTED_VALUE"""),"Uncle Sams Cider (04/04/2023)")</f>
        <v>Uncle Sams Cider (04/04/2023)</v>
      </c>
      <c r="H10152" s="19"/>
    </row>
    <row r="10153">
      <c r="A10153" s="9"/>
      <c r="B10153" s="15"/>
      <c r="C10153" s="9">
        <f>IFERROR(__xludf.DUMMYFUNCTION("""COMPUTED_VALUE"""),45037.4445487268)</f>
        <v>45037.44455</v>
      </c>
      <c r="D10153" s="15">
        <f>IFERROR(__xludf.DUMMYFUNCTION("""COMPUTED_VALUE"""),1.041)</f>
        <v>1.041</v>
      </c>
      <c r="E10153" s="16">
        <f>IFERROR(__xludf.DUMMYFUNCTION("""COMPUTED_VALUE"""),64.0)</f>
        <v>64</v>
      </c>
      <c r="F10153" s="19" t="str">
        <f>IFERROR(__xludf.DUMMYFUNCTION("""COMPUTED_VALUE"""),"BLUE")</f>
        <v>BLUE</v>
      </c>
      <c r="G10153" s="20" t="str">
        <f>IFERROR(__xludf.DUMMYFUNCTION("""COMPUTED_VALUE"""),"Uncle Sams Cider (04/04/2023)")</f>
        <v>Uncle Sams Cider (04/04/2023)</v>
      </c>
      <c r="H10153" s="19"/>
    </row>
    <row r="10154">
      <c r="A10154" s="9"/>
      <c r="B10154" s="15"/>
      <c r="C10154" s="9">
        <f>IFERROR(__xludf.DUMMYFUNCTION("""COMPUTED_VALUE"""),45037.4341277546)</f>
        <v>45037.43413</v>
      </c>
      <c r="D10154" s="15">
        <f>IFERROR(__xludf.DUMMYFUNCTION("""COMPUTED_VALUE"""),1.041)</f>
        <v>1.041</v>
      </c>
      <c r="E10154" s="16">
        <f>IFERROR(__xludf.DUMMYFUNCTION("""COMPUTED_VALUE"""),64.0)</f>
        <v>64</v>
      </c>
      <c r="F10154" s="19" t="str">
        <f>IFERROR(__xludf.DUMMYFUNCTION("""COMPUTED_VALUE"""),"BLUE")</f>
        <v>BLUE</v>
      </c>
      <c r="G10154" s="20" t="str">
        <f>IFERROR(__xludf.DUMMYFUNCTION("""COMPUTED_VALUE"""),"Uncle Sams Cider (04/04/2023)")</f>
        <v>Uncle Sams Cider (04/04/2023)</v>
      </c>
      <c r="H10154" s="19"/>
    </row>
    <row r="10155">
      <c r="A10155" s="9"/>
      <c r="B10155" s="15"/>
      <c r="C10155" s="9">
        <f>IFERROR(__xludf.DUMMYFUNCTION("""COMPUTED_VALUE"""),45037.4237063657)</f>
        <v>45037.42371</v>
      </c>
      <c r="D10155" s="15">
        <f>IFERROR(__xludf.DUMMYFUNCTION("""COMPUTED_VALUE"""),1.041)</f>
        <v>1.041</v>
      </c>
      <c r="E10155" s="16">
        <f>IFERROR(__xludf.DUMMYFUNCTION("""COMPUTED_VALUE"""),64.0)</f>
        <v>64</v>
      </c>
      <c r="F10155" s="19" t="str">
        <f>IFERROR(__xludf.DUMMYFUNCTION("""COMPUTED_VALUE"""),"BLUE")</f>
        <v>BLUE</v>
      </c>
      <c r="G10155" s="20" t="str">
        <f>IFERROR(__xludf.DUMMYFUNCTION("""COMPUTED_VALUE"""),"Uncle Sams Cider (04/04/2023)")</f>
        <v>Uncle Sams Cider (04/04/2023)</v>
      </c>
      <c r="H10155" s="19"/>
    </row>
    <row r="10156">
      <c r="A10156" s="9"/>
      <c r="B10156" s="15"/>
      <c r="C10156" s="9">
        <f>IFERROR(__xludf.DUMMYFUNCTION("""COMPUTED_VALUE"""),45037.4132742013)</f>
        <v>45037.41327</v>
      </c>
      <c r="D10156" s="15">
        <f>IFERROR(__xludf.DUMMYFUNCTION("""COMPUTED_VALUE"""),1.041)</f>
        <v>1.041</v>
      </c>
      <c r="E10156" s="16">
        <f>IFERROR(__xludf.DUMMYFUNCTION("""COMPUTED_VALUE"""),64.0)</f>
        <v>64</v>
      </c>
      <c r="F10156" s="19" t="str">
        <f>IFERROR(__xludf.DUMMYFUNCTION("""COMPUTED_VALUE"""),"BLUE")</f>
        <v>BLUE</v>
      </c>
      <c r="G10156" s="20" t="str">
        <f>IFERROR(__xludf.DUMMYFUNCTION("""COMPUTED_VALUE"""),"Uncle Sams Cider (04/04/2023)")</f>
        <v>Uncle Sams Cider (04/04/2023)</v>
      </c>
      <c r="H10156" s="19"/>
    </row>
    <row r="10157">
      <c r="A10157" s="9"/>
      <c r="B10157" s="15"/>
      <c r="C10157" s="9">
        <f>IFERROR(__xludf.DUMMYFUNCTION("""COMPUTED_VALUE"""),45037.4028433912)</f>
        <v>45037.40284</v>
      </c>
      <c r="D10157" s="15">
        <f>IFERROR(__xludf.DUMMYFUNCTION("""COMPUTED_VALUE"""),1.041)</f>
        <v>1.041</v>
      </c>
      <c r="E10157" s="16">
        <f>IFERROR(__xludf.DUMMYFUNCTION("""COMPUTED_VALUE"""),64.0)</f>
        <v>64</v>
      </c>
      <c r="F10157" s="19" t="str">
        <f>IFERROR(__xludf.DUMMYFUNCTION("""COMPUTED_VALUE"""),"BLUE")</f>
        <v>BLUE</v>
      </c>
      <c r="G10157" s="20" t="str">
        <f>IFERROR(__xludf.DUMMYFUNCTION("""COMPUTED_VALUE"""),"Uncle Sams Cider (04/04/2023)")</f>
        <v>Uncle Sams Cider (04/04/2023)</v>
      </c>
      <c r="H10157" s="19"/>
    </row>
    <row r="10158">
      <c r="A10158" s="9"/>
      <c r="B10158" s="15"/>
      <c r="C10158" s="9">
        <f>IFERROR(__xludf.DUMMYFUNCTION("""COMPUTED_VALUE"""),45037.3924103819)</f>
        <v>45037.39241</v>
      </c>
      <c r="D10158" s="15">
        <f>IFERROR(__xludf.DUMMYFUNCTION("""COMPUTED_VALUE"""),1.041)</f>
        <v>1.041</v>
      </c>
      <c r="E10158" s="16">
        <f>IFERROR(__xludf.DUMMYFUNCTION("""COMPUTED_VALUE"""),64.0)</f>
        <v>64</v>
      </c>
      <c r="F10158" s="19" t="str">
        <f>IFERROR(__xludf.DUMMYFUNCTION("""COMPUTED_VALUE"""),"BLUE")</f>
        <v>BLUE</v>
      </c>
      <c r="G10158" s="20" t="str">
        <f>IFERROR(__xludf.DUMMYFUNCTION("""COMPUTED_VALUE"""),"Uncle Sams Cider (04/04/2023)")</f>
        <v>Uncle Sams Cider (04/04/2023)</v>
      </c>
      <c r="H10158" s="19"/>
    </row>
    <row r="10159">
      <c r="A10159" s="9"/>
      <c r="B10159" s="15"/>
      <c r="C10159" s="9">
        <f>IFERROR(__xludf.DUMMYFUNCTION("""COMPUTED_VALUE"""),45037.3819879398)</f>
        <v>45037.38199</v>
      </c>
      <c r="D10159" s="15">
        <f>IFERROR(__xludf.DUMMYFUNCTION("""COMPUTED_VALUE"""),1.041)</f>
        <v>1.041</v>
      </c>
      <c r="E10159" s="16">
        <f>IFERROR(__xludf.DUMMYFUNCTION("""COMPUTED_VALUE"""),64.0)</f>
        <v>64</v>
      </c>
      <c r="F10159" s="19" t="str">
        <f>IFERROR(__xludf.DUMMYFUNCTION("""COMPUTED_VALUE"""),"BLUE")</f>
        <v>BLUE</v>
      </c>
      <c r="G10159" s="20" t="str">
        <f>IFERROR(__xludf.DUMMYFUNCTION("""COMPUTED_VALUE"""),"Uncle Sams Cider (04/04/2023)")</f>
        <v>Uncle Sams Cider (04/04/2023)</v>
      </c>
      <c r="H10159" s="19"/>
    </row>
    <row r="10160">
      <c r="A10160" s="9"/>
      <c r="B10160" s="15"/>
      <c r="C10160" s="9">
        <f>IFERROR(__xludf.DUMMYFUNCTION("""COMPUTED_VALUE"""),45037.3715670486)</f>
        <v>45037.37157</v>
      </c>
      <c r="D10160" s="15">
        <f>IFERROR(__xludf.DUMMYFUNCTION("""COMPUTED_VALUE"""),1.041)</f>
        <v>1.041</v>
      </c>
      <c r="E10160" s="16">
        <f>IFERROR(__xludf.DUMMYFUNCTION("""COMPUTED_VALUE"""),64.0)</f>
        <v>64</v>
      </c>
      <c r="F10160" s="19" t="str">
        <f>IFERROR(__xludf.DUMMYFUNCTION("""COMPUTED_VALUE"""),"BLUE")</f>
        <v>BLUE</v>
      </c>
      <c r="G10160" s="20" t="str">
        <f>IFERROR(__xludf.DUMMYFUNCTION("""COMPUTED_VALUE"""),"Uncle Sams Cider (04/04/2023)")</f>
        <v>Uncle Sams Cider (04/04/2023)</v>
      </c>
      <c r="H10160" s="19"/>
    </row>
    <row r="10161">
      <c r="A10161" s="9"/>
      <c r="B10161" s="15"/>
      <c r="C10161" s="9">
        <f>IFERROR(__xludf.DUMMYFUNCTION("""COMPUTED_VALUE"""),45037.3611469444)</f>
        <v>45037.36115</v>
      </c>
      <c r="D10161" s="15">
        <f>IFERROR(__xludf.DUMMYFUNCTION("""COMPUTED_VALUE"""),1.041)</f>
        <v>1.041</v>
      </c>
      <c r="E10161" s="16">
        <f>IFERROR(__xludf.DUMMYFUNCTION("""COMPUTED_VALUE"""),64.0)</f>
        <v>64</v>
      </c>
      <c r="F10161" s="19" t="str">
        <f>IFERROR(__xludf.DUMMYFUNCTION("""COMPUTED_VALUE"""),"BLUE")</f>
        <v>BLUE</v>
      </c>
      <c r="G10161" s="20" t="str">
        <f>IFERROR(__xludf.DUMMYFUNCTION("""COMPUTED_VALUE"""),"Uncle Sams Cider (04/04/2023)")</f>
        <v>Uncle Sams Cider (04/04/2023)</v>
      </c>
      <c r="H10161" s="19"/>
    </row>
    <row r="10162">
      <c r="A10162" s="9"/>
      <c r="B10162" s="15"/>
      <c r="C10162" s="9">
        <f>IFERROR(__xludf.DUMMYFUNCTION("""COMPUTED_VALUE"""),45037.3507047338)</f>
        <v>45037.3507</v>
      </c>
      <c r="D10162" s="15">
        <f>IFERROR(__xludf.DUMMYFUNCTION("""COMPUTED_VALUE"""),1.041)</f>
        <v>1.041</v>
      </c>
      <c r="E10162" s="16">
        <f>IFERROR(__xludf.DUMMYFUNCTION("""COMPUTED_VALUE"""),64.0)</f>
        <v>64</v>
      </c>
      <c r="F10162" s="19" t="str">
        <f>IFERROR(__xludf.DUMMYFUNCTION("""COMPUTED_VALUE"""),"BLUE")</f>
        <v>BLUE</v>
      </c>
      <c r="G10162" s="20" t="str">
        <f>IFERROR(__xludf.DUMMYFUNCTION("""COMPUTED_VALUE"""),"Uncle Sams Cider (04/04/2023)")</f>
        <v>Uncle Sams Cider (04/04/2023)</v>
      </c>
      <c r="H10162" s="19"/>
    </row>
    <row r="10163">
      <c r="A10163" s="9"/>
      <c r="B10163" s="15"/>
      <c r="C10163" s="9">
        <f>IFERROR(__xludf.DUMMYFUNCTION("""COMPUTED_VALUE"""),45037.340283368)</f>
        <v>45037.34028</v>
      </c>
      <c r="D10163" s="15">
        <f>IFERROR(__xludf.DUMMYFUNCTION("""COMPUTED_VALUE"""),1.041)</f>
        <v>1.041</v>
      </c>
      <c r="E10163" s="16">
        <f>IFERROR(__xludf.DUMMYFUNCTION("""COMPUTED_VALUE"""),64.0)</f>
        <v>64</v>
      </c>
      <c r="F10163" s="19" t="str">
        <f>IFERROR(__xludf.DUMMYFUNCTION("""COMPUTED_VALUE"""),"BLUE")</f>
        <v>BLUE</v>
      </c>
      <c r="G10163" s="20" t="str">
        <f>IFERROR(__xludf.DUMMYFUNCTION("""COMPUTED_VALUE"""),"Uncle Sams Cider (04/04/2023)")</f>
        <v>Uncle Sams Cider (04/04/2023)</v>
      </c>
      <c r="H10163" s="19"/>
    </row>
    <row r="10164">
      <c r="A10164" s="9"/>
      <c r="B10164" s="15"/>
      <c r="C10164" s="9">
        <f>IFERROR(__xludf.DUMMYFUNCTION("""COMPUTED_VALUE"""),45037.3298626967)</f>
        <v>45037.32986</v>
      </c>
      <c r="D10164" s="15">
        <f>IFERROR(__xludf.DUMMYFUNCTION("""COMPUTED_VALUE"""),1.041)</f>
        <v>1.041</v>
      </c>
      <c r="E10164" s="16">
        <f>IFERROR(__xludf.DUMMYFUNCTION("""COMPUTED_VALUE"""),64.0)</f>
        <v>64</v>
      </c>
      <c r="F10164" s="19" t="str">
        <f>IFERROR(__xludf.DUMMYFUNCTION("""COMPUTED_VALUE"""),"BLUE")</f>
        <v>BLUE</v>
      </c>
      <c r="G10164" s="20" t="str">
        <f>IFERROR(__xludf.DUMMYFUNCTION("""COMPUTED_VALUE"""),"Uncle Sams Cider (04/04/2023)")</f>
        <v>Uncle Sams Cider (04/04/2023)</v>
      </c>
      <c r="H10164" s="19"/>
    </row>
    <row r="10165">
      <c r="A10165" s="9"/>
      <c r="B10165" s="15"/>
      <c r="C10165" s="9">
        <f>IFERROR(__xludf.DUMMYFUNCTION("""COMPUTED_VALUE"""),45037.3194410879)</f>
        <v>45037.31944</v>
      </c>
      <c r="D10165" s="15">
        <f>IFERROR(__xludf.DUMMYFUNCTION("""COMPUTED_VALUE"""),1.041)</f>
        <v>1.041</v>
      </c>
      <c r="E10165" s="16">
        <f>IFERROR(__xludf.DUMMYFUNCTION("""COMPUTED_VALUE"""),64.0)</f>
        <v>64</v>
      </c>
      <c r="F10165" s="19" t="str">
        <f>IFERROR(__xludf.DUMMYFUNCTION("""COMPUTED_VALUE"""),"BLUE")</f>
        <v>BLUE</v>
      </c>
      <c r="G10165" s="20" t="str">
        <f>IFERROR(__xludf.DUMMYFUNCTION("""COMPUTED_VALUE"""),"Uncle Sams Cider (04/04/2023)")</f>
        <v>Uncle Sams Cider (04/04/2023)</v>
      </c>
      <c r="H10165" s="19"/>
    </row>
    <row r="10166">
      <c r="A10166" s="9"/>
      <c r="B10166" s="15"/>
      <c r="C10166" s="9">
        <f>IFERROR(__xludf.DUMMYFUNCTION("""COMPUTED_VALUE"""),45037.3090195717)</f>
        <v>45037.30902</v>
      </c>
      <c r="D10166" s="15">
        <f>IFERROR(__xludf.DUMMYFUNCTION("""COMPUTED_VALUE"""),1.041)</f>
        <v>1.041</v>
      </c>
      <c r="E10166" s="16">
        <f>IFERROR(__xludf.DUMMYFUNCTION("""COMPUTED_VALUE"""),64.0)</f>
        <v>64</v>
      </c>
      <c r="F10166" s="19" t="str">
        <f>IFERROR(__xludf.DUMMYFUNCTION("""COMPUTED_VALUE"""),"BLUE")</f>
        <v>BLUE</v>
      </c>
      <c r="G10166" s="20" t="str">
        <f>IFERROR(__xludf.DUMMYFUNCTION("""COMPUTED_VALUE"""),"Uncle Sams Cider (04/04/2023)")</f>
        <v>Uncle Sams Cider (04/04/2023)</v>
      </c>
      <c r="H10166" s="19"/>
    </row>
    <row r="10167">
      <c r="A10167" s="9"/>
      <c r="B10167" s="15"/>
      <c r="C10167" s="9">
        <f>IFERROR(__xludf.DUMMYFUNCTION("""COMPUTED_VALUE"""),45037.2985976157)</f>
        <v>45037.2986</v>
      </c>
      <c r="D10167" s="15">
        <f>IFERROR(__xludf.DUMMYFUNCTION("""COMPUTED_VALUE"""),1.041)</f>
        <v>1.041</v>
      </c>
      <c r="E10167" s="16">
        <f>IFERROR(__xludf.DUMMYFUNCTION("""COMPUTED_VALUE"""),64.0)</f>
        <v>64</v>
      </c>
      <c r="F10167" s="19" t="str">
        <f>IFERROR(__xludf.DUMMYFUNCTION("""COMPUTED_VALUE"""),"BLUE")</f>
        <v>BLUE</v>
      </c>
      <c r="G10167" s="20" t="str">
        <f>IFERROR(__xludf.DUMMYFUNCTION("""COMPUTED_VALUE"""),"Uncle Sams Cider (04/04/2023)")</f>
        <v>Uncle Sams Cider (04/04/2023)</v>
      </c>
      <c r="H10167" s="19"/>
    </row>
    <row r="10168">
      <c r="A10168" s="9"/>
      <c r="B10168" s="15"/>
      <c r="C10168" s="9">
        <f>IFERROR(__xludf.DUMMYFUNCTION("""COMPUTED_VALUE"""),45037.2881300925)</f>
        <v>45037.28813</v>
      </c>
      <c r="D10168" s="15">
        <f>IFERROR(__xludf.DUMMYFUNCTION("""COMPUTED_VALUE"""),1.041)</f>
        <v>1.041</v>
      </c>
      <c r="E10168" s="16">
        <f>IFERROR(__xludf.DUMMYFUNCTION("""COMPUTED_VALUE"""),64.0)</f>
        <v>64</v>
      </c>
      <c r="F10168" s="19" t="str">
        <f>IFERROR(__xludf.DUMMYFUNCTION("""COMPUTED_VALUE"""),"BLUE")</f>
        <v>BLUE</v>
      </c>
      <c r="G10168" s="20" t="str">
        <f>IFERROR(__xludf.DUMMYFUNCTION("""COMPUTED_VALUE"""),"Uncle Sams Cider (04/04/2023)")</f>
        <v>Uncle Sams Cider (04/04/2023)</v>
      </c>
      <c r="H10168" s="19"/>
    </row>
    <row r="10169">
      <c r="A10169" s="9"/>
      <c r="B10169" s="15"/>
      <c r="C10169" s="9">
        <f>IFERROR(__xludf.DUMMYFUNCTION("""COMPUTED_VALUE"""),45037.2777083912)</f>
        <v>45037.27771</v>
      </c>
      <c r="D10169" s="15">
        <f>IFERROR(__xludf.DUMMYFUNCTION("""COMPUTED_VALUE"""),1.041)</f>
        <v>1.041</v>
      </c>
      <c r="E10169" s="16">
        <f>IFERROR(__xludf.DUMMYFUNCTION("""COMPUTED_VALUE"""),64.0)</f>
        <v>64</v>
      </c>
      <c r="F10169" s="19" t="str">
        <f>IFERROR(__xludf.DUMMYFUNCTION("""COMPUTED_VALUE"""),"BLUE")</f>
        <v>BLUE</v>
      </c>
      <c r="G10169" s="20" t="str">
        <f>IFERROR(__xludf.DUMMYFUNCTION("""COMPUTED_VALUE"""),"Uncle Sams Cider (04/04/2023)")</f>
        <v>Uncle Sams Cider (04/04/2023)</v>
      </c>
      <c r="H10169" s="19"/>
    </row>
    <row r="10170">
      <c r="A10170" s="9"/>
      <c r="B10170" s="15"/>
      <c r="C10170" s="9">
        <f>IFERROR(__xludf.DUMMYFUNCTION("""COMPUTED_VALUE"""),45037.2672888888)</f>
        <v>45037.26729</v>
      </c>
      <c r="D10170" s="15">
        <f>IFERROR(__xludf.DUMMYFUNCTION("""COMPUTED_VALUE"""),1.041)</f>
        <v>1.041</v>
      </c>
      <c r="E10170" s="16">
        <f>IFERROR(__xludf.DUMMYFUNCTION("""COMPUTED_VALUE"""),64.0)</f>
        <v>64</v>
      </c>
      <c r="F10170" s="19" t="str">
        <f>IFERROR(__xludf.DUMMYFUNCTION("""COMPUTED_VALUE"""),"BLUE")</f>
        <v>BLUE</v>
      </c>
      <c r="G10170" s="20" t="str">
        <f>IFERROR(__xludf.DUMMYFUNCTION("""COMPUTED_VALUE"""),"Uncle Sams Cider (04/04/2023)")</f>
        <v>Uncle Sams Cider (04/04/2023)</v>
      </c>
      <c r="H10170" s="19"/>
    </row>
    <row r="10171">
      <c r="A10171" s="9"/>
      <c r="B10171" s="15"/>
      <c r="C10171" s="9">
        <f>IFERROR(__xludf.DUMMYFUNCTION("""COMPUTED_VALUE"""),45037.2568664699)</f>
        <v>45037.25687</v>
      </c>
      <c r="D10171" s="15">
        <f>IFERROR(__xludf.DUMMYFUNCTION("""COMPUTED_VALUE"""),1.041)</f>
        <v>1.041</v>
      </c>
      <c r="E10171" s="16">
        <f>IFERROR(__xludf.DUMMYFUNCTION("""COMPUTED_VALUE"""),64.0)</f>
        <v>64</v>
      </c>
      <c r="F10171" s="19" t="str">
        <f>IFERROR(__xludf.DUMMYFUNCTION("""COMPUTED_VALUE"""),"BLUE")</f>
        <v>BLUE</v>
      </c>
      <c r="G10171" s="20" t="str">
        <f>IFERROR(__xludf.DUMMYFUNCTION("""COMPUTED_VALUE"""),"Uncle Sams Cider (04/04/2023)")</f>
        <v>Uncle Sams Cider (04/04/2023)</v>
      </c>
      <c r="H10171" s="19"/>
    </row>
    <row r="10172">
      <c r="A10172" s="9"/>
      <c r="B10172" s="15"/>
      <c r="C10172" s="9">
        <f>IFERROR(__xludf.DUMMYFUNCTION("""COMPUTED_VALUE"""),45037.2464458796)</f>
        <v>45037.24645</v>
      </c>
      <c r="D10172" s="15">
        <f>IFERROR(__xludf.DUMMYFUNCTION("""COMPUTED_VALUE"""),1.041)</f>
        <v>1.041</v>
      </c>
      <c r="E10172" s="16">
        <f>IFERROR(__xludf.DUMMYFUNCTION("""COMPUTED_VALUE"""),64.0)</f>
        <v>64</v>
      </c>
      <c r="F10172" s="19" t="str">
        <f>IFERROR(__xludf.DUMMYFUNCTION("""COMPUTED_VALUE"""),"BLUE")</f>
        <v>BLUE</v>
      </c>
      <c r="G10172" s="20" t="str">
        <f>IFERROR(__xludf.DUMMYFUNCTION("""COMPUTED_VALUE"""),"Uncle Sams Cider (04/04/2023)")</f>
        <v>Uncle Sams Cider (04/04/2023)</v>
      </c>
      <c r="H10172" s="19"/>
    </row>
    <row r="10173">
      <c r="A10173" s="9"/>
      <c r="B10173" s="15"/>
      <c r="C10173" s="9">
        <f>IFERROR(__xludf.DUMMYFUNCTION("""COMPUTED_VALUE"""),45037.2360222337)</f>
        <v>45037.23602</v>
      </c>
      <c r="D10173" s="15">
        <f>IFERROR(__xludf.DUMMYFUNCTION("""COMPUTED_VALUE"""),1.041)</f>
        <v>1.041</v>
      </c>
      <c r="E10173" s="16">
        <f>IFERROR(__xludf.DUMMYFUNCTION("""COMPUTED_VALUE"""),64.0)</f>
        <v>64</v>
      </c>
      <c r="F10173" s="19" t="str">
        <f>IFERROR(__xludf.DUMMYFUNCTION("""COMPUTED_VALUE"""),"BLUE")</f>
        <v>BLUE</v>
      </c>
      <c r="G10173" s="20" t="str">
        <f>IFERROR(__xludf.DUMMYFUNCTION("""COMPUTED_VALUE"""),"Uncle Sams Cider (04/04/2023)")</f>
        <v>Uncle Sams Cider (04/04/2023)</v>
      </c>
      <c r="H10173" s="19"/>
    </row>
    <row r="10174">
      <c r="A10174" s="9"/>
      <c r="B10174" s="15"/>
      <c r="C10174" s="9">
        <f>IFERROR(__xludf.DUMMYFUNCTION("""COMPUTED_VALUE"""),45037.2256020717)</f>
        <v>45037.2256</v>
      </c>
      <c r="D10174" s="15">
        <f>IFERROR(__xludf.DUMMYFUNCTION("""COMPUTED_VALUE"""),1.041)</f>
        <v>1.041</v>
      </c>
      <c r="E10174" s="16">
        <f>IFERROR(__xludf.DUMMYFUNCTION("""COMPUTED_VALUE"""),64.0)</f>
        <v>64</v>
      </c>
      <c r="F10174" s="19" t="str">
        <f>IFERROR(__xludf.DUMMYFUNCTION("""COMPUTED_VALUE"""),"BLUE")</f>
        <v>BLUE</v>
      </c>
      <c r="G10174" s="20" t="str">
        <f>IFERROR(__xludf.DUMMYFUNCTION("""COMPUTED_VALUE"""),"Uncle Sams Cider (04/04/2023)")</f>
        <v>Uncle Sams Cider (04/04/2023)</v>
      </c>
      <c r="H10174" s="19"/>
    </row>
    <row r="10175">
      <c r="A10175" s="9"/>
      <c r="B10175" s="15"/>
      <c r="C10175" s="9">
        <f>IFERROR(__xludf.DUMMYFUNCTION("""COMPUTED_VALUE"""),45037.215181331)</f>
        <v>45037.21518</v>
      </c>
      <c r="D10175" s="15">
        <f>IFERROR(__xludf.DUMMYFUNCTION("""COMPUTED_VALUE"""),1.041)</f>
        <v>1.041</v>
      </c>
      <c r="E10175" s="16">
        <f>IFERROR(__xludf.DUMMYFUNCTION("""COMPUTED_VALUE"""),64.0)</f>
        <v>64</v>
      </c>
      <c r="F10175" s="19" t="str">
        <f>IFERROR(__xludf.DUMMYFUNCTION("""COMPUTED_VALUE"""),"BLUE")</f>
        <v>BLUE</v>
      </c>
      <c r="G10175" s="20" t="str">
        <f>IFERROR(__xludf.DUMMYFUNCTION("""COMPUTED_VALUE"""),"Uncle Sams Cider (04/04/2023)")</f>
        <v>Uncle Sams Cider (04/04/2023)</v>
      </c>
      <c r="H10175" s="19"/>
    </row>
    <row r="10176">
      <c r="A10176" s="9"/>
      <c r="B10176" s="15"/>
      <c r="C10176" s="9">
        <f>IFERROR(__xludf.DUMMYFUNCTION("""COMPUTED_VALUE"""),45037.2047586342)</f>
        <v>45037.20476</v>
      </c>
      <c r="D10176" s="15">
        <f>IFERROR(__xludf.DUMMYFUNCTION("""COMPUTED_VALUE"""),1.042)</f>
        <v>1.042</v>
      </c>
      <c r="E10176" s="16">
        <f>IFERROR(__xludf.DUMMYFUNCTION("""COMPUTED_VALUE"""),63.0)</f>
        <v>63</v>
      </c>
      <c r="F10176" s="19" t="str">
        <f>IFERROR(__xludf.DUMMYFUNCTION("""COMPUTED_VALUE"""),"BLUE")</f>
        <v>BLUE</v>
      </c>
      <c r="G10176" s="20" t="str">
        <f>IFERROR(__xludf.DUMMYFUNCTION("""COMPUTED_VALUE"""),"Uncle Sams Cider (04/04/2023)")</f>
        <v>Uncle Sams Cider (04/04/2023)</v>
      </c>
      <c r="H10176" s="19"/>
    </row>
    <row r="10177">
      <c r="A10177" s="9"/>
      <c r="B10177" s="15"/>
      <c r="C10177" s="9">
        <f>IFERROR(__xludf.DUMMYFUNCTION("""COMPUTED_VALUE"""),45037.1943372106)</f>
        <v>45037.19434</v>
      </c>
      <c r="D10177" s="15">
        <f>IFERROR(__xludf.DUMMYFUNCTION("""COMPUTED_VALUE"""),1.041)</f>
        <v>1.041</v>
      </c>
      <c r="E10177" s="16">
        <f>IFERROR(__xludf.DUMMYFUNCTION("""COMPUTED_VALUE"""),64.0)</f>
        <v>64</v>
      </c>
      <c r="F10177" s="19" t="str">
        <f>IFERROR(__xludf.DUMMYFUNCTION("""COMPUTED_VALUE"""),"BLUE")</f>
        <v>BLUE</v>
      </c>
      <c r="G10177" s="20" t="str">
        <f>IFERROR(__xludf.DUMMYFUNCTION("""COMPUTED_VALUE"""),"Uncle Sams Cider (04/04/2023)")</f>
        <v>Uncle Sams Cider (04/04/2023)</v>
      </c>
      <c r="H10177" s="19"/>
    </row>
    <row r="10178">
      <c r="A10178" s="9"/>
      <c r="B10178" s="15"/>
      <c r="C10178" s="9">
        <f>IFERROR(__xludf.DUMMYFUNCTION("""COMPUTED_VALUE"""),45037.1839172685)</f>
        <v>45037.18392</v>
      </c>
      <c r="D10178" s="15">
        <f>IFERROR(__xludf.DUMMYFUNCTION("""COMPUTED_VALUE"""),1.041)</f>
        <v>1.041</v>
      </c>
      <c r="E10178" s="16">
        <f>IFERROR(__xludf.DUMMYFUNCTION("""COMPUTED_VALUE"""),64.0)</f>
        <v>64</v>
      </c>
      <c r="F10178" s="19" t="str">
        <f>IFERROR(__xludf.DUMMYFUNCTION("""COMPUTED_VALUE"""),"BLUE")</f>
        <v>BLUE</v>
      </c>
      <c r="G10178" s="20" t="str">
        <f>IFERROR(__xludf.DUMMYFUNCTION("""COMPUTED_VALUE"""),"Uncle Sams Cider (04/04/2023)")</f>
        <v>Uncle Sams Cider (04/04/2023)</v>
      </c>
      <c r="H10178" s="19"/>
    </row>
    <row r="10179">
      <c r="A10179" s="9"/>
      <c r="B10179" s="15"/>
      <c r="C10179" s="9">
        <f>IFERROR(__xludf.DUMMYFUNCTION("""COMPUTED_VALUE"""),45037.1734857986)</f>
        <v>45037.17349</v>
      </c>
      <c r="D10179" s="15">
        <f>IFERROR(__xludf.DUMMYFUNCTION("""COMPUTED_VALUE"""),1.041)</f>
        <v>1.041</v>
      </c>
      <c r="E10179" s="16">
        <f>IFERROR(__xludf.DUMMYFUNCTION("""COMPUTED_VALUE"""),64.0)</f>
        <v>64</v>
      </c>
      <c r="F10179" s="19" t="str">
        <f>IFERROR(__xludf.DUMMYFUNCTION("""COMPUTED_VALUE"""),"BLUE")</f>
        <v>BLUE</v>
      </c>
      <c r="G10179" s="20" t="str">
        <f>IFERROR(__xludf.DUMMYFUNCTION("""COMPUTED_VALUE"""),"Uncle Sams Cider (04/04/2023)")</f>
        <v>Uncle Sams Cider (04/04/2023)</v>
      </c>
      <c r="H10179" s="19"/>
    </row>
    <row r="10180">
      <c r="A10180" s="9"/>
      <c r="B10180" s="15"/>
      <c r="C10180" s="9">
        <f>IFERROR(__xludf.DUMMYFUNCTION("""COMPUTED_VALUE"""),45037.1630643055)</f>
        <v>45037.16306</v>
      </c>
      <c r="D10180" s="15">
        <f>IFERROR(__xludf.DUMMYFUNCTION("""COMPUTED_VALUE"""),1.041)</f>
        <v>1.041</v>
      </c>
      <c r="E10180" s="16">
        <f>IFERROR(__xludf.DUMMYFUNCTION("""COMPUTED_VALUE"""),64.0)</f>
        <v>64</v>
      </c>
      <c r="F10180" s="19" t="str">
        <f>IFERROR(__xludf.DUMMYFUNCTION("""COMPUTED_VALUE"""),"BLUE")</f>
        <v>BLUE</v>
      </c>
      <c r="G10180" s="20" t="str">
        <f>IFERROR(__xludf.DUMMYFUNCTION("""COMPUTED_VALUE"""),"Uncle Sams Cider (04/04/2023)")</f>
        <v>Uncle Sams Cider (04/04/2023)</v>
      </c>
      <c r="H10180" s="19"/>
    </row>
    <row r="10181">
      <c r="A10181" s="9"/>
      <c r="B10181" s="15"/>
      <c r="C10181" s="9">
        <f>IFERROR(__xludf.DUMMYFUNCTION("""COMPUTED_VALUE"""),45037.1526428125)</f>
        <v>45037.15264</v>
      </c>
      <c r="D10181" s="15">
        <f>IFERROR(__xludf.DUMMYFUNCTION("""COMPUTED_VALUE"""),1.042)</f>
        <v>1.042</v>
      </c>
      <c r="E10181" s="16">
        <f>IFERROR(__xludf.DUMMYFUNCTION("""COMPUTED_VALUE"""),64.0)</f>
        <v>64</v>
      </c>
      <c r="F10181" s="19" t="str">
        <f>IFERROR(__xludf.DUMMYFUNCTION("""COMPUTED_VALUE"""),"BLUE")</f>
        <v>BLUE</v>
      </c>
      <c r="G10181" s="20" t="str">
        <f>IFERROR(__xludf.DUMMYFUNCTION("""COMPUTED_VALUE"""),"Uncle Sams Cider (04/04/2023)")</f>
        <v>Uncle Sams Cider (04/04/2023)</v>
      </c>
      <c r="H10181" s="19"/>
    </row>
    <row r="10182">
      <c r="A10182" s="9"/>
      <c r="B10182" s="15"/>
      <c r="C10182" s="9">
        <f>IFERROR(__xludf.DUMMYFUNCTION("""COMPUTED_VALUE"""),45037.1422216203)</f>
        <v>45037.14222</v>
      </c>
      <c r="D10182" s="15">
        <f>IFERROR(__xludf.DUMMYFUNCTION("""COMPUTED_VALUE"""),1.042)</f>
        <v>1.042</v>
      </c>
      <c r="E10182" s="16">
        <f>IFERROR(__xludf.DUMMYFUNCTION("""COMPUTED_VALUE"""),64.0)</f>
        <v>64</v>
      </c>
      <c r="F10182" s="19" t="str">
        <f>IFERROR(__xludf.DUMMYFUNCTION("""COMPUTED_VALUE"""),"BLUE")</f>
        <v>BLUE</v>
      </c>
      <c r="G10182" s="20" t="str">
        <f>IFERROR(__xludf.DUMMYFUNCTION("""COMPUTED_VALUE"""),"Uncle Sams Cider (04/04/2023)")</f>
        <v>Uncle Sams Cider (04/04/2023)</v>
      </c>
      <c r="H10182" s="19"/>
    </row>
    <row r="10183">
      <c r="A10183" s="9"/>
      <c r="B10183" s="15"/>
      <c r="C10183" s="9">
        <f>IFERROR(__xludf.DUMMYFUNCTION("""COMPUTED_VALUE"""),45037.1318004861)</f>
        <v>45037.1318</v>
      </c>
      <c r="D10183" s="15">
        <f>IFERROR(__xludf.DUMMYFUNCTION("""COMPUTED_VALUE"""),1.041)</f>
        <v>1.041</v>
      </c>
      <c r="E10183" s="16">
        <f>IFERROR(__xludf.DUMMYFUNCTION("""COMPUTED_VALUE"""),63.0)</f>
        <v>63</v>
      </c>
      <c r="F10183" s="19" t="str">
        <f>IFERROR(__xludf.DUMMYFUNCTION("""COMPUTED_VALUE"""),"BLUE")</f>
        <v>BLUE</v>
      </c>
      <c r="G10183" s="20" t="str">
        <f>IFERROR(__xludf.DUMMYFUNCTION("""COMPUTED_VALUE"""),"Uncle Sams Cider (04/04/2023)")</f>
        <v>Uncle Sams Cider (04/04/2023)</v>
      </c>
      <c r="H10183" s="19"/>
    </row>
    <row r="10184">
      <c r="A10184" s="9"/>
      <c r="B10184" s="15"/>
      <c r="C10184" s="9">
        <f>IFERROR(__xludf.DUMMYFUNCTION("""COMPUTED_VALUE"""),45037.1213794212)</f>
        <v>45037.12138</v>
      </c>
      <c r="D10184" s="15">
        <f>IFERROR(__xludf.DUMMYFUNCTION("""COMPUTED_VALUE"""),1.042)</f>
        <v>1.042</v>
      </c>
      <c r="E10184" s="16">
        <f>IFERROR(__xludf.DUMMYFUNCTION("""COMPUTED_VALUE"""),63.0)</f>
        <v>63</v>
      </c>
      <c r="F10184" s="19" t="str">
        <f>IFERROR(__xludf.DUMMYFUNCTION("""COMPUTED_VALUE"""),"BLUE")</f>
        <v>BLUE</v>
      </c>
      <c r="G10184" s="20" t="str">
        <f>IFERROR(__xludf.DUMMYFUNCTION("""COMPUTED_VALUE"""),"Uncle Sams Cider (04/04/2023)")</f>
        <v>Uncle Sams Cider (04/04/2023)</v>
      </c>
      <c r="H10184" s="19"/>
    </row>
    <row r="10185">
      <c r="A10185" s="9"/>
      <c r="B10185" s="15"/>
      <c r="C10185" s="9">
        <f>IFERROR(__xludf.DUMMYFUNCTION("""COMPUTED_VALUE"""),45037.110948287)</f>
        <v>45037.11095</v>
      </c>
      <c r="D10185" s="15">
        <f>IFERROR(__xludf.DUMMYFUNCTION("""COMPUTED_VALUE"""),1.042)</f>
        <v>1.042</v>
      </c>
      <c r="E10185" s="16">
        <f>IFERROR(__xludf.DUMMYFUNCTION("""COMPUTED_VALUE"""),64.0)</f>
        <v>64</v>
      </c>
      <c r="F10185" s="19" t="str">
        <f>IFERROR(__xludf.DUMMYFUNCTION("""COMPUTED_VALUE"""),"BLUE")</f>
        <v>BLUE</v>
      </c>
      <c r="G10185" s="20" t="str">
        <f>IFERROR(__xludf.DUMMYFUNCTION("""COMPUTED_VALUE"""),"Uncle Sams Cider (04/04/2023)")</f>
        <v>Uncle Sams Cider (04/04/2023)</v>
      </c>
      <c r="H10185" s="19"/>
    </row>
    <row r="10186">
      <c r="A10186" s="9"/>
      <c r="B10186" s="15"/>
      <c r="C10186" s="9">
        <f>IFERROR(__xludf.DUMMYFUNCTION("""COMPUTED_VALUE"""),45037.1005152083)</f>
        <v>45037.10052</v>
      </c>
      <c r="D10186" s="15">
        <f>IFERROR(__xludf.DUMMYFUNCTION("""COMPUTED_VALUE"""),1.042)</f>
        <v>1.042</v>
      </c>
      <c r="E10186" s="16">
        <f>IFERROR(__xludf.DUMMYFUNCTION("""COMPUTED_VALUE"""),63.0)</f>
        <v>63</v>
      </c>
      <c r="F10186" s="19" t="str">
        <f>IFERROR(__xludf.DUMMYFUNCTION("""COMPUTED_VALUE"""),"BLUE")</f>
        <v>BLUE</v>
      </c>
      <c r="G10186" s="20" t="str">
        <f>IFERROR(__xludf.DUMMYFUNCTION("""COMPUTED_VALUE"""),"Uncle Sams Cider (04/04/2023)")</f>
        <v>Uncle Sams Cider (04/04/2023)</v>
      </c>
      <c r="H10186" s="19"/>
    </row>
    <row r="10187">
      <c r="A10187" s="9"/>
      <c r="B10187" s="15"/>
      <c r="C10187" s="9">
        <f>IFERROR(__xludf.DUMMYFUNCTION("""COMPUTED_VALUE"""),45037.0900946527)</f>
        <v>45037.09009</v>
      </c>
      <c r="D10187" s="15">
        <f>IFERROR(__xludf.DUMMYFUNCTION("""COMPUTED_VALUE"""),1.042)</f>
        <v>1.042</v>
      </c>
      <c r="E10187" s="16">
        <f>IFERROR(__xludf.DUMMYFUNCTION("""COMPUTED_VALUE"""),63.0)</f>
        <v>63</v>
      </c>
      <c r="F10187" s="19" t="str">
        <f>IFERROR(__xludf.DUMMYFUNCTION("""COMPUTED_VALUE"""),"BLUE")</f>
        <v>BLUE</v>
      </c>
      <c r="G10187" s="20" t="str">
        <f>IFERROR(__xludf.DUMMYFUNCTION("""COMPUTED_VALUE"""),"Uncle Sams Cider (04/04/2023)")</f>
        <v>Uncle Sams Cider (04/04/2023)</v>
      </c>
      <c r="H10187" s="19"/>
    </row>
    <row r="10188">
      <c r="A10188" s="9"/>
      <c r="B10188" s="15"/>
      <c r="C10188" s="9">
        <f>IFERROR(__xludf.DUMMYFUNCTION("""COMPUTED_VALUE"""),45037.0796723611)</f>
        <v>45037.07967</v>
      </c>
      <c r="D10188" s="15">
        <f>IFERROR(__xludf.DUMMYFUNCTION("""COMPUTED_VALUE"""),1.042)</f>
        <v>1.042</v>
      </c>
      <c r="E10188" s="16">
        <f>IFERROR(__xludf.DUMMYFUNCTION("""COMPUTED_VALUE"""),63.0)</f>
        <v>63</v>
      </c>
      <c r="F10188" s="19" t="str">
        <f>IFERROR(__xludf.DUMMYFUNCTION("""COMPUTED_VALUE"""),"BLUE")</f>
        <v>BLUE</v>
      </c>
      <c r="G10188" s="20" t="str">
        <f>IFERROR(__xludf.DUMMYFUNCTION("""COMPUTED_VALUE"""),"Uncle Sams Cider (04/04/2023)")</f>
        <v>Uncle Sams Cider (04/04/2023)</v>
      </c>
      <c r="H10188" s="19"/>
    </row>
    <row r="10189">
      <c r="A10189" s="9"/>
      <c r="B10189" s="15"/>
      <c r="C10189" s="9">
        <f>IFERROR(__xludf.DUMMYFUNCTION("""COMPUTED_VALUE"""),45037.0692390393)</f>
        <v>45037.06924</v>
      </c>
      <c r="D10189" s="15">
        <f>IFERROR(__xludf.DUMMYFUNCTION("""COMPUTED_VALUE"""),1.042)</f>
        <v>1.042</v>
      </c>
      <c r="E10189" s="16">
        <f>IFERROR(__xludf.DUMMYFUNCTION("""COMPUTED_VALUE"""),63.0)</f>
        <v>63</v>
      </c>
      <c r="F10189" s="19" t="str">
        <f>IFERROR(__xludf.DUMMYFUNCTION("""COMPUTED_VALUE"""),"BLUE")</f>
        <v>BLUE</v>
      </c>
      <c r="G10189" s="20" t="str">
        <f>IFERROR(__xludf.DUMMYFUNCTION("""COMPUTED_VALUE"""),"Uncle Sams Cider (04/04/2023)")</f>
        <v>Uncle Sams Cider (04/04/2023)</v>
      </c>
      <c r="H10189" s="19"/>
    </row>
    <row r="10190">
      <c r="A10190" s="9"/>
      <c r="B10190" s="15"/>
      <c r="C10190" s="9">
        <f>IFERROR(__xludf.DUMMYFUNCTION("""COMPUTED_VALUE"""),45037.0588156713)</f>
        <v>45037.05882</v>
      </c>
      <c r="D10190" s="15">
        <f>IFERROR(__xludf.DUMMYFUNCTION("""COMPUTED_VALUE"""),1.042)</f>
        <v>1.042</v>
      </c>
      <c r="E10190" s="16">
        <f>IFERROR(__xludf.DUMMYFUNCTION("""COMPUTED_VALUE"""),63.0)</f>
        <v>63</v>
      </c>
      <c r="F10190" s="19" t="str">
        <f>IFERROR(__xludf.DUMMYFUNCTION("""COMPUTED_VALUE"""),"BLUE")</f>
        <v>BLUE</v>
      </c>
      <c r="G10190" s="20" t="str">
        <f>IFERROR(__xludf.DUMMYFUNCTION("""COMPUTED_VALUE"""),"Uncle Sams Cider (04/04/2023)")</f>
        <v>Uncle Sams Cider (04/04/2023)</v>
      </c>
      <c r="H10190" s="19"/>
    </row>
    <row r="10191">
      <c r="A10191" s="9"/>
      <c r="B10191" s="15"/>
      <c r="C10191" s="9">
        <f>IFERROR(__xludf.DUMMYFUNCTION("""COMPUTED_VALUE"""),45037.0483937731)</f>
        <v>45037.04839</v>
      </c>
      <c r="D10191" s="15">
        <f>IFERROR(__xludf.DUMMYFUNCTION("""COMPUTED_VALUE"""),1.042)</f>
        <v>1.042</v>
      </c>
      <c r="E10191" s="16">
        <f>IFERROR(__xludf.DUMMYFUNCTION("""COMPUTED_VALUE"""),63.0)</f>
        <v>63</v>
      </c>
      <c r="F10191" s="19" t="str">
        <f>IFERROR(__xludf.DUMMYFUNCTION("""COMPUTED_VALUE"""),"BLUE")</f>
        <v>BLUE</v>
      </c>
      <c r="G10191" s="20" t="str">
        <f>IFERROR(__xludf.DUMMYFUNCTION("""COMPUTED_VALUE"""),"Uncle Sams Cider (04/04/2023)")</f>
        <v>Uncle Sams Cider (04/04/2023)</v>
      </c>
      <c r="H10191" s="19"/>
    </row>
    <row r="10192">
      <c r="A10192" s="9"/>
      <c r="B10192" s="15"/>
      <c r="C10192" s="9">
        <f>IFERROR(__xludf.DUMMYFUNCTION("""COMPUTED_VALUE"""),45037.0379717476)</f>
        <v>45037.03797</v>
      </c>
      <c r="D10192" s="15">
        <f>IFERROR(__xludf.DUMMYFUNCTION("""COMPUTED_VALUE"""),1.042)</f>
        <v>1.042</v>
      </c>
      <c r="E10192" s="16">
        <f>IFERROR(__xludf.DUMMYFUNCTION("""COMPUTED_VALUE"""),63.0)</f>
        <v>63</v>
      </c>
      <c r="F10192" s="19" t="str">
        <f>IFERROR(__xludf.DUMMYFUNCTION("""COMPUTED_VALUE"""),"BLUE")</f>
        <v>BLUE</v>
      </c>
      <c r="G10192" s="20" t="str">
        <f>IFERROR(__xludf.DUMMYFUNCTION("""COMPUTED_VALUE"""),"Uncle Sams Cider (04/04/2023)")</f>
        <v>Uncle Sams Cider (04/04/2023)</v>
      </c>
      <c r="H10192" s="19"/>
    </row>
    <row r="10193">
      <c r="A10193" s="9"/>
      <c r="B10193" s="15"/>
      <c r="C10193" s="9">
        <f>IFERROR(__xludf.DUMMYFUNCTION("""COMPUTED_VALUE"""),45037.0275271412)</f>
        <v>45037.02753</v>
      </c>
      <c r="D10193" s="15">
        <f>IFERROR(__xludf.DUMMYFUNCTION("""COMPUTED_VALUE"""),1.042)</f>
        <v>1.042</v>
      </c>
      <c r="E10193" s="16">
        <f>IFERROR(__xludf.DUMMYFUNCTION("""COMPUTED_VALUE"""),63.0)</f>
        <v>63</v>
      </c>
      <c r="F10193" s="19" t="str">
        <f>IFERROR(__xludf.DUMMYFUNCTION("""COMPUTED_VALUE"""),"BLUE")</f>
        <v>BLUE</v>
      </c>
      <c r="G10193" s="20" t="str">
        <f>IFERROR(__xludf.DUMMYFUNCTION("""COMPUTED_VALUE"""),"Uncle Sams Cider (04/04/2023)")</f>
        <v>Uncle Sams Cider (04/04/2023)</v>
      </c>
      <c r="H10193" s="19"/>
    </row>
    <row r="10194">
      <c r="A10194" s="9"/>
      <c r="B10194" s="15"/>
      <c r="C10194" s="9">
        <f>IFERROR(__xludf.DUMMYFUNCTION("""COMPUTED_VALUE"""),45037.0171046064)</f>
        <v>45037.0171</v>
      </c>
      <c r="D10194" s="15">
        <f>IFERROR(__xludf.DUMMYFUNCTION("""COMPUTED_VALUE"""),1.042)</f>
        <v>1.042</v>
      </c>
      <c r="E10194" s="16">
        <f>IFERROR(__xludf.DUMMYFUNCTION("""COMPUTED_VALUE"""),63.0)</f>
        <v>63</v>
      </c>
      <c r="F10194" s="19" t="str">
        <f>IFERROR(__xludf.DUMMYFUNCTION("""COMPUTED_VALUE"""),"BLUE")</f>
        <v>BLUE</v>
      </c>
      <c r="G10194" s="20" t="str">
        <f>IFERROR(__xludf.DUMMYFUNCTION("""COMPUTED_VALUE"""),"Uncle Sams Cider (04/04/2023)")</f>
        <v>Uncle Sams Cider (04/04/2023)</v>
      </c>
      <c r="H10194" s="19"/>
    </row>
    <row r="10195">
      <c r="A10195" s="9"/>
      <c r="B10195" s="15"/>
      <c r="C10195" s="9">
        <f>IFERROR(__xludf.DUMMYFUNCTION("""COMPUTED_VALUE"""),45037.0066598379)</f>
        <v>45037.00666</v>
      </c>
      <c r="D10195" s="15">
        <f>IFERROR(__xludf.DUMMYFUNCTION("""COMPUTED_VALUE"""),1.042)</f>
        <v>1.042</v>
      </c>
      <c r="E10195" s="16">
        <f>IFERROR(__xludf.DUMMYFUNCTION("""COMPUTED_VALUE"""),63.0)</f>
        <v>63</v>
      </c>
      <c r="F10195" s="19" t="str">
        <f>IFERROR(__xludf.DUMMYFUNCTION("""COMPUTED_VALUE"""),"BLUE")</f>
        <v>BLUE</v>
      </c>
      <c r="G10195" s="20" t="str">
        <f>IFERROR(__xludf.DUMMYFUNCTION("""COMPUTED_VALUE"""),"Uncle Sams Cider (04/04/2023)")</f>
        <v>Uncle Sams Cider (04/04/2023)</v>
      </c>
      <c r="H10195" s="19"/>
    </row>
    <row r="10196">
      <c r="A10196" s="9"/>
      <c r="B10196" s="15"/>
      <c r="C10196" s="9">
        <f>IFERROR(__xludf.DUMMYFUNCTION("""COMPUTED_VALUE"""),45036.9962394675)</f>
        <v>45036.99624</v>
      </c>
      <c r="D10196" s="15">
        <f>IFERROR(__xludf.DUMMYFUNCTION("""COMPUTED_VALUE"""),1.042)</f>
        <v>1.042</v>
      </c>
      <c r="E10196" s="16">
        <f>IFERROR(__xludf.DUMMYFUNCTION("""COMPUTED_VALUE"""),63.0)</f>
        <v>63</v>
      </c>
      <c r="F10196" s="19" t="str">
        <f>IFERROR(__xludf.DUMMYFUNCTION("""COMPUTED_VALUE"""),"BLUE")</f>
        <v>BLUE</v>
      </c>
      <c r="G10196" s="20" t="str">
        <f>IFERROR(__xludf.DUMMYFUNCTION("""COMPUTED_VALUE"""),"Uncle Sams Cider (04/04/2023)")</f>
        <v>Uncle Sams Cider (04/04/2023)</v>
      </c>
      <c r="H10196" s="19"/>
    </row>
    <row r="10197">
      <c r="A10197" s="9"/>
      <c r="B10197" s="15"/>
      <c r="C10197" s="9">
        <f>IFERROR(__xludf.DUMMYFUNCTION("""COMPUTED_VALUE"""),45036.9858075231)</f>
        <v>45036.98581</v>
      </c>
      <c r="D10197" s="15">
        <f>IFERROR(__xludf.DUMMYFUNCTION("""COMPUTED_VALUE"""),1.042)</f>
        <v>1.042</v>
      </c>
      <c r="E10197" s="16">
        <f>IFERROR(__xludf.DUMMYFUNCTION("""COMPUTED_VALUE"""),63.0)</f>
        <v>63</v>
      </c>
      <c r="F10197" s="19" t="str">
        <f>IFERROR(__xludf.DUMMYFUNCTION("""COMPUTED_VALUE"""),"BLUE")</f>
        <v>BLUE</v>
      </c>
      <c r="G10197" s="20" t="str">
        <f>IFERROR(__xludf.DUMMYFUNCTION("""COMPUTED_VALUE"""),"Uncle Sams Cider (04/04/2023)")</f>
        <v>Uncle Sams Cider (04/04/2023)</v>
      </c>
      <c r="H10197" s="19"/>
    </row>
    <row r="10198">
      <c r="A10198" s="9"/>
      <c r="B10198" s="15"/>
      <c r="C10198" s="9">
        <f>IFERROR(__xludf.DUMMYFUNCTION("""COMPUTED_VALUE"""),45036.9753752083)</f>
        <v>45036.97538</v>
      </c>
      <c r="D10198" s="15">
        <f>IFERROR(__xludf.DUMMYFUNCTION("""COMPUTED_VALUE"""),1.042)</f>
        <v>1.042</v>
      </c>
      <c r="E10198" s="16">
        <f>IFERROR(__xludf.DUMMYFUNCTION("""COMPUTED_VALUE"""),63.0)</f>
        <v>63</v>
      </c>
      <c r="F10198" s="19" t="str">
        <f>IFERROR(__xludf.DUMMYFUNCTION("""COMPUTED_VALUE"""),"BLUE")</f>
        <v>BLUE</v>
      </c>
      <c r="G10198" s="20" t="str">
        <f>IFERROR(__xludf.DUMMYFUNCTION("""COMPUTED_VALUE"""),"Uncle Sams Cider (04/04/2023)")</f>
        <v>Uncle Sams Cider (04/04/2023)</v>
      </c>
      <c r="H10198" s="19"/>
    </row>
    <row r="10199">
      <c r="A10199" s="9"/>
      <c r="B10199" s="15"/>
      <c r="C10199" s="9">
        <f>IFERROR(__xludf.DUMMYFUNCTION("""COMPUTED_VALUE"""),45036.9649314467)</f>
        <v>45036.96493</v>
      </c>
      <c r="D10199" s="15">
        <f>IFERROR(__xludf.DUMMYFUNCTION("""COMPUTED_VALUE"""),1.042)</f>
        <v>1.042</v>
      </c>
      <c r="E10199" s="16">
        <f>IFERROR(__xludf.DUMMYFUNCTION("""COMPUTED_VALUE"""),63.0)</f>
        <v>63</v>
      </c>
      <c r="F10199" s="19" t="str">
        <f>IFERROR(__xludf.DUMMYFUNCTION("""COMPUTED_VALUE"""),"BLUE")</f>
        <v>BLUE</v>
      </c>
      <c r="G10199" s="20" t="str">
        <f>IFERROR(__xludf.DUMMYFUNCTION("""COMPUTED_VALUE"""),"Uncle Sams Cider (04/04/2023)")</f>
        <v>Uncle Sams Cider (04/04/2023)</v>
      </c>
      <c r="H10199" s="19"/>
    </row>
    <row r="10200">
      <c r="A10200" s="9"/>
      <c r="B10200" s="15"/>
      <c r="C10200" s="9">
        <f>IFERROR(__xludf.DUMMYFUNCTION("""COMPUTED_VALUE"""),45036.9545096643)</f>
        <v>45036.95451</v>
      </c>
      <c r="D10200" s="15">
        <f>IFERROR(__xludf.DUMMYFUNCTION("""COMPUTED_VALUE"""),1.042)</f>
        <v>1.042</v>
      </c>
      <c r="E10200" s="16">
        <f>IFERROR(__xludf.DUMMYFUNCTION("""COMPUTED_VALUE"""),63.0)</f>
        <v>63</v>
      </c>
      <c r="F10200" s="19" t="str">
        <f>IFERROR(__xludf.DUMMYFUNCTION("""COMPUTED_VALUE"""),"BLUE")</f>
        <v>BLUE</v>
      </c>
      <c r="G10200" s="20" t="str">
        <f>IFERROR(__xludf.DUMMYFUNCTION("""COMPUTED_VALUE"""),"Uncle Sams Cider (04/04/2023)")</f>
        <v>Uncle Sams Cider (04/04/2023)</v>
      </c>
      <c r="H10200" s="19"/>
    </row>
    <row r="10201">
      <c r="A10201" s="9"/>
      <c r="B10201" s="15"/>
      <c r="C10201" s="9">
        <f>IFERROR(__xludf.DUMMYFUNCTION("""COMPUTED_VALUE"""),45036.9440876388)</f>
        <v>45036.94409</v>
      </c>
      <c r="D10201" s="15">
        <f>IFERROR(__xludf.DUMMYFUNCTION("""COMPUTED_VALUE"""),1.042)</f>
        <v>1.042</v>
      </c>
      <c r="E10201" s="16">
        <f>IFERROR(__xludf.DUMMYFUNCTION("""COMPUTED_VALUE"""),63.0)</f>
        <v>63</v>
      </c>
      <c r="F10201" s="19" t="str">
        <f>IFERROR(__xludf.DUMMYFUNCTION("""COMPUTED_VALUE"""),"BLUE")</f>
        <v>BLUE</v>
      </c>
      <c r="G10201" s="20" t="str">
        <f>IFERROR(__xludf.DUMMYFUNCTION("""COMPUTED_VALUE"""),"Uncle Sams Cider (04/04/2023)")</f>
        <v>Uncle Sams Cider (04/04/2023)</v>
      </c>
      <c r="H10201" s="19"/>
    </row>
    <row r="10202">
      <c r="A10202" s="9"/>
      <c r="B10202" s="15"/>
      <c r="C10202" s="9">
        <f>IFERROR(__xludf.DUMMYFUNCTION("""COMPUTED_VALUE"""),45036.93366625)</f>
        <v>45036.93367</v>
      </c>
      <c r="D10202" s="15">
        <f>IFERROR(__xludf.DUMMYFUNCTION("""COMPUTED_VALUE"""),1.042)</f>
        <v>1.042</v>
      </c>
      <c r="E10202" s="16">
        <f>IFERROR(__xludf.DUMMYFUNCTION("""COMPUTED_VALUE"""),63.0)</f>
        <v>63</v>
      </c>
      <c r="F10202" s="19" t="str">
        <f>IFERROR(__xludf.DUMMYFUNCTION("""COMPUTED_VALUE"""),"BLUE")</f>
        <v>BLUE</v>
      </c>
      <c r="G10202" s="20" t="str">
        <f>IFERROR(__xludf.DUMMYFUNCTION("""COMPUTED_VALUE"""),"Uncle Sams Cider (04/04/2023)")</f>
        <v>Uncle Sams Cider (04/04/2023)</v>
      </c>
      <c r="H10202" s="19"/>
    </row>
    <row r="10203">
      <c r="A10203" s="9"/>
      <c r="B10203" s="15"/>
      <c r="C10203" s="9">
        <f>IFERROR(__xludf.DUMMYFUNCTION("""COMPUTED_VALUE"""),45036.9232457291)</f>
        <v>45036.92325</v>
      </c>
      <c r="D10203" s="15">
        <f>IFERROR(__xludf.DUMMYFUNCTION("""COMPUTED_VALUE"""),1.042)</f>
        <v>1.042</v>
      </c>
      <c r="E10203" s="16">
        <f>IFERROR(__xludf.DUMMYFUNCTION("""COMPUTED_VALUE"""),63.0)</f>
        <v>63</v>
      </c>
      <c r="F10203" s="19" t="str">
        <f>IFERROR(__xludf.DUMMYFUNCTION("""COMPUTED_VALUE"""),"BLUE")</f>
        <v>BLUE</v>
      </c>
      <c r="G10203" s="20" t="str">
        <f>IFERROR(__xludf.DUMMYFUNCTION("""COMPUTED_VALUE"""),"Uncle Sams Cider (04/04/2023)")</f>
        <v>Uncle Sams Cider (04/04/2023)</v>
      </c>
      <c r="H10203" s="19"/>
    </row>
    <row r="10204">
      <c r="A10204" s="9"/>
      <c r="B10204" s="15"/>
      <c r="C10204" s="9">
        <f>IFERROR(__xludf.DUMMYFUNCTION("""COMPUTED_VALUE"""),45036.9128225925)</f>
        <v>45036.91282</v>
      </c>
      <c r="D10204" s="15">
        <f>IFERROR(__xludf.DUMMYFUNCTION("""COMPUTED_VALUE"""),1.042)</f>
        <v>1.042</v>
      </c>
      <c r="E10204" s="16">
        <f>IFERROR(__xludf.DUMMYFUNCTION("""COMPUTED_VALUE"""),63.0)</f>
        <v>63</v>
      </c>
      <c r="F10204" s="19" t="str">
        <f>IFERROR(__xludf.DUMMYFUNCTION("""COMPUTED_VALUE"""),"BLUE")</f>
        <v>BLUE</v>
      </c>
      <c r="G10204" s="20" t="str">
        <f>IFERROR(__xludf.DUMMYFUNCTION("""COMPUTED_VALUE"""),"Uncle Sams Cider (04/04/2023)")</f>
        <v>Uncle Sams Cider (04/04/2023)</v>
      </c>
      <c r="H10204" s="19"/>
    </row>
    <row r="10205">
      <c r="A10205" s="9"/>
      <c r="B10205" s="15"/>
      <c r="C10205" s="9">
        <f>IFERROR(__xludf.DUMMYFUNCTION("""COMPUTED_VALUE"""),45036.9024003356)</f>
        <v>45036.9024</v>
      </c>
      <c r="D10205" s="15">
        <f>IFERROR(__xludf.DUMMYFUNCTION("""COMPUTED_VALUE"""),1.042)</f>
        <v>1.042</v>
      </c>
      <c r="E10205" s="16">
        <f>IFERROR(__xludf.DUMMYFUNCTION("""COMPUTED_VALUE"""),63.0)</f>
        <v>63</v>
      </c>
      <c r="F10205" s="19" t="str">
        <f>IFERROR(__xludf.DUMMYFUNCTION("""COMPUTED_VALUE"""),"BLUE")</f>
        <v>BLUE</v>
      </c>
      <c r="G10205" s="20" t="str">
        <f>IFERROR(__xludf.DUMMYFUNCTION("""COMPUTED_VALUE"""),"Uncle Sams Cider (04/04/2023)")</f>
        <v>Uncle Sams Cider (04/04/2023)</v>
      </c>
      <c r="H10205" s="19"/>
    </row>
    <row r="10206">
      <c r="A10206" s="9"/>
      <c r="B10206" s="15"/>
      <c r="C10206" s="9">
        <f>IFERROR(__xludf.DUMMYFUNCTION("""COMPUTED_VALUE"""),45036.8919794097)</f>
        <v>45036.89198</v>
      </c>
      <c r="D10206" s="15">
        <f>IFERROR(__xludf.DUMMYFUNCTION("""COMPUTED_VALUE"""),1.042)</f>
        <v>1.042</v>
      </c>
      <c r="E10206" s="16">
        <f>IFERROR(__xludf.DUMMYFUNCTION("""COMPUTED_VALUE"""),63.0)</f>
        <v>63</v>
      </c>
      <c r="F10206" s="19" t="str">
        <f>IFERROR(__xludf.DUMMYFUNCTION("""COMPUTED_VALUE"""),"BLUE")</f>
        <v>BLUE</v>
      </c>
      <c r="G10206" s="20" t="str">
        <f>IFERROR(__xludf.DUMMYFUNCTION("""COMPUTED_VALUE"""),"Uncle Sams Cider (04/04/2023)")</f>
        <v>Uncle Sams Cider (04/04/2023)</v>
      </c>
      <c r="H10206" s="19"/>
    </row>
    <row r="10207">
      <c r="A10207" s="9"/>
      <c r="B10207" s="15"/>
      <c r="C10207" s="9">
        <f>IFERROR(__xludf.DUMMYFUNCTION("""COMPUTED_VALUE"""),45036.8815569791)</f>
        <v>45036.88156</v>
      </c>
      <c r="D10207" s="15">
        <f>IFERROR(__xludf.DUMMYFUNCTION("""COMPUTED_VALUE"""),1.042)</f>
        <v>1.042</v>
      </c>
      <c r="E10207" s="16">
        <f>IFERROR(__xludf.DUMMYFUNCTION("""COMPUTED_VALUE"""),63.0)</f>
        <v>63</v>
      </c>
      <c r="F10207" s="19" t="str">
        <f>IFERROR(__xludf.DUMMYFUNCTION("""COMPUTED_VALUE"""),"BLUE")</f>
        <v>BLUE</v>
      </c>
      <c r="G10207" s="20" t="str">
        <f>IFERROR(__xludf.DUMMYFUNCTION("""COMPUTED_VALUE"""),"Uncle Sams Cider (04/04/2023)")</f>
        <v>Uncle Sams Cider (04/04/2023)</v>
      </c>
      <c r="H10207" s="19"/>
    </row>
    <row r="10208">
      <c r="A10208" s="9"/>
      <c r="B10208" s="15"/>
      <c r="C10208" s="9">
        <f>IFERROR(__xludf.DUMMYFUNCTION("""COMPUTED_VALUE"""),45036.8711248842)</f>
        <v>45036.87112</v>
      </c>
      <c r="D10208" s="15">
        <f>IFERROR(__xludf.DUMMYFUNCTION("""COMPUTED_VALUE"""),1.042)</f>
        <v>1.042</v>
      </c>
      <c r="E10208" s="16">
        <f>IFERROR(__xludf.DUMMYFUNCTION("""COMPUTED_VALUE"""),63.0)</f>
        <v>63</v>
      </c>
      <c r="F10208" s="19" t="str">
        <f>IFERROR(__xludf.DUMMYFUNCTION("""COMPUTED_VALUE"""),"BLUE")</f>
        <v>BLUE</v>
      </c>
      <c r="G10208" s="20" t="str">
        <f>IFERROR(__xludf.DUMMYFUNCTION("""COMPUTED_VALUE"""),"Uncle Sams Cider (04/04/2023)")</f>
        <v>Uncle Sams Cider (04/04/2023)</v>
      </c>
      <c r="H10208" s="19"/>
    </row>
    <row r="10209">
      <c r="A10209" s="9"/>
      <c r="B10209" s="15"/>
      <c r="C10209" s="9">
        <f>IFERROR(__xludf.DUMMYFUNCTION("""COMPUTED_VALUE"""),45036.8606930092)</f>
        <v>45036.86069</v>
      </c>
      <c r="D10209" s="15">
        <f>IFERROR(__xludf.DUMMYFUNCTION("""COMPUTED_VALUE"""),1.042)</f>
        <v>1.042</v>
      </c>
      <c r="E10209" s="16">
        <f>IFERROR(__xludf.DUMMYFUNCTION("""COMPUTED_VALUE"""),63.0)</f>
        <v>63</v>
      </c>
      <c r="F10209" s="19" t="str">
        <f>IFERROR(__xludf.DUMMYFUNCTION("""COMPUTED_VALUE"""),"BLUE")</f>
        <v>BLUE</v>
      </c>
      <c r="G10209" s="20" t="str">
        <f>IFERROR(__xludf.DUMMYFUNCTION("""COMPUTED_VALUE"""),"Uncle Sams Cider (04/04/2023)")</f>
        <v>Uncle Sams Cider (04/04/2023)</v>
      </c>
      <c r="H10209" s="19"/>
    </row>
    <row r="10210">
      <c r="A10210" s="9"/>
      <c r="B10210" s="15"/>
      <c r="C10210" s="9">
        <f>IFERROR(__xludf.DUMMYFUNCTION("""COMPUTED_VALUE"""),45036.8502617245)</f>
        <v>45036.85026</v>
      </c>
      <c r="D10210" s="15">
        <f>IFERROR(__xludf.DUMMYFUNCTION("""COMPUTED_VALUE"""),1.042)</f>
        <v>1.042</v>
      </c>
      <c r="E10210" s="16">
        <f>IFERROR(__xludf.DUMMYFUNCTION("""COMPUTED_VALUE"""),63.0)</f>
        <v>63</v>
      </c>
      <c r="F10210" s="19" t="str">
        <f>IFERROR(__xludf.DUMMYFUNCTION("""COMPUTED_VALUE"""),"BLUE")</f>
        <v>BLUE</v>
      </c>
      <c r="G10210" s="20" t="str">
        <f>IFERROR(__xludf.DUMMYFUNCTION("""COMPUTED_VALUE"""),"Uncle Sams Cider (04/04/2023)")</f>
        <v>Uncle Sams Cider (04/04/2023)</v>
      </c>
      <c r="H10210" s="19"/>
    </row>
    <row r="10211">
      <c r="A10211" s="9"/>
      <c r="B10211" s="15"/>
      <c r="C10211" s="9">
        <f>IFERROR(__xludf.DUMMYFUNCTION("""COMPUTED_VALUE"""),45036.83984)</f>
        <v>45036.83984</v>
      </c>
      <c r="D10211" s="15">
        <f>IFERROR(__xludf.DUMMYFUNCTION("""COMPUTED_VALUE"""),1.042)</f>
        <v>1.042</v>
      </c>
      <c r="E10211" s="16">
        <f>IFERROR(__xludf.DUMMYFUNCTION("""COMPUTED_VALUE"""),63.0)</f>
        <v>63</v>
      </c>
      <c r="F10211" s="19" t="str">
        <f>IFERROR(__xludf.DUMMYFUNCTION("""COMPUTED_VALUE"""),"BLUE")</f>
        <v>BLUE</v>
      </c>
      <c r="G10211" s="20" t="str">
        <f>IFERROR(__xludf.DUMMYFUNCTION("""COMPUTED_VALUE"""),"Uncle Sams Cider (04/04/2023)")</f>
        <v>Uncle Sams Cider (04/04/2023)</v>
      </c>
      <c r="H10211" s="19"/>
    </row>
    <row r="10212">
      <c r="A10212" s="9"/>
      <c r="B10212" s="15"/>
      <c r="C10212" s="9">
        <f>IFERROR(__xludf.DUMMYFUNCTION("""COMPUTED_VALUE"""),45036.8294187615)</f>
        <v>45036.82942</v>
      </c>
      <c r="D10212" s="15">
        <f>IFERROR(__xludf.DUMMYFUNCTION("""COMPUTED_VALUE"""),1.042)</f>
        <v>1.042</v>
      </c>
      <c r="E10212" s="16">
        <f>IFERROR(__xludf.DUMMYFUNCTION("""COMPUTED_VALUE"""),63.0)</f>
        <v>63</v>
      </c>
      <c r="F10212" s="19" t="str">
        <f>IFERROR(__xludf.DUMMYFUNCTION("""COMPUTED_VALUE"""),"BLUE")</f>
        <v>BLUE</v>
      </c>
      <c r="G10212" s="20" t="str">
        <f>IFERROR(__xludf.DUMMYFUNCTION("""COMPUTED_VALUE"""),"Uncle Sams Cider (04/04/2023)")</f>
        <v>Uncle Sams Cider (04/04/2023)</v>
      </c>
      <c r="H10212" s="19"/>
    </row>
    <row r="10213">
      <c r="A10213" s="9"/>
      <c r="B10213" s="15"/>
      <c r="C10213" s="9">
        <f>IFERROR(__xludf.DUMMYFUNCTION("""COMPUTED_VALUE"""),45036.8189855555)</f>
        <v>45036.81899</v>
      </c>
      <c r="D10213" s="15">
        <f>IFERROR(__xludf.DUMMYFUNCTION("""COMPUTED_VALUE"""),1.042)</f>
        <v>1.042</v>
      </c>
      <c r="E10213" s="16">
        <f>IFERROR(__xludf.DUMMYFUNCTION("""COMPUTED_VALUE"""),63.0)</f>
        <v>63</v>
      </c>
      <c r="F10213" s="19" t="str">
        <f>IFERROR(__xludf.DUMMYFUNCTION("""COMPUTED_VALUE"""),"BLUE")</f>
        <v>BLUE</v>
      </c>
      <c r="G10213" s="20" t="str">
        <f>IFERROR(__xludf.DUMMYFUNCTION("""COMPUTED_VALUE"""),"Uncle Sams Cider (04/04/2023)")</f>
        <v>Uncle Sams Cider (04/04/2023)</v>
      </c>
      <c r="H10213" s="19"/>
    </row>
    <row r="10214">
      <c r="A10214" s="9"/>
      <c r="B10214" s="15"/>
      <c r="C10214" s="9">
        <f>IFERROR(__xludf.DUMMYFUNCTION("""COMPUTED_VALUE"""),45036.8085633912)</f>
        <v>45036.80856</v>
      </c>
      <c r="D10214" s="15">
        <f>IFERROR(__xludf.DUMMYFUNCTION("""COMPUTED_VALUE"""),1.042)</f>
        <v>1.042</v>
      </c>
      <c r="E10214" s="16">
        <f>IFERROR(__xludf.DUMMYFUNCTION("""COMPUTED_VALUE"""),63.0)</f>
        <v>63</v>
      </c>
      <c r="F10214" s="19" t="str">
        <f>IFERROR(__xludf.DUMMYFUNCTION("""COMPUTED_VALUE"""),"BLUE")</f>
        <v>BLUE</v>
      </c>
      <c r="G10214" s="20" t="str">
        <f>IFERROR(__xludf.DUMMYFUNCTION("""COMPUTED_VALUE"""),"Uncle Sams Cider (04/04/2023)")</f>
        <v>Uncle Sams Cider (04/04/2023)</v>
      </c>
      <c r="H10214" s="19"/>
    </row>
    <row r="10215">
      <c r="A10215" s="9"/>
      <c r="B10215" s="15"/>
      <c r="C10215" s="9">
        <f>IFERROR(__xludf.DUMMYFUNCTION("""COMPUTED_VALUE"""),45036.798141412)</f>
        <v>45036.79814</v>
      </c>
      <c r="D10215" s="15">
        <f>IFERROR(__xludf.DUMMYFUNCTION("""COMPUTED_VALUE"""),1.042)</f>
        <v>1.042</v>
      </c>
      <c r="E10215" s="16">
        <f>IFERROR(__xludf.DUMMYFUNCTION("""COMPUTED_VALUE"""),63.0)</f>
        <v>63</v>
      </c>
      <c r="F10215" s="19" t="str">
        <f>IFERROR(__xludf.DUMMYFUNCTION("""COMPUTED_VALUE"""),"BLUE")</f>
        <v>BLUE</v>
      </c>
      <c r="G10215" s="20" t="str">
        <f>IFERROR(__xludf.DUMMYFUNCTION("""COMPUTED_VALUE"""),"Uncle Sams Cider (04/04/2023)")</f>
        <v>Uncle Sams Cider (04/04/2023)</v>
      </c>
      <c r="H10215" s="19"/>
    </row>
    <row r="10216">
      <c r="A10216" s="9"/>
      <c r="B10216" s="15"/>
      <c r="C10216" s="9">
        <f>IFERROR(__xludf.DUMMYFUNCTION("""COMPUTED_VALUE"""),45036.7877178356)</f>
        <v>45036.78772</v>
      </c>
      <c r="D10216" s="15">
        <f>IFERROR(__xludf.DUMMYFUNCTION("""COMPUTED_VALUE"""),1.042)</f>
        <v>1.042</v>
      </c>
      <c r="E10216" s="16">
        <f>IFERROR(__xludf.DUMMYFUNCTION("""COMPUTED_VALUE"""),63.0)</f>
        <v>63</v>
      </c>
      <c r="F10216" s="19" t="str">
        <f>IFERROR(__xludf.DUMMYFUNCTION("""COMPUTED_VALUE"""),"BLUE")</f>
        <v>BLUE</v>
      </c>
      <c r="G10216" s="20" t="str">
        <f>IFERROR(__xludf.DUMMYFUNCTION("""COMPUTED_VALUE"""),"Uncle Sams Cider (04/04/2023)")</f>
        <v>Uncle Sams Cider (04/04/2023)</v>
      </c>
      <c r="H10216" s="19"/>
    </row>
    <row r="10217">
      <c r="A10217" s="9"/>
      <c r="B10217" s="15"/>
      <c r="C10217" s="9">
        <f>IFERROR(__xludf.DUMMYFUNCTION("""COMPUTED_VALUE"""),45036.7772967129)</f>
        <v>45036.7773</v>
      </c>
      <c r="D10217" s="15">
        <f>IFERROR(__xludf.DUMMYFUNCTION("""COMPUTED_VALUE"""),1.042)</f>
        <v>1.042</v>
      </c>
      <c r="E10217" s="16">
        <f>IFERROR(__xludf.DUMMYFUNCTION("""COMPUTED_VALUE"""),63.0)</f>
        <v>63</v>
      </c>
      <c r="F10217" s="19" t="str">
        <f>IFERROR(__xludf.DUMMYFUNCTION("""COMPUTED_VALUE"""),"BLUE")</f>
        <v>BLUE</v>
      </c>
      <c r="G10217" s="20" t="str">
        <f>IFERROR(__xludf.DUMMYFUNCTION("""COMPUTED_VALUE"""),"Uncle Sams Cider (04/04/2023)")</f>
        <v>Uncle Sams Cider (04/04/2023)</v>
      </c>
      <c r="H10217" s="19"/>
    </row>
    <row r="10218">
      <c r="A10218" s="9"/>
      <c r="B10218" s="15"/>
      <c r="C10218" s="9">
        <f>IFERROR(__xludf.DUMMYFUNCTION("""COMPUTED_VALUE"""),45036.7668754398)</f>
        <v>45036.76688</v>
      </c>
      <c r="D10218" s="15">
        <f>IFERROR(__xludf.DUMMYFUNCTION("""COMPUTED_VALUE"""),1.042)</f>
        <v>1.042</v>
      </c>
      <c r="E10218" s="16">
        <f>IFERROR(__xludf.DUMMYFUNCTION("""COMPUTED_VALUE"""),63.0)</f>
        <v>63</v>
      </c>
      <c r="F10218" s="19" t="str">
        <f>IFERROR(__xludf.DUMMYFUNCTION("""COMPUTED_VALUE"""),"BLUE")</f>
        <v>BLUE</v>
      </c>
      <c r="G10218" s="20" t="str">
        <f>IFERROR(__xludf.DUMMYFUNCTION("""COMPUTED_VALUE"""),"Uncle Sams Cider (04/04/2023)")</f>
        <v>Uncle Sams Cider (04/04/2023)</v>
      </c>
      <c r="H10218" s="19"/>
    </row>
    <row r="10219">
      <c r="A10219" s="9"/>
      <c r="B10219" s="15"/>
      <c r="C10219" s="9">
        <f>IFERROR(__xludf.DUMMYFUNCTION("""COMPUTED_VALUE"""),45036.756455949)</f>
        <v>45036.75646</v>
      </c>
      <c r="D10219" s="15">
        <f>IFERROR(__xludf.DUMMYFUNCTION("""COMPUTED_VALUE"""),1.042)</f>
        <v>1.042</v>
      </c>
      <c r="E10219" s="16">
        <f>IFERROR(__xludf.DUMMYFUNCTION("""COMPUTED_VALUE"""),63.0)</f>
        <v>63</v>
      </c>
      <c r="F10219" s="19" t="str">
        <f>IFERROR(__xludf.DUMMYFUNCTION("""COMPUTED_VALUE"""),"BLUE")</f>
        <v>BLUE</v>
      </c>
      <c r="G10219" s="20" t="str">
        <f>IFERROR(__xludf.DUMMYFUNCTION("""COMPUTED_VALUE"""),"Uncle Sams Cider (04/04/2023)")</f>
        <v>Uncle Sams Cider (04/04/2023)</v>
      </c>
      <c r="H10219" s="19"/>
    </row>
    <row r="10220">
      <c r="A10220" s="9"/>
      <c r="B10220" s="15"/>
      <c r="C10220" s="9">
        <f>IFERROR(__xludf.DUMMYFUNCTION("""COMPUTED_VALUE"""),45036.7459990277)</f>
        <v>45036.746</v>
      </c>
      <c r="D10220" s="15">
        <f>IFERROR(__xludf.DUMMYFUNCTION("""COMPUTED_VALUE"""),1.042)</f>
        <v>1.042</v>
      </c>
      <c r="E10220" s="16">
        <f>IFERROR(__xludf.DUMMYFUNCTION("""COMPUTED_VALUE"""),63.0)</f>
        <v>63</v>
      </c>
      <c r="F10220" s="19" t="str">
        <f>IFERROR(__xludf.DUMMYFUNCTION("""COMPUTED_VALUE"""),"BLUE")</f>
        <v>BLUE</v>
      </c>
      <c r="G10220" s="20" t="str">
        <f>IFERROR(__xludf.DUMMYFUNCTION("""COMPUTED_VALUE"""),"Uncle Sams Cider (04/04/2023)")</f>
        <v>Uncle Sams Cider (04/04/2023)</v>
      </c>
      <c r="H10220" s="19"/>
    </row>
    <row r="10221">
      <c r="A10221" s="9"/>
      <c r="B10221" s="15"/>
      <c r="C10221" s="9">
        <f>IFERROR(__xludf.DUMMYFUNCTION("""COMPUTED_VALUE"""),45036.7355657291)</f>
        <v>45036.73557</v>
      </c>
      <c r="D10221" s="15">
        <f>IFERROR(__xludf.DUMMYFUNCTION("""COMPUTED_VALUE"""),1.043)</f>
        <v>1.043</v>
      </c>
      <c r="E10221" s="16">
        <f>IFERROR(__xludf.DUMMYFUNCTION("""COMPUTED_VALUE"""),63.0)</f>
        <v>63</v>
      </c>
      <c r="F10221" s="19" t="str">
        <f>IFERROR(__xludf.DUMMYFUNCTION("""COMPUTED_VALUE"""),"BLUE")</f>
        <v>BLUE</v>
      </c>
      <c r="G10221" s="20" t="str">
        <f>IFERROR(__xludf.DUMMYFUNCTION("""COMPUTED_VALUE"""),"Uncle Sams Cider (04/04/2023)")</f>
        <v>Uncle Sams Cider (04/04/2023)</v>
      </c>
      <c r="H10221" s="19"/>
    </row>
    <row r="10222">
      <c r="A10222" s="9"/>
      <c r="B10222" s="15"/>
      <c r="C10222" s="9">
        <f>IFERROR(__xludf.DUMMYFUNCTION("""COMPUTED_VALUE"""),45036.725144456)</f>
        <v>45036.72514</v>
      </c>
      <c r="D10222" s="15">
        <f>IFERROR(__xludf.DUMMYFUNCTION("""COMPUTED_VALUE"""),1.043)</f>
        <v>1.043</v>
      </c>
      <c r="E10222" s="16">
        <f>IFERROR(__xludf.DUMMYFUNCTION("""COMPUTED_VALUE"""),63.0)</f>
        <v>63</v>
      </c>
      <c r="F10222" s="19" t="str">
        <f>IFERROR(__xludf.DUMMYFUNCTION("""COMPUTED_VALUE"""),"BLUE")</f>
        <v>BLUE</v>
      </c>
      <c r="G10222" s="20" t="str">
        <f>IFERROR(__xludf.DUMMYFUNCTION("""COMPUTED_VALUE"""),"Uncle Sams Cider (04/04/2023)")</f>
        <v>Uncle Sams Cider (04/04/2023)</v>
      </c>
      <c r="H10222" s="19"/>
    </row>
    <row r="10223">
      <c r="A10223" s="9"/>
      <c r="B10223" s="15"/>
      <c r="C10223" s="9">
        <f>IFERROR(__xludf.DUMMYFUNCTION("""COMPUTED_VALUE"""),45036.7147240625)</f>
        <v>45036.71472</v>
      </c>
      <c r="D10223" s="15">
        <f>IFERROR(__xludf.DUMMYFUNCTION("""COMPUTED_VALUE"""),1.043)</f>
        <v>1.043</v>
      </c>
      <c r="E10223" s="16">
        <f>IFERROR(__xludf.DUMMYFUNCTION("""COMPUTED_VALUE"""),63.0)</f>
        <v>63</v>
      </c>
      <c r="F10223" s="19" t="str">
        <f>IFERROR(__xludf.DUMMYFUNCTION("""COMPUTED_VALUE"""),"BLUE")</f>
        <v>BLUE</v>
      </c>
      <c r="G10223" s="20" t="str">
        <f>IFERROR(__xludf.DUMMYFUNCTION("""COMPUTED_VALUE"""),"Uncle Sams Cider (04/04/2023)")</f>
        <v>Uncle Sams Cider (04/04/2023)</v>
      </c>
      <c r="H10223" s="19"/>
    </row>
    <row r="10224">
      <c r="A10224" s="9"/>
      <c r="B10224" s="15"/>
      <c r="C10224" s="9">
        <f>IFERROR(__xludf.DUMMYFUNCTION("""COMPUTED_VALUE"""),45036.7043028009)</f>
        <v>45036.7043</v>
      </c>
      <c r="D10224" s="15">
        <f>IFERROR(__xludf.DUMMYFUNCTION("""COMPUTED_VALUE"""),1.043)</f>
        <v>1.043</v>
      </c>
      <c r="E10224" s="16">
        <f>IFERROR(__xludf.DUMMYFUNCTION("""COMPUTED_VALUE"""),63.0)</f>
        <v>63</v>
      </c>
      <c r="F10224" s="19" t="str">
        <f>IFERROR(__xludf.DUMMYFUNCTION("""COMPUTED_VALUE"""),"BLUE")</f>
        <v>BLUE</v>
      </c>
      <c r="G10224" s="20" t="str">
        <f>IFERROR(__xludf.DUMMYFUNCTION("""COMPUTED_VALUE"""),"Uncle Sams Cider (04/04/2023)")</f>
        <v>Uncle Sams Cider (04/04/2023)</v>
      </c>
      <c r="H10224" s="19"/>
    </row>
    <row r="10225">
      <c r="A10225" s="9"/>
      <c r="B10225" s="15"/>
      <c r="C10225" s="9">
        <f>IFERROR(__xludf.DUMMYFUNCTION("""COMPUTED_VALUE"""),45036.6938819791)</f>
        <v>45036.69388</v>
      </c>
      <c r="D10225" s="15">
        <f>IFERROR(__xludf.DUMMYFUNCTION("""COMPUTED_VALUE"""),1.043)</f>
        <v>1.043</v>
      </c>
      <c r="E10225" s="16">
        <f>IFERROR(__xludf.DUMMYFUNCTION("""COMPUTED_VALUE"""),63.0)</f>
        <v>63</v>
      </c>
      <c r="F10225" s="19" t="str">
        <f>IFERROR(__xludf.DUMMYFUNCTION("""COMPUTED_VALUE"""),"BLUE")</f>
        <v>BLUE</v>
      </c>
      <c r="G10225" s="20" t="str">
        <f>IFERROR(__xludf.DUMMYFUNCTION("""COMPUTED_VALUE"""),"Uncle Sams Cider (04/04/2023)")</f>
        <v>Uncle Sams Cider (04/04/2023)</v>
      </c>
      <c r="H10225" s="19"/>
    </row>
    <row r="10226">
      <c r="A10226" s="9"/>
      <c r="B10226" s="15"/>
      <c r="C10226" s="9">
        <f>IFERROR(__xludf.DUMMYFUNCTION("""COMPUTED_VALUE"""),45036.6834601041)</f>
        <v>45036.68346</v>
      </c>
      <c r="D10226" s="15">
        <f>IFERROR(__xludf.DUMMYFUNCTION("""COMPUTED_VALUE"""),1.042)</f>
        <v>1.042</v>
      </c>
      <c r="E10226" s="16">
        <f>IFERROR(__xludf.DUMMYFUNCTION("""COMPUTED_VALUE"""),63.0)</f>
        <v>63</v>
      </c>
      <c r="F10226" s="19" t="str">
        <f>IFERROR(__xludf.DUMMYFUNCTION("""COMPUTED_VALUE"""),"BLUE")</f>
        <v>BLUE</v>
      </c>
      <c r="G10226" s="20" t="str">
        <f>IFERROR(__xludf.DUMMYFUNCTION("""COMPUTED_VALUE"""),"Uncle Sams Cider (04/04/2023)")</f>
        <v>Uncle Sams Cider (04/04/2023)</v>
      </c>
      <c r="H10226" s="19"/>
    </row>
    <row r="10227">
      <c r="A10227" s="9"/>
      <c r="B10227" s="15"/>
      <c r="C10227" s="9">
        <f>IFERROR(__xludf.DUMMYFUNCTION("""COMPUTED_VALUE"""),45036.6730386342)</f>
        <v>45036.67304</v>
      </c>
      <c r="D10227" s="15">
        <f>IFERROR(__xludf.DUMMYFUNCTION("""COMPUTED_VALUE"""),1.043)</f>
        <v>1.043</v>
      </c>
      <c r="E10227" s="16">
        <f>IFERROR(__xludf.DUMMYFUNCTION("""COMPUTED_VALUE"""),63.0)</f>
        <v>63</v>
      </c>
      <c r="F10227" s="19" t="str">
        <f>IFERROR(__xludf.DUMMYFUNCTION("""COMPUTED_VALUE"""),"BLUE")</f>
        <v>BLUE</v>
      </c>
      <c r="G10227" s="20" t="str">
        <f>IFERROR(__xludf.DUMMYFUNCTION("""COMPUTED_VALUE"""),"Uncle Sams Cider (04/04/2023)")</f>
        <v>Uncle Sams Cider (04/04/2023)</v>
      </c>
      <c r="H10227" s="19"/>
    </row>
    <row r="10228">
      <c r="A10228" s="9"/>
      <c r="B10228" s="15"/>
      <c r="C10228" s="9">
        <f>IFERROR(__xludf.DUMMYFUNCTION("""COMPUTED_VALUE"""),45036.662617118)</f>
        <v>45036.66262</v>
      </c>
      <c r="D10228" s="15">
        <f>IFERROR(__xludf.DUMMYFUNCTION("""COMPUTED_VALUE"""),1.043)</f>
        <v>1.043</v>
      </c>
      <c r="E10228" s="16">
        <f>IFERROR(__xludf.DUMMYFUNCTION("""COMPUTED_VALUE"""),63.0)</f>
        <v>63</v>
      </c>
      <c r="F10228" s="19" t="str">
        <f>IFERROR(__xludf.DUMMYFUNCTION("""COMPUTED_VALUE"""),"BLUE")</f>
        <v>BLUE</v>
      </c>
      <c r="G10228" s="20" t="str">
        <f>IFERROR(__xludf.DUMMYFUNCTION("""COMPUTED_VALUE"""),"Uncle Sams Cider (04/04/2023)")</f>
        <v>Uncle Sams Cider (04/04/2023)</v>
      </c>
      <c r="H10228" s="19"/>
    </row>
    <row r="10229">
      <c r="A10229" s="9"/>
      <c r="B10229" s="15"/>
      <c r="C10229" s="9">
        <f>IFERROR(__xludf.DUMMYFUNCTION("""COMPUTED_VALUE"""),45036.6521965509)</f>
        <v>45036.6522</v>
      </c>
      <c r="D10229" s="15">
        <f>IFERROR(__xludf.DUMMYFUNCTION("""COMPUTED_VALUE"""),1.043)</f>
        <v>1.043</v>
      </c>
      <c r="E10229" s="16">
        <f>IFERROR(__xludf.DUMMYFUNCTION("""COMPUTED_VALUE"""),63.0)</f>
        <v>63</v>
      </c>
      <c r="F10229" s="19" t="str">
        <f>IFERROR(__xludf.DUMMYFUNCTION("""COMPUTED_VALUE"""),"BLUE")</f>
        <v>BLUE</v>
      </c>
      <c r="G10229" s="20" t="str">
        <f>IFERROR(__xludf.DUMMYFUNCTION("""COMPUTED_VALUE"""),"Uncle Sams Cider (04/04/2023)")</f>
        <v>Uncle Sams Cider (04/04/2023)</v>
      </c>
      <c r="H10229" s="19"/>
    </row>
    <row r="10230">
      <c r="A10230" s="9"/>
      <c r="B10230" s="15"/>
      <c r="C10230" s="9">
        <f>IFERROR(__xludf.DUMMYFUNCTION("""COMPUTED_VALUE"""),45036.64177603)</f>
        <v>45036.64178</v>
      </c>
      <c r="D10230" s="15">
        <f>IFERROR(__xludf.DUMMYFUNCTION("""COMPUTED_VALUE"""),1.043)</f>
        <v>1.043</v>
      </c>
      <c r="E10230" s="16">
        <f>IFERROR(__xludf.DUMMYFUNCTION("""COMPUTED_VALUE"""),63.0)</f>
        <v>63</v>
      </c>
      <c r="F10230" s="19" t="str">
        <f>IFERROR(__xludf.DUMMYFUNCTION("""COMPUTED_VALUE"""),"BLUE")</f>
        <v>BLUE</v>
      </c>
      <c r="G10230" s="20" t="str">
        <f>IFERROR(__xludf.DUMMYFUNCTION("""COMPUTED_VALUE"""),"Uncle Sams Cider (04/04/2023)")</f>
        <v>Uncle Sams Cider (04/04/2023)</v>
      </c>
      <c r="H10230" s="19"/>
    </row>
    <row r="10231">
      <c r="A10231" s="9"/>
      <c r="B10231" s="15"/>
      <c r="C10231" s="9">
        <f>IFERROR(__xludf.DUMMYFUNCTION("""COMPUTED_VALUE"""),45036.6313424652)</f>
        <v>45036.63134</v>
      </c>
      <c r="D10231" s="15">
        <f>IFERROR(__xludf.DUMMYFUNCTION("""COMPUTED_VALUE"""),1.042)</f>
        <v>1.042</v>
      </c>
      <c r="E10231" s="16">
        <f>IFERROR(__xludf.DUMMYFUNCTION("""COMPUTED_VALUE"""),63.0)</f>
        <v>63</v>
      </c>
      <c r="F10231" s="19" t="str">
        <f>IFERROR(__xludf.DUMMYFUNCTION("""COMPUTED_VALUE"""),"BLUE")</f>
        <v>BLUE</v>
      </c>
      <c r="G10231" s="20" t="str">
        <f>IFERROR(__xludf.DUMMYFUNCTION("""COMPUTED_VALUE"""),"Uncle Sams Cider (04/04/2023)")</f>
        <v>Uncle Sams Cider (04/04/2023)</v>
      </c>
      <c r="H10231" s="19"/>
    </row>
    <row r="10232">
      <c r="A10232" s="9"/>
      <c r="B10232" s="15"/>
      <c r="C10232" s="9">
        <f>IFERROR(__xludf.DUMMYFUNCTION("""COMPUTED_VALUE"""),45036.6209208449)</f>
        <v>45036.62092</v>
      </c>
      <c r="D10232" s="15">
        <f>IFERROR(__xludf.DUMMYFUNCTION("""COMPUTED_VALUE"""),1.043)</f>
        <v>1.043</v>
      </c>
      <c r="E10232" s="16">
        <f>IFERROR(__xludf.DUMMYFUNCTION("""COMPUTED_VALUE"""),63.0)</f>
        <v>63</v>
      </c>
      <c r="F10232" s="19" t="str">
        <f>IFERROR(__xludf.DUMMYFUNCTION("""COMPUTED_VALUE"""),"BLUE")</f>
        <v>BLUE</v>
      </c>
      <c r="G10232" s="20" t="str">
        <f>IFERROR(__xludf.DUMMYFUNCTION("""COMPUTED_VALUE"""),"Uncle Sams Cider (04/04/2023)")</f>
        <v>Uncle Sams Cider (04/04/2023)</v>
      </c>
      <c r="H10232" s="19"/>
    </row>
    <row r="10233">
      <c r="A10233" s="9"/>
      <c r="B10233" s="15"/>
      <c r="C10233" s="9">
        <f>IFERROR(__xludf.DUMMYFUNCTION("""COMPUTED_VALUE"""),45036.6105004282)</f>
        <v>45036.6105</v>
      </c>
      <c r="D10233" s="15">
        <f>IFERROR(__xludf.DUMMYFUNCTION("""COMPUTED_VALUE"""),1.043)</f>
        <v>1.043</v>
      </c>
      <c r="E10233" s="16">
        <f>IFERROR(__xludf.DUMMYFUNCTION("""COMPUTED_VALUE"""),63.0)</f>
        <v>63</v>
      </c>
      <c r="F10233" s="19" t="str">
        <f>IFERROR(__xludf.DUMMYFUNCTION("""COMPUTED_VALUE"""),"BLUE")</f>
        <v>BLUE</v>
      </c>
      <c r="G10233" s="20" t="str">
        <f>IFERROR(__xludf.DUMMYFUNCTION("""COMPUTED_VALUE"""),"Uncle Sams Cider (04/04/2023)")</f>
        <v>Uncle Sams Cider (04/04/2023)</v>
      </c>
      <c r="H10233" s="19"/>
    </row>
    <row r="10234">
      <c r="A10234" s="9"/>
      <c r="B10234" s="15"/>
      <c r="C10234" s="9">
        <f>IFERROR(__xludf.DUMMYFUNCTION("""COMPUTED_VALUE"""),45036.6000806481)</f>
        <v>45036.60008</v>
      </c>
      <c r="D10234" s="15">
        <f>IFERROR(__xludf.DUMMYFUNCTION("""COMPUTED_VALUE"""),1.043)</f>
        <v>1.043</v>
      </c>
      <c r="E10234" s="16">
        <f>IFERROR(__xludf.DUMMYFUNCTION("""COMPUTED_VALUE"""),63.0)</f>
        <v>63</v>
      </c>
      <c r="F10234" s="19" t="str">
        <f>IFERROR(__xludf.DUMMYFUNCTION("""COMPUTED_VALUE"""),"BLUE")</f>
        <v>BLUE</v>
      </c>
      <c r="G10234" s="20" t="str">
        <f>IFERROR(__xludf.DUMMYFUNCTION("""COMPUTED_VALUE"""),"Uncle Sams Cider (04/04/2023)")</f>
        <v>Uncle Sams Cider (04/04/2023)</v>
      </c>
      <c r="H10234" s="19"/>
    </row>
    <row r="10235">
      <c r="A10235" s="9"/>
      <c r="B10235" s="15"/>
      <c r="C10235" s="9">
        <f>IFERROR(__xludf.DUMMYFUNCTION("""COMPUTED_VALUE"""),45036.5896595486)</f>
        <v>45036.58966</v>
      </c>
      <c r="D10235" s="15">
        <f>IFERROR(__xludf.DUMMYFUNCTION("""COMPUTED_VALUE"""),1.043)</f>
        <v>1.043</v>
      </c>
      <c r="E10235" s="16">
        <f>IFERROR(__xludf.DUMMYFUNCTION("""COMPUTED_VALUE"""),63.0)</f>
        <v>63</v>
      </c>
      <c r="F10235" s="19" t="str">
        <f>IFERROR(__xludf.DUMMYFUNCTION("""COMPUTED_VALUE"""),"BLUE")</f>
        <v>BLUE</v>
      </c>
      <c r="G10235" s="20" t="str">
        <f>IFERROR(__xludf.DUMMYFUNCTION("""COMPUTED_VALUE"""),"Uncle Sams Cider (04/04/2023)")</f>
        <v>Uncle Sams Cider (04/04/2023)</v>
      </c>
      <c r="H10235" s="19"/>
    </row>
    <row r="10236">
      <c r="A10236" s="9"/>
      <c r="B10236" s="15"/>
      <c r="C10236" s="9">
        <f>IFERROR(__xludf.DUMMYFUNCTION("""COMPUTED_VALUE"""),45036.579238287)</f>
        <v>45036.57924</v>
      </c>
      <c r="D10236" s="15">
        <f>IFERROR(__xludf.DUMMYFUNCTION("""COMPUTED_VALUE"""),1.043)</f>
        <v>1.043</v>
      </c>
      <c r="E10236" s="16">
        <f>IFERROR(__xludf.DUMMYFUNCTION("""COMPUTED_VALUE"""),63.0)</f>
        <v>63</v>
      </c>
      <c r="F10236" s="19" t="str">
        <f>IFERROR(__xludf.DUMMYFUNCTION("""COMPUTED_VALUE"""),"BLUE")</f>
        <v>BLUE</v>
      </c>
      <c r="G10236" s="20" t="str">
        <f>IFERROR(__xludf.DUMMYFUNCTION("""COMPUTED_VALUE"""),"Uncle Sams Cider (04/04/2023)")</f>
        <v>Uncle Sams Cider (04/04/2023)</v>
      </c>
      <c r="H10236" s="19"/>
    </row>
    <row r="10237">
      <c r="A10237" s="9"/>
      <c r="B10237" s="15"/>
      <c r="C10237" s="9">
        <f>IFERROR(__xludf.DUMMYFUNCTION("""COMPUTED_VALUE"""),45036.568816875)</f>
        <v>45036.56882</v>
      </c>
      <c r="D10237" s="15">
        <f>IFERROR(__xludf.DUMMYFUNCTION("""COMPUTED_VALUE"""),1.043)</f>
        <v>1.043</v>
      </c>
      <c r="E10237" s="16">
        <f>IFERROR(__xludf.DUMMYFUNCTION("""COMPUTED_VALUE"""),63.0)</f>
        <v>63</v>
      </c>
      <c r="F10237" s="19" t="str">
        <f>IFERROR(__xludf.DUMMYFUNCTION("""COMPUTED_VALUE"""),"BLUE")</f>
        <v>BLUE</v>
      </c>
      <c r="G10237" s="20" t="str">
        <f>IFERROR(__xludf.DUMMYFUNCTION("""COMPUTED_VALUE"""),"Uncle Sams Cider (04/04/2023)")</f>
        <v>Uncle Sams Cider (04/04/2023)</v>
      </c>
      <c r="H10237" s="19"/>
    </row>
    <row r="10238">
      <c r="A10238" s="9"/>
      <c r="B10238" s="15"/>
      <c r="C10238" s="9">
        <f>IFERROR(__xludf.DUMMYFUNCTION("""COMPUTED_VALUE"""),45036.5583962847)</f>
        <v>45036.5584</v>
      </c>
      <c r="D10238" s="15">
        <f>IFERROR(__xludf.DUMMYFUNCTION("""COMPUTED_VALUE"""),1.043)</f>
        <v>1.043</v>
      </c>
      <c r="E10238" s="16">
        <f>IFERROR(__xludf.DUMMYFUNCTION("""COMPUTED_VALUE"""),63.0)</f>
        <v>63</v>
      </c>
      <c r="F10238" s="19" t="str">
        <f>IFERROR(__xludf.DUMMYFUNCTION("""COMPUTED_VALUE"""),"BLUE")</f>
        <v>BLUE</v>
      </c>
      <c r="G10238" s="20" t="str">
        <f>IFERROR(__xludf.DUMMYFUNCTION("""COMPUTED_VALUE"""),"Uncle Sams Cider (04/04/2023)")</f>
        <v>Uncle Sams Cider (04/04/2023)</v>
      </c>
      <c r="H10238" s="19"/>
    </row>
    <row r="10239">
      <c r="A10239" s="9"/>
      <c r="B10239" s="15"/>
      <c r="C10239" s="9">
        <f>IFERROR(__xludf.DUMMYFUNCTION("""COMPUTED_VALUE"""),45036.5479753009)</f>
        <v>45036.54798</v>
      </c>
      <c r="D10239" s="15">
        <f>IFERROR(__xludf.DUMMYFUNCTION("""COMPUTED_VALUE"""),1.043)</f>
        <v>1.043</v>
      </c>
      <c r="E10239" s="16">
        <f>IFERROR(__xludf.DUMMYFUNCTION("""COMPUTED_VALUE"""),63.0)</f>
        <v>63</v>
      </c>
      <c r="F10239" s="19" t="str">
        <f>IFERROR(__xludf.DUMMYFUNCTION("""COMPUTED_VALUE"""),"BLUE")</f>
        <v>BLUE</v>
      </c>
      <c r="G10239" s="20" t="str">
        <f>IFERROR(__xludf.DUMMYFUNCTION("""COMPUTED_VALUE"""),"Uncle Sams Cider (04/04/2023)")</f>
        <v>Uncle Sams Cider (04/04/2023)</v>
      </c>
      <c r="H10239" s="19"/>
    </row>
    <row r="10240">
      <c r="A10240" s="9"/>
      <c r="B10240" s="15"/>
      <c r="C10240" s="9">
        <f>IFERROR(__xludf.DUMMYFUNCTION("""COMPUTED_VALUE"""),45036.5375533564)</f>
        <v>45036.53755</v>
      </c>
      <c r="D10240" s="15">
        <f>IFERROR(__xludf.DUMMYFUNCTION("""COMPUTED_VALUE"""),1.043)</f>
        <v>1.043</v>
      </c>
      <c r="E10240" s="16">
        <f>IFERROR(__xludf.DUMMYFUNCTION("""COMPUTED_VALUE"""),63.0)</f>
        <v>63</v>
      </c>
      <c r="F10240" s="19" t="str">
        <f>IFERROR(__xludf.DUMMYFUNCTION("""COMPUTED_VALUE"""),"BLUE")</f>
        <v>BLUE</v>
      </c>
      <c r="G10240" s="20" t="str">
        <f>IFERROR(__xludf.DUMMYFUNCTION("""COMPUTED_VALUE"""),"Uncle Sams Cider (04/04/2023)")</f>
        <v>Uncle Sams Cider (04/04/2023)</v>
      </c>
      <c r="H10240" s="19"/>
    </row>
    <row r="10241">
      <c r="A10241" s="9"/>
      <c r="B10241" s="15"/>
      <c r="C10241" s="9">
        <f>IFERROR(__xludf.DUMMYFUNCTION("""COMPUTED_VALUE"""),45036.5271316898)</f>
        <v>45036.52713</v>
      </c>
      <c r="D10241" s="15">
        <f>IFERROR(__xludf.DUMMYFUNCTION("""COMPUTED_VALUE"""),1.043)</f>
        <v>1.043</v>
      </c>
      <c r="E10241" s="16">
        <f>IFERROR(__xludf.DUMMYFUNCTION("""COMPUTED_VALUE"""),63.0)</f>
        <v>63</v>
      </c>
      <c r="F10241" s="19" t="str">
        <f>IFERROR(__xludf.DUMMYFUNCTION("""COMPUTED_VALUE"""),"BLUE")</f>
        <v>BLUE</v>
      </c>
      <c r="G10241" s="20" t="str">
        <f>IFERROR(__xludf.DUMMYFUNCTION("""COMPUTED_VALUE"""),"Uncle Sams Cider (04/04/2023)")</f>
        <v>Uncle Sams Cider (04/04/2023)</v>
      </c>
      <c r="H10241" s="19"/>
    </row>
    <row r="10242">
      <c r="A10242" s="9"/>
      <c r="B10242" s="15"/>
      <c r="C10242" s="9">
        <f>IFERROR(__xludf.DUMMYFUNCTION("""COMPUTED_VALUE"""),45036.5167095486)</f>
        <v>45036.51671</v>
      </c>
      <c r="D10242" s="15">
        <f>IFERROR(__xludf.DUMMYFUNCTION("""COMPUTED_VALUE"""),1.043)</f>
        <v>1.043</v>
      </c>
      <c r="E10242" s="16">
        <f>IFERROR(__xludf.DUMMYFUNCTION("""COMPUTED_VALUE"""),63.0)</f>
        <v>63</v>
      </c>
      <c r="F10242" s="19" t="str">
        <f>IFERROR(__xludf.DUMMYFUNCTION("""COMPUTED_VALUE"""),"BLUE")</f>
        <v>BLUE</v>
      </c>
      <c r="G10242" s="20" t="str">
        <f>IFERROR(__xludf.DUMMYFUNCTION("""COMPUTED_VALUE"""),"Uncle Sams Cider (04/04/2023)")</f>
        <v>Uncle Sams Cider (04/04/2023)</v>
      </c>
      <c r="H10242" s="19"/>
    </row>
    <row r="10243">
      <c r="A10243" s="9"/>
      <c r="B10243" s="15"/>
      <c r="C10243" s="9">
        <f>IFERROR(__xludf.DUMMYFUNCTION("""COMPUTED_VALUE"""),45036.5062893402)</f>
        <v>45036.50629</v>
      </c>
      <c r="D10243" s="15">
        <f>IFERROR(__xludf.DUMMYFUNCTION("""COMPUTED_VALUE"""),1.043)</f>
        <v>1.043</v>
      </c>
      <c r="E10243" s="16">
        <f>IFERROR(__xludf.DUMMYFUNCTION("""COMPUTED_VALUE"""),63.0)</f>
        <v>63</v>
      </c>
      <c r="F10243" s="19" t="str">
        <f>IFERROR(__xludf.DUMMYFUNCTION("""COMPUTED_VALUE"""),"BLUE")</f>
        <v>BLUE</v>
      </c>
      <c r="G10243" s="20" t="str">
        <f>IFERROR(__xludf.DUMMYFUNCTION("""COMPUTED_VALUE"""),"Uncle Sams Cider (04/04/2023)")</f>
        <v>Uncle Sams Cider (04/04/2023)</v>
      </c>
      <c r="H10243" s="19"/>
    </row>
    <row r="10244">
      <c r="A10244" s="9"/>
      <c r="B10244" s="15"/>
      <c r="C10244" s="9">
        <f>IFERROR(__xludf.DUMMYFUNCTION("""COMPUTED_VALUE"""),45036.495868449)</f>
        <v>45036.49587</v>
      </c>
      <c r="D10244" s="15">
        <f>IFERROR(__xludf.DUMMYFUNCTION("""COMPUTED_VALUE"""),1.043)</f>
        <v>1.043</v>
      </c>
      <c r="E10244" s="16">
        <f>IFERROR(__xludf.DUMMYFUNCTION("""COMPUTED_VALUE"""),63.0)</f>
        <v>63</v>
      </c>
      <c r="F10244" s="19" t="str">
        <f>IFERROR(__xludf.DUMMYFUNCTION("""COMPUTED_VALUE"""),"BLUE")</f>
        <v>BLUE</v>
      </c>
      <c r="G10244" s="20" t="str">
        <f>IFERROR(__xludf.DUMMYFUNCTION("""COMPUTED_VALUE"""),"Uncle Sams Cider (04/04/2023)")</f>
        <v>Uncle Sams Cider (04/04/2023)</v>
      </c>
      <c r="H10244" s="19"/>
    </row>
    <row r="10245">
      <c r="A10245" s="9"/>
      <c r="B10245" s="15"/>
      <c r="C10245" s="9">
        <f>IFERROR(__xludf.DUMMYFUNCTION("""COMPUTED_VALUE"""),45036.4854462731)</f>
        <v>45036.48545</v>
      </c>
      <c r="D10245" s="15">
        <f>IFERROR(__xludf.DUMMYFUNCTION("""COMPUTED_VALUE"""),1.043)</f>
        <v>1.043</v>
      </c>
      <c r="E10245" s="16">
        <f>IFERROR(__xludf.DUMMYFUNCTION("""COMPUTED_VALUE"""),63.0)</f>
        <v>63</v>
      </c>
      <c r="F10245" s="19" t="str">
        <f>IFERROR(__xludf.DUMMYFUNCTION("""COMPUTED_VALUE"""),"BLUE")</f>
        <v>BLUE</v>
      </c>
      <c r="G10245" s="20" t="str">
        <f>IFERROR(__xludf.DUMMYFUNCTION("""COMPUTED_VALUE"""),"Uncle Sams Cider (04/04/2023)")</f>
        <v>Uncle Sams Cider (04/04/2023)</v>
      </c>
      <c r="H10245" s="19"/>
    </row>
    <row r="10246">
      <c r="A10246" s="9"/>
      <c r="B10246" s="15"/>
      <c r="C10246" s="9">
        <f>IFERROR(__xludf.DUMMYFUNCTION("""COMPUTED_VALUE"""),45036.4750242013)</f>
        <v>45036.47502</v>
      </c>
      <c r="D10246" s="15">
        <f>IFERROR(__xludf.DUMMYFUNCTION("""COMPUTED_VALUE"""),1.043)</f>
        <v>1.043</v>
      </c>
      <c r="E10246" s="16">
        <f>IFERROR(__xludf.DUMMYFUNCTION("""COMPUTED_VALUE"""),63.0)</f>
        <v>63</v>
      </c>
      <c r="F10246" s="19" t="str">
        <f>IFERROR(__xludf.DUMMYFUNCTION("""COMPUTED_VALUE"""),"BLUE")</f>
        <v>BLUE</v>
      </c>
      <c r="G10246" s="20" t="str">
        <f>IFERROR(__xludf.DUMMYFUNCTION("""COMPUTED_VALUE"""),"Uncle Sams Cider (04/04/2023)")</f>
        <v>Uncle Sams Cider (04/04/2023)</v>
      </c>
      <c r="H10246" s="19"/>
    </row>
    <row r="10247">
      <c r="A10247" s="9"/>
      <c r="B10247" s="15"/>
      <c r="C10247" s="9">
        <f>IFERROR(__xludf.DUMMYFUNCTION("""COMPUTED_VALUE"""),45036.4646046527)</f>
        <v>45036.4646</v>
      </c>
      <c r="D10247" s="15">
        <f>IFERROR(__xludf.DUMMYFUNCTION("""COMPUTED_VALUE"""),1.043)</f>
        <v>1.043</v>
      </c>
      <c r="E10247" s="16">
        <f>IFERROR(__xludf.DUMMYFUNCTION("""COMPUTED_VALUE"""),63.0)</f>
        <v>63</v>
      </c>
      <c r="F10247" s="19" t="str">
        <f>IFERROR(__xludf.DUMMYFUNCTION("""COMPUTED_VALUE"""),"BLUE")</f>
        <v>BLUE</v>
      </c>
      <c r="G10247" s="20" t="str">
        <f>IFERROR(__xludf.DUMMYFUNCTION("""COMPUTED_VALUE"""),"Uncle Sams Cider (04/04/2023)")</f>
        <v>Uncle Sams Cider (04/04/2023)</v>
      </c>
      <c r="H10247" s="19"/>
    </row>
    <row r="10248">
      <c r="A10248" s="9"/>
      <c r="B10248" s="15"/>
      <c r="C10248" s="9">
        <f>IFERROR(__xludf.DUMMYFUNCTION("""COMPUTED_VALUE"""),45036.4541838888)</f>
        <v>45036.45418</v>
      </c>
      <c r="D10248" s="15">
        <f>IFERROR(__xludf.DUMMYFUNCTION("""COMPUTED_VALUE"""),1.044)</f>
        <v>1.044</v>
      </c>
      <c r="E10248" s="16">
        <f>IFERROR(__xludf.DUMMYFUNCTION("""COMPUTED_VALUE"""),63.0)</f>
        <v>63</v>
      </c>
      <c r="F10248" s="19" t="str">
        <f>IFERROR(__xludf.DUMMYFUNCTION("""COMPUTED_VALUE"""),"BLUE")</f>
        <v>BLUE</v>
      </c>
      <c r="G10248" s="20" t="str">
        <f>IFERROR(__xludf.DUMMYFUNCTION("""COMPUTED_VALUE"""),"Uncle Sams Cider (04/04/2023)")</f>
        <v>Uncle Sams Cider (04/04/2023)</v>
      </c>
      <c r="H10248" s="19"/>
    </row>
    <row r="10249">
      <c r="A10249" s="9"/>
      <c r="B10249" s="15"/>
      <c r="C10249" s="9">
        <f>IFERROR(__xludf.DUMMYFUNCTION("""COMPUTED_VALUE"""),45036.4437637268)</f>
        <v>45036.44376</v>
      </c>
      <c r="D10249" s="15">
        <f>IFERROR(__xludf.DUMMYFUNCTION("""COMPUTED_VALUE"""),1.043)</f>
        <v>1.043</v>
      </c>
      <c r="E10249" s="16">
        <f>IFERROR(__xludf.DUMMYFUNCTION("""COMPUTED_VALUE"""),63.0)</f>
        <v>63</v>
      </c>
      <c r="F10249" s="19" t="str">
        <f>IFERROR(__xludf.DUMMYFUNCTION("""COMPUTED_VALUE"""),"BLUE")</f>
        <v>BLUE</v>
      </c>
      <c r="G10249" s="20" t="str">
        <f>IFERROR(__xludf.DUMMYFUNCTION("""COMPUTED_VALUE"""),"Uncle Sams Cider (04/04/2023)")</f>
        <v>Uncle Sams Cider (04/04/2023)</v>
      </c>
      <c r="H10249" s="19"/>
    </row>
    <row r="10250">
      <c r="A10250" s="9"/>
      <c r="B10250" s="15"/>
      <c r="C10250" s="9">
        <f>IFERROR(__xludf.DUMMYFUNCTION("""COMPUTED_VALUE"""),45036.4333305324)</f>
        <v>45036.43333</v>
      </c>
      <c r="D10250" s="15">
        <f>IFERROR(__xludf.DUMMYFUNCTION("""COMPUTED_VALUE"""),1.043)</f>
        <v>1.043</v>
      </c>
      <c r="E10250" s="16">
        <f>IFERROR(__xludf.DUMMYFUNCTION("""COMPUTED_VALUE"""),63.0)</f>
        <v>63</v>
      </c>
      <c r="F10250" s="19" t="str">
        <f>IFERROR(__xludf.DUMMYFUNCTION("""COMPUTED_VALUE"""),"BLUE")</f>
        <v>BLUE</v>
      </c>
      <c r="G10250" s="20" t="str">
        <f>IFERROR(__xludf.DUMMYFUNCTION("""COMPUTED_VALUE"""),"Uncle Sams Cider (04/04/2023)")</f>
        <v>Uncle Sams Cider (04/04/2023)</v>
      </c>
      <c r="H10250" s="19"/>
    </row>
    <row r="10251">
      <c r="A10251" s="9"/>
      <c r="B10251" s="15"/>
      <c r="C10251" s="9">
        <f>IFERROR(__xludf.DUMMYFUNCTION("""COMPUTED_VALUE"""),45036.4229093981)</f>
        <v>45036.42291</v>
      </c>
      <c r="D10251" s="15">
        <f>IFERROR(__xludf.DUMMYFUNCTION("""COMPUTED_VALUE"""),1.043)</f>
        <v>1.043</v>
      </c>
      <c r="E10251" s="16">
        <f>IFERROR(__xludf.DUMMYFUNCTION("""COMPUTED_VALUE"""),63.0)</f>
        <v>63</v>
      </c>
      <c r="F10251" s="19" t="str">
        <f>IFERROR(__xludf.DUMMYFUNCTION("""COMPUTED_VALUE"""),"BLUE")</f>
        <v>BLUE</v>
      </c>
      <c r="G10251" s="20" t="str">
        <f>IFERROR(__xludf.DUMMYFUNCTION("""COMPUTED_VALUE"""),"Uncle Sams Cider (04/04/2023)")</f>
        <v>Uncle Sams Cider (04/04/2023)</v>
      </c>
      <c r="H10251" s="19"/>
    </row>
    <row r="10252">
      <c r="A10252" s="9"/>
      <c r="B10252" s="15"/>
      <c r="C10252" s="9">
        <f>IFERROR(__xludf.DUMMYFUNCTION("""COMPUTED_VALUE"""),45036.4124869328)</f>
        <v>45036.41249</v>
      </c>
      <c r="D10252" s="15">
        <f>IFERROR(__xludf.DUMMYFUNCTION("""COMPUTED_VALUE"""),1.043)</f>
        <v>1.043</v>
      </c>
      <c r="E10252" s="16">
        <f>IFERROR(__xludf.DUMMYFUNCTION("""COMPUTED_VALUE"""),63.0)</f>
        <v>63</v>
      </c>
      <c r="F10252" s="19" t="str">
        <f>IFERROR(__xludf.DUMMYFUNCTION("""COMPUTED_VALUE"""),"BLUE")</f>
        <v>BLUE</v>
      </c>
      <c r="G10252" s="20" t="str">
        <f>IFERROR(__xludf.DUMMYFUNCTION("""COMPUTED_VALUE"""),"Uncle Sams Cider (04/04/2023)")</f>
        <v>Uncle Sams Cider (04/04/2023)</v>
      </c>
      <c r="H10252" s="19"/>
    </row>
    <row r="10253">
      <c r="A10253" s="9"/>
      <c r="B10253" s="15"/>
      <c r="C10253" s="9">
        <f>IFERROR(__xludf.DUMMYFUNCTION("""COMPUTED_VALUE"""),45036.4020555208)</f>
        <v>45036.40206</v>
      </c>
      <c r="D10253" s="15">
        <f>IFERROR(__xludf.DUMMYFUNCTION("""COMPUTED_VALUE"""),1.043)</f>
        <v>1.043</v>
      </c>
      <c r="E10253" s="16">
        <f>IFERROR(__xludf.DUMMYFUNCTION("""COMPUTED_VALUE"""),63.0)</f>
        <v>63</v>
      </c>
      <c r="F10253" s="19" t="str">
        <f>IFERROR(__xludf.DUMMYFUNCTION("""COMPUTED_VALUE"""),"BLUE")</f>
        <v>BLUE</v>
      </c>
      <c r="G10253" s="20" t="str">
        <f>IFERROR(__xludf.DUMMYFUNCTION("""COMPUTED_VALUE"""),"Uncle Sams Cider (04/04/2023)")</f>
        <v>Uncle Sams Cider (04/04/2023)</v>
      </c>
      <c r="H10253" s="19"/>
    </row>
    <row r="10254">
      <c r="A10254" s="9"/>
      <c r="B10254" s="15"/>
      <c r="C10254" s="9">
        <f>IFERROR(__xludf.DUMMYFUNCTION("""COMPUTED_VALUE"""),45036.3916221875)</f>
        <v>45036.39162</v>
      </c>
      <c r="D10254" s="15">
        <f>IFERROR(__xludf.DUMMYFUNCTION("""COMPUTED_VALUE"""),1.043)</f>
        <v>1.043</v>
      </c>
      <c r="E10254" s="16">
        <f>IFERROR(__xludf.DUMMYFUNCTION("""COMPUTED_VALUE"""),63.0)</f>
        <v>63</v>
      </c>
      <c r="F10254" s="19" t="str">
        <f>IFERROR(__xludf.DUMMYFUNCTION("""COMPUTED_VALUE"""),"BLUE")</f>
        <v>BLUE</v>
      </c>
      <c r="G10254" s="20" t="str">
        <f>IFERROR(__xludf.DUMMYFUNCTION("""COMPUTED_VALUE"""),"Uncle Sams Cider (04/04/2023)")</f>
        <v>Uncle Sams Cider (04/04/2023)</v>
      </c>
      <c r="H10254" s="19"/>
    </row>
    <row r="10255">
      <c r="A10255" s="9"/>
      <c r="B10255" s="15"/>
      <c r="C10255" s="9">
        <f>IFERROR(__xludf.DUMMYFUNCTION("""COMPUTED_VALUE"""),45036.3812016088)</f>
        <v>45036.3812</v>
      </c>
      <c r="D10255" s="15">
        <f>IFERROR(__xludf.DUMMYFUNCTION("""COMPUTED_VALUE"""),1.044)</f>
        <v>1.044</v>
      </c>
      <c r="E10255" s="16">
        <f>IFERROR(__xludf.DUMMYFUNCTION("""COMPUTED_VALUE"""),63.0)</f>
        <v>63</v>
      </c>
      <c r="F10255" s="19" t="str">
        <f>IFERROR(__xludf.DUMMYFUNCTION("""COMPUTED_VALUE"""),"BLUE")</f>
        <v>BLUE</v>
      </c>
      <c r="G10255" s="20" t="str">
        <f>IFERROR(__xludf.DUMMYFUNCTION("""COMPUTED_VALUE"""),"Uncle Sams Cider (04/04/2023)")</f>
        <v>Uncle Sams Cider (04/04/2023)</v>
      </c>
      <c r="H10255" s="19"/>
    </row>
    <row r="10256">
      <c r="A10256" s="9"/>
      <c r="B10256" s="15"/>
      <c r="C10256" s="9">
        <f>IFERROR(__xludf.DUMMYFUNCTION("""COMPUTED_VALUE"""),45036.370779537)</f>
        <v>45036.37078</v>
      </c>
      <c r="D10256" s="15">
        <f>IFERROR(__xludf.DUMMYFUNCTION("""COMPUTED_VALUE"""),1.043)</f>
        <v>1.043</v>
      </c>
      <c r="E10256" s="16">
        <f>IFERROR(__xludf.DUMMYFUNCTION("""COMPUTED_VALUE"""),63.0)</f>
        <v>63</v>
      </c>
      <c r="F10256" s="19" t="str">
        <f>IFERROR(__xludf.DUMMYFUNCTION("""COMPUTED_VALUE"""),"BLUE")</f>
        <v>BLUE</v>
      </c>
      <c r="G10256" s="20" t="str">
        <f>IFERROR(__xludf.DUMMYFUNCTION("""COMPUTED_VALUE"""),"Uncle Sams Cider (04/04/2023)")</f>
        <v>Uncle Sams Cider (04/04/2023)</v>
      </c>
      <c r="H10256" s="19"/>
    </row>
    <row r="10257">
      <c r="A10257" s="9"/>
      <c r="B10257" s="15"/>
      <c r="C10257" s="9">
        <f>IFERROR(__xludf.DUMMYFUNCTION("""COMPUTED_VALUE"""),45036.3603585995)</f>
        <v>45036.36036</v>
      </c>
      <c r="D10257" s="15">
        <f>IFERROR(__xludf.DUMMYFUNCTION("""COMPUTED_VALUE"""),1.044)</f>
        <v>1.044</v>
      </c>
      <c r="E10257" s="16">
        <f>IFERROR(__xludf.DUMMYFUNCTION("""COMPUTED_VALUE"""),63.0)</f>
        <v>63</v>
      </c>
      <c r="F10257" s="19" t="str">
        <f>IFERROR(__xludf.DUMMYFUNCTION("""COMPUTED_VALUE"""),"BLUE")</f>
        <v>BLUE</v>
      </c>
      <c r="G10257" s="20" t="str">
        <f>IFERROR(__xludf.DUMMYFUNCTION("""COMPUTED_VALUE"""),"Uncle Sams Cider (04/04/2023)")</f>
        <v>Uncle Sams Cider (04/04/2023)</v>
      </c>
      <c r="H10257" s="19"/>
    </row>
    <row r="10258">
      <c r="A10258" s="9"/>
      <c r="B10258" s="15"/>
      <c r="C10258" s="9">
        <f>IFERROR(__xludf.DUMMYFUNCTION("""COMPUTED_VALUE"""),45036.3499375926)</f>
        <v>45036.34994</v>
      </c>
      <c r="D10258" s="15">
        <f>IFERROR(__xludf.DUMMYFUNCTION("""COMPUTED_VALUE"""),1.043)</f>
        <v>1.043</v>
      </c>
      <c r="E10258" s="16">
        <f>IFERROR(__xludf.DUMMYFUNCTION("""COMPUTED_VALUE"""),63.0)</f>
        <v>63</v>
      </c>
      <c r="F10258" s="19" t="str">
        <f>IFERROR(__xludf.DUMMYFUNCTION("""COMPUTED_VALUE"""),"BLUE")</f>
        <v>BLUE</v>
      </c>
      <c r="G10258" s="20" t="str">
        <f>IFERROR(__xludf.DUMMYFUNCTION("""COMPUTED_VALUE"""),"Uncle Sams Cider (04/04/2023)")</f>
        <v>Uncle Sams Cider (04/04/2023)</v>
      </c>
      <c r="H10258" s="19"/>
    </row>
    <row r="10259">
      <c r="A10259" s="9"/>
      <c r="B10259" s="15"/>
      <c r="C10259" s="9">
        <f>IFERROR(__xludf.DUMMYFUNCTION("""COMPUTED_VALUE"""),45036.3395143171)</f>
        <v>45036.33951</v>
      </c>
      <c r="D10259" s="15">
        <f>IFERROR(__xludf.DUMMYFUNCTION("""COMPUTED_VALUE"""),1.044)</f>
        <v>1.044</v>
      </c>
      <c r="E10259" s="16">
        <f>IFERROR(__xludf.DUMMYFUNCTION("""COMPUTED_VALUE"""),63.0)</f>
        <v>63</v>
      </c>
      <c r="F10259" s="19" t="str">
        <f>IFERROR(__xludf.DUMMYFUNCTION("""COMPUTED_VALUE"""),"BLUE")</f>
        <v>BLUE</v>
      </c>
      <c r="G10259" s="20" t="str">
        <f>IFERROR(__xludf.DUMMYFUNCTION("""COMPUTED_VALUE"""),"Uncle Sams Cider (04/04/2023)")</f>
        <v>Uncle Sams Cider (04/04/2023)</v>
      </c>
      <c r="H10259" s="19"/>
    </row>
    <row r="10260">
      <c r="A10260" s="9"/>
      <c r="B10260" s="15"/>
      <c r="C10260" s="9">
        <f>IFERROR(__xludf.DUMMYFUNCTION("""COMPUTED_VALUE"""),45036.3290933564)</f>
        <v>45036.32909</v>
      </c>
      <c r="D10260" s="15">
        <f>IFERROR(__xludf.DUMMYFUNCTION("""COMPUTED_VALUE"""),1.044)</f>
        <v>1.044</v>
      </c>
      <c r="E10260" s="16">
        <f>IFERROR(__xludf.DUMMYFUNCTION("""COMPUTED_VALUE"""),63.0)</f>
        <v>63</v>
      </c>
      <c r="F10260" s="19" t="str">
        <f>IFERROR(__xludf.DUMMYFUNCTION("""COMPUTED_VALUE"""),"BLUE")</f>
        <v>BLUE</v>
      </c>
      <c r="G10260" s="20" t="str">
        <f>IFERROR(__xludf.DUMMYFUNCTION("""COMPUTED_VALUE"""),"Uncle Sams Cider (04/04/2023)")</f>
        <v>Uncle Sams Cider (04/04/2023)</v>
      </c>
      <c r="H10260" s="19"/>
    </row>
    <row r="10261">
      <c r="A10261" s="9"/>
      <c r="B10261" s="15"/>
      <c r="C10261" s="9">
        <f>IFERROR(__xludf.DUMMYFUNCTION("""COMPUTED_VALUE"""),45036.3186704398)</f>
        <v>45036.31867</v>
      </c>
      <c r="D10261" s="15">
        <f>IFERROR(__xludf.DUMMYFUNCTION("""COMPUTED_VALUE"""),1.044)</f>
        <v>1.044</v>
      </c>
      <c r="E10261" s="16">
        <f>IFERROR(__xludf.DUMMYFUNCTION("""COMPUTED_VALUE"""),63.0)</f>
        <v>63</v>
      </c>
      <c r="F10261" s="19" t="str">
        <f>IFERROR(__xludf.DUMMYFUNCTION("""COMPUTED_VALUE"""),"BLUE")</f>
        <v>BLUE</v>
      </c>
      <c r="G10261" s="20" t="str">
        <f>IFERROR(__xludf.DUMMYFUNCTION("""COMPUTED_VALUE"""),"Uncle Sams Cider (04/04/2023)")</f>
        <v>Uncle Sams Cider (04/04/2023)</v>
      </c>
      <c r="H10261" s="19"/>
    </row>
    <row r="10262">
      <c r="A10262" s="9"/>
      <c r="B10262" s="15"/>
      <c r="C10262" s="9">
        <f>IFERROR(__xludf.DUMMYFUNCTION("""COMPUTED_VALUE"""),45036.3082486111)</f>
        <v>45036.30825</v>
      </c>
      <c r="D10262" s="15">
        <f>IFERROR(__xludf.DUMMYFUNCTION("""COMPUTED_VALUE"""),1.044)</f>
        <v>1.044</v>
      </c>
      <c r="E10262" s="16">
        <f>IFERROR(__xludf.DUMMYFUNCTION("""COMPUTED_VALUE"""),63.0)</f>
        <v>63</v>
      </c>
      <c r="F10262" s="19" t="str">
        <f>IFERROR(__xludf.DUMMYFUNCTION("""COMPUTED_VALUE"""),"BLUE")</f>
        <v>BLUE</v>
      </c>
      <c r="G10262" s="20" t="str">
        <f>IFERROR(__xludf.DUMMYFUNCTION("""COMPUTED_VALUE"""),"Uncle Sams Cider (04/04/2023)")</f>
        <v>Uncle Sams Cider (04/04/2023)</v>
      </c>
      <c r="H10262" s="19"/>
    </row>
    <row r="10263">
      <c r="A10263" s="9"/>
      <c r="B10263" s="15"/>
      <c r="C10263" s="9">
        <f>IFERROR(__xludf.DUMMYFUNCTION("""COMPUTED_VALUE"""),45036.2978276157)</f>
        <v>45036.29783</v>
      </c>
      <c r="D10263" s="15">
        <f>IFERROR(__xludf.DUMMYFUNCTION("""COMPUTED_VALUE"""),1.044)</f>
        <v>1.044</v>
      </c>
      <c r="E10263" s="16">
        <f>IFERROR(__xludf.DUMMYFUNCTION("""COMPUTED_VALUE"""),63.0)</f>
        <v>63</v>
      </c>
      <c r="F10263" s="19" t="str">
        <f>IFERROR(__xludf.DUMMYFUNCTION("""COMPUTED_VALUE"""),"BLUE")</f>
        <v>BLUE</v>
      </c>
      <c r="G10263" s="20" t="str">
        <f>IFERROR(__xludf.DUMMYFUNCTION("""COMPUTED_VALUE"""),"Uncle Sams Cider (04/04/2023)")</f>
        <v>Uncle Sams Cider (04/04/2023)</v>
      </c>
      <c r="H10263" s="19"/>
    </row>
    <row r="10264">
      <c r="A10264" s="9"/>
      <c r="B10264" s="15"/>
      <c r="C10264" s="9">
        <f>IFERROR(__xludf.DUMMYFUNCTION("""COMPUTED_VALUE"""),45036.2873949074)</f>
        <v>45036.28739</v>
      </c>
      <c r="D10264" s="15">
        <f>IFERROR(__xludf.DUMMYFUNCTION("""COMPUTED_VALUE"""),1.044)</f>
        <v>1.044</v>
      </c>
      <c r="E10264" s="16">
        <f>IFERROR(__xludf.DUMMYFUNCTION("""COMPUTED_VALUE"""),63.0)</f>
        <v>63</v>
      </c>
      <c r="F10264" s="19" t="str">
        <f>IFERROR(__xludf.DUMMYFUNCTION("""COMPUTED_VALUE"""),"BLUE")</f>
        <v>BLUE</v>
      </c>
      <c r="G10264" s="20" t="str">
        <f>IFERROR(__xludf.DUMMYFUNCTION("""COMPUTED_VALUE"""),"Uncle Sams Cider (04/04/2023)")</f>
        <v>Uncle Sams Cider (04/04/2023)</v>
      </c>
      <c r="H10264" s="19"/>
    </row>
    <row r="10265">
      <c r="A10265" s="9"/>
      <c r="B10265" s="15"/>
      <c r="C10265" s="9">
        <f>IFERROR(__xludf.DUMMYFUNCTION("""COMPUTED_VALUE"""),45036.2769754629)</f>
        <v>45036.27698</v>
      </c>
      <c r="D10265" s="15">
        <f>IFERROR(__xludf.DUMMYFUNCTION("""COMPUTED_VALUE"""),1.044)</f>
        <v>1.044</v>
      </c>
      <c r="E10265" s="16">
        <f>IFERROR(__xludf.DUMMYFUNCTION("""COMPUTED_VALUE"""),63.0)</f>
        <v>63</v>
      </c>
      <c r="F10265" s="19" t="str">
        <f>IFERROR(__xludf.DUMMYFUNCTION("""COMPUTED_VALUE"""),"BLUE")</f>
        <v>BLUE</v>
      </c>
      <c r="G10265" s="20" t="str">
        <f>IFERROR(__xludf.DUMMYFUNCTION("""COMPUTED_VALUE"""),"Uncle Sams Cider (04/04/2023)")</f>
        <v>Uncle Sams Cider (04/04/2023)</v>
      </c>
      <c r="H10265" s="19"/>
    </row>
    <row r="10266">
      <c r="A10266" s="9"/>
      <c r="B10266" s="15"/>
      <c r="C10266" s="9">
        <f>IFERROR(__xludf.DUMMYFUNCTION("""COMPUTED_VALUE"""),45036.2665539814)</f>
        <v>45036.26655</v>
      </c>
      <c r="D10266" s="15">
        <f>IFERROR(__xludf.DUMMYFUNCTION("""COMPUTED_VALUE"""),1.044)</f>
        <v>1.044</v>
      </c>
      <c r="E10266" s="16">
        <f>IFERROR(__xludf.DUMMYFUNCTION("""COMPUTED_VALUE"""),63.0)</f>
        <v>63</v>
      </c>
      <c r="F10266" s="19" t="str">
        <f>IFERROR(__xludf.DUMMYFUNCTION("""COMPUTED_VALUE"""),"BLUE")</f>
        <v>BLUE</v>
      </c>
      <c r="G10266" s="20" t="str">
        <f>IFERROR(__xludf.DUMMYFUNCTION("""COMPUTED_VALUE"""),"Uncle Sams Cider (04/04/2023)")</f>
        <v>Uncle Sams Cider (04/04/2023)</v>
      </c>
      <c r="H10266" s="19"/>
    </row>
    <row r="10267">
      <c r="A10267" s="9"/>
      <c r="B10267" s="15"/>
      <c r="C10267" s="9">
        <f>IFERROR(__xludf.DUMMYFUNCTION("""COMPUTED_VALUE"""),45036.2561361689)</f>
        <v>45036.25614</v>
      </c>
      <c r="D10267" s="15">
        <f>IFERROR(__xludf.DUMMYFUNCTION("""COMPUTED_VALUE"""),1.044)</f>
        <v>1.044</v>
      </c>
      <c r="E10267" s="16">
        <f>IFERROR(__xludf.DUMMYFUNCTION("""COMPUTED_VALUE"""),63.0)</f>
        <v>63</v>
      </c>
      <c r="F10267" s="19" t="str">
        <f>IFERROR(__xludf.DUMMYFUNCTION("""COMPUTED_VALUE"""),"BLUE")</f>
        <v>BLUE</v>
      </c>
      <c r="G10267" s="20" t="str">
        <f>IFERROR(__xludf.DUMMYFUNCTION("""COMPUTED_VALUE"""),"Uncle Sams Cider (04/04/2023)")</f>
        <v>Uncle Sams Cider (04/04/2023)</v>
      </c>
      <c r="H10267" s="19"/>
    </row>
    <row r="10268">
      <c r="A10268" s="9"/>
      <c r="B10268" s="15"/>
      <c r="C10268" s="9">
        <f>IFERROR(__xludf.DUMMYFUNCTION("""COMPUTED_VALUE"""),45036.2457162847)</f>
        <v>45036.24572</v>
      </c>
      <c r="D10268" s="15">
        <f>IFERROR(__xludf.DUMMYFUNCTION("""COMPUTED_VALUE"""),1.044)</f>
        <v>1.044</v>
      </c>
      <c r="E10268" s="16">
        <f>IFERROR(__xludf.DUMMYFUNCTION("""COMPUTED_VALUE"""),63.0)</f>
        <v>63</v>
      </c>
      <c r="F10268" s="19" t="str">
        <f>IFERROR(__xludf.DUMMYFUNCTION("""COMPUTED_VALUE"""),"BLUE")</f>
        <v>BLUE</v>
      </c>
      <c r="G10268" s="20" t="str">
        <f>IFERROR(__xludf.DUMMYFUNCTION("""COMPUTED_VALUE"""),"Uncle Sams Cider (04/04/2023)")</f>
        <v>Uncle Sams Cider (04/04/2023)</v>
      </c>
      <c r="H10268" s="19"/>
    </row>
    <row r="10269">
      <c r="A10269" s="9"/>
      <c r="B10269" s="15"/>
      <c r="C10269" s="9">
        <f>IFERROR(__xludf.DUMMYFUNCTION("""COMPUTED_VALUE"""),45036.2352939699)</f>
        <v>45036.23529</v>
      </c>
      <c r="D10269" s="15">
        <f>IFERROR(__xludf.DUMMYFUNCTION("""COMPUTED_VALUE"""),1.044)</f>
        <v>1.044</v>
      </c>
      <c r="E10269" s="16">
        <f>IFERROR(__xludf.DUMMYFUNCTION("""COMPUTED_VALUE"""),63.0)</f>
        <v>63</v>
      </c>
      <c r="F10269" s="19" t="str">
        <f>IFERROR(__xludf.DUMMYFUNCTION("""COMPUTED_VALUE"""),"BLUE")</f>
        <v>BLUE</v>
      </c>
      <c r="G10269" s="20" t="str">
        <f>IFERROR(__xludf.DUMMYFUNCTION("""COMPUTED_VALUE"""),"Uncle Sams Cider (04/04/2023)")</f>
        <v>Uncle Sams Cider (04/04/2023)</v>
      </c>
      <c r="H10269" s="19"/>
    </row>
    <row r="10270">
      <c r="A10270" s="9"/>
      <c r="B10270" s="15"/>
      <c r="C10270" s="9">
        <f>IFERROR(__xludf.DUMMYFUNCTION("""COMPUTED_VALUE"""),45036.2248736342)</f>
        <v>45036.22487</v>
      </c>
      <c r="D10270" s="15">
        <f>IFERROR(__xludf.DUMMYFUNCTION("""COMPUTED_VALUE"""),1.044)</f>
        <v>1.044</v>
      </c>
      <c r="E10270" s="16">
        <f>IFERROR(__xludf.DUMMYFUNCTION("""COMPUTED_VALUE"""),63.0)</f>
        <v>63</v>
      </c>
      <c r="F10270" s="19" t="str">
        <f>IFERROR(__xludf.DUMMYFUNCTION("""COMPUTED_VALUE"""),"BLUE")</f>
        <v>BLUE</v>
      </c>
      <c r="G10270" s="20" t="str">
        <f>IFERROR(__xludf.DUMMYFUNCTION("""COMPUTED_VALUE"""),"Uncle Sams Cider (04/04/2023)")</f>
        <v>Uncle Sams Cider (04/04/2023)</v>
      </c>
      <c r="H10270" s="19"/>
    </row>
    <row r="10271">
      <c r="A10271" s="9"/>
      <c r="B10271" s="15"/>
      <c r="C10271" s="9">
        <f>IFERROR(__xludf.DUMMYFUNCTION("""COMPUTED_VALUE"""),45036.2144549884)</f>
        <v>45036.21445</v>
      </c>
      <c r="D10271" s="15">
        <f>IFERROR(__xludf.DUMMYFUNCTION("""COMPUTED_VALUE"""),1.044)</f>
        <v>1.044</v>
      </c>
      <c r="E10271" s="16">
        <f>IFERROR(__xludf.DUMMYFUNCTION("""COMPUTED_VALUE"""),63.0)</f>
        <v>63</v>
      </c>
      <c r="F10271" s="19" t="str">
        <f>IFERROR(__xludf.DUMMYFUNCTION("""COMPUTED_VALUE"""),"BLUE")</f>
        <v>BLUE</v>
      </c>
      <c r="G10271" s="20" t="str">
        <f>IFERROR(__xludf.DUMMYFUNCTION("""COMPUTED_VALUE"""),"Uncle Sams Cider (04/04/2023)")</f>
        <v>Uncle Sams Cider (04/04/2023)</v>
      </c>
      <c r="H10271" s="19"/>
    </row>
    <row r="10272">
      <c r="A10272" s="9"/>
      <c r="B10272" s="15"/>
      <c r="C10272" s="9">
        <f>IFERROR(__xludf.DUMMYFUNCTION("""COMPUTED_VALUE"""),45036.2040339467)</f>
        <v>45036.20403</v>
      </c>
      <c r="D10272" s="15">
        <f>IFERROR(__xludf.DUMMYFUNCTION("""COMPUTED_VALUE"""),1.044)</f>
        <v>1.044</v>
      </c>
      <c r="E10272" s="16">
        <f>IFERROR(__xludf.DUMMYFUNCTION("""COMPUTED_VALUE"""),63.0)</f>
        <v>63</v>
      </c>
      <c r="F10272" s="19" t="str">
        <f>IFERROR(__xludf.DUMMYFUNCTION("""COMPUTED_VALUE"""),"BLUE")</f>
        <v>BLUE</v>
      </c>
      <c r="G10272" s="20" t="str">
        <f>IFERROR(__xludf.DUMMYFUNCTION("""COMPUTED_VALUE"""),"Uncle Sams Cider (04/04/2023)")</f>
        <v>Uncle Sams Cider (04/04/2023)</v>
      </c>
      <c r="H10272" s="19"/>
    </row>
    <row r="10273">
      <c r="A10273" s="9"/>
      <c r="B10273" s="15"/>
      <c r="C10273" s="9">
        <f>IFERROR(__xludf.DUMMYFUNCTION("""COMPUTED_VALUE"""),45036.1936130671)</f>
        <v>45036.19361</v>
      </c>
      <c r="D10273" s="15">
        <f>IFERROR(__xludf.DUMMYFUNCTION("""COMPUTED_VALUE"""),1.044)</f>
        <v>1.044</v>
      </c>
      <c r="E10273" s="16">
        <f>IFERROR(__xludf.DUMMYFUNCTION("""COMPUTED_VALUE"""),63.0)</f>
        <v>63</v>
      </c>
      <c r="F10273" s="19" t="str">
        <f>IFERROR(__xludf.DUMMYFUNCTION("""COMPUTED_VALUE"""),"BLUE")</f>
        <v>BLUE</v>
      </c>
      <c r="G10273" s="20" t="str">
        <f>IFERROR(__xludf.DUMMYFUNCTION("""COMPUTED_VALUE"""),"Uncle Sams Cider (04/04/2023)")</f>
        <v>Uncle Sams Cider (04/04/2023)</v>
      </c>
      <c r="H10273" s="19"/>
    </row>
    <row r="10274">
      <c r="A10274" s="9"/>
      <c r="B10274" s="15"/>
      <c r="C10274" s="9">
        <f>IFERROR(__xludf.DUMMYFUNCTION("""COMPUTED_VALUE"""),45036.1831919791)</f>
        <v>45036.18319</v>
      </c>
      <c r="D10274" s="15">
        <f>IFERROR(__xludf.DUMMYFUNCTION("""COMPUTED_VALUE"""),1.044)</f>
        <v>1.044</v>
      </c>
      <c r="E10274" s="16">
        <f>IFERROR(__xludf.DUMMYFUNCTION("""COMPUTED_VALUE"""),63.0)</f>
        <v>63</v>
      </c>
      <c r="F10274" s="19" t="str">
        <f>IFERROR(__xludf.DUMMYFUNCTION("""COMPUTED_VALUE"""),"BLUE")</f>
        <v>BLUE</v>
      </c>
      <c r="G10274" s="20" t="str">
        <f>IFERROR(__xludf.DUMMYFUNCTION("""COMPUTED_VALUE"""),"Uncle Sams Cider (04/04/2023)")</f>
        <v>Uncle Sams Cider (04/04/2023)</v>
      </c>
      <c r="H10274" s="19"/>
    </row>
    <row r="10275">
      <c r="A10275" s="9"/>
      <c r="B10275" s="15"/>
      <c r="C10275" s="9">
        <f>IFERROR(__xludf.DUMMYFUNCTION("""COMPUTED_VALUE"""),45036.1727470717)</f>
        <v>45036.17275</v>
      </c>
      <c r="D10275" s="15">
        <f>IFERROR(__xludf.DUMMYFUNCTION("""COMPUTED_VALUE"""),1.044)</f>
        <v>1.044</v>
      </c>
      <c r="E10275" s="16">
        <f>IFERROR(__xludf.DUMMYFUNCTION("""COMPUTED_VALUE"""),63.0)</f>
        <v>63</v>
      </c>
      <c r="F10275" s="19" t="str">
        <f>IFERROR(__xludf.DUMMYFUNCTION("""COMPUTED_VALUE"""),"BLUE")</f>
        <v>BLUE</v>
      </c>
      <c r="G10275" s="20" t="str">
        <f>IFERROR(__xludf.DUMMYFUNCTION("""COMPUTED_VALUE"""),"Uncle Sams Cider (04/04/2023)")</f>
        <v>Uncle Sams Cider (04/04/2023)</v>
      </c>
      <c r="H10275" s="19"/>
    </row>
    <row r="10276">
      <c r="A10276" s="9"/>
      <c r="B10276" s="15"/>
      <c r="C10276" s="9">
        <f>IFERROR(__xludf.DUMMYFUNCTION("""COMPUTED_VALUE"""),45036.1623260416)</f>
        <v>45036.16233</v>
      </c>
      <c r="D10276" s="15">
        <f>IFERROR(__xludf.DUMMYFUNCTION("""COMPUTED_VALUE"""),1.044)</f>
        <v>1.044</v>
      </c>
      <c r="E10276" s="16">
        <f>IFERROR(__xludf.DUMMYFUNCTION("""COMPUTED_VALUE"""),63.0)</f>
        <v>63</v>
      </c>
      <c r="F10276" s="19" t="str">
        <f>IFERROR(__xludf.DUMMYFUNCTION("""COMPUTED_VALUE"""),"BLUE")</f>
        <v>BLUE</v>
      </c>
      <c r="G10276" s="20" t="str">
        <f>IFERROR(__xludf.DUMMYFUNCTION("""COMPUTED_VALUE"""),"Uncle Sams Cider (04/04/2023)")</f>
        <v>Uncle Sams Cider (04/04/2023)</v>
      </c>
      <c r="H10276" s="19"/>
    </row>
    <row r="10277">
      <c r="A10277" s="9"/>
      <c r="B10277" s="15"/>
      <c r="C10277" s="9">
        <f>IFERROR(__xludf.DUMMYFUNCTION("""COMPUTED_VALUE"""),45036.1519049421)</f>
        <v>45036.1519</v>
      </c>
      <c r="D10277" s="15">
        <f>IFERROR(__xludf.DUMMYFUNCTION("""COMPUTED_VALUE"""),1.044)</f>
        <v>1.044</v>
      </c>
      <c r="E10277" s="16">
        <f>IFERROR(__xludf.DUMMYFUNCTION("""COMPUTED_VALUE"""),63.0)</f>
        <v>63</v>
      </c>
      <c r="F10277" s="19" t="str">
        <f>IFERROR(__xludf.DUMMYFUNCTION("""COMPUTED_VALUE"""),"BLUE")</f>
        <v>BLUE</v>
      </c>
      <c r="G10277" s="20" t="str">
        <f>IFERROR(__xludf.DUMMYFUNCTION("""COMPUTED_VALUE"""),"Uncle Sams Cider (04/04/2023)")</f>
        <v>Uncle Sams Cider (04/04/2023)</v>
      </c>
      <c r="H10277" s="19"/>
    </row>
    <row r="10278">
      <c r="A10278" s="9"/>
      <c r="B10278" s="15"/>
      <c r="C10278" s="9">
        <f>IFERROR(__xludf.DUMMYFUNCTION("""COMPUTED_VALUE"""),45036.141483125)</f>
        <v>45036.14148</v>
      </c>
      <c r="D10278" s="15">
        <f>IFERROR(__xludf.DUMMYFUNCTION("""COMPUTED_VALUE"""),1.044)</f>
        <v>1.044</v>
      </c>
      <c r="E10278" s="16">
        <f>IFERROR(__xludf.DUMMYFUNCTION("""COMPUTED_VALUE"""),63.0)</f>
        <v>63</v>
      </c>
      <c r="F10278" s="19" t="str">
        <f>IFERROR(__xludf.DUMMYFUNCTION("""COMPUTED_VALUE"""),"BLUE")</f>
        <v>BLUE</v>
      </c>
      <c r="G10278" s="20" t="str">
        <f>IFERROR(__xludf.DUMMYFUNCTION("""COMPUTED_VALUE"""),"Uncle Sams Cider (04/04/2023)")</f>
        <v>Uncle Sams Cider (04/04/2023)</v>
      </c>
      <c r="H10278" s="19"/>
    </row>
    <row r="10279">
      <c r="A10279" s="9"/>
      <c r="B10279" s="15"/>
      <c r="C10279" s="9">
        <f>IFERROR(__xludf.DUMMYFUNCTION("""COMPUTED_VALUE"""),45036.1310619907)</f>
        <v>45036.13106</v>
      </c>
      <c r="D10279" s="15">
        <f>IFERROR(__xludf.DUMMYFUNCTION("""COMPUTED_VALUE"""),1.044)</f>
        <v>1.044</v>
      </c>
      <c r="E10279" s="16">
        <f>IFERROR(__xludf.DUMMYFUNCTION("""COMPUTED_VALUE"""),63.0)</f>
        <v>63</v>
      </c>
      <c r="F10279" s="19" t="str">
        <f>IFERROR(__xludf.DUMMYFUNCTION("""COMPUTED_VALUE"""),"BLUE")</f>
        <v>BLUE</v>
      </c>
      <c r="G10279" s="20" t="str">
        <f>IFERROR(__xludf.DUMMYFUNCTION("""COMPUTED_VALUE"""),"Uncle Sams Cider (04/04/2023)")</f>
        <v>Uncle Sams Cider (04/04/2023)</v>
      </c>
      <c r="H10279" s="19"/>
    </row>
    <row r="10280">
      <c r="A10280" s="9"/>
      <c r="B10280" s="15"/>
      <c r="C10280" s="9">
        <f>IFERROR(__xludf.DUMMYFUNCTION("""COMPUTED_VALUE"""),45036.1206395254)</f>
        <v>45036.12064</v>
      </c>
      <c r="D10280" s="15">
        <f>IFERROR(__xludf.DUMMYFUNCTION("""COMPUTED_VALUE"""),1.044)</f>
        <v>1.044</v>
      </c>
      <c r="E10280" s="16">
        <f>IFERROR(__xludf.DUMMYFUNCTION("""COMPUTED_VALUE"""),63.0)</f>
        <v>63</v>
      </c>
      <c r="F10280" s="19" t="str">
        <f>IFERROR(__xludf.DUMMYFUNCTION("""COMPUTED_VALUE"""),"BLUE")</f>
        <v>BLUE</v>
      </c>
      <c r="G10280" s="20" t="str">
        <f>IFERROR(__xludf.DUMMYFUNCTION("""COMPUTED_VALUE"""),"Uncle Sams Cider (04/04/2023)")</f>
        <v>Uncle Sams Cider (04/04/2023)</v>
      </c>
      <c r="H10280" s="19"/>
    </row>
    <row r="10281">
      <c r="A10281" s="9"/>
      <c r="B10281" s="15"/>
      <c r="C10281" s="9">
        <f>IFERROR(__xludf.DUMMYFUNCTION("""COMPUTED_VALUE"""),45036.1102065972)</f>
        <v>45036.11021</v>
      </c>
      <c r="D10281" s="15">
        <f>IFERROR(__xludf.DUMMYFUNCTION("""COMPUTED_VALUE"""),1.044)</f>
        <v>1.044</v>
      </c>
      <c r="E10281" s="16">
        <f>IFERROR(__xludf.DUMMYFUNCTION("""COMPUTED_VALUE"""),63.0)</f>
        <v>63</v>
      </c>
      <c r="F10281" s="19" t="str">
        <f>IFERROR(__xludf.DUMMYFUNCTION("""COMPUTED_VALUE"""),"BLUE")</f>
        <v>BLUE</v>
      </c>
      <c r="G10281" s="20" t="str">
        <f>IFERROR(__xludf.DUMMYFUNCTION("""COMPUTED_VALUE"""),"Uncle Sams Cider (04/04/2023)")</f>
        <v>Uncle Sams Cider (04/04/2023)</v>
      </c>
      <c r="H10281" s="19"/>
    </row>
    <row r="10282">
      <c r="A10282" s="9"/>
      <c r="B10282" s="15"/>
      <c r="C10282" s="9">
        <f>IFERROR(__xludf.DUMMYFUNCTION("""COMPUTED_VALUE"""),45036.0997745254)</f>
        <v>45036.09977</v>
      </c>
      <c r="D10282" s="15">
        <f>IFERROR(__xludf.DUMMYFUNCTION("""COMPUTED_VALUE"""),1.044)</f>
        <v>1.044</v>
      </c>
      <c r="E10282" s="16">
        <f>IFERROR(__xludf.DUMMYFUNCTION("""COMPUTED_VALUE"""),63.0)</f>
        <v>63</v>
      </c>
      <c r="F10282" s="19" t="str">
        <f>IFERROR(__xludf.DUMMYFUNCTION("""COMPUTED_VALUE"""),"BLUE")</f>
        <v>BLUE</v>
      </c>
      <c r="G10282" s="20" t="str">
        <f>IFERROR(__xludf.DUMMYFUNCTION("""COMPUTED_VALUE"""),"Uncle Sams Cider (04/04/2023)")</f>
        <v>Uncle Sams Cider (04/04/2023)</v>
      </c>
      <c r="H10282" s="19"/>
    </row>
    <row r="10283">
      <c r="A10283" s="9"/>
      <c r="B10283" s="15"/>
      <c r="C10283" s="9">
        <f>IFERROR(__xludf.DUMMYFUNCTION("""COMPUTED_VALUE"""),45036.0893520833)</f>
        <v>45036.08935</v>
      </c>
      <c r="D10283" s="15">
        <f>IFERROR(__xludf.DUMMYFUNCTION("""COMPUTED_VALUE"""),1.044)</f>
        <v>1.044</v>
      </c>
      <c r="E10283" s="16">
        <f>IFERROR(__xludf.DUMMYFUNCTION("""COMPUTED_VALUE"""),63.0)</f>
        <v>63</v>
      </c>
      <c r="F10283" s="19" t="str">
        <f>IFERROR(__xludf.DUMMYFUNCTION("""COMPUTED_VALUE"""),"BLUE")</f>
        <v>BLUE</v>
      </c>
      <c r="G10283" s="20" t="str">
        <f>IFERROR(__xludf.DUMMYFUNCTION("""COMPUTED_VALUE"""),"Uncle Sams Cider (04/04/2023)")</f>
        <v>Uncle Sams Cider (04/04/2023)</v>
      </c>
      <c r="H10283" s="19"/>
    </row>
    <row r="10284">
      <c r="A10284" s="9"/>
      <c r="B10284" s="15"/>
      <c r="C10284" s="9">
        <f>IFERROR(__xludf.DUMMYFUNCTION("""COMPUTED_VALUE"""),45036.0789295486)</f>
        <v>45036.07893</v>
      </c>
      <c r="D10284" s="15">
        <f>IFERROR(__xludf.DUMMYFUNCTION("""COMPUTED_VALUE"""),1.044)</f>
        <v>1.044</v>
      </c>
      <c r="E10284" s="16">
        <f>IFERROR(__xludf.DUMMYFUNCTION("""COMPUTED_VALUE"""),63.0)</f>
        <v>63</v>
      </c>
      <c r="F10284" s="19" t="str">
        <f>IFERROR(__xludf.DUMMYFUNCTION("""COMPUTED_VALUE"""),"BLUE")</f>
        <v>BLUE</v>
      </c>
      <c r="G10284" s="20" t="str">
        <f>IFERROR(__xludf.DUMMYFUNCTION("""COMPUTED_VALUE"""),"Uncle Sams Cider (04/04/2023)")</f>
        <v>Uncle Sams Cider (04/04/2023)</v>
      </c>
      <c r="H10284" s="19"/>
    </row>
    <row r="10285">
      <c r="A10285" s="9"/>
      <c r="B10285" s="15"/>
      <c r="C10285" s="9">
        <f>IFERROR(__xludf.DUMMYFUNCTION("""COMPUTED_VALUE"""),45036.0684979976)</f>
        <v>45036.0685</v>
      </c>
      <c r="D10285" s="15">
        <f>IFERROR(__xludf.DUMMYFUNCTION("""COMPUTED_VALUE"""),1.044)</f>
        <v>1.044</v>
      </c>
      <c r="E10285" s="16">
        <f>IFERROR(__xludf.DUMMYFUNCTION("""COMPUTED_VALUE"""),63.0)</f>
        <v>63</v>
      </c>
      <c r="F10285" s="19" t="str">
        <f>IFERROR(__xludf.DUMMYFUNCTION("""COMPUTED_VALUE"""),"BLUE")</f>
        <v>BLUE</v>
      </c>
      <c r="G10285" s="20" t="str">
        <f>IFERROR(__xludf.DUMMYFUNCTION("""COMPUTED_VALUE"""),"Uncle Sams Cider (04/04/2023)")</f>
        <v>Uncle Sams Cider (04/04/2023)</v>
      </c>
      <c r="H10285" s="19"/>
    </row>
    <row r="10286">
      <c r="A10286" s="9"/>
      <c r="B10286" s="15"/>
      <c r="C10286" s="9">
        <f>IFERROR(__xludf.DUMMYFUNCTION("""COMPUTED_VALUE"""),45036.0580765625)</f>
        <v>45036.05808</v>
      </c>
      <c r="D10286" s="15">
        <f>IFERROR(__xludf.DUMMYFUNCTION("""COMPUTED_VALUE"""),1.044)</f>
        <v>1.044</v>
      </c>
      <c r="E10286" s="16">
        <f>IFERROR(__xludf.DUMMYFUNCTION("""COMPUTED_VALUE"""),63.0)</f>
        <v>63</v>
      </c>
      <c r="F10286" s="19" t="str">
        <f>IFERROR(__xludf.DUMMYFUNCTION("""COMPUTED_VALUE"""),"BLUE")</f>
        <v>BLUE</v>
      </c>
      <c r="G10286" s="20" t="str">
        <f>IFERROR(__xludf.DUMMYFUNCTION("""COMPUTED_VALUE"""),"Uncle Sams Cider (04/04/2023)")</f>
        <v>Uncle Sams Cider (04/04/2023)</v>
      </c>
      <c r="H10286" s="19"/>
    </row>
    <row r="10287">
      <c r="A10287" s="9"/>
      <c r="B10287" s="15"/>
      <c r="C10287" s="9">
        <f>IFERROR(__xludf.DUMMYFUNCTION("""COMPUTED_VALUE"""),45036.047656412)</f>
        <v>45036.04766</v>
      </c>
      <c r="D10287" s="15">
        <f>IFERROR(__xludf.DUMMYFUNCTION("""COMPUTED_VALUE"""),1.044)</f>
        <v>1.044</v>
      </c>
      <c r="E10287" s="16">
        <f>IFERROR(__xludf.DUMMYFUNCTION("""COMPUTED_VALUE"""),63.0)</f>
        <v>63</v>
      </c>
      <c r="F10287" s="19" t="str">
        <f>IFERROR(__xludf.DUMMYFUNCTION("""COMPUTED_VALUE"""),"BLUE")</f>
        <v>BLUE</v>
      </c>
      <c r="G10287" s="20" t="str">
        <f>IFERROR(__xludf.DUMMYFUNCTION("""COMPUTED_VALUE"""),"Uncle Sams Cider (04/04/2023)")</f>
        <v>Uncle Sams Cider (04/04/2023)</v>
      </c>
      <c r="H10287" s="19"/>
    </row>
    <row r="10288">
      <c r="A10288" s="9"/>
      <c r="B10288" s="15"/>
      <c r="C10288" s="9">
        <f>IFERROR(__xludf.DUMMYFUNCTION("""COMPUTED_VALUE"""),45036.0372345486)</f>
        <v>45036.03723</v>
      </c>
      <c r="D10288" s="15">
        <f>IFERROR(__xludf.DUMMYFUNCTION("""COMPUTED_VALUE"""),1.044)</f>
        <v>1.044</v>
      </c>
      <c r="E10288" s="16">
        <f>IFERROR(__xludf.DUMMYFUNCTION("""COMPUTED_VALUE"""),63.0)</f>
        <v>63</v>
      </c>
      <c r="F10288" s="19" t="str">
        <f>IFERROR(__xludf.DUMMYFUNCTION("""COMPUTED_VALUE"""),"BLUE")</f>
        <v>BLUE</v>
      </c>
      <c r="G10288" s="20" t="str">
        <f>IFERROR(__xludf.DUMMYFUNCTION("""COMPUTED_VALUE"""),"Uncle Sams Cider (04/04/2023)")</f>
        <v>Uncle Sams Cider (04/04/2023)</v>
      </c>
      <c r="H10288" s="19"/>
    </row>
    <row r="10289">
      <c r="A10289" s="9"/>
      <c r="B10289" s="15"/>
      <c r="C10289" s="9">
        <f>IFERROR(__xludf.DUMMYFUNCTION("""COMPUTED_VALUE"""),45036.0268148379)</f>
        <v>45036.02681</v>
      </c>
      <c r="D10289" s="15">
        <f>IFERROR(__xludf.DUMMYFUNCTION("""COMPUTED_VALUE"""),1.044)</f>
        <v>1.044</v>
      </c>
      <c r="E10289" s="16">
        <f>IFERROR(__xludf.DUMMYFUNCTION("""COMPUTED_VALUE"""),63.0)</f>
        <v>63</v>
      </c>
      <c r="F10289" s="19" t="str">
        <f>IFERROR(__xludf.DUMMYFUNCTION("""COMPUTED_VALUE"""),"BLUE")</f>
        <v>BLUE</v>
      </c>
      <c r="G10289" s="20" t="str">
        <f>IFERROR(__xludf.DUMMYFUNCTION("""COMPUTED_VALUE"""),"Uncle Sams Cider (04/04/2023)")</f>
        <v>Uncle Sams Cider (04/04/2023)</v>
      </c>
      <c r="H10289" s="19"/>
    </row>
    <row r="10290">
      <c r="A10290" s="9"/>
      <c r="B10290" s="15"/>
      <c r="C10290" s="9">
        <f>IFERROR(__xludf.DUMMYFUNCTION("""COMPUTED_VALUE"""),45036.0163943287)</f>
        <v>45036.01639</v>
      </c>
      <c r="D10290" s="15">
        <f>IFERROR(__xludf.DUMMYFUNCTION("""COMPUTED_VALUE"""),1.044)</f>
        <v>1.044</v>
      </c>
      <c r="E10290" s="16">
        <f>IFERROR(__xludf.DUMMYFUNCTION("""COMPUTED_VALUE"""),63.0)</f>
        <v>63</v>
      </c>
      <c r="F10290" s="19" t="str">
        <f>IFERROR(__xludf.DUMMYFUNCTION("""COMPUTED_VALUE"""),"BLUE")</f>
        <v>BLUE</v>
      </c>
      <c r="G10290" s="20" t="str">
        <f>IFERROR(__xludf.DUMMYFUNCTION("""COMPUTED_VALUE"""),"Uncle Sams Cider (04/04/2023)")</f>
        <v>Uncle Sams Cider (04/04/2023)</v>
      </c>
      <c r="H10290" s="19"/>
    </row>
    <row r="10291">
      <c r="A10291" s="9"/>
      <c r="B10291" s="15"/>
      <c r="C10291" s="9">
        <f>IFERROR(__xludf.DUMMYFUNCTION("""COMPUTED_VALUE"""),45036.0059723263)</f>
        <v>45036.00597</v>
      </c>
      <c r="D10291" s="15">
        <f>IFERROR(__xludf.DUMMYFUNCTION("""COMPUTED_VALUE"""),1.044)</f>
        <v>1.044</v>
      </c>
      <c r="E10291" s="16">
        <f>IFERROR(__xludf.DUMMYFUNCTION("""COMPUTED_VALUE"""),63.0)</f>
        <v>63</v>
      </c>
      <c r="F10291" s="19" t="str">
        <f>IFERROR(__xludf.DUMMYFUNCTION("""COMPUTED_VALUE"""),"BLUE")</f>
        <v>BLUE</v>
      </c>
      <c r="G10291" s="20" t="str">
        <f>IFERROR(__xludf.DUMMYFUNCTION("""COMPUTED_VALUE"""),"Uncle Sams Cider (04/04/2023)")</f>
        <v>Uncle Sams Cider (04/04/2023)</v>
      </c>
      <c r="H10291" s="19"/>
    </row>
    <row r="10292">
      <c r="A10292" s="9"/>
      <c r="B10292" s="15"/>
      <c r="C10292" s="9">
        <f>IFERROR(__xludf.DUMMYFUNCTION("""COMPUTED_VALUE"""),45035.995551412)</f>
        <v>45035.99555</v>
      </c>
      <c r="D10292" s="15">
        <f>IFERROR(__xludf.DUMMYFUNCTION("""COMPUTED_VALUE"""),1.044)</f>
        <v>1.044</v>
      </c>
      <c r="E10292" s="16">
        <f>IFERROR(__xludf.DUMMYFUNCTION("""COMPUTED_VALUE"""),63.0)</f>
        <v>63</v>
      </c>
      <c r="F10292" s="19" t="str">
        <f>IFERROR(__xludf.DUMMYFUNCTION("""COMPUTED_VALUE"""),"BLUE")</f>
        <v>BLUE</v>
      </c>
      <c r="G10292" s="20" t="str">
        <f>IFERROR(__xludf.DUMMYFUNCTION("""COMPUTED_VALUE"""),"Uncle Sams Cider (04/04/2023)")</f>
        <v>Uncle Sams Cider (04/04/2023)</v>
      </c>
      <c r="H10292" s="19"/>
    </row>
    <row r="10293">
      <c r="A10293" s="9"/>
      <c r="B10293" s="15"/>
      <c r="C10293" s="9">
        <f>IFERROR(__xludf.DUMMYFUNCTION("""COMPUTED_VALUE"""),45035.9851189351)</f>
        <v>45035.98512</v>
      </c>
      <c r="D10293" s="15">
        <f>IFERROR(__xludf.DUMMYFUNCTION("""COMPUTED_VALUE"""),1.044)</f>
        <v>1.044</v>
      </c>
      <c r="E10293" s="16">
        <f>IFERROR(__xludf.DUMMYFUNCTION("""COMPUTED_VALUE"""),63.0)</f>
        <v>63</v>
      </c>
      <c r="F10293" s="19" t="str">
        <f>IFERROR(__xludf.DUMMYFUNCTION("""COMPUTED_VALUE"""),"BLUE")</f>
        <v>BLUE</v>
      </c>
      <c r="G10293" s="20" t="str">
        <f>IFERROR(__xludf.DUMMYFUNCTION("""COMPUTED_VALUE"""),"Uncle Sams Cider (04/04/2023)")</f>
        <v>Uncle Sams Cider (04/04/2023)</v>
      </c>
      <c r="H10293" s="19"/>
    </row>
    <row r="10294">
      <c r="A10294" s="9"/>
      <c r="B10294" s="15"/>
      <c r="C10294" s="9">
        <f>IFERROR(__xludf.DUMMYFUNCTION("""COMPUTED_VALUE"""),45035.9746880324)</f>
        <v>45035.97469</v>
      </c>
      <c r="D10294" s="15">
        <f>IFERROR(__xludf.DUMMYFUNCTION("""COMPUTED_VALUE"""),1.044)</f>
        <v>1.044</v>
      </c>
      <c r="E10294" s="16">
        <f>IFERROR(__xludf.DUMMYFUNCTION("""COMPUTED_VALUE"""),63.0)</f>
        <v>63</v>
      </c>
      <c r="F10294" s="19" t="str">
        <f>IFERROR(__xludf.DUMMYFUNCTION("""COMPUTED_VALUE"""),"BLUE")</f>
        <v>BLUE</v>
      </c>
      <c r="G10294" s="20" t="str">
        <f>IFERROR(__xludf.DUMMYFUNCTION("""COMPUTED_VALUE"""),"Uncle Sams Cider (04/04/2023)")</f>
        <v>Uncle Sams Cider (04/04/2023)</v>
      </c>
      <c r="H10294" s="19"/>
    </row>
    <row r="10295">
      <c r="A10295" s="9"/>
      <c r="B10295" s="15"/>
      <c r="C10295" s="9">
        <f>IFERROR(__xludf.DUMMYFUNCTION("""COMPUTED_VALUE"""),45035.964264375)</f>
        <v>45035.96426</v>
      </c>
      <c r="D10295" s="15">
        <f>IFERROR(__xludf.DUMMYFUNCTION("""COMPUTED_VALUE"""),1.044)</f>
        <v>1.044</v>
      </c>
      <c r="E10295" s="16">
        <f>IFERROR(__xludf.DUMMYFUNCTION("""COMPUTED_VALUE"""),63.0)</f>
        <v>63</v>
      </c>
      <c r="F10295" s="19" t="str">
        <f>IFERROR(__xludf.DUMMYFUNCTION("""COMPUTED_VALUE"""),"BLUE")</f>
        <v>BLUE</v>
      </c>
      <c r="G10295" s="20" t="str">
        <f>IFERROR(__xludf.DUMMYFUNCTION("""COMPUTED_VALUE"""),"Uncle Sams Cider (04/04/2023)")</f>
        <v>Uncle Sams Cider (04/04/2023)</v>
      </c>
      <c r="H10295" s="19"/>
    </row>
    <row r="10296">
      <c r="A10296" s="9"/>
      <c r="B10296" s="15"/>
      <c r="C10296" s="9">
        <f>IFERROR(__xludf.DUMMYFUNCTION("""COMPUTED_VALUE"""),45035.9538442592)</f>
        <v>45035.95384</v>
      </c>
      <c r="D10296" s="15">
        <f>IFERROR(__xludf.DUMMYFUNCTION("""COMPUTED_VALUE"""),1.044)</f>
        <v>1.044</v>
      </c>
      <c r="E10296" s="16">
        <f>IFERROR(__xludf.DUMMYFUNCTION("""COMPUTED_VALUE"""),63.0)</f>
        <v>63</v>
      </c>
      <c r="F10296" s="19" t="str">
        <f>IFERROR(__xludf.DUMMYFUNCTION("""COMPUTED_VALUE"""),"BLUE")</f>
        <v>BLUE</v>
      </c>
      <c r="G10296" s="20" t="str">
        <f>IFERROR(__xludf.DUMMYFUNCTION("""COMPUTED_VALUE"""),"Uncle Sams Cider (04/04/2023)")</f>
        <v>Uncle Sams Cider (04/04/2023)</v>
      </c>
      <c r="H10296" s="19"/>
    </row>
    <row r="10297">
      <c r="A10297" s="9"/>
      <c r="B10297" s="15"/>
      <c r="C10297" s="9">
        <f>IFERROR(__xludf.DUMMYFUNCTION("""COMPUTED_VALUE"""),45035.9434224884)</f>
        <v>45035.94342</v>
      </c>
      <c r="D10297" s="15">
        <f>IFERROR(__xludf.DUMMYFUNCTION("""COMPUTED_VALUE"""),1.044)</f>
        <v>1.044</v>
      </c>
      <c r="E10297" s="16">
        <f>IFERROR(__xludf.DUMMYFUNCTION("""COMPUTED_VALUE"""),63.0)</f>
        <v>63</v>
      </c>
      <c r="F10297" s="19" t="str">
        <f>IFERROR(__xludf.DUMMYFUNCTION("""COMPUTED_VALUE"""),"BLUE")</f>
        <v>BLUE</v>
      </c>
      <c r="G10297" s="20" t="str">
        <f>IFERROR(__xludf.DUMMYFUNCTION("""COMPUTED_VALUE"""),"Uncle Sams Cider (04/04/2023)")</f>
        <v>Uncle Sams Cider (04/04/2023)</v>
      </c>
      <c r="H10297" s="19"/>
    </row>
    <row r="10298">
      <c r="A10298" s="9"/>
      <c r="B10298" s="15"/>
      <c r="C10298" s="9">
        <f>IFERROR(__xludf.DUMMYFUNCTION("""COMPUTED_VALUE"""),45035.9330000578)</f>
        <v>45035.933</v>
      </c>
      <c r="D10298" s="15">
        <f>IFERROR(__xludf.DUMMYFUNCTION("""COMPUTED_VALUE"""),1.044)</f>
        <v>1.044</v>
      </c>
      <c r="E10298" s="16">
        <f>IFERROR(__xludf.DUMMYFUNCTION("""COMPUTED_VALUE"""),63.0)</f>
        <v>63</v>
      </c>
      <c r="F10298" s="19" t="str">
        <f>IFERROR(__xludf.DUMMYFUNCTION("""COMPUTED_VALUE"""),"BLUE")</f>
        <v>BLUE</v>
      </c>
      <c r="G10298" s="20" t="str">
        <f>IFERROR(__xludf.DUMMYFUNCTION("""COMPUTED_VALUE"""),"Uncle Sams Cider (04/04/2023)")</f>
        <v>Uncle Sams Cider (04/04/2023)</v>
      </c>
      <c r="H10298" s="19"/>
    </row>
    <row r="10299">
      <c r="A10299" s="9"/>
      <c r="B10299" s="15"/>
      <c r="C10299" s="9">
        <f>IFERROR(__xludf.DUMMYFUNCTION("""COMPUTED_VALUE"""),45035.922581493)</f>
        <v>45035.92258</v>
      </c>
      <c r="D10299" s="15">
        <f>IFERROR(__xludf.DUMMYFUNCTION("""COMPUTED_VALUE"""),1.044)</f>
        <v>1.044</v>
      </c>
      <c r="E10299" s="16">
        <f>IFERROR(__xludf.DUMMYFUNCTION("""COMPUTED_VALUE"""),63.0)</f>
        <v>63</v>
      </c>
      <c r="F10299" s="19" t="str">
        <f>IFERROR(__xludf.DUMMYFUNCTION("""COMPUTED_VALUE"""),"BLUE")</f>
        <v>BLUE</v>
      </c>
      <c r="G10299" s="20" t="str">
        <f>IFERROR(__xludf.DUMMYFUNCTION("""COMPUTED_VALUE"""),"Uncle Sams Cider (04/04/2023)")</f>
        <v>Uncle Sams Cider (04/04/2023)</v>
      </c>
      <c r="H10299" s="19"/>
    </row>
    <row r="10300">
      <c r="A10300" s="9"/>
      <c r="B10300" s="15"/>
      <c r="C10300" s="9">
        <f>IFERROR(__xludf.DUMMYFUNCTION("""COMPUTED_VALUE"""),45035.9121606712)</f>
        <v>45035.91216</v>
      </c>
      <c r="D10300" s="15">
        <f>IFERROR(__xludf.DUMMYFUNCTION("""COMPUTED_VALUE"""),1.044)</f>
        <v>1.044</v>
      </c>
      <c r="E10300" s="16">
        <f>IFERROR(__xludf.DUMMYFUNCTION("""COMPUTED_VALUE"""),63.0)</f>
        <v>63</v>
      </c>
      <c r="F10300" s="19" t="str">
        <f>IFERROR(__xludf.DUMMYFUNCTION("""COMPUTED_VALUE"""),"BLUE")</f>
        <v>BLUE</v>
      </c>
      <c r="G10300" s="20" t="str">
        <f>IFERROR(__xludf.DUMMYFUNCTION("""COMPUTED_VALUE"""),"Uncle Sams Cider (04/04/2023)")</f>
        <v>Uncle Sams Cider (04/04/2023)</v>
      </c>
      <c r="H10300" s="19"/>
    </row>
    <row r="10301">
      <c r="A10301" s="9"/>
      <c r="B10301" s="15"/>
      <c r="C10301" s="9">
        <f>IFERROR(__xludf.DUMMYFUNCTION("""COMPUTED_VALUE"""),45035.9017378009)</f>
        <v>45035.90174</v>
      </c>
      <c r="D10301" s="15">
        <f>IFERROR(__xludf.DUMMYFUNCTION("""COMPUTED_VALUE"""),1.044)</f>
        <v>1.044</v>
      </c>
      <c r="E10301" s="16">
        <f>IFERROR(__xludf.DUMMYFUNCTION("""COMPUTED_VALUE"""),63.0)</f>
        <v>63</v>
      </c>
      <c r="F10301" s="19" t="str">
        <f>IFERROR(__xludf.DUMMYFUNCTION("""COMPUTED_VALUE"""),"BLUE")</f>
        <v>BLUE</v>
      </c>
      <c r="G10301" s="20" t="str">
        <f>IFERROR(__xludf.DUMMYFUNCTION("""COMPUTED_VALUE"""),"Uncle Sams Cider (04/04/2023)")</f>
        <v>Uncle Sams Cider (04/04/2023)</v>
      </c>
      <c r="H10301" s="19"/>
    </row>
    <row r="10302">
      <c r="A10302" s="9"/>
      <c r="B10302" s="15"/>
      <c r="C10302" s="9">
        <f>IFERROR(__xludf.DUMMYFUNCTION("""COMPUTED_VALUE"""),45035.8913175694)</f>
        <v>45035.89132</v>
      </c>
      <c r="D10302" s="15">
        <f>IFERROR(__xludf.DUMMYFUNCTION("""COMPUTED_VALUE"""),1.044)</f>
        <v>1.044</v>
      </c>
      <c r="E10302" s="16">
        <f>IFERROR(__xludf.DUMMYFUNCTION("""COMPUTED_VALUE"""),63.0)</f>
        <v>63</v>
      </c>
      <c r="F10302" s="19" t="str">
        <f>IFERROR(__xludf.DUMMYFUNCTION("""COMPUTED_VALUE"""),"BLUE")</f>
        <v>BLUE</v>
      </c>
      <c r="G10302" s="20" t="str">
        <f>IFERROR(__xludf.DUMMYFUNCTION("""COMPUTED_VALUE"""),"Uncle Sams Cider (04/04/2023)")</f>
        <v>Uncle Sams Cider (04/04/2023)</v>
      </c>
      <c r="H10302" s="19"/>
    </row>
    <row r="10303">
      <c r="A10303" s="9"/>
      <c r="B10303" s="15"/>
      <c r="C10303" s="9">
        <f>IFERROR(__xludf.DUMMYFUNCTION("""COMPUTED_VALUE"""),45035.8808974305)</f>
        <v>45035.8809</v>
      </c>
      <c r="D10303" s="15">
        <f>IFERROR(__xludf.DUMMYFUNCTION("""COMPUTED_VALUE"""),1.044)</f>
        <v>1.044</v>
      </c>
      <c r="E10303" s="16">
        <f>IFERROR(__xludf.DUMMYFUNCTION("""COMPUTED_VALUE"""),63.0)</f>
        <v>63</v>
      </c>
      <c r="F10303" s="19" t="str">
        <f>IFERROR(__xludf.DUMMYFUNCTION("""COMPUTED_VALUE"""),"BLUE")</f>
        <v>BLUE</v>
      </c>
      <c r="G10303" s="20" t="str">
        <f>IFERROR(__xludf.DUMMYFUNCTION("""COMPUTED_VALUE"""),"Uncle Sams Cider (04/04/2023)")</f>
        <v>Uncle Sams Cider (04/04/2023)</v>
      </c>
      <c r="H10303" s="19"/>
    </row>
    <row r="10304">
      <c r="A10304" s="9"/>
      <c r="B10304" s="15"/>
      <c r="C10304" s="9">
        <f>IFERROR(__xludf.DUMMYFUNCTION("""COMPUTED_VALUE"""),45035.8704753819)</f>
        <v>45035.87048</v>
      </c>
      <c r="D10304" s="15">
        <f>IFERROR(__xludf.DUMMYFUNCTION("""COMPUTED_VALUE"""),1.044)</f>
        <v>1.044</v>
      </c>
      <c r="E10304" s="16">
        <f>IFERROR(__xludf.DUMMYFUNCTION("""COMPUTED_VALUE"""),63.0)</f>
        <v>63</v>
      </c>
      <c r="F10304" s="19" t="str">
        <f>IFERROR(__xludf.DUMMYFUNCTION("""COMPUTED_VALUE"""),"BLUE")</f>
        <v>BLUE</v>
      </c>
      <c r="G10304" s="20" t="str">
        <f>IFERROR(__xludf.DUMMYFUNCTION("""COMPUTED_VALUE"""),"Uncle Sams Cider (04/04/2023)")</f>
        <v>Uncle Sams Cider (04/04/2023)</v>
      </c>
      <c r="H10304" s="19"/>
    </row>
    <row r="10305">
      <c r="A10305" s="9"/>
      <c r="B10305" s="15"/>
      <c r="C10305" s="9">
        <f>IFERROR(__xludf.DUMMYFUNCTION("""COMPUTED_VALUE"""),45035.8600557523)</f>
        <v>45035.86006</v>
      </c>
      <c r="D10305" s="15">
        <f>IFERROR(__xludf.DUMMYFUNCTION("""COMPUTED_VALUE"""),1.044)</f>
        <v>1.044</v>
      </c>
      <c r="E10305" s="16">
        <f>IFERROR(__xludf.DUMMYFUNCTION("""COMPUTED_VALUE"""),63.0)</f>
        <v>63</v>
      </c>
      <c r="F10305" s="19" t="str">
        <f>IFERROR(__xludf.DUMMYFUNCTION("""COMPUTED_VALUE"""),"BLUE")</f>
        <v>BLUE</v>
      </c>
      <c r="G10305" s="20" t="str">
        <f>IFERROR(__xludf.DUMMYFUNCTION("""COMPUTED_VALUE"""),"Uncle Sams Cider (04/04/2023)")</f>
        <v>Uncle Sams Cider (04/04/2023)</v>
      </c>
      <c r="H10305" s="19"/>
    </row>
    <row r="10306">
      <c r="A10306" s="9"/>
      <c r="B10306" s="15"/>
      <c r="C10306" s="9">
        <f>IFERROR(__xludf.DUMMYFUNCTION("""COMPUTED_VALUE"""),45035.8496239699)</f>
        <v>45035.84962</v>
      </c>
      <c r="D10306" s="15">
        <f>IFERROR(__xludf.DUMMYFUNCTION("""COMPUTED_VALUE"""),1.045)</f>
        <v>1.045</v>
      </c>
      <c r="E10306" s="16">
        <f>IFERROR(__xludf.DUMMYFUNCTION("""COMPUTED_VALUE"""),63.0)</f>
        <v>63</v>
      </c>
      <c r="F10306" s="19" t="str">
        <f>IFERROR(__xludf.DUMMYFUNCTION("""COMPUTED_VALUE"""),"BLUE")</f>
        <v>BLUE</v>
      </c>
      <c r="G10306" s="20" t="str">
        <f>IFERROR(__xludf.DUMMYFUNCTION("""COMPUTED_VALUE"""),"Uncle Sams Cider (04/04/2023)")</f>
        <v>Uncle Sams Cider (04/04/2023)</v>
      </c>
      <c r="H10306" s="19"/>
    </row>
    <row r="10307">
      <c r="A10307" s="9"/>
      <c r="B10307" s="15"/>
      <c r="C10307" s="9">
        <f>IFERROR(__xludf.DUMMYFUNCTION("""COMPUTED_VALUE"""),45035.8391902662)</f>
        <v>45035.83919</v>
      </c>
      <c r="D10307" s="15">
        <f>IFERROR(__xludf.DUMMYFUNCTION("""COMPUTED_VALUE"""),1.045)</f>
        <v>1.045</v>
      </c>
      <c r="E10307" s="16">
        <f>IFERROR(__xludf.DUMMYFUNCTION("""COMPUTED_VALUE"""),63.0)</f>
        <v>63</v>
      </c>
      <c r="F10307" s="19" t="str">
        <f>IFERROR(__xludf.DUMMYFUNCTION("""COMPUTED_VALUE"""),"BLUE")</f>
        <v>BLUE</v>
      </c>
      <c r="G10307" s="20" t="str">
        <f>IFERROR(__xludf.DUMMYFUNCTION("""COMPUTED_VALUE"""),"Uncle Sams Cider (04/04/2023)")</f>
        <v>Uncle Sams Cider (04/04/2023)</v>
      </c>
      <c r="H10307" s="19"/>
    </row>
    <row r="10308">
      <c r="A10308" s="9"/>
      <c r="B10308" s="15"/>
      <c r="C10308" s="9">
        <f>IFERROR(__xludf.DUMMYFUNCTION("""COMPUTED_VALUE"""),45035.8287689699)</f>
        <v>45035.82877</v>
      </c>
      <c r="D10308" s="15">
        <f>IFERROR(__xludf.DUMMYFUNCTION("""COMPUTED_VALUE"""),1.045)</f>
        <v>1.045</v>
      </c>
      <c r="E10308" s="16">
        <f>IFERROR(__xludf.DUMMYFUNCTION("""COMPUTED_VALUE"""),63.0)</f>
        <v>63</v>
      </c>
      <c r="F10308" s="19" t="str">
        <f>IFERROR(__xludf.DUMMYFUNCTION("""COMPUTED_VALUE"""),"BLUE")</f>
        <v>BLUE</v>
      </c>
      <c r="G10308" s="20" t="str">
        <f>IFERROR(__xludf.DUMMYFUNCTION("""COMPUTED_VALUE"""),"Uncle Sams Cider (04/04/2023)")</f>
        <v>Uncle Sams Cider (04/04/2023)</v>
      </c>
      <c r="H10308" s="19"/>
    </row>
    <row r="10309">
      <c r="A10309" s="9"/>
      <c r="B10309" s="15"/>
      <c r="C10309" s="9">
        <f>IFERROR(__xludf.DUMMYFUNCTION("""COMPUTED_VALUE"""),45035.8183469675)</f>
        <v>45035.81835</v>
      </c>
      <c r="D10309" s="15">
        <f>IFERROR(__xludf.DUMMYFUNCTION("""COMPUTED_VALUE"""),1.045)</f>
        <v>1.045</v>
      </c>
      <c r="E10309" s="16">
        <f>IFERROR(__xludf.DUMMYFUNCTION("""COMPUTED_VALUE"""),63.0)</f>
        <v>63</v>
      </c>
      <c r="F10309" s="19" t="str">
        <f>IFERROR(__xludf.DUMMYFUNCTION("""COMPUTED_VALUE"""),"BLUE")</f>
        <v>BLUE</v>
      </c>
      <c r="G10309" s="20" t="str">
        <f>IFERROR(__xludf.DUMMYFUNCTION("""COMPUTED_VALUE"""),"Uncle Sams Cider (04/04/2023)")</f>
        <v>Uncle Sams Cider (04/04/2023)</v>
      </c>
      <c r="H10309" s="19"/>
    </row>
    <row r="10310">
      <c r="A10310" s="9"/>
      <c r="B10310" s="15"/>
      <c r="C10310" s="9">
        <f>IFERROR(__xludf.DUMMYFUNCTION("""COMPUTED_VALUE"""),45035.8079242129)</f>
        <v>45035.80792</v>
      </c>
      <c r="D10310" s="15">
        <f>IFERROR(__xludf.DUMMYFUNCTION("""COMPUTED_VALUE"""),1.045)</f>
        <v>1.045</v>
      </c>
      <c r="E10310" s="16">
        <f>IFERROR(__xludf.DUMMYFUNCTION("""COMPUTED_VALUE"""),63.0)</f>
        <v>63</v>
      </c>
      <c r="F10310" s="19" t="str">
        <f>IFERROR(__xludf.DUMMYFUNCTION("""COMPUTED_VALUE"""),"BLUE")</f>
        <v>BLUE</v>
      </c>
      <c r="G10310" s="20" t="str">
        <f>IFERROR(__xludf.DUMMYFUNCTION("""COMPUTED_VALUE"""),"Uncle Sams Cider (04/04/2023)")</f>
        <v>Uncle Sams Cider (04/04/2023)</v>
      </c>
      <c r="H10310" s="19"/>
    </row>
    <row r="10311">
      <c r="A10311" s="9"/>
      <c r="B10311" s="15"/>
      <c r="C10311" s="9">
        <f>IFERROR(__xludf.DUMMYFUNCTION("""COMPUTED_VALUE"""),45035.7975014004)</f>
        <v>45035.7975</v>
      </c>
      <c r="D10311" s="15">
        <f>IFERROR(__xludf.DUMMYFUNCTION("""COMPUTED_VALUE"""),1.045)</f>
        <v>1.045</v>
      </c>
      <c r="E10311" s="16">
        <f>IFERROR(__xludf.DUMMYFUNCTION("""COMPUTED_VALUE"""),63.0)</f>
        <v>63</v>
      </c>
      <c r="F10311" s="19" t="str">
        <f>IFERROR(__xludf.DUMMYFUNCTION("""COMPUTED_VALUE"""),"BLUE")</f>
        <v>BLUE</v>
      </c>
      <c r="G10311" s="20" t="str">
        <f>IFERROR(__xludf.DUMMYFUNCTION("""COMPUTED_VALUE"""),"Uncle Sams Cider (04/04/2023)")</f>
        <v>Uncle Sams Cider (04/04/2023)</v>
      </c>
      <c r="H10311" s="19"/>
    </row>
    <row r="10312">
      <c r="A10312" s="9"/>
      <c r="B10312" s="15"/>
      <c r="C10312" s="9">
        <f>IFERROR(__xludf.DUMMYFUNCTION("""COMPUTED_VALUE"""),45035.7870798726)</f>
        <v>45035.78708</v>
      </c>
      <c r="D10312" s="15">
        <f>IFERROR(__xludf.DUMMYFUNCTION("""COMPUTED_VALUE"""),1.045)</f>
        <v>1.045</v>
      </c>
      <c r="E10312" s="16">
        <f>IFERROR(__xludf.DUMMYFUNCTION("""COMPUTED_VALUE"""),63.0)</f>
        <v>63</v>
      </c>
      <c r="F10312" s="19" t="str">
        <f>IFERROR(__xludf.DUMMYFUNCTION("""COMPUTED_VALUE"""),"BLUE")</f>
        <v>BLUE</v>
      </c>
      <c r="G10312" s="20" t="str">
        <f>IFERROR(__xludf.DUMMYFUNCTION("""COMPUTED_VALUE"""),"Uncle Sams Cider (04/04/2023)")</f>
        <v>Uncle Sams Cider (04/04/2023)</v>
      </c>
      <c r="H10312" s="19"/>
    </row>
    <row r="10313">
      <c r="A10313" s="9"/>
      <c r="B10313" s="15"/>
      <c r="C10313" s="9">
        <f>IFERROR(__xludf.DUMMYFUNCTION("""COMPUTED_VALUE"""),45035.7766470601)</f>
        <v>45035.77665</v>
      </c>
      <c r="D10313" s="15">
        <f>IFERROR(__xludf.DUMMYFUNCTION("""COMPUTED_VALUE"""),1.045)</f>
        <v>1.045</v>
      </c>
      <c r="E10313" s="16">
        <f>IFERROR(__xludf.DUMMYFUNCTION("""COMPUTED_VALUE"""),63.0)</f>
        <v>63</v>
      </c>
      <c r="F10313" s="19" t="str">
        <f>IFERROR(__xludf.DUMMYFUNCTION("""COMPUTED_VALUE"""),"BLUE")</f>
        <v>BLUE</v>
      </c>
      <c r="G10313" s="20" t="str">
        <f>IFERROR(__xludf.DUMMYFUNCTION("""COMPUTED_VALUE"""),"Uncle Sams Cider (04/04/2023)")</f>
        <v>Uncle Sams Cider (04/04/2023)</v>
      </c>
      <c r="H10313" s="19"/>
    </row>
    <row r="10314">
      <c r="A10314" s="9"/>
      <c r="B10314" s="15"/>
      <c r="C10314" s="9">
        <f>IFERROR(__xludf.DUMMYFUNCTION("""COMPUTED_VALUE"""),45035.7662144097)</f>
        <v>45035.76621</v>
      </c>
      <c r="D10314" s="15">
        <f>IFERROR(__xludf.DUMMYFUNCTION("""COMPUTED_VALUE"""),1.045)</f>
        <v>1.045</v>
      </c>
      <c r="E10314" s="16">
        <f>IFERROR(__xludf.DUMMYFUNCTION("""COMPUTED_VALUE"""),63.0)</f>
        <v>63</v>
      </c>
      <c r="F10314" s="19" t="str">
        <f>IFERROR(__xludf.DUMMYFUNCTION("""COMPUTED_VALUE"""),"BLUE")</f>
        <v>BLUE</v>
      </c>
      <c r="G10314" s="20" t="str">
        <f>IFERROR(__xludf.DUMMYFUNCTION("""COMPUTED_VALUE"""),"Uncle Sams Cider (04/04/2023)")</f>
        <v>Uncle Sams Cider (04/04/2023)</v>
      </c>
      <c r="H10314" s="19"/>
    </row>
    <row r="10315">
      <c r="A10315" s="9"/>
      <c r="B10315" s="15"/>
      <c r="C10315" s="9">
        <f>IFERROR(__xludf.DUMMYFUNCTION("""COMPUTED_VALUE"""),45035.7557814351)</f>
        <v>45035.75578</v>
      </c>
      <c r="D10315" s="15">
        <f>IFERROR(__xludf.DUMMYFUNCTION("""COMPUTED_VALUE"""),1.045)</f>
        <v>1.045</v>
      </c>
      <c r="E10315" s="16">
        <f>IFERROR(__xludf.DUMMYFUNCTION("""COMPUTED_VALUE"""),63.0)</f>
        <v>63</v>
      </c>
      <c r="F10315" s="19" t="str">
        <f>IFERROR(__xludf.DUMMYFUNCTION("""COMPUTED_VALUE"""),"BLUE")</f>
        <v>BLUE</v>
      </c>
      <c r="G10315" s="20" t="str">
        <f>IFERROR(__xludf.DUMMYFUNCTION("""COMPUTED_VALUE"""),"Uncle Sams Cider (04/04/2023)")</f>
        <v>Uncle Sams Cider (04/04/2023)</v>
      </c>
      <c r="H10315" s="19"/>
    </row>
    <row r="10316">
      <c r="A10316" s="9"/>
      <c r="B10316" s="15"/>
      <c r="C10316" s="9">
        <f>IFERROR(__xludf.DUMMYFUNCTION("""COMPUTED_VALUE"""),45035.7453493865)</f>
        <v>45035.74535</v>
      </c>
      <c r="D10316" s="15">
        <f>IFERROR(__xludf.DUMMYFUNCTION("""COMPUTED_VALUE"""),1.045)</f>
        <v>1.045</v>
      </c>
      <c r="E10316" s="16">
        <f>IFERROR(__xludf.DUMMYFUNCTION("""COMPUTED_VALUE"""),63.0)</f>
        <v>63</v>
      </c>
      <c r="F10316" s="19" t="str">
        <f>IFERROR(__xludf.DUMMYFUNCTION("""COMPUTED_VALUE"""),"BLUE")</f>
        <v>BLUE</v>
      </c>
      <c r="G10316" s="20" t="str">
        <f>IFERROR(__xludf.DUMMYFUNCTION("""COMPUTED_VALUE"""),"Uncle Sams Cider (04/04/2023)")</f>
        <v>Uncle Sams Cider (04/04/2023)</v>
      </c>
      <c r="H10316" s="19"/>
    </row>
    <row r="10317">
      <c r="A10317" s="9"/>
      <c r="B10317" s="15"/>
      <c r="C10317" s="9">
        <f>IFERROR(__xludf.DUMMYFUNCTION("""COMPUTED_VALUE"""),45035.7349281481)</f>
        <v>45035.73493</v>
      </c>
      <c r="D10317" s="15">
        <f>IFERROR(__xludf.DUMMYFUNCTION("""COMPUTED_VALUE"""),1.045)</f>
        <v>1.045</v>
      </c>
      <c r="E10317" s="16">
        <f>IFERROR(__xludf.DUMMYFUNCTION("""COMPUTED_VALUE"""),63.0)</f>
        <v>63</v>
      </c>
      <c r="F10317" s="19" t="str">
        <f>IFERROR(__xludf.DUMMYFUNCTION("""COMPUTED_VALUE"""),"BLUE")</f>
        <v>BLUE</v>
      </c>
      <c r="G10317" s="20" t="str">
        <f>IFERROR(__xludf.DUMMYFUNCTION("""COMPUTED_VALUE"""),"Uncle Sams Cider (04/04/2023)")</f>
        <v>Uncle Sams Cider (04/04/2023)</v>
      </c>
      <c r="H10317" s="19"/>
    </row>
    <row r="10318">
      <c r="A10318" s="9"/>
      <c r="B10318" s="15"/>
      <c r="C10318" s="9">
        <f>IFERROR(__xludf.DUMMYFUNCTION("""COMPUTED_VALUE"""),45035.7245067245)</f>
        <v>45035.72451</v>
      </c>
      <c r="D10318" s="15">
        <f>IFERROR(__xludf.DUMMYFUNCTION("""COMPUTED_VALUE"""),1.045)</f>
        <v>1.045</v>
      </c>
      <c r="E10318" s="16">
        <f>IFERROR(__xludf.DUMMYFUNCTION("""COMPUTED_VALUE"""),63.0)</f>
        <v>63</v>
      </c>
      <c r="F10318" s="19" t="str">
        <f>IFERROR(__xludf.DUMMYFUNCTION("""COMPUTED_VALUE"""),"BLUE")</f>
        <v>BLUE</v>
      </c>
      <c r="G10318" s="20" t="str">
        <f>IFERROR(__xludf.DUMMYFUNCTION("""COMPUTED_VALUE"""),"Uncle Sams Cider (04/04/2023)")</f>
        <v>Uncle Sams Cider (04/04/2023)</v>
      </c>
      <c r="H10318" s="19"/>
    </row>
    <row r="10319">
      <c r="A10319" s="9"/>
      <c r="B10319" s="15"/>
      <c r="C10319" s="9">
        <f>IFERROR(__xludf.DUMMYFUNCTION("""COMPUTED_VALUE"""),45035.7140856597)</f>
        <v>45035.71409</v>
      </c>
      <c r="D10319" s="15">
        <f>IFERROR(__xludf.DUMMYFUNCTION("""COMPUTED_VALUE"""),1.045)</f>
        <v>1.045</v>
      </c>
      <c r="E10319" s="16">
        <f>IFERROR(__xludf.DUMMYFUNCTION("""COMPUTED_VALUE"""),63.0)</f>
        <v>63</v>
      </c>
      <c r="F10319" s="19" t="str">
        <f>IFERROR(__xludf.DUMMYFUNCTION("""COMPUTED_VALUE"""),"BLUE")</f>
        <v>BLUE</v>
      </c>
      <c r="G10319" s="20" t="str">
        <f>IFERROR(__xludf.DUMMYFUNCTION("""COMPUTED_VALUE"""),"Uncle Sams Cider (04/04/2023)")</f>
        <v>Uncle Sams Cider (04/04/2023)</v>
      </c>
      <c r="H10319" s="19"/>
    </row>
    <row r="10320">
      <c r="A10320" s="9"/>
      <c r="B10320" s="15"/>
      <c r="C10320" s="9">
        <f>IFERROR(__xludf.DUMMYFUNCTION("""COMPUTED_VALUE"""),45035.7036631597)</f>
        <v>45035.70366</v>
      </c>
      <c r="D10320" s="15">
        <f>IFERROR(__xludf.DUMMYFUNCTION("""COMPUTED_VALUE"""),1.045)</f>
        <v>1.045</v>
      </c>
      <c r="E10320" s="16">
        <f>IFERROR(__xludf.DUMMYFUNCTION("""COMPUTED_VALUE"""),63.0)</f>
        <v>63</v>
      </c>
      <c r="F10320" s="19" t="str">
        <f>IFERROR(__xludf.DUMMYFUNCTION("""COMPUTED_VALUE"""),"BLUE")</f>
        <v>BLUE</v>
      </c>
      <c r="G10320" s="20" t="str">
        <f>IFERROR(__xludf.DUMMYFUNCTION("""COMPUTED_VALUE"""),"Uncle Sams Cider (04/04/2023)")</f>
        <v>Uncle Sams Cider (04/04/2023)</v>
      </c>
      <c r="H10320" s="19"/>
    </row>
    <row r="10321">
      <c r="A10321" s="9"/>
      <c r="B10321" s="15"/>
      <c r="C10321" s="9">
        <f>IFERROR(__xludf.DUMMYFUNCTION("""COMPUTED_VALUE"""),45035.6932397685)</f>
        <v>45035.69324</v>
      </c>
      <c r="D10321" s="15">
        <f>IFERROR(__xludf.DUMMYFUNCTION("""COMPUTED_VALUE"""),1.045)</f>
        <v>1.045</v>
      </c>
      <c r="E10321" s="16">
        <f>IFERROR(__xludf.DUMMYFUNCTION("""COMPUTED_VALUE"""),63.0)</f>
        <v>63</v>
      </c>
      <c r="F10321" s="19" t="str">
        <f>IFERROR(__xludf.DUMMYFUNCTION("""COMPUTED_VALUE"""),"BLUE")</f>
        <v>BLUE</v>
      </c>
      <c r="G10321" s="20" t="str">
        <f>IFERROR(__xludf.DUMMYFUNCTION("""COMPUTED_VALUE"""),"Uncle Sams Cider (04/04/2023)")</f>
        <v>Uncle Sams Cider (04/04/2023)</v>
      </c>
      <c r="H10321" s="19"/>
    </row>
    <row r="10322">
      <c r="A10322" s="9"/>
      <c r="B10322" s="15"/>
      <c r="C10322" s="9">
        <f>IFERROR(__xludf.DUMMYFUNCTION("""COMPUTED_VALUE"""),45035.6828061921)</f>
        <v>45035.68281</v>
      </c>
      <c r="D10322" s="15">
        <f>IFERROR(__xludf.DUMMYFUNCTION("""COMPUTED_VALUE"""),1.045)</f>
        <v>1.045</v>
      </c>
      <c r="E10322" s="16">
        <f>IFERROR(__xludf.DUMMYFUNCTION("""COMPUTED_VALUE"""),63.0)</f>
        <v>63</v>
      </c>
      <c r="F10322" s="19" t="str">
        <f>IFERROR(__xludf.DUMMYFUNCTION("""COMPUTED_VALUE"""),"BLUE")</f>
        <v>BLUE</v>
      </c>
      <c r="G10322" s="20" t="str">
        <f>IFERROR(__xludf.DUMMYFUNCTION("""COMPUTED_VALUE"""),"Uncle Sams Cider (04/04/2023)")</f>
        <v>Uncle Sams Cider (04/04/2023)</v>
      </c>
      <c r="H10322" s="19"/>
    </row>
    <row r="10323">
      <c r="A10323" s="9"/>
      <c r="B10323" s="15"/>
      <c r="C10323" s="9">
        <f>IFERROR(__xludf.DUMMYFUNCTION("""COMPUTED_VALUE"""),45035.6723856134)</f>
        <v>45035.67239</v>
      </c>
      <c r="D10323" s="15">
        <f>IFERROR(__xludf.DUMMYFUNCTION("""COMPUTED_VALUE"""),1.045)</f>
        <v>1.045</v>
      </c>
      <c r="E10323" s="16">
        <f>IFERROR(__xludf.DUMMYFUNCTION("""COMPUTED_VALUE"""),63.0)</f>
        <v>63</v>
      </c>
      <c r="F10323" s="19" t="str">
        <f>IFERROR(__xludf.DUMMYFUNCTION("""COMPUTED_VALUE"""),"BLUE")</f>
        <v>BLUE</v>
      </c>
      <c r="G10323" s="20" t="str">
        <f>IFERROR(__xludf.DUMMYFUNCTION("""COMPUTED_VALUE"""),"Uncle Sams Cider (04/04/2023)")</f>
        <v>Uncle Sams Cider (04/04/2023)</v>
      </c>
      <c r="H10323" s="19"/>
    </row>
    <row r="10324">
      <c r="A10324" s="9"/>
      <c r="B10324" s="15"/>
      <c r="C10324" s="9">
        <f>IFERROR(__xludf.DUMMYFUNCTION("""COMPUTED_VALUE"""),45035.6619641551)</f>
        <v>45035.66196</v>
      </c>
      <c r="D10324" s="15">
        <f>IFERROR(__xludf.DUMMYFUNCTION("""COMPUTED_VALUE"""),1.045)</f>
        <v>1.045</v>
      </c>
      <c r="E10324" s="16">
        <f>IFERROR(__xludf.DUMMYFUNCTION("""COMPUTED_VALUE"""),63.0)</f>
        <v>63</v>
      </c>
      <c r="F10324" s="19" t="str">
        <f>IFERROR(__xludf.DUMMYFUNCTION("""COMPUTED_VALUE"""),"BLUE")</f>
        <v>BLUE</v>
      </c>
      <c r="G10324" s="20" t="str">
        <f>IFERROR(__xludf.DUMMYFUNCTION("""COMPUTED_VALUE"""),"Uncle Sams Cider (04/04/2023)")</f>
        <v>Uncle Sams Cider (04/04/2023)</v>
      </c>
      <c r="H10324" s="19"/>
    </row>
    <row r="10325">
      <c r="A10325" s="9"/>
      <c r="B10325" s="15"/>
      <c r="C10325" s="9">
        <f>IFERROR(__xludf.DUMMYFUNCTION("""COMPUTED_VALUE"""),45035.651544618)</f>
        <v>45035.65154</v>
      </c>
      <c r="D10325" s="15">
        <f>IFERROR(__xludf.DUMMYFUNCTION("""COMPUTED_VALUE"""),1.045)</f>
        <v>1.045</v>
      </c>
      <c r="E10325" s="16">
        <f>IFERROR(__xludf.DUMMYFUNCTION("""COMPUTED_VALUE"""),63.0)</f>
        <v>63</v>
      </c>
      <c r="F10325" s="19" t="str">
        <f>IFERROR(__xludf.DUMMYFUNCTION("""COMPUTED_VALUE"""),"BLUE")</f>
        <v>BLUE</v>
      </c>
      <c r="G10325" s="20" t="str">
        <f>IFERROR(__xludf.DUMMYFUNCTION("""COMPUTED_VALUE"""),"Uncle Sams Cider (04/04/2023)")</f>
        <v>Uncle Sams Cider (04/04/2023)</v>
      </c>
      <c r="H10325" s="19"/>
    </row>
    <row r="10326">
      <c r="A10326" s="9"/>
      <c r="B10326" s="15"/>
      <c r="C10326" s="9">
        <f>IFERROR(__xludf.DUMMYFUNCTION("""COMPUTED_VALUE"""),45035.6411231365)</f>
        <v>45035.64112</v>
      </c>
      <c r="D10326" s="15">
        <f>IFERROR(__xludf.DUMMYFUNCTION("""COMPUTED_VALUE"""),1.045)</f>
        <v>1.045</v>
      </c>
      <c r="E10326" s="16">
        <f>IFERROR(__xludf.DUMMYFUNCTION("""COMPUTED_VALUE"""),63.0)</f>
        <v>63</v>
      </c>
      <c r="F10326" s="19" t="str">
        <f>IFERROR(__xludf.DUMMYFUNCTION("""COMPUTED_VALUE"""),"BLUE")</f>
        <v>BLUE</v>
      </c>
      <c r="G10326" s="20" t="str">
        <f>IFERROR(__xludf.DUMMYFUNCTION("""COMPUTED_VALUE"""),"Uncle Sams Cider (04/04/2023)")</f>
        <v>Uncle Sams Cider (04/04/2023)</v>
      </c>
      <c r="H10326" s="19"/>
    </row>
    <row r="10327">
      <c r="A10327" s="9"/>
      <c r="B10327" s="15"/>
      <c r="C10327" s="9">
        <f>IFERROR(__xludf.DUMMYFUNCTION("""COMPUTED_VALUE"""),45035.6307001273)</f>
        <v>45035.6307</v>
      </c>
      <c r="D10327" s="15">
        <f>IFERROR(__xludf.DUMMYFUNCTION("""COMPUTED_VALUE"""),1.045)</f>
        <v>1.045</v>
      </c>
      <c r="E10327" s="16">
        <f>IFERROR(__xludf.DUMMYFUNCTION("""COMPUTED_VALUE"""),63.0)</f>
        <v>63</v>
      </c>
      <c r="F10327" s="19" t="str">
        <f>IFERROR(__xludf.DUMMYFUNCTION("""COMPUTED_VALUE"""),"BLUE")</f>
        <v>BLUE</v>
      </c>
      <c r="G10327" s="20" t="str">
        <f>IFERROR(__xludf.DUMMYFUNCTION("""COMPUTED_VALUE"""),"Uncle Sams Cider (04/04/2023)")</f>
        <v>Uncle Sams Cider (04/04/2023)</v>
      </c>
      <c r="H10327" s="19"/>
    </row>
    <row r="10328">
      <c r="A10328" s="9"/>
      <c r="B10328" s="15"/>
      <c r="C10328" s="9">
        <f>IFERROR(__xludf.DUMMYFUNCTION("""COMPUTED_VALUE"""),45035.6202775115)</f>
        <v>45035.62028</v>
      </c>
      <c r="D10328" s="15">
        <f>IFERROR(__xludf.DUMMYFUNCTION("""COMPUTED_VALUE"""),1.045)</f>
        <v>1.045</v>
      </c>
      <c r="E10328" s="16">
        <f>IFERROR(__xludf.DUMMYFUNCTION("""COMPUTED_VALUE"""),63.0)</f>
        <v>63</v>
      </c>
      <c r="F10328" s="19" t="str">
        <f>IFERROR(__xludf.DUMMYFUNCTION("""COMPUTED_VALUE"""),"BLUE")</f>
        <v>BLUE</v>
      </c>
      <c r="G10328" s="20" t="str">
        <f>IFERROR(__xludf.DUMMYFUNCTION("""COMPUTED_VALUE"""),"Uncle Sams Cider (04/04/2023)")</f>
        <v>Uncle Sams Cider (04/04/2023)</v>
      </c>
      <c r="H10328" s="19"/>
    </row>
    <row r="10329">
      <c r="A10329" s="9"/>
      <c r="B10329" s="15"/>
      <c r="C10329" s="9">
        <f>IFERROR(__xludf.DUMMYFUNCTION("""COMPUTED_VALUE"""),45035.6098345486)</f>
        <v>45035.60983</v>
      </c>
      <c r="D10329" s="15">
        <f>IFERROR(__xludf.DUMMYFUNCTION("""COMPUTED_VALUE"""),1.045)</f>
        <v>1.045</v>
      </c>
      <c r="E10329" s="16">
        <f>IFERROR(__xludf.DUMMYFUNCTION("""COMPUTED_VALUE"""),63.0)</f>
        <v>63</v>
      </c>
      <c r="F10329" s="19" t="str">
        <f>IFERROR(__xludf.DUMMYFUNCTION("""COMPUTED_VALUE"""),"BLUE")</f>
        <v>BLUE</v>
      </c>
      <c r="G10329" s="20" t="str">
        <f>IFERROR(__xludf.DUMMYFUNCTION("""COMPUTED_VALUE"""),"Uncle Sams Cider (04/04/2023)")</f>
        <v>Uncle Sams Cider (04/04/2023)</v>
      </c>
      <c r="H10329" s="19"/>
    </row>
    <row r="10330">
      <c r="A10330" s="9"/>
      <c r="B10330" s="15"/>
      <c r="C10330" s="9">
        <f>IFERROR(__xludf.DUMMYFUNCTION("""COMPUTED_VALUE"""),45035.5994133449)</f>
        <v>45035.59941</v>
      </c>
      <c r="D10330" s="15">
        <f>IFERROR(__xludf.DUMMYFUNCTION("""COMPUTED_VALUE"""),1.045)</f>
        <v>1.045</v>
      </c>
      <c r="E10330" s="16">
        <f>IFERROR(__xludf.DUMMYFUNCTION("""COMPUTED_VALUE"""),63.0)</f>
        <v>63</v>
      </c>
      <c r="F10330" s="19" t="str">
        <f>IFERROR(__xludf.DUMMYFUNCTION("""COMPUTED_VALUE"""),"BLUE")</f>
        <v>BLUE</v>
      </c>
      <c r="G10330" s="20" t="str">
        <f>IFERROR(__xludf.DUMMYFUNCTION("""COMPUTED_VALUE"""),"Uncle Sams Cider (04/04/2023)")</f>
        <v>Uncle Sams Cider (04/04/2023)</v>
      </c>
      <c r="H10330" s="19"/>
    </row>
    <row r="10331">
      <c r="A10331" s="9"/>
      <c r="B10331" s="15"/>
      <c r="C10331" s="9">
        <f>IFERROR(__xludf.DUMMYFUNCTION("""COMPUTED_VALUE"""),45035.588980868)</f>
        <v>45035.58898</v>
      </c>
      <c r="D10331" s="15">
        <f>IFERROR(__xludf.DUMMYFUNCTION("""COMPUTED_VALUE"""),1.045)</f>
        <v>1.045</v>
      </c>
      <c r="E10331" s="16">
        <f>IFERROR(__xludf.DUMMYFUNCTION("""COMPUTED_VALUE"""),63.0)</f>
        <v>63</v>
      </c>
      <c r="F10331" s="19" t="str">
        <f>IFERROR(__xludf.DUMMYFUNCTION("""COMPUTED_VALUE"""),"BLUE")</f>
        <v>BLUE</v>
      </c>
      <c r="G10331" s="20" t="str">
        <f>IFERROR(__xludf.DUMMYFUNCTION("""COMPUTED_VALUE"""),"Uncle Sams Cider (04/04/2023)")</f>
        <v>Uncle Sams Cider (04/04/2023)</v>
      </c>
      <c r="H10331" s="19"/>
    </row>
    <row r="10332">
      <c r="A10332" s="9"/>
      <c r="B10332" s="15"/>
      <c r="C10332" s="9">
        <f>IFERROR(__xludf.DUMMYFUNCTION("""COMPUTED_VALUE"""),45035.5785600347)</f>
        <v>45035.57856</v>
      </c>
      <c r="D10332" s="15">
        <f>IFERROR(__xludf.DUMMYFUNCTION("""COMPUTED_VALUE"""),1.045)</f>
        <v>1.045</v>
      </c>
      <c r="E10332" s="16">
        <f>IFERROR(__xludf.DUMMYFUNCTION("""COMPUTED_VALUE"""),63.0)</f>
        <v>63</v>
      </c>
      <c r="F10332" s="19" t="str">
        <f>IFERROR(__xludf.DUMMYFUNCTION("""COMPUTED_VALUE"""),"BLUE")</f>
        <v>BLUE</v>
      </c>
      <c r="G10332" s="20" t="str">
        <f>IFERROR(__xludf.DUMMYFUNCTION("""COMPUTED_VALUE"""),"Uncle Sams Cider (04/04/2023)")</f>
        <v>Uncle Sams Cider (04/04/2023)</v>
      </c>
      <c r="H10332" s="19"/>
    </row>
    <row r="10333">
      <c r="A10333" s="9"/>
      <c r="B10333" s="15"/>
      <c r="C10333" s="9">
        <f>IFERROR(__xludf.DUMMYFUNCTION("""COMPUTED_VALUE"""),45035.5681374421)</f>
        <v>45035.56814</v>
      </c>
      <c r="D10333" s="15">
        <f>IFERROR(__xludf.DUMMYFUNCTION("""COMPUTED_VALUE"""),1.045)</f>
        <v>1.045</v>
      </c>
      <c r="E10333" s="16">
        <f>IFERROR(__xludf.DUMMYFUNCTION("""COMPUTED_VALUE"""),63.0)</f>
        <v>63</v>
      </c>
      <c r="F10333" s="19" t="str">
        <f>IFERROR(__xludf.DUMMYFUNCTION("""COMPUTED_VALUE"""),"BLUE")</f>
        <v>BLUE</v>
      </c>
      <c r="G10333" s="20" t="str">
        <f>IFERROR(__xludf.DUMMYFUNCTION("""COMPUTED_VALUE"""),"Uncle Sams Cider (04/04/2023)")</f>
        <v>Uncle Sams Cider (04/04/2023)</v>
      </c>
      <c r="H10333" s="19"/>
    </row>
    <row r="10334">
      <c r="A10334" s="9"/>
      <c r="B10334" s="15"/>
      <c r="C10334" s="9">
        <f>IFERROR(__xludf.DUMMYFUNCTION("""COMPUTED_VALUE"""),45035.5577034606)</f>
        <v>45035.5577</v>
      </c>
      <c r="D10334" s="15">
        <f>IFERROR(__xludf.DUMMYFUNCTION("""COMPUTED_VALUE"""),1.045)</f>
        <v>1.045</v>
      </c>
      <c r="E10334" s="16">
        <f>IFERROR(__xludf.DUMMYFUNCTION("""COMPUTED_VALUE"""),63.0)</f>
        <v>63</v>
      </c>
      <c r="F10334" s="19" t="str">
        <f>IFERROR(__xludf.DUMMYFUNCTION("""COMPUTED_VALUE"""),"BLUE")</f>
        <v>BLUE</v>
      </c>
      <c r="G10334" s="20" t="str">
        <f>IFERROR(__xludf.DUMMYFUNCTION("""COMPUTED_VALUE"""),"Uncle Sams Cider (04/04/2023)")</f>
        <v>Uncle Sams Cider (04/04/2023)</v>
      </c>
      <c r="H10334" s="19"/>
    </row>
    <row r="10335">
      <c r="A10335" s="9"/>
      <c r="B10335" s="15"/>
      <c r="C10335" s="9">
        <f>IFERROR(__xludf.DUMMYFUNCTION("""COMPUTED_VALUE"""),45035.5472711458)</f>
        <v>45035.54727</v>
      </c>
      <c r="D10335" s="15">
        <f>IFERROR(__xludf.DUMMYFUNCTION("""COMPUTED_VALUE"""),1.045)</f>
        <v>1.045</v>
      </c>
      <c r="E10335" s="16">
        <f>IFERROR(__xludf.DUMMYFUNCTION("""COMPUTED_VALUE"""),63.0)</f>
        <v>63</v>
      </c>
      <c r="F10335" s="19" t="str">
        <f>IFERROR(__xludf.DUMMYFUNCTION("""COMPUTED_VALUE"""),"BLUE")</f>
        <v>BLUE</v>
      </c>
      <c r="G10335" s="20" t="str">
        <f>IFERROR(__xludf.DUMMYFUNCTION("""COMPUTED_VALUE"""),"Uncle Sams Cider (04/04/2023)")</f>
        <v>Uncle Sams Cider (04/04/2023)</v>
      </c>
      <c r="H10335" s="19"/>
    </row>
    <row r="10336">
      <c r="A10336" s="9"/>
      <c r="B10336" s="15"/>
      <c r="C10336" s="9">
        <f>IFERROR(__xludf.DUMMYFUNCTION("""COMPUTED_VALUE"""),45035.5368487847)</f>
        <v>45035.53685</v>
      </c>
      <c r="D10336" s="15">
        <f>IFERROR(__xludf.DUMMYFUNCTION("""COMPUTED_VALUE"""),1.045)</f>
        <v>1.045</v>
      </c>
      <c r="E10336" s="16">
        <f>IFERROR(__xludf.DUMMYFUNCTION("""COMPUTED_VALUE"""),63.0)</f>
        <v>63</v>
      </c>
      <c r="F10336" s="19" t="str">
        <f>IFERROR(__xludf.DUMMYFUNCTION("""COMPUTED_VALUE"""),"BLUE")</f>
        <v>BLUE</v>
      </c>
      <c r="G10336" s="20" t="str">
        <f>IFERROR(__xludf.DUMMYFUNCTION("""COMPUTED_VALUE"""),"Uncle Sams Cider (04/04/2023)")</f>
        <v>Uncle Sams Cider (04/04/2023)</v>
      </c>
      <c r="H10336" s="19"/>
    </row>
    <row r="10337">
      <c r="A10337" s="9"/>
      <c r="B10337" s="15"/>
      <c r="C10337" s="9">
        <f>IFERROR(__xludf.DUMMYFUNCTION("""COMPUTED_VALUE"""),45035.5264269675)</f>
        <v>45035.52643</v>
      </c>
      <c r="D10337" s="15">
        <f>IFERROR(__xludf.DUMMYFUNCTION("""COMPUTED_VALUE"""),1.045)</f>
        <v>1.045</v>
      </c>
      <c r="E10337" s="16">
        <f>IFERROR(__xludf.DUMMYFUNCTION("""COMPUTED_VALUE"""),63.0)</f>
        <v>63</v>
      </c>
      <c r="F10337" s="19" t="str">
        <f>IFERROR(__xludf.DUMMYFUNCTION("""COMPUTED_VALUE"""),"BLUE")</f>
        <v>BLUE</v>
      </c>
      <c r="G10337" s="20" t="str">
        <f>IFERROR(__xludf.DUMMYFUNCTION("""COMPUTED_VALUE"""),"Uncle Sams Cider (04/04/2023)")</f>
        <v>Uncle Sams Cider (04/04/2023)</v>
      </c>
      <c r="H10337" s="19"/>
    </row>
    <row r="10338">
      <c r="A10338" s="9"/>
      <c r="B10338" s="15"/>
      <c r="C10338" s="9">
        <f>IFERROR(__xludf.DUMMYFUNCTION("""COMPUTED_VALUE"""),45035.5160052314)</f>
        <v>45035.51601</v>
      </c>
      <c r="D10338" s="15">
        <f>IFERROR(__xludf.DUMMYFUNCTION("""COMPUTED_VALUE"""),1.045)</f>
        <v>1.045</v>
      </c>
      <c r="E10338" s="16">
        <f>IFERROR(__xludf.DUMMYFUNCTION("""COMPUTED_VALUE"""),63.0)</f>
        <v>63</v>
      </c>
      <c r="F10338" s="19" t="str">
        <f>IFERROR(__xludf.DUMMYFUNCTION("""COMPUTED_VALUE"""),"BLUE")</f>
        <v>BLUE</v>
      </c>
      <c r="G10338" s="20" t="str">
        <f>IFERROR(__xludf.DUMMYFUNCTION("""COMPUTED_VALUE"""),"Uncle Sams Cider (04/04/2023)")</f>
        <v>Uncle Sams Cider (04/04/2023)</v>
      </c>
      <c r="H10338" s="19"/>
    </row>
    <row r="10339">
      <c r="A10339" s="9"/>
      <c r="B10339" s="15"/>
      <c r="C10339" s="9">
        <f>IFERROR(__xludf.DUMMYFUNCTION("""COMPUTED_VALUE"""),45035.5055837152)</f>
        <v>45035.50558</v>
      </c>
      <c r="D10339" s="15">
        <f>IFERROR(__xludf.DUMMYFUNCTION("""COMPUTED_VALUE"""),1.045)</f>
        <v>1.045</v>
      </c>
      <c r="E10339" s="16">
        <f>IFERROR(__xludf.DUMMYFUNCTION("""COMPUTED_VALUE"""),63.0)</f>
        <v>63</v>
      </c>
      <c r="F10339" s="19" t="str">
        <f>IFERROR(__xludf.DUMMYFUNCTION("""COMPUTED_VALUE"""),"BLUE")</f>
        <v>BLUE</v>
      </c>
      <c r="G10339" s="20" t="str">
        <f>IFERROR(__xludf.DUMMYFUNCTION("""COMPUTED_VALUE"""),"Uncle Sams Cider (04/04/2023)")</f>
        <v>Uncle Sams Cider (04/04/2023)</v>
      </c>
      <c r="H10339" s="19"/>
    </row>
    <row r="10340">
      <c r="A10340" s="9"/>
      <c r="B10340" s="15"/>
      <c r="C10340" s="9">
        <f>IFERROR(__xludf.DUMMYFUNCTION("""COMPUTED_VALUE"""),45035.484742118)</f>
        <v>45035.48474</v>
      </c>
      <c r="D10340" s="15">
        <f>IFERROR(__xludf.DUMMYFUNCTION("""COMPUTED_VALUE"""),1.045)</f>
        <v>1.045</v>
      </c>
      <c r="E10340" s="16">
        <f>IFERROR(__xludf.DUMMYFUNCTION("""COMPUTED_VALUE"""),63.0)</f>
        <v>63</v>
      </c>
      <c r="F10340" s="19" t="str">
        <f>IFERROR(__xludf.DUMMYFUNCTION("""COMPUTED_VALUE"""),"BLUE")</f>
        <v>BLUE</v>
      </c>
      <c r="G10340" s="20" t="str">
        <f>IFERROR(__xludf.DUMMYFUNCTION("""COMPUTED_VALUE"""),"Uncle Sams Cider (04/04/2023)")</f>
        <v>Uncle Sams Cider (04/04/2023)</v>
      </c>
      <c r="H10340" s="19"/>
    </row>
    <row r="10341">
      <c r="A10341" s="9"/>
      <c r="B10341" s="15"/>
      <c r="C10341" s="9">
        <f>IFERROR(__xludf.DUMMYFUNCTION("""COMPUTED_VALUE"""),45035.4743222569)</f>
        <v>45035.47432</v>
      </c>
      <c r="D10341" s="15">
        <f>IFERROR(__xludf.DUMMYFUNCTION("""COMPUTED_VALUE"""),1.045)</f>
        <v>1.045</v>
      </c>
      <c r="E10341" s="16">
        <f>IFERROR(__xludf.DUMMYFUNCTION("""COMPUTED_VALUE"""),63.0)</f>
        <v>63</v>
      </c>
      <c r="F10341" s="19" t="str">
        <f>IFERROR(__xludf.DUMMYFUNCTION("""COMPUTED_VALUE"""),"BLUE")</f>
        <v>BLUE</v>
      </c>
      <c r="G10341" s="20" t="str">
        <f>IFERROR(__xludf.DUMMYFUNCTION("""COMPUTED_VALUE"""),"Uncle Sams Cider (04/04/2023)")</f>
        <v>Uncle Sams Cider (04/04/2023)</v>
      </c>
      <c r="H10341" s="19"/>
    </row>
    <row r="10342">
      <c r="A10342" s="9"/>
      <c r="B10342" s="15"/>
      <c r="C10342" s="9">
        <f>IFERROR(__xludf.DUMMYFUNCTION("""COMPUTED_VALUE"""),45035.4534820254)</f>
        <v>45035.45348</v>
      </c>
      <c r="D10342" s="15">
        <f>IFERROR(__xludf.DUMMYFUNCTION("""COMPUTED_VALUE"""),1.045)</f>
        <v>1.045</v>
      </c>
      <c r="E10342" s="16">
        <f>IFERROR(__xludf.DUMMYFUNCTION("""COMPUTED_VALUE"""),63.0)</f>
        <v>63</v>
      </c>
      <c r="F10342" s="19" t="str">
        <f>IFERROR(__xludf.DUMMYFUNCTION("""COMPUTED_VALUE"""),"BLUE")</f>
        <v>BLUE</v>
      </c>
      <c r="G10342" s="20" t="str">
        <f>IFERROR(__xludf.DUMMYFUNCTION("""COMPUTED_VALUE"""),"Uncle Sams Cider (04/04/2023)")</f>
        <v>Uncle Sams Cider (04/04/2023)</v>
      </c>
      <c r="H10342" s="19"/>
    </row>
    <row r="10343">
      <c r="A10343" s="9"/>
      <c r="B10343" s="15"/>
      <c r="C10343" s="9">
        <f>IFERROR(__xludf.DUMMYFUNCTION("""COMPUTED_VALUE"""),45035.4430603009)</f>
        <v>45035.44306</v>
      </c>
      <c r="D10343" s="15">
        <f>IFERROR(__xludf.DUMMYFUNCTION("""COMPUTED_VALUE"""),1.045)</f>
        <v>1.045</v>
      </c>
      <c r="E10343" s="16">
        <f>IFERROR(__xludf.DUMMYFUNCTION("""COMPUTED_VALUE"""),63.0)</f>
        <v>63</v>
      </c>
      <c r="F10343" s="19" t="str">
        <f>IFERROR(__xludf.DUMMYFUNCTION("""COMPUTED_VALUE"""),"BLUE")</f>
        <v>BLUE</v>
      </c>
      <c r="G10343" s="20" t="str">
        <f>IFERROR(__xludf.DUMMYFUNCTION("""COMPUTED_VALUE"""),"Uncle Sams Cider (04/04/2023)")</f>
        <v>Uncle Sams Cider (04/04/2023)</v>
      </c>
      <c r="H10343" s="19"/>
    </row>
    <row r="10344">
      <c r="A10344" s="9"/>
      <c r="B10344" s="15"/>
      <c r="C10344" s="9">
        <f>IFERROR(__xludf.DUMMYFUNCTION("""COMPUTED_VALUE"""),45035.4326272222)</f>
        <v>45035.43263</v>
      </c>
      <c r="D10344" s="15">
        <f>IFERROR(__xludf.DUMMYFUNCTION("""COMPUTED_VALUE"""),1.045)</f>
        <v>1.045</v>
      </c>
      <c r="E10344" s="16">
        <f>IFERROR(__xludf.DUMMYFUNCTION("""COMPUTED_VALUE"""),64.0)</f>
        <v>64</v>
      </c>
      <c r="F10344" s="19" t="str">
        <f>IFERROR(__xludf.DUMMYFUNCTION("""COMPUTED_VALUE"""),"BLUE")</f>
        <v>BLUE</v>
      </c>
      <c r="G10344" s="20" t="str">
        <f>IFERROR(__xludf.DUMMYFUNCTION("""COMPUTED_VALUE"""),"Uncle Sams Cider (04/04/2023)")</f>
        <v>Uncle Sams Cider (04/04/2023)</v>
      </c>
      <c r="H10344" s="19"/>
    </row>
    <row r="10345">
      <c r="A10345" s="9"/>
      <c r="B10345" s="15"/>
      <c r="C10345" s="9">
        <f>IFERROR(__xludf.DUMMYFUNCTION("""COMPUTED_VALUE"""),45035.4222042013)</f>
        <v>45035.4222</v>
      </c>
      <c r="D10345" s="15">
        <f>IFERROR(__xludf.DUMMYFUNCTION("""COMPUTED_VALUE"""),1.045)</f>
        <v>1.045</v>
      </c>
      <c r="E10345" s="16">
        <f>IFERROR(__xludf.DUMMYFUNCTION("""COMPUTED_VALUE"""),63.0)</f>
        <v>63</v>
      </c>
      <c r="F10345" s="19" t="str">
        <f>IFERROR(__xludf.DUMMYFUNCTION("""COMPUTED_VALUE"""),"BLUE")</f>
        <v>BLUE</v>
      </c>
      <c r="G10345" s="20" t="str">
        <f>IFERROR(__xludf.DUMMYFUNCTION("""COMPUTED_VALUE"""),"Uncle Sams Cider (04/04/2023)")</f>
        <v>Uncle Sams Cider (04/04/2023)</v>
      </c>
      <c r="H10345" s="19"/>
    </row>
    <row r="10346">
      <c r="A10346" s="9"/>
      <c r="B10346" s="15"/>
      <c r="C10346" s="9">
        <f>IFERROR(__xludf.DUMMYFUNCTION("""COMPUTED_VALUE"""),45035.411783206)</f>
        <v>45035.41178</v>
      </c>
      <c r="D10346" s="15">
        <f>IFERROR(__xludf.DUMMYFUNCTION("""COMPUTED_VALUE"""),1.045)</f>
        <v>1.045</v>
      </c>
      <c r="E10346" s="16">
        <f>IFERROR(__xludf.DUMMYFUNCTION("""COMPUTED_VALUE"""),64.0)</f>
        <v>64</v>
      </c>
      <c r="F10346" s="19" t="str">
        <f>IFERROR(__xludf.DUMMYFUNCTION("""COMPUTED_VALUE"""),"BLUE")</f>
        <v>BLUE</v>
      </c>
      <c r="G10346" s="20" t="str">
        <f>IFERROR(__xludf.DUMMYFUNCTION("""COMPUTED_VALUE"""),"Uncle Sams Cider (04/04/2023)")</f>
        <v>Uncle Sams Cider (04/04/2023)</v>
      </c>
      <c r="H10346" s="19"/>
    </row>
    <row r="10347">
      <c r="A10347" s="9"/>
      <c r="B10347" s="15"/>
      <c r="C10347" s="9">
        <f>IFERROR(__xludf.DUMMYFUNCTION("""COMPUTED_VALUE"""),45035.4013631712)</f>
        <v>45035.40136</v>
      </c>
      <c r="D10347" s="15">
        <f>IFERROR(__xludf.DUMMYFUNCTION("""COMPUTED_VALUE"""),1.045)</f>
        <v>1.045</v>
      </c>
      <c r="E10347" s="16">
        <f>IFERROR(__xludf.DUMMYFUNCTION("""COMPUTED_VALUE"""),64.0)</f>
        <v>64</v>
      </c>
      <c r="F10347" s="19" t="str">
        <f>IFERROR(__xludf.DUMMYFUNCTION("""COMPUTED_VALUE"""),"BLUE")</f>
        <v>BLUE</v>
      </c>
      <c r="G10347" s="20" t="str">
        <f>IFERROR(__xludf.DUMMYFUNCTION("""COMPUTED_VALUE"""),"Uncle Sams Cider (04/04/2023)")</f>
        <v>Uncle Sams Cider (04/04/2023)</v>
      </c>
      <c r="H10347" s="19"/>
    </row>
    <row r="10348">
      <c r="A10348" s="9"/>
      <c r="B10348" s="15"/>
      <c r="C10348" s="9">
        <f>IFERROR(__xludf.DUMMYFUNCTION("""COMPUTED_VALUE"""),45035.3909415277)</f>
        <v>45035.39094</v>
      </c>
      <c r="D10348" s="15">
        <f>IFERROR(__xludf.DUMMYFUNCTION("""COMPUTED_VALUE"""),1.046)</f>
        <v>1.046</v>
      </c>
      <c r="E10348" s="16">
        <f>IFERROR(__xludf.DUMMYFUNCTION("""COMPUTED_VALUE"""),64.0)</f>
        <v>64</v>
      </c>
      <c r="F10348" s="19" t="str">
        <f>IFERROR(__xludf.DUMMYFUNCTION("""COMPUTED_VALUE"""),"BLUE")</f>
        <v>BLUE</v>
      </c>
      <c r="G10348" s="20" t="str">
        <f>IFERROR(__xludf.DUMMYFUNCTION("""COMPUTED_VALUE"""),"Uncle Sams Cider (04/04/2023)")</f>
        <v>Uncle Sams Cider (04/04/2023)</v>
      </c>
      <c r="H10348" s="19"/>
    </row>
    <row r="10349">
      <c r="A10349" s="9"/>
      <c r="B10349" s="15"/>
      <c r="C10349" s="9">
        <f>IFERROR(__xludf.DUMMYFUNCTION("""COMPUTED_VALUE"""),45035.3805209606)</f>
        <v>45035.38052</v>
      </c>
      <c r="D10349" s="15">
        <f>IFERROR(__xludf.DUMMYFUNCTION("""COMPUTED_VALUE"""),1.046)</f>
        <v>1.046</v>
      </c>
      <c r="E10349" s="16">
        <f>IFERROR(__xludf.DUMMYFUNCTION("""COMPUTED_VALUE"""),64.0)</f>
        <v>64</v>
      </c>
      <c r="F10349" s="19" t="str">
        <f>IFERROR(__xludf.DUMMYFUNCTION("""COMPUTED_VALUE"""),"BLUE")</f>
        <v>BLUE</v>
      </c>
      <c r="G10349" s="20" t="str">
        <f>IFERROR(__xludf.DUMMYFUNCTION("""COMPUTED_VALUE"""),"Uncle Sams Cider (04/04/2023)")</f>
        <v>Uncle Sams Cider (04/04/2023)</v>
      </c>
      <c r="H10349" s="19"/>
    </row>
    <row r="10350">
      <c r="A10350" s="9"/>
      <c r="B10350" s="15"/>
      <c r="C10350" s="9">
        <f>IFERROR(__xludf.DUMMYFUNCTION("""COMPUTED_VALUE"""),45035.3700869328)</f>
        <v>45035.37009</v>
      </c>
      <c r="D10350" s="15">
        <f>IFERROR(__xludf.DUMMYFUNCTION("""COMPUTED_VALUE"""),1.046)</f>
        <v>1.046</v>
      </c>
      <c r="E10350" s="16">
        <f>IFERROR(__xludf.DUMMYFUNCTION("""COMPUTED_VALUE"""),64.0)</f>
        <v>64</v>
      </c>
      <c r="F10350" s="19" t="str">
        <f>IFERROR(__xludf.DUMMYFUNCTION("""COMPUTED_VALUE"""),"BLUE")</f>
        <v>BLUE</v>
      </c>
      <c r="G10350" s="20" t="str">
        <f>IFERROR(__xludf.DUMMYFUNCTION("""COMPUTED_VALUE"""),"Uncle Sams Cider (04/04/2023)")</f>
        <v>Uncle Sams Cider (04/04/2023)</v>
      </c>
      <c r="H10350" s="19"/>
    </row>
    <row r="10351">
      <c r="A10351" s="9"/>
      <c r="B10351" s="15"/>
      <c r="C10351" s="9">
        <f>IFERROR(__xludf.DUMMYFUNCTION("""COMPUTED_VALUE"""),45035.3596432986)</f>
        <v>45035.35964</v>
      </c>
      <c r="D10351" s="15">
        <f>IFERROR(__xludf.DUMMYFUNCTION("""COMPUTED_VALUE"""),1.046)</f>
        <v>1.046</v>
      </c>
      <c r="E10351" s="16">
        <f>IFERROR(__xludf.DUMMYFUNCTION("""COMPUTED_VALUE"""),64.0)</f>
        <v>64</v>
      </c>
      <c r="F10351" s="19" t="str">
        <f>IFERROR(__xludf.DUMMYFUNCTION("""COMPUTED_VALUE"""),"BLUE")</f>
        <v>BLUE</v>
      </c>
      <c r="G10351" s="20" t="str">
        <f>IFERROR(__xludf.DUMMYFUNCTION("""COMPUTED_VALUE"""),"Uncle Sams Cider (04/04/2023)")</f>
        <v>Uncle Sams Cider (04/04/2023)</v>
      </c>
      <c r="H10351" s="19"/>
    </row>
    <row r="10352">
      <c r="A10352" s="9"/>
      <c r="B10352" s="15"/>
      <c r="C10352" s="9">
        <f>IFERROR(__xludf.DUMMYFUNCTION("""COMPUTED_VALUE"""),45035.3492225463)</f>
        <v>45035.34922</v>
      </c>
      <c r="D10352" s="15">
        <f>IFERROR(__xludf.DUMMYFUNCTION("""COMPUTED_VALUE"""),1.046)</f>
        <v>1.046</v>
      </c>
      <c r="E10352" s="16">
        <f>IFERROR(__xludf.DUMMYFUNCTION("""COMPUTED_VALUE"""),64.0)</f>
        <v>64</v>
      </c>
      <c r="F10352" s="19" t="str">
        <f>IFERROR(__xludf.DUMMYFUNCTION("""COMPUTED_VALUE"""),"BLUE")</f>
        <v>BLUE</v>
      </c>
      <c r="G10352" s="20" t="str">
        <f>IFERROR(__xludf.DUMMYFUNCTION("""COMPUTED_VALUE"""),"Uncle Sams Cider (04/04/2023)")</f>
        <v>Uncle Sams Cider (04/04/2023)</v>
      </c>
      <c r="H10352" s="19"/>
    </row>
    <row r="10353">
      <c r="A10353" s="9"/>
      <c r="B10353" s="15"/>
      <c r="C10353" s="9">
        <f>IFERROR(__xludf.DUMMYFUNCTION("""COMPUTED_VALUE"""),45035.3388012384)</f>
        <v>45035.3388</v>
      </c>
      <c r="D10353" s="15">
        <f>IFERROR(__xludf.DUMMYFUNCTION("""COMPUTED_VALUE"""),1.046)</f>
        <v>1.046</v>
      </c>
      <c r="E10353" s="16">
        <f>IFERROR(__xludf.DUMMYFUNCTION("""COMPUTED_VALUE"""),64.0)</f>
        <v>64</v>
      </c>
      <c r="F10353" s="19" t="str">
        <f>IFERROR(__xludf.DUMMYFUNCTION("""COMPUTED_VALUE"""),"BLUE")</f>
        <v>BLUE</v>
      </c>
      <c r="G10353" s="20" t="str">
        <f>IFERROR(__xludf.DUMMYFUNCTION("""COMPUTED_VALUE"""),"Uncle Sams Cider (04/04/2023)")</f>
        <v>Uncle Sams Cider (04/04/2023)</v>
      </c>
      <c r="H10353" s="19"/>
    </row>
    <row r="10354">
      <c r="A10354" s="9"/>
      <c r="B10354" s="15"/>
      <c r="C10354" s="9">
        <f>IFERROR(__xludf.DUMMYFUNCTION("""COMPUTED_VALUE"""),45035.3283807523)</f>
        <v>45035.32838</v>
      </c>
      <c r="D10354" s="15">
        <f>IFERROR(__xludf.DUMMYFUNCTION("""COMPUTED_VALUE"""),1.046)</f>
        <v>1.046</v>
      </c>
      <c r="E10354" s="16">
        <f>IFERROR(__xludf.DUMMYFUNCTION("""COMPUTED_VALUE"""),64.0)</f>
        <v>64</v>
      </c>
      <c r="F10354" s="19" t="str">
        <f>IFERROR(__xludf.DUMMYFUNCTION("""COMPUTED_VALUE"""),"BLUE")</f>
        <v>BLUE</v>
      </c>
      <c r="G10354" s="20" t="str">
        <f>IFERROR(__xludf.DUMMYFUNCTION("""COMPUTED_VALUE"""),"Uncle Sams Cider (04/04/2023)")</f>
        <v>Uncle Sams Cider (04/04/2023)</v>
      </c>
      <c r="H10354" s="19"/>
    </row>
    <row r="10355">
      <c r="A10355" s="9"/>
      <c r="B10355" s="15"/>
      <c r="C10355" s="9">
        <f>IFERROR(__xludf.DUMMYFUNCTION("""COMPUTED_VALUE"""),45035.3179602314)</f>
        <v>45035.31796</v>
      </c>
      <c r="D10355" s="15">
        <f>IFERROR(__xludf.DUMMYFUNCTION("""COMPUTED_VALUE"""),1.046)</f>
        <v>1.046</v>
      </c>
      <c r="E10355" s="16">
        <f>IFERROR(__xludf.DUMMYFUNCTION("""COMPUTED_VALUE"""),64.0)</f>
        <v>64</v>
      </c>
      <c r="F10355" s="19" t="str">
        <f>IFERROR(__xludf.DUMMYFUNCTION("""COMPUTED_VALUE"""),"BLUE")</f>
        <v>BLUE</v>
      </c>
      <c r="G10355" s="20" t="str">
        <f>IFERROR(__xludf.DUMMYFUNCTION("""COMPUTED_VALUE"""),"Uncle Sams Cider (04/04/2023)")</f>
        <v>Uncle Sams Cider (04/04/2023)</v>
      </c>
      <c r="H10355" s="19"/>
    </row>
    <row r="10356">
      <c r="A10356" s="9"/>
      <c r="B10356" s="15"/>
      <c r="C10356" s="9">
        <f>IFERROR(__xludf.DUMMYFUNCTION("""COMPUTED_VALUE"""),45035.3075388773)</f>
        <v>45035.30754</v>
      </c>
      <c r="D10356" s="15">
        <f>IFERROR(__xludf.DUMMYFUNCTION("""COMPUTED_VALUE"""),1.046)</f>
        <v>1.046</v>
      </c>
      <c r="E10356" s="16">
        <f>IFERROR(__xludf.DUMMYFUNCTION("""COMPUTED_VALUE"""),64.0)</f>
        <v>64</v>
      </c>
      <c r="F10356" s="19" t="str">
        <f>IFERROR(__xludf.DUMMYFUNCTION("""COMPUTED_VALUE"""),"BLUE")</f>
        <v>BLUE</v>
      </c>
      <c r="G10356" s="20" t="str">
        <f>IFERROR(__xludf.DUMMYFUNCTION("""COMPUTED_VALUE"""),"Uncle Sams Cider (04/04/2023)")</f>
        <v>Uncle Sams Cider (04/04/2023)</v>
      </c>
      <c r="H10356" s="19"/>
    </row>
    <row r="10357">
      <c r="A10357" s="9"/>
      <c r="B10357" s="15"/>
      <c r="C10357" s="9">
        <f>IFERROR(__xludf.DUMMYFUNCTION("""COMPUTED_VALUE"""),45035.2971172569)</f>
        <v>45035.29712</v>
      </c>
      <c r="D10357" s="15">
        <f>IFERROR(__xludf.DUMMYFUNCTION("""COMPUTED_VALUE"""),1.046)</f>
        <v>1.046</v>
      </c>
      <c r="E10357" s="16">
        <f>IFERROR(__xludf.DUMMYFUNCTION("""COMPUTED_VALUE"""),64.0)</f>
        <v>64</v>
      </c>
      <c r="F10357" s="19" t="str">
        <f>IFERROR(__xludf.DUMMYFUNCTION("""COMPUTED_VALUE"""),"BLUE")</f>
        <v>BLUE</v>
      </c>
      <c r="G10357" s="20" t="str">
        <f>IFERROR(__xludf.DUMMYFUNCTION("""COMPUTED_VALUE"""),"Uncle Sams Cider (04/04/2023)")</f>
        <v>Uncle Sams Cider (04/04/2023)</v>
      </c>
      <c r="H10357" s="19"/>
    </row>
    <row r="10358">
      <c r="A10358" s="9"/>
      <c r="B10358" s="15"/>
      <c r="C10358" s="9">
        <f>IFERROR(__xludf.DUMMYFUNCTION("""COMPUTED_VALUE"""),45035.2866966435)</f>
        <v>45035.2867</v>
      </c>
      <c r="D10358" s="15">
        <f>IFERROR(__xludf.DUMMYFUNCTION("""COMPUTED_VALUE"""),1.046)</f>
        <v>1.046</v>
      </c>
      <c r="E10358" s="16">
        <f>IFERROR(__xludf.DUMMYFUNCTION("""COMPUTED_VALUE"""),64.0)</f>
        <v>64</v>
      </c>
      <c r="F10358" s="19" t="str">
        <f>IFERROR(__xludf.DUMMYFUNCTION("""COMPUTED_VALUE"""),"BLUE")</f>
        <v>BLUE</v>
      </c>
      <c r="G10358" s="20" t="str">
        <f>IFERROR(__xludf.DUMMYFUNCTION("""COMPUTED_VALUE"""),"Uncle Sams Cider (04/04/2023)")</f>
        <v>Uncle Sams Cider (04/04/2023)</v>
      </c>
      <c r="H10358" s="19"/>
    </row>
    <row r="10359">
      <c r="A10359" s="9"/>
      <c r="B10359" s="15"/>
      <c r="C10359" s="9">
        <f>IFERROR(__xludf.DUMMYFUNCTION("""COMPUTED_VALUE"""),45035.2762763425)</f>
        <v>45035.27628</v>
      </c>
      <c r="D10359" s="15">
        <f>IFERROR(__xludf.DUMMYFUNCTION("""COMPUTED_VALUE"""),1.046)</f>
        <v>1.046</v>
      </c>
      <c r="E10359" s="16">
        <f>IFERROR(__xludf.DUMMYFUNCTION("""COMPUTED_VALUE"""),64.0)</f>
        <v>64</v>
      </c>
      <c r="F10359" s="19" t="str">
        <f>IFERROR(__xludf.DUMMYFUNCTION("""COMPUTED_VALUE"""),"BLUE")</f>
        <v>BLUE</v>
      </c>
      <c r="G10359" s="20" t="str">
        <f>IFERROR(__xludf.DUMMYFUNCTION("""COMPUTED_VALUE"""),"Uncle Sams Cider (04/04/2023)")</f>
        <v>Uncle Sams Cider (04/04/2023)</v>
      </c>
      <c r="H10359" s="19"/>
    </row>
    <row r="10360">
      <c r="A10360" s="9"/>
      <c r="B10360" s="15"/>
      <c r="C10360" s="9">
        <f>IFERROR(__xludf.DUMMYFUNCTION("""COMPUTED_VALUE"""),45035.2658551851)</f>
        <v>45035.26586</v>
      </c>
      <c r="D10360" s="15">
        <f>IFERROR(__xludf.DUMMYFUNCTION("""COMPUTED_VALUE"""),1.046)</f>
        <v>1.046</v>
      </c>
      <c r="E10360" s="16">
        <f>IFERROR(__xludf.DUMMYFUNCTION("""COMPUTED_VALUE"""),64.0)</f>
        <v>64</v>
      </c>
      <c r="F10360" s="19" t="str">
        <f>IFERROR(__xludf.DUMMYFUNCTION("""COMPUTED_VALUE"""),"BLUE")</f>
        <v>BLUE</v>
      </c>
      <c r="G10360" s="20" t="str">
        <f>IFERROR(__xludf.DUMMYFUNCTION("""COMPUTED_VALUE"""),"Uncle Sams Cider (04/04/2023)")</f>
        <v>Uncle Sams Cider (04/04/2023)</v>
      </c>
      <c r="H10360" s="19"/>
    </row>
    <row r="10361">
      <c r="A10361" s="9"/>
      <c r="B10361" s="15"/>
      <c r="C10361" s="9">
        <f>IFERROR(__xludf.DUMMYFUNCTION("""COMPUTED_VALUE"""),45035.2554335069)</f>
        <v>45035.25543</v>
      </c>
      <c r="D10361" s="15">
        <f>IFERROR(__xludf.DUMMYFUNCTION("""COMPUTED_VALUE"""),1.046)</f>
        <v>1.046</v>
      </c>
      <c r="E10361" s="16">
        <f>IFERROR(__xludf.DUMMYFUNCTION("""COMPUTED_VALUE"""),64.0)</f>
        <v>64</v>
      </c>
      <c r="F10361" s="19" t="str">
        <f>IFERROR(__xludf.DUMMYFUNCTION("""COMPUTED_VALUE"""),"BLUE")</f>
        <v>BLUE</v>
      </c>
      <c r="G10361" s="20" t="str">
        <f>IFERROR(__xludf.DUMMYFUNCTION("""COMPUTED_VALUE"""),"Uncle Sams Cider (04/04/2023)")</f>
        <v>Uncle Sams Cider (04/04/2023)</v>
      </c>
      <c r="H10361" s="19"/>
    </row>
    <row r="10362">
      <c r="A10362" s="9"/>
      <c r="B10362" s="15"/>
      <c r="C10362" s="9">
        <f>IFERROR(__xludf.DUMMYFUNCTION("""COMPUTED_VALUE"""),45035.2450109143)</f>
        <v>45035.24501</v>
      </c>
      <c r="D10362" s="15">
        <f>IFERROR(__xludf.DUMMYFUNCTION("""COMPUTED_VALUE"""),1.046)</f>
        <v>1.046</v>
      </c>
      <c r="E10362" s="16">
        <f>IFERROR(__xludf.DUMMYFUNCTION("""COMPUTED_VALUE"""),64.0)</f>
        <v>64</v>
      </c>
      <c r="F10362" s="19" t="str">
        <f>IFERROR(__xludf.DUMMYFUNCTION("""COMPUTED_VALUE"""),"BLUE")</f>
        <v>BLUE</v>
      </c>
      <c r="G10362" s="20" t="str">
        <f>IFERROR(__xludf.DUMMYFUNCTION("""COMPUTED_VALUE"""),"Uncle Sams Cider (04/04/2023)")</f>
        <v>Uncle Sams Cider (04/04/2023)</v>
      </c>
      <c r="H10362" s="19"/>
    </row>
    <row r="10363">
      <c r="A10363" s="9"/>
      <c r="B10363" s="15"/>
      <c r="C10363" s="9">
        <f>IFERROR(__xludf.DUMMYFUNCTION("""COMPUTED_VALUE"""),45035.2345780208)</f>
        <v>45035.23458</v>
      </c>
      <c r="D10363" s="15">
        <f>IFERROR(__xludf.DUMMYFUNCTION("""COMPUTED_VALUE"""),1.046)</f>
        <v>1.046</v>
      </c>
      <c r="E10363" s="16">
        <f>IFERROR(__xludf.DUMMYFUNCTION("""COMPUTED_VALUE"""),64.0)</f>
        <v>64</v>
      </c>
      <c r="F10363" s="19" t="str">
        <f>IFERROR(__xludf.DUMMYFUNCTION("""COMPUTED_VALUE"""),"BLUE")</f>
        <v>BLUE</v>
      </c>
      <c r="G10363" s="20" t="str">
        <f>IFERROR(__xludf.DUMMYFUNCTION("""COMPUTED_VALUE"""),"Uncle Sams Cider (04/04/2023)")</f>
        <v>Uncle Sams Cider (04/04/2023)</v>
      </c>
      <c r="H10363" s="19"/>
    </row>
    <row r="10364">
      <c r="A10364" s="9"/>
      <c r="B10364" s="15"/>
      <c r="C10364" s="9">
        <f>IFERROR(__xludf.DUMMYFUNCTION("""COMPUTED_VALUE"""),45035.2241577662)</f>
        <v>45035.22416</v>
      </c>
      <c r="D10364" s="15">
        <f>IFERROR(__xludf.DUMMYFUNCTION("""COMPUTED_VALUE"""),1.046)</f>
        <v>1.046</v>
      </c>
      <c r="E10364" s="16">
        <f>IFERROR(__xludf.DUMMYFUNCTION("""COMPUTED_VALUE"""),64.0)</f>
        <v>64</v>
      </c>
      <c r="F10364" s="19" t="str">
        <f>IFERROR(__xludf.DUMMYFUNCTION("""COMPUTED_VALUE"""),"BLUE")</f>
        <v>BLUE</v>
      </c>
      <c r="G10364" s="20" t="str">
        <f>IFERROR(__xludf.DUMMYFUNCTION("""COMPUTED_VALUE"""),"Uncle Sams Cider (04/04/2023)")</f>
        <v>Uncle Sams Cider (04/04/2023)</v>
      </c>
      <c r="H10364" s="19"/>
    </row>
    <row r="10365">
      <c r="A10365" s="9"/>
      <c r="B10365" s="15"/>
      <c r="C10365" s="9">
        <f>IFERROR(__xludf.DUMMYFUNCTION("""COMPUTED_VALUE"""),45035.2137245023)</f>
        <v>45035.21372</v>
      </c>
      <c r="D10365" s="15">
        <f>IFERROR(__xludf.DUMMYFUNCTION("""COMPUTED_VALUE"""),1.046)</f>
        <v>1.046</v>
      </c>
      <c r="E10365" s="16">
        <f>IFERROR(__xludf.DUMMYFUNCTION("""COMPUTED_VALUE"""),64.0)</f>
        <v>64</v>
      </c>
      <c r="F10365" s="19" t="str">
        <f>IFERROR(__xludf.DUMMYFUNCTION("""COMPUTED_VALUE"""),"BLUE")</f>
        <v>BLUE</v>
      </c>
      <c r="G10365" s="20" t="str">
        <f>IFERROR(__xludf.DUMMYFUNCTION("""COMPUTED_VALUE"""),"Uncle Sams Cider (04/04/2023)")</f>
        <v>Uncle Sams Cider (04/04/2023)</v>
      </c>
      <c r="H10365" s="19"/>
    </row>
    <row r="10366">
      <c r="A10366" s="9"/>
      <c r="B10366" s="15"/>
      <c r="C10366" s="9">
        <f>IFERROR(__xludf.DUMMYFUNCTION("""COMPUTED_VALUE"""),45035.2033024537)</f>
        <v>45035.2033</v>
      </c>
      <c r="D10366" s="15">
        <f>IFERROR(__xludf.DUMMYFUNCTION("""COMPUTED_VALUE"""),1.046)</f>
        <v>1.046</v>
      </c>
      <c r="E10366" s="16">
        <f>IFERROR(__xludf.DUMMYFUNCTION("""COMPUTED_VALUE"""),64.0)</f>
        <v>64</v>
      </c>
      <c r="F10366" s="19" t="str">
        <f>IFERROR(__xludf.DUMMYFUNCTION("""COMPUTED_VALUE"""),"BLUE")</f>
        <v>BLUE</v>
      </c>
      <c r="G10366" s="20" t="str">
        <f>IFERROR(__xludf.DUMMYFUNCTION("""COMPUTED_VALUE"""),"Uncle Sams Cider (04/04/2023)")</f>
        <v>Uncle Sams Cider (04/04/2023)</v>
      </c>
      <c r="H10366" s="19"/>
    </row>
    <row r="10367">
      <c r="A10367" s="9"/>
      <c r="B10367" s="15"/>
      <c r="C10367" s="9">
        <f>IFERROR(__xludf.DUMMYFUNCTION("""COMPUTED_VALUE"""),45035.1928807754)</f>
        <v>45035.19288</v>
      </c>
      <c r="D10367" s="15">
        <f>IFERROR(__xludf.DUMMYFUNCTION("""COMPUTED_VALUE"""),1.046)</f>
        <v>1.046</v>
      </c>
      <c r="E10367" s="16">
        <f>IFERROR(__xludf.DUMMYFUNCTION("""COMPUTED_VALUE"""),64.0)</f>
        <v>64</v>
      </c>
      <c r="F10367" s="19" t="str">
        <f>IFERROR(__xludf.DUMMYFUNCTION("""COMPUTED_VALUE"""),"BLUE")</f>
        <v>BLUE</v>
      </c>
      <c r="G10367" s="20" t="str">
        <f>IFERROR(__xludf.DUMMYFUNCTION("""COMPUTED_VALUE"""),"Uncle Sams Cider (04/04/2023)")</f>
        <v>Uncle Sams Cider (04/04/2023)</v>
      </c>
      <c r="H10367" s="19"/>
    </row>
    <row r="10368">
      <c r="A10368" s="9"/>
      <c r="B10368" s="15"/>
      <c r="C10368" s="9">
        <f>IFERROR(__xludf.DUMMYFUNCTION("""COMPUTED_VALUE"""),45035.1824592129)</f>
        <v>45035.18246</v>
      </c>
      <c r="D10368" s="15">
        <f>IFERROR(__xludf.DUMMYFUNCTION("""COMPUTED_VALUE"""),1.046)</f>
        <v>1.046</v>
      </c>
      <c r="E10368" s="16">
        <f>IFERROR(__xludf.DUMMYFUNCTION("""COMPUTED_VALUE"""),64.0)</f>
        <v>64</v>
      </c>
      <c r="F10368" s="19" t="str">
        <f>IFERROR(__xludf.DUMMYFUNCTION("""COMPUTED_VALUE"""),"BLUE")</f>
        <v>BLUE</v>
      </c>
      <c r="G10368" s="20" t="str">
        <f>IFERROR(__xludf.DUMMYFUNCTION("""COMPUTED_VALUE"""),"Uncle Sams Cider (04/04/2023)")</f>
        <v>Uncle Sams Cider (04/04/2023)</v>
      </c>
      <c r="H10368" s="19"/>
    </row>
    <row r="10369">
      <c r="A10369" s="9"/>
      <c r="B10369" s="15"/>
      <c r="C10369" s="9">
        <f>IFERROR(__xludf.DUMMYFUNCTION("""COMPUTED_VALUE"""),45035.1720383217)</f>
        <v>45035.17204</v>
      </c>
      <c r="D10369" s="15">
        <f>IFERROR(__xludf.DUMMYFUNCTION("""COMPUTED_VALUE"""),1.046)</f>
        <v>1.046</v>
      </c>
      <c r="E10369" s="16">
        <f>IFERROR(__xludf.DUMMYFUNCTION("""COMPUTED_VALUE"""),64.0)</f>
        <v>64</v>
      </c>
      <c r="F10369" s="19" t="str">
        <f>IFERROR(__xludf.DUMMYFUNCTION("""COMPUTED_VALUE"""),"BLUE")</f>
        <v>BLUE</v>
      </c>
      <c r="G10369" s="20" t="str">
        <f>IFERROR(__xludf.DUMMYFUNCTION("""COMPUTED_VALUE"""),"Uncle Sams Cider (04/04/2023)")</f>
        <v>Uncle Sams Cider (04/04/2023)</v>
      </c>
      <c r="H10369" s="19"/>
    </row>
    <row r="10370">
      <c r="A10370" s="9"/>
      <c r="B10370" s="15"/>
      <c r="C10370" s="9">
        <f>IFERROR(__xludf.DUMMYFUNCTION("""COMPUTED_VALUE"""),45035.1616175463)</f>
        <v>45035.16162</v>
      </c>
      <c r="D10370" s="15">
        <f>IFERROR(__xludf.DUMMYFUNCTION("""COMPUTED_VALUE"""),1.046)</f>
        <v>1.046</v>
      </c>
      <c r="E10370" s="16">
        <f>IFERROR(__xludf.DUMMYFUNCTION("""COMPUTED_VALUE"""),64.0)</f>
        <v>64</v>
      </c>
      <c r="F10370" s="19" t="str">
        <f>IFERROR(__xludf.DUMMYFUNCTION("""COMPUTED_VALUE"""),"BLUE")</f>
        <v>BLUE</v>
      </c>
      <c r="G10370" s="20" t="str">
        <f>IFERROR(__xludf.DUMMYFUNCTION("""COMPUTED_VALUE"""),"Uncle Sams Cider (04/04/2023)")</f>
        <v>Uncle Sams Cider (04/04/2023)</v>
      </c>
      <c r="H10370" s="19"/>
    </row>
    <row r="10371">
      <c r="A10371" s="9"/>
      <c r="B10371" s="15"/>
      <c r="C10371" s="9">
        <f>IFERROR(__xludf.DUMMYFUNCTION("""COMPUTED_VALUE"""),45035.1511968171)</f>
        <v>45035.1512</v>
      </c>
      <c r="D10371" s="15">
        <f>IFERROR(__xludf.DUMMYFUNCTION("""COMPUTED_VALUE"""),1.046)</f>
        <v>1.046</v>
      </c>
      <c r="E10371" s="16">
        <f>IFERROR(__xludf.DUMMYFUNCTION("""COMPUTED_VALUE"""),64.0)</f>
        <v>64</v>
      </c>
      <c r="F10371" s="19" t="str">
        <f>IFERROR(__xludf.DUMMYFUNCTION("""COMPUTED_VALUE"""),"BLUE")</f>
        <v>BLUE</v>
      </c>
      <c r="G10371" s="20" t="str">
        <f>IFERROR(__xludf.DUMMYFUNCTION("""COMPUTED_VALUE"""),"Uncle Sams Cider (04/04/2023)")</f>
        <v>Uncle Sams Cider (04/04/2023)</v>
      </c>
      <c r="H10371" s="19"/>
    </row>
    <row r="10372">
      <c r="A10372" s="9"/>
      <c r="B10372" s="15"/>
      <c r="C10372" s="9">
        <f>IFERROR(__xludf.DUMMYFUNCTION("""COMPUTED_VALUE"""),45035.1407769675)</f>
        <v>45035.14078</v>
      </c>
      <c r="D10372" s="15">
        <f>IFERROR(__xludf.DUMMYFUNCTION("""COMPUTED_VALUE"""),1.046)</f>
        <v>1.046</v>
      </c>
      <c r="E10372" s="16">
        <f>IFERROR(__xludf.DUMMYFUNCTION("""COMPUTED_VALUE"""),64.0)</f>
        <v>64</v>
      </c>
      <c r="F10372" s="19" t="str">
        <f>IFERROR(__xludf.DUMMYFUNCTION("""COMPUTED_VALUE"""),"BLUE")</f>
        <v>BLUE</v>
      </c>
      <c r="G10372" s="20" t="str">
        <f>IFERROR(__xludf.DUMMYFUNCTION("""COMPUTED_VALUE"""),"Uncle Sams Cider (04/04/2023)")</f>
        <v>Uncle Sams Cider (04/04/2023)</v>
      </c>
      <c r="H10372" s="19"/>
    </row>
    <row r="10373">
      <c r="A10373" s="9"/>
      <c r="B10373" s="15"/>
      <c r="C10373" s="9">
        <f>IFERROR(__xludf.DUMMYFUNCTION("""COMPUTED_VALUE"""),45035.1303549537)</f>
        <v>45035.13035</v>
      </c>
      <c r="D10373" s="15">
        <f>IFERROR(__xludf.DUMMYFUNCTION("""COMPUTED_VALUE"""),1.046)</f>
        <v>1.046</v>
      </c>
      <c r="E10373" s="16">
        <f>IFERROR(__xludf.DUMMYFUNCTION("""COMPUTED_VALUE"""),64.0)</f>
        <v>64</v>
      </c>
      <c r="F10373" s="19" t="str">
        <f>IFERROR(__xludf.DUMMYFUNCTION("""COMPUTED_VALUE"""),"BLUE")</f>
        <v>BLUE</v>
      </c>
      <c r="G10373" s="20" t="str">
        <f>IFERROR(__xludf.DUMMYFUNCTION("""COMPUTED_VALUE"""),"Uncle Sams Cider (04/04/2023)")</f>
        <v>Uncle Sams Cider (04/04/2023)</v>
      </c>
      <c r="H10373" s="19"/>
    </row>
    <row r="10374">
      <c r="A10374" s="9"/>
      <c r="B10374" s="15"/>
      <c r="C10374" s="9">
        <f>IFERROR(__xludf.DUMMYFUNCTION("""COMPUTED_VALUE"""),45035.119933368)</f>
        <v>45035.11993</v>
      </c>
      <c r="D10374" s="15">
        <f>IFERROR(__xludf.DUMMYFUNCTION("""COMPUTED_VALUE"""),1.046)</f>
        <v>1.046</v>
      </c>
      <c r="E10374" s="16">
        <f>IFERROR(__xludf.DUMMYFUNCTION("""COMPUTED_VALUE"""),64.0)</f>
        <v>64</v>
      </c>
      <c r="F10374" s="19" t="str">
        <f>IFERROR(__xludf.DUMMYFUNCTION("""COMPUTED_VALUE"""),"BLUE")</f>
        <v>BLUE</v>
      </c>
      <c r="G10374" s="20" t="str">
        <f>IFERROR(__xludf.DUMMYFUNCTION("""COMPUTED_VALUE"""),"Uncle Sams Cider (04/04/2023)")</f>
        <v>Uncle Sams Cider (04/04/2023)</v>
      </c>
      <c r="H10374" s="19"/>
    </row>
    <row r="10375">
      <c r="A10375" s="9"/>
      <c r="B10375" s="15"/>
      <c r="C10375" s="9">
        <f>IFERROR(__xludf.DUMMYFUNCTION("""COMPUTED_VALUE"""),45035.1095117361)</f>
        <v>45035.10951</v>
      </c>
      <c r="D10375" s="15">
        <f>IFERROR(__xludf.DUMMYFUNCTION("""COMPUTED_VALUE"""),1.046)</f>
        <v>1.046</v>
      </c>
      <c r="E10375" s="16">
        <f>IFERROR(__xludf.DUMMYFUNCTION("""COMPUTED_VALUE"""),64.0)</f>
        <v>64</v>
      </c>
      <c r="F10375" s="19" t="str">
        <f>IFERROR(__xludf.DUMMYFUNCTION("""COMPUTED_VALUE"""),"BLUE")</f>
        <v>BLUE</v>
      </c>
      <c r="G10375" s="20" t="str">
        <f>IFERROR(__xludf.DUMMYFUNCTION("""COMPUTED_VALUE"""),"Uncle Sams Cider (04/04/2023)")</f>
        <v>Uncle Sams Cider (04/04/2023)</v>
      </c>
      <c r="H10375" s="19"/>
    </row>
    <row r="10376">
      <c r="A10376" s="9"/>
      <c r="B10376" s="15"/>
      <c r="C10376" s="9">
        <f>IFERROR(__xludf.DUMMYFUNCTION("""COMPUTED_VALUE"""),45035.0990896759)</f>
        <v>45035.09909</v>
      </c>
      <c r="D10376" s="15">
        <f>IFERROR(__xludf.DUMMYFUNCTION("""COMPUTED_VALUE"""),1.046)</f>
        <v>1.046</v>
      </c>
      <c r="E10376" s="16">
        <f>IFERROR(__xludf.DUMMYFUNCTION("""COMPUTED_VALUE"""),64.0)</f>
        <v>64</v>
      </c>
      <c r="F10376" s="19" t="str">
        <f>IFERROR(__xludf.DUMMYFUNCTION("""COMPUTED_VALUE"""),"BLUE")</f>
        <v>BLUE</v>
      </c>
      <c r="G10376" s="20" t="str">
        <f>IFERROR(__xludf.DUMMYFUNCTION("""COMPUTED_VALUE"""),"Uncle Sams Cider (04/04/2023)")</f>
        <v>Uncle Sams Cider (04/04/2023)</v>
      </c>
      <c r="H10376" s="19"/>
    </row>
    <row r="10377">
      <c r="A10377" s="9"/>
      <c r="B10377" s="15"/>
      <c r="C10377" s="9">
        <f>IFERROR(__xludf.DUMMYFUNCTION("""COMPUTED_VALUE"""),45035.0886687037)</f>
        <v>45035.08867</v>
      </c>
      <c r="D10377" s="15">
        <f>IFERROR(__xludf.DUMMYFUNCTION("""COMPUTED_VALUE"""),1.046)</f>
        <v>1.046</v>
      </c>
      <c r="E10377" s="16">
        <f>IFERROR(__xludf.DUMMYFUNCTION("""COMPUTED_VALUE"""),64.0)</f>
        <v>64</v>
      </c>
      <c r="F10377" s="19" t="str">
        <f>IFERROR(__xludf.DUMMYFUNCTION("""COMPUTED_VALUE"""),"BLUE")</f>
        <v>BLUE</v>
      </c>
      <c r="G10377" s="20" t="str">
        <f>IFERROR(__xludf.DUMMYFUNCTION("""COMPUTED_VALUE"""),"Uncle Sams Cider (04/04/2023)")</f>
        <v>Uncle Sams Cider (04/04/2023)</v>
      </c>
      <c r="H10377" s="19"/>
    </row>
    <row r="10378">
      <c r="A10378" s="9"/>
      <c r="B10378" s="15"/>
      <c r="C10378" s="9">
        <f>IFERROR(__xludf.DUMMYFUNCTION("""COMPUTED_VALUE"""),45035.0782475578)</f>
        <v>45035.07825</v>
      </c>
      <c r="D10378" s="15">
        <f>IFERROR(__xludf.DUMMYFUNCTION("""COMPUTED_VALUE"""),1.046)</f>
        <v>1.046</v>
      </c>
      <c r="E10378" s="16">
        <f>IFERROR(__xludf.DUMMYFUNCTION("""COMPUTED_VALUE"""),64.0)</f>
        <v>64</v>
      </c>
      <c r="F10378" s="19" t="str">
        <f>IFERROR(__xludf.DUMMYFUNCTION("""COMPUTED_VALUE"""),"BLUE")</f>
        <v>BLUE</v>
      </c>
      <c r="G10378" s="20" t="str">
        <f>IFERROR(__xludf.DUMMYFUNCTION("""COMPUTED_VALUE"""),"Uncle Sams Cider (04/04/2023)")</f>
        <v>Uncle Sams Cider (04/04/2023)</v>
      </c>
      <c r="H10378" s="19"/>
    </row>
    <row r="10379">
      <c r="A10379" s="9"/>
      <c r="B10379" s="15"/>
      <c r="C10379" s="9">
        <f>IFERROR(__xludf.DUMMYFUNCTION("""COMPUTED_VALUE"""),45035.0678269097)</f>
        <v>45035.06783</v>
      </c>
      <c r="D10379" s="15">
        <f>IFERROR(__xludf.DUMMYFUNCTION("""COMPUTED_VALUE"""),1.046)</f>
        <v>1.046</v>
      </c>
      <c r="E10379" s="16">
        <f>IFERROR(__xludf.DUMMYFUNCTION("""COMPUTED_VALUE"""),64.0)</f>
        <v>64</v>
      </c>
      <c r="F10379" s="19" t="str">
        <f>IFERROR(__xludf.DUMMYFUNCTION("""COMPUTED_VALUE"""),"BLUE")</f>
        <v>BLUE</v>
      </c>
      <c r="G10379" s="20" t="str">
        <f>IFERROR(__xludf.DUMMYFUNCTION("""COMPUTED_VALUE"""),"Uncle Sams Cider (04/04/2023)")</f>
        <v>Uncle Sams Cider (04/04/2023)</v>
      </c>
      <c r="H10379" s="19"/>
    </row>
    <row r="10380">
      <c r="A10380" s="9"/>
      <c r="B10380" s="15"/>
      <c r="C10380" s="9">
        <f>IFERROR(__xludf.DUMMYFUNCTION("""COMPUTED_VALUE"""),45035.0574070138)</f>
        <v>45035.05741</v>
      </c>
      <c r="D10380" s="15">
        <f>IFERROR(__xludf.DUMMYFUNCTION("""COMPUTED_VALUE"""),1.046)</f>
        <v>1.046</v>
      </c>
      <c r="E10380" s="16">
        <f>IFERROR(__xludf.DUMMYFUNCTION("""COMPUTED_VALUE"""),64.0)</f>
        <v>64</v>
      </c>
      <c r="F10380" s="19" t="str">
        <f>IFERROR(__xludf.DUMMYFUNCTION("""COMPUTED_VALUE"""),"BLUE")</f>
        <v>BLUE</v>
      </c>
      <c r="G10380" s="20" t="str">
        <f>IFERROR(__xludf.DUMMYFUNCTION("""COMPUTED_VALUE"""),"Uncle Sams Cider (04/04/2023)")</f>
        <v>Uncle Sams Cider (04/04/2023)</v>
      </c>
      <c r="H10380" s="19"/>
    </row>
    <row r="10381">
      <c r="A10381" s="9"/>
      <c r="B10381" s="15"/>
      <c r="C10381" s="9">
        <f>IFERROR(__xludf.DUMMYFUNCTION("""COMPUTED_VALUE"""),45035.0469865625)</f>
        <v>45035.04699</v>
      </c>
      <c r="D10381" s="15">
        <f>IFERROR(__xludf.DUMMYFUNCTION("""COMPUTED_VALUE"""),1.046)</f>
        <v>1.046</v>
      </c>
      <c r="E10381" s="16">
        <f>IFERROR(__xludf.DUMMYFUNCTION("""COMPUTED_VALUE"""),64.0)</f>
        <v>64</v>
      </c>
      <c r="F10381" s="19" t="str">
        <f>IFERROR(__xludf.DUMMYFUNCTION("""COMPUTED_VALUE"""),"BLUE")</f>
        <v>BLUE</v>
      </c>
      <c r="G10381" s="20" t="str">
        <f>IFERROR(__xludf.DUMMYFUNCTION("""COMPUTED_VALUE"""),"Uncle Sams Cider (04/04/2023)")</f>
        <v>Uncle Sams Cider (04/04/2023)</v>
      </c>
      <c r="H10381" s="19"/>
    </row>
    <row r="10382">
      <c r="A10382" s="9"/>
      <c r="B10382" s="15"/>
      <c r="C10382" s="9">
        <f>IFERROR(__xludf.DUMMYFUNCTION("""COMPUTED_VALUE"""),45035.0365516435)</f>
        <v>45035.03655</v>
      </c>
      <c r="D10382" s="15">
        <f>IFERROR(__xludf.DUMMYFUNCTION("""COMPUTED_VALUE"""),1.046)</f>
        <v>1.046</v>
      </c>
      <c r="E10382" s="16">
        <f>IFERROR(__xludf.DUMMYFUNCTION("""COMPUTED_VALUE"""),64.0)</f>
        <v>64</v>
      </c>
      <c r="F10382" s="19" t="str">
        <f>IFERROR(__xludf.DUMMYFUNCTION("""COMPUTED_VALUE"""),"BLUE")</f>
        <v>BLUE</v>
      </c>
      <c r="G10382" s="20" t="str">
        <f>IFERROR(__xludf.DUMMYFUNCTION("""COMPUTED_VALUE"""),"Uncle Sams Cider (04/04/2023)")</f>
        <v>Uncle Sams Cider (04/04/2023)</v>
      </c>
      <c r="H10382" s="19"/>
    </row>
    <row r="10383">
      <c r="A10383" s="9"/>
      <c r="B10383" s="15"/>
      <c r="C10383" s="9">
        <f>IFERROR(__xludf.DUMMYFUNCTION("""COMPUTED_VALUE"""),45035.0261303472)</f>
        <v>45035.02613</v>
      </c>
      <c r="D10383" s="15">
        <f>IFERROR(__xludf.DUMMYFUNCTION("""COMPUTED_VALUE"""),1.047)</f>
        <v>1.047</v>
      </c>
      <c r="E10383" s="16">
        <f>IFERROR(__xludf.DUMMYFUNCTION("""COMPUTED_VALUE"""),64.0)</f>
        <v>64</v>
      </c>
      <c r="F10383" s="19" t="str">
        <f>IFERROR(__xludf.DUMMYFUNCTION("""COMPUTED_VALUE"""),"BLUE")</f>
        <v>BLUE</v>
      </c>
      <c r="G10383" s="20" t="str">
        <f>IFERROR(__xludf.DUMMYFUNCTION("""COMPUTED_VALUE"""),"Uncle Sams Cider (04/04/2023)")</f>
        <v>Uncle Sams Cider (04/04/2023)</v>
      </c>
      <c r="H10383" s="19"/>
    </row>
    <row r="10384">
      <c r="A10384" s="9"/>
      <c r="B10384" s="15"/>
      <c r="C10384" s="9">
        <f>IFERROR(__xludf.DUMMYFUNCTION("""COMPUTED_VALUE"""),45035.0157092939)</f>
        <v>45035.01571</v>
      </c>
      <c r="D10384" s="15">
        <f>IFERROR(__xludf.DUMMYFUNCTION("""COMPUTED_VALUE"""),1.046)</f>
        <v>1.046</v>
      </c>
      <c r="E10384" s="16">
        <f>IFERROR(__xludf.DUMMYFUNCTION("""COMPUTED_VALUE"""),64.0)</f>
        <v>64</v>
      </c>
      <c r="F10384" s="19" t="str">
        <f>IFERROR(__xludf.DUMMYFUNCTION("""COMPUTED_VALUE"""),"BLUE")</f>
        <v>BLUE</v>
      </c>
      <c r="G10384" s="20" t="str">
        <f>IFERROR(__xludf.DUMMYFUNCTION("""COMPUTED_VALUE"""),"Uncle Sams Cider (04/04/2023)")</f>
        <v>Uncle Sams Cider (04/04/2023)</v>
      </c>
      <c r="H10384" s="19"/>
    </row>
    <row r="10385">
      <c r="A10385" s="9"/>
      <c r="B10385" s="15"/>
      <c r="C10385" s="9">
        <f>IFERROR(__xludf.DUMMYFUNCTION("""COMPUTED_VALUE"""),45035.0052894444)</f>
        <v>45035.00529</v>
      </c>
      <c r="D10385" s="15">
        <f>IFERROR(__xludf.DUMMYFUNCTION("""COMPUTED_VALUE"""),1.046)</f>
        <v>1.046</v>
      </c>
      <c r="E10385" s="16">
        <f>IFERROR(__xludf.DUMMYFUNCTION("""COMPUTED_VALUE"""),64.0)</f>
        <v>64</v>
      </c>
      <c r="F10385" s="19" t="str">
        <f>IFERROR(__xludf.DUMMYFUNCTION("""COMPUTED_VALUE"""),"BLUE")</f>
        <v>BLUE</v>
      </c>
      <c r="G10385" s="20" t="str">
        <f>IFERROR(__xludf.DUMMYFUNCTION("""COMPUTED_VALUE"""),"Uncle Sams Cider (04/04/2023)")</f>
        <v>Uncle Sams Cider (04/04/2023)</v>
      </c>
      <c r="H10385" s="19"/>
    </row>
    <row r="10386">
      <c r="A10386" s="9"/>
      <c r="B10386" s="15"/>
      <c r="C10386" s="9">
        <f>IFERROR(__xludf.DUMMYFUNCTION("""COMPUTED_VALUE"""),45034.9948695023)</f>
        <v>45034.99487</v>
      </c>
      <c r="D10386" s="15">
        <f>IFERROR(__xludf.DUMMYFUNCTION("""COMPUTED_VALUE"""),1.047)</f>
        <v>1.047</v>
      </c>
      <c r="E10386" s="16">
        <f>IFERROR(__xludf.DUMMYFUNCTION("""COMPUTED_VALUE"""),64.0)</f>
        <v>64</v>
      </c>
      <c r="F10386" s="19" t="str">
        <f>IFERROR(__xludf.DUMMYFUNCTION("""COMPUTED_VALUE"""),"BLUE")</f>
        <v>BLUE</v>
      </c>
      <c r="G10386" s="20" t="str">
        <f>IFERROR(__xludf.DUMMYFUNCTION("""COMPUTED_VALUE"""),"Uncle Sams Cider (04/04/2023)")</f>
        <v>Uncle Sams Cider (04/04/2023)</v>
      </c>
      <c r="H10386" s="19"/>
    </row>
    <row r="10387">
      <c r="A10387" s="9"/>
      <c r="B10387" s="15"/>
      <c r="C10387" s="9">
        <f>IFERROR(__xludf.DUMMYFUNCTION("""COMPUTED_VALUE"""),45034.9844488194)</f>
        <v>45034.98445</v>
      </c>
      <c r="D10387" s="15">
        <f>IFERROR(__xludf.DUMMYFUNCTION("""COMPUTED_VALUE"""),1.047)</f>
        <v>1.047</v>
      </c>
      <c r="E10387" s="16">
        <f>IFERROR(__xludf.DUMMYFUNCTION("""COMPUTED_VALUE"""),64.0)</f>
        <v>64</v>
      </c>
      <c r="F10387" s="19" t="str">
        <f>IFERROR(__xludf.DUMMYFUNCTION("""COMPUTED_VALUE"""),"BLUE")</f>
        <v>BLUE</v>
      </c>
      <c r="G10387" s="20" t="str">
        <f>IFERROR(__xludf.DUMMYFUNCTION("""COMPUTED_VALUE"""),"Uncle Sams Cider (04/04/2023)")</f>
        <v>Uncle Sams Cider (04/04/2023)</v>
      </c>
      <c r="H10387" s="19"/>
    </row>
    <row r="10388">
      <c r="A10388" s="9"/>
      <c r="B10388" s="15"/>
      <c r="C10388" s="9">
        <f>IFERROR(__xludf.DUMMYFUNCTION("""COMPUTED_VALUE"""),45034.974025868)</f>
        <v>45034.97403</v>
      </c>
      <c r="D10388" s="15">
        <f>IFERROR(__xludf.DUMMYFUNCTION("""COMPUTED_VALUE"""),1.047)</f>
        <v>1.047</v>
      </c>
      <c r="E10388" s="16">
        <f>IFERROR(__xludf.DUMMYFUNCTION("""COMPUTED_VALUE"""),64.0)</f>
        <v>64</v>
      </c>
      <c r="F10388" s="19" t="str">
        <f>IFERROR(__xludf.DUMMYFUNCTION("""COMPUTED_VALUE"""),"BLUE")</f>
        <v>BLUE</v>
      </c>
      <c r="G10388" s="20" t="str">
        <f>IFERROR(__xludf.DUMMYFUNCTION("""COMPUTED_VALUE"""),"Uncle Sams Cider (04/04/2023)")</f>
        <v>Uncle Sams Cider (04/04/2023)</v>
      </c>
      <c r="H10388" s="19"/>
    </row>
    <row r="10389">
      <c r="A10389" s="9"/>
      <c r="B10389" s="15"/>
      <c r="C10389" s="9">
        <f>IFERROR(__xludf.DUMMYFUNCTION("""COMPUTED_VALUE"""),45034.9636041435)</f>
        <v>45034.9636</v>
      </c>
      <c r="D10389" s="15">
        <f>IFERROR(__xludf.DUMMYFUNCTION("""COMPUTED_VALUE"""),1.047)</f>
        <v>1.047</v>
      </c>
      <c r="E10389" s="16">
        <f>IFERROR(__xludf.DUMMYFUNCTION("""COMPUTED_VALUE"""),64.0)</f>
        <v>64</v>
      </c>
      <c r="F10389" s="19" t="str">
        <f>IFERROR(__xludf.DUMMYFUNCTION("""COMPUTED_VALUE"""),"BLUE")</f>
        <v>BLUE</v>
      </c>
      <c r="G10389" s="20" t="str">
        <f>IFERROR(__xludf.DUMMYFUNCTION("""COMPUTED_VALUE"""),"Uncle Sams Cider (04/04/2023)")</f>
        <v>Uncle Sams Cider (04/04/2023)</v>
      </c>
      <c r="H10389" s="19"/>
    </row>
    <row r="10390">
      <c r="A10390" s="9"/>
      <c r="B10390" s="15"/>
      <c r="C10390" s="9">
        <f>IFERROR(__xludf.DUMMYFUNCTION("""COMPUTED_VALUE"""),45034.9531826157)</f>
        <v>45034.95318</v>
      </c>
      <c r="D10390" s="15">
        <f>IFERROR(__xludf.DUMMYFUNCTION("""COMPUTED_VALUE"""),1.047)</f>
        <v>1.047</v>
      </c>
      <c r="E10390" s="16">
        <f>IFERROR(__xludf.DUMMYFUNCTION("""COMPUTED_VALUE"""),64.0)</f>
        <v>64</v>
      </c>
      <c r="F10390" s="19" t="str">
        <f>IFERROR(__xludf.DUMMYFUNCTION("""COMPUTED_VALUE"""),"BLUE")</f>
        <v>BLUE</v>
      </c>
      <c r="G10390" s="20" t="str">
        <f>IFERROR(__xludf.DUMMYFUNCTION("""COMPUTED_VALUE"""),"Uncle Sams Cider (04/04/2023)")</f>
        <v>Uncle Sams Cider (04/04/2023)</v>
      </c>
      <c r="H10390" s="19"/>
    </row>
    <row r="10391">
      <c r="A10391" s="9"/>
      <c r="B10391" s="15"/>
      <c r="C10391" s="9">
        <f>IFERROR(__xludf.DUMMYFUNCTION("""COMPUTED_VALUE"""),45034.9427609722)</f>
        <v>45034.94276</v>
      </c>
      <c r="D10391" s="15">
        <f>IFERROR(__xludf.DUMMYFUNCTION("""COMPUTED_VALUE"""),1.047)</f>
        <v>1.047</v>
      </c>
      <c r="E10391" s="16">
        <f>IFERROR(__xludf.DUMMYFUNCTION("""COMPUTED_VALUE"""),64.0)</f>
        <v>64</v>
      </c>
      <c r="F10391" s="19" t="str">
        <f>IFERROR(__xludf.DUMMYFUNCTION("""COMPUTED_VALUE"""),"BLUE")</f>
        <v>BLUE</v>
      </c>
      <c r="G10391" s="20" t="str">
        <f>IFERROR(__xludf.DUMMYFUNCTION("""COMPUTED_VALUE"""),"Uncle Sams Cider (04/04/2023)")</f>
        <v>Uncle Sams Cider (04/04/2023)</v>
      </c>
      <c r="H10391" s="19"/>
    </row>
    <row r="10392">
      <c r="A10392" s="9"/>
      <c r="B10392" s="15"/>
      <c r="C10392" s="9">
        <f>IFERROR(__xludf.DUMMYFUNCTION("""COMPUTED_VALUE"""),45034.9323379398)</f>
        <v>45034.93234</v>
      </c>
      <c r="D10392" s="15">
        <f>IFERROR(__xludf.DUMMYFUNCTION("""COMPUTED_VALUE"""),1.047)</f>
        <v>1.047</v>
      </c>
      <c r="E10392" s="16">
        <f>IFERROR(__xludf.DUMMYFUNCTION("""COMPUTED_VALUE"""),64.0)</f>
        <v>64</v>
      </c>
      <c r="F10392" s="19" t="str">
        <f>IFERROR(__xludf.DUMMYFUNCTION("""COMPUTED_VALUE"""),"BLUE")</f>
        <v>BLUE</v>
      </c>
      <c r="G10392" s="20" t="str">
        <f>IFERROR(__xludf.DUMMYFUNCTION("""COMPUTED_VALUE"""),"Uncle Sams Cider (04/04/2023)")</f>
        <v>Uncle Sams Cider (04/04/2023)</v>
      </c>
      <c r="H10392" s="19"/>
    </row>
    <row r="10393">
      <c r="A10393" s="9"/>
      <c r="B10393" s="15"/>
      <c r="C10393" s="9">
        <f>IFERROR(__xludf.DUMMYFUNCTION("""COMPUTED_VALUE"""),45034.9219052314)</f>
        <v>45034.92191</v>
      </c>
      <c r="D10393" s="15">
        <f>IFERROR(__xludf.DUMMYFUNCTION("""COMPUTED_VALUE"""),1.047)</f>
        <v>1.047</v>
      </c>
      <c r="E10393" s="16">
        <f>IFERROR(__xludf.DUMMYFUNCTION("""COMPUTED_VALUE"""),64.0)</f>
        <v>64</v>
      </c>
      <c r="F10393" s="19" t="str">
        <f>IFERROR(__xludf.DUMMYFUNCTION("""COMPUTED_VALUE"""),"BLUE")</f>
        <v>BLUE</v>
      </c>
      <c r="G10393" s="20" t="str">
        <f>IFERROR(__xludf.DUMMYFUNCTION("""COMPUTED_VALUE"""),"Uncle Sams Cider (04/04/2023)")</f>
        <v>Uncle Sams Cider (04/04/2023)</v>
      </c>
      <c r="H10393" s="19"/>
    </row>
    <row r="10394">
      <c r="A10394" s="9"/>
      <c r="B10394" s="15"/>
      <c r="C10394" s="9">
        <f>IFERROR(__xludf.DUMMYFUNCTION("""COMPUTED_VALUE"""),45034.9114847569)</f>
        <v>45034.91148</v>
      </c>
      <c r="D10394" s="15">
        <f>IFERROR(__xludf.DUMMYFUNCTION("""COMPUTED_VALUE"""),1.047)</f>
        <v>1.047</v>
      </c>
      <c r="E10394" s="16">
        <f>IFERROR(__xludf.DUMMYFUNCTION("""COMPUTED_VALUE"""),64.0)</f>
        <v>64</v>
      </c>
      <c r="F10394" s="19" t="str">
        <f>IFERROR(__xludf.DUMMYFUNCTION("""COMPUTED_VALUE"""),"BLUE")</f>
        <v>BLUE</v>
      </c>
      <c r="G10394" s="20" t="str">
        <f>IFERROR(__xludf.DUMMYFUNCTION("""COMPUTED_VALUE"""),"Uncle Sams Cider (04/04/2023)")</f>
        <v>Uncle Sams Cider (04/04/2023)</v>
      </c>
      <c r="H10394" s="19"/>
    </row>
    <row r="10395">
      <c r="A10395" s="9"/>
      <c r="B10395" s="15"/>
      <c r="C10395" s="9">
        <f>IFERROR(__xludf.DUMMYFUNCTION("""COMPUTED_VALUE"""),45034.9010519097)</f>
        <v>45034.90105</v>
      </c>
      <c r="D10395" s="15">
        <f>IFERROR(__xludf.DUMMYFUNCTION("""COMPUTED_VALUE"""),1.047)</f>
        <v>1.047</v>
      </c>
      <c r="E10395" s="16">
        <f>IFERROR(__xludf.DUMMYFUNCTION("""COMPUTED_VALUE"""),64.0)</f>
        <v>64</v>
      </c>
      <c r="F10395" s="19" t="str">
        <f>IFERROR(__xludf.DUMMYFUNCTION("""COMPUTED_VALUE"""),"BLUE")</f>
        <v>BLUE</v>
      </c>
      <c r="G10395" s="20" t="str">
        <f>IFERROR(__xludf.DUMMYFUNCTION("""COMPUTED_VALUE"""),"Uncle Sams Cider (04/04/2023)")</f>
        <v>Uncle Sams Cider (04/04/2023)</v>
      </c>
      <c r="H10395" s="19"/>
    </row>
    <row r="10396">
      <c r="A10396" s="9"/>
      <c r="B10396" s="15"/>
      <c r="C10396" s="9">
        <f>IFERROR(__xludf.DUMMYFUNCTION("""COMPUTED_VALUE"""),45034.8906202662)</f>
        <v>45034.89062</v>
      </c>
      <c r="D10396" s="15">
        <f>IFERROR(__xludf.DUMMYFUNCTION("""COMPUTED_VALUE"""),1.047)</f>
        <v>1.047</v>
      </c>
      <c r="E10396" s="16">
        <f>IFERROR(__xludf.DUMMYFUNCTION("""COMPUTED_VALUE"""),64.0)</f>
        <v>64</v>
      </c>
      <c r="F10396" s="19" t="str">
        <f>IFERROR(__xludf.DUMMYFUNCTION("""COMPUTED_VALUE"""),"BLUE")</f>
        <v>BLUE</v>
      </c>
      <c r="G10396" s="20" t="str">
        <f>IFERROR(__xludf.DUMMYFUNCTION("""COMPUTED_VALUE"""),"Uncle Sams Cider (04/04/2023)")</f>
        <v>Uncle Sams Cider (04/04/2023)</v>
      </c>
      <c r="H10396" s="19"/>
    </row>
    <row r="10397">
      <c r="A10397" s="9"/>
      <c r="B10397" s="15"/>
      <c r="C10397" s="9">
        <f>IFERROR(__xludf.DUMMYFUNCTION("""COMPUTED_VALUE"""),45034.8801999884)</f>
        <v>45034.8802</v>
      </c>
      <c r="D10397" s="15">
        <f>IFERROR(__xludf.DUMMYFUNCTION("""COMPUTED_VALUE"""),1.047)</f>
        <v>1.047</v>
      </c>
      <c r="E10397" s="16">
        <f>IFERROR(__xludf.DUMMYFUNCTION("""COMPUTED_VALUE"""),64.0)</f>
        <v>64</v>
      </c>
      <c r="F10397" s="19" t="str">
        <f>IFERROR(__xludf.DUMMYFUNCTION("""COMPUTED_VALUE"""),"BLUE")</f>
        <v>BLUE</v>
      </c>
      <c r="G10397" s="20" t="str">
        <f>IFERROR(__xludf.DUMMYFUNCTION("""COMPUTED_VALUE"""),"Uncle Sams Cider (04/04/2023)")</f>
        <v>Uncle Sams Cider (04/04/2023)</v>
      </c>
      <c r="H10397" s="19"/>
    </row>
    <row r="10398">
      <c r="A10398" s="9"/>
      <c r="B10398" s="15"/>
      <c r="C10398" s="9">
        <f>IFERROR(__xludf.DUMMYFUNCTION("""COMPUTED_VALUE"""),45034.8697764236)</f>
        <v>45034.86978</v>
      </c>
      <c r="D10398" s="15">
        <f>IFERROR(__xludf.DUMMYFUNCTION("""COMPUTED_VALUE"""),1.047)</f>
        <v>1.047</v>
      </c>
      <c r="E10398" s="16">
        <f>IFERROR(__xludf.DUMMYFUNCTION("""COMPUTED_VALUE"""),64.0)</f>
        <v>64</v>
      </c>
      <c r="F10398" s="19" t="str">
        <f>IFERROR(__xludf.DUMMYFUNCTION("""COMPUTED_VALUE"""),"BLUE")</f>
        <v>BLUE</v>
      </c>
      <c r="G10398" s="20" t="str">
        <f>IFERROR(__xludf.DUMMYFUNCTION("""COMPUTED_VALUE"""),"Uncle Sams Cider (04/04/2023)")</f>
        <v>Uncle Sams Cider (04/04/2023)</v>
      </c>
      <c r="H10398" s="19"/>
    </row>
    <row r="10399">
      <c r="A10399" s="9"/>
      <c r="B10399" s="15"/>
      <c r="C10399" s="9">
        <f>IFERROR(__xludf.DUMMYFUNCTION("""COMPUTED_VALUE"""),45034.8593534606)</f>
        <v>45034.85935</v>
      </c>
      <c r="D10399" s="15">
        <f>IFERROR(__xludf.DUMMYFUNCTION("""COMPUTED_VALUE"""),1.047)</f>
        <v>1.047</v>
      </c>
      <c r="E10399" s="16">
        <f>IFERROR(__xludf.DUMMYFUNCTION("""COMPUTED_VALUE"""),64.0)</f>
        <v>64</v>
      </c>
      <c r="F10399" s="19" t="str">
        <f>IFERROR(__xludf.DUMMYFUNCTION("""COMPUTED_VALUE"""),"BLUE")</f>
        <v>BLUE</v>
      </c>
      <c r="G10399" s="20" t="str">
        <f>IFERROR(__xludf.DUMMYFUNCTION("""COMPUTED_VALUE"""),"Uncle Sams Cider (04/04/2023)")</f>
        <v>Uncle Sams Cider (04/04/2023)</v>
      </c>
      <c r="H10399" s="19"/>
    </row>
    <row r="10400">
      <c r="A10400" s="9"/>
      <c r="B10400" s="15"/>
      <c r="C10400" s="9">
        <f>IFERROR(__xludf.DUMMYFUNCTION("""COMPUTED_VALUE"""),45034.848931875)</f>
        <v>45034.84893</v>
      </c>
      <c r="D10400" s="15">
        <f>IFERROR(__xludf.DUMMYFUNCTION("""COMPUTED_VALUE"""),1.047)</f>
        <v>1.047</v>
      </c>
      <c r="E10400" s="16">
        <f>IFERROR(__xludf.DUMMYFUNCTION("""COMPUTED_VALUE"""),64.0)</f>
        <v>64</v>
      </c>
      <c r="F10400" s="19" t="str">
        <f>IFERROR(__xludf.DUMMYFUNCTION("""COMPUTED_VALUE"""),"BLUE")</f>
        <v>BLUE</v>
      </c>
      <c r="G10400" s="20" t="str">
        <f>IFERROR(__xludf.DUMMYFUNCTION("""COMPUTED_VALUE"""),"Uncle Sams Cider (04/04/2023)")</f>
        <v>Uncle Sams Cider (04/04/2023)</v>
      </c>
      <c r="H10400" s="19"/>
    </row>
    <row r="10401">
      <c r="A10401" s="9"/>
      <c r="B10401" s="15"/>
      <c r="C10401" s="9">
        <f>IFERROR(__xludf.DUMMYFUNCTION("""COMPUTED_VALUE"""),45034.8385114351)</f>
        <v>45034.83851</v>
      </c>
      <c r="D10401" s="15">
        <f>IFERROR(__xludf.DUMMYFUNCTION("""COMPUTED_VALUE"""),1.047)</f>
        <v>1.047</v>
      </c>
      <c r="E10401" s="16">
        <f>IFERROR(__xludf.DUMMYFUNCTION("""COMPUTED_VALUE"""),64.0)</f>
        <v>64</v>
      </c>
      <c r="F10401" s="19" t="str">
        <f>IFERROR(__xludf.DUMMYFUNCTION("""COMPUTED_VALUE"""),"BLUE")</f>
        <v>BLUE</v>
      </c>
      <c r="G10401" s="20" t="str">
        <f>IFERROR(__xludf.DUMMYFUNCTION("""COMPUTED_VALUE"""),"Uncle Sams Cider (04/04/2023)")</f>
        <v>Uncle Sams Cider (04/04/2023)</v>
      </c>
      <c r="H10401" s="19"/>
    </row>
    <row r="10402">
      <c r="A10402" s="9"/>
      <c r="B10402" s="15"/>
      <c r="C10402" s="9">
        <f>IFERROR(__xludf.DUMMYFUNCTION("""COMPUTED_VALUE"""),45034.828078831)</f>
        <v>45034.82808</v>
      </c>
      <c r="D10402" s="15">
        <f>IFERROR(__xludf.DUMMYFUNCTION("""COMPUTED_VALUE"""),1.047)</f>
        <v>1.047</v>
      </c>
      <c r="E10402" s="16">
        <f>IFERROR(__xludf.DUMMYFUNCTION("""COMPUTED_VALUE"""),64.0)</f>
        <v>64</v>
      </c>
      <c r="F10402" s="19" t="str">
        <f>IFERROR(__xludf.DUMMYFUNCTION("""COMPUTED_VALUE"""),"BLUE")</f>
        <v>BLUE</v>
      </c>
      <c r="G10402" s="20" t="str">
        <f>IFERROR(__xludf.DUMMYFUNCTION("""COMPUTED_VALUE"""),"Uncle Sams Cider (04/04/2023)")</f>
        <v>Uncle Sams Cider (04/04/2023)</v>
      </c>
      <c r="H10402" s="19"/>
    </row>
    <row r="10403">
      <c r="A10403" s="9"/>
      <c r="B10403" s="15"/>
      <c r="C10403" s="9">
        <f>IFERROR(__xludf.DUMMYFUNCTION("""COMPUTED_VALUE"""),45034.8176553935)</f>
        <v>45034.81766</v>
      </c>
      <c r="D10403" s="15">
        <f>IFERROR(__xludf.DUMMYFUNCTION("""COMPUTED_VALUE"""),1.047)</f>
        <v>1.047</v>
      </c>
      <c r="E10403" s="16">
        <f>IFERROR(__xludf.DUMMYFUNCTION("""COMPUTED_VALUE"""),64.0)</f>
        <v>64</v>
      </c>
      <c r="F10403" s="19" t="str">
        <f>IFERROR(__xludf.DUMMYFUNCTION("""COMPUTED_VALUE"""),"BLUE")</f>
        <v>BLUE</v>
      </c>
      <c r="G10403" s="20" t="str">
        <f>IFERROR(__xludf.DUMMYFUNCTION("""COMPUTED_VALUE"""),"Uncle Sams Cider (04/04/2023)")</f>
        <v>Uncle Sams Cider (04/04/2023)</v>
      </c>
      <c r="H10403" s="19"/>
    </row>
    <row r="10404">
      <c r="A10404" s="9"/>
      <c r="B10404" s="15"/>
      <c r="C10404" s="9">
        <f>IFERROR(__xludf.DUMMYFUNCTION("""COMPUTED_VALUE"""),45034.8072227662)</f>
        <v>45034.80722</v>
      </c>
      <c r="D10404" s="15">
        <f>IFERROR(__xludf.DUMMYFUNCTION("""COMPUTED_VALUE"""),1.047)</f>
        <v>1.047</v>
      </c>
      <c r="E10404" s="16">
        <f>IFERROR(__xludf.DUMMYFUNCTION("""COMPUTED_VALUE"""),64.0)</f>
        <v>64</v>
      </c>
      <c r="F10404" s="19" t="str">
        <f>IFERROR(__xludf.DUMMYFUNCTION("""COMPUTED_VALUE"""),"BLUE")</f>
        <v>BLUE</v>
      </c>
      <c r="G10404" s="20" t="str">
        <f>IFERROR(__xludf.DUMMYFUNCTION("""COMPUTED_VALUE"""),"Uncle Sams Cider (04/04/2023)")</f>
        <v>Uncle Sams Cider (04/04/2023)</v>
      </c>
      <c r="H10404" s="19"/>
    </row>
    <row r="10405">
      <c r="A10405" s="9"/>
      <c r="B10405" s="15"/>
      <c r="C10405" s="9">
        <f>IFERROR(__xludf.DUMMYFUNCTION("""COMPUTED_VALUE"""),45034.7968014467)</f>
        <v>45034.7968</v>
      </c>
      <c r="D10405" s="15">
        <f>IFERROR(__xludf.DUMMYFUNCTION("""COMPUTED_VALUE"""),1.047)</f>
        <v>1.047</v>
      </c>
      <c r="E10405" s="16">
        <f>IFERROR(__xludf.DUMMYFUNCTION("""COMPUTED_VALUE"""),64.0)</f>
        <v>64</v>
      </c>
      <c r="F10405" s="19" t="str">
        <f>IFERROR(__xludf.DUMMYFUNCTION("""COMPUTED_VALUE"""),"BLUE")</f>
        <v>BLUE</v>
      </c>
      <c r="G10405" s="20" t="str">
        <f>IFERROR(__xludf.DUMMYFUNCTION("""COMPUTED_VALUE"""),"Uncle Sams Cider (04/04/2023)")</f>
        <v>Uncle Sams Cider (04/04/2023)</v>
      </c>
      <c r="H10405" s="19"/>
    </row>
    <row r="10406">
      <c r="A10406" s="9"/>
      <c r="B10406" s="15"/>
      <c r="C10406" s="9">
        <f>IFERROR(__xludf.DUMMYFUNCTION("""COMPUTED_VALUE"""),45034.7863680439)</f>
        <v>45034.78637</v>
      </c>
      <c r="D10406" s="15">
        <f>IFERROR(__xludf.DUMMYFUNCTION("""COMPUTED_VALUE"""),1.047)</f>
        <v>1.047</v>
      </c>
      <c r="E10406" s="16">
        <f>IFERROR(__xludf.DUMMYFUNCTION("""COMPUTED_VALUE"""),64.0)</f>
        <v>64</v>
      </c>
      <c r="F10406" s="19" t="str">
        <f>IFERROR(__xludf.DUMMYFUNCTION("""COMPUTED_VALUE"""),"BLUE")</f>
        <v>BLUE</v>
      </c>
      <c r="G10406" s="20" t="str">
        <f>IFERROR(__xludf.DUMMYFUNCTION("""COMPUTED_VALUE"""),"Uncle Sams Cider (04/04/2023)")</f>
        <v>Uncle Sams Cider (04/04/2023)</v>
      </c>
      <c r="H10406" s="19"/>
    </row>
    <row r="10407">
      <c r="A10407" s="9"/>
      <c r="B10407" s="15"/>
      <c r="C10407" s="9">
        <f>IFERROR(__xludf.DUMMYFUNCTION("""COMPUTED_VALUE"""),45034.7759464004)</f>
        <v>45034.77595</v>
      </c>
      <c r="D10407" s="15">
        <f>IFERROR(__xludf.DUMMYFUNCTION("""COMPUTED_VALUE"""),1.047)</f>
        <v>1.047</v>
      </c>
      <c r="E10407" s="16">
        <f>IFERROR(__xludf.DUMMYFUNCTION("""COMPUTED_VALUE"""),64.0)</f>
        <v>64</v>
      </c>
      <c r="F10407" s="19" t="str">
        <f>IFERROR(__xludf.DUMMYFUNCTION("""COMPUTED_VALUE"""),"BLUE")</f>
        <v>BLUE</v>
      </c>
      <c r="G10407" s="20" t="str">
        <f>IFERROR(__xludf.DUMMYFUNCTION("""COMPUTED_VALUE"""),"Uncle Sams Cider (04/04/2023)")</f>
        <v>Uncle Sams Cider (04/04/2023)</v>
      </c>
      <c r="H10407" s="19"/>
    </row>
    <row r="10408">
      <c r="A10408" s="9"/>
      <c r="B10408" s="15"/>
      <c r="C10408" s="9">
        <f>IFERROR(__xludf.DUMMYFUNCTION("""COMPUTED_VALUE"""),45034.765525081)</f>
        <v>45034.76553</v>
      </c>
      <c r="D10408" s="15">
        <f>IFERROR(__xludf.DUMMYFUNCTION("""COMPUTED_VALUE"""),1.047)</f>
        <v>1.047</v>
      </c>
      <c r="E10408" s="16">
        <f>IFERROR(__xludf.DUMMYFUNCTION("""COMPUTED_VALUE"""),64.0)</f>
        <v>64</v>
      </c>
      <c r="F10408" s="19" t="str">
        <f>IFERROR(__xludf.DUMMYFUNCTION("""COMPUTED_VALUE"""),"BLUE")</f>
        <v>BLUE</v>
      </c>
      <c r="G10408" s="20" t="str">
        <f>IFERROR(__xludf.DUMMYFUNCTION("""COMPUTED_VALUE"""),"Uncle Sams Cider (04/04/2023)")</f>
        <v>Uncle Sams Cider (04/04/2023)</v>
      </c>
      <c r="H10408" s="19"/>
    </row>
    <row r="10409">
      <c r="A10409" s="9"/>
      <c r="B10409" s="15"/>
      <c r="C10409" s="9">
        <f>IFERROR(__xludf.DUMMYFUNCTION("""COMPUTED_VALUE"""),45034.7551049189)</f>
        <v>45034.7551</v>
      </c>
      <c r="D10409" s="15">
        <f>IFERROR(__xludf.DUMMYFUNCTION("""COMPUTED_VALUE"""),1.047)</f>
        <v>1.047</v>
      </c>
      <c r="E10409" s="16">
        <f>IFERROR(__xludf.DUMMYFUNCTION("""COMPUTED_VALUE"""),64.0)</f>
        <v>64</v>
      </c>
      <c r="F10409" s="19" t="str">
        <f>IFERROR(__xludf.DUMMYFUNCTION("""COMPUTED_VALUE"""),"BLUE")</f>
        <v>BLUE</v>
      </c>
      <c r="G10409" s="20" t="str">
        <f>IFERROR(__xludf.DUMMYFUNCTION("""COMPUTED_VALUE"""),"Uncle Sams Cider (04/04/2023)")</f>
        <v>Uncle Sams Cider (04/04/2023)</v>
      </c>
      <c r="H10409" s="19"/>
    </row>
    <row r="10410">
      <c r="A10410" s="9"/>
      <c r="B10410" s="15"/>
      <c r="C10410" s="9">
        <f>IFERROR(__xludf.DUMMYFUNCTION("""COMPUTED_VALUE"""),45034.7446731713)</f>
        <v>45034.74467</v>
      </c>
      <c r="D10410" s="15">
        <f>IFERROR(__xludf.DUMMYFUNCTION("""COMPUTED_VALUE"""),1.047)</f>
        <v>1.047</v>
      </c>
      <c r="E10410" s="16">
        <f>IFERROR(__xludf.DUMMYFUNCTION("""COMPUTED_VALUE"""),64.0)</f>
        <v>64</v>
      </c>
      <c r="F10410" s="19" t="str">
        <f>IFERROR(__xludf.DUMMYFUNCTION("""COMPUTED_VALUE"""),"BLUE")</f>
        <v>BLUE</v>
      </c>
      <c r="G10410" s="20" t="str">
        <f>IFERROR(__xludf.DUMMYFUNCTION("""COMPUTED_VALUE"""),"Uncle Sams Cider (04/04/2023)")</f>
        <v>Uncle Sams Cider (04/04/2023)</v>
      </c>
      <c r="H10410" s="19"/>
    </row>
    <row r="10411">
      <c r="A10411" s="9"/>
      <c r="B10411" s="15"/>
      <c r="C10411" s="9">
        <f>IFERROR(__xludf.DUMMYFUNCTION("""COMPUTED_VALUE"""),45034.7342515393)</f>
        <v>45034.73425</v>
      </c>
      <c r="D10411" s="15">
        <f>IFERROR(__xludf.DUMMYFUNCTION("""COMPUTED_VALUE"""),1.047)</f>
        <v>1.047</v>
      </c>
      <c r="E10411" s="16">
        <f>IFERROR(__xludf.DUMMYFUNCTION("""COMPUTED_VALUE"""),64.0)</f>
        <v>64</v>
      </c>
      <c r="F10411" s="19" t="str">
        <f>IFERROR(__xludf.DUMMYFUNCTION("""COMPUTED_VALUE"""),"BLUE")</f>
        <v>BLUE</v>
      </c>
      <c r="G10411" s="20" t="str">
        <f>IFERROR(__xludf.DUMMYFUNCTION("""COMPUTED_VALUE"""),"Uncle Sams Cider (04/04/2023)")</f>
        <v>Uncle Sams Cider (04/04/2023)</v>
      </c>
      <c r="H10411" s="19"/>
    </row>
    <row r="10412">
      <c r="A10412" s="9"/>
      <c r="B10412" s="15"/>
      <c r="C10412" s="9">
        <f>IFERROR(__xludf.DUMMYFUNCTION("""COMPUTED_VALUE"""),45034.7238315856)</f>
        <v>45034.72383</v>
      </c>
      <c r="D10412" s="15">
        <f>IFERROR(__xludf.DUMMYFUNCTION("""COMPUTED_VALUE"""),1.047)</f>
        <v>1.047</v>
      </c>
      <c r="E10412" s="16">
        <f>IFERROR(__xludf.DUMMYFUNCTION("""COMPUTED_VALUE"""),64.0)</f>
        <v>64</v>
      </c>
      <c r="F10412" s="19" t="str">
        <f>IFERROR(__xludf.DUMMYFUNCTION("""COMPUTED_VALUE"""),"BLUE")</f>
        <v>BLUE</v>
      </c>
      <c r="G10412" s="20" t="str">
        <f>IFERROR(__xludf.DUMMYFUNCTION("""COMPUTED_VALUE"""),"Uncle Sams Cider (04/04/2023)")</f>
        <v>Uncle Sams Cider (04/04/2023)</v>
      </c>
      <c r="H10412" s="19"/>
    </row>
    <row r="10413">
      <c r="A10413" s="9"/>
      <c r="B10413" s="15"/>
      <c r="C10413" s="9">
        <f>IFERROR(__xludf.DUMMYFUNCTION("""COMPUTED_VALUE"""),45034.713410243)</f>
        <v>45034.71341</v>
      </c>
      <c r="D10413" s="15">
        <f>IFERROR(__xludf.DUMMYFUNCTION("""COMPUTED_VALUE"""),1.047)</f>
        <v>1.047</v>
      </c>
      <c r="E10413" s="16">
        <f>IFERROR(__xludf.DUMMYFUNCTION("""COMPUTED_VALUE"""),64.0)</f>
        <v>64</v>
      </c>
      <c r="F10413" s="19" t="str">
        <f>IFERROR(__xludf.DUMMYFUNCTION("""COMPUTED_VALUE"""),"BLUE")</f>
        <v>BLUE</v>
      </c>
      <c r="G10413" s="20" t="str">
        <f>IFERROR(__xludf.DUMMYFUNCTION("""COMPUTED_VALUE"""),"Uncle Sams Cider (04/04/2023)")</f>
        <v>Uncle Sams Cider (04/04/2023)</v>
      </c>
      <c r="H10413" s="19"/>
    </row>
    <row r="10414">
      <c r="A10414" s="9"/>
      <c r="B10414" s="15"/>
      <c r="C10414" s="9">
        <f>IFERROR(__xludf.DUMMYFUNCTION("""COMPUTED_VALUE"""),45034.7029913657)</f>
        <v>45034.70299</v>
      </c>
      <c r="D10414" s="15">
        <f>IFERROR(__xludf.DUMMYFUNCTION("""COMPUTED_VALUE"""),1.047)</f>
        <v>1.047</v>
      </c>
      <c r="E10414" s="16">
        <f>IFERROR(__xludf.DUMMYFUNCTION("""COMPUTED_VALUE"""),64.0)</f>
        <v>64</v>
      </c>
      <c r="F10414" s="19" t="str">
        <f>IFERROR(__xludf.DUMMYFUNCTION("""COMPUTED_VALUE"""),"BLUE")</f>
        <v>BLUE</v>
      </c>
      <c r="G10414" s="20" t="str">
        <f>IFERROR(__xludf.DUMMYFUNCTION("""COMPUTED_VALUE"""),"Uncle Sams Cider (04/04/2023)")</f>
        <v>Uncle Sams Cider (04/04/2023)</v>
      </c>
      <c r="H10414" s="19"/>
    </row>
    <row r="10415">
      <c r="A10415" s="9"/>
      <c r="B10415" s="15"/>
      <c r="C10415" s="9">
        <f>IFERROR(__xludf.DUMMYFUNCTION("""COMPUTED_VALUE"""),45034.692570787)</f>
        <v>45034.69257</v>
      </c>
      <c r="D10415" s="15">
        <f>IFERROR(__xludf.DUMMYFUNCTION("""COMPUTED_VALUE"""),1.047)</f>
        <v>1.047</v>
      </c>
      <c r="E10415" s="16">
        <f>IFERROR(__xludf.DUMMYFUNCTION("""COMPUTED_VALUE"""),64.0)</f>
        <v>64</v>
      </c>
      <c r="F10415" s="19" t="str">
        <f>IFERROR(__xludf.DUMMYFUNCTION("""COMPUTED_VALUE"""),"BLUE")</f>
        <v>BLUE</v>
      </c>
      <c r="G10415" s="20" t="str">
        <f>IFERROR(__xludf.DUMMYFUNCTION("""COMPUTED_VALUE"""),"Uncle Sams Cider (04/04/2023)")</f>
        <v>Uncle Sams Cider (04/04/2023)</v>
      </c>
      <c r="H10415" s="19"/>
    </row>
    <row r="10416">
      <c r="A10416" s="9"/>
      <c r="B10416" s="15"/>
      <c r="C10416" s="9">
        <f>IFERROR(__xludf.DUMMYFUNCTION("""COMPUTED_VALUE"""),45034.6821508333)</f>
        <v>45034.68215</v>
      </c>
      <c r="D10416" s="15">
        <f>IFERROR(__xludf.DUMMYFUNCTION("""COMPUTED_VALUE"""),1.047)</f>
        <v>1.047</v>
      </c>
      <c r="E10416" s="16">
        <f>IFERROR(__xludf.DUMMYFUNCTION("""COMPUTED_VALUE"""),64.0)</f>
        <v>64</v>
      </c>
      <c r="F10416" s="19" t="str">
        <f>IFERROR(__xludf.DUMMYFUNCTION("""COMPUTED_VALUE"""),"BLUE")</f>
        <v>BLUE</v>
      </c>
      <c r="G10416" s="20" t="str">
        <f>IFERROR(__xludf.DUMMYFUNCTION("""COMPUTED_VALUE"""),"Uncle Sams Cider (04/04/2023)")</f>
        <v>Uncle Sams Cider (04/04/2023)</v>
      </c>
      <c r="H10416" s="19"/>
    </row>
    <row r="10417">
      <c r="A10417" s="9"/>
      <c r="B10417" s="15"/>
      <c r="C10417" s="9">
        <f>IFERROR(__xludf.DUMMYFUNCTION("""COMPUTED_VALUE"""),45034.671729155)</f>
        <v>45034.67173</v>
      </c>
      <c r="D10417" s="15">
        <f>IFERROR(__xludf.DUMMYFUNCTION("""COMPUTED_VALUE"""),1.047)</f>
        <v>1.047</v>
      </c>
      <c r="E10417" s="16">
        <f>IFERROR(__xludf.DUMMYFUNCTION("""COMPUTED_VALUE"""),64.0)</f>
        <v>64</v>
      </c>
      <c r="F10417" s="19" t="str">
        <f>IFERROR(__xludf.DUMMYFUNCTION("""COMPUTED_VALUE"""),"BLUE")</f>
        <v>BLUE</v>
      </c>
      <c r="G10417" s="20" t="str">
        <f>IFERROR(__xludf.DUMMYFUNCTION("""COMPUTED_VALUE"""),"Uncle Sams Cider (04/04/2023)")</f>
        <v>Uncle Sams Cider (04/04/2023)</v>
      </c>
      <c r="H10417" s="19"/>
    </row>
    <row r="10418">
      <c r="A10418" s="9"/>
      <c r="B10418" s="15"/>
      <c r="C10418" s="9">
        <f>IFERROR(__xludf.DUMMYFUNCTION("""COMPUTED_VALUE"""),45034.6613093402)</f>
        <v>45034.66131</v>
      </c>
      <c r="D10418" s="15">
        <f>IFERROR(__xludf.DUMMYFUNCTION("""COMPUTED_VALUE"""),1.047)</f>
        <v>1.047</v>
      </c>
      <c r="E10418" s="16">
        <f>IFERROR(__xludf.DUMMYFUNCTION("""COMPUTED_VALUE"""),64.0)</f>
        <v>64</v>
      </c>
      <c r="F10418" s="19" t="str">
        <f>IFERROR(__xludf.DUMMYFUNCTION("""COMPUTED_VALUE"""),"BLUE")</f>
        <v>BLUE</v>
      </c>
      <c r="G10418" s="20" t="str">
        <f>IFERROR(__xludf.DUMMYFUNCTION("""COMPUTED_VALUE"""),"Uncle Sams Cider (04/04/2023)")</f>
        <v>Uncle Sams Cider (04/04/2023)</v>
      </c>
      <c r="H10418" s="19"/>
    </row>
    <row r="10419">
      <c r="A10419" s="9"/>
      <c r="B10419" s="15"/>
      <c r="C10419" s="9">
        <f>IFERROR(__xludf.DUMMYFUNCTION("""COMPUTED_VALUE"""),45034.6508894328)</f>
        <v>45034.65089</v>
      </c>
      <c r="D10419" s="15">
        <f>IFERROR(__xludf.DUMMYFUNCTION("""COMPUTED_VALUE"""),1.047)</f>
        <v>1.047</v>
      </c>
      <c r="E10419" s="16">
        <f>IFERROR(__xludf.DUMMYFUNCTION("""COMPUTED_VALUE"""),64.0)</f>
        <v>64</v>
      </c>
      <c r="F10419" s="19" t="str">
        <f>IFERROR(__xludf.DUMMYFUNCTION("""COMPUTED_VALUE"""),"BLUE")</f>
        <v>BLUE</v>
      </c>
      <c r="G10419" s="20" t="str">
        <f>IFERROR(__xludf.DUMMYFUNCTION("""COMPUTED_VALUE"""),"Uncle Sams Cider (04/04/2023)")</f>
        <v>Uncle Sams Cider (04/04/2023)</v>
      </c>
      <c r="H10419" s="19"/>
    </row>
    <row r="10420">
      <c r="A10420" s="9"/>
      <c r="B10420" s="15"/>
      <c r="C10420" s="9">
        <f>IFERROR(__xludf.DUMMYFUNCTION("""COMPUTED_VALUE"""),45034.6404676157)</f>
        <v>45034.64047</v>
      </c>
      <c r="D10420" s="15">
        <f>IFERROR(__xludf.DUMMYFUNCTION("""COMPUTED_VALUE"""),1.047)</f>
        <v>1.047</v>
      </c>
      <c r="E10420" s="16">
        <f>IFERROR(__xludf.DUMMYFUNCTION("""COMPUTED_VALUE"""),64.0)</f>
        <v>64</v>
      </c>
      <c r="F10420" s="19" t="str">
        <f>IFERROR(__xludf.DUMMYFUNCTION("""COMPUTED_VALUE"""),"BLUE")</f>
        <v>BLUE</v>
      </c>
      <c r="G10420" s="20" t="str">
        <f>IFERROR(__xludf.DUMMYFUNCTION("""COMPUTED_VALUE"""),"Uncle Sams Cider (04/04/2023)")</f>
        <v>Uncle Sams Cider (04/04/2023)</v>
      </c>
      <c r="H10420" s="19"/>
    </row>
    <row r="10421">
      <c r="A10421" s="9"/>
      <c r="B10421" s="15"/>
      <c r="C10421" s="9">
        <f>IFERROR(__xludf.DUMMYFUNCTION("""COMPUTED_VALUE"""),45034.6300440856)</f>
        <v>45034.63004</v>
      </c>
      <c r="D10421" s="15">
        <f>IFERROR(__xludf.DUMMYFUNCTION("""COMPUTED_VALUE"""),1.047)</f>
        <v>1.047</v>
      </c>
      <c r="E10421" s="16">
        <f>IFERROR(__xludf.DUMMYFUNCTION("""COMPUTED_VALUE"""),64.0)</f>
        <v>64</v>
      </c>
      <c r="F10421" s="19" t="str">
        <f>IFERROR(__xludf.DUMMYFUNCTION("""COMPUTED_VALUE"""),"BLUE")</f>
        <v>BLUE</v>
      </c>
      <c r="G10421" s="20" t="str">
        <f>IFERROR(__xludf.DUMMYFUNCTION("""COMPUTED_VALUE"""),"Uncle Sams Cider (04/04/2023)")</f>
        <v>Uncle Sams Cider (04/04/2023)</v>
      </c>
      <c r="H10421" s="19"/>
    </row>
    <row r="10422">
      <c r="A10422" s="9"/>
      <c r="B10422" s="15"/>
      <c r="C10422" s="9">
        <f>IFERROR(__xludf.DUMMYFUNCTION("""COMPUTED_VALUE"""),45034.619623206)</f>
        <v>45034.61962</v>
      </c>
      <c r="D10422" s="15">
        <f>IFERROR(__xludf.DUMMYFUNCTION("""COMPUTED_VALUE"""),1.047)</f>
        <v>1.047</v>
      </c>
      <c r="E10422" s="16">
        <f>IFERROR(__xludf.DUMMYFUNCTION("""COMPUTED_VALUE"""),64.0)</f>
        <v>64</v>
      </c>
      <c r="F10422" s="19" t="str">
        <f>IFERROR(__xludf.DUMMYFUNCTION("""COMPUTED_VALUE"""),"BLUE")</f>
        <v>BLUE</v>
      </c>
      <c r="G10422" s="20" t="str">
        <f>IFERROR(__xludf.DUMMYFUNCTION("""COMPUTED_VALUE"""),"Uncle Sams Cider (04/04/2023)")</f>
        <v>Uncle Sams Cider (04/04/2023)</v>
      </c>
      <c r="H10422" s="19"/>
    </row>
    <row r="10423">
      <c r="A10423" s="9"/>
      <c r="B10423" s="15"/>
      <c r="C10423" s="9">
        <f>IFERROR(__xludf.DUMMYFUNCTION("""COMPUTED_VALUE"""),45034.6092026273)</f>
        <v>45034.6092</v>
      </c>
      <c r="D10423" s="15">
        <f>IFERROR(__xludf.DUMMYFUNCTION("""COMPUTED_VALUE"""),1.048)</f>
        <v>1.048</v>
      </c>
      <c r="E10423" s="16">
        <f>IFERROR(__xludf.DUMMYFUNCTION("""COMPUTED_VALUE"""),64.0)</f>
        <v>64</v>
      </c>
      <c r="F10423" s="19" t="str">
        <f>IFERROR(__xludf.DUMMYFUNCTION("""COMPUTED_VALUE"""),"BLUE")</f>
        <v>BLUE</v>
      </c>
      <c r="G10423" s="20" t="str">
        <f>IFERROR(__xludf.DUMMYFUNCTION("""COMPUTED_VALUE"""),"Uncle Sams Cider (04/04/2023)")</f>
        <v>Uncle Sams Cider (04/04/2023)</v>
      </c>
      <c r="H10423" s="19"/>
    </row>
    <row r="10424">
      <c r="A10424" s="9"/>
      <c r="B10424" s="15"/>
      <c r="C10424" s="9">
        <f>IFERROR(__xludf.DUMMYFUNCTION("""COMPUTED_VALUE"""),45034.5987829398)</f>
        <v>45034.59878</v>
      </c>
      <c r="D10424" s="15">
        <f>IFERROR(__xludf.DUMMYFUNCTION("""COMPUTED_VALUE"""),1.048)</f>
        <v>1.048</v>
      </c>
      <c r="E10424" s="16">
        <f>IFERROR(__xludf.DUMMYFUNCTION("""COMPUTED_VALUE"""),64.0)</f>
        <v>64</v>
      </c>
      <c r="F10424" s="19" t="str">
        <f>IFERROR(__xludf.DUMMYFUNCTION("""COMPUTED_VALUE"""),"BLUE")</f>
        <v>BLUE</v>
      </c>
      <c r="G10424" s="20" t="str">
        <f>IFERROR(__xludf.DUMMYFUNCTION("""COMPUTED_VALUE"""),"Uncle Sams Cider (04/04/2023)")</f>
        <v>Uncle Sams Cider (04/04/2023)</v>
      </c>
      <c r="H10424" s="19"/>
    </row>
    <row r="10425">
      <c r="A10425" s="9"/>
      <c r="B10425" s="15"/>
      <c r="C10425" s="9">
        <f>IFERROR(__xludf.DUMMYFUNCTION("""COMPUTED_VALUE"""),45034.5883631018)</f>
        <v>45034.58836</v>
      </c>
      <c r="D10425" s="15">
        <f>IFERROR(__xludf.DUMMYFUNCTION("""COMPUTED_VALUE"""),1.048)</f>
        <v>1.048</v>
      </c>
      <c r="E10425" s="16">
        <f>IFERROR(__xludf.DUMMYFUNCTION("""COMPUTED_VALUE"""),64.0)</f>
        <v>64</v>
      </c>
      <c r="F10425" s="19" t="str">
        <f>IFERROR(__xludf.DUMMYFUNCTION("""COMPUTED_VALUE"""),"BLUE")</f>
        <v>BLUE</v>
      </c>
      <c r="G10425" s="20" t="str">
        <f>IFERROR(__xludf.DUMMYFUNCTION("""COMPUTED_VALUE"""),"Uncle Sams Cider (04/04/2023)")</f>
        <v>Uncle Sams Cider (04/04/2023)</v>
      </c>
      <c r="H10425" s="19"/>
    </row>
    <row r="10426">
      <c r="A10426" s="9"/>
      <c r="B10426" s="15"/>
      <c r="C10426" s="9">
        <f>IFERROR(__xludf.DUMMYFUNCTION("""COMPUTED_VALUE"""),45034.5779425115)</f>
        <v>45034.57794</v>
      </c>
      <c r="D10426" s="15">
        <f>IFERROR(__xludf.DUMMYFUNCTION("""COMPUTED_VALUE"""),1.048)</f>
        <v>1.048</v>
      </c>
      <c r="E10426" s="16">
        <f>IFERROR(__xludf.DUMMYFUNCTION("""COMPUTED_VALUE"""),64.0)</f>
        <v>64</v>
      </c>
      <c r="F10426" s="19" t="str">
        <f>IFERROR(__xludf.DUMMYFUNCTION("""COMPUTED_VALUE"""),"BLUE")</f>
        <v>BLUE</v>
      </c>
      <c r="G10426" s="20" t="str">
        <f>IFERROR(__xludf.DUMMYFUNCTION("""COMPUTED_VALUE"""),"Uncle Sams Cider (04/04/2023)")</f>
        <v>Uncle Sams Cider (04/04/2023)</v>
      </c>
      <c r="H10426" s="19"/>
    </row>
    <row r="10427">
      <c r="A10427" s="9"/>
      <c r="B10427" s="15"/>
      <c r="C10427" s="9">
        <f>IFERROR(__xludf.DUMMYFUNCTION("""COMPUTED_VALUE"""),45034.5675083333)</f>
        <v>45034.56751</v>
      </c>
      <c r="D10427" s="15">
        <f>IFERROR(__xludf.DUMMYFUNCTION("""COMPUTED_VALUE"""),1.048)</f>
        <v>1.048</v>
      </c>
      <c r="E10427" s="16">
        <f>IFERROR(__xludf.DUMMYFUNCTION("""COMPUTED_VALUE"""),64.0)</f>
        <v>64</v>
      </c>
      <c r="F10427" s="19" t="str">
        <f>IFERROR(__xludf.DUMMYFUNCTION("""COMPUTED_VALUE"""),"BLUE")</f>
        <v>BLUE</v>
      </c>
      <c r="G10427" s="20" t="str">
        <f>IFERROR(__xludf.DUMMYFUNCTION("""COMPUTED_VALUE"""),"Uncle Sams Cider (04/04/2023)")</f>
        <v>Uncle Sams Cider (04/04/2023)</v>
      </c>
      <c r="H10427" s="19"/>
    </row>
    <row r="10428">
      <c r="A10428" s="9"/>
      <c r="B10428" s="15"/>
      <c r="C10428" s="9">
        <f>IFERROR(__xludf.DUMMYFUNCTION("""COMPUTED_VALUE"""),45034.5570638425)</f>
        <v>45034.55706</v>
      </c>
      <c r="D10428" s="15">
        <f>IFERROR(__xludf.DUMMYFUNCTION("""COMPUTED_VALUE"""),1.048)</f>
        <v>1.048</v>
      </c>
      <c r="E10428" s="16">
        <f>IFERROR(__xludf.DUMMYFUNCTION("""COMPUTED_VALUE"""),64.0)</f>
        <v>64</v>
      </c>
      <c r="F10428" s="19" t="str">
        <f>IFERROR(__xludf.DUMMYFUNCTION("""COMPUTED_VALUE"""),"BLUE")</f>
        <v>BLUE</v>
      </c>
      <c r="G10428" s="20" t="str">
        <f>IFERROR(__xludf.DUMMYFUNCTION("""COMPUTED_VALUE"""),"Uncle Sams Cider (04/04/2023)")</f>
        <v>Uncle Sams Cider (04/04/2023)</v>
      </c>
      <c r="H10428" s="19"/>
    </row>
    <row r="10429">
      <c r="A10429" s="9"/>
      <c r="B10429" s="15"/>
      <c r="C10429" s="9">
        <f>IFERROR(__xludf.DUMMYFUNCTION("""COMPUTED_VALUE"""),45034.5466198495)</f>
        <v>45034.54662</v>
      </c>
      <c r="D10429" s="15">
        <f>IFERROR(__xludf.DUMMYFUNCTION("""COMPUTED_VALUE"""),1.048)</f>
        <v>1.048</v>
      </c>
      <c r="E10429" s="16">
        <f>IFERROR(__xludf.DUMMYFUNCTION("""COMPUTED_VALUE"""),64.0)</f>
        <v>64</v>
      </c>
      <c r="F10429" s="19" t="str">
        <f>IFERROR(__xludf.DUMMYFUNCTION("""COMPUTED_VALUE"""),"BLUE")</f>
        <v>BLUE</v>
      </c>
      <c r="G10429" s="20" t="str">
        <f>IFERROR(__xludf.DUMMYFUNCTION("""COMPUTED_VALUE"""),"Uncle Sams Cider (04/04/2023)")</f>
        <v>Uncle Sams Cider (04/04/2023)</v>
      </c>
      <c r="H10429" s="19"/>
    </row>
    <row r="10430">
      <c r="A10430" s="9"/>
      <c r="B10430" s="15"/>
      <c r="C10430" s="9">
        <f>IFERROR(__xludf.DUMMYFUNCTION("""COMPUTED_VALUE"""),45034.5361985648)</f>
        <v>45034.5362</v>
      </c>
      <c r="D10430" s="15">
        <f>IFERROR(__xludf.DUMMYFUNCTION("""COMPUTED_VALUE"""),1.048)</f>
        <v>1.048</v>
      </c>
      <c r="E10430" s="16">
        <f>IFERROR(__xludf.DUMMYFUNCTION("""COMPUTED_VALUE"""),64.0)</f>
        <v>64</v>
      </c>
      <c r="F10430" s="19" t="str">
        <f>IFERROR(__xludf.DUMMYFUNCTION("""COMPUTED_VALUE"""),"BLUE")</f>
        <v>BLUE</v>
      </c>
      <c r="G10430" s="20" t="str">
        <f>IFERROR(__xludf.DUMMYFUNCTION("""COMPUTED_VALUE"""),"Uncle Sams Cider (04/04/2023)")</f>
        <v>Uncle Sams Cider (04/04/2023)</v>
      </c>
      <c r="H10430" s="19"/>
    </row>
    <row r="10431">
      <c r="A10431" s="9"/>
      <c r="B10431" s="15"/>
      <c r="C10431" s="9">
        <f>IFERROR(__xludf.DUMMYFUNCTION("""COMPUTED_VALUE"""),45034.5257763194)</f>
        <v>45034.52578</v>
      </c>
      <c r="D10431" s="15">
        <f>IFERROR(__xludf.DUMMYFUNCTION("""COMPUTED_VALUE"""),1.048)</f>
        <v>1.048</v>
      </c>
      <c r="E10431" s="16">
        <f>IFERROR(__xludf.DUMMYFUNCTION("""COMPUTED_VALUE"""),64.0)</f>
        <v>64</v>
      </c>
      <c r="F10431" s="19" t="str">
        <f>IFERROR(__xludf.DUMMYFUNCTION("""COMPUTED_VALUE"""),"BLUE")</f>
        <v>BLUE</v>
      </c>
      <c r="G10431" s="20" t="str">
        <f>IFERROR(__xludf.DUMMYFUNCTION("""COMPUTED_VALUE"""),"Uncle Sams Cider (04/04/2023)")</f>
        <v>Uncle Sams Cider (04/04/2023)</v>
      </c>
      <c r="H10431" s="19"/>
    </row>
    <row r="10432">
      <c r="A10432" s="9"/>
      <c r="B10432" s="15"/>
      <c r="C10432" s="9">
        <f>IFERROR(__xludf.DUMMYFUNCTION("""COMPUTED_VALUE"""),45034.5153559722)</f>
        <v>45034.51536</v>
      </c>
      <c r="D10432" s="15">
        <f>IFERROR(__xludf.DUMMYFUNCTION("""COMPUTED_VALUE"""),1.048)</f>
        <v>1.048</v>
      </c>
      <c r="E10432" s="16">
        <f>IFERROR(__xludf.DUMMYFUNCTION("""COMPUTED_VALUE"""),64.0)</f>
        <v>64</v>
      </c>
      <c r="F10432" s="19" t="str">
        <f>IFERROR(__xludf.DUMMYFUNCTION("""COMPUTED_VALUE"""),"BLUE")</f>
        <v>BLUE</v>
      </c>
      <c r="G10432" s="20" t="str">
        <f>IFERROR(__xludf.DUMMYFUNCTION("""COMPUTED_VALUE"""),"Uncle Sams Cider (04/04/2023)")</f>
        <v>Uncle Sams Cider (04/04/2023)</v>
      </c>
      <c r="H10432" s="19"/>
    </row>
    <row r="10433">
      <c r="A10433" s="9"/>
      <c r="B10433" s="15"/>
      <c r="C10433" s="9">
        <f>IFERROR(__xludf.DUMMYFUNCTION("""COMPUTED_VALUE"""),45034.5049127893)</f>
        <v>45034.50491</v>
      </c>
      <c r="D10433" s="15">
        <f>IFERROR(__xludf.DUMMYFUNCTION("""COMPUTED_VALUE"""),1.048)</f>
        <v>1.048</v>
      </c>
      <c r="E10433" s="16">
        <f>IFERROR(__xludf.DUMMYFUNCTION("""COMPUTED_VALUE"""),64.0)</f>
        <v>64</v>
      </c>
      <c r="F10433" s="19" t="str">
        <f>IFERROR(__xludf.DUMMYFUNCTION("""COMPUTED_VALUE"""),"BLUE")</f>
        <v>BLUE</v>
      </c>
      <c r="G10433" s="20" t="str">
        <f>IFERROR(__xludf.DUMMYFUNCTION("""COMPUTED_VALUE"""),"Uncle Sams Cider (04/04/2023)")</f>
        <v>Uncle Sams Cider (04/04/2023)</v>
      </c>
      <c r="H10433" s="19"/>
    </row>
    <row r="10434">
      <c r="A10434" s="9"/>
      <c r="B10434" s="15"/>
      <c r="C10434" s="9">
        <f>IFERROR(__xludf.DUMMYFUNCTION("""COMPUTED_VALUE"""),45034.4944798958)</f>
        <v>45034.49448</v>
      </c>
      <c r="D10434" s="15">
        <f>IFERROR(__xludf.DUMMYFUNCTION("""COMPUTED_VALUE"""),1.048)</f>
        <v>1.048</v>
      </c>
      <c r="E10434" s="16">
        <f>IFERROR(__xludf.DUMMYFUNCTION("""COMPUTED_VALUE"""),64.0)</f>
        <v>64</v>
      </c>
      <c r="F10434" s="19" t="str">
        <f>IFERROR(__xludf.DUMMYFUNCTION("""COMPUTED_VALUE"""),"BLUE")</f>
        <v>BLUE</v>
      </c>
      <c r="G10434" s="20" t="str">
        <f>IFERROR(__xludf.DUMMYFUNCTION("""COMPUTED_VALUE"""),"Uncle Sams Cider (04/04/2023)")</f>
        <v>Uncle Sams Cider (04/04/2023)</v>
      </c>
      <c r="H10434" s="19"/>
    </row>
    <row r="10435">
      <c r="A10435" s="9"/>
      <c r="B10435" s="15"/>
      <c r="C10435" s="9">
        <f>IFERROR(__xludf.DUMMYFUNCTION("""COMPUTED_VALUE"""),45034.4840567592)</f>
        <v>45034.48406</v>
      </c>
      <c r="D10435" s="15">
        <f>IFERROR(__xludf.DUMMYFUNCTION("""COMPUTED_VALUE"""),1.048)</f>
        <v>1.048</v>
      </c>
      <c r="E10435" s="16">
        <f>IFERROR(__xludf.DUMMYFUNCTION("""COMPUTED_VALUE"""),64.0)</f>
        <v>64</v>
      </c>
      <c r="F10435" s="19" t="str">
        <f>IFERROR(__xludf.DUMMYFUNCTION("""COMPUTED_VALUE"""),"BLUE")</f>
        <v>BLUE</v>
      </c>
      <c r="G10435" s="20" t="str">
        <f>IFERROR(__xludf.DUMMYFUNCTION("""COMPUTED_VALUE"""),"Uncle Sams Cider (04/04/2023)")</f>
        <v>Uncle Sams Cider (04/04/2023)</v>
      </c>
      <c r="H10435" s="19"/>
    </row>
    <row r="10436">
      <c r="A10436" s="9"/>
      <c r="B10436" s="15"/>
      <c r="C10436" s="9">
        <f>IFERROR(__xludf.DUMMYFUNCTION("""COMPUTED_VALUE"""),45034.4736354398)</f>
        <v>45034.47364</v>
      </c>
      <c r="D10436" s="15">
        <f>IFERROR(__xludf.DUMMYFUNCTION("""COMPUTED_VALUE"""),1.048)</f>
        <v>1.048</v>
      </c>
      <c r="E10436" s="16">
        <f>IFERROR(__xludf.DUMMYFUNCTION("""COMPUTED_VALUE"""),64.0)</f>
        <v>64</v>
      </c>
      <c r="F10436" s="19" t="str">
        <f>IFERROR(__xludf.DUMMYFUNCTION("""COMPUTED_VALUE"""),"BLUE")</f>
        <v>BLUE</v>
      </c>
      <c r="G10436" s="20" t="str">
        <f>IFERROR(__xludf.DUMMYFUNCTION("""COMPUTED_VALUE"""),"Uncle Sams Cider (04/04/2023)")</f>
        <v>Uncle Sams Cider (04/04/2023)</v>
      </c>
      <c r="H10436" s="19"/>
    </row>
    <row r="10437">
      <c r="A10437" s="9"/>
      <c r="B10437" s="15"/>
      <c r="C10437" s="9">
        <f>IFERROR(__xludf.DUMMYFUNCTION("""COMPUTED_VALUE"""),45034.4632143055)</f>
        <v>45034.46321</v>
      </c>
      <c r="D10437" s="15">
        <f>IFERROR(__xludf.DUMMYFUNCTION("""COMPUTED_VALUE"""),1.048)</f>
        <v>1.048</v>
      </c>
      <c r="E10437" s="16">
        <f>IFERROR(__xludf.DUMMYFUNCTION("""COMPUTED_VALUE"""),64.0)</f>
        <v>64</v>
      </c>
      <c r="F10437" s="19" t="str">
        <f>IFERROR(__xludf.DUMMYFUNCTION("""COMPUTED_VALUE"""),"BLUE")</f>
        <v>BLUE</v>
      </c>
      <c r="G10437" s="20" t="str">
        <f>IFERROR(__xludf.DUMMYFUNCTION("""COMPUTED_VALUE"""),"Uncle Sams Cider (04/04/2023)")</f>
        <v>Uncle Sams Cider (04/04/2023)</v>
      </c>
      <c r="H10437" s="19"/>
    </row>
    <row r="10438">
      <c r="A10438" s="9"/>
      <c r="B10438" s="15"/>
      <c r="C10438" s="9">
        <f>IFERROR(__xludf.DUMMYFUNCTION("""COMPUTED_VALUE"""),45034.4527825578)</f>
        <v>45034.45278</v>
      </c>
      <c r="D10438" s="15">
        <f>IFERROR(__xludf.DUMMYFUNCTION("""COMPUTED_VALUE"""),1.048)</f>
        <v>1.048</v>
      </c>
      <c r="E10438" s="16">
        <f>IFERROR(__xludf.DUMMYFUNCTION("""COMPUTED_VALUE"""),64.0)</f>
        <v>64</v>
      </c>
      <c r="F10438" s="19" t="str">
        <f>IFERROR(__xludf.DUMMYFUNCTION("""COMPUTED_VALUE"""),"BLUE")</f>
        <v>BLUE</v>
      </c>
      <c r="G10438" s="20" t="str">
        <f>IFERROR(__xludf.DUMMYFUNCTION("""COMPUTED_VALUE"""),"Uncle Sams Cider (04/04/2023)")</f>
        <v>Uncle Sams Cider (04/04/2023)</v>
      </c>
      <c r="H10438" s="19"/>
    </row>
    <row r="10439">
      <c r="A10439" s="9"/>
      <c r="B10439" s="15"/>
      <c r="C10439" s="9">
        <f>IFERROR(__xludf.DUMMYFUNCTION("""COMPUTED_VALUE"""),45034.4423611111)</f>
        <v>45034.44236</v>
      </c>
      <c r="D10439" s="15">
        <f>IFERROR(__xludf.DUMMYFUNCTION("""COMPUTED_VALUE"""),1.048)</f>
        <v>1.048</v>
      </c>
      <c r="E10439" s="16">
        <f>IFERROR(__xludf.DUMMYFUNCTION("""COMPUTED_VALUE"""),64.0)</f>
        <v>64</v>
      </c>
      <c r="F10439" s="19" t="str">
        <f>IFERROR(__xludf.DUMMYFUNCTION("""COMPUTED_VALUE"""),"BLUE")</f>
        <v>BLUE</v>
      </c>
      <c r="G10439" s="20" t="str">
        <f>IFERROR(__xludf.DUMMYFUNCTION("""COMPUTED_VALUE"""),"Uncle Sams Cider (04/04/2023)")</f>
        <v>Uncle Sams Cider (04/04/2023)</v>
      </c>
      <c r="H10439" s="19"/>
    </row>
    <row r="10440">
      <c r="A10440" s="9"/>
      <c r="B10440" s="15"/>
      <c r="C10440" s="9">
        <f>IFERROR(__xludf.DUMMYFUNCTION("""COMPUTED_VALUE"""),45034.431940324)</f>
        <v>45034.43194</v>
      </c>
      <c r="D10440" s="15">
        <f>IFERROR(__xludf.DUMMYFUNCTION("""COMPUTED_VALUE"""),1.048)</f>
        <v>1.048</v>
      </c>
      <c r="E10440" s="16">
        <f>IFERROR(__xludf.DUMMYFUNCTION("""COMPUTED_VALUE"""),64.0)</f>
        <v>64</v>
      </c>
      <c r="F10440" s="19" t="str">
        <f>IFERROR(__xludf.DUMMYFUNCTION("""COMPUTED_VALUE"""),"BLUE")</f>
        <v>BLUE</v>
      </c>
      <c r="G10440" s="20" t="str">
        <f>IFERROR(__xludf.DUMMYFUNCTION("""COMPUTED_VALUE"""),"Uncle Sams Cider (04/04/2023)")</f>
        <v>Uncle Sams Cider (04/04/2023)</v>
      </c>
      <c r="H10440" s="19"/>
    </row>
    <row r="10441">
      <c r="A10441" s="9"/>
      <c r="B10441" s="15"/>
      <c r="C10441" s="9">
        <f>IFERROR(__xludf.DUMMYFUNCTION("""COMPUTED_VALUE"""),45034.4215173611)</f>
        <v>45034.42152</v>
      </c>
      <c r="D10441" s="15">
        <f>IFERROR(__xludf.DUMMYFUNCTION("""COMPUTED_VALUE"""),1.048)</f>
        <v>1.048</v>
      </c>
      <c r="E10441" s="16">
        <f>IFERROR(__xludf.DUMMYFUNCTION("""COMPUTED_VALUE"""),64.0)</f>
        <v>64</v>
      </c>
      <c r="F10441" s="19" t="str">
        <f>IFERROR(__xludf.DUMMYFUNCTION("""COMPUTED_VALUE"""),"BLUE")</f>
        <v>BLUE</v>
      </c>
      <c r="G10441" s="20" t="str">
        <f>IFERROR(__xludf.DUMMYFUNCTION("""COMPUTED_VALUE"""),"Uncle Sams Cider (04/04/2023)")</f>
        <v>Uncle Sams Cider (04/04/2023)</v>
      </c>
      <c r="H10441" s="19"/>
    </row>
    <row r="10442">
      <c r="A10442" s="9"/>
      <c r="B10442" s="15"/>
      <c r="C10442" s="9">
        <f>IFERROR(__xludf.DUMMYFUNCTION("""COMPUTED_VALUE"""),45034.4110957523)</f>
        <v>45034.4111</v>
      </c>
      <c r="D10442" s="15">
        <f>IFERROR(__xludf.DUMMYFUNCTION("""COMPUTED_VALUE"""),1.048)</f>
        <v>1.048</v>
      </c>
      <c r="E10442" s="16">
        <f>IFERROR(__xludf.DUMMYFUNCTION("""COMPUTED_VALUE"""),64.0)</f>
        <v>64</v>
      </c>
      <c r="F10442" s="19" t="str">
        <f>IFERROR(__xludf.DUMMYFUNCTION("""COMPUTED_VALUE"""),"BLUE")</f>
        <v>BLUE</v>
      </c>
      <c r="G10442" s="20" t="str">
        <f>IFERROR(__xludf.DUMMYFUNCTION("""COMPUTED_VALUE"""),"Uncle Sams Cider (04/04/2023)")</f>
        <v>Uncle Sams Cider (04/04/2023)</v>
      </c>
      <c r="H10442" s="19"/>
    </row>
    <row r="10443">
      <c r="A10443" s="9"/>
      <c r="B10443" s="15"/>
      <c r="C10443" s="9">
        <f>IFERROR(__xludf.DUMMYFUNCTION("""COMPUTED_VALUE"""),45034.4006636805)</f>
        <v>45034.40066</v>
      </c>
      <c r="D10443" s="15">
        <f>IFERROR(__xludf.DUMMYFUNCTION("""COMPUTED_VALUE"""),1.048)</f>
        <v>1.048</v>
      </c>
      <c r="E10443" s="16">
        <f>IFERROR(__xludf.DUMMYFUNCTION("""COMPUTED_VALUE"""),64.0)</f>
        <v>64</v>
      </c>
      <c r="F10443" s="19" t="str">
        <f>IFERROR(__xludf.DUMMYFUNCTION("""COMPUTED_VALUE"""),"BLUE")</f>
        <v>BLUE</v>
      </c>
      <c r="G10443" s="20" t="str">
        <f>IFERROR(__xludf.DUMMYFUNCTION("""COMPUTED_VALUE"""),"Uncle Sams Cider (04/04/2023)")</f>
        <v>Uncle Sams Cider (04/04/2023)</v>
      </c>
      <c r="H10443" s="19"/>
    </row>
    <row r="10444">
      <c r="A10444" s="9"/>
      <c r="B10444" s="15"/>
      <c r="C10444" s="9">
        <f>IFERROR(__xludf.DUMMYFUNCTION("""COMPUTED_VALUE"""),45034.3902424189)</f>
        <v>45034.39024</v>
      </c>
      <c r="D10444" s="15">
        <f>IFERROR(__xludf.DUMMYFUNCTION("""COMPUTED_VALUE"""),1.048)</f>
        <v>1.048</v>
      </c>
      <c r="E10444" s="16">
        <f>IFERROR(__xludf.DUMMYFUNCTION("""COMPUTED_VALUE"""),64.0)</f>
        <v>64</v>
      </c>
      <c r="F10444" s="19" t="str">
        <f>IFERROR(__xludf.DUMMYFUNCTION("""COMPUTED_VALUE"""),"BLUE")</f>
        <v>BLUE</v>
      </c>
      <c r="G10444" s="20" t="str">
        <f>IFERROR(__xludf.DUMMYFUNCTION("""COMPUTED_VALUE"""),"Uncle Sams Cider (04/04/2023)")</f>
        <v>Uncle Sams Cider (04/04/2023)</v>
      </c>
      <c r="H10444" s="19"/>
    </row>
    <row r="10445">
      <c r="A10445" s="9"/>
      <c r="B10445" s="15"/>
      <c r="C10445" s="9">
        <f>IFERROR(__xludf.DUMMYFUNCTION("""COMPUTED_VALUE"""),45034.3798219907)</f>
        <v>45034.37982</v>
      </c>
      <c r="D10445" s="15">
        <f>IFERROR(__xludf.DUMMYFUNCTION("""COMPUTED_VALUE"""),1.048)</f>
        <v>1.048</v>
      </c>
      <c r="E10445" s="16">
        <f>IFERROR(__xludf.DUMMYFUNCTION("""COMPUTED_VALUE"""),64.0)</f>
        <v>64</v>
      </c>
      <c r="F10445" s="19" t="str">
        <f>IFERROR(__xludf.DUMMYFUNCTION("""COMPUTED_VALUE"""),"BLUE")</f>
        <v>BLUE</v>
      </c>
      <c r="G10445" s="20" t="str">
        <f>IFERROR(__xludf.DUMMYFUNCTION("""COMPUTED_VALUE"""),"Uncle Sams Cider (04/04/2023)")</f>
        <v>Uncle Sams Cider (04/04/2023)</v>
      </c>
      <c r="H10445" s="19"/>
    </row>
    <row r="10446">
      <c r="A10446" s="9"/>
      <c r="B10446" s="15"/>
      <c r="C10446" s="9">
        <f>IFERROR(__xludf.DUMMYFUNCTION("""COMPUTED_VALUE"""),45034.3694011226)</f>
        <v>45034.3694</v>
      </c>
      <c r="D10446" s="15">
        <f>IFERROR(__xludf.DUMMYFUNCTION("""COMPUTED_VALUE"""),1.048)</f>
        <v>1.048</v>
      </c>
      <c r="E10446" s="16">
        <f>IFERROR(__xludf.DUMMYFUNCTION("""COMPUTED_VALUE"""),64.0)</f>
        <v>64</v>
      </c>
      <c r="F10446" s="19" t="str">
        <f>IFERROR(__xludf.DUMMYFUNCTION("""COMPUTED_VALUE"""),"BLUE")</f>
        <v>BLUE</v>
      </c>
      <c r="G10446" s="20" t="str">
        <f>IFERROR(__xludf.DUMMYFUNCTION("""COMPUTED_VALUE"""),"Uncle Sams Cider (04/04/2023)")</f>
        <v>Uncle Sams Cider (04/04/2023)</v>
      </c>
      <c r="H10446" s="19"/>
    </row>
    <row r="10447">
      <c r="A10447" s="9"/>
      <c r="B10447" s="15"/>
      <c r="C10447" s="9">
        <f>IFERROR(__xludf.DUMMYFUNCTION("""COMPUTED_VALUE"""),45034.3589788541)</f>
        <v>45034.35898</v>
      </c>
      <c r="D10447" s="15">
        <f>IFERROR(__xludf.DUMMYFUNCTION("""COMPUTED_VALUE"""),1.048)</f>
        <v>1.048</v>
      </c>
      <c r="E10447" s="16">
        <f>IFERROR(__xludf.DUMMYFUNCTION("""COMPUTED_VALUE"""),64.0)</f>
        <v>64</v>
      </c>
      <c r="F10447" s="19" t="str">
        <f>IFERROR(__xludf.DUMMYFUNCTION("""COMPUTED_VALUE"""),"BLUE")</f>
        <v>BLUE</v>
      </c>
      <c r="G10447" s="20" t="str">
        <f>IFERROR(__xludf.DUMMYFUNCTION("""COMPUTED_VALUE"""),"Uncle Sams Cider (04/04/2023)")</f>
        <v>Uncle Sams Cider (04/04/2023)</v>
      </c>
      <c r="H10447" s="19"/>
    </row>
    <row r="10448">
      <c r="A10448" s="9"/>
      <c r="B10448" s="15"/>
      <c r="C10448" s="9">
        <f>IFERROR(__xludf.DUMMYFUNCTION("""COMPUTED_VALUE"""),45034.3485478472)</f>
        <v>45034.34855</v>
      </c>
      <c r="D10448" s="15">
        <f>IFERROR(__xludf.DUMMYFUNCTION("""COMPUTED_VALUE"""),1.048)</f>
        <v>1.048</v>
      </c>
      <c r="E10448" s="16">
        <f>IFERROR(__xludf.DUMMYFUNCTION("""COMPUTED_VALUE"""),64.0)</f>
        <v>64</v>
      </c>
      <c r="F10448" s="19" t="str">
        <f>IFERROR(__xludf.DUMMYFUNCTION("""COMPUTED_VALUE"""),"BLUE")</f>
        <v>BLUE</v>
      </c>
      <c r="G10448" s="20" t="str">
        <f>IFERROR(__xludf.DUMMYFUNCTION("""COMPUTED_VALUE"""),"Uncle Sams Cider (04/04/2023)")</f>
        <v>Uncle Sams Cider (04/04/2023)</v>
      </c>
      <c r="H10448" s="19"/>
    </row>
    <row r="10449">
      <c r="A10449" s="9"/>
      <c r="B10449" s="15"/>
      <c r="C10449" s="9">
        <f>IFERROR(__xludf.DUMMYFUNCTION("""COMPUTED_VALUE"""),45034.3381263425)</f>
        <v>45034.33813</v>
      </c>
      <c r="D10449" s="15">
        <f>IFERROR(__xludf.DUMMYFUNCTION("""COMPUTED_VALUE"""),1.048)</f>
        <v>1.048</v>
      </c>
      <c r="E10449" s="16">
        <f>IFERROR(__xludf.DUMMYFUNCTION("""COMPUTED_VALUE"""),64.0)</f>
        <v>64</v>
      </c>
      <c r="F10449" s="19" t="str">
        <f>IFERROR(__xludf.DUMMYFUNCTION("""COMPUTED_VALUE"""),"BLUE")</f>
        <v>BLUE</v>
      </c>
      <c r="G10449" s="20" t="str">
        <f>IFERROR(__xludf.DUMMYFUNCTION("""COMPUTED_VALUE"""),"Uncle Sams Cider (04/04/2023)")</f>
        <v>Uncle Sams Cider (04/04/2023)</v>
      </c>
      <c r="H10449" s="19"/>
    </row>
    <row r="10450">
      <c r="A10450" s="9"/>
      <c r="B10450" s="15"/>
      <c r="C10450" s="9">
        <f>IFERROR(__xludf.DUMMYFUNCTION("""COMPUTED_VALUE"""),45034.3277044444)</f>
        <v>45034.3277</v>
      </c>
      <c r="D10450" s="15">
        <f>IFERROR(__xludf.DUMMYFUNCTION("""COMPUTED_VALUE"""),1.048)</f>
        <v>1.048</v>
      </c>
      <c r="E10450" s="16">
        <f>IFERROR(__xludf.DUMMYFUNCTION("""COMPUTED_VALUE"""),64.0)</f>
        <v>64</v>
      </c>
      <c r="F10450" s="19" t="str">
        <f>IFERROR(__xludf.DUMMYFUNCTION("""COMPUTED_VALUE"""),"BLUE")</f>
        <v>BLUE</v>
      </c>
      <c r="G10450" s="20" t="str">
        <f>IFERROR(__xludf.DUMMYFUNCTION("""COMPUTED_VALUE"""),"Uncle Sams Cider (04/04/2023)")</f>
        <v>Uncle Sams Cider (04/04/2023)</v>
      </c>
      <c r="H10450" s="19"/>
    </row>
    <row r="10451">
      <c r="A10451" s="9"/>
      <c r="B10451" s="15"/>
      <c r="C10451" s="9">
        <f>IFERROR(__xludf.DUMMYFUNCTION("""COMPUTED_VALUE"""),45034.317282743)</f>
        <v>45034.31728</v>
      </c>
      <c r="D10451" s="15">
        <f>IFERROR(__xludf.DUMMYFUNCTION("""COMPUTED_VALUE"""),1.048)</f>
        <v>1.048</v>
      </c>
      <c r="E10451" s="16">
        <f>IFERROR(__xludf.DUMMYFUNCTION("""COMPUTED_VALUE"""),64.0)</f>
        <v>64</v>
      </c>
      <c r="F10451" s="19" t="str">
        <f>IFERROR(__xludf.DUMMYFUNCTION("""COMPUTED_VALUE"""),"BLUE")</f>
        <v>BLUE</v>
      </c>
      <c r="G10451" s="20" t="str">
        <f>IFERROR(__xludf.DUMMYFUNCTION("""COMPUTED_VALUE"""),"Uncle Sams Cider (04/04/2023)")</f>
        <v>Uncle Sams Cider (04/04/2023)</v>
      </c>
      <c r="H10451" s="19"/>
    </row>
    <row r="10452">
      <c r="A10452" s="9"/>
      <c r="B10452" s="15"/>
      <c r="C10452" s="9">
        <f>IFERROR(__xludf.DUMMYFUNCTION("""COMPUTED_VALUE"""),45034.3068626273)</f>
        <v>45034.30686</v>
      </c>
      <c r="D10452" s="15">
        <f>IFERROR(__xludf.DUMMYFUNCTION("""COMPUTED_VALUE"""),1.049)</f>
        <v>1.049</v>
      </c>
      <c r="E10452" s="16">
        <f>IFERROR(__xludf.DUMMYFUNCTION("""COMPUTED_VALUE"""),64.0)</f>
        <v>64</v>
      </c>
      <c r="F10452" s="19" t="str">
        <f>IFERROR(__xludf.DUMMYFUNCTION("""COMPUTED_VALUE"""),"BLUE")</f>
        <v>BLUE</v>
      </c>
      <c r="G10452" s="20" t="str">
        <f>IFERROR(__xludf.DUMMYFUNCTION("""COMPUTED_VALUE"""),"Uncle Sams Cider (04/04/2023)")</f>
        <v>Uncle Sams Cider (04/04/2023)</v>
      </c>
      <c r="H10452" s="19"/>
    </row>
    <row r="10453">
      <c r="A10453" s="9"/>
      <c r="B10453" s="15"/>
      <c r="C10453" s="9">
        <f>IFERROR(__xludf.DUMMYFUNCTION("""COMPUTED_VALUE"""),45034.2964400694)</f>
        <v>45034.29644</v>
      </c>
      <c r="D10453" s="15">
        <f>IFERROR(__xludf.DUMMYFUNCTION("""COMPUTED_VALUE"""),1.048)</f>
        <v>1.048</v>
      </c>
      <c r="E10453" s="16">
        <f>IFERROR(__xludf.DUMMYFUNCTION("""COMPUTED_VALUE"""),64.0)</f>
        <v>64</v>
      </c>
      <c r="F10453" s="19" t="str">
        <f>IFERROR(__xludf.DUMMYFUNCTION("""COMPUTED_VALUE"""),"BLUE")</f>
        <v>BLUE</v>
      </c>
      <c r="G10453" s="20" t="str">
        <f>IFERROR(__xludf.DUMMYFUNCTION("""COMPUTED_VALUE"""),"Uncle Sams Cider (04/04/2023)")</f>
        <v>Uncle Sams Cider (04/04/2023)</v>
      </c>
      <c r="H10453" s="19"/>
    </row>
    <row r="10454">
      <c r="A10454" s="9"/>
      <c r="B10454" s="15"/>
      <c r="C10454" s="9">
        <f>IFERROR(__xludf.DUMMYFUNCTION("""COMPUTED_VALUE"""),45034.2860190393)</f>
        <v>45034.28602</v>
      </c>
      <c r="D10454" s="15">
        <f>IFERROR(__xludf.DUMMYFUNCTION("""COMPUTED_VALUE"""),1.048)</f>
        <v>1.048</v>
      </c>
      <c r="E10454" s="16">
        <f>IFERROR(__xludf.DUMMYFUNCTION("""COMPUTED_VALUE"""),64.0)</f>
        <v>64</v>
      </c>
      <c r="F10454" s="19" t="str">
        <f>IFERROR(__xludf.DUMMYFUNCTION("""COMPUTED_VALUE"""),"BLUE")</f>
        <v>BLUE</v>
      </c>
      <c r="G10454" s="20" t="str">
        <f>IFERROR(__xludf.DUMMYFUNCTION("""COMPUTED_VALUE"""),"Uncle Sams Cider (04/04/2023)")</f>
        <v>Uncle Sams Cider (04/04/2023)</v>
      </c>
      <c r="H10454" s="19"/>
    </row>
    <row r="10455">
      <c r="A10455" s="9"/>
      <c r="B10455" s="15"/>
      <c r="C10455" s="9">
        <f>IFERROR(__xludf.DUMMYFUNCTION("""COMPUTED_VALUE"""),45034.2755858564)</f>
        <v>45034.27559</v>
      </c>
      <c r="D10455" s="15">
        <f>IFERROR(__xludf.DUMMYFUNCTION("""COMPUTED_VALUE"""),1.048)</f>
        <v>1.048</v>
      </c>
      <c r="E10455" s="16">
        <f>IFERROR(__xludf.DUMMYFUNCTION("""COMPUTED_VALUE"""),64.0)</f>
        <v>64</v>
      </c>
      <c r="F10455" s="19" t="str">
        <f>IFERROR(__xludf.DUMMYFUNCTION("""COMPUTED_VALUE"""),"BLUE")</f>
        <v>BLUE</v>
      </c>
      <c r="G10455" s="20" t="str">
        <f>IFERROR(__xludf.DUMMYFUNCTION("""COMPUTED_VALUE"""),"Uncle Sams Cider (04/04/2023)")</f>
        <v>Uncle Sams Cider (04/04/2023)</v>
      </c>
      <c r="H10455" s="19"/>
    </row>
    <row r="10456">
      <c r="A10456" s="9"/>
      <c r="B10456" s="15"/>
      <c r="C10456" s="9">
        <f>IFERROR(__xludf.DUMMYFUNCTION("""COMPUTED_VALUE"""),45034.2651524652)</f>
        <v>45034.26515</v>
      </c>
      <c r="D10456" s="15">
        <f>IFERROR(__xludf.DUMMYFUNCTION("""COMPUTED_VALUE"""),1.049)</f>
        <v>1.049</v>
      </c>
      <c r="E10456" s="16">
        <f>IFERROR(__xludf.DUMMYFUNCTION("""COMPUTED_VALUE"""),64.0)</f>
        <v>64</v>
      </c>
      <c r="F10456" s="19" t="str">
        <f>IFERROR(__xludf.DUMMYFUNCTION("""COMPUTED_VALUE"""),"BLUE")</f>
        <v>BLUE</v>
      </c>
      <c r="G10456" s="20" t="str">
        <f>IFERROR(__xludf.DUMMYFUNCTION("""COMPUTED_VALUE"""),"Uncle Sams Cider (04/04/2023)")</f>
        <v>Uncle Sams Cider (04/04/2023)</v>
      </c>
      <c r="H10456" s="19"/>
    </row>
    <row r="10457">
      <c r="A10457" s="9"/>
      <c r="B10457" s="15"/>
      <c r="C10457" s="9">
        <f>IFERROR(__xludf.DUMMYFUNCTION("""COMPUTED_VALUE"""),45034.2547310069)</f>
        <v>45034.25473</v>
      </c>
      <c r="D10457" s="15">
        <f>IFERROR(__xludf.DUMMYFUNCTION("""COMPUTED_VALUE"""),1.049)</f>
        <v>1.049</v>
      </c>
      <c r="E10457" s="16">
        <f>IFERROR(__xludf.DUMMYFUNCTION("""COMPUTED_VALUE"""),64.0)</f>
        <v>64</v>
      </c>
      <c r="F10457" s="19" t="str">
        <f>IFERROR(__xludf.DUMMYFUNCTION("""COMPUTED_VALUE"""),"BLUE")</f>
        <v>BLUE</v>
      </c>
      <c r="G10457" s="20" t="str">
        <f>IFERROR(__xludf.DUMMYFUNCTION("""COMPUTED_VALUE"""),"Uncle Sams Cider (04/04/2023)")</f>
        <v>Uncle Sams Cider (04/04/2023)</v>
      </c>
      <c r="H10457" s="19"/>
    </row>
    <row r="10458">
      <c r="A10458" s="9"/>
      <c r="B10458" s="15"/>
      <c r="C10458" s="9">
        <f>IFERROR(__xludf.DUMMYFUNCTION("""COMPUTED_VALUE"""),45034.2443091898)</f>
        <v>45034.24431</v>
      </c>
      <c r="D10458" s="15">
        <f>IFERROR(__xludf.DUMMYFUNCTION("""COMPUTED_VALUE"""),1.049)</f>
        <v>1.049</v>
      </c>
      <c r="E10458" s="16">
        <f>IFERROR(__xludf.DUMMYFUNCTION("""COMPUTED_VALUE"""),64.0)</f>
        <v>64</v>
      </c>
      <c r="F10458" s="19" t="str">
        <f>IFERROR(__xludf.DUMMYFUNCTION("""COMPUTED_VALUE"""),"BLUE")</f>
        <v>BLUE</v>
      </c>
      <c r="G10458" s="20" t="str">
        <f>IFERROR(__xludf.DUMMYFUNCTION("""COMPUTED_VALUE"""),"Uncle Sams Cider (04/04/2023)")</f>
        <v>Uncle Sams Cider (04/04/2023)</v>
      </c>
      <c r="H10458" s="19"/>
    </row>
    <row r="10459">
      <c r="A10459" s="9"/>
      <c r="B10459" s="15"/>
      <c r="C10459" s="9">
        <f>IFERROR(__xludf.DUMMYFUNCTION("""COMPUTED_VALUE"""),45034.2338868055)</f>
        <v>45034.23389</v>
      </c>
      <c r="D10459" s="15">
        <f>IFERROR(__xludf.DUMMYFUNCTION("""COMPUTED_VALUE"""),1.049)</f>
        <v>1.049</v>
      </c>
      <c r="E10459" s="16">
        <f>IFERROR(__xludf.DUMMYFUNCTION("""COMPUTED_VALUE"""),64.0)</f>
        <v>64</v>
      </c>
      <c r="F10459" s="19" t="str">
        <f>IFERROR(__xludf.DUMMYFUNCTION("""COMPUTED_VALUE"""),"BLUE")</f>
        <v>BLUE</v>
      </c>
      <c r="G10459" s="20" t="str">
        <f>IFERROR(__xludf.DUMMYFUNCTION("""COMPUTED_VALUE"""),"Uncle Sams Cider (04/04/2023)")</f>
        <v>Uncle Sams Cider (04/04/2023)</v>
      </c>
      <c r="H10459" s="19"/>
    </row>
    <row r="10460">
      <c r="A10460" s="9"/>
      <c r="B10460" s="15"/>
      <c r="C10460" s="9">
        <f>IFERROR(__xludf.DUMMYFUNCTION("""COMPUTED_VALUE"""),45034.2234669791)</f>
        <v>45034.22347</v>
      </c>
      <c r="D10460" s="15">
        <f>IFERROR(__xludf.DUMMYFUNCTION("""COMPUTED_VALUE"""),1.049)</f>
        <v>1.049</v>
      </c>
      <c r="E10460" s="16">
        <f>IFERROR(__xludf.DUMMYFUNCTION("""COMPUTED_VALUE"""),64.0)</f>
        <v>64</v>
      </c>
      <c r="F10460" s="19" t="str">
        <f>IFERROR(__xludf.DUMMYFUNCTION("""COMPUTED_VALUE"""),"BLUE")</f>
        <v>BLUE</v>
      </c>
      <c r="G10460" s="20" t="str">
        <f>IFERROR(__xludf.DUMMYFUNCTION("""COMPUTED_VALUE"""),"Uncle Sams Cider (04/04/2023)")</f>
        <v>Uncle Sams Cider (04/04/2023)</v>
      </c>
      <c r="H10460" s="19"/>
    </row>
    <row r="10461">
      <c r="A10461" s="9"/>
      <c r="B10461" s="15"/>
      <c r="C10461" s="9">
        <f>IFERROR(__xludf.DUMMYFUNCTION("""COMPUTED_VALUE"""),45034.2130460763)</f>
        <v>45034.21305</v>
      </c>
      <c r="D10461" s="15">
        <f>IFERROR(__xludf.DUMMYFUNCTION("""COMPUTED_VALUE"""),1.049)</f>
        <v>1.049</v>
      </c>
      <c r="E10461" s="16">
        <f>IFERROR(__xludf.DUMMYFUNCTION("""COMPUTED_VALUE"""),64.0)</f>
        <v>64</v>
      </c>
      <c r="F10461" s="19" t="str">
        <f>IFERROR(__xludf.DUMMYFUNCTION("""COMPUTED_VALUE"""),"BLUE")</f>
        <v>BLUE</v>
      </c>
      <c r="G10461" s="20" t="str">
        <f>IFERROR(__xludf.DUMMYFUNCTION("""COMPUTED_VALUE"""),"Uncle Sams Cider (04/04/2023)")</f>
        <v>Uncle Sams Cider (04/04/2023)</v>
      </c>
      <c r="H10461" s="19"/>
    </row>
    <row r="10462">
      <c r="A10462" s="9"/>
      <c r="B10462" s="15"/>
      <c r="C10462" s="9">
        <f>IFERROR(__xludf.DUMMYFUNCTION("""COMPUTED_VALUE"""),45034.2026253356)</f>
        <v>45034.20263</v>
      </c>
      <c r="D10462" s="15">
        <f>IFERROR(__xludf.DUMMYFUNCTION("""COMPUTED_VALUE"""),1.049)</f>
        <v>1.049</v>
      </c>
      <c r="E10462" s="16">
        <f>IFERROR(__xludf.DUMMYFUNCTION("""COMPUTED_VALUE"""),64.0)</f>
        <v>64</v>
      </c>
      <c r="F10462" s="19" t="str">
        <f>IFERROR(__xludf.DUMMYFUNCTION("""COMPUTED_VALUE"""),"BLUE")</f>
        <v>BLUE</v>
      </c>
      <c r="G10462" s="20" t="str">
        <f>IFERROR(__xludf.DUMMYFUNCTION("""COMPUTED_VALUE"""),"Uncle Sams Cider (04/04/2023)")</f>
        <v>Uncle Sams Cider (04/04/2023)</v>
      </c>
      <c r="H10462" s="19"/>
    </row>
    <row r="10463">
      <c r="A10463" s="9"/>
      <c r="B10463" s="15"/>
      <c r="C10463" s="9">
        <f>IFERROR(__xludf.DUMMYFUNCTION("""COMPUTED_VALUE"""),45034.1921917245)</f>
        <v>45034.19219</v>
      </c>
      <c r="D10463" s="15">
        <f>IFERROR(__xludf.DUMMYFUNCTION("""COMPUTED_VALUE"""),1.049)</f>
        <v>1.049</v>
      </c>
      <c r="E10463" s="16">
        <f>IFERROR(__xludf.DUMMYFUNCTION("""COMPUTED_VALUE"""),64.0)</f>
        <v>64</v>
      </c>
      <c r="F10463" s="19" t="str">
        <f>IFERROR(__xludf.DUMMYFUNCTION("""COMPUTED_VALUE"""),"BLUE")</f>
        <v>BLUE</v>
      </c>
      <c r="G10463" s="20" t="str">
        <f>IFERROR(__xludf.DUMMYFUNCTION("""COMPUTED_VALUE"""),"Uncle Sams Cider (04/04/2023)")</f>
        <v>Uncle Sams Cider (04/04/2023)</v>
      </c>
      <c r="H10463" s="19"/>
    </row>
    <row r="10464">
      <c r="A10464" s="9"/>
      <c r="B10464" s="15"/>
      <c r="C10464" s="9">
        <f>IFERROR(__xludf.DUMMYFUNCTION("""COMPUTED_VALUE"""),45034.1817593402)</f>
        <v>45034.18176</v>
      </c>
      <c r="D10464" s="15">
        <f>IFERROR(__xludf.DUMMYFUNCTION("""COMPUTED_VALUE"""),1.049)</f>
        <v>1.049</v>
      </c>
      <c r="E10464" s="16">
        <f>IFERROR(__xludf.DUMMYFUNCTION("""COMPUTED_VALUE"""),64.0)</f>
        <v>64</v>
      </c>
      <c r="F10464" s="19" t="str">
        <f>IFERROR(__xludf.DUMMYFUNCTION("""COMPUTED_VALUE"""),"BLUE")</f>
        <v>BLUE</v>
      </c>
      <c r="G10464" s="20" t="str">
        <f>IFERROR(__xludf.DUMMYFUNCTION("""COMPUTED_VALUE"""),"Uncle Sams Cider (04/04/2023)")</f>
        <v>Uncle Sams Cider (04/04/2023)</v>
      </c>
      <c r="H10464" s="19"/>
    </row>
    <row r="10465">
      <c r="A10465" s="9"/>
      <c r="B10465" s="15"/>
      <c r="C10465" s="9">
        <f>IFERROR(__xludf.DUMMYFUNCTION("""COMPUTED_VALUE"""),45034.1713149652)</f>
        <v>45034.17131</v>
      </c>
      <c r="D10465" s="15">
        <f>IFERROR(__xludf.DUMMYFUNCTION("""COMPUTED_VALUE"""),1.049)</f>
        <v>1.049</v>
      </c>
      <c r="E10465" s="16">
        <f>IFERROR(__xludf.DUMMYFUNCTION("""COMPUTED_VALUE"""),64.0)</f>
        <v>64</v>
      </c>
      <c r="F10465" s="19" t="str">
        <f>IFERROR(__xludf.DUMMYFUNCTION("""COMPUTED_VALUE"""),"BLUE")</f>
        <v>BLUE</v>
      </c>
      <c r="G10465" s="20" t="str">
        <f>IFERROR(__xludf.DUMMYFUNCTION("""COMPUTED_VALUE"""),"Uncle Sams Cider (04/04/2023)")</f>
        <v>Uncle Sams Cider (04/04/2023)</v>
      </c>
      <c r="H10465" s="19"/>
    </row>
    <row r="10466">
      <c r="A10466" s="9"/>
      <c r="B10466" s="15"/>
      <c r="C10466" s="9">
        <f>IFERROR(__xludf.DUMMYFUNCTION("""COMPUTED_VALUE"""),45034.1608939004)</f>
        <v>45034.16089</v>
      </c>
      <c r="D10466" s="15">
        <f>IFERROR(__xludf.DUMMYFUNCTION("""COMPUTED_VALUE"""),1.049)</f>
        <v>1.049</v>
      </c>
      <c r="E10466" s="16">
        <f>IFERROR(__xludf.DUMMYFUNCTION("""COMPUTED_VALUE"""),64.0)</f>
        <v>64</v>
      </c>
      <c r="F10466" s="19" t="str">
        <f>IFERROR(__xludf.DUMMYFUNCTION("""COMPUTED_VALUE"""),"BLUE")</f>
        <v>BLUE</v>
      </c>
      <c r="G10466" s="20" t="str">
        <f>IFERROR(__xludf.DUMMYFUNCTION("""COMPUTED_VALUE"""),"Uncle Sams Cider (04/04/2023)")</f>
        <v>Uncle Sams Cider (04/04/2023)</v>
      </c>
      <c r="H10466" s="19"/>
    </row>
    <row r="10467">
      <c r="A10467" s="9"/>
      <c r="B10467" s="15"/>
      <c r="C10467" s="9">
        <f>IFERROR(__xludf.DUMMYFUNCTION("""COMPUTED_VALUE"""),45034.1504721064)</f>
        <v>45034.15047</v>
      </c>
      <c r="D10467" s="15">
        <f>IFERROR(__xludf.DUMMYFUNCTION("""COMPUTED_VALUE"""),1.049)</f>
        <v>1.049</v>
      </c>
      <c r="E10467" s="16">
        <f>IFERROR(__xludf.DUMMYFUNCTION("""COMPUTED_VALUE"""),64.0)</f>
        <v>64</v>
      </c>
      <c r="F10467" s="19" t="str">
        <f>IFERROR(__xludf.DUMMYFUNCTION("""COMPUTED_VALUE"""),"BLUE")</f>
        <v>BLUE</v>
      </c>
      <c r="G10467" s="20" t="str">
        <f>IFERROR(__xludf.DUMMYFUNCTION("""COMPUTED_VALUE"""),"Uncle Sams Cider (04/04/2023)")</f>
        <v>Uncle Sams Cider (04/04/2023)</v>
      </c>
      <c r="H10467" s="19"/>
    </row>
    <row r="10468">
      <c r="A10468" s="9"/>
      <c r="B10468" s="15"/>
      <c r="C10468" s="9">
        <f>IFERROR(__xludf.DUMMYFUNCTION("""COMPUTED_VALUE"""),45034.1400494907)</f>
        <v>45034.14005</v>
      </c>
      <c r="D10468" s="15">
        <f>IFERROR(__xludf.DUMMYFUNCTION("""COMPUTED_VALUE"""),1.049)</f>
        <v>1.049</v>
      </c>
      <c r="E10468" s="16">
        <f>IFERROR(__xludf.DUMMYFUNCTION("""COMPUTED_VALUE"""),65.0)</f>
        <v>65</v>
      </c>
      <c r="F10468" s="19" t="str">
        <f>IFERROR(__xludf.DUMMYFUNCTION("""COMPUTED_VALUE"""),"BLUE")</f>
        <v>BLUE</v>
      </c>
      <c r="G10468" s="20" t="str">
        <f>IFERROR(__xludf.DUMMYFUNCTION("""COMPUTED_VALUE"""),"Uncle Sams Cider (04/04/2023)")</f>
        <v>Uncle Sams Cider (04/04/2023)</v>
      </c>
      <c r="H10468" s="19"/>
    </row>
    <row r="10469">
      <c r="A10469" s="9"/>
      <c r="B10469" s="15"/>
      <c r="C10469" s="9">
        <f>IFERROR(__xludf.DUMMYFUNCTION("""COMPUTED_VALUE"""),45034.1296283564)</f>
        <v>45034.12963</v>
      </c>
      <c r="D10469" s="15">
        <f>IFERROR(__xludf.DUMMYFUNCTION("""COMPUTED_VALUE"""),1.049)</f>
        <v>1.049</v>
      </c>
      <c r="E10469" s="16">
        <f>IFERROR(__xludf.DUMMYFUNCTION("""COMPUTED_VALUE"""),65.0)</f>
        <v>65</v>
      </c>
      <c r="F10469" s="19" t="str">
        <f>IFERROR(__xludf.DUMMYFUNCTION("""COMPUTED_VALUE"""),"BLUE")</f>
        <v>BLUE</v>
      </c>
      <c r="G10469" s="20" t="str">
        <f>IFERROR(__xludf.DUMMYFUNCTION("""COMPUTED_VALUE"""),"Uncle Sams Cider (04/04/2023)")</f>
        <v>Uncle Sams Cider (04/04/2023)</v>
      </c>
      <c r="H10469" s="19"/>
    </row>
    <row r="10470">
      <c r="A10470" s="9"/>
      <c r="B10470" s="15"/>
      <c r="C10470" s="9">
        <f>IFERROR(__xludf.DUMMYFUNCTION("""COMPUTED_VALUE"""),45034.1191977777)</f>
        <v>45034.1192</v>
      </c>
      <c r="D10470" s="15">
        <f>IFERROR(__xludf.DUMMYFUNCTION("""COMPUTED_VALUE"""),1.049)</f>
        <v>1.049</v>
      </c>
      <c r="E10470" s="16">
        <f>IFERROR(__xludf.DUMMYFUNCTION("""COMPUTED_VALUE"""),64.0)</f>
        <v>64</v>
      </c>
      <c r="F10470" s="19" t="str">
        <f>IFERROR(__xludf.DUMMYFUNCTION("""COMPUTED_VALUE"""),"BLUE")</f>
        <v>BLUE</v>
      </c>
      <c r="G10470" s="20" t="str">
        <f>IFERROR(__xludf.DUMMYFUNCTION("""COMPUTED_VALUE"""),"Uncle Sams Cider (04/04/2023)")</f>
        <v>Uncle Sams Cider (04/04/2023)</v>
      </c>
      <c r="H10470" s="19"/>
    </row>
    <row r="10471">
      <c r="A10471" s="9"/>
      <c r="B10471" s="15"/>
      <c r="C10471" s="9">
        <f>IFERROR(__xludf.DUMMYFUNCTION("""COMPUTED_VALUE"""),45034.1087765625)</f>
        <v>45034.10878</v>
      </c>
      <c r="D10471" s="15">
        <f>IFERROR(__xludf.DUMMYFUNCTION("""COMPUTED_VALUE"""),1.049)</f>
        <v>1.049</v>
      </c>
      <c r="E10471" s="16">
        <f>IFERROR(__xludf.DUMMYFUNCTION("""COMPUTED_VALUE"""),64.0)</f>
        <v>64</v>
      </c>
      <c r="F10471" s="19" t="str">
        <f>IFERROR(__xludf.DUMMYFUNCTION("""COMPUTED_VALUE"""),"BLUE")</f>
        <v>BLUE</v>
      </c>
      <c r="G10471" s="20" t="str">
        <f>IFERROR(__xludf.DUMMYFUNCTION("""COMPUTED_VALUE"""),"Uncle Sams Cider (04/04/2023)")</f>
        <v>Uncle Sams Cider (04/04/2023)</v>
      </c>
      <c r="H10471" s="19"/>
    </row>
    <row r="10472">
      <c r="A10472" s="9"/>
      <c r="B10472" s="15"/>
      <c r="C10472" s="9">
        <f>IFERROR(__xludf.DUMMYFUNCTION("""COMPUTED_VALUE"""),45034.0983553009)</f>
        <v>45034.09836</v>
      </c>
      <c r="D10472" s="15">
        <f>IFERROR(__xludf.DUMMYFUNCTION("""COMPUTED_VALUE"""),1.049)</f>
        <v>1.049</v>
      </c>
      <c r="E10472" s="16">
        <f>IFERROR(__xludf.DUMMYFUNCTION("""COMPUTED_VALUE"""),64.0)</f>
        <v>64</v>
      </c>
      <c r="F10472" s="19" t="str">
        <f>IFERROR(__xludf.DUMMYFUNCTION("""COMPUTED_VALUE"""),"BLUE")</f>
        <v>BLUE</v>
      </c>
      <c r="G10472" s="20" t="str">
        <f>IFERROR(__xludf.DUMMYFUNCTION("""COMPUTED_VALUE"""),"Uncle Sams Cider (04/04/2023)")</f>
        <v>Uncle Sams Cider (04/04/2023)</v>
      </c>
      <c r="H10472" s="19"/>
    </row>
    <row r="10473">
      <c r="A10473" s="9"/>
      <c r="B10473" s="15"/>
      <c r="C10473" s="9">
        <f>IFERROR(__xludf.DUMMYFUNCTION("""COMPUTED_VALUE"""),45034.0879323611)</f>
        <v>45034.08793</v>
      </c>
      <c r="D10473" s="15">
        <f>IFERROR(__xludf.DUMMYFUNCTION("""COMPUTED_VALUE"""),1.049)</f>
        <v>1.049</v>
      </c>
      <c r="E10473" s="16">
        <f>IFERROR(__xludf.DUMMYFUNCTION("""COMPUTED_VALUE"""),64.0)</f>
        <v>64</v>
      </c>
      <c r="F10473" s="19" t="str">
        <f>IFERROR(__xludf.DUMMYFUNCTION("""COMPUTED_VALUE"""),"BLUE")</f>
        <v>BLUE</v>
      </c>
      <c r="G10473" s="20" t="str">
        <f>IFERROR(__xludf.DUMMYFUNCTION("""COMPUTED_VALUE"""),"Uncle Sams Cider (04/04/2023)")</f>
        <v>Uncle Sams Cider (04/04/2023)</v>
      </c>
      <c r="H10473" s="19"/>
    </row>
    <row r="10474">
      <c r="A10474" s="9"/>
      <c r="B10474" s="15"/>
      <c r="C10474" s="9">
        <f>IFERROR(__xludf.DUMMYFUNCTION("""COMPUTED_VALUE"""),45034.0774997685)</f>
        <v>45034.0775</v>
      </c>
      <c r="D10474" s="15">
        <f>IFERROR(__xludf.DUMMYFUNCTION("""COMPUTED_VALUE"""),1.049)</f>
        <v>1.049</v>
      </c>
      <c r="E10474" s="16">
        <f>IFERROR(__xludf.DUMMYFUNCTION("""COMPUTED_VALUE"""),64.0)</f>
        <v>64</v>
      </c>
      <c r="F10474" s="19" t="str">
        <f>IFERROR(__xludf.DUMMYFUNCTION("""COMPUTED_VALUE"""),"BLUE")</f>
        <v>BLUE</v>
      </c>
      <c r="G10474" s="20" t="str">
        <f>IFERROR(__xludf.DUMMYFUNCTION("""COMPUTED_VALUE"""),"Uncle Sams Cider (04/04/2023)")</f>
        <v>Uncle Sams Cider (04/04/2023)</v>
      </c>
      <c r="H10474" s="19"/>
    </row>
    <row r="10475">
      <c r="A10475" s="9"/>
      <c r="B10475" s="15"/>
      <c r="C10475" s="9">
        <f>IFERROR(__xludf.DUMMYFUNCTION("""COMPUTED_VALUE"""),45034.0670802314)</f>
        <v>45034.06708</v>
      </c>
      <c r="D10475" s="15">
        <f>IFERROR(__xludf.DUMMYFUNCTION("""COMPUTED_VALUE"""),1.049)</f>
        <v>1.049</v>
      </c>
      <c r="E10475" s="16">
        <f>IFERROR(__xludf.DUMMYFUNCTION("""COMPUTED_VALUE"""),64.0)</f>
        <v>64</v>
      </c>
      <c r="F10475" s="19" t="str">
        <f>IFERROR(__xludf.DUMMYFUNCTION("""COMPUTED_VALUE"""),"BLUE")</f>
        <v>BLUE</v>
      </c>
      <c r="G10475" s="20" t="str">
        <f>IFERROR(__xludf.DUMMYFUNCTION("""COMPUTED_VALUE"""),"Uncle Sams Cider (04/04/2023)")</f>
        <v>Uncle Sams Cider (04/04/2023)</v>
      </c>
      <c r="H10475" s="19"/>
    </row>
    <row r="10476">
      <c r="A10476" s="9"/>
      <c r="B10476" s="15"/>
      <c r="C10476" s="9">
        <f>IFERROR(__xludf.DUMMYFUNCTION("""COMPUTED_VALUE"""),45034.0566594791)</f>
        <v>45034.05666</v>
      </c>
      <c r="D10476" s="15">
        <f>IFERROR(__xludf.DUMMYFUNCTION("""COMPUTED_VALUE"""),1.049)</f>
        <v>1.049</v>
      </c>
      <c r="E10476" s="16">
        <f>IFERROR(__xludf.DUMMYFUNCTION("""COMPUTED_VALUE"""),65.0)</f>
        <v>65</v>
      </c>
      <c r="F10476" s="19" t="str">
        <f>IFERROR(__xludf.DUMMYFUNCTION("""COMPUTED_VALUE"""),"BLUE")</f>
        <v>BLUE</v>
      </c>
      <c r="G10476" s="20" t="str">
        <f>IFERROR(__xludf.DUMMYFUNCTION("""COMPUTED_VALUE"""),"Uncle Sams Cider (04/04/2023)")</f>
        <v>Uncle Sams Cider (04/04/2023)</v>
      </c>
      <c r="H10476" s="19"/>
    </row>
    <row r="10477">
      <c r="A10477" s="9"/>
      <c r="B10477" s="15"/>
      <c r="C10477" s="9">
        <f>IFERROR(__xludf.DUMMYFUNCTION("""COMPUTED_VALUE"""),45034.0462380208)</f>
        <v>45034.04624</v>
      </c>
      <c r="D10477" s="15">
        <f>IFERROR(__xludf.DUMMYFUNCTION("""COMPUTED_VALUE"""),1.049)</f>
        <v>1.049</v>
      </c>
      <c r="E10477" s="16">
        <f>IFERROR(__xludf.DUMMYFUNCTION("""COMPUTED_VALUE"""),65.0)</f>
        <v>65</v>
      </c>
      <c r="F10477" s="19" t="str">
        <f>IFERROR(__xludf.DUMMYFUNCTION("""COMPUTED_VALUE"""),"BLUE")</f>
        <v>BLUE</v>
      </c>
      <c r="G10477" s="20" t="str">
        <f>IFERROR(__xludf.DUMMYFUNCTION("""COMPUTED_VALUE"""),"Uncle Sams Cider (04/04/2023)")</f>
        <v>Uncle Sams Cider (04/04/2023)</v>
      </c>
      <c r="H10477" s="19"/>
    </row>
    <row r="10478">
      <c r="A10478" s="9"/>
      <c r="B10478" s="15"/>
      <c r="C10478" s="9">
        <f>IFERROR(__xludf.DUMMYFUNCTION("""COMPUTED_VALUE"""),45034.0358161458)</f>
        <v>45034.03582</v>
      </c>
      <c r="D10478" s="15">
        <f>IFERROR(__xludf.DUMMYFUNCTION("""COMPUTED_VALUE"""),1.049)</f>
        <v>1.049</v>
      </c>
      <c r="E10478" s="16">
        <f>IFERROR(__xludf.DUMMYFUNCTION("""COMPUTED_VALUE"""),65.0)</f>
        <v>65</v>
      </c>
      <c r="F10478" s="19" t="str">
        <f>IFERROR(__xludf.DUMMYFUNCTION("""COMPUTED_VALUE"""),"BLUE")</f>
        <v>BLUE</v>
      </c>
      <c r="G10478" s="20" t="str">
        <f>IFERROR(__xludf.DUMMYFUNCTION("""COMPUTED_VALUE"""),"Uncle Sams Cider (04/04/2023)")</f>
        <v>Uncle Sams Cider (04/04/2023)</v>
      </c>
      <c r="H10478" s="19"/>
    </row>
    <row r="10479">
      <c r="A10479" s="9"/>
      <c r="B10479" s="15"/>
      <c r="C10479" s="9">
        <f>IFERROR(__xludf.DUMMYFUNCTION("""COMPUTED_VALUE"""),45034.0253958333)</f>
        <v>45034.0254</v>
      </c>
      <c r="D10479" s="15">
        <f>IFERROR(__xludf.DUMMYFUNCTION("""COMPUTED_VALUE"""),1.049)</f>
        <v>1.049</v>
      </c>
      <c r="E10479" s="16">
        <f>IFERROR(__xludf.DUMMYFUNCTION("""COMPUTED_VALUE"""),65.0)</f>
        <v>65</v>
      </c>
      <c r="F10479" s="19" t="str">
        <f>IFERROR(__xludf.DUMMYFUNCTION("""COMPUTED_VALUE"""),"BLUE")</f>
        <v>BLUE</v>
      </c>
      <c r="G10479" s="20" t="str">
        <f>IFERROR(__xludf.DUMMYFUNCTION("""COMPUTED_VALUE"""),"Uncle Sams Cider (04/04/2023)")</f>
        <v>Uncle Sams Cider (04/04/2023)</v>
      </c>
      <c r="H10479" s="19"/>
    </row>
    <row r="10480">
      <c r="A10480" s="9"/>
      <c r="B10480" s="15"/>
      <c r="C10480" s="9">
        <f>IFERROR(__xludf.DUMMYFUNCTION("""COMPUTED_VALUE"""),45034.0149741088)</f>
        <v>45034.01497</v>
      </c>
      <c r="D10480" s="15">
        <f>IFERROR(__xludf.DUMMYFUNCTION("""COMPUTED_VALUE"""),1.049)</f>
        <v>1.049</v>
      </c>
      <c r="E10480" s="16">
        <f>IFERROR(__xludf.DUMMYFUNCTION("""COMPUTED_VALUE"""),65.0)</f>
        <v>65</v>
      </c>
      <c r="F10480" s="19" t="str">
        <f>IFERROR(__xludf.DUMMYFUNCTION("""COMPUTED_VALUE"""),"BLUE")</f>
        <v>BLUE</v>
      </c>
      <c r="G10480" s="20" t="str">
        <f>IFERROR(__xludf.DUMMYFUNCTION("""COMPUTED_VALUE"""),"Uncle Sams Cider (04/04/2023)")</f>
        <v>Uncle Sams Cider (04/04/2023)</v>
      </c>
      <c r="H10480" s="19"/>
    </row>
    <row r="10481">
      <c r="A10481" s="9"/>
      <c r="B10481" s="15"/>
      <c r="C10481" s="9">
        <f>IFERROR(__xludf.DUMMYFUNCTION("""COMPUTED_VALUE"""),45034.0045531944)</f>
        <v>45034.00455</v>
      </c>
      <c r="D10481" s="15">
        <f>IFERROR(__xludf.DUMMYFUNCTION("""COMPUTED_VALUE"""),1.049)</f>
        <v>1.049</v>
      </c>
      <c r="E10481" s="16">
        <f>IFERROR(__xludf.DUMMYFUNCTION("""COMPUTED_VALUE"""),64.0)</f>
        <v>64</v>
      </c>
      <c r="F10481" s="19" t="str">
        <f>IFERROR(__xludf.DUMMYFUNCTION("""COMPUTED_VALUE"""),"BLUE")</f>
        <v>BLUE</v>
      </c>
      <c r="G10481" s="20" t="str">
        <f>IFERROR(__xludf.DUMMYFUNCTION("""COMPUTED_VALUE"""),"Uncle Sams Cider (04/04/2023)")</f>
        <v>Uncle Sams Cider (04/04/2023)</v>
      </c>
      <c r="H10481" s="19"/>
    </row>
    <row r="10482">
      <c r="A10482" s="9"/>
      <c r="B10482" s="15"/>
      <c r="C10482" s="9">
        <f>IFERROR(__xludf.DUMMYFUNCTION("""COMPUTED_VALUE"""),45033.9941083101)</f>
        <v>45033.99411</v>
      </c>
      <c r="D10482" s="15">
        <f>IFERROR(__xludf.DUMMYFUNCTION("""COMPUTED_VALUE"""),1.049)</f>
        <v>1.049</v>
      </c>
      <c r="E10482" s="16">
        <f>IFERROR(__xludf.DUMMYFUNCTION("""COMPUTED_VALUE"""),65.0)</f>
        <v>65</v>
      </c>
      <c r="F10482" s="19" t="str">
        <f>IFERROR(__xludf.DUMMYFUNCTION("""COMPUTED_VALUE"""),"BLUE")</f>
        <v>BLUE</v>
      </c>
      <c r="G10482" s="20" t="str">
        <f>IFERROR(__xludf.DUMMYFUNCTION("""COMPUTED_VALUE"""),"Uncle Sams Cider (04/04/2023)")</f>
        <v>Uncle Sams Cider (04/04/2023)</v>
      </c>
      <c r="H10482" s="19"/>
    </row>
    <row r="10483">
      <c r="A10483" s="9"/>
      <c r="B10483" s="15"/>
      <c r="C10483" s="9">
        <f>IFERROR(__xludf.DUMMYFUNCTION("""COMPUTED_VALUE"""),45033.98368728)</f>
        <v>45033.98369</v>
      </c>
      <c r="D10483" s="15">
        <f>IFERROR(__xludf.DUMMYFUNCTION("""COMPUTED_VALUE"""),1.049)</f>
        <v>1.049</v>
      </c>
      <c r="E10483" s="16">
        <f>IFERROR(__xludf.DUMMYFUNCTION("""COMPUTED_VALUE"""),65.0)</f>
        <v>65</v>
      </c>
      <c r="F10483" s="19" t="str">
        <f>IFERROR(__xludf.DUMMYFUNCTION("""COMPUTED_VALUE"""),"BLUE")</f>
        <v>BLUE</v>
      </c>
      <c r="G10483" s="20" t="str">
        <f>IFERROR(__xludf.DUMMYFUNCTION("""COMPUTED_VALUE"""),"Uncle Sams Cider (04/04/2023)")</f>
        <v>Uncle Sams Cider (04/04/2023)</v>
      </c>
      <c r="H10483" s="19"/>
    </row>
    <row r="10484">
      <c r="A10484" s="9"/>
      <c r="B10484" s="15"/>
      <c r="C10484" s="9">
        <f>IFERROR(__xludf.DUMMYFUNCTION("""COMPUTED_VALUE"""),45033.9732675231)</f>
        <v>45033.97327</v>
      </c>
      <c r="D10484" s="15">
        <f>IFERROR(__xludf.DUMMYFUNCTION("""COMPUTED_VALUE"""),1.05)</f>
        <v>1.05</v>
      </c>
      <c r="E10484" s="16">
        <f>IFERROR(__xludf.DUMMYFUNCTION("""COMPUTED_VALUE"""),65.0)</f>
        <v>65</v>
      </c>
      <c r="F10484" s="19" t="str">
        <f>IFERROR(__xludf.DUMMYFUNCTION("""COMPUTED_VALUE"""),"BLUE")</f>
        <v>BLUE</v>
      </c>
      <c r="G10484" s="20" t="str">
        <f>IFERROR(__xludf.DUMMYFUNCTION("""COMPUTED_VALUE"""),"Uncle Sams Cider (04/04/2023)")</f>
        <v>Uncle Sams Cider (04/04/2023)</v>
      </c>
      <c r="H10484" s="19"/>
    </row>
    <row r="10485">
      <c r="A10485" s="9"/>
      <c r="B10485" s="15"/>
      <c r="C10485" s="9">
        <f>IFERROR(__xludf.DUMMYFUNCTION("""COMPUTED_VALUE"""),45033.9628466666)</f>
        <v>45033.96285</v>
      </c>
      <c r="D10485" s="15">
        <f>IFERROR(__xludf.DUMMYFUNCTION("""COMPUTED_VALUE"""),1.049)</f>
        <v>1.049</v>
      </c>
      <c r="E10485" s="16">
        <f>IFERROR(__xludf.DUMMYFUNCTION("""COMPUTED_VALUE"""),64.0)</f>
        <v>64</v>
      </c>
      <c r="F10485" s="19" t="str">
        <f>IFERROR(__xludf.DUMMYFUNCTION("""COMPUTED_VALUE"""),"BLUE")</f>
        <v>BLUE</v>
      </c>
      <c r="G10485" s="20" t="str">
        <f>IFERROR(__xludf.DUMMYFUNCTION("""COMPUTED_VALUE"""),"Uncle Sams Cider (04/04/2023)")</f>
        <v>Uncle Sams Cider (04/04/2023)</v>
      </c>
      <c r="H10485" s="19"/>
    </row>
    <row r="10486">
      <c r="A10486" s="9"/>
      <c r="B10486" s="15"/>
      <c r="C10486" s="9">
        <f>IFERROR(__xludf.DUMMYFUNCTION("""COMPUTED_VALUE"""),45033.9524260879)</f>
        <v>45033.95243</v>
      </c>
      <c r="D10486" s="15">
        <f>IFERROR(__xludf.DUMMYFUNCTION("""COMPUTED_VALUE"""),1.05)</f>
        <v>1.05</v>
      </c>
      <c r="E10486" s="16">
        <f>IFERROR(__xludf.DUMMYFUNCTION("""COMPUTED_VALUE"""),65.0)</f>
        <v>65</v>
      </c>
      <c r="F10486" s="19" t="str">
        <f>IFERROR(__xludf.DUMMYFUNCTION("""COMPUTED_VALUE"""),"BLUE")</f>
        <v>BLUE</v>
      </c>
      <c r="G10486" s="20" t="str">
        <f>IFERROR(__xludf.DUMMYFUNCTION("""COMPUTED_VALUE"""),"Uncle Sams Cider (04/04/2023)")</f>
        <v>Uncle Sams Cider (04/04/2023)</v>
      </c>
      <c r="H10486" s="19"/>
    </row>
    <row r="10487">
      <c r="A10487" s="9"/>
      <c r="B10487" s="15"/>
      <c r="C10487" s="9">
        <f>IFERROR(__xludf.DUMMYFUNCTION("""COMPUTED_VALUE"""),45033.9420046875)</f>
        <v>45033.942</v>
      </c>
      <c r="D10487" s="15">
        <f>IFERROR(__xludf.DUMMYFUNCTION("""COMPUTED_VALUE"""),1.05)</f>
        <v>1.05</v>
      </c>
      <c r="E10487" s="16">
        <f>IFERROR(__xludf.DUMMYFUNCTION("""COMPUTED_VALUE"""),65.0)</f>
        <v>65</v>
      </c>
      <c r="F10487" s="19" t="str">
        <f>IFERROR(__xludf.DUMMYFUNCTION("""COMPUTED_VALUE"""),"BLUE")</f>
        <v>BLUE</v>
      </c>
      <c r="G10487" s="20" t="str">
        <f>IFERROR(__xludf.DUMMYFUNCTION("""COMPUTED_VALUE"""),"Uncle Sams Cider (04/04/2023)")</f>
        <v>Uncle Sams Cider (04/04/2023)</v>
      </c>
      <c r="H10487" s="19"/>
    </row>
    <row r="10488">
      <c r="A10488" s="9"/>
      <c r="B10488" s="15"/>
      <c r="C10488" s="9">
        <f>IFERROR(__xludf.DUMMYFUNCTION("""COMPUTED_VALUE"""),45033.9315843171)</f>
        <v>45033.93158</v>
      </c>
      <c r="D10488" s="15">
        <f>IFERROR(__xludf.DUMMYFUNCTION("""COMPUTED_VALUE"""),1.049)</f>
        <v>1.049</v>
      </c>
      <c r="E10488" s="16">
        <f>IFERROR(__xludf.DUMMYFUNCTION("""COMPUTED_VALUE"""),64.0)</f>
        <v>64</v>
      </c>
      <c r="F10488" s="19" t="str">
        <f>IFERROR(__xludf.DUMMYFUNCTION("""COMPUTED_VALUE"""),"BLUE")</f>
        <v>BLUE</v>
      </c>
      <c r="G10488" s="20" t="str">
        <f>IFERROR(__xludf.DUMMYFUNCTION("""COMPUTED_VALUE"""),"Uncle Sams Cider (04/04/2023)")</f>
        <v>Uncle Sams Cider (04/04/2023)</v>
      </c>
      <c r="H10488" s="19"/>
    </row>
    <row r="10489">
      <c r="A10489" s="9"/>
      <c r="B10489" s="15"/>
      <c r="C10489" s="9">
        <f>IFERROR(__xludf.DUMMYFUNCTION("""COMPUTED_VALUE"""),45033.9211519444)</f>
        <v>45033.92115</v>
      </c>
      <c r="D10489" s="15">
        <f>IFERROR(__xludf.DUMMYFUNCTION("""COMPUTED_VALUE"""),1.049)</f>
        <v>1.049</v>
      </c>
      <c r="E10489" s="16">
        <f>IFERROR(__xludf.DUMMYFUNCTION("""COMPUTED_VALUE"""),65.0)</f>
        <v>65</v>
      </c>
      <c r="F10489" s="19" t="str">
        <f>IFERROR(__xludf.DUMMYFUNCTION("""COMPUTED_VALUE"""),"BLUE")</f>
        <v>BLUE</v>
      </c>
      <c r="G10489" s="20" t="str">
        <f>IFERROR(__xludf.DUMMYFUNCTION("""COMPUTED_VALUE"""),"Uncle Sams Cider (04/04/2023)")</f>
        <v>Uncle Sams Cider (04/04/2023)</v>
      </c>
      <c r="H10489" s="19"/>
    </row>
    <row r="10490">
      <c r="A10490" s="9"/>
      <c r="B10490" s="15"/>
      <c r="C10490" s="9">
        <f>IFERROR(__xludf.DUMMYFUNCTION("""COMPUTED_VALUE"""),45033.9107311111)</f>
        <v>45033.91073</v>
      </c>
      <c r="D10490" s="15">
        <f>IFERROR(__xludf.DUMMYFUNCTION("""COMPUTED_VALUE"""),1.05)</f>
        <v>1.05</v>
      </c>
      <c r="E10490" s="16">
        <f>IFERROR(__xludf.DUMMYFUNCTION("""COMPUTED_VALUE"""),64.0)</f>
        <v>64</v>
      </c>
      <c r="F10490" s="19" t="str">
        <f>IFERROR(__xludf.DUMMYFUNCTION("""COMPUTED_VALUE"""),"BLUE")</f>
        <v>BLUE</v>
      </c>
      <c r="G10490" s="20" t="str">
        <f>IFERROR(__xludf.DUMMYFUNCTION("""COMPUTED_VALUE"""),"Uncle Sams Cider (04/04/2023)")</f>
        <v>Uncle Sams Cider (04/04/2023)</v>
      </c>
      <c r="H10490" s="19"/>
    </row>
    <row r="10491">
      <c r="A10491" s="9"/>
      <c r="B10491" s="15"/>
      <c r="C10491" s="9">
        <f>IFERROR(__xludf.DUMMYFUNCTION("""COMPUTED_VALUE"""),45033.9002982754)</f>
        <v>45033.9003</v>
      </c>
      <c r="D10491" s="15">
        <f>IFERROR(__xludf.DUMMYFUNCTION("""COMPUTED_VALUE"""),1.05)</f>
        <v>1.05</v>
      </c>
      <c r="E10491" s="16">
        <f>IFERROR(__xludf.DUMMYFUNCTION("""COMPUTED_VALUE"""),65.0)</f>
        <v>65</v>
      </c>
      <c r="F10491" s="19" t="str">
        <f>IFERROR(__xludf.DUMMYFUNCTION("""COMPUTED_VALUE"""),"BLUE")</f>
        <v>BLUE</v>
      </c>
      <c r="G10491" s="20" t="str">
        <f>IFERROR(__xludf.DUMMYFUNCTION("""COMPUTED_VALUE"""),"Uncle Sams Cider (04/04/2023)")</f>
        <v>Uncle Sams Cider (04/04/2023)</v>
      </c>
      <c r="H10491" s="19"/>
    </row>
    <row r="10492">
      <c r="A10492" s="9"/>
      <c r="B10492" s="15"/>
      <c r="C10492" s="9">
        <f>IFERROR(__xludf.DUMMYFUNCTION("""COMPUTED_VALUE"""),45033.8898770254)</f>
        <v>45033.88988</v>
      </c>
      <c r="D10492" s="15">
        <f>IFERROR(__xludf.DUMMYFUNCTION("""COMPUTED_VALUE"""),1.05)</f>
        <v>1.05</v>
      </c>
      <c r="E10492" s="16">
        <f>IFERROR(__xludf.DUMMYFUNCTION("""COMPUTED_VALUE"""),65.0)</f>
        <v>65</v>
      </c>
      <c r="F10492" s="19" t="str">
        <f>IFERROR(__xludf.DUMMYFUNCTION("""COMPUTED_VALUE"""),"BLUE")</f>
        <v>BLUE</v>
      </c>
      <c r="G10492" s="20" t="str">
        <f>IFERROR(__xludf.DUMMYFUNCTION("""COMPUTED_VALUE"""),"Uncle Sams Cider (04/04/2023)")</f>
        <v>Uncle Sams Cider (04/04/2023)</v>
      </c>
      <c r="H10492" s="19"/>
    </row>
    <row r="10493">
      <c r="A10493" s="9"/>
      <c r="B10493" s="15"/>
      <c r="C10493" s="9">
        <f>IFERROR(__xludf.DUMMYFUNCTION("""COMPUTED_VALUE"""),45033.8794567476)</f>
        <v>45033.87946</v>
      </c>
      <c r="D10493" s="15">
        <f>IFERROR(__xludf.DUMMYFUNCTION("""COMPUTED_VALUE"""),1.05)</f>
        <v>1.05</v>
      </c>
      <c r="E10493" s="16">
        <f>IFERROR(__xludf.DUMMYFUNCTION("""COMPUTED_VALUE"""),65.0)</f>
        <v>65</v>
      </c>
      <c r="F10493" s="19" t="str">
        <f>IFERROR(__xludf.DUMMYFUNCTION("""COMPUTED_VALUE"""),"BLUE")</f>
        <v>BLUE</v>
      </c>
      <c r="G10493" s="20" t="str">
        <f>IFERROR(__xludf.DUMMYFUNCTION("""COMPUTED_VALUE"""),"Uncle Sams Cider (04/04/2023)")</f>
        <v>Uncle Sams Cider (04/04/2023)</v>
      </c>
      <c r="H10493" s="19"/>
    </row>
    <row r="10494">
      <c r="A10494" s="9"/>
      <c r="B10494" s="15"/>
      <c r="C10494" s="9">
        <f>IFERROR(__xludf.DUMMYFUNCTION("""COMPUTED_VALUE"""),45033.8690360416)</f>
        <v>45033.86904</v>
      </c>
      <c r="D10494" s="15">
        <f>IFERROR(__xludf.DUMMYFUNCTION("""COMPUTED_VALUE"""),1.05)</f>
        <v>1.05</v>
      </c>
      <c r="E10494" s="16">
        <f>IFERROR(__xludf.DUMMYFUNCTION("""COMPUTED_VALUE"""),65.0)</f>
        <v>65</v>
      </c>
      <c r="F10494" s="19" t="str">
        <f>IFERROR(__xludf.DUMMYFUNCTION("""COMPUTED_VALUE"""),"BLUE")</f>
        <v>BLUE</v>
      </c>
      <c r="G10494" s="20" t="str">
        <f>IFERROR(__xludf.DUMMYFUNCTION("""COMPUTED_VALUE"""),"Uncle Sams Cider (04/04/2023)")</f>
        <v>Uncle Sams Cider (04/04/2023)</v>
      </c>
      <c r="H10494" s="19"/>
    </row>
    <row r="10495">
      <c r="A10495" s="9"/>
      <c r="B10495" s="15"/>
      <c r="C10495" s="9">
        <f>IFERROR(__xludf.DUMMYFUNCTION("""COMPUTED_VALUE"""),45033.8586145486)</f>
        <v>45033.85861</v>
      </c>
      <c r="D10495" s="15">
        <f>IFERROR(__xludf.DUMMYFUNCTION("""COMPUTED_VALUE"""),1.05)</f>
        <v>1.05</v>
      </c>
      <c r="E10495" s="16">
        <f>IFERROR(__xludf.DUMMYFUNCTION("""COMPUTED_VALUE"""),65.0)</f>
        <v>65</v>
      </c>
      <c r="F10495" s="19" t="str">
        <f>IFERROR(__xludf.DUMMYFUNCTION("""COMPUTED_VALUE"""),"BLUE")</f>
        <v>BLUE</v>
      </c>
      <c r="G10495" s="20" t="str">
        <f>IFERROR(__xludf.DUMMYFUNCTION("""COMPUTED_VALUE"""),"Uncle Sams Cider (04/04/2023)")</f>
        <v>Uncle Sams Cider (04/04/2023)</v>
      </c>
      <c r="H10495" s="19"/>
    </row>
    <row r="10496">
      <c r="A10496" s="9"/>
      <c r="B10496" s="15"/>
      <c r="C10496" s="9">
        <f>IFERROR(__xludf.DUMMYFUNCTION("""COMPUTED_VALUE"""),45033.84819353)</f>
        <v>45033.84819</v>
      </c>
      <c r="D10496" s="15">
        <f>IFERROR(__xludf.DUMMYFUNCTION("""COMPUTED_VALUE"""),1.05)</f>
        <v>1.05</v>
      </c>
      <c r="E10496" s="16">
        <f>IFERROR(__xludf.DUMMYFUNCTION("""COMPUTED_VALUE"""),65.0)</f>
        <v>65</v>
      </c>
      <c r="F10496" s="19" t="str">
        <f>IFERROR(__xludf.DUMMYFUNCTION("""COMPUTED_VALUE"""),"BLUE")</f>
        <v>BLUE</v>
      </c>
      <c r="G10496" s="20" t="str">
        <f>IFERROR(__xludf.DUMMYFUNCTION("""COMPUTED_VALUE"""),"Uncle Sams Cider (04/04/2023)")</f>
        <v>Uncle Sams Cider (04/04/2023)</v>
      </c>
      <c r="H10496" s="19"/>
    </row>
    <row r="10497">
      <c r="A10497" s="9"/>
      <c r="B10497" s="15"/>
      <c r="C10497" s="9">
        <f>IFERROR(__xludf.DUMMYFUNCTION("""COMPUTED_VALUE"""),45033.8377720717)</f>
        <v>45033.83777</v>
      </c>
      <c r="D10497" s="15">
        <f>IFERROR(__xludf.DUMMYFUNCTION("""COMPUTED_VALUE"""),1.05)</f>
        <v>1.05</v>
      </c>
      <c r="E10497" s="16">
        <f>IFERROR(__xludf.DUMMYFUNCTION("""COMPUTED_VALUE"""),65.0)</f>
        <v>65</v>
      </c>
      <c r="F10497" s="19" t="str">
        <f>IFERROR(__xludf.DUMMYFUNCTION("""COMPUTED_VALUE"""),"BLUE")</f>
        <v>BLUE</v>
      </c>
      <c r="G10497" s="20" t="str">
        <f>IFERROR(__xludf.DUMMYFUNCTION("""COMPUTED_VALUE"""),"Uncle Sams Cider (04/04/2023)")</f>
        <v>Uncle Sams Cider (04/04/2023)</v>
      </c>
      <c r="H10497" s="19"/>
    </row>
    <row r="10498">
      <c r="A10498" s="9"/>
      <c r="B10498" s="15"/>
      <c r="C10498" s="9">
        <f>IFERROR(__xludf.DUMMYFUNCTION("""COMPUTED_VALUE"""),45033.8273483912)</f>
        <v>45033.82735</v>
      </c>
      <c r="D10498" s="15">
        <f>IFERROR(__xludf.DUMMYFUNCTION("""COMPUTED_VALUE"""),1.05)</f>
        <v>1.05</v>
      </c>
      <c r="E10498" s="16">
        <f>IFERROR(__xludf.DUMMYFUNCTION("""COMPUTED_VALUE"""),65.0)</f>
        <v>65</v>
      </c>
      <c r="F10498" s="19" t="str">
        <f>IFERROR(__xludf.DUMMYFUNCTION("""COMPUTED_VALUE"""),"BLUE")</f>
        <v>BLUE</v>
      </c>
      <c r="G10498" s="20" t="str">
        <f>IFERROR(__xludf.DUMMYFUNCTION("""COMPUTED_VALUE"""),"Uncle Sams Cider (04/04/2023)")</f>
        <v>Uncle Sams Cider (04/04/2023)</v>
      </c>
      <c r="H10498" s="19"/>
    </row>
    <row r="10499">
      <c r="A10499" s="9"/>
      <c r="B10499" s="15"/>
      <c r="C10499" s="9">
        <f>IFERROR(__xludf.DUMMYFUNCTION("""COMPUTED_VALUE"""),45033.8169261689)</f>
        <v>45033.81693</v>
      </c>
      <c r="D10499" s="15">
        <f>IFERROR(__xludf.DUMMYFUNCTION("""COMPUTED_VALUE"""),1.05)</f>
        <v>1.05</v>
      </c>
      <c r="E10499" s="16">
        <f>IFERROR(__xludf.DUMMYFUNCTION("""COMPUTED_VALUE"""),65.0)</f>
        <v>65</v>
      </c>
      <c r="F10499" s="19" t="str">
        <f>IFERROR(__xludf.DUMMYFUNCTION("""COMPUTED_VALUE"""),"BLUE")</f>
        <v>BLUE</v>
      </c>
      <c r="G10499" s="20" t="str">
        <f>IFERROR(__xludf.DUMMYFUNCTION("""COMPUTED_VALUE"""),"Uncle Sams Cider (04/04/2023)")</f>
        <v>Uncle Sams Cider (04/04/2023)</v>
      </c>
      <c r="H10499" s="19"/>
    </row>
    <row r="10500">
      <c r="A10500" s="9"/>
      <c r="B10500" s="15"/>
      <c r="C10500" s="9">
        <f>IFERROR(__xludf.DUMMYFUNCTION("""COMPUTED_VALUE"""),45033.8064939467)</f>
        <v>45033.80649</v>
      </c>
      <c r="D10500" s="15">
        <f>IFERROR(__xludf.DUMMYFUNCTION("""COMPUTED_VALUE"""),1.05)</f>
        <v>1.05</v>
      </c>
      <c r="E10500" s="16">
        <f>IFERROR(__xludf.DUMMYFUNCTION("""COMPUTED_VALUE"""),65.0)</f>
        <v>65</v>
      </c>
      <c r="F10500" s="19" t="str">
        <f>IFERROR(__xludf.DUMMYFUNCTION("""COMPUTED_VALUE"""),"BLUE")</f>
        <v>BLUE</v>
      </c>
      <c r="G10500" s="20" t="str">
        <f>IFERROR(__xludf.DUMMYFUNCTION("""COMPUTED_VALUE"""),"Uncle Sams Cider (04/04/2023)")</f>
        <v>Uncle Sams Cider (04/04/2023)</v>
      </c>
      <c r="H10500" s="19"/>
    </row>
    <row r="10501">
      <c r="A10501" s="9"/>
      <c r="B10501" s="15"/>
      <c r="C10501" s="9">
        <f>IFERROR(__xludf.DUMMYFUNCTION("""COMPUTED_VALUE"""),45033.7960737731)</f>
        <v>45033.79607</v>
      </c>
      <c r="D10501" s="15">
        <f>IFERROR(__xludf.DUMMYFUNCTION("""COMPUTED_VALUE"""),1.05)</f>
        <v>1.05</v>
      </c>
      <c r="E10501" s="16">
        <f>IFERROR(__xludf.DUMMYFUNCTION("""COMPUTED_VALUE"""),65.0)</f>
        <v>65</v>
      </c>
      <c r="F10501" s="19" t="str">
        <f>IFERROR(__xludf.DUMMYFUNCTION("""COMPUTED_VALUE"""),"BLUE")</f>
        <v>BLUE</v>
      </c>
      <c r="G10501" s="20" t="str">
        <f>IFERROR(__xludf.DUMMYFUNCTION("""COMPUTED_VALUE"""),"Uncle Sams Cider (04/04/2023)")</f>
        <v>Uncle Sams Cider (04/04/2023)</v>
      </c>
      <c r="H10501" s="19"/>
    </row>
    <row r="10502">
      <c r="A10502" s="9"/>
      <c r="B10502" s="15"/>
      <c r="C10502" s="9">
        <f>IFERROR(__xludf.DUMMYFUNCTION("""COMPUTED_VALUE"""),45033.7856532523)</f>
        <v>45033.78565</v>
      </c>
      <c r="D10502" s="15">
        <f>IFERROR(__xludf.DUMMYFUNCTION("""COMPUTED_VALUE"""),1.05)</f>
        <v>1.05</v>
      </c>
      <c r="E10502" s="16">
        <f>IFERROR(__xludf.DUMMYFUNCTION("""COMPUTED_VALUE"""),65.0)</f>
        <v>65</v>
      </c>
      <c r="F10502" s="19" t="str">
        <f>IFERROR(__xludf.DUMMYFUNCTION("""COMPUTED_VALUE"""),"BLUE")</f>
        <v>BLUE</v>
      </c>
      <c r="G10502" s="20" t="str">
        <f>IFERROR(__xludf.DUMMYFUNCTION("""COMPUTED_VALUE"""),"Uncle Sams Cider (04/04/2023)")</f>
        <v>Uncle Sams Cider (04/04/2023)</v>
      </c>
      <c r="H10502" s="19"/>
    </row>
    <row r="10503">
      <c r="A10503" s="9"/>
      <c r="B10503" s="15"/>
      <c r="C10503" s="9">
        <f>IFERROR(__xludf.DUMMYFUNCTION("""COMPUTED_VALUE"""),45033.7752335879)</f>
        <v>45033.77523</v>
      </c>
      <c r="D10503" s="15">
        <f>IFERROR(__xludf.DUMMYFUNCTION("""COMPUTED_VALUE"""),1.05)</f>
        <v>1.05</v>
      </c>
      <c r="E10503" s="16">
        <f>IFERROR(__xludf.DUMMYFUNCTION("""COMPUTED_VALUE"""),65.0)</f>
        <v>65</v>
      </c>
      <c r="F10503" s="19" t="str">
        <f>IFERROR(__xludf.DUMMYFUNCTION("""COMPUTED_VALUE"""),"BLUE")</f>
        <v>BLUE</v>
      </c>
      <c r="G10503" s="20" t="str">
        <f>IFERROR(__xludf.DUMMYFUNCTION("""COMPUTED_VALUE"""),"Uncle Sams Cider (04/04/2023)")</f>
        <v>Uncle Sams Cider (04/04/2023)</v>
      </c>
      <c r="H10503" s="19"/>
    </row>
    <row r="10504">
      <c r="A10504" s="9"/>
      <c r="B10504" s="15"/>
      <c r="C10504" s="9">
        <f>IFERROR(__xludf.DUMMYFUNCTION("""COMPUTED_VALUE"""),45033.7648131134)</f>
        <v>45033.76481</v>
      </c>
      <c r="D10504" s="15">
        <f>IFERROR(__xludf.DUMMYFUNCTION("""COMPUTED_VALUE"""),1.05)</f>
        <v>1.05</v>
      </c>
      <c r="E10504" s="16">
        <f>IFERROR(__xludf.DUMMYFUNCTION("""COMPUTED_VALUE"""),65.0)</f>
        <v>65</v>
      </c>
      <c r="F10504" s="19" t="str">
        <f>IFERROR(__xludf.DUMMYFUNCTION("""COMPUTED_VALUE"""),"BLUE")</f>
        <v>BLUE</v>
      </c>
      <c r="G10504" s="20" t="str">
        <f>IFERROR(__xludf.DUMMYFUNCTION("""COMPUTED_VALUE"""),"Uncle Sams Cider (04/04/2023)")</f>
        <v>Uncle Sams Cider (04/04/2023)</v>
      </c>
      <c r="H10504" s="19"/>
    </row>
    <row r="10505">
      <c r="A10505" s="9"/>
      <c r="B10505" s="15"/>
      <c r="C10505" s="9">
        <f>IFERROR(__xludf.DUMMYFUNCTION("""COMPUTED_VALUE"""),45033.7543918287)</f>
        <v>45033.75439</v>
      </c>
      <c r="D10505" s="15">
        <f>IFERROR(__xludf.DUMMYFUNCTION("""COMPUTED_VALUE"""),1.05)</f>
        <v>1.05</v>
      </c>
      <c r="E10505" s="16">
        <f>IFERROR(__xludf.DUMMYFUNCTION("""COMPUTED_VALUE"""),65.0)</f>
        <v>65</v>
      </c>
      <c r="F10505" s="19" t="str">
        <f>IFERROR(__xludf.DUMMYFUNCTION("""COMPUTED_VALUE"""),"BLUE")</f>
        <v>BLUE</v>
      </c>
      <c r="G10505" s="20" t="str">
        <f>IFERROR(__xludf.DUMMYFUNCTION("""COMPUTED_VALUE"""),"Uncle Sams Cider (04/04/2023)")</f>
        <v>Uncle Sams Cider (04/04/2023)</v>
      </c>
      <c r="H10505" s="19"/>
    </row>
    <row r="10506">
      <c r="A10506" s="9"/>
      <c r="B10506" s="15"/>
      <c r="C10506" s="9">
        <f>IFERROR(__xludf.DUMMYFUNCTION("""COMPUTED_VALUE"""),45033.7439589467)</f>
        <v>45033.74396</v>
      </c>
      <c r="D10506" s="15">
        <f>IFERROR(__xludf.DUMMYFUNCTION("""COMPUTED_VALUE"""),1.05)</f>
        <v>1.05</v>
      </c>
      <c r="E10506" s="16">
        <f>IFERROR(__xludf.DUMMYFUNCTION("""COMPUTED_VALUE"""),65.0)</f>
        <v>65</v>
      </c>
      <c r="F10506" s="19" t="str">
        <f>IFERROR(__xludf.DUMMYFUNCTION("""COMPUTED_VALUE"""),"BLUE")</f>
        <v>BLUE</v>
      </c>
      <c r="G10506" s="20" t="str">
        <f>IFERROR(__xludf.DUMMYFUNCTION("""COMPUTED_VALUE"""),"Uncle Sams Cider (04/04/2023)")</f>
        <v>Uncle Sams Cider (04/04/2023)</v>
      </c>
      <c r="H10506" s="19"/>
    </row>
    <row r="10507">
      <c r="A10507" s="9"/>
      <c r="B10507" s="15"/>
      <c r="C10507" s="9">
        <f>IFERROR(__xludf.DUMMYFUNCTION("""COMPUTED_VALUE"""),45033.7335235764)</f>
        <v>45033.73352</v>
      </c>
      <c r="D10507" s="15">
        <f>IFERROR(__xludf.DUMMYFUNCTION("""COMPUTED_VALUE"""),1.05)</f>
        <v>1.05</v>
      </c>
      <c r="E10507" s="16">
        <f>IFERROR(__xludf.DUMMYFUNCTION("""COMPUTED_VALUE"""),65.0)</f>
        <v>65</v>
      </c>
      <c r="F10507" s="19" t="str">
        <f>IFERROR(__xludf.DUMMYFUNCTION("""COMPUTED_VALUE"""),"BLUE")</f>
        <v>BLUE</v>
      </c>
      <c r="G10507" s="20" t="str">
        <f>IFERROR(__xludf.DUMMYFUNCTION("""COMPUTED_VALUE"""),"Uncle Sams Cider (04/04/2023)")</f>
        <v>Uncle Sams Cider (04/04/2023)</v>
      </c>
      <c r="H10507" s="19"/>
    </row>
    <row r="10508">
      <c r="A10508" s="9"/>
      <c r="B10508" s="15"/>
      <c r="C10508" s="9">
        <f>IFERROR(__xludf.DUMMYFUNCTION("""COMPUTED_VALUE"""),45033.7231008564)</f>
        <v>45033.7231</v>
      </c>
      <c r="D10508" s="15">
        <f>IFERROR(__xludf.DUMMYFUNCTION("""COMPUTED_VALUE"""),1.05)</f>
        <v>1.05</v>
      </c>
      <c r="E10508" s="16">
        <f>IFERROR(__xludf.DUMMYFUNCTION("""COMPUTED_VALUE"""),65.0)</f>
        <v>65</v>
      </c>
      <c r="F10508" s="19" t="str">
        <f>IFERROR(__xludf.DUMMYFUNCTION("""COMPUTED_VALUE"""),"BLUE")</f>
        <v>BLUE</v>
      </c>
      <c r="G10508" s="20" t="str">
        <f>IFERROR(__xludf.DUMMYFUNCTION("""COMPUTED_VALUE"""),"Uncle Sams Cider (04/04/2023)")</f>
        <v>Uncle Sams Cider (04/04/2023)</v>
      </c>
      <c r="H10508" s="19"/>
    </row>
    <row r="10509">
      <c r="A10509" s="9"/>
      <c r="B10509" s="15"/>
      <c r="C10509" s="9">
        <f>IFERROR(__xludf.DUMMYFUNCTION("""COMPUTED_VALUE"""),45033.7126801388)</f>
        <v>45033.71268</v>
      </c>
      <c r="D10509" s="15">
        <f>IFERROR(__xludf.DUMMYFUNCTION("""COMPUTED_VALUE"""),1.05)</f>
        <v>1.05</v>
      </c>
      <c r="E10509" s="16">
        <f>IFERROR(__xludf.DUMMYFUNCTION("""COMPUTED_VALUE"""),65.0)</f>
        <v>65</v>
      </c>
      <c r="F10509" s="19" t="str">
        <f>IFERROR(__xludf.DUMMYFUNCTION("""COMPUTED_VALUE"""),"BLUE")</f>
        <v>BLUE</v>
      </c>
      <c r="G10509" s="20" t="str">
        <f>IFERROR(__xludf.DUMMYFUNCTION("""COMPUTED_VALUE"""),"Uncle Sams Cider (04/04/2023)")</f>
        <v>Uncle Sams Cider (04/04/2023)</v>
      </c>
      <c r="H10509" s="19"/>
    </row>
    <row r="10510">
      <c r="A10510" s="9"/>
      <c r="B10510" s="15"/>
      <c r="C10510" s="9">
        <f>IFERROR(__xludf.DUMMYFUNCTION("""COMPUTED_VALUE"""),45033.70225978)</f>
        <v>45033.70226</v>
      </c>
      <c r="D10510" s="15">
        <f>IFERROR(__xludf.DUMMYFUNCTION("""COMPUTED_VALUE"""),1.05)</f>
        <v>1.05</v>
      </c>
      <c r="E10510" s="16">
        <f>IFERROR(__xludf.DUMMYFUNCTION("""COMPUTED_VALUE"""),65.0)</f>
        <v>65</v>
      </c>
      <c r="F10510" s="19" t="str">
        <f>IFERROR(__xludf.DUMMYFUNCTION("""COMPUTED_VALUE"""),"BLUE")</f>
        <v>BLUE</v>
      </c>
      <c r="G10510" s="20" t="str">
        <f>IFERROR(__xludf.DUMMYFUNCTION("""COMPUTED_VALUE"""),"Uncle Sams Cider (04/04/2023)")</f>
        <v>Uncle Sams Cider (04/04/2023)</v>
      </c>
      <c r="H10510" s="19"/>
    </row>
    <row r="10511">
      <c r="A10511" s="9"/>
      <c r="B10511" s="15"/>
      <c r="C10511" s="9">
        <f>IFERROR(__xludf.DUMMYFUNCTION("""COMPUTED_VALUE"""),45033.6918146759)</f>
        <v>45033.69181</v>
      </c>
      <c r="D10511" s="15">
        <f>IFERROR(__xludf.DUMMYFUNCTION("""COMPUTED_VALUE"""),1.05)</f>
        <v>1.05</v>
      </c>
      <c r="E10511" s="16">
        <f>IFERROR(__xludf.DUMMYFUNCTION("""COMPUTED_VALUE"""),65.0)</f>
        <v>65</v>
      </c>
      <c r="F10511" s="19" t="str">
        <f>IFERROR(__xludf.DUMMYFUNCTION("""COMPUTED_VALUE"""),"BLUE")</f>
        <v>BLUE</v>
      </c>
      <c r="G10511" s="20" t="str">
        <f>IFERROR(__xludf.DUMMYFUNCTION("""COMPUTED_VALUE"""),"Uncle Sams Cider (04/04/2023)")</f>
        <v>Uncle Sams Cider (04/04/2023)</v>
      </c>
      <c r="H10511" s="19"/>
    </row>
    <row r="10512">
      <c r="A10512" s="9"/>
      <c r="B10512" s="15"/>
      <c r="C10512" s="9">
        <f>IFERROR(__xludf.DUMMYFUNCTION("""COMPUTED_VALUE"""),45033.6813937731)</f>
        <v>45033.68139</v>
      </c>
      <c r="D10512" s="15">
        <f>IFERROR(__xludf.DUMMYFUNCTION("""COMPUTED_VALUE"""),1.05)</f>
        <v>1.05</v>
      </c>
      <c r="E10512" s="16">
        <f>IFERROR(__xludf.DUMMYFUNCTION("""COMPUTED_VALUE"""),65.0)</f>
        <v>65</v>
      </c>
      <c r="F10512" s="19" t="str">
        <f>IFERROR(__xludf.DUMMYFUNCTION("""COMPUTED_VALUE"""),"BLUE")</f>
        <v>BLUE</v>
      </c>
      <c r="G10512" s="20" t="str">
        <f>IFERROR(__xludf.DUMMYFUNCTION("""COMPUTED_VALUE"""),"Uncle Sams Cider (04/04/2023)")</f>
        <v>Uncle Sams Cider (04/04/2023)</v>
      </c>
      <c r="H10512" s="19"/>
    </row>
    <row r="10513">
      <c r="A10513" s="9"/>
      <c r="B10513" s="15"/>
      <c r="C10513" s="9">
        <f>IFERROR(__xludf.DUMMYFUNCTION("""COMPUTED_VALUE"""),45033.6709620254)</f>
        <v>45033.67096</v>
      </c>
      <c r="D10513" s="15">
        <f>IFERROR(__xludf.DUMMYFUNCTION("""COMPUTED_VALUE"""),1.05)</f>
        <v>1.05</v>
      </c>
      <c r="E10513" s="16">
        <f>IFERROR(__xludf.DUMMYFUNCTION("""COMPUTED_VALUE"""),65.0)</f>
        <v>65</v>
      </c>
      <c r="F10513" s="19" t="str">
        <f>IFERROR(__xludf.DUMMYFUNCTION("""COMPUTED_VALUE"""),"BLUE")</f>
        <v>BLUE</v>
      </c>
      <c r="G10513" s="20" t="str">
        <f>IFERROR(__xludf.DUMMYFUNCTION("""COMPUTED_VALUE"""),"Uncle Sams Cider (04/04/2023)")</f>
        <v>Uncle Sams Cider (04/04/2023)</v>
      </c>
      <c r="H10513" s="19"/>
    </row>
    <row r="10514">
      <c r="A10514" s="9"/>
      <c r="B10514" s="15"/>
      <c r="C10514" s="9">
        <f>IFERROR(__xludf.DUMMYFUNCTION("""COMPUTED_VALUE"""),45033.6605408217)</f>
        <v>45033.66054</v>
      </c>
      <c r="D10514" s="15">
        <f>IFERROR(__xludf.DUMMYFUNCTION("""COMPUTED_VALUE"""),1.05)</f>
        <v>1.05</v>
      </c>
      <c r="E10514" s="16">
        <f>IFERROR(__xludf.DUMMYFUNCTION("""COMPUTED_VALUE"""),65.0)</f>
        <v>65</v>
      </c>
      <c r="F10514" s="19" t="str">
        <f>IFERROR(__xludf.DUMMYFUNCTION("""COMPUTED_VALUE"""),"BLUE")</f>
        <v>BLUE</v>
      </c>
      <c r="G10514" s="20" t="str">
        <f>IFERROR(__xludf.DUMMYFUNCTION("""COMPUTED_VALUE"""),"Uncle Sams Cider (04/04/2023)")</f>
        <v>Uncle Sams Cider (04/04/2023)</v>
      </c>
      <c r="H10514" s="19"/>
    </row>
    <row r="10515">
      <c r="A10515" s="9"/>
      <c r="B10515" s="15"/>
      <c r="C10515" s="9">
        <f>IFERROR(__xludf.DUMMYFUNCTION("""COMPUTED_VALUE"""),45033.6501215972)</f>
        <v>45033.65012</v>
      </c>
      <c r="D10515" s="15">
        <f>IFERROR(__xludf.DUMMYFUNCTION("""COMPUTED_VALUE"""),1.05)</f>
        <v>1.05</v>
      </c>
      <c r="E10515" s="16">
        <f>IFERROR(__xludf.DUMMYFUNCTION("""COMPUTED_VALUE"""),65.0)</f>
        <v>65</v>
      </c>
      <c r="F10515" s="19" t="str">
        <f>IFERROR(__xludf.DUMMYFUNCTION("""COMPUTED_VALUE"""),"BLUE")</f>
        <v>BLUE</v>
      </c>
      <c r="G10515" s="20" t="str">
        <f>IFERROR(__xludf.DUMMYFUNCTION("""COMPUTED_VALUE"""),"Uncle Sams Cider (04/04/2023)")</f>
        <v>Uncle Sams Cider (04/04/2023)</v>
      </c>
      <c r="H10515" s="19"/>
    </row>
    <row r="10516">
      <c r="A10516" s="9"/>
      <c r="B10516" s="15"/>
      <c r="C10516" s="9">
        <f>IFERROR(__xludf.DUMMYFUNCTION("""COMPUTED_VALUE"""),45033.6397020138)</f>
        <v>45033.6397</v>
      </c>
      <c r="D10516" s="15">
        <f>IFERROR(__xludf.DUMMYFUNCTION("""COMPUTED_VALUE"""),1.05)</f>
        <v>1.05</v>
      </c>
      <c r="E10516" s="16">
        <f>IFERROR(__xludf.DUMMYFUNCTION("""COMPUTED_VALUE"""),65.0)</f>
        <v>65</v>
      </c>
      <c r="F10516" s="19" t="str">
        <f>IFERROR(__xludf.DUMMYFUNCTION("""COMPUTED_VALUE"""),"BLUE")</f>
        <v>BLUE</v>
      </c>
      <c r="G10516" s="20" t="str">
        <f>IFERROR(__xludf.DUMMYFUNCTION("""COMPUTED_VALUE"""),"Uncle Sams Cider (04/04/2023)")</f>
        <v>Uncle Sams Cider (04/04/2023)</v>
      </c>
      <c r="H10516" s="19"/>
    </row>
    <row r="10517">
      <c r="A10517" s="9"/>
      <c r="B10517" s="15"/>
      <c r="C10517" s="9">
        <f>IFERROR(__xludf.DUMMYFUNCTION("""COMPUTED_VALUE"""),45033.6292806365)</f>
        <v>45033.62928</v>
      </c>
      <c r="D10517" s="15">
        <f>IFERROR(__xludf.DUMMYFUNCTION("""COMPUTED_VALUE"""),1.05)</f>
        <v>1.05</v>
      </c>
      <c r="E10517" s="16">
        <f>IFERROR(__xludf.DUMMYFUNCTION("""COMPUTED_VALUE"""),65.0)</f>
        <v>65</v>
      </c>
      <c r="F10517" s="19" t="str">
        <f>IFERROR(__xludf.DUMMYFUNCTION("""COMPUTED_VALUE"""),"BLUE")</f>
        <v>BLUE</v>
      </c>
      <c r="G10517" s="20" t="str">
        <f>IFERROR(__xludf.DUMMYFUNCTION("""COMPUTED_VALUE"""),"Uncle Sams Cider (04/04/2023)")</f>
        <v>Uncle Sams Cider (04/04/2023)</v>
      </c>
      <c r="H10517" s="19"/>
    </row>
    <row r="10518">
      <c r="A10518" s="9"/>
      <c r="B10518" s="15"/>
      <c r="C10518" s="9">
        <f>IFERROR(__xludf.DUMMYFUNCTION("""COMPUTED_VALUE"""),45033.6188599537)</f>
        <v>45033.61886</v>
      </c>
      <c r="D10518" s="15">
        <f>IFERROR(__xludf.DUMMYFUNCTION("""COMPUTED_VALUE"""),1.05)</f>
        <v>1.05</v>
      </c>
      <c r="E10518" s="16">
        <f>IFERROR(__xludf.DUMMYFUNCTION("""COMPUTED_VALUE"""),65.0)</f>
        <v>65</v>
      </c>
      <c r="F10518" s="19" t="str">
        <f>IFERROR(__xludf.DUMMYFUNCTION("""COMPUTED_VALUE"""),"BLUE")</f>
        <v>BLUE</v>
      </c>
      <c r="G10518" s="20" t="str">
        <f>IFERROR(__xludf.DUMMYFUNCTION("""COMPUTED_VALUE"""),"Uncle Sams Cider (04/04/2023)")</f>
        <v>Uncle Sams Cider (04/04/2023)</v>
      </c>
      <c r="H10518" s="19"/>
    </row>
    <row r="10519">
      <c r="A10519" s="9"/>
      <c r="B10519" s="15"/>
      <c r="C10519" s="9">
        <f>IFERROR(__xludf.DUMMYFUNCTION("""COMPUTED_VALUE"""),45033.6084139467)</f>
        <v>45033.60841</v>
      </c>
      <c r="D10519" s="15">
        <f>IFERROR(__xludf.DUMMYFUNCTION("""COMPUTED_VALUE"""),1.05)</f>
        <v>1.05</v>
      </c>
      <c r="E10519" s="16">
        <f>IFERROR(__xludf.DUMMYFUNCTION("""COMPUTED_VALUE"""),65.0)</f>
        <v>65</v>
      </c>
      <c r="F10519" s="19" t="str">
        <f>IFERROR(__xludf.DUMMYFUNCTION("""COMPUTED_VALUE"""),"BLUE")</f>
        <v>BLUE</v>
      </c>
      <c r="G10519" s="20" t="str">
        <f>IFERROR(__xludf.DUMMYFUNCTION("""COMPUTED_VALUE"""),"Uncle Sams Cider (04/04/2023)")</f>
        <v>Uncle Sams Cider (04/04/2023)</v>
      </c>
      <c r="H10519" s="19"/>
    </row>
    <row r="10520">
      <c r="A10520" s="9"/>
      <c r="B10520" s="15"/>
      <c r="C10520" s="9">
        <f>IFERROR(__xludf.DUMMYFUNCTION("""COMPUTED_VALUE"""),45033.5979924305)</f>
        <v>45033.59799</v>
      </c>
      <c r="D10520" s="15">
        <f>IFERROR(__xludf.DUMMYFUNCTION("""COMPUTED_VALUE"""),1.051)</f>
        <v>1.051</v>
      </c>
      <c r="E10520" s="16">
        <f>IFERROR(__xludf.DUMMYFUNCTION("""COMPUTED_VALUE"""),65.0)</f>
        <v>65</v>
      </c>
      <c r="F10520" s="19" t="str">
        <f>IFERROR(__xludf.DUMMYFUNCTION("""COMPUTED_VALUE"""),"BLUE")</f>
        <v>BLUE</v>
      </c>
      <c r="G10520" s="20" t="str">
        <f>IFERROR(__xludf.DUMMYFUNCTION("""COMPUTED_VALUE"""),"Uncle Sams Cider (04/04/2023)")</f>
        <v>Uncle Sams Cider (04/04/2023)</v>
      </c>
      <c r="H10520" s="19"/>
    </row>
    <row r="10521">
      <c r="A10521" s="9"/>
      <c r="B10521" s="15"/>
      <c r="C10521" s="9">
        <f>IFERROR(__xludf.DUMMYFUNCTION("""COMPUTED_VALUE"""),45033.587570949)</f>
        <v>45033.58757</v>
      </c>
      <c r="D10521" s="15">
        <f>IFERROR(__xludf.DUMMYFUNCTION("""COMPUTED_VALUE"""),1.051)</f>
        <v>1.051</v>
      </c>
      <c r="E10521" s="16">
        <f>IFERROR(__xludf.DUMMYFUNCTION("""COMPUTED_VALUE"""),65.0)</f>
        <v>65</v>
      </c>
      <c r="F10521" s="19" t="str">
        <f>IFERROR(__xludf.DUMMYFUNCTION("""COMPUTED_VALUE"""),"BLUE")</f>
        <v>BLUE</v>
      </c>
      <c r="G10521" s="20" t="str">
        <f>IFERROR(__xludf.DUMMYFUNCTION("""COMPUTED_VALUE"""),"Uncle Sams Cider (04/04/2023)")</f>
        <v>Uncle Sams Cider (04/04/2023)</v>
      </c>
      <c r="H10521" s="19"/>
    </row>
    <row r="10522">
      <c r="A10522" s="9"/>
      <c r="B10522" s="15"/>
      <c r="C10522" s="9">
        <f>IFERROR(__xludf.DUMMYFUNCTION("""COMPUTED_VALUE"""),45033.5771498958)</f>
        <v>45033.57715</v>
      </c>
      <c r="D10522" s="15">
        <f>IFERROR(__xludf.DUMMYFUNCTION("""COMPUTED_VALUE"""),1.05)</f>
        <v>1.05</v>
      </c>
      <c r="E10522" s="16">
        <f>IFERROR(__xludf.DUMMYFUNCTION("""COMPUTED_VALUE"""),65.0)</f>
        <v>65</v>
      </c>
      <c r="F10522" s="19" t="str">
        <f>IFERROR(__xludf.DUMMYFUNCTION("""COMPUTED_VALUE"""),"BLUE")</f>
        <v>BLUE</v>
      </c>
      <c r="G10522" s="20" t="str">
        <f>IFERROR(__xludf.DUMMYFUNCTION("""COMPUTED_VALUE"""),"Uncle Sams Cider (04/04/2023)")</f>
        <v>Uncle Sams Cider (04/04/2023)</v>
      </c>
      <c r="H10522" s="19"/>
    </row>
    <row r="10523">
      <c r="A10523" s="9"/>
      <c r="B10523" s="15"/>
      <c r="C10523" s="9">
        <f>IFERROR(__xludf.DUMMYFUNCTION("""COMPUTED_VALUE"""),45033.5667290625)</f>
        <v>45033.56673</v>
      </c>
      <c r="D10523" s="15">
        <f>IFERROR(__xludf.DUMMYFUNCTION("""COMPUTED_VALUE"""),1.05)</f>
        <v>1.05</v>
      </c>
      <c r="E10523" s="16">
        <f>IFERROR(__xludf.DUMMYFUNCTION("""COMPUTED_VALUE"""),65.0)</f>
        <v>65</v>
      </c>
      <c r="F10523" s="19" t="str">
        <f>IFERROR(__xludf.DUMMYFUNCTION("""COMPUTED_VALUE"""),"BLUE")</f>
        <v>BLUE</v>
      </c>
      <c r="G10523" s="20" t="str">
        <f>IFERROR(__xludf.DUMMYFUNCTION("""COMPUTED_VALUE"""),"Uncle Sams Cider (04/04/2023)")</f>
        <v>Uncle Sams Cider (04/04/2023)</v>
      </c>
      <c r="H10523" s="19"/>
    </row>
    <row r="10524">
      <c r="A10524" s="9"/>
      <c r="B10524" s="15"/>
      <c r="C10524" s="9">
        <f>IFERROR(__xludf.DUMMYFUNCTION("""COMPUTED_VALUE"""),45033.5563060648)</f>
        <v>45033.55631</v>
      </c>
      <c r="D10524" s="15">
        <f>IFERROR(__xludf.DUMMYFUNCTION("""COMPUTED_VALUE"""),1.05)</f>
        <v>1.05</v>
      </c>
      <c r="E10524" s="16">
        <f>IFERROR(__xludf.DUMMYFUNCTION("""COMPUTED_VALUE"""),65.0)</f>
        <v>65</v>
      </c>
      <c r="F10524" s="19" t="str">
        <f>IFERROR(__xludf.DUMMYFUNCTION("""COMPUTED_VALUE"""),"BLUE")</f>
        <v>BLUE</v>
      </c>
      <c r="G10524" s="20" t="str">
        <f>IFERROR(__xludf.DUMMYFUNCTION("""COMPUTED_VALUE"""),"Uncle Sams Cider (04/04/2023)")</f>
        <v>Uncle Sams Cider (04/04/2023)</v>
      </c>
      <c r="H10524" s="19"/>
    </row>
    <row r="10525">
      <c r="A10525" s="9"/>
      <c r="B10525" s="15"/>
      <c r="C10525" s="9">
        <f>IFERROR(__xludf.DUMMYFUNCTION("""COMPUTED_VALUE"""),45033.545883449)</f>
        <v>45033.54588</v>
      </c>
      <c r="D10525" s="15">
        <f>IFERROR(__xludf.DUMMYFUNCTION("""COMPUTED_VALUE"""),1.051)</f>
        <v>1.051</v>
      </c>
      <c r="E10525" s="16">
        <f>IFERROR(__xludf.DUMMYFUNCTION("""COMPUTED_VALUE"""),65.0)</f>
        <v>65</v>
      </c>
      <c r="F10525" s="19" t="str">
        <f>IFERROR(__xludf.DUMMYFUNCTION("""COMPUTED_VALUE"""),"BLUE")</f>
        <v>BLUE</v>
      </c>
      <c r="G10525" s="20" t="str">
        <f>IFERROR(__xludf.DUMMYFUNCTION("""COMPUTED_VALUE"""),"Uncle Sams Cider (04/04/2023)")</f>
        <v>Uncle Sams Cider (04/04/2023)</v>
      </c>
      <c r="H10525" s="19"/>
    </row>
    <row r="10526">
      <c r="A10526" s="9"/>
      <c r="B10526" s="15"/>
      <c r="C10526" s="9">
        <f>IFERROR(__xludf.DUMMYFUNCTION("""COMPUTED_VALUE"""),45033.5354609259)</f>
        <v>45033.53546</v>
      </c>
      <c r="D10526" s="15">
        <f>IFERROR(__xludf.DUMMYFUNCTION("""COMPUTED_VALUE"""),1.051)</f>
        <v>1.051</v>
      </c>
      <c r="E10526" s="16">
        <f>IFERROR(__xludf.DUMMYFUNCTION("""COMPUTED_VALUE"""),65.0)</f>
        <v>65</v>
      </c>
      <c r="F10526" s="19" t="str">
        <f>IFERROR(__xludf.DUMMYFUNCTION("""COMPUTED_VALUE"""),"BLUE")</f>
        <v>BLUE</v>
      </c>
      <c r="G10526" s="20" t="str">
        <f>IFERROR(__xludf.DUMMYFUNCTION("""COMPUTED_VALUE"""),"Uncle Sams Cider (04/04/2023)")</f>
        <v>Uncle Sams Cider (04/04/2023)</v>
      </c>
      <c r="H10526" s="19"/>
    </row>
    <row r="10527">
      <c r="A10527" s="9"/>
      <c r="B10527" s="15"/>
      <c r="C10527" s="9">
        <f>IFERROR(__xludf.DUMMYFUNCTION("""COMPUTED_VALUE"""),45033.5250393865)</f>
        <v>45033.52504</v>
      </c>
      <c r="D10527" s="15">
        <f>IFERROR(__xludf.DUMMYFUNCTION("""COMPUTED_VALUE"""),1.051)</f>
        <v>1.051</v>
      </c>
      <c r="E10527" s="16">
        <f>IFERROR(__xludf.DUMMYFUNCTION("""COMPUTED_VALUE"""),65.0)</f>
        <v>65</v>
      </c>
      <c r="F10527" s="19" t="str">
        <f>IFERROR(__xludf.DUMMYFUNCTION("""COMPUTED_VALUE"""),"BLUE")</f>
        <v>BLUE</v>
      </c>
      <c r="G10527" s="20" t="str">
        <f>IFERROR(__xludf.DUMMYFUNCTION("""COMPUTED_VALUE"""),"Uncle Sams Cider (04/04/2023)")</f>
        <v>Uncle Sams Cider (04/04/2023)</v>
      </c>
      <c r="H10527" s="19"/>
    </row>
    <row r="10528">
      <c r="A10528" s="9"/>
      <c r="B10528" s="15"/>
      <c r="C10528" s="9">
        <f>IFERROR(__xludf.DUMMYFUNCTION("""COMPUTED_VALUE"""),45033.5146188078)</f>
        <v>45033.51462</v>
      </c>
      <c r="D10528" s="15">
        <f>IFERROR(__xludf.DUMMYFUNCTION("""COMPUTED_VALUE"""),1.051)</f>
        <v>1.051</v>
      </c>
      <c r="E10528" s="16">
        <f>IFERROR(__xludf.DUMMYFUNCTION("""COMPUTED_VALUE"""),65.0)</f>
        <v>65</v>
      </c>
      <c r="F10528" s="19" t="str">
        <f>IFERROR(__xludf.DUMMYFUNCTION("""COMPUTED_VALUE"""),"BLUE")</f>
        <v>BLUE</v>
      </c>
      <c r="G10528" s="20" t="str">
        <f>IFERROR(__xludf.DUMMYFUNCTION("""COMPUTED_VALUE"""),"Uncle Sams Cider (04/04/2023)")</f>
        <v>Uncle Sams Cider (04/04/2023)</v>
      </c>
      <c r="H10528" s="19"/>
    </row>
    <row r="10529">
      <c r="A10529" s="9"/>
      <c r="B10529" s="15"/>
      <c r="C10529" s="9">
        <f>IFERROR(__xludf.DUMMYFUNCTION("""COMPUTED_VALUE"""),45033.5041959375)</f>
        <v>45033.5042</v>
      </c>
      <c r="D10529" s="15">
        <f>IFERROR(__xludf.DUMMYFUNCTION("""COMPUTED_VALUE"""),1.051)</f>
        <v>1.051</v>
      </c>
      <c r="E10529" s="16">
        <f>IFERROR(__xludf.DUMMYFUNCTION("""COMPUTED_VALUE"""),65.0)</f>
        <v>65</v>
      </c>
      <c r="F10529" s="19" t="str">
        <f>IFERROR(__xludf.DUMMYFUNCTION("""COMPUTED_VALUE"""),"BLUE")</f>
        <v>BLUE</v>
      </c>
      <c r="G10529" s="20" t="str">
        <f>IFERROR(__xludf.DUMMYFUNCTION("""COMPUTED_VALUE"""),"Uncle Sams Cider (04/04/2023)")</f>
        <v>Uncle Sams Cider (04/04/2023)</v>
      </c>
      <c r="H10529" s="19"/>
    </row>
    <row r="10530">
      <c r="A10530" s="9"/>
      <c r="B10530" s="15"/>
      <c r="C10530" s="9">
        <f>IFERROR(__xludf.DUMMYFUNCTION("""COMPUTED_VALUE"""),45033.4937532175)</f>
        <v>45033.49375</v>
      </c>
      <c r="D10530" s="15">
        <f>IFERROR(__xludf.DUMMYFUNCTION("""COMPUTED_VALUE"""),1.051)</f>
        <v>1.051</v>
      </c>
      <c r="E10530" s="16">
        <f>IFERROR(__xludf.DUMMYFUNCTION("""COMPUTED_VALUE"""),65.0)</f>
        <v>65</v>
      </c>
      <c r="F10530" s="19" t="str">
        <f>IFERROR(__xludf.DUMMYFUNCTION("""COMPUTED_VALUE"""),"BLUE")</f>
        <v>BLUE</v>
      </c>
      <c r="G10530" s="20" t="str">
        <f>IFERROR(__xludf.DUMMYFUNCTION("""COMPUTED_VALUE"""),"Uncle Sams Cider (04/04/2023)")</f>
        <v>Uncle Sams Cider (04/04/2023)</v>
      </c>
      <c r="H10530" s="19"/>
    </row>
    <row r="10531">
      <c r="A10531" s="9"/>
      <c r="B10531" s="15"/>
      <c r="C10531" s="9">
        <f>IFERROR(__xludf.DUMMYFUNCTION("""COMPUTED_VALUE"""),45033.4833337384)</f>
        <v>45033.48333</v>
      </c>
      <c r="D10531" s="15">
        <f>IFERROR(__xludf.DUMMYFUNCTION("""COMPUTED_VALUE"""),1.051)</f>
        <v>1.051</v>
      </c>
      <c r="E10531" s="16">
        <f>IFERROR(__xludf.DUMMYFUNCTION("""COMPUTED_VALUE"""),65.0)</f>
        <v>65</v>
      </c>
      <c r="F10531" s="19" t="str">
        <f>IFERROR(__xludf.DUMMYFUNCTION("""COMPUTED_VALUE"""),"BLUE")</f>
        <v>BLUE</v>
      </c>
      <c r="G10531" s="20" t="str">
        <f>IFERROR(__xludf.DUMMYFUNCTION("""COMPUTED_VALUE"""),"Uncle Sams Cider (04/04/2023)")</f>
        <v>Uncle Sams Cider (04/04/2023)</v>
      </c>
      <c r="H10531" s="19"/>
    </row>
    <row r="10532">
      <c r="A10532" s="9"/>
      <c r="B10532" s="15"/>
      <c r="C10532" s="9">
        <f>IFERROR(__xludf.DUMMYFUNCTION("""COMPUTED_VALUE"""),45033.4729137152)</f>
        <v>45033.47291</v>
      </c>
      <c r="D10532" s="15">
        <f>IFERROR(__xludf.DUMMYFUNCTION("""COMPUTED_VALUE"""),1.051)</f>
        <v>1.051</v>
      </c>
      <c r="E10532" s="16">
        <f>IFERROR(__xludf.DUMMYFUNCTION("""COMPUTED_VALUE"""),65.0)</f>
        <v>65</v>
      </c>
      <c r="F10532" s="19" t="str">
        <f>IFERROR(__xludf.DUMMYFUNCTION("""COMPUTED_VALUE"""),"BLUE")</f>
        <v>BLUE</v>
      </c>
      <c r="G10532" s="20" t="str">
        <f>IFERROR(__xludf.DUMMYFUNCTION("""COMPUTED_VALUE"""),"Uncle Sams Cider (04/04/2023)")</f>
        <v>Uncle Sams Cider (04/04/2023)</v>
      </c>
      <c r="H10532" s="19"/>
    </row>
    <row r="10533">
      <c r="A10533" s="9"/>
      <c r="B10533" s="15"/>
      <c r="C10533" s="9">
        <f>IFERROR(__xludf.DUMMYFUNCTION("""COMPUTED_VALUE"""),45033.4624812615)</f>
        <v>45033.46248</v>
      </c>
      <c r="D10533" s="15">
        <f>IFERROR(__xludf.DUMMYFUNCTION("""COMPUTED_VALUE"""),1.051)</f>
        <v>1.051</v>
      </c>
      <c r="E10533" s="16">
        <f>IFERROR(__xludf.DUMMYFUNCTION("""COMPUTED_VALUE"""),65.0)</f>
        <v>65</v>
      </c>
      <c r="F10533" s="19" t="str">
        <f>IFERROR(__xludf.DUMMYFUNCTION("""COMPUTED_VALUE"""),"BLUE")</f>
        <v>BLUE</v>
      </c>
      <c r="G10533" s="20" t="str">
        <f>IFERROR(__xludf.DUMMYFUNCTION("""COMPUTED_VALUE"""),"Uncle Sams Cider (04/04/2023)")</f>
        <v>Uncle Sams Cider (04/04/2023)</v>
      </c>
      <c r="H10533" s="19"/>
    </row>
    <row r="10534">
      <c r="A10534" s="9"/>
      <c r="B10534" s="15"/>
      <c r="C10534" s="9">
        <f>IFERROR(__xludf.DUMMYFUNCTION("""COMPUTED_VALUE"""),45033.4520605324)</f>
        <v>45033.45206</v>
      </c>
      <c r="D10534" s="15">
        <f>IFERROR(__xludf.DUMMYFUNCTION("""COMPUTED_VALUE"""),1.051)</f>
        <v>1.051</v>
      </c>
      <c r="E10534" s="16">
        <f>IFERROR(__xludf.DUMMYFUNCTION("""COMPUTED_VALUE"""),65.0)</f>
        <v>65</v>
      </c>
      <c r="F10534" s="19" t="str">
        <f>IFERROR(__xludf.DUMMYFUNCTION("""COMPUTED_VALUE"""),"BLUE")</f>
        <v>BLUE</v>
      </c>
      <c r="G10534" s="20" t="str">
        <f>IFERROR(__xludf.DUMMYFUNCTION("""COMPUTED_VALUE"""),"Uncle Sams Cider (04/04/2023)")</f>
        <v>Uncle Sams Cider (04/04/2023)</v>
      </c>
      <c r="H10534" s="19"/>
    </row>
    <row r="10535">
      <c r="A10535" s="9"/>
      <c r="B10535" s="15"/>
      <c r="C10535" s="9">
        <f>IFERROR(__xludf.DUMMYFUNCTION("""COMPUTED_VALUE"""),45033.4416274884)</f>
        <v>45033.44163</v>
      </c>
      <c r="D10535" s="15">
        <f>IFERROR(__xludf.DUMMYFUNCTION("""COMPUTED_VALUE"""),1.051)</f>
        <v>1.051</v>
      </c>
      <c r="E10535" s="16">
        <f>IFERROR(__xludf.DUMMYFUNCTION("""COMPUTED_VALUE"""),65.0)</f>
        <v>65</v>
      </c>
      <c r="F10535" s="19" t="str">
        <f>IFERROR(__xludf.DUMMYFUNCTION("""COMPUTED_VALUE"""),"BLUE")</f>
        <v>BLUE</v>
      </c>
      <c r="G10535" s="20" t="str">
        <f>IFERROR(__xludf.DUMMYFUNCTION("""COMPUTED_VALUE"""),"Uncle Sams Cider (04/04/2023)")</f>
        <v>Uncle Sams Cider (04/04/2023)</v>
      </c>
      <c r="H10535" s="19"/>
    </row>
    <row r="10536">
      <c r="A10536" s="9"/>
      <c r="B10536" s="15"/>
      <c r="C10536" s="9">
        <f>IFERROR(__xludf.DUMMYFUNCTION("""COMPUTED_VALUE"""),45033.4312080671)</f>
        <v>45033.43121</v>
      </c>
      <c r="D10536" s="15">
        <f>IFERROR(__xludf.DUMMYFUNCTION("""COMPUTED_VALUE"""),1.051)</f>
        <v>1.051</v>
      </c>
      <c r="E10536" s="16">
        <f>IFERROR(__xludf.DUMMYFUNCTION("""COMPUTED_VALUE"""),65.0)</f>
        <v>65</v>
      </c>
      <c r="F10536" s="19" t="str">
        <f>IFERROR(__xludf.DUMMYFUNCTION("""COMPUTED_VALUE"""),"BLUE")</f>
        <v>BLUE</v>
      </c>
      <c r="G10536" s="20" t="str">
        <f>IFERROR(__xludf.DUMMYFUNCTION("""COMPUTED_VALUE"""),"Uncle Sams Cider (04/04/2023)")</f>
        <v>Uncle Sams Cider (04/04/2023)</v>
      </c>
      <c r="H10536" s="19"/>
    </row>
    <row r="10537">
      <c r="A10537" s="9"/>
      <c r="B10537" s="15"/>
      <c r="C10537" s="9">
        <f>IFERROR(__xludf.DUMMYFUNCTION("""COMPUTED_VALUE"""),45033.4207878472)</f>
        <v>45033.42079</v>
      </c>
      <c r="D10537" s="15">
        <f>IFERROR(__xludf.DUMMYFUNCTION("""COMPUTED_VALUE"""),1.051)</f>
        <v>1.051</v>
      </c>
      <c r="E10537" s="16">
        <f>IFERROR(__xludf.DUMMYFUNCTION("""COMPUTED_VALUE"""),65.0)</f>
        <v>65</v>
      </c>
      <c r="F10537" s="19" t="str">
        <f>IFERROR(__xludf.DUMMYFUNCTION("""COMPUTED_VALUE"""),"BLUE")</f>
        <v>BLUE</v>
      </c>
      <c r="G10537" s="20" t="str">
        <f>IFERROR(__xludf.DUMMYFUNCTION("""COMPUTED_VALUE"""),"Uncle Sams Cider (04/04/2023)")</f>
        <v>Uncle Sams Cider (04/04/2023)</v>
      </c>
      <c r="H10537" s="19"/>
    </row>
    <row r="10538">
      <c r="A10538" s="9"/>
      <c r="B10538" s="15"/>
      <c r="C10538" s="9">
        <f>IFERROR(__xludf.DUMMYFUNCTION("""COMPUTED_VALUE"""),45033.4103557175)</f>
        <v>45033.41036</v>
      </c>
      <c r="D10538" s="15">
        <f>IFERROR(__xludf.DUMMYFUNCTION("""COMPUTED_VALUE"""),1.051)</f>
        <v>1.051</v>
      </c>
      <c r="E10538" s="16">
        <f>IFERROR(__xludf.DUMMYFUNCTION("""COMPUTED_VALUE"""),65.0)</f>
        <v>65</v>
      </c>
      <c r="F10538" s="19" t="str">
        <f>IFERROR(__xludf.DUMMYFUNCTION("""COMPUTED_VALUE"""),"BLUE")</f>
        <v>BLUE</v>
      </c>
      <c r="G10538" s="20" t="str">
        <f>IFERROR(__xludf.DUMMYFUNCTION("""COMPUTED_VALUE"""),"Uncle Sams Cider (04/04/2023)")</f>
        <v>Uncle Sams Cider (04/04/2023)</v>
      </c>
      <c r="H10538" s="19"/>
    </row>
    <row r="10539">
      <c r="A10539" s="9"/>
      <c r="B10539" s="15"/>
      <c r="C10539" s="9">
        <f>IFERROR(__xludf.DUMMYFUNCTION("""COMPUTED_VALUE"""),45033.3999341782)</f>
        <v>45033.39993</v>
      </c>
      <c r="D10539" s="15">
        <f>IFERROR(__xludf.DUMMYFUNCTION("""COMPUTED_VALUE"""),1.051)</f>
        <v>1.051</v>
      </c>
      <c r="E10539" s="16">
        <f>IFERROR(__xludf.DUMMYFUNCTION("""COMPUTED_VALUE"""),65.0)</f>
        <v>65</v>
      </c>
      <c r="F10539" s="19" t="str">
        <f>IFERROR(__xludf.DUMMYFUNCTION("""COMPUTED_VALUE"""),"BLUE")</f>
        <v>BLUE</v>
      </c>
      <c r="G10539" s="20" t="str">
        <f>IFERROR(__xludf.DUMMYFUNCTION("""COMPUTED_VALUE"""),"Uncle Sams Cider (04/04/2023)")</f>
        <v>Uncle Sams Cider (04/04/2023)</v>
      </c>
      <c r="H10539" s="19"/>
    </row>
    <row r="10540">
      <c r="A10540" s="9"/>
      <c r="B10540" s="15"/>
      <c r="C10540" s="9">
        <f>IFERROR(__xludf.DUMMYFUNCTION("""COMPUTED_VALUE"""),45033.3895017939)</f>
        <v>45033.3895</v>
      </c>
      <c r="D10540" s="15">
        <f>IFERROR(__xludf.DUMMYFUNCTION("""COMPUTED_VALUE"""),1.051)</f>
        <v>1.051</v>
      </c>
      <c r="E10540" s="16">
        <f>IFERROR(__xludf.DUMMYFUNCTION("""COMPUTED_VALUE"""),65.0)</f>
        <v>65</v>
      </c>
      <c r="F10540" s="19" t="str">
        <f>IFERROR(__xludf.DUMMYFUNCTION("""COMPUTED_VALUE"""),"BLUE")</f>
        <v>BLUE</v>
      </c>
      <c r="G10540" s="20" t="str">
        <f>IFERROR(__xludf.DUMMYFUNCTION("""COMPUTED_VALUE"""),"Uncle Sams Cider (04/04/2023)")</f>
        <v>Uncle Sams Cider (04/04/2023)</v>
      </c>
      <c r="H10540" s="19"/>
    </row>
    <row r="10541">
      <c r="A10541" s="9"/>
      <c r="B10541" s="15"/>
      <c r="C10541" s="9">
        <f>IFERROR(__xludf.DUMMYFUNCTION("""COMPUTED_VALUE"""),45033.3790579166)</f>
        <v>45033.37906</v>
      </c>
      <c r="D10541" s="15">
        <f>IFERROR(__xludf.DUMMYFUNCTION("""COMPUTED_VALUE"""),1.051)</f>
        <v>1.051</v>
      </c>
      <c r="E10541" s="16">
        <f>IFERROR(__xludf.DUMMYFUNCTION("""COMPUTED_VALUE"""),65.0)</f>
        <v>65</v>
      </c>
      <c r="F10541" s="19" t="str">
        <f>IFERROR(__xludf.DUMMYFUNCTION("""COMPUTED_VALUE"""),"BLUE")</f>
        <v>BLUE</v>
      </c>
      <c r="G10541" s="20" t="str">
        <f>IFERROR(__xludf.DUMMYFUNCTION("""COMPUTED_VALUE"""),"Uncle Sams Cider (04/04/2023)")</f>
        <v>Uncle Sams Cider (04/04/2023)</v>
      </c>
      <c r="H10541" s="19"/>
    </row>
    <row r="10542">
      <c r="A10542" s="9"/>
      <c r="B10542" s="15"/>
      <c r="C10542" s="9">
        <f>IFERROR(__xludf.DUMMYFUNCTION("""COMPUTED_VALUE"""),45033.3686253935)</f>
        <v>45033.36863</v>
      </c>
      <c r="D10542" s="15">
        <f>IFERROR(__xludf.DUMMYFUNCTION("""COMPUTED_VALUE"""),1.051)</f>
        <v>1.051</v>
      </c>
      <c r="E10542" s="16">
        <f>IFERROR(__xludf.DUMMYFUNCTION("""COMPUTED_VALUE"""),65.0)</f>
        <v>65</v>
      </c>
      <c r="F10542" s="19" t="str">
        <f>IFERROR(__xludf.DUMMYFUNCTION("""COMPUTED_VALUE"""),"BLUE")</f>
        <v>BLUE</v>
      </c>
      <c r="G10542" s="20" t="str">
        <f>IFERROR(__xludf.DUMMYFUNCTION("""COMPUTED_VALUE"""),"Uncle Sams Cider (04/04/2023)")</f>
        <v>Uncle Sams Cider (04/04/2023)</v>
      </c>
      <c r="H10542" s="19"/>
    </row>
    <row r="10543">
      <c r="A10543" s="9"/>
      <c r="B10543" s="15"/>
      <c r="C10543" s="9">
        <f>IFERROR(__xludf.DUMMYFUNCTION("""COMPUTED_VALUE"""),45033.3581930439)</f>
        <v>45033.35819</v>
      </c>
      <c r="D10543" s="15">
        <f>IFERROR(__xludf.DUMMYFUNCTION("""COMPUTED_VALUE"""),1.051)</f>
        <v>1.051</v>
      </c>
      <c r="E10543" s="16">
        <f>IFERROR(__xludf.DUMMYFUNCTION("""COMPUTED_VALUE"""),65.0)</f>
        <v>65</v>
      </c>
      <c r="F10543" s="19" t="str">
        <f>IFERROR(__xludf.DUMMYFUNCTION("""COMPUTED_VALUE"""),"BLUE")</f>
        <v>BLUE</v>
      </c>
      <c r="G10543" s="20" t="str">
        <f>IFERROR(__xludf.DUMMYFUNCTION("""COMPUTED_VALUE"""),"Uncle Sams Cider (04/04/2023)")</f>
        <v>Uncle Sams Cider (04/04/2023)</v>
      </c>
      <c r="H10543" s="19"/>
    </row>
    <row r="10544">
      <c r="A10544" s="9"/>
      <c r="B10544" s="15"/>
      <c r="C10544" s="9">
        <f>IFERROR(__xludf.DUMMYFUNCTION("""COMPUTED_VALUE"""),45033.3477714351)</f>
        <v>45033.34777</v>
      </c>
      <c r="D10544" s="15">
        <f>IFERROR(__xludf.DUMMYFUNCTION("""COMPUTED_VALUE"""),1.051)</f>
        <v>1.051</v>
      </c>
      <c r="E10544" s="16">
        <f>IFERROR(__xludf.DUMMYFUNCTION("""COMPUTED_VALUE"""),65.0)</f>
        <v>65</v>
      </c>
      <c r="F10544" s="19" t="str">
        <f>IFERROR(__xludf.DUMMYFUNCTION("""COMPUTED_VALUE"""),"BLUE")</f>
        <v>BLUE</v>
      </c>
      <c r="G10544" s="20" t="str">
        <f>IFERROR(__xludf.DUMMYFUNCTION("""COMPUTED_VALUE"""),"Uncle Sams Cider (04/04/2023)")</f>
        <v>Uncle Sams Cider (04/04/2023)</v>
      </c>
      <c r="H10544" s="19"/>
    </row>
    <row r="10545">
      <c r="A10545" s="9"/>
      <c r="B10545" s="15"/>
      <c r="C10545" s="9">
        <f>IFERROR(__xludf.DUMMYFUNCTION("""COMPUTED_VALUE"""),45033.3373507638)</f>
        <v>45033.33735</v>
      </c>
      <c r="D10545" s="15">
        <f>IFERROR(__xludf.DUMMYFUNCTION("""COMPUTED_VALUE"""),1.051)</f>
        <v>1.051</v>
      </c>
      <c r="E10545" s="16">
        <f>IFERROR(__xludf.DUMMYFUNCTION("""COMPUTED_VALUE"""),65.0)</f>
        <v>65</v>
      </c>
      <c r="F10545" s="19" t="str">
        <f>IFERROR(__xludf.DUMMYFUNCTION("""COMPUTED_VALUE"""),"BLUE")</f>
        <v>BLUE</v>
      </c>
      <c r="G10545" s="20" t="str">
        <f>IFERROR(__xludf.DUMMYFUNCTION("""COMPUTED_VALUE"""),"Uncle Sams Cider (04/04/2023)")</f>
        <v>Uncle Sams Cider (04/04/2023)</v>
      </c>
      <c r="H10545" s="19"/>
    </row>
    <row r="10546">
      <c r="A10546" s="9"/>
      <c r="B10546" s="15"/>
      <c r="C10546" s="9">
        <f>IFERROR(__xludf.DUMMYFUNCTION("""COMPUTED_VALUE"""),45033.3269291898)</f>
        <v>45033.32693</v>
      </c>
      <c r="D10546" s="15">
        <f>IFERROR(__xludf.DUMMYFUNCTION("""COMPUTED_VALUE"""),1.052)</f>
        <v>1.052</v>
      </c>
      <c r="E10546" s="16">
        <f>IFERROR(__xludf.DUMMYFUNCTION("""COMPUTED_VALUE"""),65.0)</f>
        <v>65</v>
      </c>
      <c r="F10546" s="19" t="str">
        <f>IFERROR(__xludf.DUMMYFUNCTION("""COMPUTED_VALUE"""),"BLUE")</f>
        <v>BLUE</v>
      </c>
      <c r="G10546" s="20" t="str">
        <f>IFERROR(__xludf.DUMMYFUNCTION("""COMPUTED_VALUE"""),"Uncle Sams Cider (04/04/2023)")</f>
        <v>Uncle Sams Cider (04/04/2023)</v>
      </c>
      <c r="H10546" s="19"/>
    </row>
    <row r="10547">
      <c r="A10547" s="9"/>
      <c r="B10547" s="15"/>
      <c r="C10547" s="9">
        <f>IFERROR(__xludf.DUMMYFUNCTION("""COMPUTED_VALUE"""),45033.3165064467)</f>
        <v>45033.31651</v>
      </c>
      <c r="D10547" s="15">
        <f>IFERROR(__xludf.DUMMYFUNCTION("""COMPUTED_VALUE"""),1.051)</f>
        <v>1.051</v>
      </c>
      <c r="E10547" s="16">
        <f>IFERROR(__xludf.DUMMYFUNCTION("""COMPUTED_VALUE"""),65.0)</f>
        <v>65</v>
      </c>
      <c r="F10547" s="19" t="str">
        <f>IFERROR(__xludf.DUMMYFUNCTION("""COMPUTED_VALUE"""),"BLUE")</f>
        <v>BLUE</v>
      </c>
      <c r="G10547" s="20" t="str">
        <f>IFERROR(__xludf.DUMMYFUNCTION("""COMPUTED_VALUE"""),"Uncle Sams Cider (04/04/2023)")</f>
        <v>Uncle Sams Cider (04/04/2023)</v>
      </c>
      <c r="H10547" s="19"/>
    </row>
    <row r="10548">
      <c r="A10548" s="9"/>
      <c r="B10548" s="15"/>
      <c r="C10548" s="9">
        <f>IFERROR(__xludf.DUMMYFUNCTION("""COMPUTED_VALUE"""),45033.3060834837)</f>
        <v>45033.30608</v>
      </c>
      <c r="D10548" s="15">
        <f>IFERROR(__xludf.DUMMYFUNCTION("""COMPUTED_VALUE"""),1.052)</f>
        <v>1.052</v>
      </c>
      <c r="E10548" s="16">
        <f>IFERROR(__xludf.DUMMYFUNCTION("""COMPUTED_VALUE"""),65.0)</f>
        <v>65</v>
      </c>
      <c r="F10548" s="19" t="str">
        <f>IFERROR(__xludf.DUMMYFUNCTION("""COMPUTED_VALUE"""),"BLUE")</f>
        <v>BLUE</v>
      </c>
      <c r="G10548" s="20" t="str">
        <f>IFERROR(__xludf.DUMMYFUNCTION("""COMPUTED_VALUE"""),"Uncle Sams Cider (04/04/2023)")</f>
        <v>Uncle Sams Cider (04/04/2023)</v>
      </c>
      <c r="H10548" s="19"/>
    </row>
    <row r="10549">
      <c r="A10549" s="9"/>
      <c r="B10549" s="15"/>
      <c r="C10549" s="9">
        <f>IFERROR(__xludf.DUMMYFUNCTION("""COMPUTED_VALUE"""),45033.295650243)</f>
        <v>45033.29565</v>
      </c>
      <c r="D10549" s="15">
        <f>IFERROR(__xludf.DUMMYFUNCTION("""COMPUTED_VALUE"""),1.052)</f>
        <v>1.052</v>
      </c>
      <c r="E10549" s="16">
        <f>IFERROR(__xludf.DUMMYFUNCTION("""COMPUTED_VALUE"""),65.0)</f>
        <v>65</v>
      </c>
      <c r="F10549" s="19" t="str">
        <f>IFERROR(__xludf.DUMMYFUNCTION("""COMPUTED_VALUE"""),"BLUE")</f>
        <v>BLUE</v>
      </c>
      <c r="G10549" s="20" t="str">
        <f>IFERROR(__xludf.DUMMYFUNCTION("""COMPUTED_VALUE"""),"Uncle Sams Cider (04/04/2023)")</f>
        <v>Uncle Sams Cider (04/04/2023)</v>
      </c>
      <c r="H10549" s="19"/>
    </row>
    <row r="10550">
      <c r="A10550" s="9"/>
      <c r="B10550" s="15"/>
      <c r="C10550" s="9">
        <f>IFERROR(__xludf.DUMMYFUNCTION("""COMPUTED_VALUE"""),45033.2852283101)</f>
        <v>45033.28523</v>
      </c>
      <c r="D10550" s="15">
        <f>IFERROR(__xludf.DUMMYFUNCTION("""COMPUTED_VALUE"""),1.052)</f>
        <v>1.052</v>
      </c>
      <c r="E10550" s="16">
        <f>IFERROR(__xludf.DUMMYFUNCTION("""COMPUTED_VALUE"""),65.0)</f>
        <v>65</v>
      </c>
      <c r="F10550" s="19" t="str">
        <f>IFERROR(__xludf.DUMMYFUNCTION("""COMPUTED_VALUE"""),"BLUE")</f>
        <v>BLUE</v>
      </c>
      <c r="G10550" s="20" t="str">
        <f>IFERROR(__xludf.DUMMYFUNCTION("""COMPUTED_VALUE"""),"Uncle Sams Cider (04/04/2023)")</f>
        <v>Uncle Sams Cider (04/04/2023)</v>
      </c>
      <c r="H10550" s="19"/>
    </row>
    <row r="10551">
      <c r="A10551" s="9"/>
      <c r="B10551" s="15"/>
      <c r="C10551" s="9">
        <f>IFERROR(__xludf.DUMMYFUNCTION("""COMPUTED_VALUE"""),45033.2748086805)</f>
        <v>45033.27481</v>
      </c>
      <c r="D10551" s="15">
        <f>IFERROR(__xludf.DUMMYFUNCTION("""COMPUTED_VALUE"""),1.052)</f>
        <v>1.052</v>
      </c>
      <c r="E10551" s="16">
        <f>IFERROR(__xludf.DUMMYFUNCTION("""COMPUTED_VALUE"""),65.0)</f>
        <v>65</v>
      </c>
      <c r="F10551" s="19" t="str">
        <f>IFERROR(__xludf.DUMMYFUNCTION("""COMPUTED_VALUE"""),"BLUE")</f>
        <v>BLUE</v>
      </c>
      <c r="G10551" s="20" t="str">
        <f>IFERROR(__xludf.DUMMYFUNCTION("""COMPUTED_VALUE"""),"Uncle Sams Cider (04/04/2023)")</f>
        <v>Uncle Sams Cider (04/04/2023)</v>
      </c>
      <c r="H10551" s="19"/>
    </row>
    <row r="10552">
      <c r="A10552" s="9"/>
      <c r="B10552" s="15"/>
      <c r="C10552" s="9">
        <f>IFERROR(__xludf.DUMMYFUNCTION("""COMPUTED_VALUE"""),45033.2643879513)</f>
        <v>45033.26439</v>
      </c>
      <c r="D10552" s="15">
        <f>IFERROR(__xludf.DUMMYFUNCTION("""COMPUTED_VALUE"""),1.052)</f>
        <v>1.052</v>
      </c>
      <c r="E10552" s="16">
        <f>IFERROR(__xludf.DUMMYFUNCTION("""COMPUTED_VALUE"""),65.0)</f>
        <v>65</v>
      </c>
      <c r="F10552" s="19" t="str">
        <f>IFERROR(__xludf.DUMMYFUNCTION("""COMPUTED_VALUE"""),"BLUE")</f>
        <v>BLUE</v>
      </c>
      <c r="G10552" s="20" t="str">
        <f>IFERROR(__xludf.DUMMYFUNCTION("""COMPUTED_VALUE"""),"Uncle Sams Cider (04/04/2023)")</f>
        <v>Uncle Sams Cider (04/04/2023)</v>
      </c>
      <c r="H10552" s="19"/>
    </row>
    <row r="10553">
      <c r="A10553" s="9"/>
      <c r="B10553" s="15"/>
      <c r="C10553" s="9">
        <f>IFERROR(__xludf.DUMMYFUNCTION("""COMPUTED_VALUE"""),45033.2539689004)</f>
        <v>45033.25397</v>
      </c>
      <c r="D10553" s="15">
        <f>IFERROR(__xludf.DUMMYFUNCTION("""COMPUTED_VALUE"""),1.052)</f>
        <v>1.052</v>
      </c>
      <c r="E10553" s="16">
        <f>IFERROR(__xludf.DUMMYFUNCTION("""COMPUTED_VALUE"""),65.0)</f>
        <v>65</v>
      </c>
      <c r="F10553" s="19" t="str">
        <f>IFERROR(__xludf.DUMMYFUNCTION("""COMPUTED_VALUE"""),"BLUE")</f>
        <v>BLUE</v>
      </c>
      <c r="G10553" s="20" t="str">
        <f>IFERROR(__xludf.DUMMYFUNCTION("""COMPUTED_VALUE"""),"Uncle Sams Cider (04/04/2023)")</f>
        <v>Uncle Sams Cider (04/04/2023)</v>
      </c>
      <c r="H10553" s="19"/>
    </row>
    <row r="10554">
      <c r="A10554" s="9"/>
      <c r="B10554" s="15"/>
      <c r="C10554" s="9">
        <f>IFERROR(__xludf.DUMMYFUNCTION("""COMPUTED_VALUE"""),45033.2435476041)</f>
        <v>45033.24355</v>
      </c>
      <c r="D10554" s="15">
        <f>IFERROR(__xludf.DUMMYFUNCTION("""COMPUTED_VALUE"""),1.052)</f>
        <v>1.052</v>
      </c>
      <c r="E10554" s="16">
        <f>IFERROR(__xludf.DUMMYFUNCTION("""COMPUTED_VALUE"""),65.0)</f>
        <v>65</v>
      </c>
      <c r="F10554" s="19" t="str">
        <f>IFERROR(__xludf.DUMMYFUNCTION("""COMPUTED_VALUE"""),"BLUE")</f>
        <v>BLUE</v>
      </c>
      <c r="G10554" s="20" t="str">
        <f>IFERROR(__xludf.DUMMYFUNCTION("""COMPUTED_VALUE"""),"Uncle Sams Cider (04/04/2023)")</f>
        <v>Uncle Sams Cider (04/04/2023)</v>
      </c>
      <c r="H10554" s="19"/>
    </row>
    <row r="10555">
      <c r="A10555" s="9"/>
      <c r="B10555" s="15"/>
      <c r="C10555" s="9">
        <f>IFERROR(__xludf.DUMMYFUNCTION("""COMPUTED_VALUE"""),45033.2331252546)</f>
        <v>45033.23313</v>
      </c>
      <c r="D10555" s="15">
        <f>IFERROR(__xludf.DUMMYFUNCTION("""COMPUTED_VALUE"""),1.052)</f>
        <v>1.052</v>
      </c>
      <c r="E10555" s="16">
        <f>IFERROR(__xludf.DUMMYFUNCTION("""COMPUTED_VALUE"""),65.0)</f>
        <v>65</v>
      </c>
      <c r="F10555" s="19" t="str">
        <f>IFERROR(__xludf.DUMMYFUNCTION("""COMPUTED_VALUE"""),"BLUE")</f>
        <v>BLUE</v>
      </c>
      <c r="G10555" s="20" t="str">
        <f>IFERROR(__xludf.DUMMYFUNCTION("""COMPUTED_VALUE"""),"Uncle Sams Cider (04/04/2023)")</f>
        <v>Uncle Sams Cider (04/04/2023)</v>
      </c>
      <c r="H10555" s="19"/>
    </row>
    <row r="10556">
      <c r="A10556" s="9"/>
      <c r="B10556" s="15"/>
      <c r="C10556" s="9">
        <f>IFERROR(__xludf.DUMMYFUNCTION("""COMPUTED_VALUE"""),45033.2226929629)</f>
        <v>45033.22269</v>
      </c>
      <c r="D10556" s="15">
        <f>IFERROR(__xludf.DUMMYFUNCTION("""COMPUTED_VALUE"""),1.052)</f>
        <v>1.052</v>
      </c>
      <c r="E10556" s="16">
        <f>IFERROR(__xludf.DUMMYFUNCTION("""COMPUTED_VALUE"""),65.0)</f>
        <v>65</v>
      </c>
      <c r="F10556" s="19" t="str">
        <f>IFERROR(__xludf.DUMMYFUNCTION("""COMPUTED_VALUE"""),"BLUE")</f>
        <v>BLUE</v>
      </c>
      <c r="G10556" s="20" t="str">
        <f>IFERROR(__xludf.DUMMYFUNCTION("""COMPUTED_VALUE"""),"Uncle Sams Cider (04/04/2023)")</f>
        <v>Uncle Sams Cider (04/04/2023)</v>
      </c>
      <c r="H10556" s="19"/>
    </row>
    <row r="10557">
      <c r="A10557" s="9"/>
      <c r="B10557" s="15"/>
      <c r="C10557" s="9">
        <f>IFERROR(__xludf.DUMMYFUNCTION("""COMPUTED_VALUE"""),45033.212273206)</f>
        <v>45033.21227</v>
      </c>
      <c r="D10557" s="15">
        <f>IFERROR(__xludf.DUMMYFUNCTION("""COMPUTED_VALUE"""),1.052)</f>
        <v>1.052</v>
      </c>
      <c r="E10557" s="16">
        <f>IFERROR(__xludf.DUMMYFUNCTION("""COMPUTED_VALUE"""),65.0)</f>
        <v>65</v>
      </c>
      <c r="F10557" s="19" t="str">
        <f>IFERROR(__xludf.DUMMYFUNCTION("""COMPUTED_VALUE"""),"BLUE")</f>
        <v>BLUE</v>
      </c>
      <c r="G10557" s="20" t="str">
        <f>IFERROR(__xludf.DUMMYFUNCTION("""COMPUTED_VALUE"""),"Uncle Sams Cider (04/04/2023)")</f>
        <v>Uncle Sams Cider (04/04/2023)</v>
      </c>
      <c r="H10557" s="19"/>
    </row>
    <row r="10558">
      <c r="A10558" s="9"/>
      <c r="B10558" s="15"/>
      <c r="C10558" s="9">
        <f>IFERROR(__xludf.DUMMYFUNCTION("""COMPUTED_VALUE"""),45033.2018517939)</f>
        <v>45033.20185</v>
      </c>
      <c r="D10558" s="15">
        <f>IFERROR(__xludf.DUMMYFUNCTION("""COMPUTED_VALUE"""),1.052)</f>
        <v>1.052</v>
      </c>
      <c r="E10558" s="16">
        <f>IFERROR(__xludf.DUMMYFUNCTION("""COMPUTED_VALUE"""),65.0)</f>
        <v>65</v>
      </c>
      <c r="F10558" s="19" t="str">
        <f>IFERROR(__xludf.DUMMYFUNCTION("""COMPUTED_VALUE"""),"BLUE")</f>
        <v>BLUE</v>
      </c>
      <c r="G10558" s="20" t="str">
        <f>IFERROR(__xludf.DUMMYFUNCTION("""COMPUTED_VALUE"""),"Uncle Sams Cider (04/04/2023)")</f>
        <v>Uncle Sams Cider (04/04/2023)</v>
      </c>
      <c r="H10558" s="19"/>
    </row>
    <row r="10559">
      <c r="A10559" s="9"/>
      <c r="B10559" s="15"/>
      <c r="C10559" s="9">
        <f>IFERROR(__xludf.DUMMYFUNCTION("""COMPUTED_VALUE"""),45033.1914303356)</f>
        <v>45033.19143</v>
      </c>
      <c r="D10559" s="15">
        <f>IFERROR(__xludf.DUMMYFUNCTION("""COMPUTED_VALUE"""),1.052)</f>
        <v>1.052</v>
      </c>
      <c r="E10559" s="16">
        <f>IFERROR(__xludf.DUMMYFUNCTION("""COMPUTED_VALUE"""),65.0)</f>
        <v>65</v>
      </c>
      <c r="F10559" s="19" t="str">
        <f>IFERROR(__xludf.DUMMYFUNCTION("""COMPUTED_VALUE"""),"BLUE")</f>
        <v>BLUE</v>
      </c>
      <c r="G10559" s="20" t="str">
        <f>IFERROR(__xludf.DUMMYFUNCTION("""COMPUTED_VALUE"""),"Uncle Sams Cider (04/04/2023)")</f>
        <v>Uncle Sams Cider (04/04/2023)</v>
      </c>
      <c r="H10559" s="19"/>
    </row>
    <row r="10560">
      <c r="A10560" s="9"/>
      <c r="B10560" s="15"/>
      <c r="C10560" s="9">
        <f>IFERROR(__xludf.DUMMYFUNCTION("""COMPUTED_VALUE"""),45033.1809971759)</f>
        <v>45033.181</v>
      </c>
      <c r="D10560" s="15">
        <f>IFERROR(__xludf.DUMMYFUNCTION("""COMPUTED_VALUE"""),1.052)</f>
        <v>1.052</v>
      </c>
      <c r="E10560" s="16">
        <f>IFERROR(__xludf.DUMMYFUNCTION("""COMPUTED_VALUE"""),65.0)</f>
        <v>65</v>
      </c>
      <c r="F10560" s="19" t="str">
        <f>IFERROR(__xludf.DUMMYFUNCTION("""COMPUTED_VALUE"""),"BLUE")</f>
        <v>BLUE</v>
      </c>
      <c r="G10560" s="20" t="str">
        <f>IFERROR(__xludf.DUMMYFUNCTION("""COMPUTED_VALUE"""),"Uncle Sams Cider (04/04/2023)")</f>
        <v>Uncle Sams Cider (04/04/2023)</v>
      </c>
      <c r="H10560" s="19"/>
    </row>
    <row r="10561">
      <c r="A10561" s="9"/>
      <c r="B10561" s="15"/>
      <c r="C10561" s="9">
        <f>IFERROR(__xludf.DUMMYFUNCTION("""COMPUTED_VALUE"""),45033.170575162)</f>
        <v>45033.17058</v>
      </c>
      <c r="D10561" s="15">
        <f>IFERROR(__xludf.DUMMYFUNCTION("""COMPUTED_VALUE"""),1.052)</f>
        <v>1.052</v>
      </c>
      <c r="E10561" s="16">
        <f>IFERROR(__xludf.DUMMYFUNCTION("""COMPUTED_VALUE"""),65.0)</f>
        <v>65</v>
      </c>
      <c r="F10561" s="19" t="str">
        <f>IFERROR(__xludf.DUMMYFUNCTION("""COMPUTED_VALUE"""),"BLUE")</f>
        <v>BLUE</v>
      </c>
      <c r="G10561" s="20" t="str">
        <f>IFERROR(__xludf.DUMMYFUNCTION("""COMPUTED_VALUE"""),"Uncle Sams Cider (04/04/2023)")</f>
        <v>Uncle Sams Cider (04/04/2023)</v>
      </c>
      <c r="H10561" s="19"/>
    </row>
    <row r="10562">
      <c r="A10562" s="9"/>
      <c r="B10562" s="15"/>
      <c r="C10562" s="9">
        <f>IFERROR(__xludf.DUMMYFUNCTION("""COMPUTED_VALUE"""),45033.1601418287)</f>
        <v>45033.16014</v>
      </c>
      <c r="D10562" s="15">
        <f>IFERROR(__xludf.DUMMYFUNCTION("""COMPUTED_VALUE"""),1.052)</f>
        <v>1.052</v>
      </c>
      <c r="E10562" s="16">
        <f>IFERROR(__xludf.DUMMYFUNCTION("""COMPUTED_VALUE"""),65.0)</f>
        <v>65</v>
      </c>
      <c r="F10562" s="19" t="str">
        <f>IFERROR(__xludf.DUMMYFUNCTION("""COMPUTED_VALUE"""),"BLUE")</f>
        <v>BLUE</v>
      </c>
      <c r="G10562" s="20" t="str">
        <f>IFERROR(__xludf.DUMMYFUNCTION("""COMPUTED_VALUE"""),"Uncle Sams Cider (04/04/2023)")</f>
        <v>Uncle Sams Cider (04/04/2023)</v>
      </c>
      <c r="H10562" s="19"/>
    </row>
    <row r="10563">
      <c r="A10563" s="9"/>
      <c r="B10563" s="15"/>
      <c r="C10563" s="9">
        <f>IFERROR(__xludf.DUMMYFUNCTION("""COMPUTED_VALUE"""),45033.1497197685)</f>
        <v>45033.14972</v>
      </c>
      <c r="D10563" s="15">
        <f>IFERROR(__xludf.DUMMYFUNCTION("""COMPUTED_VALUE"""),1.052)</f>
        <v>1.052</v>
      </c>
      <c r="E10563" s="16">
        <f>IFERROR(__xludf.DUMMYFUNCTION("""COMPUTED_VALUE"""),65.0)</f>
        <v>65</v>
      </c>
      <c r="F10563" s="19" t="str">
        <f>IFERROR(__xludf.DUMMYFUNCTION("""COMPUTED_VALUE"""),"BLUE")</f>
        <v>BLUE</v>
      </c>
      <c r="G10563" s="20" t="str">
        <f>IFERROR(__xludf.DUMMYFUNCTION("""COMPUTED_VALUE"""),"Uncle Sams Cider (04/04/2023)")</f>
        <v>Uncle Sams Cider (04/04/2023)</v>
      </c>
      <c r="H10563" s="19"/>
    </row>
    <row r="10564">
      <c r="A10564" s="9"/>
      <c r="B10564" s="15"/>
      <c r="C10564" s="9">
        <f>IFERROR(__xludf.DUMMYFUNCTION("""COMPUTED_VALUE"""),45033.13930103)</f>
        <v>45033.1393</v>
      </c>
      <c r="D10564" s="15">
        <f>IFERROR(__xludf.DUMMYFUNCTION("""COMPUTED_VALUE"""),1.052)</f>
        <v>1.052</v>
      </c>
      <c r="E10564" s="16">
        <f>IFERROR(__xludf.DUMMYFUNCTION("""COMPUTED_VALUE"""),65.0)</f>
        <v>65</v>
      </c>
      <c r="F10564" s="19" t="str">
        <f>IFERROR(__xludf.DUMMYFUNCTION("""COMPUTED_VALUE"""),"BLUE")</f>
        <v>BLUE</v>
      </c>
      <c r="G10564" s="20" t="str">
        <f>IFERROR(__xludf.DUMMYFUNCTION("""COMPUTED_VALUE"""),"Uncle Sams Cider (04/04/2023)")</f>
        <v>Uncle Sams Cider (04/04/2023)</v>
      </c>
      <c r="H10564" s="19"/>
    </row>
    <row r="10565">
      <c r="A10565" s="9"/>
      <c r="B10565" s="15"/>
      <c r="C10565" s="9">
        <f>IFERROR(__xludf.DUMMYFUNCTION("""COMPUTED_VALUE"""),45033.1288794676)</f>
        <v>45033.12888</v>
      </c>
      <c r="D10565" s="15">
        <f>IFERROR(__xludf.DUMMYFUNCTION("""COMPUTED_VALUE"""),1.052)</f>
        <v>1.052</v>
      </c>
      <c r="E10565" s="16">
        <f>IFERROR(__xludf.DUMMYFUNCTION("""COMPUTED_VALUE"""),65.0)</f>
        <v>65</v>
      </c>
      <c r="F10565" s="19" t="str">
        <f>IFERROR(__xludf.DUMMYFUNCTION("""COMPUTED_VALUE"""),"BLUE")</f>
        <v>BLUE</v>
      </c>
      <c r="G10565" s="20" t="str">
        <f>IFERROR(__xludf.DUMMYFUNCTION("""COMPUTED_VALUE"""),"Uncle Sams Cider (04/04/2023)")</f>
        <v>Uncle Sams Cider (04/04/2023)</v>
      </c>
      <c r="H10565" s="19"/>
    </row>
    <row r="10566">
      <c r="A10566" s="9"/>
      <c r="B10566" s="15"/>
      <c r="C10566" s="9">
        <f>IFERROR(__xludf.DUMMYFUNCTION("""COMPUTED_VALUE"""),45033.1184567708)</f>
        <v>45033.11846</v>
      </c>
      <c r="D10566" s="15">
        <f>IFERROR(__xludf.DUMMYFUNCTION("""COMPUTED_VALUE"""),1.052)</f>
        <v>1.052</v>
      </c>
      <c r="E10566" s="16">
        <f>IFERROR(__xludf.DUMMYFUNCTION("""COMPUTED_VALUE"""),65.0)</f>
        <v>65</v>
      </c>
      <c r="F10566" s="19" t="str">
        <f>IFERROR(__xludf.DUMMYFUNCTION("""COMPUTED_VALUE"""),"BLUE")</f>
        <v>BLUE</v>
      </c>
      <c r="G10566" s="20" t="str">
        <f>IFERROR(__xludf.DUMMYFUNCTION("""COMPUTED_VALUE"""),"Uncle Sams Cider (04/04/2023)")</f>
        <v>Uncle Sams Cider (04/04/2023)</v>
      </c>
      <c r="H10566" s="19"/>
    </row>
    <row r="10567">
      <c r="A10567" s="9"/>
      <c r="B10567" s="15"/>
      <c r="C10567" s="9">
        <f>IFERROR(__xludf.DUMMYFUNCTION("""COMPUTED_VALUE"""),45033.1080364814)</f>
        <v>45033.10804</v>
      </c>
      <c r="D10567" s="15">
        <f>IFERROR(__xludf.DUMMYFUNCTION("""COMPUTED_VALUE"""),1.052)</f>
        <v>1.052</v>
      </c>
      <c r="E10567" s="16">
        <f>IFERROR(__xludf.DUMMYFUNCTION("""COMPUTED_VALUE"""),65.0)</f>
        <v>65</v>
      </c>
      <c r="F10567" s="19" t="str">
        <f>IFERROR(__xludf.DUMMYFUNCTION("""COMPUTED_VALUE"""),"BLUE")</f>
        <v>BLUE</v>
      </c>
      <c r="G10567" s="20" t="str">
        <f>IFERROR(__xludf.DUMMYFUNCTION("""COMPUTED_VALUE"""),"Uncle Sams Cider (04/04/2023)")</f>
        <v>Uncle Sams Cider (04/04/2023)</v>
      </c>
      <c r="H10567" s="19"/>
    </row>
    <row r="10568">
      <c r="A10568" s="9"/>
      <c r="B10568" s="15"/>
      <c r="C10568" s="9">
        <f>IFERROR(__xludf.DUMMYFUNCTION("""COMPUTED_VALUE"""),45033.0976171875)</f>
        <v>45033.09762</v>
      </c>
      <c r="D10568" s="15">
        <f>IFERROR(__xludf.DUMMYFUNCTION("""COMPUTED_VALUE"""),1.052)</f>
        <v>1.052</v>
      </c>
      <c r="E10568" s="16">
        <f>IFERROR(__xludf.DUMMYFUNCTION("""COMPUTED_VALUE"""),65.0)</f>
        <v>65</v>
      </c>
      <c r="F10568" s="19" t="str">
        <f>IFERROR(__xludf.DUMMYFUNCTION("""COMPUTED_VALUE"""),"BLUE")</f>
        <v>BLUE</v>
      </c>
      <c r="G10568" s="20" t="str">
        <f>IFERROR(__xludf.DUMMYFUNCTION("""COMPUTED_VALUE"""),"Uncle Sams Cider (04/04/2023)")</f>
        <v>Uncle Sams Cider (04/04/2023)</v>
      </c>
      <c r="H10568" s="19"/>
    </row>
    <row r="10569">
      <c r="A10569" s="9"/>
      <c r="B10569" s="15"/>
      <c r="C10569" s="9">
        <f>IFERROR(__xludf.DUMMYFUNCTION("""COMPUTED_VALUE"""),45033.0871943634)</f>
        <v>45033.08719</v>
      </c>
      <c r="D10569" s="15">
        <f>IFERROR(__xludf.DUMMYFUNCTION("""COMPUTED_VALUE"""),1.052)</f>
        <v>1.052</v>
      </c>
      <c r="E10569" s="16">
        <f>IFERROR(__xludf.DUMMYFUNCTION("""COMPUTED_VALUE"""),65.0)</f>
        <v>65</v>
      </c>
      <c r="F10569" s="19" t="str">
        <f>IFERROR(__xludf.DUMMYFUNCTION("""COMPUTED_VALUE"""),"BLUE")</f>
        <v>BLUE</v>
      </c>
      <c r="G10569" s="20" t="str">
        <f>IFERROR(__xludf.DUMMYFUNCTION("""COMPUTED_VALUE"""),"Uncle Sams Cider (04/04/2023)")</f>
        <v>Uncle Sams Cider (04/04/2023)</v>
      </c>
      <c r="H10569" s="19"/>
    </row>
    <row r="10570">
      <c r="A10570" s="9"/>
      <c r="B10570" s="15"/>
      <c r="C10570" s="9">
        <f>IFERROR(__xludf.DUMMYFUNCTION("""COMPUTED_VALUE"""),45033.0767732175)</f>
        <v>45033.07677</v>
      </c>
      <c r="D10570" s="15">
        <f>IFERROR(__xludf.DUMMYFUNCTION("""COMPUTED_VALUE"""),1.052)</f>
        <v>1.052</v>
      </c>
      <c r="E10570" s="16">
        <f>IFERROR(__xludf.DUMMYFUNCTION("""COMPUTED_VALUE"""),65.0)</f>
        <v>65</v>
      </c>
      <c r="F10570" s="19" t="str">
        <f>IFERROR(__xludf.DUMMYFUNCTION("""COMPUTED_VALUE"""),"BLUE")</f>
        <v>BLUE</v>
      </c>
      <c r="G10570" s="20" t="str">
        <f>IFERROR(__xludf.DUMMYFUNCTION("""COMPUTED_VALUE"""),"Uncle Sams Cider (04/04/2023)")</f>
        <v>Uncle Sams Cider (04/04/2023)</v>
      </c>
      <c r="H10570" s="19"/>
    </row>
    <row r="10571">
      <c r="A10571" s="9"/>
      <c r="B10571" s="15"/>
      <c r="C10571" s="9">
        <f>IFERROR(__xludf.DUMMYFUNCTION("""COMPUTED_VALUE"""),45033.0663510069)</f>
        <v>45033.06635</v>
      </c>
      <c r="D10571" s="15">
        <f>IFERROR(__xludf.DUMMYFUNCTION("""COMPUTED_VALUE"""),1.053)</f>
        <v>1.053</v>
      </c>
      <c r="E10571" s="16">
        <f>IFERROR(__xludf.DUMMYFUNCTION("""COMPUTED_VALUE"""),65.0)</f>
        <v>65</v>
      </c>
      <c r="F10571" s="19" t="str">
        <f>IFERROR(__xludf.DUMMYFUNCTION("""COMPUTED_VALUE"""),"BLUE")</f>
        <v>BLUE</v>
      </c>
      <c r="G10571" s="20" t="str">
        <f>IFERROR(__xludf.DUMMYFUNCTION("""COMPUTED_VALUE"""),"Uncle Sams Cider (04/04/2023)")</f>
        <v>Uncle Sams Cider (04/04/2023)</v>
      </c>
      <c r="H10571" s="19"/>
    </row>
    <row r="10572">
      <c r="A10572" s="9"/>
      <c r="B10572" s="15"/>
      <c r="C10572" s="9">
        <f>IFERROR(__xludf.DUMMYFUNCTION("""COMPUTED_VALUE"""),45033.0558835648)</f>
        <v>45033.05588</v>
      </c>
      <c r="D10572" s="15">
        <f>IFERROR(__xludf.DUMMYFUNCTION("""COMPUTED_VALUE"""),1.053)</f>
        <v>1.053</v>
      </c>
      <c r="E10572" s="16">
        <f>IFERROR(__xludf.DUMMYFUNCTION("""COMPUTED_VALUE"""),65.0)</f>
        <v>65</v>
      </c>
      <c r="F10572" s="19" t="str">
        <f>IFERROR(__xludf.DUMMYFUNCTION("""COMPUTED_VALUE"""),"BLUE")</f>
        <v>BLUE</v>
      </c>
      <c r="G10572" s="20" t="str">
        <f>IFERROR(__xludf.DUMMYFUNCTION("""COMPUTED_VALUE"""),"Uncle Sams Cider (04/04/2023)")</f>
        <v>Uncle Sams Cider (04/04/2023)</v>
      </c>
      <c r="H10572" s="19"/>
    </row>
    <row r="10573">
      <c r="A10573" s="9"/>
      <c r="B10573" s="15"/>
      <c r="C10573" s="9">
        <f>IFERROR(__xludf.DUMMYFUNCTION("""COMPUTED_VALUE"""),45033.045460324)</f>
        <v>45033.04546</v>
      </c>
      <c r="D10573" s="15">
        <f>IFERROR(__xludf.DUMMYFUNCTION("""COMPUTED_VALUE"""),1.053)</f>
        <v>1.053</v>
      </c>
      <c r="E10573" s="16">
        <f>IFERROR(__xludf.DUMMYFUNCTION("""COMPUTED_VALUE"""),65.0)</f>
        <v>65</v>
      </c>
      <c r="F10573" s="19" t="str">
        <f>IFERROR(__xludf.DUMMYFUNCTION("""COMPUTED_VALUE"""),"BLUE")</f>
        <v>BLUE</v>
      </c>
      <c r="G10573" s="20" t="str">
        <f>IFERROR(__xludf.DUMMYFUNCTION("""COMPUTED_VALUE"""),"Uncle Sams Cider (04/04/2023)")</f>
        <v>Uncle Sams Cider (04/04/2023)</v>
      </c>
      <c r="H10573" s="19"/>
    </row>
    <row r="10574">
      <c r="A10574" s="9"/>
      <c r="B10574" s="15"/>
      <c r="C10574" s="9">
        <f>IFERROR(__xludf.DUMMYFUNCTION("""COMPUTED_VALUE"""),45033.0350389814)</f>
        <v>45033.03504</v>
      </c>
      <c r="D10574" s="15">
        <f>IFERROR(__xludf.DUMMYFUNCTION("""COMPUTED_VALUE"""),1.053)</f>
        <v>1.053</v>
      </c>
      <c r="E10574" s="16">
        <f>IFERROR(__xludf.DUMMYFUNCTION("""COMPUTED_VALUE"""),65.0)</f>
        <v>65</v>
      </c>
      <c r="F10574" s="19" t="str">
        <f>IFERROR(__xludf.DUMMYFUNCTION("""COMPUTED_VALUE"""),"BLUE")</f>
        <v>BLUE</v>
      </c>
      <c r="G10574" s="20" t="str">
        <f>IFERROR(__xludf.DUMMYFUNCTION("""COMPUTED_VALUE"""),"Uncle Sams Cider (04/04/2023)")</f>
        <v>Uncle Sams Cider (04/04/2023)</v>
      </c>
      <c r="H10574" s="19"/>
    </row>
    <row r="10575">
      <c r="A10575" s="9"/>
      <c r="B10575" s="15"/>
      <c r="C10575" s="9">
        <f>IFERROR(__xludf.DUMMYFUNCTION("""COMPUTED_VALUE"""),45033.0246189004)</f>
        <v>45033.02462</v>
      </c>
      <c r="D10575" s="15">
        <f>IFERROR(__xludf.DUMMYFUNCTION("""COMPUTED_VALUE"""),1.053)</f>
        <v>1.053</v>
      </c>
      <c r="E10575" s="16">
        <f>IFERROR(__xludf.DUMMYFUNCTION("""COMPUTED_VALUE"""),65.0)</f>
        <v>65</v>
      </c>
      <c r="F10575" s="19" t="str">
        <f>IFERROR(__xludf.DUMMYFUNCTION("""COMPUTED_VALUE"""),"BLUE")</f>
        <v>BLUE</v>
      </c>
      <c r="G10575" s="20" t="str">
        <f>IFERROR(__xludf.DUMMYFUNCTION("""COMPUTED_VALUE"""),"Uncle Sams Cider (04/04/2023)")</f>
        <v>Uncle Sams Cider (04/04/2023)</v>
      </c>
      <c r="H10575" s="19"/>
    </row>
    <row r="10576">
      <c r="A10576" s="9"/>
      <c r="B10576" s="15"/>
      <c r="C10576" s="9">
        <f>IFERROR(__xludf.DUMMYFUNCTION("""COMPUTED_VALUE"""),45033.0141981018)</f>
        <v>45033.0142</v>
      </c>
      <c r="D10576" s="15">
        <f>IFERROR(__xludf.DUMMYFUNCTION("""COMPUTED_VALUE"""),1.052)</f>
        <v>1.052</v>
      </c>
      <c r="E10576" s="16">
        <f>IFERROR(__xludf.DUMMYFUNCTION("""COMPUTED_VALUE"""),65.0)</f>
        <v>65</v>
      </c>
      <c r="F10576" s="19" t="str">
        <f>IFERROR(__xludf.DUMMYFUNCTION("""COMPUTED_VALUE"""),"BLUE")</f>
        <v>BLUE</v>
      </c>
      <c r="G10576" s="20" t="str">
        <f>IFERROR(__xludf.DUMMYFUNCTION("""COMPUTED_VALUE"""),"Uncle Sams Cider (04/04/2023)")</f>
        <v>Uncle Sams Cider (04/04/2023)</v>
      </c>
      <c r="H10576" s="19"/>
    </row>
    <row r="10577">
      <c r="A10577" s="9"/>
      <c r="B10577" s="15"/>
      <c r="C10577" s="9">
        <f>IFERROR(__xludf.DUMMYFUNCTION("""COMPUTED_VALUE"""),45033.0037756365)</f>
        <v>45033.00378</v>
      </c>
      <c r="D10577" s="15">
        <f>IFERROR(__xludf.DUMMYFUNCTION("""COMPUTED_VALUE"""),1.053)</f>
        <v>1.053</v>
      </c>
      <c r="E10577" s="16">
        <f>IFERROR(__xludf.DUMMYFUNCTION("""COMPUTED_VALUE"""),65.0)</f>
        <v>65</v>
      </c>
      <c r="F10577" s="19" t="str">
        <f>IFERROR(__xludf.DUMMYFUNCTION("""COMPUTED_VALUE"""),"BLUE")</f>
        <v>BLUE</v>
      </c>
      <c r="G10577" s="20" t="str">
        <f>IFERROR(__xludf.DUMMYFUNCTION("""COMPUTED_VALUE"""),"Uncle Sams Cider (04/04/2023)")</f>
        <v>Uncle Sams Cider (04/04/2023)</v>
      </c>
      <c r="H10577" s="19"/>
    </row>
    <row r="10578">
      <c r="A10578" s="9"/>
      <c r="B10578" s="15"/>
      <c r="C10578" s="9">
        <f>IFERROR(__xludf.DUMMYFUNCTION("""COMPUTED_VALUE"""),45032.9933423032)</f>
        <v>45032.99334</v>
      </c>
      <c r="D10578" s="15">
        <f>IFERROR(__xludf.DUMMYFUNCTION("""COMPUTED_VALUE"""),1.053)</f>
        <v>1.053</v>
      </c>
      <c r="E10578" s="16">
        <f>IFERROR(__xludf.DUMMYFUNCTION("""COMPUTED_VALUE"""),65.0)</f>
        <v>65</v>
      </c>
      <c r="F10578" s="19" t="str">
        <f>IFERROR(__xludf.DUMMYFUNCTION("""COMPUTED_VALUE"""),"BLUE")</f>
        <v>BLUE</v>
      </c>
      <c r="G10578" s="20" t="str">
        <f>IFERROR(__xludf.DUMMYFUNCTION("""COMPUTED_VALUE"""),"Uncle Sams Cider (04/04/2023)")</f>
        <v>Uncle Sams Cider (04/04/2023)</v>
      </c>
      <c r="H10578" s="19"/>
    </row>
    <row r="10579">
      <c r="A10579" s="9"/>
      <c r="B10579" s="15"/>
      <c r="C10579" s="9">
        <f>IFERROR(__xludf.DUMMYFUNCTION("""COMPUTED_VALUE"""),45032.9829215046)</f>
        <v>45032.98292</v>
      </c>
      <c r="D10579" s="15">
        <f>IFERROR(__xludf.DUMMYFUNCTION("""COMPUTED_VALUE"""),1.053)</f>
        <v>1.053</v>
      </c>
      <c r="E10579" s="16">
        <f>IFERROR(__xludf.DUMMYFUNCTION("""COMPUTED_VALUE"""),65.0)</f>
        <v>65</v>
      </c>
      <c r="F10579" s="19" t="str">
        <f>IFERROR(__xludf.DUMMYFUNCTION("""COMPUTED_VALUE"""),"BLUE")</f>
        <v>BLUE</v>
      </c>
      <c r="G10579" s="20" t="str">
        <f>IFERROR(__xludf.DUMMYFUNCTION("""COMPUTED_VALUE"""),"Uncle Sams Cider (04/04/2023)")</f>
        <v>Uncle Sams Cider (04/04/2023)</v>
      </c>
      <c r="H10579" s="19"/>
    </row>
    <row r="10580">
      <c r="A10580" s="9"/>
      <c r="B10580" s="15"/>
      <c r="C10580" s="9">
        <f>IFERROR(__xludf.DUMMYFUNCTION("""COMPUTED_VALUE"""),45032.972500162)</f>
        <v>45032.9725</v>
      </c>
      <c r="D10580" s="15">
        <f>IFERROR(__xludf.DUMMYFUNCTION("""COMPUTED_VALUE"""),1.053)</f>
        <v>1.053</v>
      </c>
      <c r="E10580" s="16">
        <f>IFERROR(__xludf.DUMMYFUNCTION("""COMPUTED_VALUE"""),65.0)</f>
        <v>65</v>
      </c>
      <c r="F10580" s="19" t="str">
        <f>IFERROR(__xludf.DUMMYFUNCTION("""COMPUTED_VALUE"""),"BLUE")</f>
        <v>BLUE</v>
      </c>
      <c r="G10580" s="20" t="str">
        <f>IFERROR(__xludf.DUMMYFUNCTION("""COMPUTED_VALUE"""),"Uncle Sams Cider (04/04/2023)")</f>
        <v>Uncle Sams Cider (04/04/2023)</v>
      </c>
      <c r="H10580" s="19"/>
    </row>
    <row r="10581">
      <c r="A10581" s="9"/>
      <c r="B10581" s="15"/>
      <c r="C10581" s="9">
        <f>IFERROR(__xludf.DUMMYFUNCTION("""COMPUTED_VALUE"""),45032.9620815393)</f>
        <v>45032.96208</v>
      </c>
      <c r="D10581" s="15">
        <f>IFERROR(__xludf.DUMMYFUNCTION("""COMPUTED_VALUE"""),1.053)</f>
        <v>1.053</v>
      </c>
      <c r="E10581" s="16">
        <f>IFERROR(__xludf.DUMMYFUNCTION("""COMPUTED_VALUE"""),65.0)</f>
        <v>65</v>
      </c>
      <c r="F10581" s="19" t="str">
        <f>IFERROR(__xludf.DUMMYFUNCTION("""COMPUTED_VALUE"""),"BLUE")</f>
        <v>BLUE</v>
      </c>
      <c r="G10581" s="20" t="str">
        <f>IFERROR(__xludf.DUMMYFUNCTION("""COMPUTED_VALUE"""),"Uncle Sams Cider (04/04/2023)")</f>
        <v>Uncle Sams Cider (04/04/2023)</v>
      </c>
      <c r="H10581" s="19"/>
    </row>
    <row r="10582">
      <c r="A10582" s="9"/>
      <c r="B10582" s="15"/>
      <c r="C10582" s="9">
        <f>IFERROR(__xludf.DUMMYFUNCTION("""COMPUTED_VALUE"""),45032.9516473726)</f>
        <v>45032.95165</v>
      </c>
      <c r="D10582" s="15">
        <f>IFERROR(__xludf.DUMMYFUNCTION("""COMPUTED_VALUE"""),1.053)</f>
        <v>1.053</v>
      </c>
      <c r="E10582" s="16">
        <f>IFERROR(__xludf.DUMMYFUNCTION("""COMPUTED_VALUE"""),65.0)</f>
        <v>65</v>
      </c>
      <c r="F10582" s="19" t="str">
        <f>IFERROR(__xludf.DUMMYFUNCTION("""COMPUTED_VALUE"""),"BLUE")</f>
        <v>BLUE</v>
      </c>
      <c r="G10582" s="20" t="str">
        <f>IFERROR(__xludf.DUMMYFUNCTION("""COMPUTED_VALUE"""),"Uncle Sams Cider (04/04/2023)")</f>
        <v>Uncle Sams Cider (04/04/2023)</v>
      </c>
      <c r="H10582" s="19"/>
    </row>
    <row r="10583">
      <c r="A10583" s="9"/>
      <c r="B10583" s="15"/>
      <c r="C10583" s="9">
        <f>IFERROR(__xludf.DUMMYFUNCTION("""COMPUTED_VALUE"""),45032.9412149768)</f>
        <v>45032.94121</v>
      </c>
      <c r="D10583" s="15">
        <f>IFERROR(__xludf.DUMMYFUNCTION("""COMPUTED_VALUE"""),1.053)</f>
        <v>1.053</v>
      </c>
      <c r="E10583" s="16">
        <f>IFERROR(__xludf.DUMMYFUNCTION("""COMPUTED_VALUE"""),65.0)</f>
        <v>65</v>
      </c>
      <c r="F10583" s="19" t="str">
        <f>IFERROR(__xludf.DUMMYFUNCTION("""COMPUTED_VALUE"""),"BLUE")</f>
        <v>BLUE</v>
      </c>
      <c r="G10583" s="20" t="str">
        <f>IFERROR(__xludf.DUMMYFUNCTION("""COMPUTED_VALUE"""),"Uncle Sams Cider (04/04/2023)")</f>
        <v>Uncle Sams Cider (04/04/2023)</v>
      </c>
      <c r="H10583" s="19"/>
    </row>
    <row r="10584">
      <c r="A10584" s="9"/>
      <c r="B10584" s="15"/>
      <c r="C10584" s="9">
        <f>IFERROR(__xludf.DUMMYFUNCTION("""COMPUTED_VALUE"""),45032.9307814583)</f>
        <v>45032.93078</v>
      </c>
      <c r="D10584" s="15">
        <f>IFERROR(__xludf.DUMMYFUNCTION("""COMPUTED_VALUE"""),1.053)</f>
        <v>1.053</v>
      </c>
      <c r="E10584" s="16">
        <f>IFERROR(__xludf.DUMMYFUNCTION("""COMPUTED_VALUE"""),65.0)</f>
        <v>65</v>
      </c>
      <c r="F10584" s="19" t="str">
        <f>IFERROR(__xludf.DUMMYFUNCTION("""COMPUTED_VALUE"""),"BLUE")</f>
        <v>BLUE</v>
      </c>
      <c r="G10584" s="20" t="str">
        <f>IFERROR(__xludf.DUMMYFUNCTION("""COMPUTED_VALUE"""),"Uncle Sams Cider (04/04/2023)")</f>
        <v>Uncle Sams Cider (04/04/2023)</v>
      </c>
      <c r="H10584" s="19"/>
    </row>
    <row r="10585">
      <c r="A10585" s="9"/>
      <c r="B10585" s="15"/>
      <c r="C10585" s="9">
        <f>IFERROR(__xludf.DUMMYFUNCTION("""COMPUTED_VALUE"""),45032.9203615162)</f>
        <v>45032.92036</v>
      </c>
      <c r="D10585" s="15">
        <f>IFERROR(__xludf.DUMMYFUNCTION("""COMPUTED_VALUE"""),1.053)</f>
        <v>1.053</v>
      </c>
      <c r="E10585" s="16">
        <f>IFERROR(__xludf.DUMMYFUNCTION("""COMPUTED_VALUE"""),65.0)</f>
        <v>65</v>
      </c>
      <c r="F10585" s="19" t="str">
        <f>IFERROR(__xludf.DUMMYFUNCTION("""COMPUTED_VALUE"""),"BLUE")</f>
        <v>BLUE</v>
      </c>
      <c r="G10585" s="20" t="str">
        <f>IFERROR(__xludf.DUMMYFUNCTION("""COMPUTED_VALUE"""),"Uncle Sams Cider (04/04/2023)")</f>
        <v>Uncle Sams Cider (04/04/2023)</v>
      </c>
      <c r="H10585" s="19"/>
    </row>
    <row r="10586">
      <c r="A10586" s="9"/>
      <c r="B10586" s="15"/>
      <c r="C10586" s="9">
        <f>IFERROR(__xludf.DUMMYFUNCTION("""COMPUTED_VALUE"""),45032.909940324)</f>
        <v>45032.90994</v>
      </c>
      <c r="D10586" s="15">
        <f>IFERROR(__xludf.DUMMYFUNCTION("""COMPUTED_VALUE"""),1.053)</f>
        <v>1.053</v>
      </c>
      <c r="E10586" s="16">
        <f>IFERROR(__xludf.DUMMYFUNCTION("""COMPUTED_VALUE"""),65.0)</f>
        <v>65</v>
      </c>
      <c r="F10586" s="19" t="str">
        <f>IFERROR(__xludf.DUMMYFUNCTION("""COMPUTED_VALUE"""),"BLUE")</f>
        <v>BLUE</v>
      </c>
      <c r="G10586" s="20" t="str">
        <f>IFERROR(__xludf.DUMMYFUNCTION("""COMPUTED_VALUE"""),"Uncle Sams Cider (04/04/2023)")</f>
        <v>Uncle Sams Cider (04/04/2023)</v>
      </c>
      <c r="H10586" s="19"/>
    </row>
    <row r="10587">
      <c r="A10587" s="9"/>
      <c r="B10587" s="15"/>
      <c r="C10587" s="9">
        <f>IFERROR(__xludf.DUMMYFUNCTION("""COMPUTED_VALUE"""),45032.8995172106)</f>
        <v>45032.89952</v>
      </c>
      <c r="D10587" s="15">
        <f>IFERROR(__xludf.DUMMYFUNCTION("""COMPUTED_VALUE"""),1.053)</f>
        <v>1.053</v>
      </c>
      <c r="E10587" s="16">
        <f>IFERROR(__xludf.DUMMYFUNCTION("""COMPUTED_VALUE"""),65.0)</f>
        <v>65</v>
      </c>
      <c r="F10587" s="19" t="str">
        <f>IFERROR(__xludf.DUMMYFUNCTION("""COMPUTED_VALUE"""),"BLUE")</f>
        <v>BLUE</v>
      </c>
      <c r="G10587" s="20" t="str">
        <f>IFERROR(__xludf.DUMMYFUNCTION("""COMPUTED_VALUE"""),"Uncle Sams Cider (04/04/2023)")</f>
        <v>Uncle Sams Cider (04/04/2023)</v>
      </c>
      <c r="H10587" s="19"/>
    </row>
    <row r="10588">
      <c r="A10588" s="9"/>
      <c r="B10588" s="15"/>
      <c r="C10588" s="9">
        <f>IFERROR(__xludf.DUMMYFUNCTION("""COMPUTED_VALUE"""),45032.8890837615)</f>
        <v>45032.88908</v>
      </c>
      <c r="D10588" s="15">
        <f>IFERROR(__xludf.DUMMYFUNCTION("""COMPUTED_VALUE"""),1.053)</f>
        <v>1.053</v>
      </c>
      <c r="E10588" s="16">
        <f>IFERROR(__xludf.DUMMYFUNCTION("""COMPUTED_VALUE"""),65.0)</f>
        <v>65</v>
      </c>
      <c r="F10588" s="19" t="str">
        <f>IFERROR(__xludf.DUMMYFUNCTION("""COMPUTED_VALUE"""),"BLUE")</f>
        <v>BLUE</v>
      </c>
      <c r="G10588" s="20" t="str">
        <f>IFERROR(__xludf.DUMMYFUNCTION("""COMPUTED_VALUE"""),"Uncle Sams Cider (04/04/2023)")</f>
        <v>Uncle Sams Cider (04/04/2023)</v>
      </c>
      <c r="H10588" s="19"/>
    </row>
    <row r="10589">
      <c r="A10589" s="9"/>
      <c r="B10589" s="15"/>
      <c r="C10589" s="9">
        <f>IFERROR(__xludf.DUMMYFUNCTION("""COMPUTED_VALUE"""),45032.878661956)</f>
        <v>45032.87866</v>
      </c>
      <c r="D10589" s="15">
        <f>IFERROR(__xludf.DUMMYFUNCTION("""COMPUTED_VALUE"""),1.053)</f>
        <v>1.053</v>
      </c>
      <c r="E10589" s="16">
        <f>IFERROR(__xludf.DUMMYFUNCTION("""COMPUTED_VALUE"""),65.0)</f>
        <v>65</v>
      </c>
      <c r="F10589" s="19" t="str">
        <f>IFERROR(__xludf.DUMMYFUNCTION("""COMPUTED_VALUE"""),"BLUE")</f>
        <v>BLUE</v>
      </c>
      <c r="G10589" s="20" t="str">
        <f>IFERROR(__xludf.DUMMYFUNCTION("""COMPUTED_VALUE"""),"Uncle Sams Cider (04/04/2023)")</f>
        <v>Uncle Sams Cider (04/04/2023)</v>
      </c>
      <c r="H10589" s="19"/>
    </row>
    <row r="10590">
      <c r="A10590" s="9"/>
      <c r="B10590" s="15"/>
      <c r="C10590" s="9">
        <f>IFERROR(__xludf.DUMMYFUNCTION("""COMPUTED_VALUE"""),45032.8682409027)</f>
        <v>45032.86824</v>
      </c>
      <c r="D10590" s="15">
        <f>IFERROR(__xludf.DUMMYFUNCTION("""COMPUTED_VALUE"""),1.053)</f>
        <v>1.053</v>
      </c>
      <c r="E10590" s="16">
        <f>IFERROR(__xludf.DUMMYFUNCTION("""COMPUTED_VALUE"""),65.0)</f>
        <v>65</v>
      </c>
      <c r="F10590" s="19" t="str">
        <f>IFERROR(__xludf.DUMMYFUNCTION("""COMPUTED_VALUE"""),"BLUE")</f>
        <v>BLUE</v>
      </c>
      <c r="G10590" s="20" t="str">
        <f>IFERROR(__xludf.DUMMYFUNCTION("""COMPUTED_VALUE"""),"Uncle Sams Cider (04/04/2023)")</f>
        <v>Uncle Sams Cider (04/04/2023)</v>
      </c>
      <c r="H10590" s="19"/>
    </row>
    <row r="10591">
      <c r="A10591" s="9"/>
      <c r="B10591" s="15"/>
      <c r="C10591" s="9">
        <f>IFERROR(__xludf.DUMMYFUNCTION("""COMPUTED_VALUE"""),45032.8578211226)</f>
        <v>45032.85782</v>
      </c>
      <c r="D10591" s="15">
        <f>IFERROR(__xludf.DUMMYFUNCTION("""COMPUTED_VALUE"""),1.053)</f>
        <v>1.053</v>
      </c>
      <c r="E10591" s="16">
        <f>IFERROR(__xludf.DUMMYFUNCTION("""COMPUTED_VALUE"""),65.0)</f>
        <v>65</v>
      </c>
      <c r="F10591" s="19" t="str">
        <f>IFERROR(__xludf.DUMMYFUNCTION("""COMPUTED_VALUE"""),"BLUE")</f>
        <v>BLUE</v>
      </c>
      <c r="G10591" s="20" t="str">
        <f>IFERROR(__xludf.DUMMYFUNCTION("""COMPUTED_VALUE"""),"Uncle Sams Cider (04/04/2023)")</f>
        <v>Uncle Sams Cider (04/04/2023)</v>
      </c>
      <c r="H10591" s="19"/>
    </row>
    <row r="10592">
      <c r="A10592" s="9"/>
      <c r="B10592" s="15"/>
      <c r="C10592" s="9">
        <f>IFERROR(__xludf.DUMMYFUNCTION("""COMPUTED_VALUE"""),45032.8474002083)</f>
        <v>45032.8474</v>
      </c>
      <c r="D10592" s="15">
        <f>IFERROR(__xludf.DUMMYFUNCTION("""COMPUTED_VALUE"""),1.053)</f>
        <v>1.053</v>
      </c>
      <c r="E10592" s="16">
        <f>IFERROR(__xludf.DUMMYFUNCTION("""COMPUTED_VALUE"""),65.0)</f>
        <v>65</v>
      </c>
      <c r="F10592" s="19" t="str">
        <f>IFERROR(__xludf.DUMMYFUNCTION("""COMPUTED_VALUE"""),"BLUE")</f>
        <v>BLUE</v>
      </c>
      <c r="G10592" s="20" t="str">
        <f>IFERROR(__xludf.DUMMYFUNCTION("""COMPUTED_VALUE"""),"Uncle Sams Cider (04/04/2023)")</f>
        <v>Uncle Sams Cider (04/04/2023)</v>
      </c>
      <c r="H10592" s="19"/>
    </row>
    <row r="10593">
      <c r="A10593" s="9"/>
      <c r="B10593" s="15"/>
      <c r="C10593" s="9">
        <f>IFERROR(__xludf.DUMMYFUNCTION("""COMPUTED_VALUE"""),45032.8369682407)</f>
        <v>45032.83697</v>
      </c>
      <c r="D10593" s="15">
        <f>IFERROR(__xludf.DUMMYFUNCTION("""COMPUTED_VALUE"""),1.053)</f>
        <v>1.053</v>
      </c>
      <c r="E10593" s="16">
        <f>IFERROR(__xludf.DUMMYFUNCTION("""COMPUTED_VALUE"""),65.0)</f>
        <v>65</v>
      </c>
      <c r="F10593" s="19" t="str">
        <f>IFERROR(__xludf.DUMMYFUNCTION("""COMPUTED_VALUE"""),"BLUE")</f>
        <v>BLUE</v>
      </c>
      <c r="G10593" s="20" t="str">
        <f>IFERROR(__xludf.DUMMYFUNCTION("""COMPUTED_VALUE"""),"Uncle Sams Cider (04/04/2023)")</f>
        <v>Uncle Sams Cider (04/04/2023)</v>
      </c>
      <c r="H10593" s="19"/>
    </row>
    <row r="10594">
      <c r="A10594" s="9"/>
      <c r="B10594" s="15"/>
      <c r="C10594" s="9">
        <f>IFERROR(__xludf.DUMMYFUNCTION("""COMPUTED_VALUE"""),45032.826548206)</f>
        <v>45032.82655</v>
      </c>
      <c r="D10594" s="15">
        <f>IFERROR(__xludf.DUMMYFUNCTION("""COMPUTED_VALUE"""),1.053)</f>
        <v>1.053</v>
      </c>
      <c r="E10594" s="16">
        <f>IFERROR(__xludf.DUMMYFUNCTION("""COMPUTED_VALUE"""),65.0)</f>
        <v>65</v>
      </c>
      <c r="F10594" s="19" t="str">
        <f>IFERROR(__xludf.DUMMYFUNCTION("""COMPUTED_VALUE"""),"BLUE")</f>
        <v>BLUE</v>
      </c>
      <c r="G10594" s="20" t="str">
        <f>IFERROR(__xludf.DUMMYFUNCTION("""COMPUTED_VALUE"""),"Uncle Sams Cider (04/04/2023)")</f>
        <v>Uncle Sams Cider (04/04/2023)</v>
      </c>
      <c r="H10594" s="19"/>
    </row>
    <row r="10595">
      <c r="A10595" s="9"/>
      <c r="B10595" s="15"/>
      <c r="C10595" s="9">
        <f>IFERROR(__xludf.DUMMYFUNCTION("""COMPUTED_VALUE"""),45032.816126493)</f>
        <v>45032.81613</v>
      </c>
      <c r="D10595" s="15">
        <f>IFERROR(__xludf.DUMMYFUNCTION("""COMPUTED_VALUE"""),1.053)</f>
        <v>1.053</v>
      </c>
      <c r="E10595" s="16">
        <f>IFERROR(__xludf.DUMMYFUNCTION("""COMPUTED_VALUE"""),65.0)</f>
        <v>65</v>
      </c>
      <c r="F10595" s="19" t="str">
        <f>IFERROR(__xludf.DUMMYFUNCTION("""COMPUTED_VALUE"""),"BLUE")</f>
        <v>BLUE</v>
      </c>
      <c r="G10595" s="20" t="str">
        <f>IFERROR(__xludf.DUMMYFUNCTION("""COMPUTED_VALUE"""),"Uncle Sams Cider (04/04/2023)")</f>
        <v>Uncle Sams Cider (04/04/2023)</v>
      </c>
      <c r="H10595" s="19"/>
    </row>
    <row r="10596">
      <c r="A10596" s="9"/>
      <c r="B10596" s="15"/>
      <c r="C10596" s="9">
        <f>IFERROR(__xludf.DUMMYFUNCTION("""COMPUTED_VALUE"""),45032.8057053935)</f>
        <v>45032.80571</v>
      </c>
      <c r="D10596" s="15">
        <f>IFERROR(__xludf.DUMMYFUNCTION("""COMPUTED_VALUE"""),1.053)</f>
        <v>1.053</v>
      </c>
      <c r="E10596" s="16">
        <f>IFERROR(__xludf.DUMMYFUNCTION("""COMPUTED_VALUE"""),65.0)</f>
        <v>65</v>
      </c>
      <c r="F10596" s="19" t="str">
        <f>IFERROR(__xludf.DUMMYFUNCTION("""COMPUTED_VALUE"""),"BLUE")</f>
        <v>BLUE</v>
      </c>
      <c r="G10596" s="20" t="str">
        <f>IFERROR(__xludf.DUMMYFUNCTION("""COMPUTED_VALUE"""),"Uncle Sams Cider (04/04/2023)")</f>
        <v>Uncle Sams Cider (04/04/2023)</v>
      </c>
      <c r="H10596" s="19"/>
    </row>
    <row r="10597">
      <c r="A10597" s="9"/>
      <c r="B10597" s="15"/>
      <c r="C10597" s="9">
        <f>IFERROR(__xludf.DUMMYFUNCTION("""COMPUTED_VALUE"""),45032.795284618)</f>
        <v>45032.79528</v>
      </c>
      <c r="D10597" s="15">
        <f>IFERROR(__xludf.DUMMYFUNCTION("""COMPUTED_VALUE"""),1.053)</f>
        <v>1.053</v>
      </c>
      <c r="E10597" s="16">
        <f>IFERROR(__xludf.DUMMYFUNCTION("""COMPUTED_VALUE"""),65.0)</f>
        <v>65</v>
      </c>
      <c r="F10597" s="19" t="str">
        <f>IFERROR(__xludf.DUMMYFUNCTION("""COMPUTED_VALUE"""),"BLUE")</f>
        <v>BLUE</v>
      </c>
      <c r="G10597" s="20" t="str">
        <f>IFERROR(__xludf.DUMMYFUNCTION("""COMPUTED_VALUE"""),"Uncle Sams Cider (04/04/2023)")</f>
        <v>Uncle Sams Cider (04/04/2023)</v>
      </c>
      <c r="H10597" s="19"/>
    </row>
    <row r="10598">
      <c r="A10598" s="9"/>
      <c r="B10598" s="15"/>
      <c r="C10598" s="9">
        <f>IFERROR(__xludf.DUMMYFUNCTION("""COMPUTED_VALUE"""),45032.7848657986)</f>
        <v>45032.78487</v>
      </c>
      <c r="D10598" s="15">
        <f>IFERROR(__xludf.DUMMYFUNCTION("""COMPUTED_VALUE"""),1.053)</f>
        <v>1.053</v>
      </c>
      <c r="E10598" s="16">
        <f>IFERROR(__xludf.DUMMYFUNCTION("""COMPUTED_VALUE"""),65.0)</f>
        <v>65</v>
      </c>
      <c r="F10598" s="19" t="str">
        <f>IFERROR(__xludf.DUMMYFUNCTION("""COMPUTED_VALUE"""),"BLUE")</f>
        <v>BLUE</v>
      </c>
      <c r="G10598" s="20" t="str">
        <f>IFERROR(__xludf.DUMMYFUNCTION("""COMPUTED_VALUE"""),"Uncle Sams Cider (04/04/2023)")</f>
        <v>Uncle Sams Cider (04/04/2023)</v>
      </c>
      <c r="H10598" s="19"/>
    </row>
    <row r="10599">
      <c r="A10599" s="9"/>
      <c r="B10599" s="15"/>
      <c r="C10599" s="9">
        <f>IFERROR(__xludf.DUMMYFUNCTION("""COMPUTED_VALUE"""),45032.7744440162)</f>
        <v>45032.77444</v>
      </c>
      <c r="D10599" s="15">
        <f>IFERROR(__xludf.DUMMYFUNCTION("""COMPUTED_VALUE"""),1.053)</f>
        <v>1.053</v>
      </c>
      <c r="E10599" s="16">
        <f>IFERROR(__xludf.DUMMYFUNCTION("""COMPUTED_VALUE"""),65.0)</f>
        <v>65</v>
      </c>
      <c r="F10599" s="19" t="str">
        <f>IFERROR(__xludf.DUMMYFUNCTION("""COMPUTED_VALUE"""),"BLUE")</f>
        <v>BLUE</v>
      </c>
      <c r="G10599" s="20" t="str">
        <f>IFERROR(__xludf.DUMMYFUNCTION("""COMPUTED_VALUE"""),"Uncle Sams Cider (04/04/2023)")</f>
        <v>Uncle Sams Cider (04/04/2023)</v>
      </c>
      <c r="H10599" s="19"/>
    </row>
    <row r="10600">
      <c r="A10600" s="9"/>
      <c r="B10600" s="15"/>
      <c r="C10600" s="9">
        <f>IFERROR(__xludf.DUMMYFUNCTION("""COMPUTED_VALUE"""),45032.7640109953)</f>
        <v>45032.76401</v>
      </c>
      <c r="D10600" s="15">
        <f>IFERROR(__xludf.DUMMYFUNCTION("""COMPUTED_VALUE"""),1.053)</f>
        <v>1.053</v>
      </c>
      <c r="E10600" s="16">
        <f>IFERROR(__xludf.DUMMYFUNCTION("""COMPUTED_VALUE"""),65.0)</f>
        <v>65</v>
      </c>
      <c r="F10600" s="19" t="str">
        <f>IFERROR(__xludf.DUMMYFUNCTION("""COMPUTED_VALUE"""),"BLUE")</f>
        <v>BLUE</v>
      </c>
      <c r="G10600" s="20" t="str">
        <f>IFERROR(__xludf.DUMMYFUNCTION("""COMPUTED_VALUE"""),"Uncle Sams Cider (04/04/2023)")</f>
        <v>Uncle Sams Cider (04/04/2023)</v>
      </c>
      <c r="H10600" s="19"/>
    </row>
    <row r="10601">
      <c r="A10601" s="9"/>
      <c r="B10601" s="15"/>
      <c r="C10601" s="9">
        <f>IFERROR(__xludf.DUMMYFUNCTION("""COMPUTED_VALUE"""),45032.7535892939)</f>
        <v>45032.75359</v>
      </c>
      <c r="D10601" s="15">
        <f>IFERROR(__xludf.DUMMYFUNCTION("""COMPUTED_VALUE"""),1.053)</f>
        <v>1.053</v>
      </c>
      <c r="E10601" s="16">
        <f>IFERROR(__xludf.DUMMYFUNCTION("""COMPUTED_VALUE"""),65.0)</f>
        <v>65</v>
      </c>
      <c r="F10601" s="19" t="str">
        <f>IFERROR(__xludf.DUMMYFUNCTION("""COMPUTED_VALUE"""),"BLUE")</f>
        <v>BLUE</v>
      </c>
      <c r="G10601" s="20" t="str">
        <f>IFERROR(__xludf.DUMMYFUNCTION("""COMPUTED_VALUE"""),"Uncle Sams Cider (04/04/2023)")</f>
        <v>Uncle Sams Cider (04/04/2023)</v>
      </c>
      <c r="H10601" s="19"/>
    </row>
    <row r="10602">
      <c r="A10602" s="9"/>
      <c r="B10602" s="15"/>
      <c r="C10602" s="9">
        <f>IFERROR(__xludf.DUMMYFUNCTION("""COMPUTED_VALUE"""),45032.7431670254)</f>
        <v>45032.74317</v>
      </c>
      <c r="D10602" s="15">
        <f>IFERROR(__xludf.DUMMYFUNCTION("""COMPUTED_VALUE"""),1.053)</f>
        <v>1.053</v>
      </c>
      <c r="E10602" s="16">
        <f>IFERROR(__xludf.DUMMYFUNCTION("""COMPUTED_VALUE"""),65.0)</f>
        <v>65</v>
      </c>
      <c r="F10602" s="19" t="str">
        <f>IFERROR(__xludf.DUMMYFUNCTION("""COMPUTED_VALUE"""),"BLUE")</f>
        <v>BLUE</v>
      </c>
      <c r="G10602" s="20" t="str">
        <f>IFERROR(__xludf.DUMMYFUNCTION("""COMPUTED_VALUE"""),"Uncle Sams Cider (04/04/2023)")</f>
        <v>Uncle Sams Cider (04/04/2023)</v>
      </c>
      <c r="H10602" s="19"/>
    </row>
    <row r="10603">
      <c r="A10603" s="9"/>
      <c r="B10603" s="15"/>
      <c r="C10603" s="9">
        <f>IFERROR(__xludf.DUMMYFUNCTION("""COMPUTED_VALUE"""),45032.7327348611)</f>
        <v>45032.73273</v>
      </c>
      <c r="D10603" s="15">
        <f>IFERROR(__xludf.DUMMYFUNCTION("""COMPUTED_VALUE"""),1.054)</f>
        <v>1.054</v>
      </c>
      <c r="E10603" s="16">
        <f>IFERROR(__xludf.DUMMYFUNCTION("""COMPUTED_VALUE"""),65.0)</f>
        <v>65</v>
      </c>
      <c r="F10603" s="19" t="str">
        <f>IFERROR(__xludf.DUMMYFUNCTION("""COMPUTED_VALUE"""),"BLUE")</f>
        <v>BLUE</v>
      </c>
      <c r="G10603" s="20" t="str">
        <f>IFERROR(__xludf.DUMMYFUNCTION("""COMPUTED_VALUE"""),"Uncle Sams Cider (04/04/2023)")</f>
        <v>Uncle Sams Cider (04/04/2023)</v>
      </c>
      <c r="H10603" s="19"/>
    </row>
    <row r="10604">
      <c r="A10604" s="9"/>
      <c r="B10604" s="15"/>
      <c r="C10604" s="9">
        <f>IFERROR(__xludf.DUMMYFUNCTION("""COMPUTED_VALUE"""),45032.7223136689)</f>
        <v>45032.72231</v>
      </c>
      <c r="D10604" s="15">
        <f>IFERROR(__xludf.DUMMYFUNCTION("""COMPUTED_VALUE"""),1.054)</f>
        <v>1.054</v>
      </c>
      <c r="E10604" s="16">
        <f>IFERROR(__xludf.DUMMYFUNCTION("""COMPUTED_VALUE"""),65.0)</f>
        <v>65</v>
      </c>
      <c r="F10604" s="19" t="str">
        <f>IFERROR(__xludf.DUMMYFUNCTION("""COMPUTED_VALUE"""),"BLUE")</f>
        <v>BLUE</v>
      </c>
      <c r="G10604" s="20" t="str">
        <f>IFERROR(__xludf.DUMMYFUNCTION("""COMPUTED_VALUE"""),"Uncle Sams Cider (04/04/2023)")</f>
        <v>Uncle Sams Cider (04/04/2023)</v>
      </c>
      <c r="H10604" s="19"/>
    </row>
    <row r="10605">
      <c r="A10605" s="9"/>
      <c r="B10605" s="15"/>
      <c r="C10605" s="9">
        <f>IFERROR(__xludf.DUMMYFUNCTION("""COMPUTED_VALUE"""),45032.7118930439)</f>
        <v>45032.71189</v>
      </c>
      <c r="D10605" s="15">
        <f>IFERROR(__xludf.DUMMYFUNCTION("""COMPUTED_VALUE"""),1.054)</f>
        <v>1.054</v>
      </c>
      <c r="E10605" s="16">
        <f>IFERROR(__xludf.DUMMYFUNCTION("""COMPUTED_VALUE"""),65.0)</f>
        <v>65</v>
      </c>
      <c r="F10605" s="19" t="str">
        <f>IFERROR(__xludf.DUMMYFUNCTION("""COMPUTED_VALUE"""),"BLUE")</f>
        <v>BLUE</v>
      </c>
      <c r="G10605" s="20" t="str">
        <f>IFERROR(__xludf.DUMMYFUNCTION("""COMPUTED_VALUE"""),"Uncle Sams Cider (04/04/2023)")</f>
        <v>Uncle Sams Cider (04/04/2023)</v>
      </c>
      <c r="H10605" s="19"/>
    </row>
    <row r="10606">
      <c r="A10606" s="9"/>
      <c r="B10606" s="15"/>
      <c r="C10606" s="9">
        <f>IFERROR(__xludf.DUMMYFUNCTION("""COMPUTED_VALUE"""),45032.7014718865)</f>
        <v>45032.70147</v>
      </c>
      <c r="D10606" s="15">
        <f>IFERROR(__xludf.DUMMYFUNCTION("""COMPUTED_VALUE"""),1.054)</f>
        <v>1.054</v>
      </c>
      <c r="E10606" s="16">
        <f>IFERROR(__xludf.DUMMYFUNCTION("""COMPUTED_VALUE"""),65.0)</f>
        <v>65</v>
      </c>
      <c r="F10606" s="19" t="str">
        <f>IFERROR(__xludf.DUMMYFUNCTION("""COMPUTED_VALUE"""),"BLUE")</f>
        <v>BLUE</v>
      </c>
      <c r="G10606" s="20" t="str">
        <f>IFERROR(__xludf.DUMMYFUNCTION("""COMPUTED_VALUE"""),"Uncle Sams Cider (04/04/2023)")</f>
        <v>Uncle Sams Cider (04/04/2023)</v>
      </c>
      <c r="H10606" s="19"/>
    </row>
    <row r="10607">
      <c r="A10607" s="9"/>
      <c r="B10607" s="15"/>
      <c r="C10607" s="9">
        <f>IFERROR(__xludf.DUMMYFUNCTION("""COMPUTED_VALUE"""),45032.6910507176)</f>
        <v>45032.69105</v>
      </c>
      <c r="D10607" s="15">
        <f>IFERROR(__xludf.DUMMYFUNCTION("""COMPUTED_VALUE"""),1.054)</f>
        <v>1.054</v>
      </c>
      <c r="E10607" s="16">
        <f>IFERROR(__xludf.DUMMYFUNCTION("""COMPUTED_VALUE"""),65.0)</f>
        <v>65</v>
      </c>
      <c r="F10607" s="19" t="str">
        <f>IFERROR(__xludf.DUMMYFUNCTION("""COMPUTED_VALUE"""),"BLUE")</f>
        <v>BLUE</v>
      </c>
      <c r="G10607" s="20" t="str">
        <f>IFERROR(__xludf.DUMMYFUNCTION("""COMPUTED_VALUE"""),"Uncle Sams Cider (04/04/2023)")</f>
        <v>Uncle Sams Cider (04/04/2023)</v>
      </c>
      <c r="H10607" s="19"/>
    </row>
    <row r="10608">
      <c r="A10608" s="9"/>
      <c r="B10608" s="15"/>
      <c r="C10608" s="9">
        <f>IFERROR(__xludf.DUMMYFUNCTION("""COMPUTED_VALUE"""),45032.6806291088)</f>
        <v>45032.68063</v>
      </c>
      <c r="D10608" s="15">
        <f>IFERROR(__xludf.DUMMYFUNCTION("""COMPUTED_VALUE"""),1.054)</f>
        <v>1.054</v>
      </c>
      <c r="E10608" s="16">
        <f>IFERROR(__xludf.DUMMYFUNCTION("""COMPUTED_VALUE"""),65.0)</f>
        <v>65</v>
      </c>
      <c r="F10608" s="19" t="str">
        <f>IFERROR(__xludf.DUMMYFUNCTION("""COMPUTED_VALUE"""),"BLUE")</f>
        <v>BLUE</v>
      </c>
      <c r="G10608" s="20" t="str">
        <f>IFERROR(__xludf.DUMMYFUNCTION("""COMPUTED_VALUE"""),"Uncle Sams Cider (04/04/2023)")</f>
        <v>Uncle Sams Cider (04/04/2023)</v>
      </c>
      <c r="H10608" s="19"/>
    </row>
    <row r="10609">
      <c r="A10609" s="9"/>
      <c r="B10609" s="15"/>
      <c r="C10609" s="9">
        <f>IFERROR(__xludf.DUMMYFUNCTION("""COMPUTED_VALUE"""),45032.6702064814)</f>
        <v>45032.67021</v>
      </c>
      <c r="D10609" s="15">
        <f>IFERROR(__xludf.DUMMYFUNCTION("""COMPUTED_VALUE"""),1.054)</f>
        <v>1.054</v>
      </c>
      <c r="E10609" s="16">
        <f>IFERROR(__xludf.DUMMYFUNCTION("""COMPUTED_VALUE"""),65.0)</f>
        <v>65</v>
      </c>
      <c r="F10609" s="19" t="str">
        <f>IFERROR(__xludf.DUMMYFUNCTION("""COMPUTED_VALUE"""),"BLUE")</f>
        <v>BLUE</v>
      </c>
      <c r="G10609" s="20" t="str">
        <f>IFERROR(__xludf.DUMMYFUNCTION("""COMPUTED_VALUE"""),"Uncle Sams Cider (04/04/2023)")</f>
        <v>Uncle Sams Cider (04/04/2023)</v>
      </c>
      <c r="H10609" s="19"/>
    </row>
    <row r="10610">
      <c r="A10610" s="9"/>
      <c r="B10610" s="15"/>
      <c r="C10610" s="9">
        <f>IFERROR(__xludf.DUMMYFUNCTION("""COMPUTED_VALUE"""),45032.6597860301)</f>
        <v>45032.65979</v>
      </c>
      <c r="D10610" s="15">
        <f>IFERROR(__xludf.DUMMYFUNCTION("""COMPUTED_VALUE"""),1.054)</f>
        <v>1.054</v>
      </c>
      <c r="E10610" s="16">
        <f>IFERROR(__xludf.DUMMYFUNCTION("""COMPUTED_VALUE"""),65.0)</f>
        <v>65</v>
      </c>
      <c r="F10610" s="19" t="str">
        <f>IFERROR(__xludf.DUMMYFUNCTION("""COMPUTED_VALUE"""),"BLUE")</f>
        <v>BLUE</v>
      </c>
      <c r="G10610" s="20" t="str">
        <f>IFERROR(__xludf.DUMMYFUNCTION("""COMPUTED_VALUE"""),"Uncle Sams Cider (04/04/2023)")</f>
        <v>Uncle Sams Cider (04/04/2023)</v>
      </c>
      <c r="H10610" s="19"/>
    </row>
    <row r="10611">
      <c r="A10611" s="9"/>
      <c r="B10611" s="15"/>
      <c r="C10611" s="9">
        <f>IFERROR(__xludf.DUMMYFUNCTION("""COMPUTED_VALUE"""),45032.6493650463)</f>
        <v>45032.64937</v>
      </c>
      <c r="D10611" s="15">
        <f>IFERROR(__xludf.DUMMYFUNCTION("""COMPUTED_VALUE"""),1.054)</f>
        <v>1.054</v>
      </c>
      <c r="E10611" s="16">
        <f>IFERROR(__xludf.DUMMYFUNCTION("""COMPUTED_VALUE"""),65.0)</f>
        <v>65</v>
      </c>
      <c r="F10611" s="19" t="str">
        <f>IFERROR(__xludf.DUMMYFUNCTION("""COMPUTED_VALUE"""),"BLUE")</f>
        <v>BLUE</v>
      </c>
      <c r="G10611" s="20" t="str">
        <f>IFERROR(__xludf.DUMMYFUNCTION("""COMPUTED_VALUE"""),"Uncle Sams Cider (04/04/2023)")</f>
        <v>Uncle Sams Cider (04/04/2023)</v>
      </c>
      <c r="H10611" s="19"/>
    </row>
    <row r="10612">
      <c r="A10612" s="9"/>
      <c r="B10612" s="15"/>
      <c r="C10612" s="9">
        <f>IFERROR(__xludf.DUMMYFUNCTION("""COMPUTED_VALUE"""),45032.6389439699)</f>
        <v>45032.63894</v>
      </c>
      <c r="D10612" s="15">
        <f>IFERROR(__xludf.DUMMYFUNCTION("""COMPUTED_VALUE"""),1.054)</f>
        <v>1.054</v>
      </c>
      <c r="E10612" s="16">
        <f>IFERROR(__xludf.DUMMYFUNCTION("""COMPUTED_VALUE"""),65.0)</f>
        <v>65</v>
      </c>
      <c r="F10612" s="19" t="str">
        <f>IFERROR(__xludf.DUMMYFUNCTION("""COMPUTED_VALUE"""),"BLUE")</f>
        <v>BLUE</v>
      </c>
      <c r="G10612" s="20" t="str">
        <f>IFERROR(__xludf.DUMMYFUNCTION("""COMPUTED_VALUE"""),"Uncle Sams Cider (04/04/2023)")</f>
        <v>Uncle Sams Cider (04/04/2023)</v>
      </c>
      <c r="H10612" s="19"/>
    </row>
    <row r="10613">
      <c r="A10613" s="9"/>
      <c r="B10613" s="15"/>
      <c r="C10613" s="9">
        <f>IFERROR(__xludf.DUMMYFUNCTION("""COMPUTED_VALUE"""),45032.6285222453)</f>
        <v>45032.62852</v>
      </c>
      <c r="D10613" s="15">
        <f>IFERROR(__xludf.DUMMYFUNCTION("""COMPUTED_VALUE"""),1.054)</f>
        <v>1.054</v>
      </c>
      <c r="E10613" s="16">
        <f>IFERROR(__xludf.DUMMYFUNCTION("""COMPUTED_VALUE"""),65.0)</f>
        <v>65</v>
      </c>
      <c r="F10613" s="19" t="str">
        <f>IFERROR(__xludf.DUMMYFUNCTION("""COMPUTED_VALUE"""),"BLUE")</f>
        <v>BLUE</v>
      </c>
      <c r="G10613" s="20" t="str">
        <f>IFERROR(__xludf.DUMMYFUNCTION("""COMPUTED_VALUE"""),"Uncle Sams Cider (04/04/2023)")</f>
        <v>Uncle Sams Cider (04/04/2023)</v>
      </c>
      <c r="H10613" s="19"/>
    </row>
    <row r="10614">
      <c r="A10614" s="9"/>
      <c r="B10614" s="15"/>
      <c r="C10614" s="9">
        <f>IFERROR(__xludf.DUMMYFUNCTION("""COMPUTED_VALUE"""),45032.6180793171)</f>
        <v>45032.61808</v>
      </c>
      <c r="D10614" s="15">
        <f>IFERROR(__xludf.DUMMYFUNCTION("""COMPUTED_VALUE"""),1.054)</f>
        <v>1.054</v>
      </c>
      <c r="E10614" s="16">
        <f>IFERROR(__xludf.DUMMYFUNCTION("""COMPUTED_VALUE"""),65.0)</f>
        <v>65</v>
      </c>
      <c r="F10614" s="19" t="str">
        <f>IFERROR(__xludf.DUMMYFUNCTION("""COMPUTED_VALUE"""),"BLUE")</f>
        <v>BLUE</v>
      </c>
      <c r="G10614" s="20" t="str">
        <f>IFERROR(__xludf.DUMMYFUNCTION("""COMPUTED_VALUE"""),"Uncle Sams Cider (04/04/2023)")</f>
        <v>Uncle Sams Cider (04/04/2023)</v>
      </c>
      <c r="H10614" s="19"/>
    </row>
    <row r="10615">
      <c r="A10615" s="9"/>
      <c r="B10615" s="15"/>
      <c r="C10615" s="9">
        <f>IFERROR(__xludf.DUMMYFUNCTION("""COMPUTED_VALUE"""),45032.6076580671)</f>
        <v>45032.60766</v>
      </c>
      <c r="D10615" s="15">
        <f>IFERROR(__xludf.DUMMYFUNCTION("""COMPUTED_VALUE"""),1.054)</f>
        <v>1.054</v>
      </c>
      <c r="E10615" s="16">
        <f>IFERROR(__xludf.DUMMYFUNCTION("""COMPUTED_VALUE"""),65.0)</f>
        <v>65</v>
      </c>
      <c r="F10615" s="19" t="str">
        <f>IFERROR(__xludf.DUMMYFUNCTION("""COMPUTED_VALUE"""),"BLUE")</f>
        <v>BLUE</v>
      </c>
      <c r="G10615" s="20" t="str">
        <f>IFERROR(__xludf.DUMMYFUNCTION("""COMPUTED_VALUE"""),"Uncle Sams Cider (04/04/2023)")</f>
        <v>Uncle Sams Cider (04/04/2023)</v>
      </c>
      <c r="H10615" s="19"/>
    </row>
    <row r="10616">
      <c r="A10616" s="9"/>
      <c r="B10616" s="15"/>
      <c r="C10616" s="9">
        <f>IFERROR(__xludf.DUMMYFUNCTION("""COMPUTED_VALUE"""),45032.5972236805)</f>
        <v>45032.59722</v>
      </c>
      <c r="D10616" s="15">
        <f>IFERROR(__xludf.DUMMYFUNCTION("""COMPUTED_VALUE"""),1.054)</f>
        <v>1.054</v>
      </c>
      <c r="E10616" s="16">
        <f>IFERROR(__xludf.DUMMYFUNCTION("""COMPUTED_VALUE"""),65.0)</f>
        <v>65</v>
      </c>
      <c r="F10616" s="19" t="str">
        <f>IFERROR(__xludf.DUMMYFUNCTION("""COMPUTED_VALUE"""),"BLUE")</f>
        <v>BLUE</v>
      </c>
      <c r="G10616" s="20" t="str">
        <f>IFERROR(__xludf.DUMMYFUNCTION("""COMPUTED_VALUE"""),"Uncle Sams Cider (04/04/2023)")</f>
        <v>Uncle Sams Cider (04/04/2023)</v>
      </c>
      <c r="H10616" s="19"/>
    </row>
    <row r="10617">
      <c r="A10617" s="9"/>
      <c r="B10617" s="15"/>
      <c r="C10617" s="9">
        <f>IFERROR(__xludf.DUMMYFUNCTION("""COMPUTED_VALUE"""),45032.5867913541)</f>
        <v>45032.58679</v>
      </c>
      <c r="D10617" s="15">
        <f>IFERROR(__xludf.DUMMYFUNCTION("""COMPUTED_VALUE"""),1.054)</f>
        <v>1.054</v>
      </c>
      <c r="E10617" s="16">
        <f>IFERROR(__xludf.DUMMYFUNCTION("""COMPUTED_VALUE"""),65.0)</f>
        <v>65</v>
      </c>
      <c r="F10617" s="19" t="str">
        <f>IFERROR(__xludf.DUMMYFUNCTION("""COMPUTED_VALUE"""),"BLUE")</f>
        <v>BLUE</v>
      </c>
      <c r="G10617" s="20" t="str">
        <f>IFERROR(__xludf.DUMMYFUNCTION("""COMPUTED_VALUE"""),"Uncle Sams Cider (04/04/2023)")</f>
        <v>Uncle Sams Cider (04/04/2023)</v>
      </c>
      <c r="H10617" s="19"/>
    </row>
    <row r="10618">
      <c r="A10618" s="9"/>
      <c r="B10618" s="15"/>
      <c r="C10618" s="9">
        <f>IFERROR(__xludf.DUMMYFUNCTION("""COMPUTED_VALUE"""),45032.5763719907)</f>
        <v>45032.57637</v>
      </c>
      <c r="D10618" s="15">
        <f>IFERROR(__xludf.DUMMYFUNCTION("""COMPUTED_VALUE"""),1.054)</f>
        <v>1.054</v>
      </c>
      <c r="E10618" s="16">
        <f>IFERROR(__xludf.DUMMYFUNCTION("""COMPUTED_VALUE"""),65.0)</f>
        <v>65</v>
      </c>
      <c r="F10618" s="19" t="str">
        <f>IFERROR(__xludf.DUMMYFUNCTION("""COMPUTED_VALUE"""),"BLUE")</f>
        <v>BLUE</v>
      </c>
      <c r="G10618" s="20" t="str">
        <f>IFERROR(__xludf.DUMMYFUNCTION("""COMPUTED_VALUE"""),"Uncle Sams Cider (04/04/2023)")</f>
        <v>Uncle Sams Cider (04/04/2023)</v>
      </c>
      <c r="H10618" s="19"/>
    </row>
    <row r="10619">
      <c r="A10619" s="9"/>
      <c r="B10619" s="15"/>
      <c r="C10619" s="9">
        <f>IFERROR(__xludf.DUMMYFUNCTION("""COMPUTED_VALUE"""),45032.5659503935)</f>
        <v>45032.56595</v>
      </c>
      <c r="D10619" s="15">
        <f>IFERROR(__xludf.DUMMYFUNCTION("""COMPUTED_VALUE"""),1.054)</f>
        <v>1.054</v>
      </c>
      <c r="E10619" s="16">
        <f>IFERROR(__xludf.DUMMYFUNCTION("""COMPUTED_VALUE"""),65.0)</f>
        <v>65</v>
      </c>
      <c r="F10619" s="19" t="str">
        <f>IFERROR(__xludf.DUMMYFUNCTION("""COMPUTED_VALUE"""),"BLUE")</f>
        <v>BLUE</v>
      </c>
      <c r="G10619" s="20" t="str">
        <f>IFERROR(__xludf.DUMMYFUNCTION("""COMPUTED_VALUE"""),"Uncle Sams Cider (04/04/2023)")</f>
        <v>Uncle Sams Cider (04/04/2023)</v>
      </c>
      <c r="H10619" s="19"/>
    </row>
    <row r="10620">
      <c r="A10620" s="9"/>
      <c r="B10620" s="15"/>
      <c r="C10620" s="9">
        <f>IFERROR(__xludf.DUMMYFUNCTION("""COMPUTED_VALUE"""),45032.5555286574)</f>
        <v>45032.55553</v>
      </c>
      <c r="D10620" s="15">
        <f>IFERROR(__xludf.DUMMYFUNCTION("""COMPUTED_VALUE"""),1.054)</f>
        <v>1.054</v>
      </c>
      <c r="E10620" s="16">
        <f>IFERROR(__xludf.DUMMYFUNCTION("""COMPUTED_VALUE"""),65.0)</f>
        <v>65</v>
      </c>
      <c r="F10620" s="19" t="str">
        <f>IFERROR(__xludf.DUMMYFUNCTION("""COMPUTED_VALUE"""),"BLUE")</f>
        <v>BLUE</v>
      </c>
      <c r="G10620" s="20" t="str">
        <f>IFERROR(__xludf.DUMMYFUNCTION("""COMPUTED_VALUE"""),"Uncle Sams Cider (04/04/2023)")</f>
        <v>Uncle Sams Cider (04/04/2023)</v>
      </c>
      <c r="H10620" s="19"/>
    </row>
    <row r="10621">
      <c r="A10621" s="9"/>
      <c r="B10621" s="15"/>
      <c r="C10621" s="9">
        <f>IFERROR(__xludf.DUMMYFUNCTION("""COMPUTED_VALUE"""),45032.5451080208)</f>
        <v>45032.54511</v>
      </c>
      <c r="D10621" s="15">
        <f>IFERROR(__xludf.DUMMYFUNCTION("""COMPUTED_VALUE"""),1.054)</f>
        <v>1.054</v>
      </c>
      <c r="E10621" s="16">
        <f>IFERROR(__xludf.DUMMYFUNCTION("""COMPUTED_VALUE"""),65.0)</f>
        <v>65</v>
      </c>
      <c r="F10621" s="19" t="str">
        <f>IFERROR(__xludf.DUMMYFUNCTION("""COMPUTED_VALUE"""),"BLUE")</f>
        <v>BLUE</v>
      </c>
      <c r="G10621" s="20" t="str">
        <f>IFERROR(__xludf.DUMMYFUNCTION("""COMPUTED_VALUE"""),"Uncle Sams Cider (04/04/2023)")</f>
        <v>Uncle Sams Cider (04/04/2023)</v>
      </c>
      <c r="H10621" s="19"/>
    </row>
    <row r="10622">
      <c r="A10622" s="9"/>
      <c r="B10622" s="15"/>
      <c r="C10622" s="9">
        <f>IFERROR(__xludf.DUMMYFUNCTION("""COMPUTED_VALUE"""),45032.534665868)</f>
        <v>45032.53467</v>
      </c>
      <c r="D10622" s="15">
        <f>IFERROR(__xludf.DUMMYFUNCTION("""COMPUTED_VALUE"""),1.054)</f>
        <v>1.054</v>
      </c>
      <c r="E10622" s="16">
        <f>IFERROR(__xludf.DUMMYFUNCTION("""COMPUTED_VALUE"""),65.0)</f>
        <v>65</v>
      </c>
      <c r="F10622" s="19" t="str">
        <f>IFERROR(__xludf.DUMMYFUNCTION("""COMPUTED_VALUE"""),"BLUE")</f>
        <v>BLUE</v>
      </c>
      <c r="G10622" s="20" t="str">
        <f>IFERROR(__xludf.DUMMYFUNCTION("""COMPUTED_VALUE"""),"Uncle Sams Cider (04/04/2023)")</f>
        <v>Uncle Sams Cider (04/04/2023)</v>
      </c>
      <c r="H10622" s="19"/>
    </row>
    <row r="10623">
      <c r="A10623" s="9"/>
      <c r="B10623" s="15"/>
      <c r="C10623" s="9">
        <f>IFERROR(__xludf.DUMMYFUNCTION("""COMPUTED_VALUE"""),45032.5242441088)</f>
        <v>45032.52424</v>
      </c>
      <c r="D10623" s="15">
        <f>IFERROR(__xludf.DUMMYFUNCTION("""COMPUTED_VALUE"""),1.055)</f>
        <v>1.055</v>
      </c>
      <c r="E10623" s="16">
        <f>IFERROR(__xludf.DUMMYFUNCTION("""COMPUTED_VALUE"""),65.0)</f>
        <v>65</v>
      </c>
      <c r="F10623" s="19" t="str">
        <f>IFERROR(__xludf.DUMMYFUNCTION("""COMPUTED_VALUE"""),"BLUE")</f>
        <v>BLUE</v>
      </c>
      <c r="G10623" s="20" t="str">
        <f>IFERROR(__xludf.DUMMYFUNCTION("""COMPUTED_VALUE"""),"Uncle Sams Cider (04/04/2023)")</f>
        <v>Uncle Sams Cider (04/04/2023)</v>
      </c>
      <c r="H10623" s="19"/>
    </row>
    <row r="10624">
      <c r="A10624" s="9"/>
      <c r="B10624" s="15"/>
      <c r="C10624" s="9">
        <f>IFERROR(__xludf.DUMMYFUNCTION("""COMPUTED_VALUE"""),45032.5138225347)</f>
        <v>45032.51382</v>
      </c>
      <c r="D10624" s="15">
        <f>IFERROR(__xludf.DUMMYFUNCTION("""COMPUTED_VALUE"""),1.054)</f>
        <v>1.054</v>
      </c>
      <c r="E10624" s="16">
        <f>IFERROR(__xludf.DUMMYFUNCTION("""COMPUTED_VALUE"""),65.0)</f>
        <v>65</v>
      </c>
      <c r="F10624" s="19" t="str">
        <f>IFERROR(__xludf.DUMMYFUNCTION("""COMPUTED_VALUE"""),"BLUE")</f>
        <v>BLUE</v>
      </c>
      <c r="G10624" s="20" t="str">
        <f>IFERROR(__xludf.DUMMYFUNCTION("""COMPUTED_VALUE"""),"Uncle Sams Cider (04/04/2023)")</f>
        <v>Uncle Sams Cider (04/04/2023)</v>
      </c>
      <c r="H10624" s="19"/>
    </row>
    <row r="10625">
      <c r="A10625" s="9"/>
      <c r="B10625" s="15"/>
      <c r="C10625" s="9">
        <f>IFERROR(__xludf.DUMMYFUNCTION("""COMPUTED_VALUE"""),45032.5034016319)</f>
        <v>45032.5034</v>
      </c>
      <c r="D10625" s="15">
        <f>IFERROR(__xludf.DUMMYFUNCTION("""COMPUTED_VALUE"""),1.054)</f>
        <v>1.054</v>
      </c>
      <c r="E10625" s="16">
        <f>IFERROR(__xludf.DUMMYFUNCTION("""COMPUTED_VALUE"""),65.0)</f>
        <v>65</v>
      </c>
      <c r="F10625" s="19" t="str">
        <f>IFERROR(__xludf.DUMMYFUNCTION("""COMPUTED_VALUE"""),"BLUE")</f>
        <v>BLUE</v>
      </c>
      <c r="G10625" s="20" t="str">
        <f>IFERROR(__xludf.DUMMYFUNCTION("""COMPUTED_VALUE"""),"Uncle Sams Cider (04/04/2023)")</f>
        <v>Uncle Sams Cider (04/04/2023)</v>
      </c>
      <c r="H10625" s="19"/>
    </row>
    <row r="10626">
      <c r="A10626" s="9"/>
      <c r="B10626" s="15"/>
      <c r="C10626" s="9">
        <f>IFERROR(__xludf.DUMMYFUNCTION("""COMPUTED_VALUE"""),45032.4929813194)</f>
        <v>45032.49298</v>
      </c>
      <c r="D10626" s="15">
        <f>IFERROR(__xludf.DUMMYFUNCTION("""COMPUTED_VALUE"""),1.054)</f>
        <v>1.054</v>
      </c>
      <c r="E10626" s="16">
        <f>IFERROR(__xludf.DUMMYFUNCTION("""COMPUTED_VALUE"""),65.0)</f>
        <v>65</v>
      </c>
      <c r="F10626" s="19" t="str">
        <f>IFERROR(__xludf.DUMMYFUNCTION("""COMPUTED_VALUE"""),"BLUE")</f>
        <v>BLUE</v>
      </c>
      <c r="G10626" s="20" t="str">
        <f>IFERROR(__xludf.DUMMYFUNCTION("""COMPUTED_VALUE"""),"Uncle Sams Cider (04/04/2023)")</f>
        <v>Uncle Sams Cider (04/04/2023)</v>
      </c>
      <c r="H10626" s="19"/>
    </row>
    <row r="10627">
      <c r="A10627" s="9"/>
      <c r="B10627" s="15"/>
      <c r="C10627" s="9">
        <f>IFERROR(__xludf.DUMMYFUNCTION("""COMPUTED_VALUE"""),45032.4825599074)</f>
        <v>45032.48256</v>
      </c>
      <c r="D10627" s="15">
        <f>IFERROR(__xludf.DUMMYFUNCTION("""COMPUTED_VALUE"""),1.055)</f>
        <v>1.055</v>
      </c>
      <c r="E10627" s="16">
        <f>IFERROR(__xludf.DUMMYFUNCTION("""COMPUTED_VALUE"""),65.0)</f>
        <v>65</v>
      </c>
      <c r="F10627" s="19" t="str">
        <f>IFERROR(__xludf.DUMMYFUNCTION("""COMPUTED_VALUE"""),"BLUE")</f>
        <v>BLUE</v>
      </c>
      <c r="G10627" s="20" t="str">
        <f>IFERROR(__xludf.DUMMYFUNCTION("""COMPUTED_VALUE"""),"Uncle Sams Cider (04/04/2023)")</f>
        <v>Uncle Sams Cider (04/04/2023)</v>
      </c>
      <c r="H10627" s="19"/>
    </row>
    <row r="10628">
      <c r="A10628" s="9"/>
      <c r="B10628" s="15"/>
      <c r="C10628" s="9">
        <f>IFERROR(__xludf.DUMMYFUNCTION("""COMPUTED_VALUE"""),45032.4721402083)</f>
        <v>45032.47214</v>
      </c>
      <c r="D10628" s="15">
        <f>IFERROR(__xludf.DUMMYFUNCTION("""COMPUTED_VALUE"""),1.054)</f>
        <v>1.054</v>
      </c>
      <c r="E10628" s="16">
        <f>IFERROR(__xludf.DUMMYFUNCTION("""COMPUTED_VALUE"""),65.0)</f>
        <v>65</v>
      </c>
      <c r="F10628" s="19" t="str">
        <f>IFERROR(__xludf.DUMMYFUNCTION("""COMPUTED_VALUE"""),"BLUE")</f>
        <v>BLUE</v>
      </c>
      <c r="G10628" s="20" t="str">
        <f>IFERROR(__xludf.DUMMYFUNCTION("""COMPUTED_VALUE"""),"Uncle Sams Cider (04/04/2023)")</f>
        <v>Uncle Sams Cider (04/04/2023)</v>
      </c>
      <c r="H10628" s="19"/>
    </row>
    <row r="10629">
      <c r="A10629" s="9"/>
      <c r="B10629" s="15"/>
      <c r="C10629" s="9">
        <f>IFERROR(__xludf.DUMMYFUNCTION("""COMPUTED_VALUE"""),45032.4617184606)</f>
        <v>45032.46172</v>
      </c>
      <c r="D10629" s="15">
        <f>IFERROR(__xludf.DUMMYFUNCTION("""COMPUTED_VALUE"""),1.054)</f>
        <v>1.054</v>
      </c>
      <c r="E10629" s="16">
        <f>IFERROR(__xludf.DUMMYFUNCTION("""COMPUTED_VALUE"""),65.0)</f>
        <v>65</v>
      </c>
      <c r="F10629" s="19" t="str">
        <f>IFERROR(__xludf.DUMMYFUNCTION("""COMPUTED_VALUE"""),"BLUE")</f>
        <v>BLUE</v>
      </c>
      <c r="G10629" s="20" t="str">
        <f>IFERROR(__xludf.DUMMYFUNCTION("""COMPUTED_VALUE"""),"Uncle Sams Cider (04/04/2023)")</f>
        <v>Uncle Sams Cider (04/04/2023)</v>
      </c>
      <c r="H10629" s="19"/>
    </row>
    <row r="10630">
      <c r="A10630" s="9"/>
      <c r="B10630" s="15"/>
      <c r="C10630" s="9">
        <f>IFERROR(__xludf.DUMMYFUNCTION("""COMPUTED_VALUE"""),45032.4512853935)</f>
        <v>45032.45129</v>
      </c>
      <c r="D10630" s="15">
        <f>IFERROR(__xludf.DUMMYFUNCTION("""COMPUTED_VALUE"""),1.054)</f>
        <v>1.054</v>
      </c>
      <c r="E10630" s="16">
        <f>IFERROR(__xludf.DUMMYFUNCTION("""COMPUTED_VALUE"""),65.0)</f>
        <v>65</v>
      </c>
      <c r="F10630" s="19" t="str">
        <f>IFERROR(__xludf.DUMMYFUNCTION("""COMPUTED_VALUE"""),"BLUE")</f>
        <v>BLUE</v>
      </c>
      <c r="G10630" s="20" t="str">
        <f>IFERROR(__xludf.DUMMYFUNCTION("""COMPUTED_VALUE"""),"Uncle Sams Cider (04/04/2023)")</f>
        <v>Uncle Sams Cider (04/04/2023)</v>
      </c>
      <c r="H10630" s="19"/>
    </row>
    <row r="10631">
      <c r="A10631" s="9"/>
      <c r="B10631" s="15"/>
      <c r="C10631" s="9">
        <f>IFERROR(__xludf.DUMMYFUNCTION("""COMPUTED_VALUE"""),45032.4408653819)</f>
        <v>45032.44087</v>
      </c>
      <c r="D10631" s="15">
        <f>IFERROR(__xludf.DUMMYFUNCTION("""COMPUTED_VALUE"""),1.055)</f>
        <v>1.055</v>
      </c>
      <c r="E10631" s="16">
        <f>IFERROR(__xludf.DUMMYFUNCTION("""COMPUTED_VALUE"""),65.0)</f>
        <v>65</v>
      </c>
      <c r="F10631" s="19" t="str">
        <f>IFERROR(__xludf.DUMMYFUNCTION("""COMPUTED_VALUE"""),"BLUE")</f>
        <v>BLUE</v>
      </c>
      <c r="G10631" s="20" t="str">
        <f>IFERROR(__xludf.DUMMYFUNCTION("""COMPUTED_VALUE"""),"Uncle Sams Cider (04/04/2023)")</f>
        <v>Uncle Sams Cider (04/04/2023)</v>
      </c>
      <c r="H10631" s="19"/>
    </row>
    <row r="10632">
      <c r="A10632" s="9"/>
      <c r="B10632" s="15"/>
      <c r="C10632" s="9">
        <f>IFERROR(__xludf.DUMMYFUNCTION("""COMPUTED_VALUE"""),45032.4304347569)</f>
        <v>45032.43043</v>
      </c>
      <c r="D10632" s="15">
        <f>IFERROR(__xludf.DUMMYFUNCTION("""COMPUTED_VALUE"""),1.055)</f>
        <v>1.055</v>
      </c>
      <c r="E10632" s="16">
        <f>IFERROR(__xludf.DUMMYFUNCTION("""COMPUTED_VALUE"""),65.0)</f>
        <v>65</v>
      </c>
      <c r="F10632" s="19" t="str">
        <f>IFERROR(__xludf.DUMMYFUNCTION("""COMPUTED_VALUE"""),"BLUE")</f>
        <v>BLUE</v>
      </c>
      <c r="G10632" s="20" t="str">
        <f>IFERROR(__xludf.DUMMYFUNCTION("""COMPUTED_VALUE"""),"Uncle Sams Cider (04/04/2023)")</f>
        <v>Uncle Sams Cider (04/04/2023)</v>
      </c>
      <c r="H10632" s="19"/>
    </row>
    <row r="10633">
      <c r="A10633" s="9"/>
      <c r="B10633" s="15"/>
      <c r="C10633" s="9">
        <f>IFERROR(__xludf.DUMMYFUNCTION("""COMPUTED_VALUE"""),45032.4199914583)</f>
        <v>45032.41999</v>
      </c>
      <c r="D10633" s="15">
        <f>IFERROR(__xludf.DUMMYFUNCTION("""COMPUTED_VALUE"""),1.055)</f>
        <v>1.055</v>
      </c>
      <c r="E10633" s="16">
        <f>IFERROR(__xludf.DUMMYFUNCTION("""COMPUTED_VALUE"""),65.0)</f>
        <v>65</v>
      </c>
      <c r="F10633" s="19" t="str">
        <f>IFERROR(__xludf.DUMMYFUNCTION("""COMPUTED_VALUE"""),"BLUE")</f>
        <v>BLUE</v>
      </c>
      <c r="G10633" s="20" t="str">
        <f>IFERROR(__xludf.DUMMYFUNCTION("""COMPUTED_VALUE"""),"Uncle Sams Cider (04/04/2023)")</f>
        <v>Uncle Sams Cider (04/04/2023)</v>
      </c>
      <c r="H10633" s="19"/>
    </row>
    <row r="10634">
      <c r="A10634" s="9"/>
      <c r="B10634" s="15"/>
      <c r="C10634" s="9">
        <f>IFERROR(__xludf.DUMMYFUNCTION("""COMPUTED_VALUE"""),45032.4095713888)</f>
        <v>45032.40957</v>
      </c>
      <c r="D10634" s="15">
        <f>IFERROR(__xludf.DUMMYFUNCTION("""COMPUTED_VALUE"""),1.055)</f>
        <v>1.055</v>
      </c>
      <c r="E10634" s="16">
        <f>IFERROR(__xludf.DUMMYFUNCTION("""COMPUTED_VALUE"""),65.0)</f>
        <v>65</v>
      </c>
      <c r="F10634" s="19" t="str">
        <f>IFERROR(__xludf.DUMMYFUNCTION("""COMPUTED_VALUE"""),"BLUE")</f>
        <v>BLUE</v>
      </c>
      <c r="G10634" s="20" t="str">
        <f>IFERROR(__xludf.DUMMYFUNCTION("""COMPUTED_VALUE"""),"Uncle Sams Cider (04/04/2023)")</f>
        <v>Uncle Sams Cider (04/04/2023)</v>
      </c>
      <c r="H10634" s="19"/>
    </row>
    <row r="10635">
      <c r="A10635" s="9"/>
      <c r="B10635" s="15"/>
      <c r="C10635" s="9">
        <f>IFERROR(__xludf.DUMMYFUNCTION("""COMPUTED_VALUE"""),45032.3991392708)</f>
        <v>45032.39914</v>
      </c>
      <c r="D10635" s="15">
        <f>IFERROR(__xludf.DUMMYFUNCTION("""COMPUTED_VALUE"""),1.055)</f>
        <v>1.055</v>
      </c>
      <c r="E10635" s="16">
        <f>IFERROR(__xludf.DUMMYFUNCTION("""COMPUTED_VALUE"""),65.0)</f>
        <v>65</v>
      </c>
      <c r="F10635" s="19" t="str">
        <f>IFERROR(__xludf.DUMMYFUNCTION("""COMPUTED_VALUE"""),"BLUE")</f>
        <v>BLUE</v>
      </c>
      <c r="G10635" s="20" t="str">
        <f>IFERROR(__xludf.DUMMYFUNCTION("""COMPUTED_VALUE"""),"Uncle Sams Cider (04/04/2023)")</f>
        <v>Uncle Sams Cider (04/04/2023)</v>
      </c>
      <c r="H10635" s="19"/>
    </row>
    <row r="10636">
      <c r="A10636" s="9"/>
      <c r="B10636" s="15"/>
      <c r="C10636" s="9">
        <f>IFERROR(__xludf.DUMMYFUNCTION("""COMPUTED_VALUE"""),45032.3887187731)</f>
        <v>45032.38872</v>
      </c>
      <c r="D10636" s="15">
        <f>IFERROR(__xludf.DUMMYFUNCTION("""COMPUTED_VALUE"""),1.055)</f>
        <v>1.055</v>
      </c>
      <c r="E10636" s="16">
        <f>IFERROR(__xludf.DUMMYFUNCTION("""COMPUTED_VALUE"""),65.0)</f>
        <v>65</v>
      </c>
      <c r="F10636" s="19" t="str">
        <f>IFERROR(__xludf.DUMMYFUNCTION("""COMPUTED_VALUE"""),"BLUE")</f>
        <v>BLUE</v>
      </c>
      <c r="G10636" s="20" t="str">
        <f>IFERROR(__xludf.DUMMYFUNCTION("""COMPUTED_VALUE"""),"Uncle Sams Cider (04/04/2023)")</f>
        <v>Uncle Sams Cider (04/04/2023)</v>
      </c>
      <c r="H10636" s="19"/>
    </row>
    <row r="10637">
      <c r="A10637" s="9"/>
      <c r="B10637" s="15"/>
      <c r="C10637" s="9">
        <f>IFERROR(__xludf.DUMMYFUNCTION("""COMPUTED_VALUE"""),45032.3782969213)</f>
        <v>45032.3783</v>
      </c>
      <c r="D10637" s="15">
        <f>IFERROR(__xludf.DUMMYFUNCTION("""COMPUTED_VALUE"""),1.055)</f>
        <v>1.055</v>
      </c>
      <c r="E10637" s="16">
        <f>IFERROR(__xludf.DUMMYFUNCTION("""COMPUTED_VALUE"""),65.0)</f>
        <v>65</v>
      </c>
      <c r="F10637" s="19" t="str">
        <f>IFERROR(__xludf.DUMMYFUNCTION("""COMPUTED_VALUE"""),"BLUE")</f>
        <v>BLUE</v>
      </c>
      <c r="G10637" s="20" t="str">
        <f>IFERROR(__xludf.DUMMYFUNCTION("""COMPUTED_VALUE"""),"Uncle Sams Cider (04/04/2023)")</f>
        <v>Uncle Sams Cider (04/04/2023)</v>
      </c>
      <c r="H10637" s="19"/>
    </row>
    <row r="10638">
      <c r="A10638" s="9"/>
      <c r="B10638" s="15"/>
      <c r="C10638" s="9">
        <f>IFERROR(__xludf.DUMMYFUNCTION("""COMPUTED_VALUE"""),45032.3678764004)</f>
        <v>45032.36788</v>
      </c>
      <c r="D10638" s="15">
        <f>IFERROR(__xludf.DUMMYFUNCTION("""COMPUTED_VALUE"""),1.055)</f>
        <v>1.055</v>
      </c>
      <c r="E10638" s="16">
        <f>IFERROR(__xludf.DUMMYFUNCTION("""COMPUTED_VALUE"""),65.0)</f>
        <v>65</v>
      </c>
      <c r="F10638" s="19" t="str">
        <f>IFERROR(__xludf.DUMMYFUNCTION("""COMPUTED_VALUE"""),"BLUE")</f>
        <v>BLUE</v>
      </c>
      <c r="G10638" s="20" t="str">
        <f>IFERROR(__xludf.DUMMYFUNCTION("""COMPUTED_VALUE"""),"Uncle Sams Cider (04/04/2023)")</f>
        <v>Uncle Sams Cider (04/04/2023)</v>
      </c>
      <c r="H10638" s="19"/>
    </row>
    <row r="10639">
      <c r="A10639" s="9"/>
      <c r="B10639" s="15"/>
      <c r="C10639" s="9">
        <f>IFERROR(__xludf.DUMMYFUNCTION("""COMPUTED_VALUE"""),45032.3574566898)</f>
        <v>45032.35746</v>
      </c>
      <c r="D10639" s="15">
        <f>IFERROR(__xludf.DUMMYFUNCTION("""COMPUTED_VALUE"""),1.055)</f>
        <v>1.055</v>
      </c>
      <c r="E10639" s="16">
        <f>IFERROR(__xludf.DUMMYFUNCTION("""COMPUTED_VALUE"""),65.0)</f>
        <v>65</v>
      </c>
      <c r="F10639" s="19" t="str">
        <f>IFERROR(__xludf.DUMMYFUNCTION("""COMPUTED_VALUE"""),"BLUE")</f>
        <v>BLUE</v>
      </c>
      <c r="G10639" s="20" t="str">
        <f>IFERROR(__xludf.DUMMYFUNCTION("""COMPUTED_VALUE"""),"Uncle Sams Cider (04/04/2023)")</f>
        <v>Uncle Sams Cider (04/04/2023)</v>
      </c>
      <c r="H10639" s="19"/>
    </row>
    <row r="10640">
      <c r="A10640" s="9"/>
      <c r="B10640" s="15"/>
      <c r="C10640" s="9">
        <f>IFERROR(__xludf.DUMMYFUNCTION("""COMPUTED_VALUE"""),45032.3470348495)</f>
        <v>45032.34703</v>
      </c>
      <c r="D10640" s="15">
        <f>IFERROR(__xludf.DUMMYFUNCTION("""COMPUTED_VALUE"""),1.055)</f>
        <v>1.055</v>
      </c>
      <c r="E10640" s="16">
        <f>IFERROR(__xludf.DUMMYFUNCTION("""COMPUTED_VALUE"""),65.0)</f>
        <v>65</v>
      </c>
      <c r="F10640" s="19" t="str">
        <f>IFERROR(__xludf.DUMMYFUNCTION("""COMPUTED_VALUE"""),"BLUE")</f>
        <v>BLUE</v>
      </c>
      <c r="G10640" s="20" t="str">
        <f>IFERROR(__xludf.DUMMYFUNCTION("""COMPUTED_VALUE"""),"Uncle Sams Cider (04/04/2023)")</f>
        <v>Uncle Sams Cider (04/04/2023)</v>
      </c>
      <c r="H10640" s="19"/>
    </row>
    <row r="10641">
      <c r="A10641" s="9"/>
      <c r="B10641" s="15"/>
      <c r="C10641" s="9">
        <f>IFERROR(__xludf.DUMMYFUNCTION("""COMPUTED_VALUE"""),45032.3366131944)</f>
        <v>45032.33661</v>
      </c>
      <c r="D10641" s="15">
        <f>IFERROR(__xludf.DUMMYFUNCTION("""COMPUTED_VALUE"""),1.055)</f>
        <v>1.055</v>
      </c>
      <c r="E10641" s="16">
        <f>IFERROR(__xludf.DUMMYFUNCTION("""COMPUTED_VALUE"""),65.0)</f>
        <v>65</v>
      </c>
      <c r="F10641" s="19" t="str">
        <f>IFERROR(__xludf.DUMMYFUNCTION("""COMPUTED_VALUE"""),"BLUE")</f>
        <v>BLUE</v>
      </c>
      <c r="G10641" s="20" t="str">
        <f>IFERROR(__xludf.DUMMYFUNCTION("""COMPUTED_VALUE"""),"Uncle Sams Cider (04/04/2023)")</f>
        <v>Uncle Sams Cider (04/04/2023)</v>
      </c>
      <c r="H10641" s="19"/>
    </row>
    <row r="10642">
      <c r="A10642" s="9"/>
      <c r="B10642" s="15"/>
      <c r="C10642" s="9">
        <f>IFERROR(__xludf.DUMMYFUNCTION("""COMPUTED_VALUE"""),45032.3261923495)</f>
        <v>45032.32619</v>
      </c>
      <c r="D10642" s="15">
        <f>IFERROR(__xludf.DUMMYFUNCTION("""COMPUTED_VALUE"""),1.055)</f>
        <v>1.055</v>
      </c>
      <c r="E10642" s="16">
        <f>IFERROR(__xludf.DUMMYFUNCTION("""COMPUTED_VALUE"""),65.0)</f>
        <v>65</v>
      </c>
      <c r="F10642" s="19" t="str">
        <f>IFERROR(__xludf.DUMMYFUNCTION("""COMPUTED_VALUE"""),"BLUE")</f>
        <v>BLUE</v>
      </c>
      <c r="G10642" s="20" t="str">
        <f>IFERROR(__xludf.DUMMYFUNCTION("""COMPUTED_VALUE"""),"Uncle Sams Cider (04/04/2023)")</f>
        <v>Uncle Sams Cider (04/04/2023)</v>
      </c>
      <c r="H10642" s="19"/>
    </row>
    <row r="10643">
      <c r="A10643" s="9"/>
      <c r="B10643" s="15"/>
      <c r="C10643" s="9">
        <f>IFERROR(__xludf.DUMMYFUNCTION("""COMPUTED_VALUE"""),45032.3157719444)</f>
        <v>45032.31577</v>
      </c>
      <c r="D10643" s="15">
        <f>IFERROR(__xludf.DUMMYFUNCTION("""COMPUTED_VALUE"""),1.055)</f>
        <v>1.055</v>
      </c>
      <c r="E10643" s="16">
        <f>IFERROR(__xludf.DUMMYFUNCTION("""COMPUTED_VALUE"""),65.0)</f>
        <v>65</v>
      </c>
      <c r="F10643" s="19" t="str">
        <f>IFERROR(__xludf.DUMMYFUNCTION("""COMPUTED_VALUE"""),"BLUE")</f>
        <v>BLUE</v>
      </c>
      <c r="G10643" s="20" t="str">
        <f>IFERROR(__xludf.DUMMYFUNCTION("""COMPUTED_VALUE"""),"Uncle Sams Cider (04/04/2023)")</f>
        <v>Uncle Sams Cider (04/04/2023)</v>
      </c>
      <c r="H10643" s="19"/>
    </row>
    <row r="10644">
      <c r="A10644" s="9"/>
      <c r="B10644" s="15"/>
      <c r="C10644" s="9">
        <f>IFERROR(__xludf.DUMMYFUNCTION("""COMPUTED_VALUE"""),45032.3053498495)</f>
        <v>45032.30535</v>
      </c>
      <c r="D10644" s="15">
        <f>IFERROR(__xludf.DUMMYFUNCTION("""COMPUTED_VALUE"""),1.055)</f>
        <v>1.055</v>
      </c>
      <c r="E10644" s="16">
        <f>IFERROR(__xludf.DUMMYFUNCTION("""COMPUTED_VALUE"""),65.0)</f>
        <v>65</v>
      </c>
      <c r="F10644" s="19" t="str">
        <f>IFERROR(__xludf.DUMMYFUNCTION("""COMPUTED_VALUE"""),"BLUE")</f>
        <v>BLUE</v>
      </c>
      <c r="G10644" s="20" t="str">
        <f>IFERROR(__xludf.DUMMYFUNCTION("""COMPUTED_VALUE"""),"Uncle Sams Cider (04/04/2023)")</f>
        <v>Uncle Sams Cider (04/04/2023)</v>
      </c>
      <c r="H10644" s="19"/>
    </row>
    <row r="10645">
      <c r="A10645" s="9"/>
      <c r="B10645" s="15"/>
      <c r="C10645" s="9">
        <f>IFERROR(__xludf.DUMMYFUNCTION("""COMPUTED_VALUE"""),45032.2949162268)</f>
        <v>45032.29492</v>
      </c>
      <c r="D10645" s="15">
        <f>IFERROR(__xludf.DUMMYFUNCTION("""COMPUTED_VALUE"""),1.055)</f>
        <v>1.055</v>
      </c>
      <c r="E10645" s="16">
        <f>IFERROR(__xludf.DUMMYFUNCTION("""COMPUTED_VALUE"""),65.0)</f>
        <v>65</v>
      </c>
      <c r="F10645" s="19" t="str">
        <f>IFERROR(__xludf.DUMMYFUNCTION("""COMPUTED_VALUE"""),"BLUE")</f>
        <v>BLUE</v>
      </c>
      <c r="G10645" s="20" t="str">
        <f>IFERROR(__xludf.DUMMYFUNCTION("""COMPUTED_VALUE"""),"Uncle Sams Cider (04/04/2023)")</f>
        <v>Uncle Sams Cider (04/04/2023)</v>
      </c>
      <c r="H10645" s="19"/>
    </row>
    <row r="10646">
      <c r="A10646" s="9"/>
      <c r="B10646" s="15"/>
      <c r="C10646" s="9">
        <f>IFERROR(__xludf.DUMMYFUNCTION("""COMPUTED_VALUE"""),45032.2844947569)</f>
        <v>45032.28449</v>
      </c>
      <c r="D10646" s="15">
        <f>IFERROR(__xludf.DUMMYFUNCTION("""COMPUTED_VALUE"""),1.055)</f>
        <v>1.055</v>
      </c>
      <c r="E10646" s="16">
        <f>IFERROR(__xludf.DUMMYFUNCTION("""COMPUTED_VALUE"""),65.0)</f>
        <v>65</v>
      </c>
      <c r="F10646" s="19" t="str">
        <f>IFERROR(__xludf.DUMMYFUNCTION("""COMPUTED_VALUE"""),"BLUE")</f>
        <v>BLUE</v>
      </c>
      <c r="G10646" s="20" t="str">
        <f>IFERROR(__xludf.DUMMYFUNCTION("""COMPUTED_VALUE"""),"Uncle Sams Cider (04/04/2023)")</f>
        <v>Uncle Sams Cider (04/04/2023)</v>
      </c>
      <c r="H10646" s="19"/>
    </row>
    <row r="10647">
      <c r="A10647" s="9"/>
      <c r="B10647" s="15"/>
      <c r="C10647" s="9">
        <f>IFERROR(__xludf.DUMMYFUNCTION("""COMPUTED_VALUE"""),45032.2740620138)</f>
        <v>45032.27406</v>
      </c>
      <c r="D10647" s="15">
        <f>IFERROR(__xludf.DUMMYFUNCTION("""COMPUTED_VALUE"""),1.055)</f>
        <v>1.055</v>
      </c>
      <c r="E10647" s="16">
        <f>IFERROR(__xludf.DUMMYFUNCTION("""COMPUTED_VALUE"""),65.0)</f>
        <v>65</v>
      </c>
      <c r="F10647" s="19" t="str">
        <f>IFERROR(__xludf.DUMMYFUNCTION("""COMPUTED_VALUE"""),"BLUE")</f>
        <v>BLUE</v>
      </c>
      <c r="G10647" s="20" t="str">
        <f>IFERROR(__xludf.DUMMYFUNCTION("""COMPUTED_VALUE"""),"Uncle Sams Cider (04/04/2023)")</f>
        <v>Uncle Sams Cider (04/04/2023)</v>
      </c>
      <c r="H10647" s="19"/>
    </row>
    <row r="10648">
      <c r="A10648" s="9"/>
      <c r="B10648" s="15"/>
      <c r="C10648" s="9">
        <f>IFERROR(__xludf.DUMMYFUNCTION("""COMPUTED_VALUE"""),45032.2636418055)</f>
        <v>45032.26364</v>
      </c>
      <c r="D10648" s="15">
        <f>IFERROR(__xludf.DUMMYFUNCTION("""COMPUTED_VALUE"""),1.055)</f>
        <v>1.055</v>
      </c>
      <c r="E10648" s="16">
        <f>IFERROR(__xludf.DUMMYFUNCTION("""COMPUTED_VALUE"""),65.0)</f>
        <v>65</v>
      </c>
      <c r="F10648" s="19" t="str">
        <f>IFERROR(__xludf.DUMMYFUNCTION("""COMPUTED_VALUE"""),"BLUE")</f>
        <v>BLUE</v>
      </c>
      <c r="G10648" s="20" t="str">
        <f>IFERROR(__xludf.DUMMYFUNCTION("""COMPUTED_VALUE"""),"Uncle Sams Cider (04/04/2023)")</f>
        <v>Uncle Sams Cider (04/04/2023)</v>
      </c>
      <c r="H10648" s="19"/>
    </row>
    <row r="10649">
      <c r="A10649" s="9"/>
      <c r="B10649" s="15"/>
      <c r="C10649" s="9">
        <f>IFERROR(__xludf.DUMMYFUNCTION("""COMPUTED_VALUE"""),45032.2532214583)</f>
        <v>45032.25322</v>
      </c>
      <c r="D10649" s="15">
        <f>IFERROR(__xludf.DUMMYFUNCTION("""COMPUTED_VALUE"""),1.055)</f>
        <v>1.055</v>
      </c>
      <c r="E10649" s="16">
        <f>IFERROR(__xludf.DUMMYFUNCTION("""COMPUTED_VALUE"""),65.0)</f>
        <v>65</v>
      </c>
      <c r="F10649" s="19" t="str">
        <f>IFERROR(__xludf.DUMMYFUNCTION("""COMPUTED_VALUE"""),"BLUE")</f>
        <v>BLUE</v>
      </c>
      <c r="G10649" s="20" t="str">
        <f>IFERROR(__xludf.DUMMYFUNCTION("""COMPUTED_VALUE"""),"Uncle Sams Cider (04/04/2023)")</f>
        <v>Uncle Sams Cider (04/04/2023)</v>
      </c>
      <c r="H10649" s="19"/>
    </row>
    <row r="10650">
      <c r="A10650" s="9"/>
      <c r="B10650" s="15"/>
      <c r="C10650" s="9">
        <f>IFERROR(__xludf.DUMMYFUNCTION("""COMPUTED_VALUE"""),45032.2428012615)</f>
        <v>45032.2428</v>
      </c>
      <c r="D10650" s="15">
        <f>IFERROR(__xludf.DUMMYFUNCTION("""COMPUTED_VALUE"""),1.055)</f>
        <v>1.055</v>
      </c>
      <c r="E10650" s="16">
        <f>IFERROR(__xludf.DUMMYFUNCTION("""COMPUTED_VALUE"""),65.0)</f>
        <v>65</v>
      </c>
      <c r="F10650" s="19" t="str">
        <f>IFERROR(__xludf.DUMMYFUNCTION("""COMPUTED_VALUE"""),"BLUE")</f>
        <v>BLUE</v>
      </c>
      <c r="G10650" s="20" t="str">
        <f>IFERROR(__xludf.DUMMYFUNCTION("""COMPUTED_VALUE"""),"Uncle Sams Cider (04/04/2023)")</f>
        <v>Uncle Sams Cider (04/04/2023)</v>
      </c>
      <c r="H10650" s="19"/>
    </row>
    <row r="10651">
      <c r="A10651" s="9"/>
      <c r="B10651" s="15"/>
      <c r="C10651" s="9">
        <f>IFERROR(__xludf.DUMMYFUNCTION("""COMPUTED_VALUE"""),45032.2323804513)</f>
        <v>45032.23238</v>
      </c>
      <c r="D10651" s="15">
        <f>IFERROR(__xludf.DUMMYFUNCTION("""COMPUTED_VALUE"""),1.055)</f>
        <v>1.055</v>
      </c>
      <c r="E10651" s="16">
        <f>IFERROR(__xludf.DUMMYFUNCTION("""COMPUTED_VALUE"""),65.0)</f>
        <v>65</v>
      </c>
      <c r="F10651" s="19" t="str">
        <f>IFERROR(__xludf.DUMMYFUNCTION("""COMPUTED_VALUE"""),"BLUE")</f>
        <v>BLUE</v>
      </c>
      <c r="G10651" s="20" t="str">
        <f>IFERROR(__xludf.DUMMYFUNCTION("""COMPUTED_VALUE"""),"Uncle Sams Cider (04/04/2023)")</f>
        <v>Uncle Sams Cider (04/04/2023)</v>
      </c>
      <c r="H10651" s="19"/>
    </row>
    <row r="10652">
      <c r="A10652" s="9"/>
      <c r="B10652" s="15"/>
      <c r="C10652" s="9">
        <f>IFERROR(__xludf.DUMMYFUNCTION("""COMPUTED_VALUE"""),45032.2219593402)</f>
        <v>45032.22196</v>
      </c>
      <c r="D10652" s="15">
        <f>IFERROR(__xludf.DUMMYFUNCTION("""COMPUTED_VALUE"""),1.056)</f>
        <v>1.056</v>
      </c>
      <c r="E10652" s="16">
        <f>IFERROR(__xludf.DUMMYFUNCTION("""COMPUTED_VALUE"""),65.0)</f>
        <v>65</v>
      </c>
      <c r="F10652" s="19" t="str">
        <f>IFERROR(__xludf.DUMMYFUNCTION("""COMPUTED_VALUE"""),"BLUE")</f>
        <v>BLUE</v>
      </c>
      <c r="G10652" s="20" t="str">
        <f>IFERROR(__xludf.DUMMYFUNCTION("""COMPUTED_VALUE"""),"Uncle Sams Cider (04/04/2023)")</f>
        <v>Uncle Sams Cider (04/04/2023)</v>
      </c>
      <c r="H10652" s="19"/>
    </row>
    <row r="10653">
      <c r="A10653" s="9"/>
      <c r="B10653" s="15"/>
      <c r="C10653" s="9">
        <f>IFERROR(__xludf.DUMMYFUNCTION("""COMPUTED_VALUE"""),45032.2115362847)</f>
        <v>45032.21154</v>
      </c>
      <c r="D10653" s="15">
        <f>IFERROR(__xludf.DUMMYFUNCTION("""COMPUTED_VALUE"""),1.055)</f>
        <v>1.055</v>
      </c>
      <c r="E10653" s="16">
        <f>IFERROR(__xludf.DUMMYFUNCTION("""COMPUTED_VALUE"""),65.0)</f>
        <v>65</v>
      </c>
      <c r="F10653" s="19" t="str">
        <f>IFERROR(__xludf.DUMMYFUNCTION("""COMPUTED_VALUE"""),"BLUE")</f>
        <v>BLUE</v>
      </c>
      <c r="G10653" s="20" t="str">
        <f>IFERROR(__xludf.DUMMYFUNCTION("""COMPUTED_VALUE"""),"Uncle Sams Cider (04/04/2023)")</f>
        <v>Uncle Sams Cider (04/04/2023)</v>
      </c>
      <c r="H10653" s="19"/>
    </row>
    <row r="10654">
      <c r="A10654" s="9"/>
      <c r="B10654" s="15"/>
      <c r="C10654" s="9">
        <f>IFERROR(__xludf.DUMMYFUNCTION("""COMPUTED_VALUE"""),45032.2011157638)</f>
        <v>45032.20112</v>
      </c>
      <c r="D10654" s="15">
        <f>IFERROR(__xludf.DUMMYFUNCTION("""COMPUTED_VALUE"""),1.056)</f>
        <v>1.056</v>
      </c>
      <c r="E10654" s="16">
        <f>IFERROR(__xludf.DUMMYFUNCTION("""COMPUTED_VALUE"""),65.0)</f>
        <v>65</v>
      </c>
      <c r="F10654" s="19" t="str">
        <f>IFERROR(__xludf.DUMMYFUNCTION("""COMPUTED_VALUE"""),"BLUE")</f>
        <v>BLUE</v>
      </c>
      <c r="G10654" s="20" t="str">
        <f>IFERROR(__xludf.DUMMYFUNCTION("""COMPUTED_VALUE"""),"Uncle Sams Cider (04/04/2023)")</f>
        <v>Uncle Sams Cider (04/04/2023)</v>
      </c>
      <c r="H10654" s="19"/>
    </row>
    <row r="10655">
      <c r="A10655" s="9"/>
      <c r="B10655" s="15"/>
      <c r="C10655" s="9">
        <f>IFERROR(__xludf.DUMMYFUNCTION("""COMPUTED_VALUE"""),45032.1906948495)</f>
        <v>45032.19069</v>
      </c>
      <c r="D10655" s="15">
        <f>IFERROR(__xludf.DUMMYFUNCTION("""COMPUTED_VALUE"""),1.056)</f>
        <v>1.056</v>
      </c>
      <c r="E10655" s="16">
        <f>IFERROR(__xludf.DUMMYFUNCTION("""COMPUTED_VALUE"""),65.0)</f>
        <v>65</v>
      </c>
      <c r="F10655" s="19" t="str">
        <f>IFERROR(__xludf.DUMMYFUNCTION("""COMPUTED_VALUE"""),"BLUE")</f>
        <v>BLUE</v>
      </c>
      <c r="G10655" s="20" t="str">
        <f>IFERROR(__xludf.DUMMYFUNCTION("""COMPUTED_VALUE"""),"Uncle Sams Cider (04/04/2023)")</f>
        <v>Uncle Sams Cider (04/04/2023)</v>
      </c>
      <c r="H10655" s="19"/>
    </row>
    <row r="10656">
      <c r="A10656" s="9"/>
      <c r="B10656" s="15"/>
      <c r="C10656" s="9">
        <f>IFERROR(__xludf.DUMMYFUNCTION("""COMPUTED_VALUE"""),45032.1802731365)</f>
        <v>45032.18027</v>
      </c>
      <c r="D10656" s="15">
        <f>IFERROR(__xludf.DUMMYFUNCTION("""COMPUTED_VALUE"""),1.056)</f>
        <v>1.056</v>
      </c>
      <c r="E10656" s="16">
        <f>IFERROR(__xludf.DUMMYFUNCTION("""COMPUTED_VALUE"""),65.0)</f>
        <v>65</v>
      </c>
      <c r="F10656" s="19" t="str">
        <f>IFERROR(__xludf.DUMMYFUNCTION("""COMPUTED_VALUE"""),"BLUE")</f>
        <v>BLUE</v>
      </c>
      <c r="G10656" s="20" t="str">
        <f>IFERROR(__xludf.DUMMYFUNCTION("""COMPUTED_VALUE"""),"Uncle Sams Cider (04/04/2023)")</f>
        <v>Uncle Sams Cider (04/04/2023)</v>
      </c>
      <c r="H10656" s="19"/>
    </row>
    <row r="10657">
      <c r="A10657" s="9"/>
      <c r="B10657" s="15"/>
      <c r="C10657" s="9">
        <f>IFERROR(__xludf.DUMMYFUNCTION("""COMPUTED_VALUE"""),45032.1698506828)</f>
        <v>45032.16985</v>
      </c>
      <c r="D10657" s="15">
        <f>IFERROR(__xludf.DUMMYFUNCTION("""COMPUTED_VALUE"""),1.056)</f>
        <v>1.056</v>
      </c>
      <c r="E10657" s="16">
        <f>IFERROR(__xludf.DUMMYFUNCTION("""COMPUTED_VALUE"""),65.0)</f>
        <v>65</v>
      </c>
      <c r="F10657" s="19" t="str">
        <f>IFERROR(__xludf.DUMMYFUNCTION("""COMPUTED_VALUE"""),"BLUE")</f>
        <v>BLUE</v>
      </c>
      <c r="G10657" s="20" t="str">
        <f>IFERROR(__xludf.DUMMYFUNCTION("""COMPUTED_VALUE"""),"Uncle Sams Cider (04/04/2023)")</f>
        <v>Uncle Sams Cider (04/04/2023)</v>
      </c>
      <c r="H10657" s="19"/>
    </row>
    <row r="10658">
      <c r="A10658" s="9"/>
      <c r="B10658" s="15"/>
      <c r="C10658" s="9">
        <f>IFERROR(__xludf.DUMMYFUNCTION("""COMPUTED_VALUE"""),45032.1594295949)</f>
        <v>45032.15943</v>
      </c>
      <c r="D10658" s="15">
        <f>IFERROR(__xludf.DUMMYFUNCTION("""COMPUTED_VALUE"""),1.056)</f>
        <v>1.056</v>
      </c>
      <c r="E10658" s="16">
        <f>IFERROR(__xludf.DUMMYFUNCTION("""COMPUTED_VALUE"""),65.0)</f>
        <v>65</v>
      </c>
      <c r="F10658" s="19" t="str">
        <f>IFERROR(__xludf.DUMMYFUNCTION("""COMPUTED_VALUE"""),"BLUE")</f>
        <v>BLUE</v>
      </c>
      <c r="G10658" s="20" t="str">
        <f>IFERROR(__xludf.DUMMYFUNCTION("""COMPUTED_VALUE"""),"Uncle Sams Cider (04/04/2023)")</f>
        <v>Uncle Sams Cider (04/04/2023)</v>
      </c>
      <c r="H10658" s="19"/>
    </row>
    <row r="10659">
      <c r="A10659" s="9"/>
      <c r="B10659" s="15"/>
      <c r="C10659" s="9">
        <f>IFERROR(__xludf.DUMMYFUNCTION("""COMPUTED_VALUE"""),45032.1490081134)</f>
        <v>45032.14901</v>
      </c>
      <c r="D10659" s="15">
        <f>IFERROR(__xludf.DUMMYFUNCTION("""COMPUTED_VALUE"""),1.056)</f>
        <v>1.056</v>
      </c>
      <c r="E10659" s="16">
        <f>IFERROR(__xludf.DUMMYFUNCTION("""COMPUTED_VALUE"""),65.0)</f>
        <v>65</v>
      </c>
      <c r="F10659" s="19" t="str">
        <f>IFERROR(__xludf.DUMMYFUNCTION("""COMPUTED_VALUE"""),"BLUE")</f>
        <v>BLUE</v>
      </c>
      <c r="G10659" s="20" t="str">
        <f>IFERROR(__xludf.DUMMYFUNCTION("""COMPUTED_VALUE"""),"Uncle Sams Cider (04/04/2023)")</f>
        <v>Uncle Sams Cider (04/04/2023)</v>
      </c>
      <c r="H10659" s="19"/>
    </row>
    <row r="10660">
      <c r="A10660" s="9"/>
      <c r="B10660" s="15"/>
      <c r="C10660" s="9">
        <f>IFERROR(__xludf.DUMMYFUNCTION("""COMPUTED_VALUE"""),45032.1385870949)</f>
        <v>45032.13859</v>
      </c>
      <c r="D10660" s="15">
        <f>IFERROR(__xludf.DUMMYFUNCTION("""COMPUTED_VALUE"""),1.056)</f>
        <v>1.056</v>
      </c>
      <c r="E10660" s="16">
        <f>IFERROR(__xludf.DUMMYFUNCTION("""COMPUTED_VALUE"""),65.0)</f>
        <v>65</v>
      </c>
      <c r="F10660" s="19" t="str">
        <f>IFERROR(__xludf.DUMMYFUNCTION("""COMPUTED_VALUE"""),"BLUE")</f>
        <v>BLUE</v>
      </c>
      <c r="G10660" s="20" t="str">
        <f>IFERROR(__xludf.DUMMYFUNCTION("""COMPUTED_VALUE"""),"Uncle Sams Cider (04/04/2023)")</f>
        <v>Uncle Sams Cider (04/04/2023)</v>
      </c>
      <c r="H10660" s="19"/>
    </row>
    <row r="10661">
      <c r="A10661" s="9"/>
      <c r="B10661" s="15"/>
      <c r="C10661" s="9">
        <f>IFERROR(__xludf.DUMMYFUNCTION("""COMPUTED_VALUE"""),45032.1281536689)</f>
        <v>45032.12815</v>
      </c>
      <c r="D10661" s="15">
        <f>IFERROR(__xludf.DUMMYFUNCTION("""COMPUTED_VALUE"""),1.056)</f>
        <v>1.056</v>
      </c>
      <c r="E10661" s="16">
        <f>IFERROR(__xludf.DUMMYFUNCTION("""COMPUTED_VALUE"""),65.0)</f>
        <v>65</v>
      </c>
      <c r="F10661" s="19" t="str">
        <f>IFERROR(__xludf.DUMMYFUNCTION("""COMPUTED_VALUE"""),"BLUE")</f>
        <v>BLUE</v>
      </c>
      <c r="G10661" s="20" t="str">
        <f>IFERROR(__xludf.DUMMYFUNCTION("""COMPUTED_VALUE"""),"Uncle Sams Cider (04/04/2023)")</f>
        <v>Uncle Sams Cider (04/04/2023)</v>
      </c>
      <c r="H10661" s="19"/>
    </row>
    <row r="10662">
      <c r="A10662" s="9"/>
      <c r="B10662" s="15"/>
      <c r="C10662" s="9">
        <f>IFERROR(__xludf.DUMMYFUNCTION("""COMPUTED_VALUE"""),45032.1177210532)</f>
        <v>45032.11772</v>
      </c>
      <c r="D10662" s="15">
        <f>IFERROR(__xludf.DUMMYFUNCTION("""COMPUTED_VALUE"""),1.056)</f>
        <v>1.056</v>
      </c>
      <c r="E10662" s="16">
        <f>IFERROR(__xludf.DUMMYFUNCTION("""COMPUTED_VALUE"""),65.0)</f>
        <v>65</v>
      </c>
      <c r="F10662" s="19" t="str">
        <f>IFERROR(__xludf.DUMMYFUNCTION("""COMPUTED_VALUE"""),"BLUE")</f>
        <v>BLUE</v>
      </c>
      <c r="G10662" s="20" t="str">
        <f>IFERROR(__xludf.DUMMYFUNCTION("""COMPUTED_VALUE"""),"Uncle Sams Cider (04/04/2023)")</f>
        <v>Uncle Sams Cider (04/04/2023)</v>
      </c>
      <c r="H10662" s="19"/>
    </row>
    <row r="10663">
      <c r="A10663" s="9"/>
      <c r="B10663" s="15"/>
      <c r="C10663" s="9">
        <f>IFERROR(__xludf.DUMMYFUNCTION("""COMPUTED_VALUE"""),45032.1073010185)</f>
        <v>45032.1073</v>
      </c>
      <c r="D10663" s="15">
        <f>IFERROR(__xludf.DUMMYFUNCTION("""COMPUTED_VALUE"""),1.056)</f>
        <v>1.056</v>
      </c>
      <c r="E10663" s="16">
        <f>IFERROR(__xludf.DUMMYFUNCTION("""COMPUTED_VALUE"""),65.0)</f>
        <v>65</v>
      </c>
      <c r="F10663" s="19" t="str">
        <f>IFERROR(__xludf.DUMMYFUNCTION("""COMPUTED_VALUE"""),"BLUE")</f>
        <v>BLUE</v>
      </c>
      <c r="G10663" s="20" t="str">
        <f>IFERROR(__xludf.DUMMYFUNCTION("""COMPUTED_VALUE"""),"Uncle Sams Cider (04/04/2023)")</f>
        <v>Uncle Sams Cider (04/04/2023)</v>
      </c>
      <c r="H10663" s="19"/>
    </row>
    <row r="10664">
      <c r="A10664" s="9"/>
      <c r="B10664" s="15"/>
      <c r="C10664" s="9">
        <f>IFERROR(__xludf.DUMMYFUNCTION("""COMPUTED_VALUE"""),45032.096880162)</f>
        <v>45032.09688</v>
      </c>
      <c r="D10664" s="15">
        <f>IFERROR(__xludf.DUMMYFUNCTION("""COMPUTED_VALUE"""),1.056)</f>
        <v>1.056</v>
      </c>
      <c r="E10664" s="16">
        <f>IFERROR(__xludf.DUMMYFUNCTION("""COMPUTED_VALUE"""),65.0)</f>
        <v>65</v>
      </c>
      <c r="F10664" s="19" t="str">
        <f>IFERROR(__xludf.DUMMYFUNCTION("""COMPUTED_VALUE"""),"BLUE")</f>
        <v>BLUE</v>
      </c>
      <c r="G10664" s="20" t="str">
        <f>IFERROR(__xludf.DUMMYFUNCTION("""COMPUTED_VALUE"""),"Uncle Sams Cider (04/04/2023)")</f>
        <v>Uncle Sams Cider (04/04/2023)</v>
      </c>
      <c r="H10664" s="19"/>
    </row>
    <row r="10665">
      <c r="A10665" s="9"/>
      <c r="B10665" s="15"/>
      <c r="C10665" s="9">
        <f>IFERROR(__xludf.DUMMYFUNCTION("""COMPUTED_VALUE"""),45032.0864596527)</f>
        <v>45032.08646</v>
      </c>
      <c r="D10665" s="15">
        <f>IFERROR(__xludf.DUMMYFUNCTION("""COMPUTED_VALUE"""),1.056)</f>
        <v>1.056</v>
      </c>
      <c r="E10665" s="16">
        <f>IFERROR(__xludf.DUMMYFUNCTION("""COMPUTED_VALUE"""),65.0)</f>
        <v>65</v>
      </c>
      <c r="F10665" s="19" t="str">
        <f>IFERROR(__xludf.DUMMYFUNCTION("""COMPUTED_VALUE"""),"BLUE")</f>
        <v>BLUE</v>
      </c>
      <c r="G10665" s="20" t="str">
        <f>IFERROR(__xludf.DUMMYFUNCTION("""COMPUTED_VALUE"""),"Uncle Sams Cider (04/04/2023)")</f>
        <v>Uncle Sams Cider (04/04/2023)</v>
      </c>
      <c r="H10665" s="19"/>
    </row>
    <row r="10666">
      <c r="A10666" s="9"/>
      <c r="B10666" s="15"/>
      <c r="C10666" s="9">
        <f>IFERROR(__xludf.DUMMYFUNCTION("""COMPUTED_VALUE"""),45032.0760390162)</f>
        <v>45032.07604</v>
      </c>
      <c r="D10666" s="15">
        <f>IFERROR(__xludf.DUMMYFUNCTION("""COMPUTED_VALUE"""),1.056)</f>
        <v>1.056</v>
      </c>
      <c r="E10666" s="16">
        <f>IFERROR(__xludf.DUMMYFUNCTION("""COMPUTED_VALUE"""),65.0)</f>
        <v>65</v>
      </c>
      <c r="F10666" s="19" t="str">
        <f>IFERROR(__xludf.DUMMYFUNCTION("""COMPUTED_VALUE"""),"BLUE")</f>
        <v>BLUE</v>
      </c>
      <c r="G10666" s="20" t="str">
        <f>IFERROR(__xludf.DUMMYFUNCTION("""COMPUTED_VALUE"""),"Uncle Sams Cider (04/04/2023)")</f>
        <v>Uncle Sams Cider (04/04/2023)</v>
      </c>
      <c r="H10666" s="19"/>
    </row>
    <row r="10667">
      <c r="A10667" s="9"/>
      <c r="B10667" s="15"/>
      <c r="C10667" s="9">
        <f>IFERROR(__xludf.DUMMYFUNCTION("""COMPUTED_VALUE"""),45032.0656050578)</f>
        <v>45032.06561</v>
      </c>
      <c r="D10667" s="15">
        <f>IFERROR(__xludf.DUMMYFUNCTION("""COMPUTED_VALUE"""),1.056)</f>
        <v>1.056</v>
      </c>
      <c r="E10667" s="16">
        <f>IFERROR(__xludf.DUMMYFUNCTION("""COMPUTED_VALUE"""),65.0)</f>
        <v>65</v>
      </c>
      <c r="F10667" s="19" t="str">
        <f>IFERROR(__xludf.DUMMYFUNCTION("""COMPUTED_VALUE"""),"BLUE")</f>
        <v>BLUE</v>
      </c>
      <c r="G10667" s="20" t="str">
        <f>IFERROR(__xludf.DUMMYFUNCTION("""COMPUTED_VALUE"""),"Uncle Sams Cider (04/04/2023)")</f>
        <v>Uncle Sams Cider (04/04/2023)</v>
      </c>
      <c r="H10667" s="19"/>
    </row>
    <row r="10668">
      <c r="A10668" s="9"/>
      <c r="B10668" s="15"/>
      <c r="C10668" s="9">
        <f>IFERROR(__xludf.DUMMYFUNCTION("""COMPUTED_VALUE"""),45032.0551838888)</f>
        <v>45032.05518</v>
      </c>
      <c r="D10668" s="15">
        <f>IFERROR(__xludf.DUMMYFUNCTION("""COMPUTED_VALUE"""),1.056)</f>
        <v>1.056</v>
      </c>
      <c r="E10668" s="16">
        <f>IFERROR(__xludf.DUMMYFUNCTION("""COMPUTED_VALUE"""),65.0)</f>
        <v>65</v>
      </c>
      <c r="F10668" s="19" t="str">
        <f>IFERROR(__xludf.DUMMYFUNCTION("""COMPUTED_VALUE"""),"BLUE")</f>
        <v>BLUE</v>
      </c>
      <c r="G10668" s="20" t="str">
        <f>IFERROR(__xludf.DUMMYFUNCTION("""COMPUTED_VALUE"""),"Uncle Sams Cider (04/04/2023)")</f>
        <v>Uncle Sams Cider (04/04/2023)</v>
      </c>
      <c r="H10668" s="19"/>
    </row>
    <row r="10669">
      <c r="A10669" s="9"/>
      <c r="B10669" s="15"/>
      <c r="C10669" s="9">
        <f>IFERROR(__xludf.DUMMYFUNCTION("""COMPUTED_VALUE"""),45032.0447632638)</f>
        <v>45032.04476</v>
      </c>
      <c r="D10669" s="15">
        <f>IFERROR(__xludf.DUMMYFUNCTION("""COMPUTED_VALUE"""),1.056)</f>
        <v>1.056</v>
      </c>
      <c r="E10669" s="16">
        <f>IFERROR(__xludf.DUMMYFUNCTION("""COMPUTED_VALUE"""),65.0)</f>
        <v>65</v>
      </c>
      <c r="F10669" s="19" t="str">
        <f>IFERROR(__xludf.DUMMYFUNCTION("""COMPUTED_VALUE"""),"BLUE")</f>
        <v>BLUE</v>
      </c>
      <c r="G10669" s="20" t="str">
        <f>IFERROR(__xludf.DUMMYFUNCTION("""COMPUTED_VALUE"""),"Uncle Sams Cider (04/04/2023)")</f>
        <v>Uncle Sams Cider (04/04/2023)</v>
      </c>
      <c r="H10669" s="19"/>
    </row>
    <row r="10670">
      <c r="A10670" s="9"/>
      <c r="B10670" s="15"/>
      <c r="C10670" s="9">
        <f>IFERROR(__xludf.DUMMYFUNCTION("""COMPUTED_VALUE"""),45032.034343125)</f>
        <v>45032.03434</v>
      </c>
      <c r="D10670" s="15">
        <f>IFERROR(__xludf.DUMMYFUNCTION("""COMPUTED_VALUE"""),1.056)</f>
        <v>1.056</v>
      </c>
      <c r="E10670" s="16">
        <f>IFERROR(__xludf.DUMMYFUNCTION("""COMPUTED_VALUE"""),65.0)</f>
        <v>65</v>
      </c>
      <c r="F10670" s="19" t="str">
        <f>IFERROR(__xludf.DUMMYFUNCTION("""COMPUTED_VALUE"""),"BLUE")</f>
        <v>BLUE</v>
      </c>
      <c r="G10670" s="20" t="str">
        <f>IFERROR(__xludf.DUMMYFUNCTION("""COMPUTED_VALUE"""),"Uncle Sams Cider (04/04/2023)")</f>
        <v>Uncle Sams Cider (04/04/2023)</v>
      </c>
      <c r="H10670" s="19"/>
    </row>
    <row r="10671">
      <c r="A10671" s="9"/>
      <c r="B10671" s="15"/>
      <c r="C10671" s="9">
        <f>IFERROR(__xludf.DUMMYFUNCTION("""COMPUTED_VALUE"""),45032.0239095833)</f>
        <v>45032.02391</v>
      </c>
      <c r="D10671" s="15">
        <f>IFERROR(__xludf.DUMMYFUNCTION("""COMPUTED_VALUE"""),1.056)</f>
        <v>1.056</v>
      </c>
      <c r="E10671" s="16">
        <f>IFERROR(__xludf.DUMMYFUNCTION("""COMPUTED_VALUE"""),65.0)</f>
        <v>65</v>
      </c>
      <c r="F10671" s="19" t="str">
        <f>IFERROR(__xludf.DUMMYFUNCTION("""COMPUTED_VALUE"""),"BLUE")</f>
        <v>BLUE</v>
      </c>
      <c r="G10671" s="20" t="str">
        <f>IFERROR(__xludf.DUMMYFUNCTION("""COMPUTED_VALUE"""),"Uncle Sams Cider (04/04/2023)")</f>
        <v>Uncle Sams Cider (04/04/2023)</v>
      </c>
      <c r="H10671" s="19"/>
    </row>
    <row r="10672">
      <c r="A10672" s="9"/>
      <c r="B10672" s="15"/>
      <c r="C10672" s="9">
        <f>IFERROR(__xludf.DUMMYFUNCTION("""COMPUTED_VALUE"""),45032.0134767013)</f>
        <v>45032.01348</v>
      </c>
      <c r="D10672" s="15">
        <f>IFERROR(__xludf.DUMMYFUNCTION("""COMPUTED_VALUE"""),1.056)</f>
        <v>1.056</v>
      </c>
      <c r="E10672" s="16">
        <f>IFERROR(__xludf.DUMMYFUNCTION("""COMPUTED_VALUE"""),65.0)</f>
        <v>65</v>
      </c>
      <c r="F10672" s="19" t="str">
        <f>IFERROR(__xludf.DUMMYFUNCTION("""COMPUTED_VALUE"""),"BLUE")</f>
        <v>BLUE</v>
      </c>
      <c r="G10672" s="20" t="str">
        <f>IFERROR(__xludf.DUMMYFUNCTION("""COMPUTED_VALUE"""),"Uncle Sams Cider (04/04/2023)")</f>
        <v>Uncle Sams Cider (04/04/2023)</v>
      </c>
      <c r="H10672" s="19"/>
    </row>
    <row r="10673">
      <c r="A10673" s="9"/>
      <c r="B10673" s="15"/>
      <c r="C10673" s="9">
        <f>IFERROR(__xludf.DUMMYFUNCTION("""COMPUTED_VALUE"""),45032.0030554051)</f>
        <v>45032.00306</v>
      </c>
      <c r="D10673" s="15">
        <f>IFERROR(__xludf.DUMMYFUNCTION("""COMPUTED_VALUE"""),1.056)</f>
        <v>1.056</v>
      </c>
      <c r="E10673" s="16">
        <f>IFERROR(__xludf.DUMMYFUNCTION("""COMPUTED_VALUE"""),65.0)</f>
        <v>65</v>
      </c>
      <c r="F10673" s="19" t="str">
        <f>IFERROR(__xludf.DUMMYFUNCTION("""COMPUTED_VALUE"""),"BLUE")</f>
        <v>BLUE</v>
      </c>
      <c r="G10673" s="20" t="str">
        <f>IFERROR(__xludf.DUMMYFUNCTION("""COMPUTED_VALUE"""),"Uncle Sams Cider (04/04/2023)")</f>
        <v>Uncle Sams Cider (04/04/2023)</v>
      </c>
      <c r="H10673" s="19"/>
    </row>
    <row r="10674">
      <c r="A10674" s="9"/>
      <c r="B10674" s="15"/>
      <c r="C10674" s="9">
        <f>IFERROR(__xludf.DUMMYFUNCTION("""COMPUTED_VALUE"""),45031.9926239236)</f>
        <v>45031.99262</v>
      </c>
      <c r="D10674" s="15">
        <f>IFERROR(__xludf.DUMMYFUNCTION("""COMPUTED_VALUE"""),1.056)</f>
        <v>1.056</v>
      </c>
      <c r="E10674" s="16">
        <f>IFERROR(__xludf.DUMMYFUNCTION("""COMPUTED_VALUE"""),65.0)</f>
        <v>65</v>
      </c>
      <c r="F10674" s="19" t="str">
        <f>IFERROR(__xludf.DUMMYFUNCTION("""COMPUTED_VALUE"""),"BLUE")</f>
        <v>BLUE</v>
      </c>
      <c r="G10674" s="20" t="str">
        <f>IFERROR(__xludf.DUMMYFUNCTION("""COMPUTED_VALUE"""),"Uncle Sams Cider (04/04/2023)")</f>
        <v>Uncle Sams Cider (04/04/2023)</v>
      </c>
      <c r="H10674" s="19"/>
    </row>
    <row r="10675">
      <c r="A10675" s="9"/>
      <c r="B10675" s="15"/>
      <c r="C10675" s="9">
        <f>IFERROR(__xludf.DUMMYFUNCTION("""COMPUTED_VALUE"""),45031.9822041666)</f>
        <v>45031.9822</v>
      </c>
      <c r="D10675" s="15">
        <f>IFERROR(__xludf.DUMMYFUNCTION("""COMPUTED_VALUE"""),1.057)</f>
        <v>1.057</v>
      </c>
      <c r="E10675" s="16">
        <f>IFERROR(__xludf.DUMMYFUNCTION("""COMPUTED_VALUE"""),65.0)</f>
        <v>65</v>
      </c>
      <c r="F10675" s="19" t="str">
        <f>IFERROR(__xludf.DUMMYFUNCTION("""COMPUTED_VALUE"""),"BLUE")</f>
        <v>BLUE</v>
      </c>
      <c r="G10675" s="20" t="str">
        <f>IFERROR(__xludf.DUMMYFUNCTION("""COMPUTED_VALUE"""),"Uncle Sams Cider (04/04/2023)")</f>
        <v>Uncle Sams Cider (04/04/2023)</v>
      </c>
      <c r="H10675" s="19"/>
    </row>
    <row r="10676">
      <c r="A10676" s="9"/>
      <c r="B10676" s="15"/>
      <c r="C10676" s="9">
        <f>IFERROR(__xludf.DUMMYFUNCTION("""COMPUTED_VALUE"""),45031.9717821875)</f>
        <v>45031.97178</v>
      </c>
      <c r="D10676" s="15">
        <f>IFERROR(__xludf.DUMMYFUNCTION("""COMPUTED_VALUE"""),1.057)</f>
        <v>1.057</v>
      </c>
      <c r="E10676" s="16">
        <f>IFERROR(__xludf.DUMMYFUNCTION("""COMPUTED_VALUE"""),65.0)</f>
        <v>65</v>
      </c>
      <c r="F10676" s="19" t="str">
        <f>IFERROR(__xludf.DUMMYFUNCTION("""COMPUTED_VALUE"""),"BLUE")</f>
        <v>BLUE</v>
      </c>
      <c r="G10676" s="20" t="str">
        <f>IFERROR(__xludf.DUMMYFUNCTION("""COMPUTED_VALUE"""),"Uncle Sams Cider (04/04/2023)")</f>
        <v>Uncle Sams Cider (04/04/2023)</v>
      </c>
      <c r="H10676" s="19"/>
    </row>
    <row r="10677">
      <c r="A10677" s="9"/>
      <c r="B10677" s="15"/>
      <c r="C10677" s="9">
        <f>IFERROR(__xludf.DUMMYFUNCTION("""COMPUTED_VALUE"""),45031.9613625694)</f>
        <v>45031.96136</v>
      </c>
      <c r="D10677" s="15">
        <f>IFERROR(__xludf.DUMMYFUNCTION("""COMPUTED_VALUE"""),1.057)</f>
        <v>1.057</v>
      </c>
      <c r="E10677" s="16">
        <f>IFERROR(__xludf.DUMMYFUNCTION("""COMPUTED_VALUE"""),65.0)</f>
        <v>65</v>
      </c>
      <c r="F10677" s="19" t="str">
        <f>IFERROR(__xludf.DUMMYFUNCTION("""COMPUTED_VALUE"""),"BLUE")</f>
        <v>BLUE</v>
      </c>
      <c r="G10677" s="20" t="str">
        <f>IFERROR(__xludf.DUMMYFUNCTION("""COMPUTED_VALUE"""),"Uncle Sams Cider (04/04/2023)")</f>
        <v>Uncle Sams Cider (04/04/2023)</v>
      </c>
      <c r="H10677" s="19"/>
    </row>
    <row r="10678">
      <c r="A10678" s="9"/>
      <c r="B10678" s="15"/>
      <c r="C10678" s="9">
        <f>IFERROR(__xludf.DUMMYFUNCTION("""COMPUTED_VALUE"""),45031.9509396296)</f>
        <v>45031.95094</v>
      </c>
      <c r="D10678" s="15">
        <f>IFERROR(__xludf.DUMMYFUNCTION("""COMPUTED_VALUE"""),1.056)</f>
        <v>1.056</v>
      </c>
      <c r="E10678" s="16">
        <f>IFERROR(__xludf.DUMMYFUNCTION("""COMPUTED_VALUE"""),65.0)</f>
        <v>65</v>
      </c>
      <c r="F10678" s="19" t="str">
        <f>IFERROR(__xludf.DUMMYFUNCTION("""COMPUTED_VALUE"""),"BLUE")</f>
        <v>BLUE</v>
      </c>
      <c r="G10678" s="20" t="str">
        <f>IFERROR(__xludf.DUMMYFUNCTION("""COMPUTED_VALUE"""),"Uncle Sams Cider (04/04/2023)")</f>
        <v>Uncle Sams Cider (04/04/2023)</v>
      </c>
      <c r="H10678" s="19"/>
    </row>
    <row r="10679">
      <c r="A10679" s="9"/>
      <c r="B10679" s="15"/>
      <c r="C10679" s="9">
        <f>IFERROR(__xludf.DUMMYFUNCTION("""COMPUTED_VALUE"""),45031.9405058796)</f>
        <v>45031.94051</v>
      </c>
      <c r="D10679" s="15">
        <f>IFERROR(__xludf.DUMMYFUNCTION("""COMPUTED_VALUE"""),1.057)</f>
        <v>1.057</v>
      </c>
      <c r="E10679" s="16">
        <f>IFERROR(__xludf.DUMMYFUNCTION("""COMPUTED_VALUE"""),65.0)</f>
        <v>65</v>
      </c>
      <c r="F10679" s="19" t="str">
        <f>IFERROR(__xludf.DUMMYFUNCTION("""COMPUTED_VALUE"""),"BLUE")</f>
        <v>BLUE</v>
      </c>
      <c r="G10679" s="20" t="str">
        <f>IFERROR(__xludf.DUMMYFUNCTION("""COMPUTED_VALUE"""),"Uncle Sams Cider (04/04/2023)")</f>
        <v>Uncle Sams Cider (04/04/2023)</v>
      </c>
      <c r="H10679" s="19"/>
    </row>
    <row r="10680">
      <c r="A10680" s="9"/>
      <c r="B10680" s="15"/>
      <c r="C10680" s="9">
        <f>IFERROR(__xludf.DUMMYFUNCTION("""COMPUTED_VALUE"""),45031.9300840509)</f>
        <v>45031.93008</v>
      </c>
      <c r="D10680" s="15">
        <f>IFERROR(__xludf.DUMMYFUNCTION("""COMPUTED_VALUE"""),1.057)</f>
        <v>1.057</v>
      </c>
      <c r="E10680" s="16">
        <f>IFERROR(__xludf.DUMMYFUNCTION("""COMPUTED_VALUE"""),65.0)</f>
        <v>65</v>
      </c>
      <c r="F10680" s="19" t="str">
        <f>IFERROR(__xludf.DUMMYFUNCTION("""COMPUTED_VALUE"""),"BLUE")</f>
        <v>BLUE</v>
      </c>
      <c r="G10680" s="20" t="str">
        <f>IFERROR(__xludf.DUMMYFUNCTION("""COMPUTED_VALUE"""),"Uncle Sams Cider (04/04/2023)")</f>
        <v>Uncle Sams Cider (04/04/2023)</v>
      </c>
      <c r="H10680" s="19"/>
    </row>
    <row r="10681">
      <c r="A10681" s="9"/>
      <c r="B10681" s="15"/>
      <c r="C10681" s="9">
        <f>IFERROR(__xludf.DUMMYFUNCTION("""COMPUTED_VALUE"""),45031.9196626041)</f>
        <v>45031.91966</v>
      </c>
      <c r="D10681" s="15">
        <f>IFERROR(__xludf.DUMMYFUNCTION("""COMPUTED_VALUE"""),1.057)</f>
        <v>1.057</v>
      </c>
      <c r="E10681" s="16">
        <f>IFERROR(__xludf.DUMMYFUNCTION("""COMPUTED_VALUE"""),64.0)</f>
        <v>64</v>
      </c>
      <c r="F10681" s="19" t="str">
        <f>IFERROR(__xludf.DUMMYFUNCTION("""COMPUTED_VALUE"""),"BLUE")</f>
        <v>BLUE</v>
      </c>
      <c r="G10681" s="20" t="str">
        <f>IFERROR(__xludf.DUMMYFUNCTION("""COMPUTED_VALUE"""),"Uncle Sams Cider (04/04/2023)")</f>
        <v>Uncle Sams Cider (04/04/2023)</v>
      </c>
      <c r="H10681" s="19"/>
    </row>
    <row r="10682">
      <c r="A10682" s="9"/>
      <c r="B10682" s="15"/>
      <c r="C10682" s="9">
        <f>IFERROR(__xludf.DUMMYFUNCTION("""COMPUTED_VALUE"""),45031.9092419097)</f>
        <v>45031.90924</v>
      </c>
      <c r="D10682" s="15">
        <f>IFERROR(__xludf.DUMMYFUNCTION("""COMPUTED_VALUE"""),1.057)</f>
        <v>1.057</v>
      </c>
      <c r="E10682" s="16">
        <f>IFERROR(__xludf.DUMMYFUNCTION("""COMPUTED_VALUE"""),65.0)</f>
        <v>65</v>
      </c>
      <c r="F10682" s="19" t="str">
        <f>IFERROR(__xludf.DUMMYFUNCTION("""COMPUTED_VALUE"""),"BLUE")</f>
        <v>BLUE</v>
      </c>
      <c r="G10682" s="20" t="str">
        <f>IFERROR(__xludf.DUMMYFUNCTION("""COMPUTED_VALUE"""),"Uncle Sams Cider (04/04/2023)")</f>
        <v>Uncle Sams Cider (04/04/2023)</v>
      </c>
      <c r="H10682" s="19"/>
    </row>
    <row r="10683">
      <c r="A10683" s="9"/>
      <c r="B10683" s="15"/>
      <c r="C10683" s="9">
        <f>IFERROR(__xludf.DUMMYFUNCTION("""COMPUTED_VALUE"""),45031.8988194097)</f>
        <v>45031.89882</v>
      </c>
      <c r="D10683" s="15">
        <f>IFERROR(__xludf.DUMMYFUNCTION("""COMPUTED_VALUE"""),1.057)</f>
        <v>1.057</v>
      </c>
      <c r="E10683" s="16">
        <f>IFERROR(__xludf.DUMMYFUNCTION("""COMPUTED_VALUE"""),64.0)</f>
        <v>64</v>
      </c>
      <c r="F10683" s="19" t="str">
        <f>IFERROR(__xludf.DUMMYFUNCTION("""COMPUTED_VALUE"""),"BLUE")</f>
        <v>BLUE</v>
      </c>
      <c r="G10683" s="20" t="str">
        <f>IFERROR(__xludf.DUMMYFUNCTION("""COMPUTED_VALUE"""),"Uncle Sams Cider (04/04/2023)")</f>
        <v>Uncle Sams Cider (04/04/2023)</v>
      </c>
      <c r="H10683" s="19"/>
    </row>
    <row r="10684">
      <c r="A10684" s="9"/>
      <c r="B10684" s="15"/>
      <c r="C10684" s="9">
        <f>IFERROR(__xludf.DUMMYFUNCTION("""COMPUTED_VALUE"""),45031.8883865277)</f>
        <v>45031.88839</v>
      </c>
      <c r="D10684" s="15">
        <f>IFERROR(__xludf.DUMMYFUNCTION("""COMPUTED_VALUE"""),1.057)</f>
        <v>1.057</v>
      </c>
      <c r="E10684" s="16">
        <f>IFERROR(__xludf.DUMMYFUNCTION("""COMPUTED_VALUE"""),65.0)</f>
        <v>65</v>
      </c>
      <c r="F10684" s="19" t="str">
        <f>IFERROR(__xludf.DUMMYFUNCTION("""COMPUTED_VALUE"""),"BLUE")</f>
        <v>BLUE</v>
      </c>
      <c r="G10684" s="20" t="str">
        <f>IFERROR(__xludf.DUMMYFUNCTION("""COMPUTED_VALUE"""),"Uncle Sams Cider (04/04/2023)")</f>
        <v>Uncle Sams Cider (04/04/2023)</v>
      </c>
      <c r="H10684" s="19"/>
    </row>
    <row r="10685">
      <c r="A10685" s="9"/>
      <c r="B10685" s="15"/>
      <c r="C10685" s="9">
        <f>IFERROR(__xludf.DUMMYFUNCTION("""COMPUTED_VALUE"""),45031.8779664814)</f>
        <v>45031.87797</v>
      </c>
      <c r="D10685" s="15">
        <f>IFERROR(__xludf.DUMMYFUNCTION("""COMPUTED_VALUE"""),1.057)</f>
        <v>1.057</v>
      </c>
      <c r="E10685" s="16">
        <f>IFERROR(__xludf.DUMMYFUNCTION("""COMPUTED_VALUE"""),65.0)</f>
        <v>65</v>
      </c>
      <c r="F10685" s="19" t="str">
        <f>IFERROR(__xludf.DUMMYFUNCTION("""COMPUTED_VALUE"""),"BLUE")</f>
        <v>BLUE</v>
      </c>
      <c r="G10685" s="20" t="str">
        <f>IFERROR(__xludf.DUMMYFUNCTION("""COMPUTED_VALUE"""),"Uncle Sams Cider (04/04/2023)")</f>
        <v>Uncle Sams Cider (04/04/2023)</v>
      </c>
      <c r="H10685" s="19"/>
    </row>
    <row r="10686">
      <c r="A10686" s="9"/>
      <c r="B10686" s="15"/>
      <c r="C10686" s="9">
        <f>IFERROR(__xludf.DUMMYFUNCTION("""COMPUTED_VALUE"""),45031.8675464351)</f>
        <v>45031.86755</v>
      </c>
      <c r="D10686" s="15">
        <f>IFERROR(__xludf.DUMMYFUNCTION("""COMPUTED_VALUE"""),1.057)</f>
        <v>1.057</v>
      </c>
      <c r="E10686" s="16">
        <f>IFERROR(__xludf.DUMMYFUNCTION("""COMPUTED_VALUE"""),64.0)</f>
        <v>64</v>
      </c>
      <c r="F10686" s="19" t="str">
        <f>IFERROR(__xludf.DUMMYFUNCTION("""COMPUTED_VALUE"""),"BLUE")</f>
        <v>BLUE</v>
      </c>
      <c r="G10686" s="20" t="str">
        <f>IFERROR(__xludf.DUMMYFUNCTION("""COMPUTED_VALUE"""),"Uncle Sams Cider (04/04/2023)")</f>
        <v>Uncle Sams Cider (04/04/2023)</v>
      </c>
      <c r="H10686" s="19"/>
    </row>
    <row r="10687">
      <c r="A10687" s="9"/>
      <c r="B10687" s="15"/>
      <c r="C10687" s="9">
        <f>IFERROR(__xludf.DUMMYFUNCTION("""COMPUTED_VALUE"""),45031.8571250694)</f>
        <v>45031.85713</v>
      </c>
      <c r="D10687" s="15">
        <f>IFERROR(__xludf.DUMMYFUNCTION("""COMPUTED_VALUE"""),1.057)</f>
        <v>1.057</v>
      </c>
      <c r="E10687" s="16">
        <f>IFERROR(__xludf.DUMMYFUNCTION("""COMPUTED_VALUE"""),65.0)</f>
        <v>65</v>
      </c>
      <c r="F10687" s="19" t="str">
        <f>IFERROR(__xludf.DUMMYFUNCTION("""COMPUTED_VALUE"""),"BLUE")</f>
        <v>BLUE</v>
      </c>
      <c r="G10687" s="20" t="str">
        <f>IFERROR(__xludf.DUMMYFUNCTION("""COMPUTED_VALUE"""),"Uncle Sams Cider (04/04/2023)")</f>
        <v>Uncle Sams Cider (04/04/2023)</v>
      </c>
      <c r="H10687" s="19"/>
    </row>
    <row r="10688">
      <c r="A10688" s="9"/>
      <c r="B10688" s="15"/>
      <c r="C10688" s="9">
        <f>IFERROR(__xludf.DUMMYFUNCTION("""COMPUTED_VALUE"""),45031.8467042361)</f>
        <v>45031.8467</v>
      </c>
      <c r="D10688" s="15">
        <f>IFERROR(__xludf.DUMMYFUNCTION("""COMPUTED_VALUE"""),1.057)</f>
        <v>1.057</v>
      </c>
      <c r="E10688" s="16">
        <f>IFERROR(__xludf.DUMMYFUNCTION("""COMPUTED_VALUE"""),65.0)</f>
        <v>65</v>
      </c>
      <c r="F10688" s="19" t="str">
        <f>IFERROR(__xludf.DUMMYFUNCTION("""COMPUTED_VALUE"""),"BLUE")</f>
        <v>BLUE</v>
      </c>
      <c r="G10688" s="20" t="str">
        <f>IFERROR(__xludf.DUMMYFUNCTION("""COMPUTED_VALUE"""),"Uncle Sams Cider (04/04/2023)")</f>
        <v>Uncle Sams Cider (04/04/2023)</v>
      </c>
      <c r="H10688" s="19"/>
    </row>
    <row r="10689">
      <c r="A10689" s="9"/>
      <c r="B10689" s="15"/>
      <c r="C10689" s="9">
        <f>IFERROR(__xludf.DUMMYFUNCTION("""COMPUTED_VALUE"""),45031.8362838888)</f>
        <v>45031.83628</v>
      </c>
      <c r="D10689" s="15">
        <f>IFERROR(__xludf.DUMMYFUNCTION("""COMPUTED_VALUE"""),1.057)</f>
        <v>1.057</v>
      </c>
      <c r="E10689" s="16">
        <f>IFERROR(__xludf.DUMMYFUNCTION("""COMPUTED_VALUE"""),65.0)</f>
        <v>65</v>
      </c>
      <c r="F10689" s="19" t="str">
        <f>IFERROR(__xludf.DUMMYFUNCTION("""COMPUTED_VALUE"""),"BLUE")</f>
        <v>BLUE</v>
      </c>
      <c r="G10689" s="20" t="str">
        <f>IFERROR(__xludf.DUMMYFUNCTION("""COMPUTED_VALUE"""),"Uncle Sams Cider (04/04/2023)")</f>
        <v>Uncle Sams Cider (04/04/2023)</v>
      </c>
      <c r="H10689" s="19"/>
    </row>
    <row r="10690">
      <c r="A10690" s="9"/>
      <c r="B10690" s="15"/>
      <c r="C10690" s="9">
        <f>IFERROR(__xludf.DUMMYFUNCTION("""COMPUTED_VALUE"""),45031.8258620717)</f>
        <v>45031.82586</v>
      </c>
      <c r="D10690" s="15">
        <f>IFERROR(__xludf.DUMMYFUNCTION("""COMPUTED_VALUE"""),1.057)</f>
        <v>1.057</v>
      </c>
      <c r="E10690" s="16">
        <f>IFERROR(__xludf.DUMMYFUNCTION("""COMPUTED_VALUE"""),64.0)</f>
        <v>64</v>
      </c>
      <c r="F10690" s="19" t="str">
        <f>IFERROR(__xludf.DUMMYFUNCTION("""COMPUTED_VALUE"""),"BLUE")</f>
        <v>BLUE</v>
      </c>
      <c r="G10690" s="20" t="str">
        <f>IFERROR(__xludf.DUMMYFUNCTION("""COMPUTED_VALUE"""),"Uncle Sams Cider (04/04/2023)")</f>
        <v>Uncle Sams Cider (04/04/2023)</v>
      </c>
      <c r="H10690" s="19"/>
    </row>
    <row r="10691">
      <c r="A10691" s="9"/>
      <c r="B10691" s="15"/>
      <c r="C10691" s="9">
        <f>IFERROR(__xludf.DUMMYFUNCTION("""COMPUTED_VALUE"""),45031.8154411458)</f>
        <v>45031.81544</v>
      </c>
      <c r="D10691" s="15">
        <f>IFERROR(__xludf.DUMMYFUNCTION("""COMPUTED_VALUE"""),1.057)</f>
        <v>1.057</v>
      </c>
      <c r="E10691" s="16">
        <f>IFERROR(__xludf.DUMMYFUNCTION("""COMPUTED_VALUE"""),64.0)</f>
        <v>64</v>
      </c>
      <c r="F10691" s="19" t="str">
        <f>IFERROR(__xludf.DUMMYFUNCTION("""COMPUTED_VALUE"""),"BLUE")</f>
        <v>BLUE</v>
      </c>
      <c r="G10691" s="20" t="str">
        <f>IFERROR(__xludf.DUMMYFUNCTION("""COMPUTED_VALUE"""),"Uncle Sams Cider (04/04/2023)")</f>
        <v>Uncle Sams Cider (04/04/2023)</v>
      </c>
      <c r="H10691" s="19"/>
    </row>
    <row r="10692">
      <c r="A10692" s="9"/>
      <c r="B10692" s="15"/>
      <c r="C10692" s="9">
        <f>IFERROR(__xludf.DUMMYFUNCTION("""COMPUTED_VALUE"""),45031.8050190162)</f>
        <v>45031.80502</v>
      </c>
      <c r="D10692" s="15">
        <f>IFERROR(__xludf.DUMMYFUNCTION("""COMPUTED_VALUE"""),1.057)</f>
        <v>1.057</v>
      </c>
      <c r="E10692" s="16">
        <f>IFERROR(__xludf.DUMMYFUNCTION("""COMPUTED_VALUE"""),65.0)</f>
        <v>65</v>
      </c>
      <c r="F10692" s="19" t="str">
        <f>IFERROR(__xludf.DUMMYFUNCTION("""COMPUTED_VALUE"""),"BLUE")</f>
        <v>BLUE</v>
      </c>
      <c r="G10692" s="20" t="str">
        <f>IFERROR(__xludf.DUMMYFUNCTION("""COMPUTED_VALUE"""),"Uncle Sams Cider (04/04/2023)")</f>
        <v>Uncle Sams Cider (04/04/2023)</v>
      </c>
      <c r="H10692" s="19"/>
    </row>
    <row r="10693">
      <c r="A10693" s="9"/>
      <c r="B10693" s="15"/>
      <c r="C10693" s="9">
        <f>IFERROR(__xludf.DUMMYFUNCTION("""COMPUTED_VALUE"""),45031.7945848958)</f>
        <v>45031.79458</v>
      </c>
      <c r="D10693" s="15">
        <f>IFERROR(__xludf.DUMMYFUNCTION("""COMPUTED_VALUE"""),1.057)</f>
        <v>1.057</v>
      </c>
      <c r="E10693" s="16">
        <f>IFERROR(__xludf.DUMMYFUNCTION("""COMPUTED_VALUE"""),64.0)</f>
        <v>64</v>
      </c>
      <c r="F10693" s="19" t="str">
        <f>IFERROR(__xludf.DUMMYFUNCTION("""COMPUTED_VALUE"""),"BLUE")</f>
        <v>BLUE</v>
      </c>
      <c r="G10693" s="20" t="str">
        <f>IFERROR(__xludf.DUMMYFUNCTION("""COMPUTED_VALUE"""),"Uncle Sams Cider (04/04/2023)")</f>
        <v>Uncle Sams Cider (04/04/2023)</v>
      </c>
      <c r="H10693" s="19"/>
    </row>
    <row r="10694">
      <c r="A10694" s="9"/>
      <c r="B10694" s="15"/>
      <c r="C10694" s="9">
        <f>IFERROR(__xludf.DUMMYFUNCTION("""COMPUTED_VALUE"""),45031.78416375)</f>
        <v>45031.78416</v>
      </c>
      <c r="D10694" s="15">
        <f>IFERROR(__xludf.DUMMYFUNCTION("""COMPUTED_VALUE"""),1.057)</f>
        <v>1.057</v>
      </c>
      <c r="E10694" s="16">
        <f>IFERROR(__xludf.DUMMYFUNCTION("""COMPUTED_VALUE"""),65.0)</f>
        <v>65</v>
      </c>
      <c r="F10694" s="19" t="str">
        <f>IFERROR(__xludf.DUMMYFUNCTION("""COMPUTED_VALUE"""),"BLUE")</f>
        <v>BLUE</v>
      </c>
      <c r="G10694" s="20" t="str">
        <f>IFERROR(__xludf.DUMMYFUNCTION("""COMPUTED_VALUE"""),"Uncle Sams Cider (04/04/2023)")</f>
        <v>Uncle Sams Cider (04/04/2023)</v>
      </c>
      <c r="H10694" s="19"/>
    </row>
    <row r="10695">
      <c r="A10695" s="9"/>
      <c r="B10695" s="15"/>
      <c r="C10695" s="9">
        <f>IFERROR(__xludf.DUMMYFUNCTION("""COMPUTED_VALUE"""),45031.7737443287)</f>
        <v>45031.77374</v>
      </c>
      <c r="D10695" s="15">
        <f>IFERROR(__xludf.DUMMYFUNCTION("""COMPUTED_VALUE"""),1.057)</f>
        <v>1.057</v>
      </c>
      <c r="E10695" s="16">
        <f>IFERROR(__xludf.DUMMYFUNCTION("""COMPUTED_VALUE"""),65.0)</f>
        <v>65</v>
      </c>
      <c r="F10695" s="19" t="str">
        <f>IFERROR(__xludf.DUMMYFUNCTION("""COMPUTED_VALUE"""),"BLUE")</f>
        <v>BLUE</v>
      </c>
      <c r="G10695" s="20" t="str">
        <f>IFERROR(__xludf.DUMMYFUNCTION("""COMPUTED_VALUE"""),"Uncle Sams Cider (04/04/2023)")</f>
        <v>Uncle Sams Cider (04/04/2023)</v>
      </c>
      <c r="H10695" s="19"/>
    </row>
    <row r="10696">
      <c r="A10696" s="9"/>
      <c r="B10696" s="15"/>
      <c r="C10696" s="9">
        <f>IFERROR(__xludf.DUMMYFUNCTION("""COMPUTED_VALUE"""),45031.7633242129)</f>
        <v>45031.76332</v>
      </c>
      <c r="D10696" s="15">
        <f>IFERROR(__xludf.DUMMYFUNCTION("""COMPUTED_VALUE"""),1.057)</f>
        <v>1.057</v>
      </c>
      <c r="E10696" s="16">
        <f>IFERROR(__xludf.DUMMYFUNCTION("""COMPUTED_VALUE"""),65.0)</f>
        <v>65</v>
      </c>
      <c r="F10696" s="19" t="str">
        <f>IFERROR(__xludf.DUMMYFUNCTION("""COMPUTED_VALUE"""),"BLUE")</f>
        <v>BLUE</v>
      </c>
      <c r="G10696" s="20" t="str">
        <f>IFERROR(__xludf.DUMMYFUNCTION("""COMPUTED_VALUE"""),"Uncle Sams Cider (04/04/2023)")</f>
        <v>Uncle Sams Cider (04/04/2023)</v>
      </c>
      <c r="H10696" s="19"/>
    </row>
    <row r="10697">
      <c r="A10697" s="9"/>
      <c r="B10697" s="15"/>
      <c r="C10697" s="9">
        <f>IFERROR(__xludf.DUMMYFUNCTION("""COMPUTED_VALUE"""),45031.7529041666)</f>
        <v>45031.7529</v>
      </c>
      <c r="D10697" s="15">
        <f>IFERROR(__xludf.DUMMYFUNCTION("""COMPUTED_VALUE"""),1.057)</f>
        <v>1.057</v>
      </c>
      <c r="E10697" s="16">
        <f>IFERROR(__xludf.DUMMYFUNCTION("""COMPUTED_VALUE"""),64.0)</f>
        <v>64</v>
      </c>
      <c r="F10697" s="19" t="str">
        <f>IFERROR(__xludf.DUMMYFUNCTION("""COMPUTED_VALUE"""),"BLUE")</f>
        <v>BLUE</v>
      </c>
      <c r="G10697" s="20" t="str">
        <f>IFERROR(__xludf.DUMMYFUNCTION("""COMPUTED_VALUE"""),"Uncle Sams Cider (04/04/2023)")</f>
        <v>Uncle Sams Cider (04/04/2023)</v>
      </c>
      <c r="H10697" s="19"/>
    </row>
    <row r="10698">
      <c r="A10698" s="9"/>
      <c r="B10698" s="15"/>
      <c r="C10698" s="9">
        <f>IFERROR(__xludf.DUMMYFUNCTION("""COMPUTED_VALUE"""),45031.7424843171)</f>
        <v>45031.74248</v>
      </c>
      <c r="D10698" s="15">
        <f>IFERROR(__xludf.DUMMYFUNCTION("""COMPUTED_VALUE"""),1.057)</f>
        <v>1.057</v>
      </c>
      <c r="E10698" s="16">
        <f>IFERROR(__xludf.DUMMYFUNCTION("""COMPUTED_VALUE"""),64.0)</f>
        <v>64</v>
      </c>
      <c r="F10698" s="19" t="str">
        <f>IFERROR(__xludf.DUMMYFUNCTION("""COMPUTED_VALUE"""),"BLUE")</f>
        <v>BLUE</v>
      </c>
      <c r="G10698" s="20" t="str">
        <f>IFERROR(__xludf.DUMMYFUNCTION("""COMPUTED_VALUE"""),"Uncle Sams Cider (04/04/2023)")</f>
        <v>Uncle Sams Cider (04/04/2023)</v>
      </c>
      <c r="H10698" s="19"/>
    </row>
    <row r="10699">
      <c r="A10699" s="9"/>
      <c r="B10699" s="15"/>
      <c r="C10699" s="9">
        <f>IFERROR(__xludf.DUMMYFUNCTION("""COMPUTED_VALUE"""),45031.7320626388)</f>
        <v>45031.73206</v>
      </c>
      <c r="D10699" s="15">
        <f>IFERROR(__xludf.DUMMYFUNCTION("""COMPUTED_VALUE"""),1.057)</f>
        <v>1.057</v>
      </c>
      <c r="E10699" s="16">
        <f>IFERROR(__xludf.DUMMYFUNCTION("""COMPUTED_VALUE"""),65.0)</f>
        <v>65</v>
      </c>
      <c r="F10699" s="19" t="str">
        <f>IFERROR(__xludf.DUMMYFUNCTION("""COMPUTED_VALUE"""),"BLUE")</f>
        <v>BLUE</v>
      </c>
      <c r="G10699" s="20" t="str">
        <f>IFERROR(__xludf.DUMMYFUNCTION("""COMPUTED_VALUE"""),"Uncle Sams Cider (04/04/2023)")</f>
        <v>Uncle Sams Cider (04/04/2023)</v>
      </c>
      <c r="H10699" s="19"/>
    </row>
    <row r="10700">
      <c r="A10700" s="9"/>
      <c r="B10700" s="15"/>
      <c r="C10700" s="9">
        <f>IFERROR(__xludf.DUMMYFUNCTION("""COMPUTED_VALUE"""),45031.7216296527)</f>
        <v>45031.72163</v>
      </c>
      <c r="D10700" s="15">
        <f>IFERROR(__xludf.DUMMYFUNCTION("""COMPUTED_VALUE"""),1.058)</f>
        <v>1.058</v>
      </c>
      <c r="E10700" s="16">
        <f>IFERROR(__xludf.DUMMYFUNCTION("""COMPUTED_VALUE"""),64.0)</f>
        <v>64</v>
      </c>
      <c r="F10700" s="19" t="str">
        <f>IFERROR(__xludf.DUMMYFUNCTION("""COMPUTED_VALUE"""),"BLUE")</f>
        <v>BLUE</v>
      </c>
      <c r="G10700" s="20" t="str">
        <f>IFERROR(__xludf.DUMMYFUNCTION("""COMPUTED_VALUE"""),"Uncle Sams Cider (04/04/2023)")</f>
        <v>Uncle Sams Cider (04/04/2023)</v>
      </c>
      <c r="H10700" s="19"/>
    </row>
    <row r="10701">
      <c r="A10701" s="9"/>
      <c r="B10701" s="15"/>
      <c r="C10701" s="9">
        <f>IFERROR(__xludf.DUMMYFUNCTION("""COMPUTED_VALUE"""),45031.7112077662)</f>
        <v>45031.71121</v>
      </c>
      <c r="D10701" s="15">
        <f>IFERROR(__xludf.DUMMYFUNCTION("""COMPUTED_VALUE"""),1.058)</f>
        <v>1.058</v>
      </c>
      <c r="E10701" s="16">
        <f>IFERROR(__xludf.DUMMYFUNCTION("""COMPUTED_VALUE"""),64.0)</f>
        <v>64</v>
      </c>
      <c r="F10701" s="19" t="str">
        <f>IFERROR(__xludf.DUMMYFUNCTION("""COMPUTED_VALUE"""),"BLUE")</f>
        <v>BLUE</v>
      </c>
      <c r="G10701" s="20" t="str">
        <f>IFERROR(__xludf.DUMMYFUNCTION("""COMPUTED_VALUE"""),"Uncle Sams Cider (04/04/2023)")</f>
        <v>Uncle Sams Cider (04/04/2023)</v>
      </c>
      <c r="H10701" s="19"/>
    </row>
    <row r="10702">
      <c r="A10702" s="9"/>
      <c r="B10702" s="15"/>
      <c r="C10702" s="9">
        <f>IFERROR(__xludf.DUMMYFUNCTION("""COMPUTED_VALUE"""),45031.7007855902)</f>
        <v>45031.70079</v>
      </c>
      <c r="D10702" s="15">
        <f>IFERROR(__xludf.DUMMYFUNCTION("""COMPUTED_VALUE"""),1.058)</f>
        <v>1.058</v>
      </c>
      <c r="E10702" s="16">
        <f>IFERROR(__xludf.DUMMYFUNCTION("""COMPUTED_VALUE"""),64.0)</f>
        <v>64</v>
      </c>
      <c r="F10702" s="19" t="str">
        <f>IFERROR(__xludf.DUMMYFUNCTION("""COMPUTED_VALUE"""),"BLUE")</f>
        <v>BLUE</v>
      </c>
      <c r="G10702" s="20" t="str">
        <f>IFERROR(__xludf.DUMMYFUNCTION("""COMPUTED_VALUE"""),"Uncle Sams Cider (04/04/2023)")</f>
        <v>Uncle Sams Cider (04/04/2023)</v>
      </c>
      <c r="H10702" s="19"/>
    </row>
    <row r="10703">
      <c r="A10703" s="9"/>
      <c r="B10703" s="15"/>
      <c r="C10703" s="9">
        <f>IFERROR(__xludf.DUMMYFUNCTION("""COMPUTED_VALUE"""),45031.6903650347)</f>
        <v>45031.69037</v>
      </c>
      <c r="D10703" s="15">
        <f>IFERROR(__xludf.DUMMYFUNCTION("""COMPUTED_VALUE"""),1.058)</f>
        <v>1.058</v>
      </c>
      <c r="E10703" s="16">
        <f>IFERROR(__xludf.DUMMYFUNCTION("""COMPUTED_VALUE"""),64.0)</f>
        <v>64</v>
      </c>
      <c r="F10703" s="19" t="str">
        <f>IFERROR(__xludf.DUMMYFUNCTION("""COMPUTED_VALUE"""),"BLUE")</f>
        <v>BLUE</v>
      </c>
      <c r="G10703" s="20" t="str">
        <f>IFERROR(__xludf.DUMMYFUNCTION("""COMPUTED_VALUE"""),"Uncle Sams Cider (04/04/2023)")</f>
        <v>Uncle Sams Cider (04/04/2023)</v>
      </c>
      <c r="H10703" s="19"/>
    </row>
    <row r="10704">
      <c r="A10704" s="9"/>
      <c r="B10704" s="15"/>
      <c r="C10704" s="9">
        <f>IFERROR(__xludf.DUMMYFUNCTION("""COMPUTED_VALUE"""),45031.6799426851)</f>
        <v>45031.67994</v>
      </c>
      <c r="D10704" s="15">
        <f>IFERROR(__xludf.DUMMYFUNCTION("""COMPUTED_VALUE"""),1.058)</f>
        <v>1.058</v>
      </c>
      <c r="E10704" s="16">
        <f>IFERROR(__xludf.DUMMYFUNCTION("""COMPUTED_VALUE"""),64.0)</f>
        <v>64</v>
      </c>
      <c r="F10704" s="19" t="str">
        <f>IFERROR(__xludf.DUMMYFUNCTION("""COMPUTED_VALUE"""),"BLUE")</f>
        <v>BLUE</v>
      </c>
      <c r="G10704" s="20" t="str">
        <f>IFERROR(__xludf.DUMMYFUNCTION("""COMPUTED_VALUE"""),"Uncle Sams Cider (04/04/2023)")</f>
        <v>Uncle Sams Cider (04/04/2023)</v>
      </c>
      <c r="H10704" s="19"/>
    </row>
    <row r="10705">
      <c r="A10705" s="9"/>
      <c r="B10705" s="15"/>
      <c r="C10705" s="9">
        <f>IFERROR(__xludf.DUMMYFUNCTION("""COMPUTED_VALUE"""),45031.6695098726)</f>
        <v>45031.66951</v>
      </c>
      <c r="D10705" s="15">
        <f>IFERROR(__xludf.DUMMYFUNCTION("""COMPUTED_VALUE"""),1.058)</f>
        <v>1.058</v>
      </c>
      <c r="E10705" s="16">
        <f>IFERROR(__xludf.DUMMYFUNCTION("""COMPUTED_VALUE"""),64.0)</f>
        <v>64</v>
      </c>
      <c r="F10705" s="19" t="str">
        <f>IFERROR(__xludf.DUMMYFUNCTION("""COMPUTED_VALUE"""),"BLUE")</f>
        <v>BLUE</v>
      </c>
      <c r="G10705" s="20" t="str">
        <f>IFERROR(__xludf.DUMMYFUNCTION("""COMPUTED_VALUE"""),"Uncle Sams Cider (04/04/2023)")</f>
        <v>Uncle Sams Cider (04/04/2023)</v>
      </c>
      <c r="H10705" s="19"/>
    </row>
    <row r="10706">
      <c r="A10706" s="9"/>
      <c r="B10706" s="15"/>
      <c r="C10706" s="9">
        <f>IFERROR(__xludf.DUMMYFUNCTION("""COMPUTED_VALUE"""),45031.6590873263)</f>
        <v>45031.65909</v>
      </c>
      <c r="D10706" s="15">
        <f>IFERROR(__xludf.DUMMYFUNCTION("""COMPUTED_VALUE"""),1.058)</f>
        <v>1.058</v>
      </c>
      <c r="E10706" s="16">
        <f>IFERROR(__xludf.DUMMYFUNCTION("""COMPUTED_VALUE"""),64.0)</f>
        <v>64</v>
      </c>
      <c r="F10706" s="19" t="str">
        <f>IFERROR(__xludf.DUMMYFUNCTION("""COMPUTED_VALUE"""),"BLUE")</f>
        <v>BLUE</v>
      </c>
      <c r="G10706" s="20" t="str">
        <f>IFERROR(__xludf.DUMMYFUNCTION("""COMPUTED_VALUE"""),"Uncle Sams Cider (04/04/2023)")</f>
        <v>Uncle Sams Cider (04/04/2023)</v>
      </c>
      <c r="H10706" s="19"/>
    </row>
    <row r="10707">
      <c r="A10707" s="9"/>
      <c r="B10707" s="15"/>
      <c r="C10707" s="9">
        <f>IFERROR(__xludf.DUMMYFUNCTION("""COMPUTED_VALUE"""),45031.6486554976)</f>
        <v>45031.64866</v>
      </c>
      <c r="D10707" s="15">
        <f>IFERROR(__xludf.DUMMYFUNCTION("""COMPUTED_VALUE"""),1.058)</f>
        <v>1.058</v>
      </c>
      <c r="E10707" s="16">
        <f>IFERROR(__xludf.DUMMYFUNCTION("""COMPUTED_VALUE"""),64.0)</f>
        <v>64</v>
      </c>
      <c r="F10707" s="19" t="str">
        <f>IFERROR(__xludf.DUMMYFUNCTION("""COMPUTED_VALUE"""),"BLUE")</f>
        <v>BLUE</v>
      </c>
      <c r="G10707" s="20" t="str">
        <f>IFERROR(__xludf.DUMMYFUNCTION("""COMPUTED_VALUE"""),"Uncle Sams Cider (04/04/2023)")</f>
        <v>Uncle Sams Cider (04/04/2023)</v>
      </c>
      <c r="H10707" s="19"/>
    </row>
    <row r="10708">
      <c r="A10708" s="9"/>
      <c r="B10708" s="15"/>
      <c r="C10708" s="9">
        <f>IFERROR(__xludf.DUMMYFUNCTION("""COMPUTED_VALUE"""),45031.638220949)</f>
        <v>45031.63822</v>
      </c>
      <c r="D10708" s="15">
        <f>IFERROR(__xludf.DUMMYFUNCTION("""COMPUTED_VALUE"""),1.058)</f>
        <v>1.058</v>
      </c>
      <c r="E10708" s="16">
        <f>IFERROR(__xludf.DUMMYFUNCTION("""COMPUTED_VALUE"""),64.0)</f>
        <v>64</v>
      </c>
      <c r="F10708" s="19" t="str">
        <f>IFERROR(__xludf.DUMMYFUNCTION("""COMPUTED_VALUE"""),"BLUE")</f>
        <v>BLUE</v>
      </c>
      <c r="G10708" s="20" t="str">
        <f>IFERROR(__xludf.DUMMYFUNCTION("""COMPUTED_VALUE"""),"Uncle Sams Cider (04/04/2023)")</f>
        <v>Uncle Sams Cider (04/04/2023)</v>
      </c>
      <c r="H10708" s="19"/>
    </row>
    <row r="10709">
      <c r="A10709" s="9"/>
      <c r="B10709" s="15"/>
      <c r="C10709" s="9">
        <f>IFERROR(__xludf.DUMMYFUNCTION("""COMPUTED_VALUE"""),45031.6277999768)</f>
        <v>45031.6278</v>
      </c>
      <c r="D10709" s="15">
        <f>IFERROR(__xludf.DUMMYFUNCTION("""COMPUTED_VALUE"""),1.058)</f>
        <v>1.058</v>
      </c>
      <c r="E10709" s="16">
        <f>IFERROR(__xludf.DUMMYFUNCTION("""COMPUTED_VALUE"""),64.0)</f>
        <v>64</v>
      </c>
      <c r="F10709" s="19" t="str">
        <f>IFERROR(__xludf.DUMMYFUNCTION("""COMPUTED_VALUE"""),"BLUE")</f>
        <v>BLUE</v>
      </c>
      <c r="G10709" s="20" t="str">
        <f>IFERROR(__xludf.DUMMYFUNCTION("""COMPUTED_VALUE"""),"Uncle Sams Cider (04/04/2023)")</f>
        <v>Uncle Sams Cider (04/04/2023)</v>
      </c>
      <c r="H10709" s="19"/>
    </row>
    <row r="10710">
      <c r="A10710" s="9"/>
      <c r="B10710" s="15"/>
      <c r="C10710" s="9">
        <f>IFERROR(__xludf.DUMMYFUNCTION("""COMPUTED_VALUE"""),45031.6173777777)</f>
        <v>45031.61738</v>
      </c>
      <c r="D10710" s="15">
        <f>IFERROR(__xludf.DUMMYFUNCTION("""COMPUTED_VALUE"""),1.058)</f>
        <v>1.058</v>
      </c>
      <c r="E10710" s="16">
        <f>IFERROR(__xludf.DUMMYFUNCTION("""COMPUTED_VALUE"""),64.0)</f>
        <v>64</v>
      </c>
      <c r="F10710" s="19" t="str">
        <f>IFERROR(__xludf.DUMMYFUNCTION("""COMPUTED_VALUE"""),"BLUE")</f>
        <v>BLUE</v>
      </c>
      <c r="G10710" s="20" t="str">
        <f>IFERROR(__xludf.DUMMYFUNCTION("""COMPUTED_VALUE"""),"Uncle Sams Cider (04/04/2023)")</f>
        <v>Uncle Sams Cider (04/04/2023)</v>
      </c>
      <c r="H10710" s="19"/>
    </row>
    <row r="10711">
      <c r="A10711" s="9"/>
      <c r="B10711" s="15"/>
      <c r="C10711" s="9">
        <f>IFERROR(__xludf.DUMMYFUNCTION("""COMPUTED_VALUE"""),45031.6069574652)</f>
        <v>45031.60696</v>
      </c>
      <c r="D10711" s="15">
        <f>IFERROR(__xludf.DUMMYFUNCTION("""COMPUTED_VALUE"""),1.058)</f>
        <v>1.058</v>
      </c>
      <c r="E10711" s="16">
        <f>IFERROR(__xludf.DUMMYFUNCTION("""COMPUTED_VALUE"""),64.0)</f>
        <v>64</v>
      </c>
      <c r="F10711" s="19" t="str">
        <f>IFERROR(__xludf.DUMMYFUNCTION("""COMPUTED_VALUE"""),"BLUE")</f>
        <v>BLUE</v>
      </c>
      <c r="G10711" s="20" t="str">
        <f>IFERROR(__xludf.DUMMYFUNCTION("""COMPUTED_VALUE"""),"Uncle Sams Cider (04/04/2023)")</f>
        <v>Uncle Sams Cider (04/04/2023)</v>
      </c>
      <c r="H10711" s="19"/>
    </row>
    <row r="10712">
      <c r="A10712" s="9"/>
      <c r="B10712" s="15"/>
      <c r="C10712" s="9">
        <f>IFERROR(__xludf.DUMMYFUNCTION("""COMPUTED_VALUE"""),45031.5965254976)</f>
        <v>45031.59653</v>
      </c>
      <c r="D10712" s="15">
        <f>IFERROR(__xludf.DUMMYFUNCTION("""COMPUTED_VALUE"""),1.058)</f>
        <v>1.058</v>
      </c>
      <c r="E10712" s="16">
        <f>IFERROR(__xludf.DUMMYFUNCTION("""COMPUTED_VALUE"""),64.0)</f>
        <v>64</v>
      </c>
      <c r="F10712" s="19" t="str">
        <f>IFERROR(__xludf.DUMMYFUNCTION("""COMPUTED_VALUE"""),"BLUE")</f>
        <v>BLUE</v>
      </c>
      <c r="G10712" s="20" t="str">
        <f>IFERROR(__xludf.DUMMYFUNCTION("""COMPUTED_VALUE"""),"Uncle Sams Cider (04/04/2023)")</f>
        <v>Uncle Sams Cider (04/04/2023)</v>
      </c>
      <c r="H10712" s="19"/>
    </row>
    <row r="10713">
      <c r="A10713" s="9"/>
      <c r="B10713" s="15"/>
      <c r="C10713" s="9">
        <f>IFERROR(__xludf.DUMMYFUNCTION("""COMPUTED_VALUE"""),45031.586104699)</f>
        <v>45031.5861</v>
      </c>
      <c r="D10713" s="15">
        <f>IFERROR(__xludf.DUMMYFUNCTION("""COMPUTED_VALUE"""),1.058)</f>
        <v>1.058</v>
      </c>
      <c r="E10713" s="16">
        <f>IFERROR(__xludf.DUMMYFUNCTION("""COMPUTED_VALUE"""),64.0)</f>
        <v>64</v>
      </c>
      <c r="F10713" s="19" t="str">
        <f>IFERROR(__xludf.DUMMYFUNCTION("""COMPUTED_VALUE"""),"BLUE")</f>
        <v>BLUE</v>
      </c>
      <c r="G10713" s="20" t="str">
        <f>IFERROR(__xludf.DUMMYFUNCTION("""COMPUTED_VALUE"""),"Uncle Sams Cider (04/04/2023)")</f>
        <v>Uncle Sams Cider (04/04/2023)</v>
      </c>
      <c r="H10713" s="19"/>
    </row>
    <row r="10714">
      <c r="A10714" s="9"/>
      <c r="B10714" s="15"/>
      <c r="C10714" s="9">
        <f>IFERROR(__xludf.DUMMYFUNCTION("""COMPUTED_VALUE"""),45031.5756825578)</f>
        <v>45031.57568</v>
      </c>
      <c r="D10714" s="15">
        <f>IFERROR(__xludf.DUMMYFUNCTION("""COMPUTED_VALUE"""),1.058)</f>
        <v>1.058</v>
      </c>
      <c r="E10714" s="16">
        <f>IFERROR(__xludf.DUMMYFUNCTION("""COMPUTED_VALUE"""),64.0)</f>
        <v>64</v>
      </c>
      <c r="F10714" s="19" t="str">
        <f>IFERROR(__xludf.DUMMYFUNCTION("""COMPUTED_VALUE"""),"BLUE")</f>
        <v>BLUE</v>
      </c>
      <c r="G10714" s="20" t="str">
        <f>IFERROR(__xludf.DUMMYFUNCTION("""COMPUTED_VALUE"""),"Uncle Sams Cider (04/04/2023)")</f>
        <v>Uncle Sams Cider (04/04/2023)</v>
      </c>
      <c r="H10714" s="19"/>
    </row>
    <row r="10715">
      <c r="A10715" s="9"/>
      <c r="B10715" s="15"/>
      <c r="C10715" s="9">
        <f>IFERROR(__xludf.DUMMYFUNCTION("""COMPUTED_VALUE"""),45031.5652627662)</f>
        <v>45031.56526</v>
      </c>
      <c r="D10715" s="15">
        <f>IFERROR(__xludf.DUMMYFUNCTION("""COMPUTED_VALUE"""),1.058)</f>
        <v>1.058</v>
      </c>
      <c r="E10715" s="16">
        <f>IFERROR(__xludf.DUMMYFUNCTION("""COMPUTED_VALUE"""),64.0)</f>
        <v>64</v>
      </c>
      <c r="F10715" s="19" t="str">
        <f>IFERROR(__xludf.DUMMYFUNCTION("""COMPUTED_VALUE"""),"BLUE")</f>
        <v>BLUE</v>
      </c>
      <c r="G10715" s="20" t="str">
        <f>IFERROR(__xludf.DUMMYFUNCTION("""COMPUTED_VALUE"""),"Uncle Sams Cider (04/04/2023)")</f>
        <v>Uncle Sams Cider (04/04/2023)</v>
      </c>
      <c r="H10715" s="19"/>
    </row>
    <row r="10716">
      <c r="A10716" s="9"/>
      <c r="B10716" s="15"/>
      <c r="C10716" s="9">
        <f>IFERROR(__xludf.DUMMYFUNCTION("""COMPUTED_VALUE"""),45031.5548409606)</f>
        <v>45031.55484</v>
      </c>
      <c r="D10716" s="15">
        <f>IFERROR(__xludf.DUMMYFUNCTION("""COMPUTED_VALUE"""),1.058)</f>
        <v>1.058</v>
      </c>
      <c r="E10716" s="16">
        <f>IFERROR(__xludf.DUMMYFUNCTION("""COMPUTED_VALUE"""),64.0)</f>
        <v>64</v>
      </c>
      <c r="F10716" s="19" t="str">
        <f>IFERROR(__xludf.DUMMYFUNCTION("""COMPUTED_VALUE"""),"BLUE")</f>
        <v>BLUE</v>
      </c>
      <c r="G10716" s="20" t="str">
        <f>IFERROR(__xludf.DUMMYFUNCTION("""COMPUTED_VALUE"""),"Uncle Sams Cider (04/04/2023)")</f>
        <v>Uncle Sams Cider (04/04/2023)</v>
      </c>
      <c r="H10716" s="19"/>
    </row>
    <row r="10717">
      <c r="A10717" s="9"/>
      <c r="B10717" s="15"/>
      <c r="C10717" s="9">
        <f>IFERROR(__xludf.DUMMYFUNCTION("""COMPUTED_VALUE"""),45031.5443946875)</f>
        <v>45031.54439</v>
      </c>
      <c r="D10717" s="15">
        <f>IFERROR(__xludf.DUMMYFUNCTION("""COMPUTED_VALUE"""),1.058)</f>
        <v>1.058</v>
      </c>
      <c r="E10717" s="16">
        <f>IFERROR(__xludf.DUMMYFUNCTION("""COMPUTED_VALUE"""),64.0)</f>
        <v>64</v>
      </c>
      <c r="F10717" s="19" t="str">
        <f>IFERROR(__xludf.DUMMYFUNCTION("""COMPUTED_VALUE"""),"BLUE")</f>
        <v>BLUE</v>
      </c>
      <c r="G10717" s="20" t="str">
        <f>IFERROR(__xludf.DUMMYFUNCTION("""COMPUTED_VALUE"""),"Uncle Sams Cider (04/04/2023)")</f>
        <v>Uncle Sams Cider (04/04/2023)</v>
      </c>
      <c r="H10717" s="19"/>
    </row>
    <row r="10718">
      <c r="A10718" s="9"/>
      <c r="B10718" s="15"/>
      <c r="C10718" s="9">
        <f>IFERROR(__xludf.DUMMYFUNCTION("""COMPUTED_VALUE"""),45031.5339622453)</f>
        <v>45031.53396</v>
      </c>
      <c r="D10718" s="15">
        <f>IFERROR(__xludf.DUMMYFUNCTION("""COMPUTED_VALUE"""),1.058)</f>
        <v>1.058</v>
      </c>
      <c r="E10718" s="16">
        <f>IFERROR(__xludf.DUMMYFUNCTION("""COMPUTED_VALUE"""),64.0)</f>
        <v>64</v>
      </c>
      <c r="F10718" s="19" t="str">
        <f>IFERROR(__xludf.DUMMYFUNCTION("""COMPUTED_VALUE"""),"BLUE")</f>
        <v>BLUE</v>
      </c>
      <c r="G10718" s="20" t="str">
        <f>IFERROR(__xludf.DUMMYFUNCTION("""COMPUTED_VALUE"""),"Uncle Sams Cider (04/04/2023)")</f>
        <v>Uncle Sams Cider (04/04/2023)</v>
      </c>
      <c r="H10718" s="19"/>
    </row>
    <row r="10719">
      <c r="A10719" s="9"/>
      <c r="B10719" s="15"/>
      <c r="C10719" s="9">
        <f>IFERROR(__xludf.DUMMYFUNCTION("""COMPUTED_VALUE"""),45031.5235297569)</f>
        <v>45031.52353</v>
      </c>
      <c r="D10719" s="15">
        <f>IFERROR(__xludf.DUMMYFUNCTION("""COMPUTED_VALUE"""),1.058)</f>
        <v>1.058</v>
      </c>
      <c r="E10719" s="16">
        <f>IFERROR(__xludf.DUMMYFUNCTION("""COMPUTED_VALUE"""),64.0)</f>
        <v>64</v>
      </c>
      <c r="F10719" s="19" t="str">
        <f>IFERROR(__xludf.DUMMYFUNCTION("""COMPUTED_VALUE"""),"BLUE")</f>
        <v>BLUE</v>
      </c>
      <c r="G10719" s="20" t="str">
        <f>IFERROR(__xludf.DUMMYFUNCTION("""COMPUTED_VALUE"""),"Uncle Sams Cider (04/04/2023)")</f>
        <v>Uncle Sams Cider (04/04/2023)</v>
      </c>
      <c r="H10719" s="19"/>
    </row>
    <row r="10720">
      <c r="A10720" s="9"/>
      <c r="B10720" s="15"/>
      <c r="C10720" s="9">
        <f>IFERROR(__xludf.DUMMYFUNCTION("""COMPUTED_VALUE"""),45031.5131077314)</f>
        <v>45031.51311</v>
      </c>
      <c r="D10720" s="15">
        <f>IFERROR(__xludf.DUMMYFUNCTION("""COMPUTED_VALUE"""),1.058)</f>
        <v>1.058</v>
      </c>
      <c r="E10720" s="16">
        <f>IFERROR(__xludf.DUMMYFUNCTION("""COMPUTED_VALUE"""),64.0)</f>
        <v>64</v>
      </c>
      <c r="F10720" s="19" t="str">
        <f>IFERROR(__xludf.DUMMYFUNCTION("""COMPUTED_VALUE"""),"BLUE")</f>
        <v>BLUE</v>
      </c>
      <c r="G10720" s="20" t="str">
        <f>IFERROR(__xludf.DUMMYFUNCTION("""COMPUTED_VALUE"""),"Uncle Sams Cider (04/04/2023)")</f>
        <v>Uncle Sams Cider (04/04/2023)</v>
      </c>
      <c r="H10720" s="19"/>
    </row>
    <row r="10721">
      <c r="A10721" s="9"/>
      <c r="B10721" s="15"/>
      <c r="C10721" s="9">
        <f>IFERROR(__xludf.DUMMYFUNCTION("""COMPUTED_VALUE"""),45031.5026748495)</f>
        <v>45031.50267</v>
      </c>
      <c r="D10721" s="15">
        <f>IFERROR(__xludf.DUMMYFUNCTION("""COMPUTED_VALUE"""),1.058)</f>
        <v>1.058</v>
      </c>
      <c r="E10721" s="16">
        <f>IFERROR(__xludf.DUMMYFUNCTION("""COMPUTED_VALUE"""),64.0)</f>
        <v>64</v>
      </c>
      <c r="F10721" s="19" t="str">
        <f>IFERROR(__xludf.DUMMYFUNCTION("""COMPUTED_VALUE"""),"BLUE")</f>
        <v>BLUE</v>
      </c>
      <c r="G10721" s="20" t="str">
        <f>IFERROR(__xludf.DUMMYFUNCTION("""COMPUTED_VALUE"""),"Uncle Sams Cider (04/04/2023)")</f>
        <v>Uncle Sams Cider (04/04/2023)</v>
      </c>
      <c r="H10721" s="19"/>
    </row>
    <row r="10722">
      <c r="A10722" s="9"/>
      <c r="B10722" s="15"/>
      <c r="C10722" s="9">
        <f>IFERROR(__xludf.DUMMYFUNCTION("""COMPUTED_VALUE"""),45031.4922431944)</f>
        <v>45031.49224</v>
      </c>
      <c r="D10722" s="15">
        <f>IFERROR(__xludf.DUMMYFUNCTION("""COMPUTED_VALUE"""),1.058)</f>
        <v>1.058</v>
      </c>
      <c r="E10722" s="16">
        <f>IFERROR(__xludf.DUMMYFUNCTION("""COMPUTED_VALUE"""),64.0)</f>
        <v>64</v>
      </c>
      <c r="F10722" s="19" t="str">
        <f>IFERROR(__xludf.DUMMYFUNCTION("""COMPUTED_VALUE"""),"BLUE")</f>
        <v>BLUE</v>
      </c>
      <c r="G10722" s="20" t="str">
        <f>IFERROR(__xludf.DUMMYFUNCTION("""COMPUTED_VALUE"""),"Uncle Sams Cider (04/04/2023)")</f>
        <v>Uncle Sams Cider (04/04/2023)</v>
      </c>
      <c r="H10722" s="19"/>
    </row>
    <row r="10723">
      <c r="A10723" s="9"/>
      <c r="B10723" s="15"/>
      <c r="C10723" s="9">
        <f>IFERROR(__xludf.DUMMYFUNCTION("""COMPUTED_VALUE"""),45031.4818227083)</f>
        <v>45031.48182</v>
      </c>
      <c r="D10723" s="15">
        <f>IFERROR(__xludf.DUMMYFUNCTION("""COMPUTED_VALUE"""),1.058)</f>
        <v>1.058</v>
      </c>
      <c r="E10723" s="16">
        <f>IFERROR(__xludf.DUMMYFUNCTION("""COMPUTED_VALUE"""),64.0)</f>
        <v>64</v>
      </c>
      <c r="F10723" s="19" t="str">
        <f>IFERROR(__xludf.DUMMYFUNCTION("""COMPUTED_VALUE"""),"BLUE")</f>
        <v>BLUE</v>
      </c>
      <c r="G10723" s="20" t="str">
        <f>IFERROR(__xludf.DUMMYFUNCTION("""COMPUTED_VALUE"""),"Uncle Sams Cider (04/04/2023)")</f>
        <v>Uncle Sams Cider (04/04/2023)</v>
      </c>
      <c r="H10723" s="19"/>
    </row>
    <row r="10724">
      <c r="A10724" s="9"/>
      <c r="B10724" s="15"/>
      <c r="C10724" s="9">
        <f>IFERROR(__xludf.DUMMYFUNCTION("""COMPUTED_VALUE"""),45031.4714023726)</f>
        <v>45031.4714</v>
      </c>
      <c r="D10724" s="15">
        <f>IFERROR(__xludf.DUMMYFUNCTION("""COMPUTED_VALUE"""),1.058)</f>
        <v>1.058</v>
      </c>
      <c r="E10724" s="16">
        <f>IFERROR(__xludf.DUMMYFUNCTION("""COMPUTED_VALUE"""),64.0)</f>
        <v>64</v>
      </c>
      <c r="F10724" s="19" t="str">
        <f>IFERROR(__xludf.DUMMYFUNCTION("""COMPUTED_VALUE"""),"BLUE")</f>
        <v>BLUE</v>
      </c>
      <c r="G10724" s="20" t="str">
        <f>IFERROR(__xludf.DUMMYFUNCTION("""COMPUTED_VALUE"""),"Uncle Sams Cider (04/04/2023)")</f>
        <v>Uncle Sams Cider (04/04/2023)</v>
      </c>
      <c r="H10724" s="19"/>
    </row>
    <row r="10725">
      <c r="A10725" s="9"/>
      <c r="B10725" s="15"/>
      <c r="C10725" s="9">
        <f>IFERROR(__xludf.DUMMYFUNCTION("""COMPUTED_VALUE"""),45031.4609819444)</f>
        <v>45031.46098</v>
      </c>
      <c r="D10725" s="15">
        <f>IFERROR(__xludf.DUMMYFUNCTION("""COMPUTED_VALUE"""),1.058)</f>
        <v>1.058</v>
      </c>
      <c r="E10725" s="16">
        <f>IFERROR(__xludf.DUMMYFUNCTION("""COMPUTED_VALUE"""),64.0)</f>
        <v>64</v>
      </c>
      <c r="F10725" s="19" t="str">
        <f>IFERROR(__xludf.DUMMYFUNCTION("""COMPUTED_VALUE"""),"BLUE")</f>
        <v>BLUE</v>
      </c>
      <c r="G10725" s="20" t="str">
        <f>IFERROR(__xludf.DUMMYFUNCTION("""COMPUTED_VALUE"""),"Uncle Sams Cider (04/04/2023)")</f>
        <v>Uncle Sams Cider (04/04/2023)</v>
      </c>
      <c r="H10725" s="19"/>
    </row>
    <row r="10726">
      <c r="A10726" s="9"/>
      <c r="B10726" s="15"/>
      <c r="C10726" s="9">
        <f>IFERROR(__xludf.DUMMYFUNCTION("""COMPUTED_VALUE"""),45031.4505601736)</f>
        <v>45031.45056</v>
      </c>
      <c r="D10726" s="15">
        <f>IFERROR(__xludf.DUMMYFUNCTION("""COMPUTED_VALUE"""),1.058)</f>
        <v>1.058</v>
      </c>
      <c r="E10726" s="16">
        <f>IFERROR(__xludf.DUMMYFUNCTION("""COMPUTED_VALUE"""),64.0)</f>
        <v>64</v>
      </c>
      <c r="F10726" s="19" t="str">
        <f>IFERROR(__xludf.DUMMYFUNCTION("""COMPUTED_VALUE"""),"BLUE")</f>
        <v>BLUE</v>
      </c>
      <c r="G10726" s="20" t="str">
        <f>IFERROR(__xludf.DUMMYFUNCTION("""COMPUTED_VALUE"""),"Uncle Sams Cider (04/04/2023)")</f>
        <v>Uncle Sams Cider (04/04/2023)</v>
      </c>
      <c r="H10726" s="19"/>
    </row>
    <row r="10727">
      <c r="A10727" s="9"/>
      <c r="B10727" s="15"/>
      <c r="C10727" s="9">
        <f>IFERROR(__xludf.DUMMYFUNCTION("""COMPUTED_VALUE"""),45031.4401397916)</f>
        <v>45031.44014</v>
      </c>
      <c r="D10727" s="15">
        <f>IFERROR(__xludf.DUMMYFUNCTION("""COMPUTED_VALUE"""),1.058)</f>
        <v>1.058</v>
      </c>
      <c r="E10727" s="16">
        <f>IFERROR(__xludf.DUMMYFUNCTION("""COMPUTED_VALUE"""),64.0)</f>
        <v>64</v>
      </c>
      <c r="F10727" s="19" t="str">
        <f>IFERROR(__xludf.DUMMYFUNCTION("""COMPUTED_VALUE"""),"BLUE")</f>
        <v>BLUE</v>
      </c>
      <c r="G10727" s="20" t="str">
        <f>IFERROR(__xludf.DUMMYFUNCTION("""COMPUTED_VALUE"""),"Uncle Sams Cider (04/04/2023)")</f>
        <v>Uncle Sams Cider (04/04/2023)</v>
      </c>
      <c r="H10727" s="19"/>
    </row>
    <row r="10728">
      <c r="A10728" s="9"/>
      <c r="B10728" s="15"/>
      <c r="C10728" s="9">
        <f>IFERROR(__xludf.DUMMYFUNCTION("""COMPUTED_VALUE"""),45031.429719155)</f>
        <v>45031.42972</v>
      </c>
      <c r="D10728" s="15">
        <f>IFERROR(__xludf.DUMMYFUNCTION("""COMPUTED_VALUE"""),1.058)</f>
        <v>1.058</v>
      </c>
      <c r="E10728" s="16">
        <f>IFERROR(__xludf.DUMMYFUNCTION("""COMPUTED_VALUE"""),64.0)</f>
        <v>64</v>
      </c>
      <c r="F10728" s="19" t="str">
        <f>IFERROR(__xludf.DUMMYFUNCTION("""COMPUTED_VALUE"""),"BLUE")</f>
        <v>BLUE</v>
      </c>
      <c r="G10728" s="20" t="str">
        <f>IFERROR(__xludf.DUMMYFUNCTION("""COMPUTED_VALUE"""),"Uncle Sams Cider (04/04/2023)")</f>
        <v>Uncle Sams Cider (04/04/2023)</v>
      </c>
      <c r="H10728" s="19"/>
    </row>
    <row r="10729">
      <c r="A10729" s="9"/>
      <c r="B10729" s="15"/>
      <c r="C10729" s="9">
        <f>IFERROR(__xludf.DUMMYFUNCTION("""COMPUTED_VALUE"""),45031.4192986342)</f>
        <v>45031.4193</v>
      </c>
      <c r="D10729" s="15">
        <f>IFERROR(__xludf.DUMMYFUNCTION("""COMPUTED_VALUE"""),1.058)</f>
        <v>1.058</v>
      </c>
      <c r="E10729" s="16">
        <f>IFERROR(__xludf.DUMMYFUNCTION("""COMPUTED_VALUE"""),64.0)</f>
        <v>64</v>
      </c>
      <c r="F10729" s="19" t="str">
        <f>IFERROR(__xludf.DUMMYFUNCTION("""COMPUTED_VALUE"""),"BLUE")</f>
        <v>BLUE</v>
      </c>
      <c r="G10729" s="20" t="str">
        <f>IFERROR(__xludf.DUMMYFUNCTION("""COMPUTED_VALUE"""),"Uncle Sams Cider (04/04/2023)")</f>
        <v>Uncle Sams Cider (04/04/2023)</v>
      </c>
      <c r="H10729" s="19"/>
    </row>
    <row r="10730">
      <c r="A10730" s="9"/>
      <c r="B10730" s="15"/>
      <c r="C10730" s="9">
        <f>IFERROR(__xludf.DUMMYFUNCTION("""COMPUTED_VALUE"""),45031.4088774421)</f>
        <v>45031.40888</v>
      </c>
      <c r="D10730" s="15">
        <f>IFERROR(__xludf.DUMMYFUNCTION("""COMPUTED_VALUE"""),1.058)</f>
        <v>1.058</v>
      </c>
      <c r="E10730" s="16">
        <f>IFERROR(__xludf.DUMMYFUNCTION("""COMPUTED_VALUE"""),64.0)</f>
        <v>64</v>
      </c>
      <c r="F10730" s="19" t="str">
        <f>IFERROR(__xludf.DUMMYFUNCTION("""COMPUTED_VALUE"""),"BLUE")</f>
        <v>BLUE</v>
      </c>
      <c r="G10730" s="20" t="str">
        <f>IFERROR(__xludf.DUMMYFUNCTION("""COMPUTED_VALUE"""),"Uncle Sams Cider (04/04/2023)")</f>
        <v>Uncle Sams Cider (04/04/2023)</v>
      </c>
      <c r="H10730" s="19"/>
    </row>
    <row r="10731">
      <c r="A10731" s="9"/>
      <c r="B10731" s="15"/>
      <c r="C10731" s="9">
        <f>IFERROR(__xludf.DUMMYFUNCTION("""COMPUTED_VALUE"""),45031.3984567129)</f>
        <v>45031.39846</v>
      </c>
      <c r="D10731" s="15">
        <f>IFERROR(__xludf.DUMMYFUNCTION("""COMPUTED_VALUE"""),1.059)</f>
        <v>1.059</v>
      </c>
      <c r="E10731" s="16">
        <f>IFERROR(__xludf.DUMMYFUNCTION("""COMPUTED_VALUE"""),64.0)</f>
        <v>64</v>
      </c>
      <c r="F10731" s="19" t="str">
        <f>IFERROR(__xludf.DUMMYFUNCTION("""COMPUTED_VALUE"""),"BLUE")</f>
        <v>BLUE</v>
      </c>
      <c r="G10731" s="20" t="str">
        <f>IFERROR(__xludf.DUMMYFUNCTION("""COMPUTED_VALUE"""),"Uncle Sams Cider (04/04/2023)")</f>
        <v>Uncle Sams Cider (04/04/2023)</v>
      </c>
      <c r="H10731" s="19"/>
    </row>
    <row r="10732">
      <c r="A10732" s="9"/>
      <c r="B10732" s="15"/>
      <c r="C10732" s="9">
        <f>IFERROR(__xludf.DUMMYFUNCTION("""COMPUTED_VALUE"""),45031.3880363657)</f>
        <v>45031.38804</v>
      </c>
      <c r="D10732" s="15">
        <f>IFERROR(__xludf.DUMMYFUNCTION("""COMPUTED_VALUE"""),1.059)</f>
        <v>1.059</v>
      </c>
      <c r="E10732" s="16">
        <f>IFERROR(__xludf.DUMMYFUNCTION("""COMPUTED_VALUE"""),64.0)</f>
        <v>64</v>
      </c>
      <c r="F10732" s="19" t="str">
        <f>IFERROR(__xludf.DUMMYFUNCTION("""COMPUTED_VALUE"""),"BLUE")</f>
        <v>BLUE</v>
      </c>
      <c r="G10732" s="20" t="str">
        <f>IFERROR(__xludf.DUMMYFUNCTION("""COMPUTED_VALUE"""),"Uncle Sams Cider (04/04/2023)")</f>
        <v>Uncle Sams Cider (04/04/2023)</v>
      </c>
      <c r="H10732" s="19"/>
    </row>
    <row r="10733">
      <c r="A10733" s="9"/>
      <c r="B10733" s="15"/>
      <c r="C10733" s="9">
        <f>IFERROR(__xludf.DUMMYFUNCTION("""COMPUTED_VALUE"""),45031.3776169907)</f>
        <v>45031.37762</v>
      </c>
      <c r="D10733" s="15">
        <f>IFERROR(__xludf.DUMMYFUNCTION("""COMPUTED_VALUE"""),1.059)</f>
        <v>1.059</v>
      </c>
      <c r="E10733" s="16">
        <f>IFERROR(__xludf.DUMMYFUNCTION("""COMPUTED_VALUE"""),64.0)</f>
        <v>64</v>
      </c>
      <c r="F10733" s="19" t="str">
        <f>IFERROR(__xludf.DUMMYFUNCTION("""COMPUTED_VALUE"""),"BLUE")</f>
        <v>BLUE</v>
      </c>
      <c r="G10733" s="20" t="str">
        <f>IFERROR(__xludf.DUMMYFUNCTION("""COMPUTED_VALUE"""),"Uncle Sams Cider (04/04/2023)")</f>
        <v>Uncle Sams Cider (04/04/2023)</v>
      </c>
      <c r="H10733" s="19"/>
    </row>
    <row r="10734">
      <c r="A10734" s="9"/>
      <c r="B10734" s="15"/>
      <c r="C10734" s="9">
        <f>IFERROR(__xludf.DUMMYFUNCTION("""COMPUTED_VALUE"""),45031.3671951967)</f>
        <v>45031.3672</v>
      </c>
      <c r="D10734" s="15">
        <f>IFERROR(__xludf.DUMMYFUNCTION("""COMPUTED_VALUE"""),1.059)</f>
        <v>1.059</v>
      </c>
      <c r="E10734" s="16">
        <f>IFERROR(__xludf.DUMMYFUNCTION("""COMPUTED_VALUE"""),64.0)</f>
        <v>64</v>
      </c>
      <c r="F10734" s="19" t="str">
        <f>IFERROR(__xludf.DUMMYFUNCTION("""COMPUTED_VALUE"""),"BLUE")</f>
        <v>BLUE</v>
      </c>
      <c r="G10734" s="20" t="str">
        <f>IFERROR(__xludf.DUMMYFUNCTION("""COMPUTED_VALUE"""),"Uncle Sams Cider (04/04/2023)")</f>
        <v>Uncle Sams Cider (04/04/2023)</v>
      </c>
      <c r="H10734" s="19"/>
    </row>
    <row r="10735">
      <c r="A10735" s="9"/>
      <c r="B10735" s="15"/>
      <c r="C10735" s="9">
        <f>IFERROR(__xludf.DUMMYFUNCTION("""COMPUTED_VALUE"""),45031.3567736921)</f>
        <v>45031.35677</v>
      </c>
      <c r="D10735" s="15">
        <f>IFERROR(__xludf.DUMMYFUNCTION("""COMPUTED_VALUE"""),1.059)</f>
        <v>1.059</v>
      </c>
      <c r="E10735" s="16">
        <f>IFERROR(__xludf.DUMMYFUNCTION("""COMPUTED_VALUE"""),64.0)</f>
        <v>64</v>
      </c>
      <c r="F10735" s="19" t="str">
        <f>IFERROR(__xludf.DUMMYFUNCTION("""COMPUTED_VALUE"""),"BLUE")</f>
        <v>BLUE</v>
      </c>
      <c r="G10735" s="20" t="str">
        <f>IFERROR(__xludf.DUMMYFUNCTION("""COMPUTED_VALUE"""),"Uncle Sams Cider (04/04/2023)")</f>
        <v>Uncle Sams Cider (04/04/2023)</v>
      </c>
      <c r="H10735" s="19"/>
    </row>
    <row r="10736">
      <c r="A10736" s="9"/>
      <c r="B10736" s="15"/>
      <c r="C10736" s="9">
        <f>IFERROR(__xludf.DUMMYFUNCTION("""COMPUTED_VALUE"""),45031.3463485185)</f>
        <v>45031.34635</v>
      </c>
      <c r="D10736" s="15">
        <f>IFERROR(__xludf.DUMMYFUNCTION("""COMPUTED_VALUE"""),1.059)</f>
        <v>1.059</v>
      </c>
      <c r="E10736" s="16">
        <f>IFERROR(__xludf.DUMMYFUNCTION("""COMPUTED_VALUE"""),64.0)</f>
        <v>64</v>
      </c>
      <c r="F10736" s="19" t="str">
        <f>IFERROR(__xludf.DUMMYFUNCTION("""COMPUTED_VALUE"""),"BLUE")</f>
        <v>BLUE</v>
      </c>
      <c r="G10736" s="20" t="str">
        <f>IFERROR(__xludf.DUMMYFUNCTION("""COMPUTED_VALUE"""),"Uncle Sams Cider (04/04/2023)")</f>
        <v>Uncle Sams Cider (04/04/2023)</v>
      </c>
      <c r="H10736" s="19"/>
    </row>
    <row r="10737">
      <c r="A10737" s="9"/>
      <c r="B10737" s="15"/>
      <c r="C10737" s="9">
        <f>IFERROR(__xludf.DUMMYFUNCTION("""COMPUTED_VALUE"""),45031.3359149652)</f>
        <v>45031.33591</v>
      </c>
      <c r="D10737" s="15">
        <f>IFERROR(__xludf.DUMMYFUNCTION("""COMPUTED_VALUE"""),1.059)</f>
        <v>1.059</v>
      </c>
      <c r="E10737" s="16">
        <f>IFERROR(__xludf.DUMMYFUNCTION("""COMPUTED_VALUE"""),64.0)</f>
        <v>64</v>
      </c>
      <c r="F10737" s="19" t="str">
        <f>IFERROR(__xludf.DUMMYFUNCTION("""COMPUTED_VALUE"""),"BLUE")</f>
        <v>BLUE</v>
      </c>
      <c r="G10737" s="20" t="str">
        <f>IFERROR(__xludf.DUMMYFUNCTION("""COMPUTED_VALUE"""),"Uncle Sams Cider (04/04/2023)")</f>
        <v>Uncle Sams Cider (04/04/2023)</v>
      </c>
      <c r="H10737" s="19"/>
    </row>
    <row r="10738">
      <c r="A10738" s="9"/>
      <c r="B10738" s="15"/>
      <c r="C10738" s="9">
        <f>IFERROR(__xludf.DUMMYFUNCTION("""COMPUTED_VALUE"""),45031.3254936226)</f>
        <v>45031.32549</v>
      </c>
      <c r="D10738" s="15">
        <f>IFERROR(__xludf.DUMMYFUNCTION("""COMPUTED_VALUE"""),1.059)</f>
        <v>1.059</v>
      </c>
      <c r="E10738" s="16">
        <f>IFERROR(__xludf.DUMMYFUNCTION("""COMPUTED_VALUE"""),64.0)</f>
        <v>64</v>
      </c>
      <c r="F10738" s="19" t="str">
        <f>IFERROR(__xludf.DUMMYFUNCTION("""COMPUTED_VALUE"""),"BLUE")</f>
        <v>BLUE</v>
      </c>
      <c r="G10738" s="20" t="str">
        <f>IFERROR(__xludf.DUMMYFUNCTION("""COMPUTED_VALUE"""),"Uncle Sams Cider (04/04/2023)")</f>
        <v>Uncle Sams Cider (04/04/2023)</v>
      </c>
      <c r="H10738" s="19"/>
    </row>
    <row r="10739">
      <c r="A10739" s="9"/>
      <c r="B10739" s="15"/>
      <c r="C10739" s="9">
        <f>IFERROR(__xludf.DUMMYFUNCTION("""COMPUTED_VALUE"""),45031.3150494676)</f>
        <v>45031.31505</v>
      </c>
      <c r="D10739" s="15">
        <f>IFERROR(__xludf.DUMMYFUNCTION("""COMPUTED_VALUE"""),1.059)</f>
        <v>1.059</v>
      </c>
      <c r="E10739" s="16">
        <f>IFERROR(__xludf.DUMMYFUNCTION("""COMPUTED_VALUE"""),64.0)</f>
        <v>64</v>
      </c>
      <c r="F10739" s="19" t="str">
        <f>IFERROR(__xludf.DUMMYFUNCTION("""COMPUTED_VALUE"""),"BLUE")</f>
        <v>BLUE</v>
      </c>
      <c r="G10739" s="20" t="str">
        <f>IFERROR(__xludf.DUMMYFUNCTION("""COMPUTED_VALUE"""),"Uncle Sams Cider (04/04/2023)")</f>
        <v>Uncle Sams Cider (04/04/2023)</v>
      </c>
      <c r="H10739" s="19"/>
    </row>
    <row r="10740">
      <c r="A10740" s="9"/>
      <c r="B10740" s="15"/>
      <c r="C10740" s="9">
        <f>IFERROR(__xludf.DUMMYFUNCTION("""COMPUTED_VALUE"""),45031.3046287731)</f>
        <v>45031.30463</v>
      </c>
      <c r="D10740" s="15">
        <f>IFERROR(__xludf.DUMMYFUNCTION("""COMPUTED_VALUE"""),1.059)</f>
        <v>1.059</v>
      </c>
      <c r="E10740" s="16">
        <f>IFERROR(__xludf.DUMMYFUNCTION("""COMPUTED_VALUE"""),64.0)</f>
        <v>64</v>
      </c>
      <c r="F10740" s="19" t="str">
        <f>IFERROR(__xludf.DUMMYFUNCTION("""COMPUTED_VALUE"""),"BLUE")</f>
        <v>BLUE</v>
      </c>
      <c r="G10740" s="20" t="str">
        <f>IFERROR(__xludf.DUMMYFUNCTION("""COMPUTED_VALUE"""),"Uncle Sams Cider (04/04/2023)")</f>
        <v>Uncle Sams Cider (04/04/2023)</v>
      </c>
      <c r="H10740" s="19"/>
    </row>
    <row r="10741">
      <c r="A10741" s="9"/>
      <c r="B10741" s="15"/>
      <c r="C10741" s="9">
        <f>IFERROR(__xludf.DUMMYFUNCTION("""COMPUTED_VALUE"""),45031.2942065277)</f>
        <v>45031.29421</v>
      </c>
      <c r="D10741" s="15">
        <f>IFERROR(__xludf.DUMMYFUNCTION("""COMPUTED_VALUE"""),1.059)</f>
        <v>1.059</v>
      </c>
      <c r="E10741" s="16">
        <f>IFERROR(__xludf.DUMMYFUNCTION("""COMPUTED_VALUE"""),64.0)</f>
        <v>64</v>
      </c>
      <c r="F10741" s="19" t="str">
        <f>IFERROR(__xludf.DUMMYFUNCTION("""COMPUTED_VALUE"""),"BLUE")</f>
        <v>BLUE</v>
      </c>
      <c r="G10741" s="20" t="str">
        <f>IFERROR(__xludf.DUMMYFUNCTION("""COMPUTED_VALUE"""),"Uncle Sams Cider (04/04/2023)")</f>
        <v>Uncle Sams Cider (04/04/2023)</v>
      </c>
      <c r="H10741" s="19"/>
    </row>
    <row r="10742">
      <c r="A10742" s="9"/>
      <c r="B10742" s="15"/>
      <c r="C10742" s="9">
        <f>IFERROR(__xludf.DUMMYFUNCTION("""COMPUTED_VALUE"""),45031.2837832523)</f>
        <v>45031.28378</v>
      </c>
      <c r="D10742" s="15">
        <f>IFERROR(__xludf.DUMMYFUNCTION("""COMPUTED_VALUE"""),1.059)</f>
        <v>1.059</v>
      </c>
      <c r="E10742" s="16">
        <f>IFERROR(__xludf.DUMMYFUNCTION("""COMPUTED_VALUE"""),64.0)</f>
        <v>64</v>
      </c>
      <c r="F10742" s="19" t="str">
        <f>IFERROR(__xludf.DUMMYFUNCTION("""COMPUTED_VALUE"""),"BLUE")</f>
        <v>BLUE</v>
      </c>
      <c r="G10742" s="20" t="str">
        <f>IFERROR(__xludf.DUMMYFUNCTION("""COMPUTED_VALUE"""),"Uncle Sams Cider (04/04/2023)")</f>
        <v>Uncle Sams Cider (04/04/2023)</v>
      </c>
      <c r="H10742" s="19"/>
    </row>
    <row r="10743">
      <c r="A10743" s="9"/>
      <c r="B10743" s="15"/>
      <c r="C10743" s="9">
        <f>IFERROR(__xludf.DUMMYFUNCTION("""COMPUTED_VALUE"""),45031.2733621064)</f>
        <v>45031.27336</v>
      </c>
      <c r="D10743" s="15">
        <f>IFERROR(__xludf.DUMMYFUNCTION("""COMPUTED_VALUE"""),1.059)</f>
        <v>1.059</v>
      </c>
      <c r="E10743" s="16">
        <f>IFERROR(__xludf.DUMMYFUNCTION("""COMPUTED_VALUE"""),64.0)</f>
        <v>64</v>
      </c>
      <c r="F10743" s="19" t="str">
        <f>IFERROR(__xludf.DUMMYFUNCTION("""COMPUTED_VALUE"""),"BLUE")</f>
        <v>BLUE</v>
      </c>
      <c r="G10743" s="20" t="str">
        <f>IFERROR(__xludf.DUMMYFUNCTION("""COMPUTED_VALUE"""),"Uncle Sams Cider (04/04/2023)")</f>
        <v>Uncle Sams Cider (04/04/2023)</v>
      </c>
      <c r="H10743" s="19"/>
    </row>
    <row r="10744">
      <c r="A10744" s="9"/>
      <c r="B10744" s="15"/>
      <c r="C10744" s="9">
        <f>IFERROR(__xludf.DUMMYFUNCTION("""COMPUTED_VALUE"""),45031.2629293402)</f>
        <v>45031.26293</v>
      </c>
      <c r="D10744" s="15">
        <f>IFERROR(__xludf.DUMMYFUNCTION("""COMPUTED_VALUE"""),1.059)</f>
        <v>1.059</v>
      </c>
      <c r="E10744" s="16">
        <f>IFERROR(__xludf.DUMMYFUNCTION("""COMPUTED_VALUE"""),64.0)</f>
        <v>64</v>
      </c>
      <c r="F10744" s="19" t="str">
        <f>IFERROR(__xludf.DUMMYFUNCTION("""COMPUTED_VALUE"""),"BLUE")</f>
        <v>BLUE</v>
      </c>
      <c r="G10744" s="20" t="str">
        <f>IFERROR(__xludf.DUMMYFUNCTION("""COMPUTED_VALUE"""),"Uncle Sams Cider (04/04/2023)")</f>
        <v>Uncle Sams Cider (04/04/2023)</v>
      </c>
      <c r="H10744" s="19"/>
    </row>
    <row r="10745">
      <c r="A10745" s="9"/>
      <c r="B10745" s="15"/>
      <c r="C10745" s="9">
        <f>IFERROR(__xludf.DUMMYFUNCTION("""COMPUTED_VALUE"""),45031.2525082407)</f>
        <v>45031.25251</v>
      </c>
      <c r="D10745" s="15">
        <f>IFERROR(__xludf.DUMMYFUNCTION("""COMPUTED_VALUE"""),1.059)</f>
        <v>1.059</v>
      </c>
      <c r="E10745" s="16">
        <f>IFERROR(__xludf.DUMMYFUNCTION("""COMPUTED_VALUE"""),64.0)</f>
        <v>64</v>
      </c>
      <c r="F10745" s="19" t="str">
        <f>IFERROR(__xludf.DUMMYFUNCTION("""COMPUTED_VALUE"""),"BLUE")</f>
        <v>BLUE</v>
      </c>
      <c r="G10745" s="20" t="str">
        <f>IFERROR(__xludf.DUMMYFUNCTION("""COMPUTED_VALUE"""),"Uncle Sams Cider (04/04/2023)")</f>
        <v>Uncle Sams Cider (04/04/2023)</v>
      </c>
      <c r="H10745" s="19"/>
    </row>
    <row r="10746">
      <c r="A10746" s="9"/>
      <c r="B10746" s="15"/>
      <c r="C10746" s="9">
        <f>IFERROR(__xludf.DUMMYFUNCTION("""COMPUTED_VALUE"""),45031.2420866088)</f>
        <v>45031.24209</v>
      </c>
      <c r="D10746" s="15">
        <f>IFERROR(__xludf.DUMMYFUNCTION("""COMPUTED_VALUE"""),1.059)</f>
        <v>1.059</v>
      </c>
      <c r="E10746" s="16">
        <f>IFERROR(__xludf.DUMMYFUNCTION("""COMPUTED_VALUE"""),64.0)</f>
        <v>64</v>
      </c>
      <c r="F10746" s="19" t="str">
        <f>IFERROR(__xludf.DUMMYFUNCTION("""COMPUTED_VALUE"""),"BLUE")</f>
        <v>BLUE</v>
      </c>
      <c r="G10746" s="20" t="str">
        <f>IFERROR(__xludf.DUMMYFUNCTION("""COMPUTED_VALUE"""),"Uncle Sams Cider (04/04/2023)")</f>
        <v>Uncle Sams Cider (04/04/2023)</v>
      </c>
      <c r="H10746" s="19"/>
    </row>
    <row r="10747">
      <c r="A10747" s="9"/>
      <c r="B10747" s="15"/>
      <c r="C10747" s="9">
        <f>IFERROR(__xludf.DUMMYFUNCTION("""COMPUTED_VALUE"""),45031.2316645601)</f>
        <v>45031.23166</v>
      </c>
      <c r="D10747" s="15">
        <f>IFERROR(__xludf.DUMMYFUNCTION("""COMPUTED_VALUE"""),1.059)</f>
        <v>1.059</v>
      </c>
      <c r="E10747" s="16">
        <f>IFERROR(__xludf.DUMMYFUNCTION("""COMPUTED_VALUE"""),64.0)</f>
        <v>64</v>
      </c>
      <c r="F10747" s="19" t="str">
        <f>IFERROR(__xludf.DUMMYFUNCTION("""COMPUTED_VALUE"""),"BLUE")</f>
        <v>BLUE</v>
      </c>
      <c r="G10747" s="20" t="str">
        <f>IFERROR(__xludf.DUMMYFUNCTION("""COMPUTED_VALUE"""),"Uncle Sams Cider (04/04/2023)")</f>
        <v>Uncle Sams Cider (04/04/2023)</v>
      </c>
      <c r="H10747" s="19"/>
    </row>
    <row r="10748">
      <c r="A10748" s="9"/>
      <c r="B10748" s="15"/>
      <c r="C10748" s="9">
        <f>IFERROR(__xludf.DUMMYFUNCTION("""COMPUTED_VALUE"""),45031.2212429976)</f>
        <v>45031.22124</v>
      </c>
      <c r="D10748" s="15">
        <f>IFERROR(__xludf.DUMMYFUNCTION("""COMPUTED_VALUE"""),1.059)</f>
        <v>1.059</v>
      </c>
      <c r="E10748" s="16">
        <f>IFERROR(__xludf.DUMMYFUNCTION("""COMPUTED_VALUE"""),64.0)</f>
        <v>64</v>
      </c>
      <c r="F10748" s="19" t="str">
        <f>IFERROR(__xludf.DUMMYFUNCTION("""COMPUTED_VALUE"""),"BLUE")</f>
        <v>BLUE</v>
      </c>
      <c r="G10748" s="20" t="str">
        <f>IFERROR(__xludf.DUMMYFUNCTION("""COMPUTED_VALUE"""),"Uncle Sams Cider (04/04/2023)")</f>
        <v>Uncle Sams Cider (04/04/2023)</v>
      </c>
      <c r="H10748" s="19"/>
    </row>
    <row r="10749">
      <c r="A10749" s="9"/>
      <c r="B10749" s="15"/>
      <c r="C10749" s="9">
        <f>IFERROR(__xludf.DUMMYFUNCTION("""COMPUTED_VALUE"""),45031.2108219907)</f>
        <v>45031.21082</v>
      </c>
      <c r="D10749" s="15">
        <f>IFERROR(__xludf.DUMMYFUNCTION("""COMPUTED_VALUE"""),1.059)</f>
        <v>1.059</v>
      </c>
      <c r="E10749" s="16">
        <f>IFERROR(__xludf.DUMMYFUNCTION("""COMPUTED_VALUE"""),64.0)</f>
        <v>64</v>
      </c>
      <c r="F10749" s="19" t="str">
        <f>IFERROR(__xludf.DUMMYFUNCTION("""COMPUTED_VALUE"""),"BLUE")</f>
        <v>BLUE</v>
      </c>
      <c r="G10749" s="20" t="str">
        <f>IFERROR(__xludf.DUMMYFUNCTION("""COMPUTED_VALUE"""),"Uncle Sams Cider (04/04/2023)")</f>
        <v>Uncle Sams Cider (04/04/2023)</v>
      </c>
      <c r="H10749" s="19"/>
    </row>
    <row r="10750">
      <c r="A10750" s="9"/>
      <c r="B10750" s="15"/>
      <c r="C10750" s="9">
        <f>IFERROR(__xludf.DUMMYFUNCTION("""COMPUTED_VALUE"""),45031.2003995833)</f>
        <v>45031.2004</v>
      </c>
      <c r="D10750" s="15">
        <f>IFERROR(__xludf.DUMMYFUNCTION("""COMPUTED_VALUE"""),1.059)</f>
        <v>1.059</v>
      </c>
      <c r="E10750" s="16">
        <f>IFERROR(__xludf.DUMMYFUNCTION("""COMPUTED_VALUE"""),64.0)</f>
        <v>64</v>
      </c>
      <c r="F10750" s="19" t="str">
        <f>IFERROR(__xludf.DUMMYFUNCTION("""COMPUTED_VALUE"""),"BLUE")</f>
        <v>BLUE</v>
      </c>
      <c r="G10750" s="20" t="str">
        <f>IFERROR(__xludf.DUMMYFUNCTION("""COMPUTED_VALUE"""),"Uncle Sams Cider (04/04/2023)")</f>
        <v>Uncle Sams Cider (04/04/2023)</v>
      </c>
      <c r="H10750" s="19"/>
    </row>
    <row r="10751">
      <c r="A10751" s="9"/>
      <c r="B10751" s="15"/>
      <c r="C10751" s="9">
        <f>IFERROR(__xludf.DUMMYFUNCTION("""COMPUTED_VALUE"""),45031.1899762615)</f>
        <v>45031.18998</v>
      </c>
      <c r="D10751" s="15">
        <f>IFERROR(__xludf.DUMMYFUNCTION("""COMPUTED_VALUE"""),1.059)</f>
        <v>1.059</v>
      </c>
      <c r="E10751" s="16">
        <f>IFERROR(__xludf.DUMMYFUNCTION("""COMPUTED_VALUE"""),64.0)</f>
        <v>64</v>
      </c>
      <c r="F10751" s="19" t="str">
        <f>IFERROR(__xludf.DUMMYFUNCTION("""COMPUTED_VALUE"""),"BLUE")</f>
        <v>BLUE</v>
      </c>
      <c r="G10751" s="20" t="str">
        <f>IFERROR(__xludf.DUMMYFUNCTION("""COMPUTED_VALUE"""),"Uncle Sams Cider (04/04/2023)")</f>
        <v>Uncle Sams Cider (04/04/2023)</v>
      </c>
      <c r="H10751" s="19"/>
    </row>
    <row r="10752">
      <c r="A10752" s="9"/>
      <c r="B10752" s="15"/>
      <c r="C10752" s="9">
        <f>IFERROR(__xludf.DUMMYFUNCTION("""COMPUTED_VALUE"""),45031.1795553935)</f>
        <v>45031.17956</v>
      </c>
      <c r="D10752" s="15">
        <f>IFERROR(__xludf.DUMMYFUNCTION("""COMPUTED_VALUE"""),1.059)</f>
        <v>1.059</v>
      </c>
      <c r="E10752" s="16">
        <f>IFERROR(__xludf.DUMMYFUNCTION("""COMPUTED_VALUE"""),64.0)</f>
        <v>64</v>
      </c>
      <c r="F10752" s="19" t="str">
        <f>IFERROR(__xludf.DUMMYFUNCTION("""COMPUTED_VALUE"""),"BLUE")</f>
        <v>BLUE</v>
      </c>
      <c r="G10752" s="20" t="str">
        <f>IFERROR(__xludf.DUMMYFUNCTION("""COMPUTED_VALUE"""),"Uncle Sams Cider (04/04/2023)")</f>
        <v>Uncle Sams Cider (04/04/2023)</v>
      </c>
      <c r="H10752" s="19"/>
    </row>
    <row r="10753">
      <c r="A10753" s="9"/>
      <c r="B10753" s="15"/>
      <c r="C10753" s="9">
        <f>IFERROR(__xludf.DUMMYFUNCTION("""COMPUTED_VALUE"""),45031.1691351157)</f>
        <v>45031.16914</v>
      </c>
      <c r="D10753" s="15">
        <f>IFERROR(__xludf.DUMMYFUNCTION("""COMPUTED_VALUE"""),1.059)</f>
        <v>1.059</v>
      </c>
      <c r="E10753" s="16">
        <f>IFERROR(__xludf.DUMMYFUNCTION("""COMPUTED_VALUE"""),64.0)</f>
        <v>64</v>
      </c>
      <c r="F10753" s="19" t="str">
        <f>IFERROR(__xludf.DUMMYFUNCTION("""COMPUTED_VALUE"""),"BLUE")</f>
        <v>BLUE</v>
      </c>
      <c r="G10753" s="20" t="str">
        <f>IFERROR(__xludf.DUMMYFUNCTION("""COMPUTED_VALUE"""),"Uncle Sams Cider (04/04/2023)")</f>
        <v>Uncle Sams Cider (04/04/2023)</v>
      </c>
      <c r="H10753" s="19"/>
    </row>
    <row r="10754">
      <c r="A10754" s="9"/>
      <c r="B10754" s="15"/>
      <c r="C10754" s="9">
        <f>IFERROR(__xludf.DUMMYFUNCTION("""COMPUTED_VALUE"""),45031.1587145138)</f>
        <v>45031.15871</v>
      </c>
      <c r="D10754" s="15">
        <f>IFERROR(__xludf.DUMMYFUNCTION("""COMPUTED_VALUE"""),1.06)</f>
        <v>1.06</v>
      </c>
      <c r="E10754" s="16">
        <f>IFERROR(__xludf.DUMMYFUNCTION("""COMPUTED_VALUE"""),64.0)</f>
        <v>64</v>
      </c>
      <c r="F10754" s="19" t="str">
        <f>IFERROR(__xludf.DUMMYFUNCTION("""COMPUTED_VALUE"""),"BLUE")</f>
        <v>BLUE</v>
      </c>
      <c r="G10754" s="20" t="str">
        <f>IFERROR(__xludf.DUMMYFUNCTION("""COMPUTED_VALUE"""),"Uncle Sams Cider (04/04/2023)")</f>
        <v>Uncle Sams Cider (04/04/2023)</v>
      </c>
      <c r="H10754" s="19"/>
    </row>
    <row r="10755">
      <c r="A10755" s="9"/>
      <c r="B10755" s="15"/>
      <c r="C10755" s="9">
        <f>IFERROR(__xludf.DUMMYFUNCTION("""COMPUTED_VALUE"""),45031.1482926157)</f>
        <v>45031.14829</v>
      </c>
      <c r="D10755" s="15">
        <f>IFERROR(__xludf.DUMMYFUNCTION("""COMPUTED_VALUE"""),1.059)</f>
        <v>1.059</v>
      </c>
      <c r="E10755" s="16">
        <f>IFERROR(__xludf.DUMMYFUNCTION("""COMPUTED_VALUE"""),64.0)</f>
        <v>64</v>
      </c>
      <c r="F10755" s="19" t="str">
        <f>IFERROR(__xludf.DUMMYFUNCTION("""COMPUTED_VALUE"""),"BLUE")</f>
        <v>BLUE</v>
      </c>
      <c r="G10755" s="20" t="str">
        <f>IFERROR(__xludf.DUMMYFUNCTION("""COMPUTED_VALUE"""),"Uncle Sams Cider (04/04/2023)")</f>
        <v>Uncle Sams Cider (04/04/2023)</v>
      </c>
      <c r="H10755" s="19"/>
    </row>
    <row r="10756">
      <c r="A10756" s="9"/>
      <c r="B10756" s="15"/>
      <c r="C10756" s="9">
        <f>IFERROR(__xludf.DUMMYFUNCTION("""COMPUTED_VALUE"""),45031.1378719444)</f>
        <v>45031.13787</v>
      </c>
      <c r="D10756" s="15">
        <f>IFERROR(__xludf.DUMMYFUNCTION("""COMPUTED_VALUE"""),1.06)</f>
        <v>1.06</v>
      </c>
      <c r="E10756" s="16">
        <f>IFERROR(__xludf.DUMMYFUNCTION("""COMPUTED_VALUE"""),64.0)</f>
        <v>64</v>
      </c>
      <c r="F10756" s="19" t="str">
        <f>IFERROR(__xludf.DUMMYFUNCTION("""COMPUTED_VALUE"""),"BLUE")</f>
        <v>BLUE</v>
      </c>
      <c r="G10756" s="20" t="str">
        <f>IFERROR(__xludf.DUMMYFUNCTION("""COMPUTED_VALUE"""),"Uncle Sams Cider (04/04/2023)")</f>
        <v>Uncle Sams Cider (04/04/2023)</v>
      </c>
      <c r="H10756" s="19"/>
    </row>
    <row r="10757">
      <c r="A10757" s="9"/>
      <c r="B10757" s="15"/>
      <c r="C10757" s="9">
        <f>IFERROR(__xludf.DUMMYFUNCTION("""COMPUTED_VALUE"""),45031.1274521527)</f>
        <v>45031.12745</v>
      </c>
      <c r="D10757" s="15">
        <f>IFERROR(__xludf.DUMMYFUNCTION("""COMPUTED_VALUE"""),1.06)</f>
        <v>1.06</v>
      </c>
      <c r="E10757" s="16">
        <f>IFERROR(__xludf.DUMMYFUNCTION("""COMPUTED_VALUE"""),64.0)</f>
        <v>64</v>
      </c>
      <c r="F10757" s="19" t="str">
        <f>IFERROR(__xludf.DUMMYFUNCTION("""COMPUTED_VALUE"""),"BLUE")</f>
        <v>BLUE</v>
      </c>
      <c r="G10757" s="20" t="str">
        <f>IFERROR(__xludf.DUMMYFUNCTION("""COMPUTED_VALUE"""),"Uncle Sams Cider (04/04/2023)")</f>
        <v>Uncle Sams Cider (04/04/2023)</v>
      </c>
      <c r="H10757" s="19"/>
    </row>
    <row r="10758">
      <c r="A10758" s="9"/>
      <c r="B10758" s="15"/>
      <c r="C10758" s="9">
        <f>IFERROR(__xludf.DUMMYFUNCTION("""COMPUTED_VALUE"""),45031.1170182523)</f>
        <v>45031.11702</v>
      </c>
      <c r="D10758" s="15">
        <f>IFERROR(__xludf.DUMMYFUNCTION("""COMPUTED_VALUE"""),1.059)</f>
        <v>1.059</v>
      </c>
      <c r="E10758" s="16">
        <f>IFERROR(__xludf.DUMMYFUNCTION("""COMPUTED_VALUE"""),64.0)</f>
        <v>64</v>
      </c>
      <c r="F10758" s="19" t="str">
        <f>IFERROR(__xludf.DUMMYFUNCTION("""COMPUTED_VALUE"""),"BLUE")</f>
        <v>BLUE</v>
      </c>
      <c r="G10758" s="20" t="str">
        <f>IFERROR(__xludf.DUMMYFUNCTION("""COMPUTED_VALUE"""),"Uncle Sams Cider (04/04/2023)")</f>
        <v>Uncle Sams Cider (04/04/2023)</v>
      </c>
      <c r="H10758" s="19"/>
    </row>
    <row r="10759">
      <c r="A10759" s="9"/>
      <c r="B10759" s="15"/>
      <c r="C10759" s="9">
        <f>IFERROR(__xludf.DUMMYFUNCTION("""COMPUTED_VALUE"""),45031.1065965162)</f>
        <v>45031.1066</v>
      </c>
      <c r="D10759" s="15">
        <f>IFERROR(__xludf.DUMMYFUNCTION("""COMPUTED_VALUE"""),1.06)</f>
        <v>1.06</v>
      </c>
      <c r="E10759" s="16">
        <f>IFERROR(__xludf.DUMMYFUNCTION("""COMPUTED_VALUE"""),64.0)</f>
        <v>64</v>
      </c>
      <c r="F10759" s="19" t="str">
        <f>IFERROR(__xludf.DUMMYFUNCTION("""COMPUTED_VALUE"""),"BLUE")</f>
        <v>BLUE</v>
      </c>
      <c r="G10759" s="20" t="str">
        <f>IFERROR(__xludf.DUMMYFUNCTION("""COMPUTED_VALUE"""),"Uncle Sams Cider (04/04/2023)")</f>
        <v>Uncle Sams Cider (04/04/2023)</v>
      </c>
      <c r="H10759" s="19"/>
    </row>
    <row r="10760">
      <c r="A10760" s="9"/>
      <c r="B10760" s="15"/>
      <c r="C10760" s="9">
        <f>IFERROR(__xludf.DUMMYFUNCTION("""COMPUTED_VALUE"""),45031.0961750926)</f>
        <v>45031.09618</v>
      </c>
      <c r="D10760" s="15">
        <f>IFERROR(__xludf.DUMMYFUNCTION("""COMPUTED_VALUE"""),1.06)</f>
        <v>1.06</v>
      </c>
      <c r="E10760" s="16">
        <f>IFERROR(__xludf.DUMMYFUNCTION("""COMPUTED_VALUE"""),64.0)</f>
        <v>64</v>
      </c>
      <c r="F10760" s="19" t="str">
        <f>IFERROR(__xludf.DUMMYFUNCTION("""COMPUTED_VALUE"""),"BLUE")</f>
        <v>BLUE</v>
      </c>
      <c r="G10760" s="20" t="str">
        <f>IFERROR(__xludf.DUMMYFUNCTION("""COMPUTED_VALUE"""),"Uncle Sams Cider (04/04/2023)")</f>
        <v>Uncle Sams Cider (04/04/2023)</v>
      </c>
      <c r="H10760" s="19"/>
    </row>
    <row r="10761">
      <c r="A10761" s="9"/>
      <c r="B10761" s="15"/>
      <c r="C10761" s="9">
        <f>IFERROR(__xludf.DUMMYFUNCTION("""COMPUTED_VALUE"""),45031.0857544676)</f>
        <v>45031.08575</v>
      </c>
      <c r="D10761" s="15">
        <f>IFERROR(__xludf.DUMMYFUNCTION("""COMPUTED_VALUE"""),1.06)</f>
        <v>1.06</v>
      </c>
      <c r="E10761" s="16">
        <f>IFERROR(__xludf.DUMMYFUNCTION("""COMPUTED_VALUE"""),64.0)</f>
        <v>64</v>
      </c>
      <c r="F10761" s="19" t="str">
        <f>IFERROR(__xludf.DUMMYFUNCTION("""COMPUTED_VALUE"""),"BLUE")</f>
        <v>BLUE</v>
      </c>
      <c r="G10761" s="20" t="str">
        <f>IFERROR(__xludf.DUMMYFUNCTION("""COMPUTED_VALUE"""),"Uncle Sams Cider (04/04/2023)")</f>
        <v>Uncle Sams Cider (04/04/2023)</v>
      </c>
      <c r="H10761" s="19"/>
    </row>
    <row r="10762">
      <c r="A10762" s="9"/>
      <c r="B10762" s="15"/>
      <c r="C10762" s="9">
        <f>IFERROR(__xludf.DUMMYFUNCTION("""COMPUTED_VALUE"""),45031.0753324768)</f>
        <v>45031.07533</v>
      </c>
      <c r="D10762" s="15">
        <f>IFERROR(__xludf.DUMMYFUNCTION("""COMPUTED_VALUE"""),1.06)</f>
        <v>1.06</v>
      </c>
      <c r="E10762" s="16">
        <f>IFERROR(__xludf.DUMMYFUNCTION("""COMPUTED_VALUE"""),64.0)</f>
        <v>64</v>
      </c>
      <c r="F10762" s="19" t="str">
        <f>IFERROR(__xludf.DUMMYFUNCTION("""COMPUTED_VALUE"""),"BLUE")</f>
        <v>BLUE</v>
      </c>
      <c r="G10762" s="20" t="str">
        <f>IFERROR(__xludf.DUMMYFUNCTION("""COMPUTED_VALUE"""),"Uncle Sams Cider (04/04/2023)")</f>
        <v>Uncle Sams Cider (04/04/2023)</v>
      </c>
      <c r="H10762" s="19"/>
    </row>
    <row r="10763">
      <c r="A10763" s="9"/>
      <c r="B10763" s="15"/>
      <c r="C10763" s="9">
        <f>IFERROR(__xludf.DUMMYFUNCTION("""COMPUTED_VALUE"""),45031.0649109722)</f>
        <v>45031.06491</v>
      </c>
      <c r="D10763" s="15">
        <f>IFERROR(__xludf.DUMMYFUNCTION("""COMPUTED_VALUE"""),1.06)</f>
        <v>1.06</v>
      </c>
      <c r="E10763" s="16">
        <f>IFERROR(__xludf.DUMMYFUNCTION("""COMPUTED_VALUE"""),64.0)</f>
        <v>64</v>
      </c>
      <c r="F10763" s="19" t="str">
        <f>IFERROR(__xludf.DUMMYFUNCTION("""COMPUTED_VALUE"""),"BLUE")</f>
        <v>BLUE</v>
      </c>
      <c r="G10763" s="20" t="str">
        <f>IFERROR(__xludf.DUMMYFUNCTION("""COMPUTED_VALUE"""),"Uncle Sams Cider (04/04/2023)")</f>
        <v>Uncle Sams Cider (04/04/2023)</v>
      </c>
      <c r="H10763" s="19"/>
    </row>
    <row r="10764">
      <c r="A10764" s="9"/>
      <c r="B10764" s="15"/>
      <c r="C10764" s="9">
        <f>IFERROR(__xludf.DUMMYFUNCTION("""COMPUTED_VALUE"""),45031.0544907175)</f>
        <v>45031.05449</v>
      </c>
      <c r="D10764" s="15">
        <f>IFERROR(__xludf.DUMMYFUNCTION("""COMPUTED_VALUE"""),1.06)</f>
        <v>1.06</v>
      </c>
      <c r="E10764" s="16">
        <f>IFERROR(__xludf.DUMMYFUNCTION("""COMPUTED_VALUE"""),64.0)</f>
        <v>64</v>
      </c>
      <c r="F10764" s="19" t="str">
        <f>IFERROR(__xludf.DUMMYFUNCTION("""COMPUTED_VALUE"""),"BLUE")</f>
        <v>BLUE</v>
      </c>
      <c r="G10764" s="20" t="str">
        <f>IFERROR(__xludf.DUMMYFUNCTION("""COMPUTED_VALUE"""),"Uncle Sams Cider (04/04/2023)")</f>
        <v>Uncle Sams Cider (04/04/2023)</v>
      </c>
      <c r="H10764" s="19"/>
    </row>
    <row r="10765">
      <c r="A10765" s="9"/>
      <c r="B10765" s="15"/>
      <c r="C10765" s="9">
        <f>IFERROR(__xludf.DUMMYFUNCTION("""COMPUTED_VALUE"""),45031.0440697338)</f>
        <v>45031.04407</v>
      </c>
      <c r="D10765" s="15">
        <f>IFERROR(__xludf.DUMMYFUNCTION("""COMPUTED_VALUE"""),1.06)</f>
        <v>1.06</v>
      </c>
      <c r="E10765" s="16">
        <f>IFERROR(__xludf.DUMMYFUNCTION("""COMPUTED_VALUE"""),64.0)</f>
        <v>64</v>
      </c>
      <c r="F10765" s="19" t="str">
        <f>IFERROR(__xludf.DUMMYFUNCTION("""COMPUTED_VALUE"""),"BLUE")</f>
        <v>BLUE</v>
      </c>
      <c r="G10765" s="20" t="str">
        <f>IFERROR(__xludf.DUMMYFUNCTION("""COMPUTED_VALUE"""),"Uncle Sams Cider (04/04/2023)")</f>
        <v>Uncle Sams Cider (04/04/2023)</v>
      </c>
      <c r="H10765" s="19"/>
    </row>
    <row r="10766">
      <c r="A10766" s="9"/>
      <c r="B10766" s="15"/>
      <c r="C10766" s="9">
        <f>IFERROR(__xludf.DUMMYFUNCTION("""COMPUTED_VALUE"""),45031.0336471412)</f>
        <v>45031.03365</v>
      </c>
      <c r="D10766" s="15">
        <f>IFERROR(__xludf.DUMMYFUNCTION("""COMPUTED_VALUE"""),1.06)</f>
        <v>1.06</v>
      </c>
      <c r="E10766" s="16">
        <f>IFERROR(__xludf.DUMMYFUNCTION("""COMPUTED_VALUE"""),64.0)</f>
        <v>64</v>
      </c>
      <c r="F10766" s="19" t="str">
        <f>IFERROR(__xludf.DUMMYFUNCTION("""COMPUTED_VALUE"""),"BLUE")</f>
        <v>BLUE</v>
      </c>
      <c r="G10766" s="20" t="str">
        <f>IFERROR(__xludf.DUMMYFUNCTION("""COMPUTED_VALUE"""),"Uncle Sams Cider (04/04/2023)")</f>
        <v>Uncle Sams Cider (04/04/2023)</v>
      </c>
      <c r="H10766" s="19"/>
    </row>
    <row r="10767">
      <c r="A10767" s="9"/>
      <c r="B10767" s="15"/>
      <c r="C10767" s="9">
        <f>IFERROR(__xludf.DUMMYFUNCTION("""COMPUTED_VALUE"""),45031.0232253356)</f>
        <v>45031.02323</v>
      </c>
      <c r="D10767" s="15">
        <f>IFERROR(__xludf.DUMMYFUNCTION("""COMPUTED_VALUE"""),1.06)</f>
        <v>1.06</v>
      </c>
      <c r="E10767" s="16">
        <f>IFERROR(__xludf.DUMMYFUNCTION("""COMPUTED_VALUE"""),64.0)</f>
        <v>64</v>
      </c>
      <c r="F10767" s="19" t="str">
        <f>IFERROR(__xludf.DUMMYFUNCTION("""COMPUTED_VALUE"""),"BLUE")</f>
        <v>BLUE</v>
      </c>
      <c r="G10767" s="20" t="str">
        <f>IFERROR(__xludf.DUMMYFUNCTION("""COMPUTED_VALUE"""),"Uncle Sams Cider (04/04/2023)")</f>
        <v>Uncle Sams Cider (04/04/2023)</v>
      </c>
      <c r="H10767" s="19"/>
    </row>
    <row r="10768">
      <c r="A10768" s="9"/>
      <c r="B10768" s="15"/>
      <c r="C10768" s="9">
        <f>IFERROR(__xludf.DUMMYFUNCTION("""COMPUTED_VALUE"""),45031.0128044444)</f>
        <v>45031.0128</v>
      </c>
      <c r="D10768" s="15">
        <f>IFERROR(__xludf.DUMMYFUNCTION("""COMPUTED_VALUE"""),1.06)</f>
        <v>1.06</v>
      </c>
      <c r="E10768" s="16">
        <f>IFERROR(__xludf.DUMMYFUNCTION("""COMPUTED_VALUE"""),64.0)</f>
        <v>64</v>
      </c>
      <c r="F10768" s="19" t="str">
        <f>IFERROR(__xludf.DUMMYFUNCTION("""COMPUTED_VALUE"""),"BLUE")</f>
        <v>BLUE</v>
      </c>
      <c r="G10768" s="20" t="str">
        <f>IFERROR(__xludf.DUMMYFUNCTION("""COMPUTED_VALUE"""),"Uncle Sams Cider (04/04/2023)")</f>
        <v>Uncle Sams Cider (04/04/2023)</v>
      </c>
      <c r="H10768" s="19"/>
    </row>
    <row r="10769">
      <c r="A10769" s="9"/>
      <c r="B10769" s="15"/>
      <c r="C10769" s="9">
        <f>IFERROR(__xludf.DUMMYFUNCTION("""COMPUTED_VALUE"""),45031.0023836921)</f>
        <v>45031.00238</v>
      </c>
      <c r="D10769" s="15">
        <f>IFERROR(__xludf.DUMMYFUNCTION("""COMPUTED_VALUE"""),1.06)</f>
        <v>1.06</v>
      </c>
      <c r="E10769" s="16">
        <f>IFERROR(__xludf.DUMMYFUNCTION("""COMPUTED_VALUE"""),64.0)</f>
        <v>64</v>
      </c>
      <c r="F10769" s="19" t="str">
        <f>IFERROR(__xludf.DUMMYFUNCTION("""COMPUTED_VALUE"""),"BLUE")</f>
        <v>BLUE</v>
      </c>
      <c r="G10769" s="20" t="str">
        <f>IFERROR(__xludf.DUMMYFUNCTION("""COMPUTED_VALUE"""),"Uncle Sams Cider (04/04/2023)")</f>
        <v>Uncle Sams Cider (04/04/2023)</v>
      </c>
      <c r="H10769" s="19"/>
    </row>
    <row r="10770">
      <c r="A10770" s="9"/>
      <c r="B10770" s="15"/>
      <c r="C10770" s="9">
        <f>IFERROR(__xludf.DUMMYFUNCTION("""COMPUTED_VALUE"""),45030.9919635532)</f>
        <v>45030.99196</v>
      </c>
      <c r="D10770" s="15">
        <f>IFERROR(__xludf.DUMMYFUNCTION("""COMPUTED_VALUE"""),1.06)</f>
        <v>1.06</v>
      </c>
      <c r="E10770" s="16">
        <f>IFERROR(__xludf.DUMMYFUNCTION("""COMPUTED_VALUE"""),64.0)</f>
        <v>64</v>
      </c>
      <c r="F10770" s="19" t="str">
        <f>IFERROR(__xludf.DUMMYFUNCTION("""COMPUTED_VALUE"""),"BLUE")</f>
        <v>BLUE</v>
      </c>
      <c r="G10770" s="20" t="str">
        <f>IFERROR(__xludf.DUMMYFUNCTION("""COMPUTED_VALUE"""),"Uncle Sams Cider (04/04/2023)")</f>
        <v>Uncle Sams Cider (04/04/2023)</v>
      </c>
      <c r="H10770" s="19"/>
    </row>
    <row r="10771">
      <c r="A10771" s="9"/>
      <c r="B10771" s="15"/>
      <c r="C10771" s="9">
        <f>IFERROR(__xludf.DUMMYFUNCTION("""COMPUTED_VALUE"""),45030.9815438541)</f>
        <v>45030.98154</v>
      </c>
      <c r="D10771" s="15">
        <f>IFERROR(__xludf.DUMMYFUNCTION("""COMPUTED_VALUE"""),1.06)</f>
        <v>1.06</v>
      </c>
      <c r="E10771" s="16">
        <f>IFERROR(__xludf.DUMMYFUNCTION("""COMPUTED_VALUE"""),64.0)</f>
        <v>64</v>
      </c>
      <c r="F10771" s="19" t="str">
        <f>IFERROR(__xludf.DUMMYFUNCTION("""COMPUTED_VALUE"""),"BLUE")</f>
        <v>BLUE</v>
      </c>
      <c r="G10771" s="20" t="str">
        <f>IFERROR(__xludf.DUMMYFUNCTION("""COMPUTED_VALUE"""),"Uncle Sams Cider (04/04/2023)")</f>
        <v>Uncle Sams Cider (04/04/2023)</v>
      </c>
      <c r="H10771" s="19"/>
    </row>
    <row r="10772">
      <c r="A10772" s="9"/>
      <c r="B10772" s="15"/>
      <c r="C10772" s="9">
        <f>IFERROR(__xludf.DUMMYFUNCTION("""COMPUTED_VALUE"""),45030.9711248495)</f>
        <v>45030.97112</v>
      </c>
      <c r="D10772" s="15">
        <f>IFERROR(__xludf.DUMMYFUNCTION("""COMPUTED_VALUE"""),1.06)</f>
        <v>1.06</v>
      </c>
      <c r="E10772" s="16">
        <f>IFERROR(__xludf.DUMMYFUNCTION("""COMPUTED_VALUE"""),64.0)</f>
        <v>64</v>
      </c>
      <c r="F10772" s="19" t="str">
        <f>IFERROR(__xludf.DUMMYFUNCTION("""COMPUTED_VALUE"""),"BLUE")</f>
        <v>BLUE</v>
      </c>
      <c r="G10772" s="20" t="str">
        <f>IFERROR(__xludf.DUMMYFUNCTION("""COMPUTED_VALUE"""),"Uncle Sams Cider (04/04/2023)")</f>
        <v>Uncle Sams Cider (04/04/2023)</v>
      </c>
      <c r="H10772" s="19"/>
    </row>
    <row r="10773">
      <c r="A10773" s="9"/>
      <c r="B10773" s="15"/>
      <c r="C10773" s="9">
        <f>IFERROR(__xludf.DUMMYFUNCTION("""COMPUTED_VALUE"""),45030.9607018287)</f>
        <v>45030.9607</v>
      </c>
      <c r="D10773" s="15">
        <f>IFERROR(__xludf.DUMMYFUNCTION("""COMPUTED_VALUE"""),1.06)</f>
        <v>1.06</v>
      </c>
      <c r="E10773" s="16">
        <f>IFERROR(__xludf.DUMMYFUNCTION("""COMPUTED_VALUE"""),64.0)</f>
        <v>64</v>
      </c>
      <c r="F10773" s="19" t="str">
        <f>IFERROR(__xludf.DUMMYFUNCTION("""COMPUTED_VALUE"""),"BLUE")</f>
        <v>BLUE</v>
      </c>
      <c r="G10773" s="20" t="str">
        <f>IFERROR(__xludf.DUMMYFUNCTION("""COMPUTED_VALUE"""),"Uncle Sams Cider (04/04/2023)")</f>
        <v>Uncle Sams Cider (04/04/2023)</v>
      </c>
      <c r="H10773" s="19"/>
    </row>
    <row r="10774">
      <c r="A10774" s="9"/>
      <c r="B10774" s="15"/>
      <c r="C10774" s="9">
        <f>IFERROR(__xludf.DUMMYFUNCTION("""COMPUTED_VALUE"""),45030.9502806018)</f>
        <v>45030.95028</v>
      </c>
      <c r="D10774" s="15">
        <f>IFERROR(__xludf.DUMMYFUNCTION("""COMPUTED_VALUE"""),1.06)</f>
        <v>1.06</v>
      </c>
      <c r="E10774" s="16">
        <f>IFERROR(__xludf.DUMMYFUNCTION("""COMPUTED_VALUE"""),64.0)</f>
        <v>64</v>
      </c>
      <c r="F10774" s="19" t="str">
        <f>IFERROR(__xludf.DUMMYFUNCTION("""COMPUTED_VALUE"""),"BLUE")</f>
        <v>BLUE</v>
      </c>
      <c r="G10774" s="20" t="str">
        <f>IFERROR(__xludf.DUMMYFUNCTION("""COMPUTED_VALUE"""),"Uncle Sams Cider (04/04/2023)")</f>
        <v>Uncle Sams Cider (04/04/2023)</v>
      </c>
      <c r="H10774" s="19"/>
    </row>
    <row r="10775">
      <c r="A10775" s="9"/>
      <c r="B10775" s="15"/>
      <c r="C10775" s="9">
        <f>IFERROR(__xludf.DUMMYFUNCTION("""COMPUTED_VALUE"""),45030.9398594213)</f>
        <v>45030.93986</v>
      </c>
      <c r="D10775" s="15">
        <f>IFERROR(__xludf.DUMMYFUNCTION("""COMPUTED_VALUE"""),1.06)</f>
        <v>1.06</v>
      </c>
      <c r="E10775" s="16">
        <f>IFERROR(__xludf.DUMMYFUNCTION("""COMPUTED_VALUE"""),64.0)</f>
        <v>64</v>
      </c>
      <c r="F10775" s="19" t="str">
        <f>IFERROR(__xludf.DUMMYFUNCTION("""COMPUTED_VALUE"""),"BLUE")</f>
        <v>BLUE</v>
      </c>
      <c r="G10775" s="20" t="str">
        <f>IFERROR(__xludf.DUMMYFUNCTION("""COMPUTED_VALUE"""),"Uncle Sams Cider (04/04/2023)")</f>
        <v>Uncle Sams Cider (04/04/2023)</v>
      </c>
      <c r="H10775" s="19"/>
    </row>
    <row r="10776">
      <c r="A10776" s="9"/>
      <c r="B10776" s="15"/>
      <c r="C10776" s="9">
        <f>IFERROR(__xludf.DUMMYFUNCTION("""COMPUTED_VALUE"""),45030.929427118)</f>
        <v>45030.92943</v>
      </c>
      <c r="D10776" s="15">
        <f>IFERROR(__xludf.DUMMYFUNCTION("""COMPUTED_VALUE"""),1.06)</f>
        <v>1.06</v>
      </c>
      <c r="E10776" s="16">
        <f>IFERROR(__xludf.DUMMYFUNCTION("""COMPUTED_VALUE"""),64.0)</f>
        <v>64</v>
      </c>
      <c r="F10776" s="19" t="str">
        <f>IFERROR(__xludf.DUMMYFUNCTION("""COMPUTED_VALUE"""),"BLUE")</f>
        <v>BLUE</v>
      </c>
      <c r="G10776" s="20" t="str">
        <f>IFERROR(__xludf.DUMMYFUNCTION("""COMPUTED_VALUE"""),"Uncle Sams Cider (04/04/2023)")</f>
        <v>Uncle Sams Cider (04/04/2023)</v>
      </c>
      <c r="H10776" s="19"/>
    </row>
    <row r="10777">
      <c r="A10777" s="9"/>
      <c r="B10777" s="15"/>
      <c r="C10777" s="9">
        <f>IFERROR(__xludf.DUMMYFUNCTION("""COMPUTED_VALUE"""),45030.9190059259)</f>
        <v>45030.91901</v>
      </c>
      <c r="D10777" s="15">
        <f>IFERROR(__xludf.DUMMYFUNCTION("""COMPUTED_VALUE"""),1.06)</f>
        <v>1.06</v>
      </c>
      <c r="E10777" s="16">
        <f>IFERROR(__xludf.DUMMYFUNCTION("""COMPUTED_VALUE"""),64.0)</f>
        <v>64</v>
      </c>
      <c r="F10777" s="19" t="str">
        <f>IFERROR(__xludf.DUMMYFUNCTION("""COMPUTED_VALUE"""),"BLUE")</f>
        <v>BLUE</v>
      </c>
      <c r="G10777" s="20" t="str">
        <f>IFERROR(__xludf.DUMMYFUNCTION("""COMPUTED_VALUE"""),"Uncle Sams Cider (04/04/2023)")</f>
        <v>Uncle Sams Cider (04/04/2023)</v>
      </c>
      <c r="H10777" s="19"/>
    </row>
    <row r="10778">
      <c r="A10778" s="9"/>
      <c r="B10778" s="15"/>
      <c r="C10778" s="9">
        <f>IFERROR(__xludf.DUMMYFUNCTION("""COMPUTED_VALUE"""),45030.9085840509)</f>
        <v>45030.90858</v>
      </c>
      <c r="D10778" s="15">
        <f>IFERROR(__xludf.DUMMYFUNCTION("""COMPUTED_VALUE"""),1.06)</f>
        <v>1.06</v>
      </c>
      <c r="E10778" s="16">
        <f>IFERROR(__xludf.DUMMYFUNCTION("""COMPUTED_VALUE"""),64.0)</f>
        <v>64</v>
      </c>
      <c r="F10778" s="19" t="str">
        <f>IFERROR(__xludf.DUMMYFUNCTION("""COMPUTED_VALUE"""),"BLUE")</f>
        <v>BLUE</v>
      </c>
      <c r="G10778" s="20" t="str">
        <f>IFERROR(__xludf.DUMMYFUNCTION("""COMPUTED_VALUE"""),"Uncle Sams Cider (04/04/2023)")</f>
        <v>Uncle Sams Cider (04/04/2023)</v>
      </c>
      <c r="H10778" s="19"/>
    </row>
    <row r="10779">
      <c r="A10779" s="9"/>
      <c r="B10779" s="15"/>
      <c r="C10779" s="9">
        <f>IFERROR(__xludf.DUMMYFUNCTION("""COMPUTED_VALUE"""),45030.8981493981)</f>
        <v>45030.89815</v>
      </c>
      <c r="D10779" s="15">
        <f>IFERROR(__xludf.DUMMYFUNCTION("""COMPUTED_VALUE"""),1.06)</f>
        <v>1.06</v>
      </c>
      <c r="E10779" s="16">
        <f>IFERROR(__xludf.DUMMYFUNCTION("""COMPUTED_VALUE"""),64.0)</f>
        <v>64</v>
      </c>
      <c r="F10779" s="19" t="str">
        <f>IFERROR(__xludf.DUMMYFUNCTION("""COMPUTED_VALUE"""),"BLUE")</f>
        <v>BLUE</v>
      </c>
      <c r="G10779" s="20" t="str">
        <f>IFERROR(__xludf.DUMMYFUNCTION("""COMPUTED_VALUE"""),"Uncle Sams Cider (04/04/2023)")</f>
        <v>Uncle Sams Cider (04/04/2023)</v>
      </c>
      <c r="H10779" s="19"/>
    </row>
    <row r="10780">
      <c r="A10780" s="9"/>
      <c r="B10780" s="15"/>
      <c r="C10780" s="9">
        <f>IFERROR(__xludf.DUMMYFUNCTION("""COMPUTED_VALUE"""),45030.8877277199)</f>
        <v>45030.88773</v>
      </c>
      <c r="D10780" s="15">
        <f>IFERROR(__xludf.DUMMYFUNCTION("""COMPUTED_VALUE"""),1.06)</f>
        <v>1.06</v>
      </c>
      <c r="E10780" s="16">
        <f>IFERROR(__xludf.DUMMYFUNCTION("""COMPUTED_VALUE"""),64.0)</f>
        <v>64</v>
      </c>
      <c r="F10780" s="19" t="str">
        <f>IFERROR(__xludf.DUMMYFUNCTION("""COMPUTED_VALUE"""),"BLUE")</f>
        <v>BLUE</v>
      </c>
      <c r="G10780" s="20" t="str">
        <f>IFERROR(__xludf.DUMMYFUNCTION("""COMPUTED_VALUE"""),"Uncle Sams Cider (04/04/2023)")</f>
        <v>Uncle Sams Cider (04/04/2023)</v>
      </c>
      <c r="H10780" s="19"/>
    </row>
    <row r="10781">
      <c r="A10781" s="9"/>
      <c r="B10781" s="15"/>
      <c r="C10781" s="9">
        <f>IFERROR(__xludf.DUMMYFUNCTION("""COMPUTED_VALUE"""),45030.8773080208)</f>
        <v>45030.87731</v>
      </c>
      <c r="D10781" s="15">
        <f>IFERROR(__xludf.DUMMYFUNCTION("""COMPUTED_VALUE"""),1.06)</f>
        <v>1.06</v>
      </c>
      <c r="E10781" s="16">
        <f>IFERROR(__xludf.DUMMYFUNCTION("""COMPUTED_VALUE"""),64.0)</f>
        <v>64</v>
      </c>
      <c r="F10781" s="19" t="str">
        <f>IFERROR(__xludf.DUMMYFUNCTION("""COMPUTED_VALUE"""),"BLUE")</f>
        <v>BLUE</v>
      </c>
      <c r="G10781" s="20" t="str">
        <f>IFERROR(__xludf.DUMMYFUNCTION("""COMPUTED_VALUE"""),"Uncle Sams Cider (04/04/2023)")</f>
        <v>Uncle Sams Cider (04/04/2023)</v>
      </c>
      <c r="H10781" s="19"/>
    </row>
    <row r="10782">
      <c r="A10782" s="9"/>
      <c r="B10782" s="15"/>
      <c r="C10782" s="9">
        <f>IFERROR(__xludf.DUMMYFUNCTION("""COMPUTED_VALUE"""),45030.8668876851)</f>
        <v>45030.86689</v>
      </c>
      <c r="D10782" s="15">
        <f>IFERROR(__xludf.DUMMYFUNCTION("""COMPUTED_VALUE"""),1.061)</f>
        <v>1.061</v>
      </c>
      <c r="E10782" s="16">
        <f>IFERROR(__xludf.DUMMYFUNCTION("""COMPUTED_VALUE"""),64.0)</f>
        <v>64</v>
      </c>
      <c r="F10782" s="19" t="str">
        <f>IFERROR(__xludf.DUMMYFUNCTION("""COMPUTED_VALUE"""),"BLUE")</f>
        <v>BLUE</v>
      </c>
      <c r="G10782" s="20" t="str">
        <f>IFERROR(__xludf.DUMMYFUNCTION("""COMPUTED_VALUE"""),"Uncle Sams Cider (04/04/2023)")</f>
        <v>Uncle Sams Cider (04/04/2023)</v>
      </c>
      <c r="H10782" s="19"/>
    </row>
    <row r="10783">
      <c r="A10783" s="9"/>
      <c r="B10783" s="15"/>
      <c r="C10783" s="9">
        <f>IFERROR(__xludf.DUMMYFUNCTION("""COMPUTED_VALUE"""),45030.8564671527)</f>
        <v>45030.85647</v>
      </c>
      <c r="D10783" s="15">
        <f>IFERROR(__xludf.DUMMYFUNCTION("""COMPUTED_VALUE"""),1.061)</f>
        <v>1.061</v>
      </c>
      <c r="E10783" s="16">
        <f>IFERROR(__xludf.DUMMYFUNCTION("""COMPUTED_VALUE"""),64.0)</f>
        <v>64</v>
      </c>
      <c r="F10783" s="19" t="str">
        <f>IFERROR(__xludf.DUMMYFUNCTION("""COMPUTED_VALUE"""),"BLUE")</f>
        <v>BLUE</v>
      </c>
      <c r="G10783" s="20" t="str">
        <f>IFERROR(__xludf.DUMMYFUNCTION("""COMPUTED_VALUE"""),"Uncle Sams Cider (04/04/2023)")</f>
        <v>Uncle Sams Cider (04/04/2023)</v>
      </c>
      <c r="H10783" s="19"/>
    </row>
    <row r="10784">
      <c r="A10784" s="9"/>
      <c r="B10784" s="15"/>
      <c r="C10784" s="9">
        <f>IFERROR(__xludf.DUMMYFUNCTION("""COMPUTED_VALUE"""),45030.8460477083)</f>
        <v>45030.84605</v>
      </c>
      <c r="D10784" s="15">
        <f>IFERROR(__xludf.DUMMYFUNCTION("""COMPUTED_VALUE"""),1.061)</f>
        <v>1.061</v>
      </c>
      <c r="E10784" s="16">
        <f>IFERROR(__xludf.DUMMYFUNCTION("""COMPUTED_VALUE"""),64.0)</f>
        <v>64</v>
      </c>
      <c r="F10784" s="19" t="str">
        <f>IFERROR(__xludf.DUMMYFUNCTION("""COMPUTED_VALUE"""),"BLUE")</f>
        <v>BLUE</v>
      </c>
      <c r="G10784" s="20" t="str">
        <f>IFERROR(__xludf.DUMMYFUNCTION("""COMPUTED_VALUE"""),"Uncle Sams Cider (04/04/2023)")</f>
        <v>Uncle Sams Cider (04/04/2023)</v>
      </c>
      <c r="H10784" s="19"/>
    </row>
    <row r="10785">
      <c r="A10785" s="9"/>
      <c r="B10785" s="15"/>
      <c r="C10785" s="9">
        <f>IFERROR(__xludf.DUMMYFUNCTION("""COMPUTED_VALUE"""),45030.8356281828)</f>
        <v>45030.83563</v>
      </c>
      <c r="D10785" s="15">
        <f>IFERROR(__xludf.DUMMYFUNCTION("""COMPUTED_VALUE"""),1.061)</f>
        <v>1.061</v>
      </c>
      <c r="E10785" s="16">
        <f>IFERROR(__xludf.DUMMYFUNCTION("""COMPUTED_VALUE"""),64.0)</f>
        <v>64</v>
      </c>
      <c r="F10785" s="19" t="str">
        <f>IFERROR(__xludf.DUMMYFUNCTION("""COMPUTED_VALUE"""),"BLUE")</f>
        <v>BLUE</v>
      </c>
      <c r="G10785" s="20" t="str">
        <f>IFERROR(__xludf.DUMMYFUNCTION("""COMPUTED_VALUE"""),"Uncle Sams Cider (04/04/2023)")</f>
        <v>Uncle Sams Cider (04/04/2023)</v>
      </c>
      <c r="H10785" s="19"/>
    </row>
    <row r="10786">
      <c r="A10786" s="9"/>
      <c r="B10786" s="15"/>
      <c r="C10786" s="9">
        <f>IFERROR(__xludf.DUMMYFUNCTION("""COMPUTED_VALUE"""),45030.8251835416)</f>
        <v>45030.82518</v>
      </c>
      <c r="D10786" s="15">
        <f>IFERROR(__xludf.DUMMYFUNCTION("""COMPUTED_VALUE"""),1.061)</f>
        <v>1.061</v>
      </c>
      <c r="E10786" s="16">
        <f>IFERROR(__xludf.DUMMYFUNCTION("""COMPUTED_VALUE"""),64.0)</f>
        <v>64</v>
      </c>
      <c r="F10786" s="19" t="str">
        <f>IFERROR(__xludf.DUMMYFUNCTION("""COMPUTED_VALUE"""),"BLUE")</f>
        <v>BLUE</v>
      </c>
      <c r="G10786" s="20" t="str">
        <f>IFERROR(__xludf.DUMMYFUNCTION("""COMPUTED_VALUE"""),"Uncle Sams Cider (04/04/2023)")</f>
        <v>Uncle Sams Cider (04/04/2023)</v>
      </c>
      <c r="H10786" s="19"/>
    </row>
    <row r="10787">
      <c r="A10787" s="9"/>
      <c r="B10787" s="15"/>
      <c r="C10787" s="9">
        <f>IFERROR(__xludf.DUMMYFUNCTION("""COMPUTED_VALUE"""),45030.8147512037)</f>
        <v>45030.81475</v>
      </c>
      <c r="D10787" s="15">
        <f>IFERROR(__xludf.DUMMYFUNCTION("""COMPUTED_VALUE"""),1.061)</f>
        <v>1.061</v>
      </c>
      <c r="E10787" s="16">
        <f>IFERROR(__xludf.DUMMYFUNCTION("""COMPUTED_VALUE"""),64.0)</f>
        <v>64</v>
      </c>
      <c r="F10787" s="19" t="str">
        <f>IFERROR(__xludf.DUMMYFUNCTION("""COMPUTED_VALUE"""),"BLUE")</f>
        <v>BLUE</v>
      </c>
      <c r="G10787" s="20" t="str">
        <f>IFERROR(__xludf.DUMMYFUNCTION("""COMPUTED_VALUE"""),"Uncle Sams Cider (04/04/2023)")</f>
        <v>Uncle Sams Cider (04/04/2023)</v>
      </c>
      <c r="H10787" s="19"/>
    </row>
    <row r="10788">
      <c r="A10788" s="9"/>
      <c r="B10788" s="15"/>
      <c r="C10788" s="9">
        <f>IFERROR(__xludf.DUMMYFUNCTION("""COMPUTED_VALUE"""),45030.8043301041)</f>
        <v>45030.80433</v>
      </c>
      <c r="D10788" s="15">
        <f>IFERROR(__xludf.DUMMYFUNCTION("""COMPUTED_VALUE"""),1.061)</f>
        <v>1.061</v>
      </c>
      <c r="E10788" s="16">
        <f>IFERROR(__xludf.DUMMYFUNCTION("""COMPUTED_VALUE"""),64.0)</f>
        <v>64</v>
      </c>
      <c r="F10788" s="19" t="str">
        <f>IFERROR(__xludf.DUMMYFUNCTION("""COMPUTED_VALUE"""),"BLUE")</f>
        <v>BLUE</v>
      </c>
      <c r="G10788" s="20" t="str">
        <f>IFERROR(__xludf.DUMMYFUNCTION("""COMPUTED_VALUE"""),"Uncle Sams Cider (04/04/2023)")</f>
        <v>Uncle Sams Cider (04/04/2023)</v>
      </c>
      <c r="H10788" s="19"/>
    </row>
    <row r="10789">
      <c r="A10789" s="9"/>
      <c r="B10789" s="15"/>
      <c r="C10789" s="9">
        <f>IFERROR(__xludf.DUMMYFUNCTION("""COMPUTED_VALUE"""),45030.7939107986)</f>
        <v>45030.79391</v>
      </c>
      <c r="D10789" s="15">
        <f>IFERROR(__xludf.DUMMYFUNCTION("""COMPUTED_VALUE"""),1.061)</f>
        <v>1.061</v>
      </c>
      <c r="E10789" s="16">
        <f>IFERROR(__xludf.DUMMYFUNCTION("""COMPUTED_VALUE"""),64.0)</f>
        <v>64</v>
      </c>
      <c r="F10789" s="19" t="str">
        <f>IFERROR(__xludf.DUMMYFUNCTION("""COMPUTED_VALUE"""),"BLUE")</f>
        <v>BLUE</v>
      </c>
      <c r="G10789" s="20" t="str">
        <f>IFERROR(__xludf.DUMMYFUNCTION("""COMPUTED_VALUE"""),"Uncle Sams Cider (04/04/2023)")</f>
        <v>Uncle Sams Cider (04/04/2023)</v>
      </c>
      <c r="H10789" s="19"/>
    </row>
    <row r="10790">
      <c r="A10790" s="9"/>
      <c r="B10790" s="15"/>
      <c r="C10790" s="9">
        <f>IFERROR(__xludf.DUMMYFUNCTION("""COMPUTED_VALUE"""),45030.7834903703)</f>
        <v>45030.78349</v>
      </c>
      <c r="D10790" s="15">
        <f>IFERROR(__xludf.DUMMYFUNCTION("""COMPUTED_VALUE"""),1.061)</f>
        <v>1.061</v>
      </c>
      <c r="E10790" s="16">
        <f>IFERROR(__xludf.DUMMYFUNCTION("""COMPUTED_VALUE"""),64.0)</f>
        <v>64</v>
      </c>
      <c r="F10790" s="19" t="str">
        <f>IFERROR(__xludf.DUMMYFUNCTION("""COMPUTED_VALUE"""),"BLUE")</f>
        <v>BLUE</v>
      </c>
      <c r="G10790" s="20" t="str">
        <f>IFERROR(__xludf.DUMMYFUNCTION("""COMPUTED_VALUE"""),"Uncle Sams Cider (04/04/2023)")</f>
        <v>Uncle Sams Cider (04/04/2023)</v>
      </c>
      <c r="H10790" s="19"/>
    </row>
    <row r="10791">
      <c r="A10791" s="9"/>
      <c r="B10791" s="15"/>
      <c r="C10791" s="9">
        <f>IFERROR(__xludf.DUMMYFUNCTION("""COMPUTED_VALUE"""),45030.7730712037)</f>
        <v>45030.77307</v>
      </c>
      <c r="D10791" s="15">
        <f>IFERROR(__xludf.DUMMYFUNCTION("""COMPUTED_VALUE"""),1.061)</f>
        <v>1.061</v>
      </c>
      <c r="E10791" s="16">
        <f>IFERROR(__xludf.DUMMYFUNCTION("""COMPUTED_VALUE"""),64.0)</f>
        <v>64</v>
      </c>
      <c r="F10791" s="19" t="str">
        <f>IFERROR(__xludf.DUMMYFUNCTION("""COMPUTED_VALUE"""),"BLUE")</f>
        <v>BLUE</v>
      </c>
      <c r="G10791" s="20" t="str">
        <f>IFERROR(__xludf.DUMMYFUNCTION("""COMPUTED_VALUE"""),"Uncle Sams Cider (04/04/2023)")</f>
        <v>Uncle Sams Cider (04/04/2023)</v>
      </c>
      <c r="H10791" s="19"/>
    </row>
    <row r="10792">
      <c r="A10792" s="9"/>
      <c r="B10792" s="15"/>
      <c r="C10792" s="9">
        <f>IFERROR(__xludf.DUMMYFUNCTION("""COMPUTED_VALUE"""),45030.76264978)</f>
        <v>45030.76265</v>
      </c>
      <c r="D10792" s="15">
        <f>IFERROR(__xludf.DUMMYFUNCTION("""COMPUTED_VALUE"""),1.061)</f>
        <v>1.061</v>
      </c>
      <c r="E10792" s="16">
        <f>IFERROR(__xludf.DUMMYFUNCTION("""COMPUTED_VALUE"""),64.0)</f>
        <v>64</v>
      </c>
      <c r="F10792" s="19" t="str">
        <f>IFERROR(__xludf.DUMMYFUNCTION("""COMPUTED_VALUE"""),"BLUE")</f>
        <v>BLUE</v>
      </c>
      <c r="G10792" s="20" t="str">
        <f>IFERROR(__xludf.DUMMYFUNCTION("""COMPUTED_VALUE"""),"Uncle Sams Cider (04/04/2023)")</f>
        <v>Uncle Sams Cider (04/04/2023)</v>
      </c>
      <c r="H10792" s="19"/>
    </row>
    <row r="10793">
      <c r="A10793" s="9"/>
      <c r="B10793" s="15"/>
      <c r="C10793" s="9">
        <f>IFERROR(__xludf.DUMMYFUNCTION("""COMPUTED_VALUE"""),45030.7522293518)</f>
        <v>45030.75223</v>
      </c>
      <c r="D10793" s="15">
        <f>IFERROR(__xludf.DUMMYFUNCTION("""COMPUTED_VALUE"""),1.061)</f>
        <v>1.061</v>
      </c>
      <c r="E10793" s="16">
        <f>IFERROR(__xludf.DUMMYFUNCTION("""COMPUTED_VALUE"""),64.0)</f>
        <v>64</v>
      </c>
      <c r="F10793" s="19" t="str">
        <f>IFERROR(__xludf.DUMMYFUNCTION("""COMPUTED_VALUE"""),"BLUE")</f>
        <v>BLUE</v>
      </c>
      <c r="G10793" s="20" t="str">
        <f>IFERROR(__xludf.DUMMYFUNCTION("""COMPUTED_VALUE"""),"Uncle Sams Cider (04/04/2023)")</f>
        <v>Uncle Sams Cider (04/04/2023)</v>
      </c>
      <c r="H10793" s="19"/>
    </row>
    <row r="10794">
      <c r="A10794" s="9"/>
      <c r="B10794" s="15"/>
      <c r="C10794" s="9">
        <f>IFERROR(__xludf.DUMMYFUNCTION("""COMPUTED_VALUE"""),45030.7417995254)</f>
        <v>45030.7418</v>
      </c>
      <c r="D10794" s="15">
        <f>IFERROR(__xludf.DUMMYFUNCTION("""COMPUTED_VALUE"""),1.061)</f>
        <v>1.061</v>
      </c>
      <c r="E10794" s="16">
        <f>IFERROR(__xludf.DUMMYFUNCTION("""COMPUTED_VALUE"""),64.0)</f>
        <v>64</v>
      </c>
      <c r="F10794" s="19" t="str">
        <f>IFERROR(__xludf.DUMMYFUNCTION("""COMPUTED_VALUE"""),"BLUE")</f>
        <v>BLUE</v>
      </c>
      <c r="G10794" s="20" t="str">
        <f>IFERROR(__xludf.DUMMYFUNCTION("""COMPUTED_VALUE"""),"Uncle Sams Cider (04/04/2023)")</f>
        <v>Uncle Sams Cider (04/04/2023)</v>
      </c>
      <c r="H10794" s="19"/>
    </row>
    <row r="10795">
      <c r="A10795" s="9"/>
      <c r="B10795" s="15"/>
      <c r="C10795" s="9">
        <f>IFERROR(__xludf.DUMMYFUNCTION("""COMPUTED_VALUE"""),45030.7313655092)</f>
        <v>45030.73137</v>
      </c>
      <c r="D10795" s="15">
        <f>IFERROR(__xludf.DUMMYFUNCTION("""COMPUTED_VALUE"""),1.061)</f>
        <v>1.061</v>
      </c>
      <c r="E10795" s="16">
        <f>IFERROR(__xludf.DUMMYFUNCTION("""COMPUTED_VALUE"""),64.0)</f>
        <v>64</v>
      </c>
      <c r="F10795" s="19" t="str">
        <f>IFERROR(__xludf.DUMMYFUNCTION("""COMPUTED_VALUE"""),"BLUE")</f>
        <v>BLUE</v>
      </c>
      <c r="G10795" s="20" t="str">
        <f>IFERROR(__xludf.DUMMYFUNCTION("""COMPUTED_VALUE"""),"Uncle Sams Cider (04/04/2023)")</f>
        <v>Uncle Sams Cider (04/04/2023)</v>
      </c>
      <c r="H10795" s="19"/>
    </row>
    <row r="10796">
      <c r="A10796" s="9"/>
      <c r="B10796" s="15"/>
      <c r="C10796" s="9">
        <f>IFERROR(__xludf.DUMMYFUNCTION("""COMPUTED_VALUE"""),45030.7209339467)</f>
        <v>45030.72093</v>
      </c>
      <c r="D10796" s="15">
        <f>IFERROR(__xludf.DUMMYFUNCTION("""COMPUTED_VALUE"""),1.061)</f>
        <v>1.061</v>
      </c>
      <c r="E10796" s="16">
        <f>IFERROR(__xludf.DUMMYFUNCTION("""COMPUTED_VALUE"""),64.0)</f>
        <v>64</v>
      </c>
      <c r="F10796" s="19" t="str">
        <f>IFERROR(__xludf.DUMMYFUNCTION("""COMPUTED_VALUE"""),"BLUE")</f>
        <v>BLUE</v>
      </c>
      <c r="G10796" s="20" t="str">
        <f>IFERROR(__xludf.DUMMYFUNCTION("""COMPUTED_VALUE"""),"Uncle Sams Cider (04/04/2023)")</f>
        <v>Uncle Sams Cider (04/04/2023)</v>
      </c>
      <c r="H10796" s="19"/>
    </row>
    <row r="10797">
      <c r="A10797" s="9"/>
      <c r="B10797" s="15"/>
      <c r="C10797" s="9">
        <f>IFERROR(__xludf.DUMMYFUNCTION("""COMPUTED_VALUE"""),45030.710512824)</f>
        <v>45030.71051</v>
      </c>
      <c r="D10797" s="15">
        <f>IFERROR(__xludf.DUMMYFUNCTION("""COMPUTED_VALUE"""),1.061)</f>
        <v>1.061</v>
      </c>
      <c r="E10797" s="16">
        <f>IFERROR(__xludf.DUMMYFUNCTION("""COMPUTED_VALUE"""),64.0)</f>
        <v>64</v>
      </c>
      <c r="F10797" s="19" t="str">
        <f>IFERROR(__xludf.DUMMYFUNCTION("""COMPUTED_VALUE"""),"BLUE")</f>
        <v>BLUE</v>
      </c>
      <c r="G10797" s="20" t="str">
        <f>IFERROR(__xludf.DUMMYFUNCTION("""COMPUTED_VALUE"""),"Uncle Sams Cider (04/04/2023)")</f>
        <v>Uncle Sams Cider (04/04/2023)</v>
      </c>
      <c r="H10797" s="19"/>
    </row>
    <row r="10798">
      <c r="A10798" s="9"/>
      <c r="B10798" s="15"/>
      <c r="C10798" s="9">
        <f>IFERROR(__xludf.DUMMYFUNCTION("""COMPUTED_VALUE"""),45030.7000937268)</f>
        <v>45030.70009</v>
      </c>
      <c r="D10798" s="15">
        <f>IFERROR(__xludf.DUMMYFUNCTION("""COMPUTED_VALUE"""),1.061)</f>
        <v>1.061</v>
      </c>
      <c r="E10798" s="16">
        <f>IFERROR(__xludf.DUMMYFUNCTION("""COMPUTED_VALUE"""),64.0)</f>
        <v>64</v>
      </c>
      <c r="F10798" s="19" t="str">
        <f>IFERROR(__xludf.DUMMYFUNCTION("""COMPUTED_VALUE"""),"BLUE")</f>
        <v>BLUE</v>
      </c>
      <c r="G10798" s="20" t="str">
        <f>IFERROR(__xludf.DUMMYFUNCTION("""COMPUTED_VALUE"""),"Uncle Sams Cider (04/04/2023)")</f>
        <v>Uncle Sams Cider (04/04/2023)</v>
      </c>
      <c r="H10798" s="19"/>
    </row>
    <row r="10799">
      <c r="A10799" s="9"/>
      <c r="B10799" s="15"/>
      <c r="C10799" s="9">
        <f>IFERROR(__xludf.DUMMYFUNCTION("""COMPUTED_VALUE"""),45030.689671956)</f>
        <v>45030.68967</v>
      </c>
      <c r="D10799" s="15">
        <f>IFERROR(__xludf.DUMMYFUNCTION("""COMPUTED_VALUE"""),1.061)</f>
        <v>1.061</v>
      </c>
      <c r="E10799" s="16">
        <f>IFERROR(__xludf.DUMMYFUNCTION("""COMPUTED_VALUE"""),64.0)</f>
        <v>64</v>
      </c>
      <c r="F10799" s="19" t="str">
        <f>IFERROR(__xludf.DUMMYFUNCTION("""COMPUTED_VALUE"""),"BLUE")</f>
        <v>BLUE</v>
      </c>
      <c r="G10799" s="20" t="str">
        <f>IFERROR(__xludf.DUMMYFUNCTION("""COMPUTED_VALUE"""),"Uncle Sams Cider (04/04/2023)")</f>
        <v>Uncle Sams Cider (04/04/2023)</v>
      </c>
      <c r="H10799" s="19"/>
    </row>
    <row r="10800">
      <c r="A10800" s="9"/>
      <c r="B10800" s="15"/>
      <c r="C10800" s="9">
        <f>IFERROR(__xludf.DUMMYFUNCTION("""COMPUTED_VALUE"""),45030.6792521296)</f>
        <v>45030.67925</v>
      </c>
      <c r="D10800" s="15">
        <f>IFERROR(__xludf.DUMMYFUNCTION("""COMPUTED_VALUE"""),1.061)</f>
        <v>1.061</v>
      </c>
      <c r="E10800" s="16">
        <f>IFERROR(__xludf.DUMMYFUNCTION("""COMPUTED_VALUE"""),64.0)</f>
        <v>64</v>
      </c>
      <c r="F10800" s="19" t="str">
        <f>IFERROR(__xludf.DUMMYFUNCTION("""COMPUTED_VALUE"""),"BLUE")</f>
        <v>BLUE</v>
      </c>
      <c r="G10800" s="20" t="str">
        <f>IFERROR(__xludf.DUMMYFUNCTION("""COMPUTED_VALUE"""),"Uncle Sams Cider (04/04/2023)")</f>
        <v>Uncle Sams Cider (04/04/2023)</v>
      </c>
      <c r="H10800" s="19"/>
    </row>
    <row r="10801">
      <c r="A10801" s="9"/>
      <c r="B10801" s="15"/>
      <c r="C10801" s="9">
        <f>IFERROR(__xludf.DUMMYFUNCTION("""COMPUTED_VALUE"""),45030.6688303009)</f>
        <v>45030.66883</v>
      </c>
      <c r="D10801" s="15">
        <f>IFERROR(__xludf.DUMMYFUNCTION("""COMPUTED_VALUE"""),1.061)</f>
        <v>1.061</v>
      </c>
      <c r="E10801" s="16">
        <f>IFERROR(__xludf.DUMMYFUNCTION("""COMPUTED_VALUE"""),64.0)</f>
        <v>64</v>
      </c>
      <c r="F10801" s="19" t="str">
        <f>IFERROR(__xludf.DUMMYFUNCTION("""COMPUTED_VALUE"""),"BLUE")</f>
        <v>BLUE</v>
      </c>
      <c r="G10801" s="20" t="str">
        <f>IFERROR(__xludf.DUMMYFUNCTION("""COMPUTED_VALUE"""),"Uncle Sams Cider (04/04/2023)")</f>
        <v>Uncle Sams Cider (04/04/2023)</v>
      </c>
      <c r="H10801" s="19"/>
    </row>
    <row r="10802">
      <c r="A10802" s="9"/>
      <c r="B10802" s="15"/>
      <c r="C10802" s="9">
        <f>IFERROR(__xludf.DUMMYFUNCTION("""COMPUTED_VALUE"""),45030.6584101273)</f>
        <v>45030.65841</v>
      </c>
      <c r="D10802" s="15">
        <f>IFERROR(__xludf.DUMMYFUNCTION("""COMPUTED_VALUE"""),1.061)</f>
        <v>1.061</v>
      </c>
      <c r="E10802" s="16">
        <f>IFERROR(__xludf.DUMMYFUNCTION("""COMPUTED_VALUE"""),64.0)</f>
        <v>64</v>
      </c>
      <c r="F10802" s="19" t="str">
        <f>IFERROR(__xludf.DUMMYFUNCTION("""COMPUTED_VALUE"""),"BLUE")</f>
        <v>BLUE</v>
      </c>
      <c r="G10802" s="20" t="str">
        <f>IFERROR(__xludf.DUMMYFUNCTION("""COMPUTED_VALUE"""),"Uncle Sams Cider (04/04/2023)")</f>
        <v>Uncle Sams Cider (04/04/2023)</v>
      </c>
      <c r="H10802" s="19"/>
    </row>
    <row r="10803">
      <c r="A10803" s="9"/>
      <c r="B10803" s="15"/>
      <c r="C10803" s="9">
        <f>IFERROR(__xludf.DUMMYFUNCTION("""COMPUTED_VALUE"""),45030.647975949)</f>
        <v>45030.64798</v>
      </c>
      <c r="D10803" s="15">
        <f>IFERROR(__xludf.DUMMYFUNCTION("""COMPUTED_VALUE"""),1.061)</f>
        <v>1.061</v>
      </c>
      <c r="E10803" s="16">
        <f>IFERROR(__xludf.DUMMYFUNCTION("""COMPUTED_VALUE"""),64.0)</f>
        <v>64</v>
      </c>
      <c r="F10803" s="19" t="str">
        <f>IFERROR(__xludf.DUMMYFUNCTION("""COMPUTED_VALUE"""),"BLUE")</f>
        <v>BLUE</v>
      </c>
      <c r="G10803" s="20" t="str">
        <f>IFERROR(__xludf.DUMMYFUNCTION("""COMPUTED_VALUE"""),"Uncle Sams Cider (04/04/2023)")</f>
        <v>Uncle Sams Cider (04/04/2023)</v>
      </c>
      <c r="H10803" s="19"/>
    </row>
    <row r="10804">
      <c r="A10804" s="9"/>
      <c r="B10804" s="15"/>
      <c r="C10804" s="9">
        <f>IFERROR(__xludf.DUMMYFUNCTION("""COMPUTED_VALUE"""),45030.637554618)</f>
        <v>45030.63755</v>
      </c>
      <c r="D10804" s="15">
        <f>IFERROR(__xludf.DUMMYFUNCTION("""COMPUTED_VALUE"""),1.061)</f>
        <v>1.061</v>
      </c>
      <c r="E10804" s="16">
        <f>IFERROR(__xludf.DUMMYFUNCTION("""COMPUTED_VALUE"""),64.0)</f>
        <v>64</v>
      </c>
      <c r="F10804" s="19" t="str">
        <f>IFERROR(__xludf.DUMMYFUNCTION("""COMPUTED_VALUE"""),"BLUE")</f>
        <v>BLUE</v>
      </c>
      <c r="G10804" s="20" t="str">
        <f>IFERROR(__xludf.DUMMYFUNCTION("""COMPUTED_VALUE"""),"Uncle Sams Cider (04/04/2023)")</f>
        <v>Uncle Sams Cider (04/04/2023)</v>
      </c>
      <c r="H10804" s="19"/>
    </row>
    <row r="10805">
      <c r="A10805" s="9"/>
      <c r="B10805" s="15"/>
      <c r="C10805" s="9">
        <f>IFERROR(__xludf.DUMMYFUNCTION("""COMPUTED_VALUE"""),45030.6271200115)</f>
        <v>45030.62712</v>
      </c>
      <c r="D10805" s="15">
        <f>IFERROR(__xludf.DUMMYFUNCTION("""COMPUTED_VALUE"""),1.062)</f>
        <v>1.062</v>
      </c>
      <c r="E10805" s="16">
        <f>IFERROR(__xludf.DUMMYFUNCTION("""COMPUTED_VALUE"""),64.0)</f>
        <v>64</v>
      </c>
      <c r="F10805" s="19" t="str">
        <f>IFERROR(__xludf.DUMMYFUNCTION("""COMPUTED_VALUE"""),"BLUE")</f>
        <v>BLUE</v>
      </c>
      <c r="G10805" s="20" t="str">
        <f>IFERROR(__xludf.DUMMYFUNCTION("""COMPUTED_VALUE"""),"Uncle Sams Cider (04/04/2023)")</f>
        <v>Uncle Sams Cider (04/04/2023)</v>
      </c>
      <c r="H10805" s="19"/>
    </row>
    <row r="10806">
      <c r="A10806" s="9"/>
      <c r="B10806" s="15"/>
      <c r="C10806" s="9">
        <f>IFERROR(__xludf.DUMMYFUNCTION("""COMPUTED_VALUE"""),45030.6167002083)</f>
        <v>45030.6167</v>
      </c>
      <c r="D10806" s="15">
        <f>IFERROR(__xludf.DUMMYFUNCTION("""COMPUTED_VALUE"""),1.061)</f>
        <v>1.061</v>
      </c>
      <c r="E10806" s="16">
        <f>IFERROR(__xludf.DUMMYFUNCTION("""COMPUTED_VALUE"""),64.0)</f>
        <v>64</v>
      </c>
      <c r="F10806" s="19" t="str">
        <f>IFERROR(__xludf.DUMMYFUNCTION("""COMPUTED_VALUE"""),"BLUE")</f>
        <v>BLUE</v>
      </c>
      <c r="G10806" s="20" t="str">
        <f>IFERROR(__xludf.DUMMYFUNCTION("""COMPUTED_VALUE"""),"Uncle Sams Cider (04/04/2023)")</f>
        <v>Uncle Sams Cider (04/04/2023)</v>
      </c>
      <c r="H10806" s="19"/>
    </row>
    <row r="10807">
      <c r="A10807" s="9"/>
      <c r="B10807" s="15"/>
      <c r="C10807" s="9">
        <f>IFERROR(__xludf.DUMMYFUNCTION("""COMPUTED_VALUE"""),45030.6062783912)</f>
        <v>45030.60628</v>
      </c>
      <c r="D10807" s="15">
        <f>IFERROR(__xludf.DUMMYFUNCTION("""COMPUTED_VALUE"""),1.061)</f>
        <v>1.061</v>
      </c>
      <c r="E10807" s="16">
        <f>IFERROR(__xludf.DUMMYFUNCTION("""COMPUTED_VALUE"""),64.0)</f>
        <v>64</v>
      </c>
      <c r="F10807" s="19" t="str">
        <f>IFERROR(__xludf.DUMMYFUNCTION("""COMPUTED_VALUE"""),"BLUE")</f>
        <v>BLUE</v>
      </c>
      <c r="G10807" s="20" t="str">
        <f>IFERROR(__xludf.DUMMYFUNCTION("""COMPUTED_VALUE"""),"Uncle Sams Cider (04/04/2023)")</f>
        <v>Uncle Sams Cider (04/04/2023)</v>
      </c>
      <c r="H10807" s="19"/>
    </row>
    <row r="10808">
      <c r="A10808" s="9"/>
      <c r="B10808" s="15"/>
      <c r="C10808" s="9">
        <f>IFERROR(__xludf.DUMMYFUNCTION("""COMPUTED_VALUE"""),45030.5958448611)</f>
        <v>45030.59584</v>
      </c>
      <c r="D10808" s="15">
        <f>IFERROR(__xludf.DUMMYFUNCTION("""COMPUTED_VALUE"""),1.062)</f>
        <v>1.062</v>
      </c>
      <c r="E10808" s="16">
        <f>IFERROR(__xludf.DUMMYFUNCTION("""COMPUTED_VALUE"""),64.0)</f>
        <v>64</v>
      </c>
      <c r="F10808" s="19" t="str">
        <f>IFERROR(__xludf.DUMMYFUNCTION("""COMPUTED_VALUE"""),"BLUE")</f>
        <v>BLUE</v>
      </c>
      <c r="G10808" s="20" t="str">
        <f>IFERROR(__xludf.DUMMYFUNCTION("""COMPUTED_VALUE"""),"Uncle Sams Cider (04/04/2023)")</f>
        <v>Uncle Sams Cider (04/04/2023)</v>
      </c>
      <c r="H10808" s="19"/>
    </row>
    <row r="10809">
      <c r="A10809" s="9"/>
      <c r="B10809" s="15"/>
      <c r="C10809" s="9">
        <f>IFERROR(__xludf.DUMMYFUNCTION("""COMPUTED_VALUE"""),45030.5854113657)</f>
        <v>45030.58541</v>
      </c>
      <c r="D10809" s="15">
        <f>IFERROR(__xludf.DUMMYFUNCTION("""COMPUTED_VALUE"""),1.062)</f>
        <v>1.062</v>
      </c>
      <c r="E10809" s="16">
        <f>IFERROR(__xludf.DUMMYFUNCTION("""COMPUTED_VALUE"""),64.0)</f>
        <v>64</v>
      </c>
      <c r="F10809" s="19" t="str">
        <f>IFERROR(__xludf.DUMMYFUNCTION("""COMPUTED_VALUE"""),"BLUE")</f>
        <v>BLUE</v>
      </c>
      <c r="G10809" s="20" t="str">
        <f>IFERROR(__xludf.DUMMYFUNCTION("""COMPUTED_VALUE"""),"Uncle Sams Cider (04/04/2023)")</f>
        <v>Uncle Sams Cider (04/04/2023)</v>
      </c>
      <c r="H10809" s="19"/>
    </row>
    <row r="10810">
      <c r="A10810" s="9"/>
      <c r="B10810" s="15"/>
      <c r="C10810" s="9">
        <f>IFERROR(__xludf.DUMMYFUNCTION("""COMPUTED_VALUE"""),45030.5749896527)</f>
        <v>45030.57499</v>
      </c>
      <c r="D10810" s="15">
        <f>IFERROR(__xludf.DUMMYFUNCTION("""COMPUTED_VALUE"""),1.062)</f>
        <v>1.062</v>
      </c>
      <c r="E10810" s="16">
        <f>IFERROR(__xludf.DUMMYFUNCTION("""COMPUTED_VALUE"""),64.0)</f>
        <v>64</v>
      </c>
      <c r="F10810" s="19" t="str">
        <f>IFERROR(__xludf.DUMMYFUNCTION("""COMPUTED_VALUE"""),"BLUE")</f>
        <v>BLUE</v>
      </c>
      <c r="G10810" s="20" t="str">
        <f>IFERROR(__xludf.DUMMYFUNCTION("""COMPUTED_VALUE"""),"Uncle Sams Cider (04/04/2023)")</f>
        <v>Uncle Sams Cider (04/04/2023)</v>
      </c>
      <c r="H10810" s="19"/>
    </row>
    <row r="10811">
      <c r="A10811" s="9"/>
      <c r="B10811" s="15"/>
      <c r="C10811" s="9">
        <f>IFERROR(__xludf.DUMMYFUNCTION("""COMPUTED_VALUE"""),45030.5645575463)</f>
        <v>45030.56456</v>
      </c>
      <c r="D10811" s="15">
        <f>IFERROR(__xludf.DUMMYFUNCTION("""COMPUTED_VALUE"""),1.062)</f>
        <v>1.062</v>
      </c>
      <c r="E10811" s="16">
        <f>IFERROR(__xludf.DUMMYFUNCTION("""COMPUTED_VALUE"""),64.0)</f>
        <v>64</v>
      </c>
      <c r="F10811" s="19" t="str">
        <f>IFERROR(__xludf.DUMMYFUNCTION("""COMPUTED_VALUE"""),"BLUE")</f>
        <v>BLUE</v>
      </c>
      <c r="G10811" s="20" t="str">
        <f>IFERROR(__xludf.DUMMYFUNCTION("""COMPUTED_VALUE"""),"Uncle Sams Cider (04/04/2023)")</f>
        <v>Uncle Sams Cider (04/04/2023)</v>
      </c>
      <c r="H10811" s="19"/>
    </row>
    <row r="10812">
      <c r="A10812" s="9"/>
      <c r="B10812" s="15"/>
      <c r="C10812" s="9">
        <f>IFERROR(__xludf.DUMMYFUNCTION("""COMPUTED_VALUE"""),45030.5541373958)</f>
        <v>45030.55414</v>
      </c>
      <c r="D10812" s="15">
        <f>IFERROR(__xludf.DUMMYFUNCTION("""COMPUTED_VALUE"""),1.062)</f>
        <v>1.062</v>
      </c>
      <c r="E10812" s="16">
        <f>IFERROR(__xludf.DUMMYFUNCTION("""COMPUTED_VALUE"""),64.0)</f>
        <v>64</v>
      </c>
      <c r="F10812" s="19" t="str">
        <f>IFERROR(__xludf.DUMMYFUNCTION("""COMPUTED_VALUE"""),"BLUE")</f>
        <v>BLUE</v>
      </c>
      <c r="G10812" s="20" t="str">
        <f>IFERROR(__xludf.DUMMYFUNCTION("""COMPUTED_VALUE"""),"Uncle Sams Cider (04/04/2023)")</f>
        <v>Uncle Sams Cider (04/04/2023)</v>
      </c>
      <c r="H10812" s="19"/>
    </row>
    <row r="10813">
      <c r="A10813" s="9"/>
      <c r="B10813" s="15"/>
      <c r="C10813" s="9">
        <f>IFERROR(__xludf.DUMMYFUNCTION("""COMPUTED_VALUE"""),45030.5437163657)</f>
        <v>45030.54372</v>
      </c>
      <c r="D10813" s="15">
        <f>IFERROR(__xludf.DUMMYFUNCTION("""COMPUTED_VALUE"""),1.062)</f>
        <v>1.062</v>
      </c>
      <c r="E10813" s="16">
        <f>IFERROR(__xludf.DUMMYFUNCTION("""COMPUTED_VALUE"""),64.0)</f>
        <v>64</v>
      </c>
      <c r="F10813" s="19" t="str">
        <f>IFERROR(__xludf.DUMMYFUNCTION("""COMPUTED_VALUE"""),"BLUE")</f>
        <v>BLUE</v>
      </c>
      <c r="G10813" s="20" t="str">
        <f>IFERROR(__xludf.DUMMYFUNCTION("""COMPUTED_VALUE"""),"Uncle Sams Cider (04/04/2023)")</f>
        <v>Uncle Sams Cider (04/04/2023)</v>
      </c>
      <c r="H10813" s="19"/>
    </row>
    <row r="10814">
      <c r="A10814" s="9"/>
      <c r="B10814" s="15"/>
      <c r="C10814" s="9">
        <f>IFERROR(__xludf.DUMMYFUNCTION("""COMPUTED_VALUE"""),45030.5332953588)</f>
        <v>45030.5333</v>
      </c>
      <c r="D10814" s="15">
        <f>IFERROR(__xludf.DUMMYFUNCTION("""COMPUTED_VALUE"""),1.062)</f>
        <v>1.062</v>
      </c>
      <c r="E10814" s="16">
        <f>IFERROR(__xludf.DUMMYFUNCTION("""COMPUTED_VALUE"""),64.0)</f>
        <v>64</v>
      </c>
      <c r="F10814" s="19" t="str">
        <f>IFERROR(__xludf.DUMMYFUNCTION("""COMPUTED_VALUE"""),"BLUE")</f>
        <v>BLUE</v>
      </c>
      <c r="G10814" s="20" t="str">
        <f>IFERROR(__xludf.DUMMYFUNCTION("""COMPUTED_VALUE"""),"Uncle Sams Cider (04/04/2023)")</f>
        <v>Uncle Sams Cider (04/04/2023)</v>
      </c>
      <c r="H10814" s="19"/>
    </row>
    <row r="10815">
      <c r="A10815" s="9"/>
      <c r="B10815" s="15"/>
      <c r="C10815" s="9">
        <f>IFERROR(__xludf.DUMMYFUNCTION("""COMPUTED_VALUE"""),45030.5228617708)</f>
        <v>45030.52286</v>
      </c>
      <c r="D10815" s="15">
        <f>IFERROR(__xludf.DUMMYFUNCTION("""COMPUTED_VALUE"""),1.062)</f>
        <v>1.062</v>
      </c>
      <c r="E10815" s="16">
        <f>IFERROR(__xludf.DUMMYFUNCTION("""COMPUTED_VALUE"""),64.0)</f>
        <v>64</v>
      </c>
      <c r="F10815" s="19" t="str">
        <f>IFERROR(__xludf.DUMMYFUNCTION("""COMPUTED_VALUE"""),"BLUE")</f>
        <v>BLUE</v>
      </c>
      <c r="G10815" s="20" t="str">
        <f>IFERROR(__xludf.DUMMYFUNCTION("""COMPUTED_VALUE"""),"Uncle Sams Cider (04/04/2023)")</f>
        <v>Uncle Sams Cider (04/04/2023)</v>
      </c>
      <c r="H10815" s="19"/>
    </row>
    <row r="10816">
      <c r="A10816" s="9"/>
      <c r="B10816" s="15"/>
      <c r="C10816" s="9">
        <f>IFERROR(__xludf.DUMMYFUNCTION("""COMPUTED_VALUE"""),45030.5124420949)</f>
        <v>45030.51244</v>
      </c>
      <c r="D10816" s="15">
        <f>IFERROR(__xludf.DUMMYFUNCTION("""COMPUTED_VALUE"""),1.062)</f>
        <v>1.062</v>
      </c>
      <c r="E10816" s="16">
        <f>IFERROR(__xludf.DUMMYFUNCTION("""COMPUTED_VALUE"""),64.0)</f>
        <v>64</v>
      </c>
      <c r="F10816" s="19" t="str">
        <f>IFERROR(__xludf.DUMMYFUNCTION("""COMPUTED_VALUE"""),"BLUE")</f>
        <v>BLUE</v>
      </c>
      <c r="G10816" s="20" t="str">
        <f>IFERROR(__xludf.DUMMYFUNCTION("""COMPUTED_VALUE"""),"Uncle Sams Cider (04/04/2023)")</f>
        <v>Uncle Sams Cider (04/04/2023)</v>
      </c>
      <c r="H10816" s="19"/>
    </row>
    <row r="10817">
      <c r="A10817" s="9"/>
      <c r="B10817" s="15"/>
      <c r="C10817" s="9">
        <f>IFERROR(__xludf.DUMMYFUNCTION("""COMPUTED_VALUE"""),45030.5020219097)</f>
        <v>45030.50202</v>
      </c>
      <c r="D10817" s="15">
        <f>IFERROR(__xludf.DUMMYFUNCTION("""COMPUTED_VALUE"""),1.062)</f>
        <v>1.062</v>
      </c>
      <c r="E10817" s="16">
        <f>IFERROR(__xludf.DUMMYFUNCTION("""COMPUTED_VALUE"""),64.0)</f>
        <v>64</v>
      </c>
      <c r="F10817" s="19" t="str">
        <f>IFERROR(__xludf.DUMMYFUNCTION("""COMPUTED_VALUE"""),"BLUE")</f>
        <v>BLUE</v>
      </c>
      <c r="G10817" s="20" t="str">
        <f>IFERROR(__xludf.DUMMYFUNCTION("""COMPUTED_VALUE"""),"Uncle Sams Cider (04/04/2023)")</f>
        <v>Uncle Sams Cider (04/04/2023)</v>
      </c>
      <c r="H10817" s="19"/>
    </row>
    <row r="10818">
      <c r="A10818" s="9"/>
      <c r="B10818" s="15"/>
      <c r="C10818" s="9">
        <f>IFERROR(__xludf.DUMMYFUNCTION("""COMPUTED_VALUE"""),45030.4916013541)</f>
        <v>45030.4916</v>
      </c>
      <c r="D10818" s="15">
        <f>IFERROR(__xludf.DUMMYFUNCTION("""COMPUTED_VALUE"""),1.062)</f>
        <v>1.062</v>
      </c>
      <c r="E10818" s="16">
        <f>IFERROR(__xludf.DUMMYFUNCTION("""COMPUTED_VALUE"""),64.0)</f>
        <v>64</v>
      </c>
      <c r="F10818" s="19" t="str">
        <f>IFERROR(__xludf.DUMMYFUNCTION("""COMPUTED_VALUE"""),"BLUE")</f>
        <v>BLUE</v>
      </c>
      <c r="G10818" s="20" t="str">
        <f>IFERROR(__xludf.DUMMYFUNCTION("""COMPUTED_VALUE"""),"Uncle Sams Cider (04/04/2023)")</f>
        <v>Uncle Sams Cider (04/04/2023)</v>
      </c>
      <c r="H10818" s="19"/>
    </row>
    <row r="10819">
      <c r="A10819" s="9"/>
      <c r="B10819" s="15"/>
      <c r="C10819" s="9">
        <f>IFERROR(__xludf.DUMMYFUNCTION("""COMPUTED_VALUE"""),45030.4811669097)</f>
        <v>45030.48117</v>
      </c>
      <c r="D10819" s="15">
        <f>IFERROR(__xludf.DUMMYFUNCTION("""COMPUTED_VALUE"""),1.062)</f>
        <v>1.062</v>
      </c>
      <c r="E10819" s="16">
        <f>IFERROR(__xludf.DUMMYFUNCTION("""COMPUTED_VALUE"""),64.0)</f>
        <v>64</v>
      </c>
      <c r="F10819" s="19" t="str">
        <f>IFERROR(__xludf.DUMMYFUNCTION("""COMPUTED_VALUE"""),"BLUE")</f>
        <v>BLUE</v>
      </c>
      <c r="G10819" s="20" t="str">
        <f>IFERROR(__xludf.DUMMYFUNCTION("""COMPUTED_VALUE"""),"Uncle Sams Cider (04/04/2023)")</f>
        <v>Uncle Sams Cider (04/04/2023)</v>
      </c>
      <c r="H10819" s="19"/>
    </row>
    <row r="10820">
      <c r="A10820" s="9"/>
      <c r="B10820" s="15"/>
      <c r="C10820" s="9">
        <f>IFERROR(__xludf.DUMMYFUNCTION("""COMPUTED_VALUE"""),45030.4707460532)</f>
        <v>45030.47075</v>
      </c>
      <c r="D10820" s="15">
        <f>IFERROR(__xludf.DUMMYFUNCTION("""COMPUTED_VALUE"""),1.062)</f>
        <v>1.062</v>
      </c>
      <c r="E10820" s="16">
        <f>IFERROR(__xludf.DUMMYFUNCTION("""COMPUTED_VALUE"""),64.0)</f>
        <v>64</v>
      </c>
      <c r="F10820" s="19" t="str">
        <f>IFERROR(__xludf.DUMMYFUNCTION("""COMPUTED_VALUE"""),"BLUE")</f>
        <v>BLUE</v>
      </c>
      <c r="G10820" s="20" t="str">
        <f>IFERROR(__xludf.DUMMYFUNCTION("""COMPUTED_VALUE"""),"Uncle Sams Cider (04/04/2023)")</f>
        <v>Uncle Sams Cider (04/04/2023)</v>
      </c>
      <c r="H10820" s="19"/>
    </row>
    <row r="10821">
      <c r="A10821" s="9"/>
      <c r="B10821" s="15"/>
      <c r="C10821" s="9">
        <f>IFERROR(__xludf.DUMMYFUNCTION("""COMPUTED_VALUE"""),45030.4603258333)</f>
        <v>45030.46033</v>
      </c>
      <c r="D10821" s="15">
        <f>IFERROR(__xludf.DUMMYFUNCTION("""COMPUTED_VALUE"""),1.062)</f>
        <v>1.062</v>
      </c>
      <c r="E10821" s="16">
        <f>IFERROR(__xludf.DUMMYFUNCTION("""COMPUTED_VALUE"""),64.0)</f>
        <v>64</v>
      </c>
      <c r="F10821" s="19" t="str">
        <f>IFERROR(__xludf.DUMMYFUNCTION("""COMPUTED_VALUE"""),"BLUE")</f>
        <v>BLUE</v>
      </c>
      <c r="G10821" s="20" t="str">
        <f>IFERROR(__xludf.DUMMYFUNCTION("""COMPUTED_VALUE"""),"Uncle Sams Cider (04/04/2023)")</f>
        <v>Uncle Sams Cider (04/04/2023)</v>
      </c>
      <c r="H10821" s="19"/>
    </row>
    <row r="10822">
      <c r="A10822" s="9"/>
      <c r="B10822" s="15"/>
      <c r="C10822" s="9">
        <f>IFERROR(__xludf.DUMMYFUNCTION("""COMPUTED_VALUE"""),45030.4499041319)</f>
        <v>45030.4499</v>
      </c>
      <c r="D10822" s="15">
        <f>IFERROR(__xludf.DUMMYFUNCTION("""COMPUTED_VALUE"""),1.062)</f>
        <v>1.062</v>
      </c>
      <c r="E10822" s="16">
        <f>IFERROR(__xludf.DUMMYFUNCTION("""COMPUTED_VALUE"""),64.0)</f>
        <v>64</v>
      </c>
      <c r="F10822" s="19" t="str">
        <f>IFERROR(__xludf.DUMMYFUNCTION("""COMPUTED_VALUE"""),"BLUE")</f>
        <v>BLUE</v>
      </c>
      <c r="G10822" s="20" t="str">
        <f>IFERROR(__xludf.DUMMYFUNCTION("""COMPUTED_VALUE"""),"Uncle Sams Cider (04/04/2023)")</f>
        <v>Uncle Sams Cider (04/04/2023)</v>
      </c>
      <c r="H10822" s="19"/>
    </row>
    <row r="10823">
      <c r="A10823" s="9"/>
      <c r="B10823" s="15"/>
      <c r="C10823" s="9">
        <f>IFERROR(__xludf.DUMMYFUNCTION("""COMPUTED_VALUE"""),45030.4394841898)</f>
        <v>45030.43948</v>
      </c>
      <c r="D10823" s="15">
        <f>IFERROR(__xludf.DUMMYFUNCTION("""COMPUTED_VALUE"""),1.062)</f>
        <v>1.062</v>
      </c>
      <c r="E10823" s="16">
        <f>IFERROR(__xludf.DUMMYFUNCTION("""COMPUTED_VALUE"""),64.0)</f>
        <v>64</v>
      </c>
      <c r="F10823" s="19" t="str">
        <f>IFERROR(__xludf.DUMMYFUNCTION("""COMPUTED_VALUE"""),"BLUE")</f>
        <v>BLUE</v>
      </c>
      <c r="G10823" s="20" t="str">
        <f>IFERROR(__xludf.DUMMYFUNCTION("""COMPUTED_VALUE"""),"Uncle Sams Cider (04/04/2023)")</f>
        <v>Uncle Sams Cider (04/04/2023)</v>
      </c>
      <c r="H10823" s="19"/>
    </row>
    <row r="10824">
      <c r="A10824" s="9"/>
      <c r="B10824" s="15"/>
      <c r="C10824" s="9">
        <f>IFERROR(__xludf.DUMMYFUNCTION("""COMPUTED_VALUE"""),45030.4290637615)</f>
        <v>45030.42906</v>
      </c>
      <c r="D10824" s="15">
        <f>IFERROR(__xludf.DUMMYFUNCTION("""COMPUTED_VALUE"""),1.062)</f>
        <v>1.062</v>
      </c>
      <c r="E10824" s="16">
        <f>IFERROR(__xludf.DUMMYFUNCTION("""COMPUTED_VALUE"""),64.0)</f>
        <v>64</v>
      </c>
      <c r="F10824" s="19" t="str">
        <f>IFERROR(__xludf.DUMMYFUNCTION("""COMPUTED_VALUE"""),"BLUE")</f>
        <v>BLUE</v>
      </c>
      <c r="G10824" s="20" t="str">
        <f>IFERROR(__xludf.DUMMYFUNCTION("""COMPUTED_VALUE"""),"Uncle Sams Cider (04/04/2023)")</f>
        <v>Uncle Sams Cider (04/04/2023)</v>
      </c>
      <c r="H10824" s="19"/>
    </row>
    <row r="10825">
      <c r="A10825" s="9"/>
      <c r="B10825" s="15"/>
      <c r="C10825" s="9">
        <f>IFERROR(__xludf.DUMMYFUNCTION("""COMPUTED_VALUE"""),45030.4186429282)</f>
        <v>45030.41864</v>
      </c>
      <c r="D10825" s="15">
        <f>IFERROR(__xludf.DUMMYFUNCTION("""COMPUTED_VALUE"""),1.062)</f>
        <v>1.062</v>
      </c>
      <c r="E10825" s="16">
        <f>IFERROR(__xludf.DUMMYFUNCTION("""COMPUTED_VALUE"""),64.0)</f>
        <v>64</v>
      </c>
      <c r="F10825" s="19" t="str">
        <f>IFERROR(__xludf.DUMMYFUNCTION("""COMPUTED_VALUE"""),"BLUE")</f>
        <v>BLUE</v>
      </c>
      <c r="G10825" s="20" t="str">
        <f>IFERROR(__xludf.DUMMYFUNCTION("""COMPUTED_VALUE"""),"Uncle Sams Cider (04/04/2023)")</f>
        <v>Uncle Sams Cider (04/04/2023)</v>
      </c>
      <c r="H10825" s="19"/>
    </row>
    <row r="10826">
      <c r="A10826" s="9"/>
      <c r="B10826" s="15"/>
      <c r="C10826" s="9">
        <f>IFERROR(__xludf.DUMMYFUNCTION("""COMPUTED_VALUE"""),45030.4082094444)</f>
        <v>45030.40821</v>
      </c>
      <c r="D10826" s="15">
        <f>IFERROR(__xludf.DUMMYFUNCTION("""COMPUTED_VALUE"""),1.063)</f>
        <v>1.063</v>
      </c>
      <c r="E10826" s="16">
        <f>IFERROR(__xludf.DUMMYFUNCTION("""COMPUTED_VALUE"""),64.0)</f>
        <v>64</v>
      </c>
      <c r="F10826" s="19" t="str">
        <f>IFERROR(__xludf.DUMMYFUNCTION("""COMPUTED_VALUE"""),"BLUE")</f>
        <v>BLUE</v>
      </c>
      <c r="G10826" s="20" t="str">
        <f>IFERROR(__xludf.DUMMYFUNCTION("""COMPUTED_VALUE"""),"Uncle Sams Cider (04/04/2023)")</f>
        <v>Uncle Sams Cider (04/04/2023)</v>
      </c>
      <c r="H10826" s="19"/>
    </row>
    <row r="10827">
      <c r="A10827" s="9"/>
      <c r="B10827" s="15"/>
      <c r="C10827" s="9">
        <f>IFERROR(__xludf.DUMMYFUNCTION("""COMPUTED_VALUE"""),45030.397788125)</f>
        <v>45030.39779</v>
      </c>
      <c r="D10827" s="15">
        <f>IFERROR(__xludf.DUMMYFUNCTION("""COMPUTED_VALUE"""),1.063)</f>
        <v>1.063</v>
      </c>
      <c r="E10827" s="16">
        <f>IFERROR(__xludf.DUMMYFUNCTION("""COMPUTED_VALUE"""),64.0)</f>
        <v>64</v>
      </c>
      <c r="F10827" s="19" t="str">
        <f>IFERROR(__xludf.DUMMYFUNCTION("""COMPUTED_VALUE"""),"BLUE")</f>
        <v>BLUE</v>
      </c>
      <c r="G10827" s="20" t="str">
        <f>IFERROR(__xludf.DUMMYFUNCTION("""COMPUTED_VALUE"""),"Uncle Sams Cider (04/04/2023)")</f>
        <v>Uncle Sams Cider (04/04/2023)</v>
      </c>
      <c r="H10827" s="19"/>
    </row>
    <row r="10828">
      <c r="A10828" s="9"/>
      <c r="B10828" s="15"/>
      <c r="C10828" s="9">
        <f>IFERROR(__xludf.DUMMYFUNCTION("""COMPUTED_VALUE"""),45030.3873648958)</f>
        <v>45030.38736</v>
      </c>
      <c r="D10828" s="15">
        <f>IFERROR(__xludf.DUMMYFUNCTION("""COMPUTED_VALUE"""),1.063)</f>
        <v>1.063</v>
      </c>
      <c r="E10828" s="16">
        <f>IFERROR(__xludf.DUMMYFUNCTION("""COMPUTED_VALUE"""),64.0)</f>
        <v>64</v>
      </c>
      <c r="F10828" s="19" t="str">
        <f>IFERROR(__xludf.DUMMYFUNCTION("""COMPUTED_VALUE"""),"BLUE")</f>
        <v>BLUE</v>
      </c>
      <c r="G10828" s="20" t="str">
        <f>IFERROR(__xludf.DUMMYFUNCTION("""COMPUTED_VALUE"""),"Uncle Sams Cider (04/04/2023)")</f>
        <v>Uncle Sams Cider (04/04/2023)</v>
      </c>
      <c r="H10828" s="19"/>
    </row>
    <row r="10829">
      <c r="A10829" s="9"/>
      <c r="B10829" s="15"/>
      <c r="C10829" s="9">
        <f>IFERROR(__xludf.DUMMYFUNCTION("""COMPUTED_VALUE"""),45030.3769450926)</f>
        <v>45030.37695</v>
      </c>
      <c r="D10829" s="15">
        <f>IFERROR(__xludf.DUMMYFUNCTION("""COMPUTED_VALUE"""),1.063)</f>
        <v>1.063</v>
      </c>
      <c r="E10829" s="16">
        <f>IFERROR(__xludf.DUMMYFUNCTION("""COMPUTED_VALUE"""),64.0)</f>
        <v>64</v>
      </c>
      <c r="F10829" s="19" t="str">
        <f>IFERROR(__xludf.DUMMYFUNCTION("""COMPUTED_VALUE"""),"BLUE")</f>
        <v>BLUE</v>
      </c>
      <c r="G10829" s="20" t="str">
        <f>IFERROR(__xludf.DUMMYFUNCTION("""COMPUTED_VALUE"""),"Uncle Sams Cider (04/04/2023)")</f>
        <v>Uncle Sams Cider (04/04/2023)</v>
      </c>
      <c r="H10829" s="19"/>
    </row>
    <row r="10830">
      <c r="A10830" s="9"/>
      <c r="B10830" s="15"/>
      <c r="C10830" s="9">
        <f>IFERROR(__xludf.DUMMYFUNCTION("""COMPUTED_VALUE"""),45030.3665239814)</f>
        <v>45030.36652</v>
      </c>
      <c r="D10830" s="15">
        <f>IFERROR(__xludf.DUMMYFUNCTION("""COMPUTED_VALUE"""),1.063)</f>
        <v>1.063</v>
      </c>
      <c r="E10830" s="16">
        <f>IFERROR(__xludf.DUMMYFUNCTION("""COMPUTED_VALUE"""),64.0)</f>
        <v>64</v>
      </c>
      <c r="F10830" s="19" t="str">
        <f>IFERROR(__xludf.DUMMYFUNCTION("""COMPUTED_VALUE"""),"BLUE")</f>
        <v>BLUE</v>
      </c>
      <c r="G10830" s="20" t="str">
        <f>IFERROR(__xludf.DUMMYFUNCTION("""COMPUTED_VALUE"""),"Uncle Sams Cider (04/04/2023)")</f>
        <v>Uncle Sams Cider (04/04/2023)</v>
      </c>
      <c r="H10830" s="19"/>
    </row>
    <row r="10831">
      <c r="A10831" s="9"/>
      <c r="B10831" s="15"/>
      <c r="C10831" s="9">
        <f>IFERROR(__xludf.DUMMYFUNCTION("""COMPUTED_VALUE"""),45030.3560798958)</f>
        <v>45030.35608</v>
      </c>
      <c r="D10831" s="15">
        <f>IFERROR(__xludf.DUMMYFUNCTION("""COMPUTED_VALUE"""),1.063)</f>
        <v>1.063</v>
      </c>
      <c r="E10831" s="16">
        <f>IFERROR(__xludf.DUMMYFUNCTION("""COMPUTED_VALUE"""),64.0)</f>
        <v>64</v>
      </c>
      <c r="F10831" s="19" t="str">
        <f>IFERROR(__xludf.DUMMYFUNCTION("""COMPUTED_VALUE"""),"BLUE")</f>
        <v>BLUE</v>
      </c>
      <c r="G10831" s="20" t="str">
        <f>IFERROR(__xludf.DUMMYFUNCTION("""COMPUTED_VALUE"""),"Uncle Sams Cider (04/04/2023)")</f>
        <v>Uncle Sams Cider (04/04/2023)</v>
      </c>
      <c r="H10831" s="19"/>
    </row>
    <row r="10832">
      <c r="A10832" s="9"/>
      <c r="B10832" s="15"/>
      <c r="C10832" s="9">
        <f>IFERROR(__xludf.DUMMYFUNCTION("""COMPUTED_VALUE"""),45030.3456600347)</f>
        <v>45030.34566</v>
      </c>
      <c r="D10832" s="15">
        <f>IFERROR(__xludf.DUMMYFUNCTION("""COMPUTED_VALUE"""),1.063)</f>
        <v>1.063</v>
      </c>
      <c r="E10832" s="16">
        <f>IFERROR(__xludf.DUMMYFUNCTION("""COMPUTED_VALUE"""),64.0)</f>
        <v>64</v>
      </c>
      <c r="F10832" s="19" t="str">
        <f>IFERROR(__xludf.DUMMYFUNCTION("""COMPUTED_VALUE"""),"BLUE")</f>
        <v>BLUE</v>
      </c>
      <c r="G10832" s="20" t="str">
        <f>IFERROR(__xludf.DUMMYFUNCTION("""COMPUTED_VALUE"""),"Uncle Sams Cider (04/04/2023)")</f>
        <v>Uncle Sams Cider (04/04/2023)</v>
      </c>
      <c r="H10832" s="19"/>
    </row>
    <row r="10833">
      <c r="A10833" s="9"/>
      <c r="B10833" s="15"/>
      <c r="C10833" s="9">
        <f>IFERROR(__xludf.DUMMYFUNCTION("""COMPUTED_VALUE"""),45030.3352286689)</f>
        <v>45030.33523</v>
      </c>
      <c r="D10833" s="15">
        <f>IFERROR(__xludf.DUMMYFUNCTION("""COMPUTED_VALUE"""),1.063)</f>
        <v>1.063</v>
      </c>
      <c r="E10833" s="16">
        <f>IFERROR(__xludf.DUMMYFUNCTION("""COMPUTED_VALUE"""),64.0)</f>
        <v>64</v>
      </c>
      <c r="F10833" s="19" t="str">
        <f>IFERROR(__xludf.DUMMYFUNCTION("""COMPUTED_VALUE"""),"BLUE")</f>
        <v>BLUE</v>
      </c>
      <c r="G10833" s="20" t="str">
        <f>IFERROR(__xludf.DUMMYFUNCTION("""COMPUTED_VALUE"""),"Uncle Sams Cider (04/04/2023)")</f>
        <v>Uncle Sams Cider (04/04/2023)</v>
      </c>
      <c r="H10833" s="19"/>
    </row>
    <row r="10834">
      <c r="A10834" s="9"/>
      <c r="B10834" s="15"/>
      <c r="C10834" s="9">
        <f>IFERROR(__xludf.DUMMYFUNCTION("""COMPUTED_VALUE"""),45030.3248077546)</f>
        <v>45030.32481</v>
      </c>
      <c r="D10834" s="15">
        <f>IFERROR(__xludf.DUMMYFUNCTION("""COMPUTED_VALUE"""),1.063)</f>
        <v>1.063</v>
      </c>
      <c r="E10834" s="16">
        <f>IFERROR(__xludf.DUMMYFUNCTION("""COMPUTED_VALUE"""),64.0)</f>
        <v>64</v>
      </c>
      <c r="F10834" s="19" t="str">
        <f>IFERROR(__xludf.DUMMYFUNCTION("""COMPUTED_VALUE"""),"BLUE")</f>
        <v>BLUE</v>
      </c>
      <c r="G10834" s="20" t="str">
        <f>IFERROR(__xludf.DUMMYFUNCTION("""COMPUTED_VALUE"""),"Uncle Sams Cider (04/04/2023)")</f>
        <v>Uncle Sams Cider (04/04/2023)</v>
      </c>
      <c r="H10834" s="19"/>
    </row>
    <row r="10835">
      <c r="A10835" s="9"/>
      <c r="B10835" s="15"/>
      <c r="C10835" s="9">
        <f>IFERROR(__xludf.DUMMYFUNCTION("""COMPUTED_VALUE"""),45030.3143862037)</f>
        <v>45030.31439</v>
      </c>
      <c r="D10835" s="15">
        <f>IFERROR(__xludf.DUMMYFUNCTION("""COMPUTED_VALUE"""),1.063)</f>
        <v>1.063</v>
      </c>
      <c r="E10835" s="16">
        <f>IFERROR(__xludf.DUMMYFUNCTION("""COMPUTED_VALUE"""),64.0)</f>
        <v>64</v>
      </c>
      <c r="F10835" s="19" t="str">
        <f>IFERROR(__xludf.DUMMYFUNCTION("""COMPUTED_VALUE"""),"BLUE")</f>
        <v>BLUE</v>
      </c>
      <c r="G10835" s="20" t="str">
        <f>IFERROR(__xludf.DUMMYFUNCTION("""COMPUTED_VALUE"""),"Uncle Sams Cider (04/04/2023)")</f>
        <v>Uncle Sams Cider (04/04/2023)</v>
      </c>
      <c r="H10835" s="19"/>
    </row>
    <row r="10836">
      <c r="A10836" s="9"/>
      <c r="B10836" s="15"/>
      <c r="C10836" s="9">
        <f>IFERROR(__xludf.DUMMYFUNCTION("""COMPUTED_VALUE"""),45030.3039531828)</f>
        <v>45030.30395</v>
      </c>
      <c r="D10836" s="15">
        <f>IFERROR(__xludf.DUMMYFUNCTION("""COMPUTED_VALUE"""),1.063)</f>
        <v>1.063</v>
      </c>
      <c r="E10836" s="16">
        <f>IFERROR(__xludf.DUMMYFUNCTION("""COMPUTED_VALUE"""),64.0)</f>
        <v>64</v>
      </c>
      <c r="F10836" s="19" t="str">
        <f>IFERROR(__xludf.DUMMYFUNCTION("""COMPUTED_VALUE"""),"BLUE")</f>
        <v>BLUE</v>
      </c>
      <c r="G10836" s="20" t="str">
        <f>IFERROR(__xludf.DUMMYFUNCTION("""COMPUTED_VALUE"""),"Uncle Sams Cider (04/04/2023)")</f>
        <v>Uncle Sams Cider (04/04/2023)</v>
      </c>
      <c r="H10836" s="19"/>
    </row>
    <row r="10837">
      <c r="A10837" s="9"/>
      <c r="B10837" s="15"/>
      <c r="C10837" s="9">
        <f>IFERROR(__xludf.DUMMYFUNCTION("""COMPUTED_VALUE"""),45030.2935310879)</f>
        <v>45030.29353</v>
      </c>
      <c r="D10837" s="15">
        <f>IFERROR(__xludf.DUMMYFUNCTION("""COMPUTED_VALUE"""),1.063)</f>
        <v>1.063</v>
      </c>
      <c r="E10837" s="16">
        <f>IFERROR(__xludf.DUMMYFUNCTION("""COMPUTED_VALUE"""),64.0)</f>
        <v>64</v>
      </c>
      <c r="F10837" s="19" t="str">
        <f>IFERROR(__xludf.DUMMYFUNCTION("""COMPUTED_VALUE"""),"BLUE")</f>
        <v>BLUE</v>
      </c>
      <c r="G10837" s="20" t="str">
        <f>IFERROR(__xludf.DUMMYFUNCTION("""COMPUTED_VALUE"""),"Uncle Sams Cider (04/04/2023)")</f>
        <v>Uncle Sams Cider (04/04/2023)</v>
      </c>
      <c r="H10837" s="19"/>
    </row>
    <row r="10838">
      <c r="A10838" s="9"/>
      <c r="B10838" s="15"/>
      <c r="C10838" s="9">
        <f>IFERROR(__xludf.DUMMYFUNCTION("""COMPUTED_VALUE"""),45030.2831096875)</f>
        <v>45030.28311</v>
      </c>
      <c r="D10838" s="15">
        <f>IFERROR(__xludf.DUMMYFUNCTION("""COMPUTED_VALUE"""),1.063)</f>
        <v>1.063</v>
      </c>
      <c r="E10838" s="16">
        <f>IFERROR(__xludf.DUMMYFUNCTION("""COMPUTED_VALUE"""),64.0)</f>
        <v>64</v>
      </c>
      <c r="F10838" s="19" t="str">
        <f>IFERROR(__xludf.DUMMYFUNCTION("""COMPUTED_VALUE"""),"BLUE")</f>
        <v>BLUE</v>
      </c>
      <c r="G10838" s="20" t="str">
        <f>IFERROR(__xludf.DUMMYFUNCTION("""COMPUTED_VALUE"""),"Uncle Sams Cider (04/04/2023)")</f>
        <v>Uncle Sams Cider (04/04/2023)</v>
      </c>
      <c r="H10838" s="19"/>
    </row>
    <row r="10839">
      <c r="A10839" s="9"/>
      <c r="B10839" s="15"/>
      <c r="C10839" s="9">
        <f>IFERROR(__xludf.DUMMYFUNCTION("""COMPUTED_VALUE"""),45030.2726898032)</f>
        <v>45030.27269</v>
      </c>
      <c r="D10839" s="15">
        <f>IFERROR(__xludf.DUMMYFUNCTION("""COMPUTED_VALUE"""),1.063)</f>
        <v>1.063</v>
      </c>
      <c r="E10839" s="16">
        <f>IFERROR(__xludf.DUMMYFUNCTION("""COMPUTED_VALUE"""),64.0)</f>
        <v>64</v>
      </c>
      <c r="F10839" s="19" t="str">
        <f>IFERROR(__xludf.DUMMYFUNCTION("""COMPUTED_VALUE"""),"BLUE")</f>
        <v>BLUE</v>
      </c>
      <c r="G10839" s="20" t="str">
        <f>IFERROR(__xludf.DUMMYFUNCTION("""COMPUTED_VALUE"""),"Uncle Sams Cider (04/04/2023)")</f>
        <v>Uncle Sams Cider (04/04/2023)</v>
      </c>
      <c r="H10839" s="19"/>
    </row>
    <row r="10840">
      <c r="A10840" s="9"/>
      <c r="B10840" s="15"/>
      <c r="C10840" s="9">
        <f>IFERROR(__xludf.DUMMYFUNCTION("""COMPUTED_VALUE"""),45030.2622575)</f>
        <v>45030.26226</v>
      </c>
      <c r="D10840" s="15">
        <f>IFERROR(__xludf.DUMMYFUNCTION("""COMPUTED_VALUE"""),1.063)</f>
        <v>1.063</v>
      </c>
      <c r="E10840" s="16">
        <f>IFERROR(__xludf.DUMMYFUNCTION("""COMPUTED_VALUE"""),63.0)</f>
        <v>63</v>
      </c>
      <c r="F10840" s="19" t="str">
        <f>IFERROR(__xludf.DUMMYFUNCTION("""COMPUTED_VALUE"""),"BLUE")</f>
        <v>BLUE</v>
      </c>
      <c r="G10840" s="20" t="str">
        <f>IFERROR(__xludf.DUMMYFUNCTION("""COMPUTED_VALUE"""),"Uncle Sams Cider (04/04/2023)")</f>
        <v>Uncle Sams Cider (04/04/2023)</v>
      </c>
      <c r="H10840" s="19"/>
    </row>
    <row r="10841">
      <c r="A10841" s="9"/>
      <c r="B10841" s="15"/>
      <c r="C10841" s="9">
        <f>IFERROR(__xludf.DUMMYFUNCTION("""COMPUTED_VALUE"""),45030.2518385301)</f>
        <v>45030.25184</v>
      </c>
      <c r="D10841" s="15">
        <f>IFERROR(__xludf.DUMMYFUNCTION("""COMPUTED_VALUE"""),1.063)</f>
        <v>1.063</v>
      </c>
      <c r="E10841" s="16">
        <f>IFERROR(__xludf.DUMMYFUNCTION("""COMPUTED_VALUE"""),64.0)</f>
        <v>64</v>
      </c>
      <c r="F10841" s="19" t="str">
        <f>IFERROR(__xludf.DUMMYFUNCTION("""COMPUTED_VALUE"""),"BLUE")</f>
        <v>BLUE</v>
      </c>
      <c r="G10841" s="20" t="str">
        <f>IFERROR(__xludf.DUMMYFUNCTION("""COMPUTED_VALUE"""),"Uncle Sams Cider (04/04/2023)")</f>
        <v>Uncle Sams Cider (04/04/2023)</v>
      </c>
      <c r="H10841" s="19"/>
    </row>
    <row r="10842">
      <c r="A10842" s="9"/>
      <c r="B10842" s="15"/>
      <c r="C10842" s="9">
        <f>IFERROR(__xludf.DUMMYFUNCTION("""COMPUTED_VALUE"""),45030.2414178009)</f>
        <v>45030.24142</v>
      </c>
      <c r="D10842" s="15">
        <f>IFERROR(__xludf.DUMMYFUNCTION("""COMPUTED_VALUE"""),1.063)</f>
        <v>1.063</v>
      </c>
      <c r="E10842" s="16">
        <f>IFERROR(__xludf.DUMMYFUNCTION("""COMPUTED_VALUE"""),64.0)</f>
        <v>64</v>
      </c>
      <c r="F10842" s="19" t="str">
        <f>IFERROR(__xludf.DUMMYFUNCTION("""COMPUTED_VALUE"""),"BLUE")</f>
        <v>BLUE</v>
      </c>
      <c r="G10842" s="20" t="str">
        <f>IFERROR(__xludf.DUMMYFUNCTION("""COMPUTED_VALUE"""),"Uncle Sams Cider (04/04/2023)")</f>
        <v>Uncle Sams Cider (04/04/2023)</v>
      </c>
      <c r="H10842" s="19"/>
    </row>
    <row r="10843">
      <c r="A10843" s="9"/>
      <c r="B10843" s="15"/>
      <c r="C10843" s="9">
        <f>IFERROR(__xludf.DUMMYFUNCTION("""COMPUTED_VALUE"""),45030.2309973842)</f>
        <v>45030.231</v>
      </c>
      <c r="D10843" s="15">
        <f>IFERROR(__xludf.DUMMYFUNCTION("""COMPUTED_VALUE"""),1.063)</f>
        <v>1.063</v>
      </c>
      <c r="E10843" s="16">
        <f>IFERROR(__xludf.DUMMYFUNCTION("""COMPUTED_VALUE"""),63.0)</f>
        <v>63</v>
      </c>
      <c r="F10843" s="19" t="str">
        <f>IFERROR(__xludf.DUMMYFUNCTION("""COMPUTED_VALUE"""),"BLUE")</f>
        <v>BLUE</v>
      </c>
      <c r="G10843" s="20" t="str">
        <f>IFERROR(__xludf.DUMMYFUNCTION("""COMPUTED_VALUE"""),"Uncle Sams Cider (04/04/2023)")</f>
        <v>Uncle Sams Cider (04/04/2023)</v>
      </c>
      <c r="H10843" s="19"/>
    </row>
    <row r="10844">
      <c r="A10844" s="9"/>
      <c r="B10844" s="15"/>
      <c r="C10844" s="9">
        <f>IFERROR(__xludf.DUMMYFUNCTION("""COMPUTED_VALUE"""),45030.2205767592)</f>
        <v>45030.22058</v>
      </c>
      <c r="D10844" s="15">
        <f>IFERROR(__xludf.DUMMYFUNCTION("""COMPUTED_VALUE"""),1.063)</f>
        <v>1.063</v>
      </c>
      <c r="E10844" s="16">
        <f>IFERROR(__xludf.DUMMYFUNCTION("""COMPUTED_VALUE"""),64.0)</f>
        <v>64</v>
      </c>
      <c r="F10844" s="19" t="str">
        <f>IFERROR(__xludf.DUMMYFUNCTION("""COMPUTED_VALUE"""),"BLUE")</f>
        <v>BLUE</v>
      </c>
      <c r="G10844" s="20" t="str">
        <f>IFERROR(__xludf.DUMMYFUNCTION("""COMPUTED_VALUE"""),"Uncle Sams Cider (04/04/2023)")</f>
        <v>Uncle Sams Cider (04/04/2023)</v>
      </c>
      <c r="H10844" s="19"/>
    </row>
    <row r="10845">
      <c r="A10845" s="9"/>
      <c r="B10845" s="15"/>
      <c r="C10845" s="9">
        <f>IFERROR(__xludf.DUMMYFUNCTION("""COMPUTED_VALUE"""),45030.2101455092)</f>
        <v>45030.21015</v>
      </c>
      <c r="D10845" s="15">
        <f>IFERROR(__xludf.DUMMYFUNCTION("""COMPUTED_VALUE"""),1.063)</f>
        <v>1.063</v>
      </c>
      <c r="E10845" s="16">
        <f>IFERROR(__xludf.DUMMYFUNCTION("""COMPUTED_VALUE"""),64.0)</f>
        <v>64</v>
      </c>
      <c r="F10845" s="19" t="str">
        <f>IFERROR(__xludf.DUMMYFUNCTION("""COMPUTED_VALUE"""),"BLUE")</f>
        <v>BLUE</v>
      </c>
      <c r="G10845" s="20" t="str">
        <f>IFERROR(__xludf.DUMMYFUNCTION("""COMPUTED_VALUE"""),"Uncle Sams Cider (04/04/2023)")</f>
        <v>Uncle Sams Cider (04/04/2023)</v>
      </c>
      <c r="H10845" s="19"/>
    </row>
    <row r="10846">
      <c r="A10846" s="9"/>
      <c r="B10846" s="15"/>
      <c r="C10846" s="9">
        <f>IFERROR(__xludf.DUMMYFUNCTION("""COMPUTED_VALUE"""),45030.1997123958)</f>
        <v>45030.19971</v>
      </c>
      <c r="D10846" s="15">
        <f>IFERROR(__xludf.DUMMYFUNCTION("""COMPUTED_VALUE"""),1.063)</f>
        <v>1.063</v>
      </c>
      <c r="E10846" s="16">
        <f>IFERROR(__xludf.DUMMYFUNCTION("""COMPUTED_VALUE"""),63.0)</f>
        <v>63</v>
      </c>
      <c r="F10846" s="19" t="str">
        <f>IFERROR(__xludf.DUMMYFUNCTION("""COMPUTED_VALUE"""),"BLUE")</f>
        <v>BLUE</v>
      </c>
      <c r="G10846" s="20" t="str">
        <f>IFERROR(__xludf.DUMMYFUNCTION("""COMPUTED_VALUE"""),"Uncle Sams Cider (04/04/2023)")</f>
        <v>Uncle Sams Cider (04/04/2023)</v>
      </c>
      <c r="H10846" s="19"/>
    </row>
    <row r="10847">
      <c r="A10847" s="9"/>
      <c r="B10847" s="15"/>
      <c r="C10847" s="9">
        <f>IFERROR(__xludf.DUMMYFUNCTION("""COMPUTED_VALUE"""),45030.1892911226)</f>
        <v>45030.18929</v>
      </c>
      <c r="D10847" s="15">
        <f>IFERROR(__xludf.DUMMYFUNCTION("""COMPUTED_VALUE"""),1.063)</f>
        <v>1.063</v>
      </c>
      <c r="E10847" s="16">
        <f>IFERROR(__xludf.DUMMYFUNCTION("""COMPUTED_VALUE"""),63.0)</f>
        <v>63</v>
      </c>
      <c r="F10847" s="19" t="str">
        <f>IFERROR(__xludf.DUMMYFUNCTION("""COMPUTED_VALUE"""),"BLUE")</f>
        <v>BLUE</v>
      </c>
      <c r="G10847" s="20" t="str">
        <f>IFERROR(__xludf.DUMMYFUNCTION("""COMPUTED_VALUE"""),"Uncle Sams Cider (04/04/2023)")</f>
        <v>Uncle Sams Cider (04/04/2023)</v>
      </c>
      <c r="H10847" s="19"/>
    </row>
    <row r="10848">
      <c r="A10848" s="9"/>
      <c r="B10848" s="15"/>
      <c r="C10848" s="9">
        <f>IFERROR(__xludf.DUMMYFUNCTION("""COMPUTED_VALUE"""),45030.1788688657)</f>
        <v>45030.17887</v>
      </c>
      <c r="D10848" s="15">
        <f>IFERROR(__xludf.DUMMYFUNCTION("""COMPUTED_VALUE"""),1.063)</f>
        <v>1.063</v>
      </c>
      <c r="E10848" s="16">
        <f>IFERROR(__xludf.DUMMYFUNCTION("""COMPUTED_VALUE"""),63.0)</f>
        <v>63</v>
      </c>
      <c r="F10848" s="19" t="str">
        <f>IFERROR(__xludf.DUMMYFUNCTION("""COMPUTED_VALUE"""),"BLUE")</f>
        <v>BLUE</v>
      </c>
      <c r="G10848" s="20" t="str">
        <f>IFERROR(__xludf.DUMMYFUNCTION("""COMPUTED_VALUE"""),"Uncle Sams Cider (04/04/2023)")</f>
        <v>Uncle Sams Cider (04/04/2023)</v>
      </c>
      <c r="H10848" s="19"/>
    </row>
    <row r="10849">
      <c r="A10849" s="9"/>
      <c r="B10849" s="15"/>
      <c r="C10849" s="9">
        <f>IFERROR(__xludf.DUMMYFUNCTION("""COMPUTED_VALUE"""),45030.168435243)</f>
        <v>45030.16844</v>
      </c>
      <c r="D10849" s="15">
        <f>IFERROR(__xludf.DUMMYFUNCTION("""COMPUTED_VALUE"""),1.064)</f>
        <v>1.064</v>
      </c>
      <c r="E10849" s="16">
        <f>IFERROR(__xludf.DUMMYFUNCTION("""COMPUTED_VALUE"""),63.0)</f>
        <v>63</v>
      </c>
      <c r="F10849" s="19" t="str">
        <f>IFERROR(__xludf.DUMMYFUNCTION("""COMPUTED_VALUE"""),"BLUE")</f>
        <v>BLUE</v>
      </c>
      <c r="G10849" s="20" t="str">
        <f>IFERROR(__xludf.DUMMYFUNCTION("""COMPUTED_VALUE"""),"Uncle Sams Cider (04/04/2023)")</f>
        <v>Uncle Sams Cider (04/04/2023)</v>
      </c>
      <c r="H10849" s="19"/>
    </row>
    <row r="10850">
      <c r="A10850" s="9"/>
      <c r="B10850" s="15"/>
      <c r="C10850" s="9">
        <f>IFERROR(__xludf.DUMMYFUNCTION("""COMPUTED_VALUE"""),45030.1580135301)</f>
        <v>45030.15801</v>
      </c>
      <c r="D10850" s="15">
        <f>IFERROR(__xludf.DUMMYFUNCTION("""COMPUTED_VALUE"""),1.064)</f>
        <v>1.064</v>
      </c>
      <c r="E10850" s="16">
        <f>IFERROR(__xludf.DUMMYFUNCTION("""COMPUTED_VALUE"""),63.0)</f>
        <v>63</v>
      </c>
      <c r="F10850" s="19" t="str">
        <f>IFERROR(__xludf.DUMMYFUNCTION("""COMPUTED_VALUE"""),"BLUE")</f>
        <v>BLUE</v>
      </c>
      <c r="G10850" s="20" t="str">
        <f>IFERROR(__xludf.DUMMYFUNCTION("""COMPUTED_VALUE"""),"Uncle Sams Cider (04/04/2023)")</f>
        <v>Uncle Sams Cider (04/04/2023)</v>
      </c>
      <c r="H10850" s="19"/>
    </row>
    <row r="10851">
      <c r="A10851" s="9"/>
      <c r="B10851" s="15"/>
      <c r="C10851" s="9">
        <f>IFERROR(__xludf.DUMMYFUNCTION("""COMPUTED_VALUE"""),45030.1475912847)</f>
        <v>45030.14759</v>
      </c>
      <c r="D10851" s="15">
        <f>IFERROR(__xludf.DUMMYFUNCTION("""COMPUTED_VALUE"""),1.064)</f>
        <v>1.064</v>
      </c>
      <c r="E10851" s="16">
        <f>IFERROR(__xludf.DUMMYFUNCTION("""COMPUTED_VALUE"""),63.0)</f>
        <v>63</v>
      </c>
      <c r="F10851" s="19" t="str">
        <f>IFERROR(__xludf.DUMMYFUNCTION("""COMPUTED_VALUE"""),"BLUE")</f>
        <v>BLUE</v>
      </c>
      <c r="G10851" s="20" t="str">
        <f>IFERROR(__xludf.DUMMYFUNCTION("""COMPUTED_VALUE"""),"Uncle Sams Cider (04/04/2023)")</f>
        <v>Uncle Sams Cider (04/04/2023)</v>
      </c>
      <c r="H10851" s="19"/>
    </row>
    <row r="10852">
      <c r="A10852" s="9"/>
      <c r="B10852" s="15"/>
      <c r="C10852" s="9">
        <f>IFERROR(__xludf.DUMMYFUNCTION("""COMPUTED_VALUE"""),45030.1371705324)</f>
        <v>45030.13717</v>
      </c>
      <c r="D10852" s="15">
        <f>IFERROR(__xludf.DUMMYFUNCTION("""COMPUTED_VALUE"""),1.064)</f>
        <v>1.064</v>
      </c>
      <c r="E10852" s="16">
        <f>IFERROR(__xludf.DUMMYFUNCTION("""COMPUTED_VALUE"""),63.0)</f>
        <v>63</v>
      </c>
      <c r="F10852" s="19" t="str">
        <f>IFERROR(__xludf.DUMMYFUNCTION("""COMPUTED_VALUE"""),"BLUE")</f>
        <v>BLUE</v>
      </c>
      <c r="G10852" s="20" t="str">
        <f>IFERROR(__xludf.DUMMYFUNCTION("""COMPUTED_VALUE"""),"Uncle Sams Cider (04/04/2023)")</f>
        <v>Uncle Sams Cider (04/04/2023)</v>
      </c>
      <c r="H10852" s="19"/>
    </row>
    <row r="10853">
      <c r="A10853" s="9"/>
      <c r="B10853" s="15"/>
      <c r="C10853" s="9">
        <f>IFERROR(__xludf.DUMMYFUNCTION("""COMPUTED_VALUE"""),45030.1267485648)</f>
        <v>45030.12675</v>
      </c>
      <c r="D10853" s="15">
        <f>IFERROR(__xludf.DUMMYFUNCTION("""COMPUTED_VALUE"""),1.064)</f>
        <v>1.064</v>
      </c>
      <c r="E10853" s="16">
        <f>IFERROR(__xludf.DUMMYFUNCTION("""COMPUTED_VALUE"""),63.0)</f>
        <v>63</v>
      </c>
      <c r="F10853" s="19" t="str">
        <f>IFERROR(__xludf.DUMMYFUNCTION("""COMPUTED_VALUE"""),"BLUE")</f>
        <v>BLUE</v>
      </c>
      <c r="G10853" s="20" t="str">
        <f>IFERROR(__xludf.DUMMYFUNCTION("""COMPUTED_VALUE"""),"Uncle Sams Cider (04/04/2023)")</f>
        <v>Uncle Sams Cider (04/04/2023)</v>
      </c>
      <c r="H10853" s="19"/>
    </row>
    <row r="10854">
      <c r="A10854" s="9"/>
      <c r="B10854" s="15"/>
      <c r="C10854" s="9">
        <f>IFERROR(__xludf.DUMMYFUNCTION("""COMPUTED_VALUE"""),45030.11632853)</f>
        <v>45030.11633</v>
      </c>
      <c r="D10854" s="15">
        <f>IFERROR(__xludf.DUMMYFUNCTION("""COMPUTED_VALUE"""),1.064)</f>
        <v>1.064</v>
      </c>
      <c r="E10854" s="16">
        <f>IFERROR(__xludf.DUMMYFUNCTION("""COMPUTED_VALUE"""),63.0)</f>
        <v>63</v>
      </c>
      <c r="F10854" s="19" t="str">
        <f>IFERROR(__xludf.DUMMYFUNCTION("""COMPUTED_VALUE"""),"BLUE")</f>
        <v>BLUE</v>
      </c>
      <c r="G10854" s="20" t="str">
        <f>IFERROR(__xludf.DUMMYFUNCTION("""COMPUTED_VALUE"""),"Uncle Sams Cider (04/04/2023)")</f>
        <v>Uncle Sams Cider (04/04/2023)</v>
      </c>
      <c r="H10854" s="19"/>
    </row>
    <row r="10855">
      <c r="A10855" s="9"/>
      <c r="B10855" s="15"/>
      <c r="C10855" s="9">
        <f>IFERROR(__xludf.DUMMYFUNCTION("""COMPUTED_VALUE"""),45030.1059076041)</f>
        <v>45030.10591</v>
      </c>
      <c r="D10855" s="15">
        <f>IFERROR(__xludf.DUMMYFUNCTION("""COMPUTED_VALUE"""),1.064)</f>
        <v>1.064</v>
      </c>
      <c r="E10855" s="16">
        <f>IFERROR(__xludf.DUMMYFUNCTION("""COMPUTED_VALUE"""),63.0)</f>
        <v>63</v>
      </c>
      <c r="F10855" s="19" t="str">
        <f>IFERROR(__xludf.DUMMYFUNCTION("""COMPUTED_VALUE"""),"BLUE")</f>
        <v>BLUE</v>
      </c>
      <c r="G10855" s="20" t="str">
        <f>IFERROR(__xludf.DUMMYFUNCTION("""COMPUTED_VALUE"""),"Uncle Sams Cider (04/04/2023)")</f>
        <v>Uncle Sams Cider (04/04/2023)</v>
      </c>
      <c r="H10855" s="19"/>
    </row>
    <row r="10856">
      <c r="A10856" s="9"/>
      <c r="B10856" s="15"/>
      <c r="C10856" s="9">
        <f>IFERROR(__xludf.DUMMYFUNCTION("""COMPUTED_VALUE"""),45030.0954876736)</f>
        <v>45030.09549</v>
      </c>
      <c r="D10856" s="15">
        <f>IFERROR(__xludf.DUMMYFUNCTION("""COMPUTED_VALUE"""),1.064)</f>
        <v>1.064</v>
      </c>
      <c r="E10856" s="16">
        <f>IFERROR(__xludf.DUMMYFUNCTION("""COMPUTED_VALUE"""),63.0)</f>
        <v>63</v>
      </c>
      <c r="F10856" s="19" t="str">
        <f>IFERROR(__xludf.DUMMYFUNCTION("""COMPUTED_VALUE"""),"BLUE")</f>
        <v>BLUE</v>
      </c>
      <c r="G10856" s="20" t="str">
        <f>IFERROR(__xludf.DUMMYFUNCTION("""COMPUTED_VALUE"""),"Uncle Sams Cider (04/04/2023)")</f>
        <v>Uncle Sams Cider (04/04/2023)</v>
      </c>
      <c r="H10856" s="19"/>
    </row>
    <row r="10857">
      <c r="A10857" s="9"/>
      <c r="B10857" s="15"/>
      <c r="C10857" s="9">
        <f>IFERROR(__xludf.DUMMYFUNCTION("""COMPUTED_VALUE"""),45030.0850540046)</f>
        <v>45030.08505</v>
      </c>
      <c r="D10857" s="15">
        <f>IFERROR(__xludf.DUMMYFUNCTION("""COMPUTED_VALUE"""),1.064)</f>
        <v>1.064</v>
      </c>
      <c r="E10857" s="16">
        <f>IFERROR(__xludf.DUMMYFUNCTION("""COMPUTED_VALUE"""),63.0)</f>
        <v>63</v>
      </c>
      <c r="F10857" s="19" t="str">
        <f>IFERROR(__xludf.DUMMYFUNCTION("""COMPUTED_VALUE"""),"BLUE")</f>
        <v>BLUE</v>
      </c>
      <c r="G10857" s="20" t="str">
        <f>IFERROR(__xludf.DUMMYFUNCTION("""COMPUTED_VALUE"""),"Uncle Sams Cider (04/04/2023)")</f>
        <v>Uncle Sams Cider (04/04/2023)</v>
      </c>
      <c r="H10857" s="19"/>
    </row>
    <row r="10858">
      <c r="A10858" s="9"/>
      <c r="B10858" s="15"/>
      <c r="C10858" s="9">
        <f>IFERROR(__xludf.DUMMYFUNCTION("""COMPUTED_VALUE"""),45030.0746347222)</f>
        <v>45030.07463</v>
      </c>
      <c r="D10858" s="15">
        <f>IFERROR(__xludf.DUMMYFUNCTION("""COMPUTED_VALUE"""),1.064)</f>
        <v>1.064</v>
      </c>
      <c r="E10858" s="16">
        <f>IFERROR(__xludf.DUMMYFUNCTION("""COMPUTED_VALUE"""),63.0)</f>
        <v>63</v>
      </c>
      <c r="F10858" s="19" t="str">
        <f>IFERROR(__xludf.DUMMYFUNCTION("""COMPUTED_VALUE"""),"BLUE")</f>
        <v>BLUE</v>
      </c>
      <c r="G10858" s="20" t="str">
        <f>IFERROR(__xludf.DUMMYFUNCTION("""COMPUTED_VALUE"""),"Uncle Sams Cider (04/04/2023)")</f>
        <v>Uncle Sams Cider (04/04/2023)</v>
      </c>
      <c r="H10858" s="19"/>
    </row>
    <row r="10859">
      <c r="A10859" s="9"/>
      <c r="B10859" s="15"/>
      <c r="C10859" s="9">
        <f>IFERROR(__xludf.DUMMYFUNCTION("""COMPUTED_VALUE"""),45030.0642142939)</f>
        <v>45030.06421</v>
      </c>
      <c r="D10859" s="15">
        <f>IFERROR(__xludf.DUMMYFUNCTION("""COMPUTED_VALUE"""),1.064)</f>
        <v>1.064</v>
      </c>
      <c r="E10859" s="16">
        <f>IFERROR(__xludf.DUMMYFUNCTION("""COMPUTED_VALUE"""),63.0)</f>
        <v>63</v>
      </c>
      <c r="F10859" s="19" t="str">
        <f>IFERROR(__xludf.DUMMYFUNCTION("""COMPUTED_VALUE"""),"BLUE")</f>
        <v>BLUE</v>
      </c>
      <c r="G10859" s="20" t="str">
        <f>IFERROR(__xludf.DUMMYFUNCTION("""COMPUTED_VALUE"""),"Uncle Sams Cider (04/04/2023)")</f>
        <v>Uncle Sams Cider (04/04/2023)</v>
      </c>
      <c r="H10859" s="19"/>
    </row>
    <row r="10860">
      <c r="A10860" s="9"/>
      <c r="B10860" s="15"/>
      <c r="C10860" s="9">
        <f>IFERROR(__xludf.DUMMYFUNCTION("""COMPUTED_VALUE"""),45030.0537935995)</f>
        <v>45030.05379</v>
      </c>
      <c r="D10860" s="15">
        <f>IFERROR(__xludf.DUMMYFUNCTION("""COMPUTED_VALUE"""),1.064)</f>
        <v>1.064</v>
      </c>
      <c r="E10860" s="16">
        <f>IFERROR(__xludf.DUMMYFUNCTION("""COMPUTED_VALUE"""),63.0)</f>
        <v>63</v>
      </c>
      <c r="F10860" s="19" t="str">
        <f>IFERROR(__xludf.DUMMYFUNCTION("""COMPUTED_VALUE"""),"BLUE")</f>
        <v>BLUE</v>
      </c>
      <c r="G10860" s="20" t="str">
        <f>IFERROR(__xludf.DUMMYFUNCTION("""COMPUTED_VALUE"""),"Uncle Sams Cider (04/04/2023)")</f>
        <v>Uncle Sams Cider (04/04/2023)</v>
      </c>
      <c r="H10860" s="19"/>
    </row>
    <row r="10861">
      <c r="A10861" s="9"/>
      <c r="B10861" s="15"/>
      <c r="C10861" s="9">
        <f>IFERROR(__xludf.DUMMYFUNCTION("""COMPUTED_VALUE"""),45030.0433724189)</f>
        <v>45030.04337</v>
      </c>
      <c r="D10861" s="15">
        <f>IFERROR(__xludf.DUMMYFUNCTION("""COMPUTED_VALUE"""),1.064)</f>
        <v>1.064</v>
      </c>
      <c r="E10861" s="16">
        <f>IFERROR(__xludf.DUMMYFUNCTION("""COMPUTED_VALUE"""),63.0)</f>
        <v>63</v>
      </c>
      <c r="F10861" s="19" t="str">
        <f>IFERROR(__xludf.DUMMYFUNCTION("""COMPUTED_VALUE"""),"BLUE")</f>
        <v>BLUE</v>
      </c>
      <c r="G10861" s="20" t="str">
        <f>IFERROR(__xludf.DUMMYFUNCTION("""COMPUTED_VALUE"""),"Uncle Sams Cider (04/04/2023)")</f>
        <v>Uncle Sams Cider (04/04/2023)</v>
      </c>
      <c r="H10861" s="19"/>
    </row>
    <row r="10862">
      <c r="A10862" s="9"/>
      <c r="B10862" s="15"/>
      <c r="C10862" s="9">
        <f>IFERROR(__xludf.DUMMYFUNCTION("""COMPUTED_VALUE"""),45030.0329384143)</f>
        <v>45030.03294</v>
      </c>
      <c r="D10862" s="15">
        <f>IFERROR(__xludf.DUMMYFUNCTION("""COMPUTED_VALUE"""),1.064)</f>
        <v>1.064</v>
      </c>
      <c r="E10862" s="16">
        <f>IFERROR(__xludf.DUMMYFUNCTION("""COMPUTED_VALUE"""),63.0)</f>
        <v>63</v>
      </c>
      <c r="F10862" s="19" t="str">
        <f>IFERROR(__xludf.DUMMYFUNCTION("""COMPUTED_VALUE"""),"BLUE")</f>
        <v>BLUE</v>
      </c>
      <c r="G10862" s="20" t="str">
        <f>IFERROR(__xludf.DUMMYFUNCTION("""COMPUTED_VALUE"""),"Uncle Sams Cider (04/04/2023)")</f>
        <v>Uncle Sams Cider (04/04/2023)</v>
      </c>
      <c r="H10862" s="19"/>
    </row>
    <row r="10863">
      <c r="A10863" s="9"/>
      <c r="B10863" s="15"/>
      <c r="C10863" s="9">
        <f>IFERROR(__xludf.DUMMYFUNCTION("""COMPUTED_VALUE"""),45030.0225173842)</f>
        <v>45030.02252</v>
      </c>
      <c r="D10863" s="15">
        <f>IFERROR(__xludf.DUMMYFUNCTION("""COMPUTED_VALUE"""),1.064)</f>
        <v>1.064</v>
      </c>
      <c r="E10863" s="16">
        <f>IFERROR(__xludf.DUMMYFUNCTION("""COMPUTED_VALUE"""),63.0)</f>
        <v>63</v>
      </c>
      <c r="F10863" s="19" t="str">
        <f>IFERROR(__xludf.DUMMYFUNCTION("""COMPUTED_VALUE"""),"BLUE")</f>
        <v>BLUE</v>
      </c>
      <c r="G10863" s="20" t="str">
        <f>IFERROR(__xludf.DUMMYFUNCTION("""COMPUTED_VALUE"""),"Uncle Sams Cider (04/04/2023)")</f>
        <v>Uncle Sams Cider (04/04/2023)</v>
      </c>
      <c r="H10863" s="19"/>
    </row>
    <row r="10864">
      <c r="A10864" s="9"/>
      <c r="B10864" s="15"/>
      <c r="C10864" s="9">
        <f>IFERROR(__xludf.DUMMYFUNCTION("""COMPUTED_VALUE"""),45030.0120975347)</f>
        <v>45030.0121</v>
      </c>
      <c r="D10864" s="15">
        <f>IFERROR(__xludf.DUMMYFUNCTION("""COMPUTED_VALUE"""),1.064)</f>
        <v>1.064</v>
      </c>
      <c r="E10864" s="16">
        <f>IFERROR(__xludf.DUMMYFUNCTION("""COMPUTED_VALUE"""),63.0)</f>
        <v>63</v>
      </c>
      <c r="F10864" s="19" t="str">
        <f>IFERROR(__xludf.DUMMYFUNCTION("""COMPUTED_VALUE"""),"BLUE")</f>
        <v>BLUE</v>
      </c>
      <c r="G10864" s="20" t="str">
        <f>IFERROR(__xludf.DUMMYFUNCTION("""COMPUTED_VALUE"""),"Uncle Sams Cider (04/04/2023)")</f>
        <v>Uncle Sams Cider (04/04/2023)</v>
      </c>
      <c r="H10864" s="19"/>
    </row>
    <row r="10865">
      <c r="A10865" s="9"/>
      <c r="B10865" s="15"/>
      <c r="C10865" s="9">
        <f>IFERROR(__xludf.DUMMYFUNCTION("""COMPUTED_VALUE"""),45030.0016624768)</f>
        <v>45030.00166</v>
      </c>
      <c r="D10865" s="15">
        <f>IFERROR(__xludf.DUMMYFUNCTION("""COMPUTED_VALUE"""),1.064)</f>
        <v>1.064</v>
      </c>
      <c r="E10865" s="16">
        <f>IFERROR(__xludf.DUMMYFUNCTION("""COMPUTED_VALUE"""),63.0)</f>
        <v>63</v>
      </c>
      <c r="F10865" s="19" t="str">
        <f>IFERROR(__xludf.DUMMYFUNCTION("""COMPUTED_VALUE"""),"BLUE")</f>
        <v>BLUE</v>
      </c>
      <c r="G10865" s="20" t="str">
        <f>IFERROR(__xludf.DUMMYFUNCTION("""COMPUTED_VALUE"""),"Uncle Sams Cider (04/04/2023)")</f>
        <v>Uncle Sams Cider (04/04/2023)</v>
      </c>
      <c r="H10865" s="19"/>
    </row>
    <row r="10866">
      <c r="A10866" s="9"/>
      <c r="B10866" s="15"/>
      <c r="C10866" s="9">
        <f>IFERROR(__xludf.DUMMYFUNCTION("""COMPUTED_VALUE"""),45029.991240868)</f>
        <v>45029.99124</v>
      </c>
      <c r="D10866" s="15">
        <f>IFERROR(__xludf.DUMMYFUNCTION("""COMPUTED_VALUE"""),1.064)</f>
        <v>1.064</v>
      </c>
      <c r="E10866" s="16">
        <f>IFERROR(__xludf.DUMMYFUNCTION("""COMPUTED_VALUE"""),63.0)</f>
        <v>63</v>
      </c>
      <c r="F10866" s="19" t="str">
        <f>IFERROR(__xludf.DUMMYFUNCTION("""COMPUTED_VALUE"""),"BLUE")</f>
        <v>BLUE</v>
      </c>
      <c r="G10866" s="20" t="str">
        <f>IFERROR(__xludf.DUMMYFUNCTION("""COMPUTED_VALUE"""),"Uncle Sams Cider (04/04/2023)")</f>
        <v>Uncle Sams Cider (04/04/2023)</v>
      </c>
      <c r="H10866" s="19"/>
    </row>
    <row r="10867">
      <c r="A10867" s="9"/>
      <c r="B10867" s="15"/>
      <c r="C10867" s="9">
        <f>IFERROR(__xludf.DUMMYFUNCTION("""COMPUTED_VALUE"""),45029.9808060069)</f>
        <v>45029.98081</v>
      </c>
      <c r="D10867" s="15">
        <f>IFERROR(__xludf.DUMMYFUNCTION("""COMPUTED_VALUE"""),1.064)</f>
        <v>1.064</v>
      </c>
      <c r="E10867" s="16">
        <f>IFERROR(__xludf.DUMMYFUNCTION("""COMPUTED_VALUE"""),63.0)</f>
        <v>63</v>
      </c>
      <c r="F10867" s="19" t="str">
        <f>IFERROR(__xludf.DUMMYFUNCTION("""COMPUTED_VALUE"""),"BLUE")</f>
        <v>BLUE</v>
      </c>
      <c r="G10867" s="20" t="str">
        <f>IFERROR(__xludf.DUMMYFUNCTION("""COMPUTED_VALUE"""),"Uncle Sams Cider (04/04/2023)")</f>
        <v>Uncle Sams Cider (04/04/2023)</v>
      </c>
      <c r="H10867" s="19"/>
    </row>
    <row r="10868">
      <c r="A10868" s="9"/>
      <c r="B10868" s="15"/>
      <c r="C10868" s="9">
        <f>IFERROR(__xludf.DUMMYFUNCTION("""COMPUTED_VALUE"""),45029.9703839583)</f>
        <v>45029.97038</v>
      </c>
      <c r="D10868" s="15">
        <f>IFERROR(__xludf.DUMMYFUNCTION("""COMPUTED_VALUE"""),1.064)</f>
        <v>1.064</v>
      </c>
      <c r="E10868" s="16">
        <f>IFERROR(__xludf.DUMMYFUNCTION("""COMPUTED_VALUE"""),63.0)</f>
        <v>63</v>
      </c>
      <c r="F10868" s="19" t="str">
        <f>IFERROR(__xludf.DUMMYFUNCTION("""COMPUTED_VALUE"""),"BLUE")</f>
        <v>BLUE</v>
      </c>
      <c r="G10868" s="20" t="str">
        <f>IFERROR(__xludf.DUMMYFUNCTION("""COMPUTED_VALUE"""),"Uncle Sams Cider (04/04/2023)")</f>
        <v>Uncle Sams Cider (04/04/2023)</v>
      </c>
      <c r="H10868" s="19"/>
    </row>
    <row r="10869">
      <c r="A10869" s="9"/>
      <c r="B10869" s="15"/>
      <c r="C10869" s="9">
        <f>IFERROR(__xludf.DUMMYFUNCTION("""COMPUTED_VALUE"""),45029.9599628819)</f>
        <v>45029.95996</v>
      </c>
      <c r="D10869" s="15">
        <f>IFERROR(__xludf.DUMMYFUNCTION("""COMPUTED_VALUE"""),1.064)</f>
        <v>1.064</v>
      </c>
      <c r="E10869" s="16">
        <f>IFERROR(__xludf.DUMMYFUNCTION("""COMPUTED_VALUE"""),63.0)</f>
        <v>63</v>
      </c>
      <c r="F10869" s="19" t="str">
        <f>IFERROR(__xludf.DUMMYFUNCTION("""COMPUTED_VALUE"""),"BLUE")</f>
        <v>BLUE</v>
      </c>
      <c r="G10869" s="20" t="str">
        <f>IFERROR(__xludf.DUMMYFUNCTION("""COMPUTED_VALUE"""),"Uncle Sams Cider (04/04/2023)")</f>
        <v>Uncle Sams Cider (04/04/2023)</v>
      </c>
      <c r="H10869" s="19"/>
    </row>
    <row r="10870">
      <c r="A10870" s="9"/>
      <c r="B10870" s="15"/>
      <c r="C10870" s="9">
        <f>IFERROR(__xludf.DUMMYFUNCTION("""COMPUTED_VALUE"""),45029.9495306713)</f>
        <v>45029.94953</v>
      </c>
      <c r="D10870" s="15">
        <f>IFERROR(__xludf.DUMMYFUNCTION("""COMPUTED_VALUE"""),1.064)</f>
        <v>1.064</v>
      </c>
      <c r="E10870" s="16">
        <f>IFERROR(__xludf.DUMMYFUNCTION("""COMPUTED_VALUE"""),63.0)</f>
        <v>63</v>
      </c>
      <c r="F10870" s="19" t="str">
        <f>IFERROR(__xludf.DUMMYFUNCTION("""COMPUTED_VALUE"""),"BLUE")</f>
        <v>BLUE</v>
      </c>
      <c r="G10870" s="20" t="str">
        <f>IFERROR(__xludf.DUMMYFUNCTION("""COMPUTED_VALUE"""),"Uncle Sams Cider (04/04/2023)")</f>
        <v>Uncle Sams Cider (04/04/2023)</v>
      </c>
      <c r="H10870" s="19"/>
    </row>
    <row r="10871">
      <c r="A10871" s="9"/>
      <c r="B10871" s="15"/>
      <c r="C10871" s="9">
        <f>IFERROR(__xludf.DUMMYFUNCTION("""COMPUTED_VALUE"""),45029.9391107523)</f>
        <v>45029.93911</v>
      </c>
      <c r="D10871" s="15">
        <f>IFERROR(__xludf.DUMMYFUNCTION("""COMPUTED_VALUE"""),1.064)</f>
        <v>1.064</v>
      </c>
      <c r="E10871" s="16">
        <f>IFERROR(__xludf.DUMMYFUNCTION("""COMPUTED_VALUE"""),63.0)</f>
        <v>63</v>
      </c>
      <c r="F10871" s="19" t="str">
        <f>IFERROR(__xludf.DUMMYFUNCTION("""COMPUTED_VALUE"""),"BLUE")</f>
        <v>BLUE</v>
      </c>
      <c r="G10871" s="20" t="str">
        <f>IFERROR(__xludf.DUMMYFUNCTION("""COMPUTED_VALUE"""),"Uncle Sams Cider (04/04/2023)")</f>
        <v>Uncle Sams Cider (04/04/2023)</v>
      </c>
      <c r="H10871" s="19"/>
    </row>
    <row r="10872">
      <c r="A10872" s="9"/>
      <c r="B10872" s="15"/>
      <c r="C10872" s="9">
        <f>IFERROR(__xludf.DUMMYFUNCTION("""COMPUTED_VALUE"""),45029.9286887731)</f>
        <v>45029.92869</v>
      </c>
      <c r="D10872" s="15">
        <f>IFERROR(__xludf.DUMMYFUNCTION("""COMPUTED_VALUE"""),1.064)</f>
        <v>1.064</v>
      </c>
      <c r="E10872" s="16">
        <f>IFERROR(__xludf.DUMMYFUNCTION("""COMPUTED_VALUE"""),63.0)</f>
        <v>63</v>
      </c>
      <c r="F10872" s="19" t="str">
        <f>IFERROR(__xludf.DUMMYFUNCTION("""COMPUTED_VALUE"""),"BLUE")</f>
        <v>BLUE</v>
      </c>
      <c r="G10872" s="20" t="str">
        <f>IFERROR(__xludf.DUMMYFUNCTION("""COMPUTED_VALUE"""),"Uncle Sams Cider (04/04/2023)")</f>
        <v>Uncle Sams Cider (04/04/2023)</v>
      </c>
      <c r="H10872" s="19"/>
    </row>
    <row r="10873">
      <c r="A10873" s="9"/>
      <c r="B10873" s="15"/>
      <c r="C10873" s="9">
        <f>IFERROR(__xludf.DUMMYFUNCTION("""COMPUTED_VALUE"""),45029.9182454629)</f>
        <v>45029.91825</v>
      </c>
      <c r="D10873" s="15">
        <f>IFERROR(__xludf.DUMMYFUNCTION("""COMPUTED_VALUE"""),1.064)</f>
        <v>1.064</v>
      </c>
      <c r="E10873" s="16">
        <f>IFERROR(__xludf.DUMMYFUNCTION("""COMPUTED_VALUE"""),63.0)</f>
        <v>63</v>
      </c>
      <c r="F10873" s="19" t="str">
        <f>IFERROR(__xludf.DUMMYFUNCTION("""COMPUTED_VALUE"""),"BLUE")</f>
        <v>BLUE</v>
      </c>
      <c r="G10873" s="20" t="str">
        <f>IFERROR(__xludf.DUMMYFUNCTION("""COMPUTED_VALUE"""),"Uncle Sams Cider (04/04/2023)")</f>
        <v>Uncle Sams Cider (04/04/2023)</v>
      </c>
      <c r="H10873" s="19"/>
    </row>
    <row r="10874">
      <c r="A10874" s="9"/>
      <c r="B10874" s="15"/>
      <c r="C10874" s="9">
        <f>IFERROR(__xludf.DUMMYFUNCTION("""COMPUTED_VALUE"""),45029.9078262037)</f>
        <v>45029.90783</v>
      </c>
      <c r="D10874" s="15">
        <f>IFERROR(__xludf.DUMMYFUNCTION("""COMPUTED_VALUE"""),1.064)</f>
        <v>1.064</v>
      </c>
      <c r="E10874" s="16">
        <f>IFERROR(__xludf.DUMMYFUNCTION("""COMPUTED_VALUE"""),63.0)</f>
        <v>63</v>
      </c>
      <c r="F10874" s="19" t="str">
        <f>IFERROR(__xludf.DUMMYFUNCTION("""COMPUTED_VALUE"""),"BLUE")</f>
        <v>BLUE</v>
      </c>
      <c r="G10874" s="20" t="str">
        <f>IFERROR(__xludf.DUMMYFUNCTION("""COMPUTED_VALUE"""),"Uncle Sams Cider (04/04/2023)")</f>
        <v>Uncle Sams Cider (04/04/2023)</v>
      </c>
      <c r="H10874" s="19"/>
    </row>
    <row r="10875">
      <c r="A10875" s="9"/>
      <c r="B10875" s="15"/>
      <c r="C10875" s="9">
        <f>IFERROR(__xludf.DUMMYFUNCTION("""COMPUTED_VALUE"""),45029.8974041319)</f>
        <v>45029.8974</v>
      </c>
      <c r="D10875" s="15">
        <f>IFERROR(__xludf.DUMMYFUNCTION("""COMPUTED_VALUE"""),1.064)</f>
        <v>1.064</v>
      </c>
      <c r="E10875" s="16">
        <f>IFERROR(__xludf.DUMMYFUNCTION("""COMPUTED_VALUE"""),63.0)</f>
        <v>63</v>
      </c>
      <c r="F10875" s="19" t="str">
        <f>IFERROR(__xludf.DUMMYFUNCTION("""COMPUTED_VALUE"""),"BLUE")</f>
        <v>BLUE</v>
      </c>
      <c r="G10875" s="20" t="str">
        <f>IFERROR(__xludf.DUMMYFUNCTION("""COMPUTED_VALUE"""),"Uncle Sams Cider (04/04/2023)")</f>
        <v>Uncle Sams Cider (04/04/2023)</v>
      </c>
      <c r="H10875" s="19"/>
    </row>
    <row r="10876">
      <c r="A10876" s="9"/>
      <c r="B10876" s="15"/>
      <c r="C10876" s="9">
        <f>IFERROR(__xludf.DUMMYFUNCTION("""COMPUTED_VALUE"""),45029.886981493)</f>
        <v>45029.88698</v>
      </c>
      <c r="D10876" s="15">
        <f>IFERROR(__xludf.DUMMYFUNCTION("""COMPUTED_VALUE"""),1.065)</f>
        <v>1.065</v>
      </c>
      <c r="E10876" s="16">
        <f>IFERROR(__xludf.DUMMYFUNCTION("""COMPUTED_VALUE"""),63.0)</f>
        <v>63</v>
      </c>
      <c r="F10876" s="19" t="str">
        <f>IFERROR(__xludf.DUMMYFUNCTION("""COMPUTED_VALUE"""),"BLUE")</f>
        <v>BLUE</v>
      </c>
      <c r="G10876" s="20" t="str">
        <f>IFERROR(__xludf.DUMMYFUNCTION("""COMPUTED_VALUE"""),"Uncle Sams Cider (04/04/2023)")</f>
        <v>Uncle Sams Cider (04/04/2023)</v>
      </c>
      <c r="H10876" s="19"/>
    </row>
    <row r="10877">
      <c r="A10877" s="9"/>
      <c r="B10877" s="15"/>
      <c r="C10877" s="9">
        <f>IFERROR(__xludf.DUMMYFUNCTION("""COMPUTED_VALUE"""),45029.8765605208)</f>
        <v>45029.87656</v>
      </c>
      <c r="D10877" s="15">
        <f>IFERROR(__xludf.DUMMYFUNCTION("""COMPUTED_VALUE"""),1.065)</f>
        <v>1.065</v>
      </c>
      <c r="E10877" s="16">
        <f>IFERROR(__xludf.DUMMYFUNCTION("""COMPUTED_VALUE"""),63.0)</f>
        <v>63</v>
      </c>
      <c r="F10877" s="19" t="str">
        <f>IFERROR(__xludf.DUMMYFUNCTION("""COMPUTED_VALUE"""),"BLUE")</f>
        <v>BLUE</v>
      </c>
      <c r="G10877" s="20" t="str">
        <f>IFERROR(__xludf.DUMMYFUNCTION("""COMPUTED_VALUE"""),"Uncle Sams Cider (04/04/2023)")</f>
        <v>Uncle Sams Cider (04/04/2023)</v>
      </c>
      <c r="H10877" s="19"/>
    </row>
    <row r="10878">
      <c r="A10878" s="9"/>
      <c r="B10878" s="15"/>
      <c r="C10878" s="9">
        <f>IFERROR(__xludf.DUMMYFUNCTION("""COMPUTED_VALUE"""),45029.8661404166)</f>
        <v>45029.86614</v>
      </c>
      <c r="D10878" s="15">
        <f>IFERROR(__xludf.DUMMYFUNCTION("""COMPUTED_VALUE"""),1.065)</f>
        <v>1.065</v>
      </c>
      <c r="E10878" s="16">
        <f>IFERROR(__xludf.DUMMYFUNCTION("""COMPUTED_VALUE"""),63.0)</f>
        <v>63</v>
      </c>
      <c r="F10878" s="19" t="str">
        <f>IFERROR(__xludf.DUMMYFUNCTION("""COMPUTED_VALUE"""),"BLUE")</f>
        <v>BLUE</v>
      </c>
      <c r="G10878" s="20" t="str">
        <f>IFERROR(__xludf.DUMMYFUNCTION("""COMPUTED_VALUE"""),"Uncle Sams Cider (04/04/2023)")</f>
        <v>Uncle Sams Cider (04/04/2023)</v>
      </c>
      <c r="H10878" s="19"/>
    </row>
    <row r="10879">
      <c r="A10879" s="9"/>
      <c r="B10879" s="15"/>
      <c r="C10879" s="9">
        <f>IFERROR(__xludf.DUMMYFUNCTION("""COMPUTED_VALUE"""),45029.8557183912)</f>
        <v>45029.85572</v>
      </c>
      <c r="D10879" s="15">
        <f>IFERROR(__xludf.DUMMYFUNCTION("""COMPUTED_VALUE"""),1.065)</f>
        <v>1.065</v>
      </c>
      <c r="E10879" s="16">
        <f>IFERROR(__xludf.DUMMYFUNCTION("""COMPUTED_VALUE"""),63.0)</f>
        <v>63</v>
      </c>
      <c r="F10879" s="19" t="str">
        <f>IFERROR(__xludf.DUMMYFUNCTION("""COMPUTED_VALUE"""),"BLUE")</f>
        <v>BLUE</v>
      </c>
      <c r="G10879" s="20" t="str">
        <f>IFERROR(__xludf.DUMMYFUNCTION("""COMPUTED_VALUE"""),"Uncle Sams Cider (04/04/2023)")</f>
        <v>Uncle Sams Cider (04/04/2023)</v>
      </c>
      <c r="H10879" s="19"/>
    </row>
    <row r="10880">
      <c r="A10880" s="9"/>
      <c r="B10880" s="15"/>
      <c r="C10880" s="9">
        <f>IFERROR(__xludf.DUMMYFUNCTION("""COMPUTED_VALUE"""),45029.8452981365)</f>
        <v>45029.8453</v>
      </c>
      <c r="D10880" s="15">
        <f>IFERROR(__xludf.DUMMYFUNCTION("""COMPUTED_VALUE"""),1.065)</f>
        <v>1.065</v>
      </c>
      <c r="E10880" s="16">
        <f>IFERROR(__xludf.DUMMYFUNCTION("""COMPUTED_VALUE"""),63.0)</f>
        <v>63</v>
      </c>
      <c r="F10880" s="19" t="str">
        <f>IFERROR(__xludf.DUMMYFUNCTION("""COMPUTED_VALUE"""),"BLUE")</f>
        <v>BLUE</v>
      </c>
      <c r="G10880" s="20" t="str">
        <f>IFERROR(__xludf.DUMMYFUNCTION("""COMPUTED_VALUE"""),"Uncle Sams Cider (04/04/2023)")</f>
        <v>Uncle Sams Cider (04/04/2023)</v>
      </c>
      <c r="H10880" s="19"/>
    </row>
    <row r="10881">
      <c r="A10881" s="9"/>
      <c r="B10881" s="15"/>
      <c r="C10881" s="9">
        <f>IFERROR(__xludf.DUMMYFUNCTION("""COMPUTED_VALUE"""),45029.8348660416)</f>
        <v>45029.83487</v>
      </c>
      <c r="D10881" s="15">
        <f>IFERROR(__xludf.DUMMYFUNCTION("""COMPUTED_VALUE"""),1.065)</f>
        <v>1.065</v>
      </c>
      <c r="E10881" s="16">
        <f>IFERROR(__xludf.DUMMYFUNCTION("""COMPUTED_VALUE"""),63.0)</f>
        <v>63</v>
      </c>
      <c r="F10881" s="19" t="str">
        <f>IFERROR(__xludf.DUMMYFUNCTION("""COMPUTED_VALUE"""),"BLUE")</f>
        <v>BLUE</v>
      </c>
      <c r="G10881" s="20" t="str">
        <f>IFERROR(__xludf.DUMMYFUNCTION("""COMPUTED_VALUE"""),"Uncle Sams Cider (04/04/2023)")</f>
        <v>Uncle Sams Cider (04/04/2023)</v>
      </c>
      <c r="H10881" s="19"/>
    </row>
    <row r="10882">
      <c r="A10882" s="9"/>
      <c r="B10882" s="15"/>
      <c r="C10882" s="9">
        <f>IFERROR(__xludf.DUMMYFUNCTION("""COMPUTED_VALUE"""),45029.8244452314)</f>
        <v>45029.82445</v>
      </c>
      <c r="D10882" s="15">
        <f>IFERROR(__xludf.DUMMYFUNCTION("""COMPUTED_VALUE"""),1.065)</f>
        <v>1.065</v>
      </c>
      <c r="E10882" s="16">
        <f>IFERROR(__xludf.DUMMYFUNCTION("""COMPUTED_VALUE"""),63.0)</f>
        <v>63</v>
      </c>
      <c r="F10882" s="19" t="str">
        <f>IFERROR(__xludf.DUMMYFUNCTION("""COMPUTED_VALUE"""),"BLUE")</f>
        <v>BLUE</v>
      </c>
      <c r="G10882" s="20" t="str">
        <f>IFERROR(__xludf.DUMMYFUNCTION("""COMPUTED_VALUE"""),"Uncle Sams Cider (04/04/2023)")</f>
        <v>Uncle Sams Cider (04/04/2023)</v>
      </c>
      <c r="H10882" s="19"/>
    </row>
    <row r="10883">
      <c r="A10883" s="9"/>
      <c r="B10883" s="15"/>
      <c r="C10883" s="9">
        <f>IFERROR(__xludf.DUMMYFUNCTION("""COMPUTED_VALUE"""),45029.8140259143)</f>
        <v>45029.81403</v>
      </c>
      <c r="D10883" s="15">
        <f>IFERROR(__xludf.DUMMYFUNCTION("""COMPUTED_VALUE"""),1.065)</f>
        <v>1.065</v>
      </c>
      <c r="E10883" s="16">
        <f>IFERROR(__xludf.DUMMYFUNCTION("""COMPUTED_VALUE"""),63.0)</f>
        <v>63</v>
      </c>
      <c r="F10883" s="19" t="str">
        <f>IFERROR(__xludf.DUMMYFUNCTION("""COMPUTED_VALUE"""),"BLUE")</f>
        <v>BLUE</v>
      </c>
      <c r="G10883" s="20" t="str">
        <f>IFERROR(__xludf.DUMMYFUNCTION("""COMPUTED_VALUE"""),"Uncle Sams Cider (04/04/2023)")</f>
        <v>Uncle Sams Cider (04/04/2023)</v>
      </c>
      <c r="H10883" s="19"/>
    </row>
    <row r="10884">
      <c r="A10884" s="9"/>
      <c r="B10884" s="15"/>
      <c r="C10884" s="9">
        <f>IFERROR(__xludf.DUMMYFUNCTION("""COMPUTED_VALUE"""),45029.8036048148)</f>
        <v>45029.8036</v>
      </c>
      <c r="D10884" s="15">
        <f>IFERROR(__xludf.DUMMYFUNCTION("""COMPUTED_VALUE"""),1.065)</f>
        <v>1.065</v>
      </c>
      <c r="E10884" s="16">
        <f>IFERROR(__xludf.DUMMYFUNCTION("""COMPUTED_VALUE"""),63.0)</f>
        <v>63</v>
      </c>
      <c r="F10884" s="19" t="str">
        <f>IFERROR(__xludf.DUMMYFUNCTION("""COMPUTED_VALUE"""),"BLUE")</f>
        <v>BLUE</v>
      </c>
      <c r="G10884" s="20" t="str">
        <f>IFERROR(__xludf.DUMMYFUNCTION("""COMPUTED_VALUE"""),"Uncle Sams Cider (04/04/2023)")</f>
        <v>Uncle Sams Cider (04/04/2023)</v>
      </c>
      <c r="H10884" s="19"/>
    </row>
    <row r="10885">
      <c r="A10885" s="9"/>
      <c r="B10885" s="15"/>
      <c r="C10885" s="9">
        <f>IFERROR(__xludf.DUMMYFUNCTION("""COMPUTED_VALUE"""),45029.7931707175)</f>
        <v>45029.79317</v>
      </c>
      <c r="D10885" s="15">
        <f>IFERROR(__xludf.DUMMYFUNCTION("""COMPUTED_VALUE"""),1.065)</f>
        <v>1.065</v>
      </c>
      <c r="E10885" s="16">
        <f>IFERROR(__xludf.DUMMYFUNCTION("""COMPUTED_VALUE"""),63.0)</f>
        <v>63</v>
      </c>
      <c r="F10885" s="19" t="str">
        <f>IFERROR(__xludf.DUMMYFUNCTION("""COMPUTED_VALUE"""),"BLUE")</f>
        <v>BLUE</v>
      </c>
      <c r="G10885" s="20" t="str">
        <f>IFERROR(__xludf.DUMMYFUNCTION("""COMPUTED_VALUE"""),"Uncle Sams Cider (04/04/2023)")</f>
        <v>Uncle Sams Cider (04/04/2023)</v>
      </c>
      <c r="H10885" s="19"/>
    </row>
    <row r="10886">
      <c r="A10886" s="9"/>
      <c r="B10886" s="15"/>
      <c r="C10886" s="9">
        <f>IFERROR(__xludf.DUMMYFUNCTION("""COMPUTED_VALUE"""),45029.7827472338)</f>
        <v>45029.78275</v>
      </c>
      <c r="D10886" s="15">
        <f>IFERROR(__xludf.DUMMYFUNCTION("""COMPUTED_VALUE"""),1.065)</f>
        <v>1.065</v>
      </c>
      <c r="E10886" s="16">
        <f>IFERROR(__xludf.DUMMYFUNCTION("""COMPUTED_VALUE"""),63.0)</f>
        <v>63</v>
      </c>
      <c r="F10886" s="19" t="str">
        <f>IFERROR(__xludf.DUMMYFUNCTION("""COMPUTED_VALUE"""),"BLUE")</f>
        <v>BLUE</v>
      </c>
      <c r="G10886" s="20" t="str">
        <f>IFERROR(__xludf.DUMMYFUNCTION("""COMPUTED_VALUE"""),"Uncle Sams Cider (04/04/2023)")</f>
        <v>Uncle Sams Cider (04/04/2023)</v>
      </c>
      <c r="H10886" s="19"/>
    </row>
    <row r="10887">
      <c r="A10887" s="9"/>
      <c r="B10887" s="15"/>
      <c r="C10887" s="9">
        <f>IFERROR(__xludf.DUMMYFUNCTION("""COMPUTED_VALUE"""),45029.772316956)</f>
        <v>45029.77232</v>
      </c>
      <c r="D10887" s="15">
        <f>IFERROR(__xludf.DUMMYFUNCTION("""COMPUTED_VALUE"""),1.065)</f>
        <v>1.065</v>
      </c>
      <c r="E10887" s="16">
        <f>IFERROR(__xludf.DUMMYFUNCTION("""COMPUTED_VALUE"""),63.0)</f>
        <v>63</v>
      </c>
      <c r="F10887" s="19" t="str">
        <f>IFERROR(__xludf.DUMMYFUNCTION("""COMPUTED_VALUE"""),"BLUE")</f>
        <v>BLUE</v>
      </c>
      <c r="G10887" s="20" t="str">
        <f>IFERROR(__xludf.DUMMYFUNCTION("""COMPUTED_VALUE"""),"Uncle Sams Cider (04/04/2023)")</f>
        <v>Uncle Sams Cider (04/04/2023)</v>
      </c>
      <c r="H10887" s="19"/>
    </row>
    <row r="10888">
      <c r="A10888" s="9"/>
      <c r="B10888" s="15"/>
      <c r="C10888" s="9">
        <f>IFERROR(__xludf.DUMMYFUNCTION("""COMPUTED_VALUE"""),45029.7618853009)</f>
        <v>45029.76189</v>
      </c>
      <c r="D10888" s="15">
        <f>IFERROR(__xludf.DUMMYFUNCTION("""COMPUTED_VALUE"""),1.065)</f>
        <v>1.065</v>
      </c>
      <c r="E10888" s="16">
        <f>IFERROR(__xludf.DUMMYFUNCTION("""COMPUTED_VALUE"""),63.0)</f>
        <v>63</v>
      </c>
      <c r="F10888" s="19" t="str">
        <f>IFERROR(__xludf.DUMMYFUNCTION("""COMPUTED_VALUE"""),"BLUE")</f>
        <v>BLUE</v>
      </c>
      <c r="G10888" s="20" t="str">
        <f>IFERROR(__xludf.DUMMYFUNCTION("""COMPUTED_VALUE"""),"Uncle Sams Cider (04/04/2023)")</f>
        <v>Uncle Sams Cider (04/04/2023)</v>
      </c>
      <c r="H10888" s="19"/>
    </row>
    <row r="10889">
      <c r="A10889" s="9"/>
      <c r="B10889" s="15"/>
      <c r="C10889" s="9">
        <f>IFERROR(__xludf.DUMMYFUNCTION("""COMPUTED_VALUE"""),45029.7514647106)</f>
        <v>45029.75146</v>
      </c>
      <c r="D10889" s="15">
        <f>IFERROR(__xludf.DUMMYFUNCTION("""COMPUTED_VALUE"""),1.065)</f>
        <v>1.065</v>
      </c>
      <c r="E10889" s="16">
        <f>IFERROR(__xludf.DUMMYFUNCTION("""COMPUTED_VALUE"""),63.0)</f>
        <v>63</v>
      </c>
      <c r="F10889" s="19" t="str">
        <f>IFERROR(__xludf.DUMMYFUNCTION("""COMPUTED_VALUE"""),"BLUE")</f>
        <v>BLUE</v>
      </c>
      <c r="G10889" s="20" t="str">
        <f>IFERROR(__xludf.DUMMYFUNCTION("""COMPUTED_VALUE"""),"Uncle Sams Cider (04/04/2023)")</f>
        <v>Uncle Sams Cider (04/04/2023)</v>
      </c>
      <c r="H10889" s="19"/>
    </row>
    <row r="10890">
      <c r="A10890" s="9"/>
      <c r="B10890" s="15"/>
      <c r="C10890" s="9">
        <f>IFERROR(__xludf.DUMMYFUNCTION("""COMPUTED_VALUE"""),45029.7410428472)</f>
        <v>45029.74104</v>
      </c>
      <c r="D10890" s="15">
        <f>IFERROR(__xludf.DUMMYFUNCTION("""COMPUTED_VALUE"""),1.065)</f>
        <v>1.065</v>
      </c>
      <c r="E10890" s="16">
        <f>IFERROR(__xludf.DUMMYFUNCTION("""COMPUTED_VALUE"""),63.0)</f>
        <v>63</v>
      </c>
      <c r="F10890" s="19" t="str">
        <f>IFERROR(__xludf.DUMMYFUNCTION("""COMPUTED_VALUE"""),"BLUE")</f>
        <v>BLUE</v>
      </c>
      <c r="G10890" s="20" t="str">
        <f>IFERROR(__xludf.DUMMYFUNCTION("""COMPUTED_VALUE"""),"Uncle Sams Cider (04/04/2023)")</f>
        <v>Uncle Sams Cider (04/04/2023)</v>
      </c>
      <c r="H10890" s="19"/>
    </row>
    <row r="10891">
      <c r="A10891" s="9"/>
      <c r="B10891" s="15"/>
      <c r="C10891" s="9">
        <f>IFERROR(__xludf.DUMMYFUNCTION("""COMPUTED_VALUE"""),45029.7306219444)</f>
        <v>45029.73062</v>
      </c>
      <c r="D10891" s="15">
        <f>IFERROR(__xludf.DUMMYFUNCTION("""COMPUTED_VALUE"""),1.065)</f>
        <v>1.065</v>
      </c>
      <c r="E10891" s="16">
        <f>IFERROR(__xludf.DUMMYFUNCTION("""COMPUTED_VALUE"""),63.0)</f>
        <v>63</v>
      </c>
      <c r="F10891" s="19" t="str">
        <f>IFERROR(__xludf.DUMMYFUNCTION("""COMPUTED_VALUE"""),"BLUE")</f>
        <v>BLUE</v>
      </c>
      <c r="G10891" s="20" t="str">
        <f>IFERROR(__xludf.DUMMYFUNCTION("""COMPUTED_VALUE"""),"Uncle Sams Cider (04/04/2023)")</f>
        <v>Uncle Sams Cider (04/04/2023)</v>
      </c>
      <c r="H10891" s="19"/>
    </row>
    <row r="10892">
      <c r="A10892" s="9"/>
      <c r="B10892" s="15"/>
      <c r="C10892" s="9">
        <f>IFERROR(__xludf.DUMMYFUNCTION("""COMPUTED_VALUE"""),45029.7202006365)</f>
        <v>45029.7202</v>
      </c>
      <c r="D10892" s="15">
        <f>IFERROR(__xludf.DUMMYFUNCTION("""COMPUTED_VALUE"""),1.065)</f>
        <v>1.065</v>
      </c>
      <c r="E10892" s="16">
        <f>IFERROR(__xludf.DUMMYFUNCTION("""COMPUTED_VALUE"""),63.0)</f>
        <v>63</v>
      </c>
      <c r="F10892" s="19" t="str">
        <f>IFERROR(__xludf.DUMMYFUNCTION("""COMPUTED_VALUE"""),"BLUE")</f>
        <v>BLUE</v>
      </c>
      <c r="G10892" s="20" t="str">
        <f>IFERROR(__xludf.DUMMYFUNCTION("""COMPUTED_VALUE"""),"Uncle Sams Cider (04/04/2023)")</f>
        <v>Uncle Sams Cider (04/04/2023)</v>
      </c>
      <c r="H10892" s="19"/>
    </row>
    <row r="10893">
      <c r="A10893" s="9"/>
      <c r="B10893" s="15"/>
      <c r="C10893" s="9">
        <f>IFERROR(__xludf.DUMMYFUNCTION("""COMPUTED_VALUE"""),45029.7097784027)</f>
        <v>45029.70978</v>
      </c>
      <c r="D10893" s="15">
        <f>IFERROR(__xludf.DUMMYFUNCTION("""COMPUTED_VALUE"""),1.065)</f>
        <v>1.065</v>
      </c>
      <c r="E10893" s="16">
        <f>IFERROR(__xludf.DUMMYFUNCTION("""COMPUTED_VALUE"""),63.0)</f>
        <v>63</v>
      </c>
      <c r="F10893" s="19" t="str">
        <f>IFERROR(__xludf.DUMMYFUNCTION("""COMPUTED_VALUE"""),"BLUE")</f>
        <v>BLUE</v>
      </c>
      <c r="G10893" s="20" t="str">
        <f>IFERROR(__xludf.DUMMYFUNCTION("""COMPUTED_VALUE"""),"Uncle Sams Cider (04/04/2023)")</f>
        <v>Uncle Sams Cider (04/04/2023)</v>
      </c>
      <c r="H10893" s="19"/>
    </row>
    <row r="10894">
      <c r="A10894" s="9"/>
      <c r="B10894" s="15"/>
      <c r="C10894" s="9">
        <f>IFERROR(__xludf.DUMMYFUNCTION("""COMPUTED_VALUE"""),45029.6993576736)</f>
        <v>45029.69936</v>
      </c>
      <c r="D10894" s="15">
        <f>IFERROR(__xludf.DUMMYFUNCTION("""COMPUTED_VALUE"""),1.065)</f>
        <v>1.065</v>
      </c>
      <c r="E10894" s="16">
        <f>IFERROR(__xludf.DUMMYFUNCTION("""COMPUTED_VALUE"""),63.0)</f>
        <v>63</v>
      </c>
      <c r="F10894" s="19" t="str">
        <f>IFERROR(__xludf.DUMMYFUNCTION("""COMPUTED_VALUE"""),"BLUE")</f>
        <v>BLUE</v>
      </c>
      <c r="G10894" s="20" t="str">
        <f>IFERROR(__xludf.DUMMYFUNCTION("""COMPUTED_VALUE"""),"Uncle Sams Cider (04/04/2023)")</f>
        <v>Uncle Sams Cider (04/04/2023)</v>
      </c>
      <c r="H10894" s="19"/>
    </row>
    <row r="10895">
      <c r="A10895" s="9"/>
      <c r="B10895" s="15"/>
      <c r="C10895" s="9">
        <f>IFERROR(__xludf.DUMMYFUNCTION("""COMPUTED_VALUE"""),45029.6889257754)</f>
        <v>45029.68893</v>
      </c>
      <c r="D10895" s="15">
        <f>IFERROR(__xludf.DUMMYFUNCTION("""COMPUTED_VALUE"""),1.065)</f>
        <v>1.065</v>
      </c>
      <c r="E10895" s="16">
        <f>IFERROR(__xludf.DUMMYFUNCTION("""COMPUTED_VALUE"""),63.0)</f>
        <v>63</v>
      </c>
      <c r="F10895" s="19" t="str">
        <f>IFERROR(__xludf.DUMMYFUNCTION("""COMPUTED_VALUE"""),"BLUE")</f>
        <v>BLUE</v>
      </c>
      <c r="G10895" s="20" t="str">
        <f>IFERROR(__xludf.DUMMYFUNCTION("""COMPUTED_VALUE"""),"Uncle Sams Cider (04/04/2023)")</f>
        <v>Uncle Sams Cider (04/04/2023)</v>
      </c>
      <c r="H10895" s="19"/>
    </row>
    <row r="10896">
      <c r="A10896" s="9"/>
      <c r="B10896" s="15"/>
      <c r="C10896" s="9">
        <f>IFERROR(__xludf.DUMMYFUNCTION("""COMPUTED_VALUE"""),45029.6785044212)</f>
        <v>45029.6785</v>
      </c>
      <c r="D10896" s="15">
        <f>IFERROR(__xludf.DUMMYFUNCTION("""COMPUTED_VALUE"""),1.065)</f>
        <v>1.065</v>
      </c>
      <c r="E10896" s="16">
        <f>IFERROR(__xludf.DUMMYFUNCTION("""COMPUTED_VALUE"""),63.0)</f>
        <v>63</v>
      </c>
      <c r="F10896" s="19" t="str">
        <f>IFERROR(__xludf.DUMMYFUNCTION("""COMPUTED_VALUE"""),"BLUE")</f>
        <v>BLUE</v>
      </c>
      <c r="G10896" s="20" t="str">
        <f>IFERROR(__xludf.DUMMYFUNCTION("""COMPUTED_VALUE"""),"Uncle Sams Cider (04/04/2023)")</f>
        <v>Uncle Sams Cider (04/04/2023)</v>
      </c>
      <c r="H10896" s="19"/>
    </row>
    <row r="10897">
      <c r="A10897" s="9"/>
      <c r="B10897" s="15"/>
      <c r="C10897" s="9">
        <f>IFERROR(__xludf.DUMMYFUNCTION("""COMPUTED_VALUE"""),45029.6680848379)</f>
        <v>45029.66808</v>
      </c>
      <c r="D10897" s="15">
        <f>IFERROR(__xludf.DUMMYFUNCTION("""COMPUTED_VALUE"""),1.065)</f>
        <v>1.065</v>
      </c>
      <c r="E10897" s="16">
        <f>IFERROR(__xludf.DUMMYFUNCTION("""COMPUTED_VALUE"""),63.0)</f>
        <v>63</v>
      </c>
      <c r="F10897" s="19" t="str">
        <f>IFERROR(__xludf.DUMMYFUNCTION("""COMPUTED_VALUE"""),"BLUE")</f>
        <v>BLUE</v>
      </c>
      <c r="G10897" s="20" t="str">
        <f>IFERROR(__xludf.DUMMYFUNCTION("""COMPUTED_VALUE"""),"Uncle Sams Cider (04/04/2023)")</f>
        <v>Uncle Sams Cider (04/04/2023)</v>
      </c>
      <c r="H10897" s="19"/>
    </row>
    <row r="10898">
      <c r="A10898" s="9"/>
      <c r="B10898" s="15"/>
      <c r="C10898" s="9">
        <f>IFERROR(__xludf.DUMMYFUNCTION("""COMPUTED_VALUE"""),45029.657662662)</f>
        <v>45029.65766</v>
      </c>
      <c r="D10898" s="15">
        <f>IFERROR(__xludf.DUMMYFUNCTION("""COMPUTED_VALUE"""),1.065)</f>
        <v>1.065</v>
      </c>
      <c r="E10898" s="16">
        <f>IFERROR(__xludf.DUMMYFUNCTION("""COMPUTED_VALUE"""),63.0)</f>
        <v>63</v>
      </c>
      <c r="F10898" s="19" t="str">
        <f>IFERROR(__xludf.DUMMYFUNCTION("""COMPUTED_VALUE"""),"BLUE")</f>
        <v>BLUE</v>
      </c>
      <c r="G10898" s="20" t="str">
        <f>IFERROR(__xludf.DUMMYFUNCTION("""COMPUTED_VALUE"""),"Uncle Sams Cider (04/04/2023)")</f>
        <v>Uncle Sams Cider (04/04/2023)</v>
      </c>
      <c r="H10898" s="19"/>
    </row>
    <row r="10899">
      <c r="A10899" s="9"/>
      <c r="B10899" s="15"/>
      <c r="C10899" s="9">
        <f>IFERROR(__xludf.DUMMYFUNCTION("""COMPUTED_VALUE"""),45029.6472410416)</f>
        <v>45029.64724</v>
      </c>
      <c r="D10899" s="15">
        <f>IFERROR(__xludf.DUMMYFUNCTION("""COMPUTED_VALUE"""),1.065)</f>
        <v>1.065</v>
      </c>
      <c r="E10899" s="16">
        <f>IFERROR(__xludf.DUMMYFUNCTION("""COMPUTED_VALUE"""),63.0)</f>
        <v>63</v>
      </c>
      <c r="F10899" s="19" t="str">
        <f>IFERROR(__xludf.DUMMYFUNCTION("""COMPUTED_VALUE"""),"BLUE")</f>
        <v>BLUE</v>
      </c>
      <c r="G10899" s="20" t="str">
        <f>IFERROR(__xludf.DUMMYFUNCTION("""COMPUTED_VALUE"""),"Uncle Sams Cider (04/04/2023)")</f>
        <v>Uncle Sams Cider (04/04/2023)</v>
      </c>
      <c r="H10899" s="19"/>
    </row>
    <row r="10900">
      <c r="A10900" s="9"/>
      <c r="B10900" s="15"/>
      <c r="C10900" s="9">
        <f>IFERROR(__xludf.DUMMYFUNCTION("""COMPUTED_VALUE"""),45029.6368104166)</f>
        <v>45029.63681</v>
      </c>
      <c r="D10900" s="15">
        <f>IFERROR(__xludf.DUMMYFUNCTION("""COMPUTED_VALUE"""),1.065)</f>
        <v>1.065</v>
      </c>
      <c r="E10900" s="16">
        <f>IFERROR(__xludf.DUMMYFUNCTION("""COMPUTED_VALUE"""),63.0)</f>
        <v>63</v>
      </c>
      <c r="F10900" s="19" t="str">
        <f>IFERROR(__xludf.DUMMYFUNCTION("""COMPUTED_VALUE"""),"BLUE")</f>
        <v>BLUE</v>
      </c>
      <c r="G10900" s="20" t="str">
        <f>IFERROR(__xludf.DUMMYFUNCTION("""COMPUTED_VALUE"""),"Uncle Sams Cider (04/04/2023)")</f>
        <v>Uncle Sams Cider (04/04/2023)</v>
      </c>
      <c r="H10900" s="19"/>
    </row>
    <row r="10901">
      <c r="A10901" s="9"/>
      <c r="B10901" s="15"/>
      <c r="C10901" s="9">
        <f>IFERROR(__xludf.DUMMYFUNCTION("""COMPUTED_VALUE"""),45029.6263898842)</f>
        <v>45029.62639</v>
      </c>
      <c r="D10901" s="15">
        <f>IFERROR(__xludf.DUMMYFUNCTION("""COMPUTED_VALUE"""),1.066)</f>
        <v>1.066</v>
      </c>
      <c r="E10901" s="16">
        <f>IFERROR(__xludf.DUMMYFUNCTION("""COMPUTED_VALUE"""),63.0)</f>
        <v>63</v>
      </c>
      <c r="F10901" s="19" t="str">
        <f>IFERROR(__xludf.DUMMYFUNCTION("""COMPUTED_VALUE"""),"BLUE")</f>
        <v>BLUE</v>
      </c>
      <c r="G10901" s="20" t="str">
        <f>IFERROR(__xludf.DUMMYFUNCTION("""COMPUTED_VALUE"""),"Uncle Sams Cider (04/04/2023)")</f>
        <v>Uncle Sams Cider (04/04/2023)</v>
      </c>
      <c r="H10901" s="19"/>
    </row>
    <row r="10902">
      <c r="A10902" s="9"/>
      <c r="B10902" s="15"/>
      <c r="C10902" s="9">
        <f>IFERROR(__xludf.DUMMYFUNCTION("""COMPUTED_VALUE"""),45029.6159598148)</f>
        <v>45029.61596</v>
      </c>
      <c r="D10902" s="15">
        <f>IFERROR(__xludf.DUMMYFUNCTION("""COMPUTED_VALUE"""),1.066)</f>
        <v>1.066</v>
      </c>
      <c r="E10902" s="16">
        <f>IFERROR(__xludf.DUMMYFUNCTION("""COMPUTED_VALUE"""),62.0)</f>
        <v>62</v>
      </c>
      <c r="F10902" s="19" t="str">
        <f>IFERROR(__xludf.DUMMYFUNCTION("""COMPUTED_VALUE"""),"BLUE")</f>
        <v>BLUE</v>
      </c>
      <c r="G10902" s="20" t="str">
        <f>IFERROR(__xludf.DUMMYFUNCTION("""COMPUTED_VALUE"""),"Uncle Sams Cider (04/04/2023)")</f>
        <v>Uncle Sams Cider (04/04/2023)</v>
      </c>
      <c r="H10902" s="19"/>
    </row>
    <row r="10903">
      <c r="A10903" s="9"/>
      <c r="B10903" s="15"/>
      <c r="C10903" s="9">
        <f>IFERROR(__xludf.DUMMYFUNCTION("""COMPUTED_VALUE"""),45029.6055385763)</f>
        <v>45029.60554</v>
      </c>
      <c r="D10903" s="15">
        <f>IFERROR(__xludf.DUMMYFUNCTION("""COMPUTED_VALUE"""),1.066)</f>
        <v>1.066</v>
      </c>
      <c r="E10903" s="16">
        <f>IFERROR(__xludf.DUMMYFUNCTION("""COMPUTED_VALUE"""),62.0)</f>
        <v>62</v>
      </c>
      <c r="F10903" s="19" t="str">
        <f>IFERROR(__xludf.DUMMYFUNCTION("""COMPUTED_VALUE"""),"BLUE")</f>
        <v>BLUE</v>
      </c>
      <c r="G10903" s="20" t="str">
        <f>IFERROR(__xludf.DUMMYFUNCTION("""COMPUTED_VALUE"""),"Uncle Sams Cider (04/04/2023)")</f>
        <v>Uncle Sams Cider (04/04/2023)</v>
      </c>
      <c r="H10903" s="19"/>
    </row>
    <row r="10904">
      <c r="A10904" s="9"/>
      <c r="B10904" s="15"/>
      <c r="C10904" s="9">
        <f>IFERROR(__xludf.DUMMYFUNCTION("""COMPUTED_VALUE"""),45029.5951154629)</f>
        <v>45029.59512</v>
      </c>
      <c r="D10904" s="15">
        <f>IFERROR(__xludf.DUMMYFUNCTION("""COMPUTED_VALUE"""),1.066)</f>
        <v>1.066</v>
      </c>
      <c r="E10904" s="16">
        <f>IFERROR(__xludf.DUMMYFUNCTION("""COMPUTED_VALUE"""),62.0)</f>
        <v>62</v>
      </c>
      <c r="F10904" s="19" t="str">
        <f>IFERROR(__xludf.DUMMYFUNCTION("""COMPUTED_VALUE"""),"BLUE")</f>
        <v>BLUE</v>
      </c>
      <c r="G10904" s="20" t="str">
        <f>IFERROR(__xludf.DUMMYFUNCTION("""COMPUTED_VALUE"""),"Uncle Sams Cider (04/04/2023)")</f>
        <v>Uncle Sams Cider (04/04/2023)</v>
      </c>
      <c r="H10904" s="19"/>
    </row>
    <row r="10905">
      <c r="A10905" s="9"/>
      <c r="B10905" s="15"/>
      <c r="C10905" s="9">
        <f>IFERROR(__xludf.DUMMYFUNCTION("""COMPUTED_VALUE"""),45029.5846804166)</f>
        <v>45029.58468</v>
      </c>
      <c r="D10905" s="15">
        <f>IFERROR(__xludf.DUMMYFUNCTION("""COMPUTED_VALUE"""),1.066)</f>
        <v>1.066</v>
      </c>
      <c r="E10905" s="16">
        <f>IFERROR(__xludf.DUMMYFUNCTION("""COMPUTED_VALUE"""),62.0)</f>
        <v>62</v>
      </c>
      <c r="F10905" s="19" t="str">
        <f>IFERROR(__xludf.DUMMYFUNCTION("""COMPUTED_VALUE"""),"BLUE")</f>
        <v>BLUE</v>
      </c>
      <c r="G10905" s="20" t="str">
        <f>IFERROR(__xludf.DUMMYFUNCTION("""COMPUTED_VALUE"""),"Uncle Sams Cider (04/04/2023)")</f>
        <v>Uncle Sams Cider (04/04/2023)</v>
      </c>
      <c r="H10905" s="19"/>
    </row>
    <row r="10906">
      <c r="A10906" s="9"/>
      <c r="B10906" s="15"/>
      <c r="C10906" s="9">
        <f>IFERROR(__xludf.DUMMYFUNCTION("""COMPUTED_VALUE"""),45029.5742605092)</f>
        <v>45029.57426</v>
      </c>
      <c r="D10906" s="15">
        <f>IFERROR(__xludf.DUMMYFUNCTION("""COMPUTED_VALUE"""),1.066)</f>
        <v>1.066</v>
      </c>
      <c r="E10906" s="16">
        <f>IFERROR(__xludf.DUMMYFUNCTION("""COMPUTED_VALUE"""),62.0)</f>
        <v>62</v>
      </c>
      <c r="F10906" s="19" t="str">
        <f>IFERROR(__xludf.DUMMYFUNCTION("""COMPUTED_VALUE"""),"BLUE")</f>
        <v>BLUE</v>
      </c>
      <c r="G10906" s="20" t="str">
        <f>IFERROR(__xludf.DUMMYFUNCTION("""COMPUTED_VALUE"""),"Uncle Sams Cider (04/04/2023)")</f>
        <v>Uncle Sams Cider (04/04/2023)</v>
      </c>
      <c r="H10906" s="19"/>
    </row>
    <row r="10907">
      <c r="A10907" s="9"/>
      <c r="B10907" s="15"/>
      <c r="C10907" s="9">
        <f>IFERROR(__xludf.DUMMYFUNCTION("""COMPUTED_VALUE"""),45029.5638397685)</f>
        <v>45029.56384</v>
      </c>
      <c r="D10907" s="15">
        <f>IFERROR(__xludf.DUMMYFUNCTION("""COMPUTED_VALUE"""),1.066)</f>
        <v>1.066</v>
      </c>
      <c r="E10907" s="16">
        <f>IFERROR(__xludf.DUMMYFUNCTION("""COMPUTED_VALUE"""),63.0)</f>
        <v>63</v>
      </c>
      <c r="F10907" s="19" t="str">
        <f>IFERROR(__xludf.DUMMYFUNCTION("""COMPUTED_VALUE"""),"BLUE")</f>
        <v>BLUE</v>
      </c>
      <c r="G10907" s="20" t="str">
        <f>IFERROR(__xludf.DUMMYFUNCTION("""COMPUTED_VALUE"""),"Uncle Sams Cider (04/04/2023)")</f>
        <v>Uncle Sams Cider (04/04/2023)</v>
      </c>
      <c r="H10907" s="19"/>
    </row>
    <row r="10908">
      <c r="A10908" s="9"/>
      <c r="B10908" s="15"/>
      <c r="C10908" s="9">
        <f>IFERROR(__xludf.DUMMYFUNCTION("""COMPUTED_VALUE"""),45029.5534174768)</f>
        <v>45029.55342</v>
      </c>
      <c r="D10908" s="15">
        <f>IFERROR(__xludf.DUMMYFUNCTION("""COMPUTED_VALUE"""),1.066)</f>
        <v>1.066</v>
      </c>
      <c r="E10908" s="16">
        <f>IFERROR(__xludf.DUMMYFUNCTION("""COMPUTED_VALUE"""),62.0)</f>
        <v>62</v>
      </c>
      <c r="F10908" s="19" t="str">
        <f>IFERROR(__xludf.DUMMYFUNCTION("""COMPUTED_VALUE"""),"BLUE")</f>
        <v>BLUE</v>
      </c>
      <c r="G10908" s="20" t="str">
        <f>IFERROR(__xludf.DUMMYFUNCTION("""COMPUTED_VALUE"""),"Uncle Sams Cider (04/04/2023)")</f>
        <v>Uncle Sams Cider (04/04/2023)</v>
      </c>
      <c r="H10908" s="19"/>
    </row>
    <row r="10909">
      <c r="A10909" s="9"/>
      <c r="B10909" s="15"/>
      <c r="C10909" s="9">
        <f>IFERROR(__xludf.DUMMYFUNCTION("""COMPUTED_VALUE"""),45029.5429962615)</f>
        <v>45029.543</v>
      </c>
      <c r="D10909" s="15">
        <f>IFERROR(__xludf.DUMMYFUNCTION("""COMPUTED_VALUE"""),1.066)</f>
        <v>1.066</v>
      </c>
      <c r="E10909" s="16">
        <f>IFERROR(__xludf.DUMMYFUNCTION("""COMPUTED_VALUE"""),62.0)</f>
        <v>62</v>
      </c>
      <c r="F10909" s="19" t="str">
        <f>IFERROR(__xludf.DUMMYFUNCTION("""COMPUTED_VALUE"""),"BLUE")</f>
        <v>BLUE</v>
      </c>
      <c r="G10909" s="20" t="str">
        <f>IFERROR(__xludf.DUMMYFUNCTION("""COMPUTED_VALUE"""),"Uncle Sams Cider (04/04/2023)")</f>
        <v>Uncle Sams Cider (04/04/2023)</v>
      </c>
      <c r="H10909" s="19"/>
    </row>
    <row r="10910">
      <c r="A10910" s="9"/>
      <c r="B10910" s="15"/>
      <c r="C10910" s="9">
        <f>IFERROR(__xludf.DUMMYFUNCTION("""COMPUTED_VALUE"""),45029.5325740277)</f>
        <v>45029.53257</v>
      </c>
      <c r="D10910" s="15">
        <f>IFERROR(__xludf.DUMMYFUNCTION("""COMPUTED_VALUE"""),1.066)</f>
        <v>1.066</v>
      </c>
      <c r="E10910" s="16">
        <f>IFERROR(__xludf.DUMMYFUNCTION("""COMPUTED_VALUE"""),62.0)</f>
        <v>62</v>
      </c>
      <c r="F10910" s="19" t="str">
        <f>IFERROR(__xludf.DUMMYFUNCTION("""COMPUTED_VALUE"""),"BLUE")</f>
        <v>BLUE</v>
      </c>
      <c r="G10910" s="20" t="str">
        <f>IFERROR(__xludf.DUMMYFUNCTION("""COMPUTED_VALUE"""),"Uncle Sams Cider (04/04/2023)")</f>
        <v>Uncle Sams Cider (04/04/2023)</v>
      </c>
      <c r="H10910" s="19"/>
    </row>
    <row r="10911">
      <c r="A10911" s="9"/>
      <c r="B10911" s="15"/>
      <c r="C10911" s="9">
        <f>IFERROR(__xludf.DUMMYFUNCTION("""COMPUTED_VALUE"""),45029.5221538888)</f>
        <v>45029.52215</v>
      </c>
      <c r="D10911" s="15">
        <f>IFERROR(__xludf.DUMMYFUNCTION("""COMPUTED_VALUE"""),1.066)</f>
        <v>1.066</v>
      </c>
      <c r="E10911" s="16">
        <f>IFERROR(__xludf.DUMMYFUNCTION("""COMPUTED_VALUE"""),62.0)</f>
        <v>62</v>
      </c>
      <c r="F10911" s="19" t="str">
        <f>IFERROR(__xludf.DUMMYFUNCTION("""COMPUTED_VALUE"""),"BLUE")</f>
        <v>BLUE</v>
      </c>
      <c r="G10911" s="20" t="str">
        <f>IFERROR(__xludf.DUMMYFUNCTION("""COMPUTED_VALUE"""),"Uncle Sams Cider (04/04/2023)")</f>
        <v>Uncle Sams Cider (04/04/2023)</v>
      </c>
      <c r="H10911" s="19"/>
    </row>
    <row r="10912">
      <c r="A10912" s="9"/>
      <c r="B10912" s="15"/>
      <c r="C10912" s="9">
        <f>IFERROR(__xludf.DUMMYFUNCTION("""COMPUTED_VALUE"""),45029.5117308217)</f>
        <v>45029.51173</v>
      </c>
      <c r="D10912" s="15">
        <f>IFERROR(__xludf.DUMMYFUNCTION("""COMPUTED_VALUE"""),1.066)</f>
        <v>1.066</v>
      </c>
      <c r="E10912" s="16">
        <f>IFERROR(__xludf.DUMMYFUNCTION("""COMPUTED_VALUE"""),62.0)</f>
        <v>62</v>
      </c>
      <c r="F10912" s="19" t="str">
        <f>IFERROR(__xludf.DUMMYFUNCTION("""COMPUTED_VALUE"""),"BLUE")</f>
        <v>BLUE</v>
      </c>
      <c r="G10912" s="20" t="str">
        <f>IFERROR(__xludf.DUMMYFUNCTION("""COMPUTED_VALUE"""),"Uncle Sams Cider (04/04/2023)")</f>
        <v>Uncle Sams Cider (04/04/2023)</v>
      </c>
      <c r="H10912" s="19"/>
    </row>
    <row r="10913">
      <c r="A10913" s="9"/>
      <c r="B10913" s="15"/>
      <c r="C10913" s="9">
        <f>IFERROR(__xludf.DUMMYFUNCTION("""COMPUTED_VALUE"""),45029.5013075578)</f>
        <v>45029.50131</v>
      </c>
      <c r="D10913" s="15">
        <f>IFERROR(__xludf.DUMMYFUNCTION("""COMPUTED_VALUE"""),1.066)</f>
        <v>1.066</v>
      </c>
      <c r="E10913" s="16">
        <f>IFERROR(__xludf.DUMMYFUNCTION("""COMPUTED_VALUE"""),62.0)</f>
        <v>62</v>
      </c>
      <c r="F10913" s="19" t="str">
        <f>IFERROR(__xludf.DUMMYFUNCTION("""COMPUTED_VALUE"""),"BLUE")</f>
        <v>BLUE</v>
      </c>
      <c r="G10913" s="20" t="str">
        <f>IFERROR(__xludf.DUMMYFUNCTION("""COMPUTED_VALUE"""),"Uncle Sams Cider (04/04/2023)")</f>
        <v>Uncle Sams Cider (04/04/2023)</v>
      </c>
      <c r="H10913" s="19"/>
    </row>
    <row r="10914">
      <c r="A10914" s="9"/>
      <c r="B10914" s="15"/>
      <c r="C10914" s="9">
        <f>IFERROR(__xludf.DUMMYFUNCTION("""COMPUTED_VALUE"""),45029.4908850925)</f>
        <v>45029.49089</v>
      </c>
      <c r="D10914" s="15">
        <f>IFERROR(__xludf.DUMMYFUNCTION("""COMPUTED_VALUE"""),1.066)</f>
        <v>1.066</v>
      </c>
      <c r="E10914" s="16">
        <f>IFERROR(__xludf.DUMMYFUNCTION("""COMPUTED_VALUE"""),62.0)</f>
        <v>62</v>
      </c>
      <c r="F10914" s="19" t="str">
        <f>IFERROR(__xludf.DUMMYFUNCTION("""COMPUTED_VALUE"""),"BLUE")</f>
        <v>BLUE</v>
      </c>
      <c r="G10914" s="20" t="str">
        <f>IFERROR(__xludf.DUMMYFUNCTION("""COMPUTED_VALUE"""),"Uncle Sams Cider (04/04/2023)")</f>
        <v>Uncle Sams Cider (04/04/2023)</v>
      </c>
      <c r="H10914" s="19"/>
    </row>
    <row r="10915">
      <c r="A10915" s="9"/>
      <c r="B10915" s="15"/>
      <c r="C10915" s="9">
        <f>IFERROR(__xludf.DUMMYFUNCTION("""COMPUTED_VALUE"""),45029.4804178356)</f>
        <v>45029.48042</v>
      </c>
      <c r="D10915" s="15">
        <f>IFERROR(__xludf.DUMMYFUNCTION("""COMPUTED_VALUE"""),1.066)</f>
        <v>1.066</v>
      </c>
      <c r="E10915" s="16">
        <f>IFERROR(__xludf.DUMMYFUNCTION("""COMPUTED_VALUE"""),62.0)</f>
        <v>62</v>
      </c>
      <c r="F10915" s="19" t="str">
        <f>IFERROR(__xludf.DUMMYFUNCTION("""COMPUTED_VALUE"""),"BLUE")</f>
        <v>BLUE</v>
      </c>
      <c r="G10915" s="20" t="str">
        <f>IFERROR(__xludf.DUMMYFUNCTION("""COMPUTED_VALUE"""),"Uncle Sams Cider (04/04/2023)")</f>
        <v>Uncle Sams Cider (04/04/2023)</v>
      </c>
      <c r="H10915" s="19"/>
    </row>
    <row r="10916">
      <c r="A10916" s="9"/>
      <c r="B10916" s="15"/>
      <c r="C10916" s="9">
        <f>IFERROR(__xludf.DUMMYFUNCTION("""COMPUTED_VALUE"""),45029.4699964814)</f>
        <v>45029.47</v>
      </c>
      <c r="D10916" s="15">
        <f>IFERROR(__xludf.DUMMYFUNCTION("""COMPUTED_VALUE"""),1.066)</f>
        <v>1.066</v>
      </c>
      <c r="E10916" s="16">
        <f>IFERROR(__xludf.DUMMYFUNCTION("""COMPUTED_VALUE"""),62.0)</f>
        <v>62</v>
      </c>
      <c r="F10916" s="19" t="str">
        <f>IFERROR(__xludf.DUMMYFUNCTION("""COMPUTED_VALUE"""),"BLUE")</f>
        <v>BLUE</v>
      </c>
      <c r="G10916" s="20" t="str">
        <f>IFERROR(__xludf.DUMMYFUNCTION("""COMPUTED_VALUE"""),"Uncle Sams Cider (04/04/2023)")</f>
        <v>Uncle Sams Cider (04/04/2023)</v>
      </c>
      <c r="H10916" s="19"/>
    </row>
    <row r="10917">
      <c r="A10917" s="9"/>
      <c r="B10917" s="15"/>
      <c r="C10917" s="9">
        <f>IFERROR(__xludf.DUMMYFUNCTION("""COMPUTED_VALUE"""),45029.4595742476)</f>
        <v>45029.45957</v>
      </c>
      <c r="D10917" s="15">
        <f>IFERROR(__xludf.DUMMYFUNCTION("""COMPUTED_VALUE"""),1.066)</f>
        <v>1.066</v>
      </c>
      <c r="E10917" s="16">
        <f>IFERROR(__xludf.DUMMYFUNCTION("""COMPUTED_VALUE"""),62.0)</f>
        <v>62</v>
      </c>
      <c r="F10917" s="19" t="str">
        <f>IFERROR(__xludf.DUMMYFUNCTION("""COMPUTED_VALUE"""),"BLUE")</f>
        <v>BLUE</v>
      </c>
      <c r="G10917" s="20" t="str">
        <f>IFERROR(__xludf.DUMMYFUNCTION("""COMPUTED_VALUE"""),"Uncle Sams Cider (04/04/2023)")</f>
        <v>Uncle Sams Cider (04/04/2023)</v>
      </c>
      <c r="H10917" s="19"/>
    </row>
    <row r="10918">
      <c r="A10918" s="9"/>
      <c r="B10918" s="15"/>
      <c r="C10918" s="9">
        <f>IFERROR(__xludf.DUMMYFUNCTION("""COMPUTED_VALUE"""),45029.4491394907)</f>
        <v>45029.44914</v>
      </c>
      <c r="D10918" s="15">
        <f>IFERROR(__xludf.DUMMYFUNCTION("""COMPUTED_VALUE"""),1.066)</f>
        <v>1.066</v>
      </c>
      <c r="E10918" s="16">
        <f>IFERROR(__xludf.DUMMYFUNCTION("""COMPUTED_VALUE"""),62.0)</f>
        <v>62</v>
      </c>
      <c r="F10918" s="19" t="str">
        <f>IFERROR(__xludf.DUMMYFUNCTION("""COMPUTED_VALUE"""),"BLUE")</f>
        <v>BLUE</v>
      </c>
      <c r="G10918" s="20" t="str">
        <f>IFERROR(__xludf.DUMMYFUNCTION("""COMPUTED_VALUE"""),"Uncle Sams Cider (04/04/2023)")</f>
        <v>Uncle Sams Cider (04/04/2023)</v>
      </c>
      <c r="H10918" s="19"/>
    </row>
    <row r="10919">
      <c r="A10919" s="9"/>
      <c r="B10919" s="15"/>
      <c r="C10919" s="9">
        <f>IFERROR(__xludf.DUMMYFUNCTION("""COMPUTED_VALUE"""),45029.4387178935)</f>
        <v>45029.43872</v>
      </c>
      <c r="D10919" s="15">
        <f>IFERROR(__xludf.DUMMYFUNCTION("""COMPUTED_VALUE"""),1.066)</f>
        <v>1.066</v>
      </c>
      <c r="E10919" s="16">
        <f>IFERROR(__xludf.DUMMYFUNCTION("""COMPUTED_VALUE"""),62.0)</f>
        <v>62</v>
      </c>
      <c r="F10919" s="19" t="str">
        <f>IFERROR(__xludf.DUMMYFUNCTION("""COMPUTED_VALUE"""),"BLUE")</f>
        <v>BLUE</v>
      </c>
      <c r="G10919" s="20" t="str">
        <f>IFERROR(__xludf.DUMMYFUNCTION("""COMPUTED_VALUE"""),"Uncle Sams Cider (04/04/2023)")</f>
        <v>Uncle Sams Cider (04/04/2023)</v>
      </c>
      <c r="H10919" s="19"/>
    </row>
    <row r="10920">
      <c r="A10920" s="9"/>
      <c r="B10920" s="15"/>
      <c r="C10920" s="9">
        <f>IFERROR(__xludf.DUMMYFUNCTION("""COMPUTED_VALUE"""),45029.4282967939)</f>
        <v>45029.4283</v>
      </c>
      <c r="D10920" s="15">
        <f>IFERROR(__xludf.DUMMYFUNCTION("""COMPUTED_VALUE"""),1.066)</f>
        <v>1.066</v>
      </c>
      <c r="E10920" s="16">
        <f>IFERROR(__xludf.DUMMYFUNCTION("""COMPUTED_VALUE"""),62.0)</f>
        <v>62</v>
      </c>
      <c r="F10920" s="19" t="str">
        <f>IFERROR(__xludf.DUMMYFUNCTION("""COMPUTED_VALUE"""),"BLUE")</f>
        <v>BLUE</v>
      </c>
      <c r="G10920" s="20" t="str">
        <f>IFERROR(__xludf.DUMMYFUNCTION("""COMPUTED_VALUE"""),"Uncle Sams Cider (04/04/2023)")</f>
        <v>Uncle Sams Cider (04/04/2023)</v>
      </c>
      <c r="H10920" s="19"/>
    </row>
    <row r="10921">
      <c r="A10921" s="9"/>
      <c r="B10921" s="15"/>
      <c r="C10921" s="9">
        <f>IFERROR(__xludf.DUMMYFUNCTION("""COMPUTED_VALUE"""),45029.4178742361)</f>
        <v>45029.41787</v>
      </c>
      <c r="D10921" s="15">
        <f>IFERROR(__xludf.DUMMYFUNCTION("""COMPUTED_VALUE"""),1.066)</f>
        <v>1.066</v>
      </c>
      <c r="E10921" s="16">
        <f>IFERROR(__xludf.DUMMYFUNCTION("""COMPUTED_VALUE"""),62.0)</f>
        <v>62</v>
      </c>
      <c r="F10921" s="19" t="str">
        <f>IFERROR(__xludf.DUMMYFUNCTION("""COMPUTED_VALUE"""),"BLUE")</f>
        <v>BLUE</v>
      </c>
      <c r="G10921" s="20" t="str">
        <f>IFERROR(__xludf.DUMMYFUNCTION("""COMPUTED_VALUE"""),"Uncle Sams Cider (04/04/2023)")</f>
        <v>Uncle Sams Cider (04/04/2023)</v>
      </c>
      <c r="H10921" s="19"/>
    </row>
    <row r="10922">
      <c r="A10922" s="9"/>
      <c r="B10922" s="15"/>
      <c r="C10922" s="9">
        <f>IFERROR(__xludf.DUMMYFUNCTION("""COMPUTED_VALUE"""),45029.4074514814)</f>
        <v>45029.40745</v>
      </c>
      <c r="D10922" s="15">
        <f>IFERROR(__xludf.DUMMYFUNCTION("""COMPUTED_VALUE"""),1.066)</f>
        <v>1.066</v>
      </c>
      <c r="E10922" s="16">
        <f>IFERROR(__xludf.DUMMYFUNCTION("""COMPUTED_VALUE"""),62.0)</f>
        <v>62</v>
      </c>
      <c r="F10922" s="19" t="str">
        <f>IFERROR(__xludf.DUMMYFUNCTION("""COMPUTED_VALUE"""),"BLUE")</f>
        <v>BLUE</v>
      </c>
      <c r="G10922" s="20" t="str">
        <f>IFERROR(__xludf.DUMMYFUNCTION("""COMPUTED_VALUE"""),"Uncle Sams Cider (04/04/2023)")</f>
        <v>Uncle Sams Cider (04/04/2023)</v>
      </c>
      <c r="H10922" s="19"/>
    </row>
    <row r="10923">
      <c r="A10923" s="9"/>
      <c r="B10923" s="15"/>
      <c r="C10923" s="9">
        <f>IFERROR(__xludf.DUMMYFUNCTION("""COMPUTED_VALUE"""),45029.3970178819)</f>
        <v>45029.39702</v>
      </c>
      <c r="D10923" s="15">
        <f>IFERROR(__xludf.DUMMYFUNCTION("""COMPUTED_VALUE"""),1.066)</f>
        <v>1.066</v>
      </c>
      <c r="E10923" s="16">
        <f>IFERROR(__xludf.DUMMYFUNCTION("""COMPUTED_VALUE"""),62.0)</f>
        <v>62</v>
      </c>
      <c r="F10923" s="19" t="str">
        <f>IFERROR(__xludf.DUMMYFUNCTION("""COMPUTED_VALUE"""),"BLUE")</f>
        <v>BLUE</v>
      </c>
      <c r="G10923" s="20" t="str">
        <f>IFERROR(__xludf.DUMMYFUNCTION("""COMPUTED_VALUE"""),"Uncle Sams Cider (04/04/2023)")</f>
        <v>Uncle Sams Cider (04/04/2023)</v>
      </c>
      <c r="H10923" s="19"/>
    </row>
    <row r="10924">
      <c r="A10924" s="9"/>
      <c r="B10924" s="15"/>
      <c r="C10924" s="9">
        <f>IFERROR(__xludf.DUMMYFUNCTION("""COMPUTED_VALUE"""),45029.3865957754)</f>
        <v>45029.3866</v>
      </c>
      <c r="D10924" s="15">
        <f>IFERROR(__xludf.DUMMYFUNCTION("""COMPUTED_VALUE"""),1.067)</f>
        <v>1.067</v>
      </c>
      <c r="E10924" s="16">
        <f>IFERROR(__xludf.DUMMYFUNCTION("""COMPUTED_VALUE"""),62.0)</f>
        <v>62</v>
      </c>
      <c r="F10924" s="19" t="str">
        <f>IFERROR(__xludf.DUMMYFUNCTION("""COMPUTED_VALUE"""),"BLUE")</f>
        <v>BLUE</v>
      </c>
      <c r="G10924" s="20" t="str">
        <f>IFERROR(__xludf.DUMMYFUNCTION("""COMPUTED_VALUE"""),"Uncle Sams Cider (04/04/2023)")</f>
        <v>Uncle Sams Cider (04/04/2023)</v>
      </c>
      <c r="H10924" s="19"/>
    </row>
    <row r="10925">
      <c r="A10925" s="9"/>
      <c r="B10925" s="15"/>
      <c r="C10925" s="9">
        <f>IFERROR(__xludf.DUMMYFUNCTION("""COMPUTED_VALUE"""),45029.3761741666)</f>
        <v>45029.37617</v>
      </c>
      <c r="D10925" s="15">
        <f>IFERROR(__xludf.DUMMYFUNCTION("""COMPUTED_VALUE"""),1.067)</f>
        <v>1.067</v>
      </c>
      <c r="E10925" s="16">
        <f>IFERROR(__xludf.DUMMYFUNCTION("""COMPUTED_VALUE"""),62.0)</f>
        <v>62</v>
      </c>
      <c r="F10925" s="19" t="str">
        <f>IFERROR(__xludf.DUMMYFUNCTION("""COMPUTED_VALUE"""),"BLUE")</f>
        <v>BLUE</v>
      </c>
      <c r="G10925" s="20" t="str">
        <f>IFERROR(__xludf.DUMMYFUNCTION("""COMPUTED_VALUE"""),"Uncle Sams Cider (04/04/2023)")</f>
        <v>Uncle Sams Cider (04/04/2023)</v>
      </c>
      <c r="H10925" s="19"/>
    </row>
    <row r="10926">
      <c r="A10926" s="9"/>
      <c r="B10926" s="15"/>
      <c r="C10926" s="9">
        <f>IFERROR(__xludf.DUMMYFUNCTION("""COMPUTED_VALUE"""),45029.3657548148)</f>
        <v>45029.36575</v>
      </c>
      <c r="D10926" s="15">
        <f>IFERROR(__xludf.DUMMYFUNCTION("""COMPUTED_VALUE"""),1.067)</f>
        <v>1.067</v>
      </c>
      <c r="E10926" s="16">
        <f>IFERROR(__xludf.DUMMYFUNCTION("""COMPUTED_VALUE"""),62.0)</f>
        <v>62</v>
      </c>
      <c r="F10926" s="19" t="str">
        <f>IFERROR(__xludf.DUMMYFUNCTION("""COMPUTED_VALUE"""),"BLUE")</f>
        <v>BLUE</v>
      </c>
      <c r="G10926" s="20" t="str">
        <f>IFERROR(__xludf.DUMMYFUNCTION("""COMPUTED_VALUE"""),"Uncle Sams Cider (04/04/2023)")</f>
        <v>Uncle Sams Cider (04/04/2023)</v>
      </c>
      <c r="H10926" s="19"/>
    </row>
    <row r="10927">
      <c r="A10927" s="9"/>
      <c r="B10927" s="15"/>
      <c r="C10927" s="9">
        <f>IFERROR(__xludf.DUMMYFUNCTION("""COMPUTED_VALUE"""),45029.3553333564)</f>
        <v>45029.35533</v>
      </c>
      <c r="D10927" s="15">
        <f>IFERROR(__xludf.DUMMYFUNCTION("""COMPUTED_VALUE"""),1.067)</f>
        <v>1.067</v>
      </c>
      <c r="E10927" s="16">
        <f>IFERROR(__xludf.DUMMYFUNCTION("""COMPUTED_VALUE"""),62.0)</f>
        <v>62</v>
      </c>
      <c r="F10927" s="19" t="str">
        <f>IFERROR(__xludf.DUMMYFUNCTION("""COMPUTED_VALUE"""),"BLUE")</f>
        <v>BLUE</v>
      </c>
      <c r="G10927" s="20" t="str">
        <f>IFERROR(__xludf.DUMMYFUNCTION("""COMPUTED_VALUE"""),"Uncle Sams Cider (04/04/2023)")</f>
        <v>Uncle Sams Cider (04/04/2023)</v>
      </c>
      <c r="H10927" s="19"/>
    </row>
    <row r="10928">
      <c r="A10928" s="9"/>
      <c r="B10928" s="15"/>
      <c r="C10928" s="9">
        <f>IFERROR(__xludf.DUMMYFUNCTION("""COMPUTED_VALUE"""),45029.3449111689)</f>
        <v>45029.34491</v>
      </c>
      <c r="D10928" s="15">
        <f>IFERROR(__xludf.DUMMYFUNCTION("""COMPUTED_VALUE"""),1.067)</f>
        <v>1.067</v>
      </c>
      <c r="E10928" s="16">
        <f>IFERROR(__xludf.DUMMYFUNCTION("""COMPUTED_VALUE"""),62.0)</f>
        <v>62</v>
      </c>
      <c r="F10928" s="19" t="str">
        <f>IFERROR(__xludf.DUMMYFUNCTION("""COMPUTED_VALUE"""),"BLUE")</f>
        <v>BLUE</v>
      </c>
      <c r="G10928" s="20" t="str">
        <f>IFERROR(__xludf.DUMMYFUNCTION("""COMPUTED_VALUE"""),"Uncle Sams Cider (04/04/2023)")</f>
        <v>Uncle Sams Cider (04/04/2023)</v>
      </c>
      <c r="H10928" s="19"/>
    </row>
    <row r="10929">
      <c r="A10929" s="9"/>
      <c r="B10929" s="15"/>
      <c r="C10929" s="9">
        <f>IFERROR(__xludf.DUMMYFUNCTION("""COMPUTED_VALUE"""),45029.3344764004)</f>
        <v>45029.33448</v>
      </c>
      <c r="D10929" s="15">
        <f>IFERROR(__xludf.DUMMYFUNCTION("""COMPUTED_VALUE"""),1.067)</f>
        <v>1.067</v>
      </c>
      <c r="E10929" s="16">
        <f>IFERROR(__xludf.DUMMYFUNCTION("""COMPUTED_VALUE"""),62.0)</f>
        <v>62</v>
      </c>
      <c r="F10929" s="19" t="str">
        <f>IFERROR(__xludf.DUMMYFUNCTION("""COMPUTED_VALUE"""),"BLUE")</f>
        <v>BLUE</v>
      </c>
      <c r="G10929" s="20" t="str">
        <f>IFERROR(__xludf.DUMMYFUNCTION("""COMPUTED_VALUE"""),"Uncle Sams Cider (04/04/2023)")</f>
        <v>Uncle Sams Cider (04/04/2023)</v>
      </c>
      <c r="H10929" s="19"/>
    </row>
    <row r="10930">
      <c r="A10930" s="9"/>
      <c r="B10930" s="15"/>
      <c r="C10930" s="9">
        <f>IFERROR(__xludf.DUMMYFUNCTION("""COMPUTED_VALUE"""),45029.3240548032)</f>
        <v>45029.32405</v>
      </c>
      <c r="D10930" s="15">
        <f>IFERROR(__xludf.DUMMYFUNCTION("""COMPUTED_VALUE"""),1.067)</f>
        <v>1.067</v>
      </c>
      <c r="E10930" s="16">
        <f>IFERROR(__xludf.DUMMYFUNCTION("""COMPUTED_VALUE"""),62.0)</f>
        <v>62</v>
      </c>
      <c r="F10930" s="19" t="str">
        <f>IFERROR(__xludf.DUMMYFUNCTION("""COMPUTED_VALUE"""),"BLUE")</f>
        <v>BLUE</v>
      </c>
      <c r="G10930" s="20" t="str">
        <f>IFERROR(__xludf.DUMMYFUNCTION("""COMPUTED_VALUE"""),"Uncle Sams Cider (04/04/2023)")</f>
        <v>Uncle Sams Cider (04/04/2023)</v>
      </c>
      <c r="H10930" s="19"/>
    </row>
    <row r="10931">
      <c r="A10931" s="9"/>
      <c r="B10931" s="15"/>
      <c r="C10931" s="9">
        <f>IFERROR(__xludf.DUMMYFUNCTION("""COMPUTED_VALUE"""),45029.313633449)</f>
        <v>45029.31363</v>
      </c>
      <c r="D10931" s="15">
        <f>IFERROR(__xludf.DUMMYFUNCTION("""COMPUTED_VALUE"""),1.067)</f>
        <v>1.067</v>
      </c>
      <c r="E10931" s="16">
        <f>IFERROR(__xludf.DUMMYFUNCTION("""COMPUTED_VALUE"""),62.0)</f>
        <v>62</v>
      </c>
      <c r="F10931" s="19" t="str">
        <f>IFERROR(__xludf.DUMMYFUNCTION("""COMPUTED_VALUE"""),"BLUE")</f>
        <v>BLUE</v>
      </c>
      <c r="G10931" s="20" t="str">
        <f>IFERROR(__xludf.DUMMYFUNCTION("""COMPUTED_VALUE"""),"Uncle Sams Cider (04/04/2023)")</f>
        <v>Uncle Sams Cider (04/04/2023)</v>
      </c>
      <c r="H10931" s="19"/>
    </row>
    <row r="10932">
      <c r="A10932" s="9"/>
      <c r="B10932" s="15"/>
      <c r="C10932" s="9">
        <f>IFERROR(__xludf.DUMMYFUNCTION("""COMPUTED_VALUE"""),45029.3032133796)</f>
        <v>45029.30321</v>
      </c>
      <c r="D10932" s="15">
        <f>IFERROR(__xludf.DUMMYFUNCTION("""COMPUTED_VALUE"""),1.067)</f>
        <v>1.067</v>
      </c>
      <c r="E10932" s="16">
        <f>IFERROR(__xludf.DUMMYFUNCTION("""COMPUTED_VALUE"""),62.0)</f>
        <v>62</v>
      </c>
      <c r="F10932" s="19" t="str">
        <f>IFERROR(__xludf.DUMMYFUNCTION("""COMPUTED_VALUE"""),"BLUE")</f>
        <v>BLUE</v>
      </c>
      <c r="G10932" s="20" t="str">
        <f>IFERROR(__xludf.DUMMYFUNCTION("""COMPUTED_VALUE"""),"Uncle Sams Cider (04/04/2023)")</f>
        <v>Uncle Sams Cider (04/04/2023)</v>
      </c>
      <c r="H10932" s="19"/>
    </row>
    <row r="10933">
      <c r="A10933" s="9"/>
      <c r="B10933" s="15"/>
      <c r="C10933" s="9">
        <f>IFERROR(__xludf.DUMMYFUNCTION("""COMPUTED_VALUE"""),45029.2927911921)</f>
        <v>45029.29279</v>
      </c>
      <c r="D10933" s="15">
        <f>IFERROR(__xludf.DUMMYFUNCTION("""COMPUTED_VALUE"""),1.067)</f>
        <v>1.067</v>
      </c>
      <c r="E10933" s="16">
        <f>IFERROR(__xludf.DUMMYFUNCTION("""COMPUTED_VALUE"""),62.0)</f>
        <v>62</v>
      </c>
      <c r="F10933" s="19" t="str">
        <f>IFERROR(__xludf.DUMMYFUNCTION("""COMPUTED_VALUE"""),"BLUE")</f>
        <v>BLUE</v>
      </c>
      <c r="G10933" s="20" t="str">
        <f>IFERROR(__xludf.DUMMYFUNCTION("""COMPUTED_VALUE"""),"Uncle Sams Cider (04/04/2023)")</f>
        <v>Uncle Sams Cider (04/04/2023)</v>
      </c>
      <c r="H10933" s="19"/>
    </row>
    <row r="10934">
      <c r="A10934" s="9"/>
      <c r="B10934" s="15"/>
      <c r="C10934" s="9">
        <f>IFERROR(__xludf.DUMMYFUNCTION("""COMPUTED_VALUE"""),45029.2823710532)</f>
        <v>45029.28237</v>
      </c>
      <c r="D10934" s="15">
        <f>IFERROR(__xludf.DUMMYFUNCTION("""COMPUTED_VALUE"""),1.067)</f>
        <v>1.067</v>
      </c>
      <c r="E10934" s="16">
        <f>IFERROR(__xludf.DUMMYFUNCTION("""COMPUTED_VALUE"""),62.0)</f>
        <v>62</v>
      </c>
      <c r="F10934" s="19" t="str">
        <f>IFERROR(__xludf.DUMMYFUNCTION("""COMPUTED_VALUE"""),"BLUE")</f>
        <v>BLUE</v>
      </c>
      <c r="G10934" s="20" t="str">
        <f>IFERROR(__xludf.DUMMYFUNCTION("""COMPUTED_VALUE"""),"Uncle Sams Cider (04/04/2023)")</f>
        <v>Uncle Sams Cider (04/04/2023)</v>
      </c>
      <c r="H10934" s="19"/>
    </row>
    <row r="10935">
      <c r="A10935" s="9"/>
      <c r="B10935" s="15"/>
      <c r="C10935" s="9">
        <f>IFERROR(__xludf.DUMMYFUNCTION("""COMPUTED_VALUE"""),45029.2719512268)</f>
        <v>45029.27195</v>
      </c>
      <c r="D10935" s="15">
        <f>IFERROR(__xludf.DUMMYFUNCTION("""COMPUTED_VALUE"""),1.067)</f>
        <v>1.067</v>
      </c>
      <c r="E10935" s="16">
        <f>IFERROR(__xludf.DUMMYFUNCTION("""COMPUTED_VALUE"""),62.0)</f>
        <v>62</v>
      </c>
      <c r="F10935" s="19" t="str">
        <f>IFERROR(__xludf.DUMMYFUNCTION("""COMPUTED_VALUE"""),"BLUE")</f>
        <v>BLUE</v>
      </c>
      <c r="G10935" s="20" t="str">
        <f>IFERROR(__xludf.DUMMYFUNCTION("""COMPUTED_VALUE"""),"Uncle Sams Cider (04/04/2023)")</f>
        <v>Uncle Sams Cider (04/04/2023)</v>
      </c>
      <c r="H10935" s="19"/>
    </row>
    <row r="10936">
      <c r="A10936" s="9"/>
      <c r="B10936" s="15"/>
      <c r="C10936" s="9">
        <f>IFERROR(__xludf.DUMMYFUNCTION("""COMPUTED_VALUE"""),45029.2615310301)</f>
        <v>45029.26153</v>
      </c>
      <c r="D10936" s="15">
        <f>IFERROR(__xludf.DUMMYFUNCTION("""COMPUTED_VALUE"""),1.067)</f>
        <v>1.067</v>
      </c>
      <c r="E10936" s="16">
        <f>IFERROR(__xludf.DUMMYFUNCTION("""COMPUTED_VALUE"""),62.0)</f>
        <v>62</v>
      </c>
      <c r="F10936" s="19" t="str">
        <f>IFERROR(__xludf.DUMMYFUNCTION("""COMPUTED_VALUE"""),"BLUE")</f>
        <v>BLUE</v>
      </c>
      <c r="G10936" s="20" t="str">
        <f>IFERROR(__xludf.DUMMYFUNCTION("""COMPUTED_VALUE"""),"Uncle Sams Cider (04/04/2023)")</f>
        <v>Uncle Sams Cider (04/04/2023)</v>
      </c>
      <c r="H10936" s="19"/>
    </row>
    <row r="10937">
      <c r="A10937" s="9"/>
      <c r="B10937" s="15"/>
      <c r="C10937" s="9">
        <f>IFERROR(__xludf.DUMMYFUNCTION("""COMPUTED_VALUE"""),45029.2511099074)</f>
        <v>45029.25111</v>
      </c>
      <c r="D10937" s="15">
        <f>IFERROR(__xludf.DUMMYFUNCTION("""COMPUTED_VALUE"""),1.067)</f>
        <v>1.067</v>
      </c>
      <c r="E10937" s="16">
        <f>IFERROR(__xludf.DUMMYFUNCTION("""COMPUTED_VALUE"""),62.0)</f>
        <v>62</v>
      </c>
      <c r="F10937" s="19" t="str">
        <f>IFERROR(__xludf.DUMMYFUNCTION("""COMPUTED_VALUE"""),"BLUE")</f>
        <v>BLUE</v>
      </c>
      <c r="G10937" s="20" t="str">
        <f>IFERROR(__xludf.DUMMYFUNCTION("""COMPUTED_VALUE"""),"Uncle Sams Cider (04/04/2023)")</f>
        <v>Uncle Sams Cider (04/04/2023)</v>
      </c>
      <c r="H10937" s="19"/>
    </row>
    <row r="10938">
      <c r="A10938" s="9"/>
      <c r="B10938" s="15"/>
      <c r="C10938" s="9">
        <f>IFERROR(__xludf.DUMMYFUNCTION("""COMPUTED_VALUE"""),45029.2406881597)</f>
        <v>45029.24069</v>
      </c>
      <c r="D10938" s="15">
        <f>IFERROR(__xludf.DUMMYFUNCTION("""COMPUTED_VALUE"""),1.067)</f>
        <v>1.067</v>
      </c>
      <c r="E10938" s="16">
        <f>IFERROR(__xludf.DUMMYFUNCTION("""COMPUTED_VALUE"""),62.0)</f>
        <v>62</v>
      </c>
      <c r="F10938" s="19" t="str">
        <f>IFERROR(__xludf.DUMMYFUNCTION("""COMPUTED_VALUE"""),"BLUE")</f>
        <v>BLUE</v>
      </c>
      <c r="G10938" s="20" t="str">
        <f>IFERROR(__xludf.DUMMYFUNCTION("""COMPUTED_VALUE"""),"Uncle Sams Cider (04/04/2023)")</f>
        <v>Uncle Sams Cider (04/04/2023)</v>
      </c>
      <c r="H10938" s="19"/>
    </row>
    <row r="10939">
      <c r="A10939" s="9"/>
      <c r="B10939" s="15"/>
      <c r="C10939" s="9">
        <f>IFERROR(__xludf.DUMMYFUNCTION("""COMPUTED_VALUE"""),45029.2302683449)</f>
        <v>45029.23027</v>
      </c>
      <c r="D10939" s="15">
        <f>IFERROR(__xludf.DUMMYFUNCTION("""COMPUTED_VALUE"""),1.067)</f>
        <v>1.067</v>
      </c>
      <c r="E10939" s="16">
        <f>IFERROR(__xludf.DUMMYFUNCTION("""COMPUTED_VALUE"""),62.0)</f>
        <v>62</v>
      </c>
      <c r="F10939" s="19" t="str">
        <f>IFERROR(__xludf.DUMMYFUNCTION("""COMPUTED_VALUE"""),"BLUE")</f>
        <v>BLUE</v>
      </c>
      <c r="G10939" s="20" t="str">
        <f>IFERROR(__xludf.DUMMYFUNCTION("""COMPUTED_VALUE"""),"Uncle Sams Cider (04/04/2023)")</f>
        <v>Uncle Sams Cider (04/04/2023)</v>
      </c>
      <c r="H10939" s="19"/>
    </row>
    <row r="10940">
      <c r="A10940" s="9"/>
      <c r="B10940" s="15"/>
      <c r="C10940" s="9">
        <f>IFERROR(__xludf.DUMMYFUNCTION("""COMPUTED_VALUE"""),45029.2198438773)</f>
        <v>45029.21984</v>
      </c>
      <c r="D10940" s="15">
        <f>IFERROR(__xludf.DUMMYFUNCTION("""COMPUTED_VALUE"""),1.067)</f>
        <v>1.067</v>
      </c>
      <c r="E10940" s="16">
        <f>IFERROR(__xludf.DUMMYFUNCTION("""COMPUTED_VALUE"""),62.0)</f>
        <v>62</v>
      </c>
      <c r="F10940" s="19" t="str">
        <f>IFERROR(__xludf.DUMMYFUNCTION("""COMPUTED_VALUE"""),"BLUE")</f>
        <v>BLUE</v>
      </c>
      <c r="G10940" s="20" t="str">
        <f>IFERROR(__xludf.DUMMYFUNCTION("""COMPUTED_VALUE"""),"Uncle Sams Cider (04/04/2023)")</f>
        <v>Uncle Sams Cider (04/04/2023)</v>
      </c>
      <c r="H10940" s="19"/>
    </row>
    <row r="10941">
      <c r="A10941" s="9"/>
      <c r="B10941" s="15"/>
      <c r="C10941" s="9">
        <f>IFERROR(__xludf.DUMMYFUNCTION("""COMPUTED_VALUE"""),45029.2094220254)</f>
        <v>45029.20942</v>
      </c>
      <c r="D10941" s="15">
        <f>IFERROR(__xludf.DUMMYFUNCTION("""COMPUTED_VALUE"""),1.067)</f>
        <v>1.067</v>
      </c>
      <c r="E10941" s="16">
        <f>IFERROR(__xludf.DUMMYFUNCTION("""COMPUTED_VALUE"""),62.0)</f>
        <v>62</v>
      </c>
      <c r="F10941" s="19" t="str">
        <f>IFERROR(__xludf.DUMMYFUNCTION("""COMPUTED_VALUE"""),"BLUE")</f>
        <v>BLUE</v>
      </c>
      <c r="G10941" s="20" t="str">
        <f>IFERROR(__xludf.DUMMYFUNCTION("""COMPUTED_VALUE"""),"Uncle Sams Cider (04/04/2023)")</f>
        <v>Uncle Sams Cider (04/04/2023)</v>
      </c>
      <c r="H10941" s="19"/>
    </row>
    <row r="10942">
      <c r="A10942" s="9"/>
      <c r="B10942" s="15"/>
      <c r="C10942" s="9">
        <f>IFERROR(__xludf.DUMMYFUNCTION("""COMPUTED_VALUE"""),45029.199001875)</f>
        <v>45029.199</v>
      </c>
      <c r="D10942" s="15">
        <f>IFERROR(__xludf.DUMMYFUNCTION("""COMPUTED_VALUE"""),1.067)</f>
        <v>1.067</v>
      </c>
      <c r="E10942" s="16">
        <f>IFERROR(__xludf.DUMMYFUNCTION("""COMPUTED_VALUE"""),62.0)</f>
        <v>62</v>
      </c>
      <c r="F10942" s="19" t="str">
        <f>IFERROR(__xludf.DUMMYFUNCTION("""COMPUTED_VALUE"""),"BLUE")</f>
        <v>BLUE</v>
      </c>
      <c r="G10942" s="20" t="str">
        <f>IFERROR(__xludf.DUMMYFUNCTION("""COMPUTED_VALUE"""),"Uncle Sams Cider (04/04/2023)")</f>
        <v>Uncle Sams Cider (04/04/2023)</v>
      </c>
      <c r="H10942" s="19"/>
    </row>
    <row r="10943">
      <c r="A10943" s="9"/>
      <c r="B10943" s="15"/>
      <c r="C10943" s="9">
        <f>IFERROR(__xludf.DUMMYFUNCTION("""COMPUTED_VALUE"""),45029.1885793518)</f>
        <v>45029.18858</v>
      </c>
      <c r="D10943" s="15">
        <f>IFERROR(__xludf.DUMMYFUNCTION("""COMPUTED_VALUE"""),1.067)</f>
        <v>1.067</v>
      </c>
      <c r="E10943" s="16">
        <f>IFERROR(__xludf.DUMMYFUNCTION("""COMPUTED_VALUE"""),62.0)</f>
        <v>62</v>
      </c>
      <c r="F10943" s="19" t="str">
        <f>IFERROR(__xludf.DUMMYFUNCTION("""COMPUTED_VALUE"""),"BLUE")</f>
        <v>BLUE</v>
      </c>
      <c r="G10943" s="20" t="str">
        <f>IFERROR(__xludf.DUMMYFUNCTION("""COMPUTED_VALUE"""),"Uncle Sams Cider (04/04/2023)")</f>
        <v>Uncle Sams Cider (04/04/2023)</v>
      </c>
      <c r="H10943" s="19"/>
    </row>
    <row r="10944">
      <c r="A10944" s="9"/>
      <c r="B10944" s="15"/>
      <c r="C10944" s="9">
        <f>IFERROR(__xludf.DUMMYFUNCTION("""COMPUTED_VALUE"""),45029.1781599768)</f>
        <v>45029.17816</v>
      </c>
      <c r="D10944" s="15">
        <f>IFERROR(__xludf.DUMMYFUNCTION("""COMPUTED_VALUE"""),1.068)</f>
        <v>1.068</v>
      </c>
      <c r="E10944" s="16">
        <f>IFERROR(__xludf.DUMMYFUNCTION("""COMPUTED_VALUE"""),62.0)</f>
        <v>62</v>
      </c>
      <c r="F10944" s="19" t="str">
        <f>IFERROR(__xludf.DUMMYFUNCTION("""COMPUTED_VALUE"""),"BLUE")</f>
        <v>BLUE</v>
      </c>
      <c r="G10944" s="20" t="str">
        <f>IFERROR(__xludf.DUMMYFUNCTION("""COMPUTED_VALUE"""),"Uncle Sams Cider (04/04/2023)")</f>
        <v>Uncle Sams Cider (04/04/2023)</v>
      </c>
      <c r="H10944" s="19"/>
    </row>
    <row r="10945">
      <c r="A10945" s="9"/>
      <c r="B10945" s="15"/>
      <c r="C10945" s="9">
        <f>IFERROR(__xludf.DUMMYFUNCTION("""COMPUTED_VALUE"""),45029.1677380208)</f>
        <v>45029.16774</v>
      </c>
      <c r="D10945" s="15">
        <f>IFERROR(__xludf.DUMMYFUNCTION("""COMPUTED_VALUE"""),1.067)</f>
        <v>1.067</v>
      </c>
      <c r="E10945" s="16">
        <f>IFERROR(__xludf.DUMMYFUNCTION("""COMPUTED_VALUE"""),62.0)</f>
        <v>62</v>
      </c>
      <c r="F10945" s="19" t="str">
        <f>IFERROR(__xludf.DUMMYFUNCTION("""COMPUTED_VALUE"""),"BLUE")</f>
        <v>BLUE</v>
      </c>
      <c r="G10945" s="20" t="str">
        <f>IFERROR(__xludf.DUMMYFUNCTION("""COMPUTED_VALUE"""),"Uncle Sams Cider (04/04/2023)")</f>
        <v>Uncle Sams Cider (04/04/2023)</v>
      </c>
      <c r="H10945" s="19"/>
    </row>
    <row r="10946">
      <c r="A10946" s="9"/>
      <c r="B10946" s="15"/>
      <c r="C10946" s="9">
        <f>IFERROR(__xludf.DUMMYFUNCTION("""COMPUTED_VALUE"""),45029.1573054398)</f>
        <v>45029.15731</v>
      </c>
      <c r="D10946" s="15">
        <f>IFERROR(__xludf.DUMMYFUNCTION("""COMPUTED_VALUE"""),1.068)</f>
        <v>1.068</v>
      </c>
      <c r="E10946" s="16">
        <f>IFERROR(__xludf.DUMMYFUNCTION("""COMPUTED_VALUE"""),62.0)</f>
        <v>62</v>
      </c>
      <c r="F10946" s="19" t="str">
        <f>IFERROR(__xludf.DUMMYFUNCTION("""COMPUTED_VALUE"""),"BLUE")</f>
        <v>BLUE</v>
      </c>
      <c r="G10946" s="20" t="str">
        <f>IFERROR(__xludf.DUMMYFUNCTION("""COMPUTED_VALUE"""),"Uncle Sams Cider (04/04/2023)")</f>
        <v>Uncle Sams Cider (04/04/2023)</v>
      </c>
      <c r="H10946" s="19"/>
    </row>
    <row r="10947">
      <c r="A10947" s="9"/>
      <c r="B10947" s="15"/>
      <c r="C10947" s="9">
        <f>IFERROR(__xludf.DUMMYFUNCTION("""COMPUTED_VALUE"""),45029.146871956)</f>
        <v>45029.14687</v>
      </c>
      <c r="D10947" s="15">
        <f>IFERROR(__xludf.DUMMYFUNCTION("""COMPUTED_VALUE"""),1.067)</f>
        <v>1.067</v>
      </c>
      <c r="E10947" s="16">
        <f>IFERROR(__xludf.DUMMYFUNCTION("""COMPUTED_VALUE"""),62.0)</f>
        <v>62</v>
      </c>
      <c r="F10947" s="19" t="str">
        <f>IFERROR(__xludf.DUMMYFUNCTION("""COMPUTED_VALUE"""),"BLUE")</f>
        <v>BLUE</v>
      </c>
      <c r="G10947" s="20" t="str">
        <f>IFERROR(__xludf.DUMMYFUNCTION("""COMPUTED_VALUE"""),"Uncle Sams Cider (04/04/2023)")</f>
        <v>Uncle Sams Cider (04/04/2023)</v>
      </c>
      <c r="H10947" s="19"/>
    </row>
    <row r="10948">
      <c r="A10948" s="9"/>
      <c r="B10948" s="15"/>
      <c r="C10948" s="9">
        <f>IFERROR(__xludf.DUMMYFUNCTION("""COMPUTED_VALUE"""),45029.1364510763)</f>
        <v>45029.13645</v>
      </c>
      <c r="D10948" s="15">
        <f>IFERROR(__xludf.DUMMYFUNCTION("""COMPUTED_VALUE"""),1.068)</f>
        <v>1.068</v>
      </c>
      <c r="E10948" s="16">
        <f>IFERROR(__xludf.DUMMYFUNCTION("""COMPUTED_VALUE"""),62.0)</f>
        <v>62</v>
      </c>
      <c r="F10948" s="19" t="str">
        <f>IFERROR(__xludf.DUMMYFUNCTION("""COMPUTED_VALUE"""),"BLUE")</f>
        <v>BLUE</v>
      </c>
      <c r="G10948" s="20" t="str">
        <f>IFERROR(__xludf.DUMMYFUNCTION("""COMPUTED_VALUE"""),"Uncle Sams Cider (04/04/2023)")</f>
        <v>Uncle Sams Cider (04/04/2023)</v>
      </c>
      <c r="H10948" s="19"/>
    </row>
    <row r="10949">
      <c r="A10949" s="9"/>
      <c r="B10949" s="15"/>
      <c r="C10949" s="9">
        <f>IFERROR(__xludf.DUMMYFUNCTION("""COMPUTED_VALUE"""),45029.1260311458)</f>
        <v>45029.12603</v>
      </c>
      <c r="D10949" s="15">
        <f>IFERROR(__xludf.DUMMYFUNCTION("""COMPUTED_VALUE"""),1.068)</f>
        <v>1.068</v>
      </c>
      <c r="E10949" s="16">
        <f>IFERROR(__xludf.DUMMYFUNCTION("""COMPUTED_VALUE"""),62.0)</f>
        <v>62</v>
      </c>
      <c r="F10949" s="19" t="str">
        <f>IFERROR(__xludf.DUMMYFUNCTION("""COMPUTED_VALUE"""),"BLUE")</f>
        <v>BLUE</v>
      </c>
      <c r="G10949" s="20" t="str">
        <f>IFERROR(__xludf.DUMMYFUNCTION("""COMPUTED_VALUE"""),"Uncle Sams Cider (04/04/2023)")</f>
        <v>Uncle Sams Cider (04/04/2023)</v>
      </c>
      <c r="H10949" s="19"/>
    </row>
    <row r="10950">
      <c r="A10950" s="9"/>
      <c r="B10950" s="15"/>
      <c r="C10950" s="9">
        <f>IFERROR(__xludf.DUMMYFUNCTION("""COMPUTED_VALUE"""),45029.1156103587)</f>
        <v>45029.11561</v>
      </c>
      <c r="D10950" s="15">
        <f>IFERROR(__xludf.DUMMYFUNCTION("""COMPUTED_VALUE"""),1.068)</f>
        <v>1.068</v>
      </c>
      <c r="E10950" s="16">
        <f>IFERROR(__xludf.DUMMYFUNCTION("""COMPUTED_VALUE"""),62.0)</f>
        <v>62</v>
      </c>
      <c r="F10950" s="19" t="str">
        <f>IFERROR(__xludf.DUMMYFUNCTION("""COMPUTED_VALUE"""),"BLUE")</f>
        <v>BLUE</v>
      </c>
      <c r="G10950" s="20" t="str">
        <f>IFERROR(__xludf.DUMMYFUNCTION("""COMPUTED_VALUE"""),"Uncle Sams Cider (04/04/2023)")</f>
        <v>Uncle Sams Cider (04/04/2023)</v>
      </c>
      <c r="H10950" s="19"/>
    </row>
    <row r="10951">
      <c r="A10951" s="9"/>
      <c r="B10951" s="15"/>
      <c r="C10951" s="9">
        <f>IFERROR(__xludf.DUMMYFUNCTION("""COMPUTED_VALUE"""),45029.1051880208)</f>
        <v>45029.10519</v>
      </c>
      <c r="D10951" s="15">
        <f>IFERROR(__xludf.DUMMYFUNCTION("""COMPUTED_VALUE"""),1.068)</f>
        <v>1.068</v>
      </c>
      <c r="E10951" s="16">
        <f>IFERROR(__xludf.DUMMYFUNCTION("""COMPUTED_VALUE"""),62.0)</f>
        <v>62</v>
      </c>
      <c r="F10951" s="19" t="str">
        <f>IFERROR(__xludf.DUMMYFUNCTION("""COMPUTED_VALUE"""),"BLUE")</f>
        <v>BLUE</v>
      </c>
      <c r="G10951" s="20" t="str">
        <f>IFERROR(__xludf.DUMMYFUNCTION("""COMPUTED_VALUE"""),"Uncle Sams Cider (04/04/2023)")</f>
        <v>Uncle Sams Cider (04/04/2023)</v>
      </c>
      <c r="H10951" s="19"/>
    </row>
    <row r="10952">
      <c r="A10952" s="9"/>
      <c r="B10952" s="15"/>
      <c r="C10952" s="9">
        <f>IFERROR(__xludf.DUMMYFUNCTION("""COMPUTED_VALUE"""),45029.094766574)</f>
        <v>45029.09477</v>
      </c>
      <c r="D10952" s="15">
        <f>IFERROR(__xludf.DUMMYFUNCTION("""COMPUTED_VALUE"""),1.068)</f>
        <v>1.068</v>
      </c>
      <c r="E10952" s="16">
        <f>IFERROR(__xludf.DUMMYFUNCTION("""COMPUTED_VALUE"""),62.0)</f>
        <v>62</v>
      </c>
      <c r="F10952" s="19" t="str">
        <f>IFERROR(__xludf.DUMMYFUNCTION("""COMPUTED_VALUE"""),"BLUE")</f>
        <v>BLUE</v>
      </c>
      <c r="G10952" s="20" t="str">
        <f>IFERROR(__xludf.DUMMYFUNCTION("""COMPUTED_VALUE"""),"Uncle Sams Cider (04/04/2023)")</f>
        <v>Uncle Sams Cider (04/04/2023)</v>
      </c>
      <c r="H10952" s="19"/>
    </row>
    <row r="10953">
      <c r="A10953" s="9"/>
      <c r="B10953" s="15"/>
      <c r="C10953" s="9">
        <f>IFERROR(__xludf.DUMMYFUNCTION("""COMPUTED_VALUE"""),45029.0843452083)</f>
        <v>45029.08435</v>
      </c>
      <c r="D10953" s="15">
        <f>IFERROR(__xludf.DUMMYFUNCTION("""COMPUTED_VALUE"""),1.068)</f>
        <v>1.068</v>
      </c>
      <c r="E10953" s="16">
        <f>IFERROR(__xludf.DUMMYFUNCTION("""COMPUTED_VALUE"""),62.0)</f>
        <v>62</v>
      </c>
      <c r="F10953" s="19" t="str">
        <f>IFERROR(__xludf.DUMMYFUNCTION("""COMPUTED_VALUE"""),"BLUE")</f>
        <v>BLUE</v>
      </c>
      <c r="G10953" s="20" t="str">
        <f>IFERROR(__xludf.DUMMYFUNCTION("""COMPUTED_VALUE"""),"Uncle Sams Cider (04/04/2023)")</f>
        <v>Uncle Sams Cider (04/04/2023)</v>
      </c>
      <c r="H10953" s="19"/>
    </row>
    <row r="10954">
      <c r="A10954" s="9"/>
      <c r="B10954" s="15"/>
      <c r="C10954" s="9">
        <f>IFERROR(__xludf.DUMMYFUNCTION("""COMPUTED_VALUE"""),45029.073925324)</f>
        <v>45029.07393</v>
      </c>
      <c r="D10954" s="15">
        <f>IFERROR(__xludf.DUMMYFUNCTION("""COMPUTED_VALUE"""),1.068)</f>
        <v>1.068</v>
      </c>
      <c r="E10954" s="16">
        <f>IFERROR(__xludf.DUMMYFUNCTION("""COMPUTED_VALUE"""),62.0)</f>
        <v>62</v>
      </c>
      <c r="F10954" s="19" t="str">
        <f>IFERROR(__xludf.DUMMYFUNCTION("""COMPUTED_VALUE"""),"BLUE")</f>
        <v>BLUE</v>
      </c>
      <c r="G10954" s="20" t="str">
        <f>IFERROR(__xludf.DUMMYFUNCTION("""COMPUTED_VALUE"""),"Uncle Sams Cider (04/04/2023)")</f>
        <v>Uncle Sams Cider (04/04/2023)</v>
      </c>
      <c r="H10954" s="19"/>
    </row>
    <row r="10955">
      <c r="A10955" s="9"/>
      <c r="B10955" s="15"/>
      <c r="C10955" s="9">
        <f>IFERROR(__xludf.DUMMYFUNCTION("""COMPUTED_VALUE"""),45029.0635039351)</f>
        <v>45029.0635</v>
      </c>
      <c r="D10955" s="15">
        <f>IFERROR(__xludf.DUMMYFUNCTION("""COMPUTED_VALUE"""),1.068)</f>
        <v>1.068</v>
      </c>
      <c r="E10955" s="16">
        <f>IFERROR(__xludf.DUMMYFUNCTION("""COMPUTED_VALUE"""),62.0)</f>
        <v>62</v>
      </c>
      <c r="F10955" s="19" t="str">
        <f>IFERROR(__xludf.DUMMYFUNCTION("""COMPUTED_VALUE"""),"BLUE")</f>
        <v>BLUE</v>
      </c>
      <c r="G10955" s="20" t="str">
        <f>IFERROR(__xludf.DUMMYFUNCTION("""COMPUTED_VALUE"""),"Uncle Sams Cider (04/04/2023)")</f>
        <v>Uncle Sams Cider (04/04/2023)</v>
      </c>
      <c r="H10955" s="19"/>
    </row>
    <row r="10956">
      <c r="A10956" s="9"/>
      <c r="B10956" s="15"/>
      <c r="C10956" s="9">
        <f>IFERROR(__xludf.DUMMYFUNCTION("""COMPUTED_VALUE"""),45029.0530834259)</f>
        <v>45029.05308</v>
      </c>
      <c r="D10956" s="15">
        <f>IFERROR(__xludf.DUMMYFUNCTION("""COMPUTED_VALUE"""),1.068)</f>
        <v>1.068</v>
      </c>
      <c r="E10956" s="16">
        <f>IFERROR(__xludf.DUMMYFUNCTION("""COMPUTED_VALUE"""),62.0)</f>
        <v>62</v>
      </c>
      <c r="F10956" s="19" t="str">
        <f>IFERROR(__xludf.DUMMYFUNCTION("""COMPUTED_VALUE"""),"BLUE")</f>
        <v>BLUE</v>
      </c>
      <c r="G10956" s="20" t="str">
        <f>IFERROR(__xludf.DUMMYFUNCTION("""COMPUTED_VALUE"""),"Uncle Sams Cider (04/04/2023)")</f>
        <v>Uncle Sams Cider (04/04/2023)</v>
      </c>
      <c r="H10956" s="19"/>
    </row>
    <row r="10957">
      <c r="A10957" s="9"/>
      <c r="B10957" s="15"/>
      <c r="C10957" s="9">
        <f>IFERROR(__xludf.DUMMYFUNCTION("""COMPUTED_VALUE"""),45029.0426499189)</f>
        <v>45029.04265</v>
      </c>
      <c r="D10957" s="15">
        <f>IFERROR(__xludf.DUMMYFUNCTION("""COMPUTED_VALUE"""),1.068)</f>
        <v>1.068</v>
      </c>
      <c r="E10957" s="16">
        <f>IFERROR(__xludf.DUMMYFUNCTION("""COMPUTED_VALUE"""),62.0)</f>
        <v>62</v>
      </c>
      <c r="F10957" s="19" t="str">
        <f>IFERROR(__xludf.DUMMYFUNCTION("""COMPUTED_VALUE"""),"BLUE")</f>
        <v>BLUE</v>
      </c>
      <c r="G10957" s="20" t="str">
        <f>IFERROR(__xludf.DUMMYFUNCTION("""COMPUTED_VALUE"""),"Uncle Sams Cider (04/04/2023)")</f>
        <v>Uncle Sams Cider (04/04/2023)</v>
      </c>
      <c r="H10957" s="19"/>
    </row>
    <row r="10958">
      <c r="A10958" s="9"/>
      <c r="B10958" s="15"/>
      <c r="C10958" s="9">
        <f>IFERROR(__xludf.DUMMYFUNCTION("""COMPUTED_VALUE"""),45029.032228206)</f>
        <v>45029.03223</v>
      </c>
      <c r="D10958" s="15">
        <f>IFERROR(__xludf.DUMMYFUNCTION("""COMPUTED_VALUE"""),1.068)</f>
        <v>1.068</v>
      </c>
      <c r="E10958" s="16">
        <f>IFERROR(__xludf.DUMMYFUNCTION("""COMPUTED_VALUE"""),62.0)</f>
        <v>62</v>
      </c>
      <c r="F10958" s="19" t="str">
        <f>IFERROR(__xludf.DUMMYFUNCTION("""COMPUTED_VALUE"""),"BLUE")</f>
        <v>BLUE</v>
      </c>
      <c r="G10958" s="20" t="str">
        <f>IFERROR(__xludf.DUMMYFUNCTION("""COMPUTED_VALUE"""),"Uncle Sams Cider (04/04/2023)")</f>
        <v>Uncle Sams Cider (04/04/2023)</v>
      </c>
      <c r="H10958" s="19"/>
    </row>
    <row r="10959">
      <c r="A10959" s="9"/>
      <c r="B10959" s="15"/>
      <c r="C10959" s="9">
        <f>IFERROR(__xludf.DUMMYFUNCTION("""COMPUTED_VALUE"""),45029.0217946643)</f>
        <v>45029.02179</v>
      </c>
      <c r="D10959" s="15">
        <f>IFERROR(__xludf.DUMMYFUNCTION("""COMPUTED_VALUE"""),1.068)</f>
        <v>1.068</v>
      </c>
      <c r="E10959" s="16">
        <f>IFERROR(__xludf.DUMMYFUNCTION("""COMPUTED_VALUE"""),62.0)</f>
        <v>62</v>
      </c>
      <c r="F10959" s="19" t="str">
        <f>IFERROR(__xludf.DUMMYFUNCTION("""COMPUTED_VALUE"""),"BLUE")</f>
        <v>BLUE</v>
      </c>
      <c r="G10959" s="20" t="str">
        <f>IFERROR(__xludf.DUMMYFUNCTION("""COMPUTED_VALUE"""),"Uncle Sams Cider (04/04/2023)")</f>
        <v>Uncle Sams Cider (04/04/2023)</v>
      </c>
      <c r="H10959" s="19"/>
    </row>
    <row r="10960">
      <c r="A10960" s="9"/>
      <c r="B10960" s="15"/>
      <c r="C10960" s="9">
        <f>IFERROR(__xludf.DUMMYFUNCTION("""COMPUTED_VALUE"""),45029.0113722338)</f>
        <v>45029.01137</v>
      </c>
      <c r="D10960" s="15">
        <f>IFERROR(__xludf.DUMMYFUNCTION("""COMPUTED_VALUE"""),1.068)</f>
        <v>1.068</v>
      </c>
      <c r="E10960" s="16">
        <f>IFERROR(__xludf.DUMMYFUNCTION("""COMPUTED_VALUE"""),62.0)</f>
        <v>62</v>
      </c>
      <c r="F10960" s="19" t="str">
        <f>IFERROR(__xludf.DUMMYFUNCTION("""COMPUTED_VALUE"""),"BLUE")</f>
        <v>BLUE</v>
      </c>
      <c r="G10960" s="20" t="str">
        <f>IFERROR(__xludf.DUMMYFUNCTION("""COMPUTED_VALUE"""),"Uncle Sams Cider (04/04/2023)")</f>
        <v>Uncle Sams Cider (04/04/2023)</v>
      </c>
      <c r="H10960" s="19"/>
    </row>
    <row r="10961">
      <c r="A10961" s="9"/>
      <c r="B10961" s="15"/>
      <c r="C10961" s="9">
        <f>IFERROR(__xludf.DUMMYFUNCTION("""COMPUTED_VALUE"""),45029.0009498611)</f>
        <v>45029.00095</v>
      </c>
      <c r="D10961" s="15">
        <f>IFERROR(__xludf.DUMMYFUNCTION("""COMPUTED_VALUE"""),1.068)</f>
        <v>1.068</v>
      </c>
      <c r="E10961" s="16">
        <f>IFERROR(__xludf.DUMMYFUNCTION("""COMPUTED_VALUE"""),62.0)</f>
        <v>62</v>
      </c>
      <c r="F10961" s="19" t="str">
        <f>IFERROR(__xludf.DUMMYFUNCTION("""COMPUTED_VALUE"""),"BLUE")</f>
        <v>BLUE</v>
      </c>
      <c r="G10961" s="20" t="str">
        <f>IFERROR(__xludf.DUMMYFUNCTION("""COMPUTED_VALUE"""),"Uncle Sams Cider (04/04/2023)")</f>
        <v>Uncle Sams Cider (04/04/2023)</v>
      </c>
      <c r="H10961" s="19"/>
    </row>
    <row r="10962">
      <c r="A10962" s="9"/>
      <c r="B10962" s="15"/>
      <c r="C10962" s="9">
        <f>IFERROR(__xludf.DUMMYFUNCTION("""COMPUTED_VALUE"""),45028.9905272453)</f>
        <v>45028.99053</v>
      </c>
      <c r="D10962" s="15">
        <f>IFERROR(__xludf.DUMMYFUNCTION("""COMPUTED_VALUE"""),1.068)</f>
        <v>1.068</v>
      </c>
      <c r="E10962" s="16">
        <f>IFERROR(__xludf.DUMMYFUNCTION("""COMPUTED_VALUE"""),62.0)</f>
        <v>62</v>
      </c>
      <c r="F10962" s="19" t="str">
        <f>IFERROR(__xludf.DUMMYFUNCTION("""COMPUTED_VALUE"""),"BLUE")</f>
        <v>BLUE</v>
      </c>
      <c r="G10962" s="20" t="str">
        <f>IFERROR(__xludf.DUMMYFUNCTION("""COMPUTED_VALUE"""),"Uncle Sams Cider (04/04/2023)")</f>
        <v>Uncle Sams Cider (04/04/2023)</v>
      </c>
      <c r="H10962" s="19"/>
    </row>
    <row r="10963">
      <c r="A10963" s="9"/>
      <c r="B10963" s="15"/>
      <c r="C10963" s="9">
        <f>IFERROR(__xludf.DUMMYFUNCTION("""COMPUTED_VALUE"""),45028.9801058564)</f>
        <v>45028.98011</v>
      </c>
      <c r="D10963" s="15">
        <f>IFERROR(__xludf.DUMMYFUNCTION("""COMPUTED_VALUE"""),1.068)</f>
        <v>1.068</v>
      </c>
      <c r="E10963" s="16">
        <f>IFERROR(__xludf.DUMMYFUNCTION("""COMPUTED_VALUE"""),62.0)</f>
        <v>62</v>
      </c>
      <c r="F10963" s="19" t="str">
        <f>IFERROR(__xludf.DUMMYFUNCTION("""COMPUTED_VALUE"""),"BLUE")</f>
        <v>BLUE</v>
      </c>
      <c r="G10963" s="20" t="str">
        <f>IFERROR(__xludf.DUMMYFUNCTION("""COMPUTED_VALUE"""),"Uncle Sams Cider (04/04/2023)")</f>
        <v>Uncle Sams Cider (04/04/2023)</v>
      </c>
      <c r="H10963" s="19"/>
    </row>
    <row r="10964">
      <c r="A10964" s="9"/>
      <c r="B10964" s="15"/>
      <c r="C10964" s="9">
        <f>IFERROR(__xludf.DUMMYFUNCTION("""COMPUTED_VALUE"""),45028.9696865625)</f>
        <v>45028.96969</v>
      </c>
      <c r="D10964" s="15">
        <f>IFERROR(__xludf.DUMMYFUNCTION("""COMPUTED_VALUE"""),1.068)</f>
        <v>1.068</v>
      </c>
      <c r="E10964" s="16">
        <f>IFERROR(__xludf.DUMMYFUNCTION("""COMPUTED_VALUE"""),62.0)</f>
        <v>62</v>
      </c>
      <c r="F10964" s="19" t="str">
        <f>IFERROR(__xludf.DUMMYFUNCTION("""COMPUTED_VALUE"""),"BLUE")</f>
        <v>BLUE</v>
      </c>
      <c r="G10964" s="20" t="str">
        <f>IFERROR(__xludf.DUMMYFUNCTION("""COMPUTED_VALUE"""),"Uncle Sams Cider (04/04/2023)")</f>
        <v>Uncle Sams Cider (04/04/2023)</v>
      </c>
      <c r="H10964" s="19"/>
    </row>
    <row r="10965">
      <c r="A10965" s="9"/>
      <c r="B10965" s="15"/>
      <c r="C10965" s="9">
        <f>IFERROR(__xludf.DUMMYFUNCTION("""COMPUTED_VALUE"""),45028.9592529398)</f>
        <v>45028.95925</v>
      </c>
      <c r="D10965" s="15">
        <f>IFERROR(__xludf.DUMMYFUNCTION("""COMPUTED_VALUE"""),1.069)</f>
        <v>1.069</v>
      </c>
      <c r="E10965" s="16">
        <f>IFERROR(__xludf.DUMMYFUNCTION("""COMPUTED_VALUE"""),62.0)</f>
        <v>62</v>
      </c>
      <c r="F10965" s="19" t="str">
        <f>IFERROR(__xludf.DUMMYFUNCTION("""COMPUTED_VALUE"""),"BLUE")</f>
        <v>BLUE</v>
      </c>
      <c r="G10965" s="20" t="str">
        <f>IFERROR(__xludf.DUMMYFUNCTION("""COMPUTED_VALUE"""),"Uncle Sams Cider (04/04/2023)")</f>
        <v>Uncle Sams Cider (04/04/2023)</v>
      </c>
      <c r="H10965" s="19"/>
    </row>
    <row r="10966">
      <c r="A10966" s="9"/>
      <c r="B10966" s="15"/>
      <c r="C10966" s="9">
        <f>IFERROR(__xludf.DUMMYFUNCTION("""COMPUTED_VALUE"""),45028.9488326041)</f>
        <v>45028.94883</v>
      </c>
      <c r="D10966" s="15">
        <f>IFERROR(__xludf.DUMMYFUNCTION("""COMPUTED_VALUE"""),1.068)</f>
        <v>1.068</v>
      </c>
      <c r="E10966" s="16">
        <f>IFERROR(__xludf.DUMMYFUNCTION("""COMPUTED_VALUE"""),62.0)</f>
        <v>62</v>
      </c>
      <c r="F10966" s="19" t="str">
        <f>IFERROR(__xludf.DUMMYFUNCTION("""COMPUTED_VALUE"""),"BLUE")</f>
        <v>BLUE</v>
      </c>
      <c r="G10966" s="20" t="str">
        <f>IFERROR(__xludf.DUMMYFUNCTION("""COMPUTED_VALUE"""),"Uncle Sams Cider (04/04/2023)")</f>
        <v>Uncle Sams Cider (04/04/2023)</v>
      </c>
      <c r="H10966" s="19"/>
    </row>
    <row r="10967">
      <c r="A10967" s="9"/>
      <c r="B10967" s="15"/>
      <c r="C10967" s="9">
        <f>IFERROR(__xludf.DUMMYFUNCTION("""COMPUTED_VALUE"""),45028.9384114236)</f>
        <v>45028.93841</v>
      </c>
      <c r="D10967" s="15">
        <f>IFERROR(__xludf.DUMMYFUNCTION("""COMPUTED_VALUE"""),1.068)</f>
        <v>1.068</v>
      </c>
      <c r="E10967" s="16">
        <f>IFERROR(__xludf.DUMMYFUNCTION("""COMPUTED_VALUE"""),62.0)</f>
        <v>62</v>
      </c>
      <c r="F10967" s="19" t="str">
        <f>IFERROR(__xludf.DUMMYFUNCTION("""COMPUTED_VALUE"""),"BLUE")</f>
        <v>BLUE</v>
      </c>
      <c r="G10967" s="20" t="str">
        <f>IFERROR(__xludf.DUMMYFUNCTION("""COMPUTED_VALUE"""),"Uncle Sams Cider (04/04/2023)")</f>
        <v>Uncle Sams Cider (04/04/2023)</v>
      </c>
      <c r="H10967" s="19"/>
    </row>
    <row r="10968">
      <c r="A10968" s="9"/>
      <c r="B10968" s="15"/>
      <c r="C10968" s="9">
        <f>IFERROR(__xludf.DUMMYFUNCTION("""COMPUTED_VALUE"""),45028.9279891203)</f>
        <v>45028.92799</v>
      </c>
      <c r="D10968" s="15">
        <f>IFERROR(__xludf.DUMMYFUNCTION("""COMPUTED_VALUE"""),1.068)</f>
        <v>1.068</v>
      </c>
      <c r="E10968" s="16">
        <f>IFERROR(__xludf.DUMMYFUNCTION("""COMPUTED_VALUE"""),62.0)</f>
        <v>62</v>
      </c>
      <c r="F10968" s="19" t="str">
        <f>IFERROR(__xludf.DUMMYFUNCTION("""COMPUTED_VALUE"""),"BLUE")</f>
        <v>BLUE</v>
      </c>
      <c r="G10968" s="20" t="str">
        <f>IFERROR(__xludf.DUMMYFUNCTION("""COMPUTED_VALUE"""),"Uncle Sams Cider (04/04/2023)")</f>
        <v>Uncle Sams Cider (04/04/2023)</v>
      </c>
      <c r="H10968" s="19"/>
    </row>
    <row r="10969">
      <c r="A10969" s="9"/>
      <c r="B10969" s="15"/>
      <c r="C10969" s="9">
        <f>IFERROR(__xludf.DUMMYFUNCTION("""COMPUTED_VALUE"""),45028.9175563773)</f>
        <v>45028.91756</v>
      </c>
      <c r="D10969" s="15">
        <f>IFERROR(__xludf.DUMMYFUNCTION("""COMPUTED_VALUE"""),1.068)</f>
        <v>1.068</v>
      </c>
      <c r="E10969" s="16">
        <f>IFERROR(__xludf.DUMMYFUNCTION("""COMPUTED_VALUE"""),62.0)</f>
        <v>62</v>
      </c>
      <c r="F10969" s="19" t="str">
        <f>IFERROR(__xludf.DUMMYFUNCTION("""COMPUTED_VALUE"""),"BLUE")</f>
        <v>BLUE</v>
      </c>
      <c r="G10969" s="20" t="str">
        <f>IFERROR(__xludf.DUMMYFUNCTION("""COMPUTED_VALUE"""),"Uncle Sams Cider (04/04/2023)")</f>
        <v>Uncle Sams Cider (04/04/2023)</v>
      </c>
      <c r="H10969" s="19"/>
    </row>
    <row r="10970">
      <c r="A10970" s="9"/>
      <c r="B10970" s="15"/>
      <c r="C10970" s="9">
        <f>IFERROR(__xludf.DUMMYFUNCTION("""COMPUTED_VALUE"""),45028.9071358333)</f>
        <v>45028.90714</v>
      </c>
      <c r="D10970" s="15">
        <f>IFERROR(__xludf.DUMMYFUNCTION("""COMPUTED_VALUE"""),1.069)</f>
        <v>1.069</v>
      </c>
      <c r="E10970" s="16">
        <f>IFERROR(__xludf.DUMMYFUNCTION("""COMPUTED_VALUE"""),62.0)</f>
        <v>62</v>
      </c>
      <c r="F10970" s="19" t="str">
        <f>IFERROR(__xludf.DUMMYFUNCTION("""COMPUTED_VALUE"""),"BLUE")</f>
        <v>BLUE</v>
      </c>
      <c r="G10970" s="20" t="str">
        <f>IFERROR(__xludf.DUMMYFUNCTION("""COMPUTED_VALUE"""),"Uncle Sams Cider (04/04/2023)")</f>
        <v>Uncle Sams Cider (04/04/2023)</v>
      </c>
      <c r="H10970" s="19"/>
    </row>
    <row r="10971">
      <c r="A10971" s="9"/>
      <c r="B10971" s="15"/>
      <c r="C10971" s="9">
        <f>IFERROR(__xludf.DUMMYFUNCTION("""COMPUTED_VALUE"""),45028.8967009953)</f>
        <v>45028.8967</v>
      </c>
      <c r="D10971" s="15">
        <f>IFERROR(__xludf.DUMMYFUNCTION("""COMPUTED_VALUE"""),1.069)</f>
        <v>1.069</v>
      </c>
      <c r="E10971" s="16">
        <f>IFERROR(__xludf.DUMMYFUNCTION("""COMPUTED_VALUE"""),62.0)</f>
        <v>62</v>
      </c>
      <c r="F10971" s="19" t="str">
        <f>IFERROR(__xludf.DUMMYFUNCTION("""COMPUTED_VALUE"""),"BLUE")</f>
        <v>BLUE</v>
      </c>
      <c r="G10971" s="20" t="str">
        <f>IFERROR(__xludf.DUMMYFUNCTION("""COMPUTED_VALUE"""),"Uncle Sams Cider (04/04/2023)")</f>
        <v>Uncle Sams Cider (04/04/2023)</v>
      </c>
      <c r="H10971" s="19"/>
    </row>
    <row r="10972">
      <c r="A10972" s="9"/>
      <c r="B10972" s="15"/>
      <c r="C10972" s="9">
        <f>IFERROR(__xludf.DUMMYFUNCTION("""COMPUTED_VALUE"""),45028.8862807291)</f>
        <v>45028.88628</v>
      </c>
      <c r="D10972" s="15">
        <f>IFERROR(__xludf.DUMMYFUNCTION("""COMPUTED_VALUE"""),1.069)</f>
        <v>1.069</v>
      </c>
      <c r="E10972" s="16">
        <f>IFERROR(__xludf.DUMMYFUNCTION("""COMPUTED_VALUE"""),62.0)</f>
        <v>62</v>
      </c>
      <c r="F10972" s="19" t="str">
        <f>IFERROR(__xludf.DUMMYFUNCTION("""COMPUTED_VALUE"""),"BLUE")</f>
        <v>BLUE</v>
      </c>
      <c r="G10972" s="20" t="str">
        <f>IFERROR(__xludf.DUMMYFUNCTION("""COMPUTED_VALUE"""),"Uncle Sams Cider (04/04/2023)")</f>
        <v>Uncle Sams Cider (04/04/2023)</v>
      </c>
      <c r="H10972" s="19"/>
    </row>
    <row r="10973">
      <c r="A10973" s="9"/>
      <c r="B10973" s="15"/>
      <c r="C10973" s="9">
        <f>IFERROR(__xludf.DUMMYFUNCTION("""COMPUTED_VALUE"""),45028.8758587384)</f>
        <v>45028.87586</v>
      </c>
      <c r="D10973" s="15">
        <f>IFERROR(__xludf.DUMMYFUNCTION("""COMPUTED_VALUE"""),1.069)</f>
        <v>1.069</v>
      </c>
      <c r="E10973" s="16">
        <f>IFERROR(__xludf.DUMMYFUNCTION("""COMPUTED_VALUE"""),62.0)</f>
        <v>62</v>
      </c>
      <c r="F10973" s="19" t="str">
        <f>IFERROR(__xludf.DUMMYFUNCTION("""COMPUTED_VALUE"""),"BLUE")</f>
        <v>BLUE</v>
      </c>
      <c r="G10973" s="20" t="str">
        <f>IFERROR(__xludf.DUMMYFUNCTION("""COMPUTED_VALUE"""),"Uncle Sams Cider (04/04/2023)")</f>
        <v>Uncle Sams Cider (04/04/2023)</v>
      </c>
      <c r="H10973" s="19"/>
    </row>
    <row r="10974">
      <c r="A10974" s="9"/>
      <c r="B10974" s="15"/>
      <c r="C10974" s="9">
        <f>IFERROR(__xludf.DUMMYFUNCTION("""COMPUTED_VALUE"""),45028.865437905)</f>
        <v>45028.86544</v>
      </c>
      <c r="D10974" s="15">
        <f>IFERROR(__xludf.DUMMYFUNCTION("""COMPUTED_VALUE"""),1.069)</f>
        <v>1.069</v>
      </c>
      <c r="E10974" s="16">
        <f>IFERROR(__xludf.DUMMYFUNCTION("""COMPUTED_VALUE"""),62.0)</f>
        <v>62</v>
      </c>
      <c r="F10974" s="19" t="str">
        <f>IFERROR(__xludf.DUMMYFUNCTION("""COMPUTED_VALUE"""),"BLUE")</f>
        <v>BLUE</v>
      </c>
      <c r="G10974" s="20" t="str">
        <f>IFERROR(__xludf.DUMMYFUNCTION("""COMPUTED_VALUE"""),"Uncle Sams Cider (04/04/2023)")</f>
        <v>Uncle Sams Cider (04/04/2023)</v>
      </c>
      <c r="H10974" s="19"/>
    </row>
    <row r="10975">
      <c r="A10975" s="9"/>
      <c r="B10975" s="15"/>
      <c r="C10975" s="9">
        <f>IFERROR(__xludf.DUMMYFUNCTION("""COMPUTED_VALUE"""),45028.8550184027)</f>
        <v>45028.85502</v>
      </c>
      <c r="D10975" s="15">
        <f>IFERROR(__xludf.DUMMYFUNCTION("""COMPUTED_VALUE"""),1.069)</f>
        <v>1.069</v>
      </c>
      <c r="E10975" s="16">
        <f>IFERROR(__xludf.DUMMYFUNCTION("""COMPUTED_VALUE"""),62.0)</f>
        <v>62</v>
      </c>
      <c r="F10975" s="19" t="str">
        <f>IFERROR(__xludf.DUMMYFUNCTION("""COMPUTED_VALUE"""),"BLUE")</f>
        <v>BLUE</v>
      </c>
      <c r="G10975" s="20" t="str">
        <f>IFERROR(__xludf.DUMMYFUNCTION("""COMPUTED_VALUE"""),"Uncle Sams Cider (04/04/2023)")</f>
        <v>Uncle Sams Cider (04/04/2023)</v>
      </c>
      <c r="H10975" s="19"/>
    </row>
    <row r="10976">
      <c r="A10976" s="9"/>
      <c r="B10976" s="15"/>
      <c r="C10976" s="9">
        <f>IFERROR(__xludf.DUMMYFUNCTION("""COMPUTED_VALUE"""),45028.8445962268)</f>
        <v>45028.8446</v>
      </c>
      <c r="D10976" s="15">
        <f>IFERROR(__xludf.DUMMYFUNCTION("""COMPUTED_VALUE"""),1.069)</f>
        <v>1.069</v>
      </c>
      <c r="E10976" s="16">
        <f>IFERROR(__xludf.DUMMYFUNCTION("""COMPUTED_VALUE"""),62.0)</f>
        <v>62</v>
      </c>
      <c r="F10976" s="19" t="str">
        <f>IFERROR(__xludf.DUMMYFUNCTION("""COMPUTED_VALUE"""),"BLUE")</f>
        <v>BLUE</v>
      </c>
      <c r="G10976" s="20" t="str">
        <f>IFERROR(__xludf.DUMMYFUNCTION("""COMPUTED_VALUE"""),"Uncle Sams Cider (04/04/2023)")</f>
        <v>Uncle Sams Cider (04/04/2023)</v>
      </c>
      <c r="H10976" s="19"/>
    </row>
    <row r="10977">
      <c r="A10977" s="9"/>
      <c r="B10977" s="15"/>
      <c r="C10977" s="9">
        <f>IFERROR(__xludf.DUMMYFUNCTION("""COMPUTED_VALUE"""),45028.8341775578)</f>
        <v>45028.83418</v>
      </c>
      <c r="D10977" s="15">
        <f>IFERROR(__xludf.DUMMYFUNCTION("""COMPUTED_VALUE"""),1.069)</f>
        <v>1.069</v>
      </c>
      <c r="E10977" s="16">
        <f>IFERROR(__xludf.DUMMYFUNCTION("""COMPUTED_VALUE"""),62.0)</f>
        <v>62</v>
      </c>
      <c r="F10977" s="19" t="str">
        <f>IFERROR(__xludf.DUMMYFUNCTION("""COMPUTED_VALUE"""),"BLUE")</f>
        <v>BLUE</v>
      </c>
      <c r="G10977" s="20" t="str">
        <f>IFERROR(__xludf.DUMMYFUNCTION("""COMPUTED_VALUE"""),"Uncle Sams Cider (04/04/2023)")</f>
        <v>Uncle Sams Cider (04/04/2023)</v>
      </c>
      <c r="H10977" s="19"/>
    </row>
    <row r="10978">
      <c r="A10978" s="9"/>
      <c r="B10978" s="15"/>
      <c r="C10978" s="9">
        <f>IFERROR(__xludf.DUMMYFUNCTION("""COMPUTED_VALUE"""),45028.8237543287)</f>
        <v>45028.82375</v>
      </c>
      <c r="D10978" s="15">
        <f>IFERROR(__xludf.DUMMYFUNCTION("""COMPUTED_VALUE"""),1.069)</f>
        <v>1.069</v>
      </c>
      <c r="E10978" s="16">
        <f>IFERROR(__xludf.DUMMYFUNCTION("""COMPUTED_VALUE"""),62.0)</f>
        <v>62</v>
      </c>
      <c r="F10978" s="19" t="str">
        <f>IFERROR(__xludf.DUMMYFUNCTION("""COMPUTED_VALUE"""),"BLUE")</f>
        <v>BLUE</v>
      </c>
      <c r="G10978" s="20" t="str">
        <f>IFERROR(__xludf.DUMMYFUNCTION("""COMPUTED_VALUE"""),"Uncle Sams Cider (04/04/2023)")</f>
        <v>Uncle Sams Cider (04/04/2023)</v>
      </c>
      <c r="H10978" s="19"/>
    </row>
    <row r="10979">
      <c r="A10979" s="9"/>
      <c r="B10979" s="15"/>
      <c r="C10979" s="9">
        <f>IFERROR(__xludf.DUMMYFUNCTION("""COMPUTED_VALUE"""),45028.8133195486)</f>
        <v>45028.81332</v>
      </c>
      <c r="D10979" s="15">
        <f>IFERROR(__xludf.DUMMYFUNCTION("""COMPUTED_VALUE"""),1.069)</f>
        <v>1.069</v>
      </c>
      <c r="E10979" s="16">
        <f>IFERROR(__xludf.DUMMYFUNCTION("""COMPUTED_VALUE"""),62.0)</f>
        <v>62</v>
      </c>
      <c r="F10979" s="19" t="str">
        <f>IFERROR(__xludf.DUMMYFUNCTION("""COMPUTED_VALUE"""),"BLUE")</f>
        <v>BLUE</v>
      </c>
      <c r="G10979" s="20" t="str">
        <f>IFERROR(__xludf.DUMMYFUNCTION("""COMPUTED_VALUE"""),"Uncle Sams Cider (04/04/2023)")</f>
        <v>Uncle Sams Cider (04/04/2023)</v>
      </c>
      <c r="H10979" s="19"/>
    </row>
    <row r="10980">
      <c r="A10980" s="9"/>
      <c r="B10980" s="15"/>
      <c r="C10980" s="9">
        <f>IFERROR(__xludf.DUMMYFUNCTION("""COMPUTED_VALUE"""),45028.8028980787)</f>
        <v>45028.8029</v>
      </c>
      <c r="D10980" s="15">
        <f>IFERROR(__xludf.DUMMYFUNCTION("""COMPUTED_VALUE"""),1.069)</f>
        <v>1.069</v>
      </c>
      <c r="E10980" s="16">
        <f>IFERROR(__xludf.DUMMYFUNCTION("""COMPUTED_VALUE"""),62.0)</f>
        <v>62</v>
      </c>
      <c r="F10980" s="19" t="str">
        <f>IFERROR(__xludf.DUMMYFUNCTION("""COMPUTED_VALUE"""),"BLUE")</f>
        <v>BLUE</v>
      </c>
      <c r="G10980" s="20" t="str">
        <f>IFERROR(__xludf.DUMMYFUNCTION("""COMPUTED_VALUE"""),"Uncle Sams Cider (04/04/2023)")</f>
        <v>Uncle Sams Cider (04/04/2023)</v>
      </c>
      <c r="H10980" s="19"/>
    </row>
    <row r="10981">
      <c r="A10981" s="9"/>
      <c r="B10981" s="15"/>
      <c r="C10981" s="9">
        <f>IFERROR(__xludf.DUMMYFUNCTION("""COMPUTED_VALUE"""),45028.7924540509)</f>
        <v>45028.79245</v>
      </c>
      <c r="D10981" s="15">
        <f>IFERROR(__xludf.DUMMYFUNCTION("""COMPUTED_VALUE"""),1.069)</f>
        <v>1.069</v>
      </c>
      <c r="E10981" s="16">
        <f>IFERROR(__xludf.DUMMYFUNCTION("""COMPUTED_VALUE"""),62.0)</f>
        <v>62</v>
      </c>
      <c r="F10981" s="19" t="str">
        <f>IFERROR(__xludf.DUMMYFUNCTION("""COMPUTED_VALUE"""),"BLUE")</f>
        <v>BLUE</v>
      </c>
      <c r="G10981" s="20" t="str">
        <f>IFERROR(__xludf.DUMMYFUNCTION("""COMPUTED_VALUE"""),"Uncle Sams Cider (04/04/2023)")</f>
        <v>Uncle Sams Cider (04/04/2023)</v>
      </c>
      <c r="H10981" s="19"/>
    </row>
    <row r="10982">
      <c r="A10982" s="9"/>
      <c r="B10982" s="15"/>
      <c r="C10982" s="9">
        <f>IFERROR(__xludf.DUMMYFUNCTION("""COMPUTED_VALUE"""),45028.7820338194)</f>
        <v>45028.78203</v>
      </c>
      <c r="D10982" s="15">
        <f>IFERROR(__xludf.DUMMYFUNCTION("""COMPUTED_VALUE"""),1.069)</f>
        <v>1.069</v>
      </c>
      <c r="E10982" s="16">
        <f>IFERROR(__xludf.DUMMYFUNCTION("""COMPUTED_VALUE"""),62.0)</f>
        <v>62</v>
      </c>
      <c r="F10982" s="19" t="str">
        <f>IFERROR(__xludf.DUMMYFUNCTION("""COMPUTED_VALUE"""),"BLUE")</f>
        <v>BLUE</v>
      </c>
      <c r="G10982" s="20" t="str">
        <f>IFERROR(__xludf.DUMMYFUNCTION("""COMPUTED_VALUE"""),"Uncle Sams Cider (04/04/2023)")</f>
        <v>Uncle Sams Cider (04/04/2023)</v>
      </c>
      <c r="H10982" s="19"/>
    </row>
    <row r="10983">
      <c r="A10983" s="9"/>
      <c r="B10983" s="15"/>
      <c r="C10983" s="9">
        <f>IFERROR(__xludf.DUMMYFUNCTION("""COMPUTED_VALUE"""),45028.7716117824)</f>
        <v>45028.77161</v>
      </c>
      <c r="D10983" s="15">
        <f>IFERROR(__xludf.DUMMYFUNCTION("""COMPUTED_VALUE"""),1.069)</f>
        <v>1.069</v>
      </c>
      <c r="E10983" s="16">
        <f>IFERROR(__xludf.DUMMYFUNCTION("""COMPUTED_VALUE"""),62.0)</f>
        <v>62</v>
      </c>
      <c r="F10983" s="19" t="str">
        <f>IFERROR(__xludf.DUMMYFUNCTION("""COMPUTED_VALUE"""),"BLUE")</f>
        <v>BLUE</v>
      </c>
      <c r="G10983" s="20" t="str">
        <f>IFERROR(__xludf.DUMMYFUNCTION("""COMPUTED_VALUE"""),"Uncle Sams Cider (04/04/2023)")</f>
        <v>Uncle Sams Cider (04/04/2023)</v>
      </c>
      <c r="H10983" s="19"/>
    </row>
    <row r="10984">
      <c r="A10984" s="9"/>
      <c r="B10984" s="15"/>
      <c r="C10984" s="9">
        <f>IFERROR(__xludf.DUMMYFUNCTION("""COMPUTED_VALUE"""),45028.76119)</f>
        <v>45028.76119</v>
      </c>
      <c r="D10984" s="15">
        <f>IFERROR(__xludf.DUMMYFUNCTION("""COMPUTED_VALUE"""),1.069)</f>
        <v>1.069</v>
      </c>
      <c r="E10984" s="16">
        <f>IFERROR(__xludf.DUMMYFUNCTION("""COMPUTED_VALUE"""),62.0)</f>
        <v>62</v>
      </c>
      <c r="F10984" s="19" t="str">
        <f>IFERROR(__xludf.DUMMYFUNCTION("""COMPUTED_VALUE"""),"BLUE")</f>
        <v>BLUE</v>
      </c>
      <c r="G10984" s="20" t="str">
        <f>IFERROR(__xludf.DUMMYFUNCTION("""COMPUTED_VALUE"""),"Uncle Sams Cider (04/04/2023)")</f>
        <v>Uncle Sams Cider (04/04/2023)</v>
      </c>
      <c r="H10984" s="19"/>
    </row>
    <row r="10985">
      <c r="A10985" s="9"/>
      <c r="B10985" s="15"/>
      <c r="C10985" s="9">
        <f>IFERROR(__xludf.DUMMYFUNCTION("""COMPUTED_VALUE"""),45028.7507579166)</f>
        <v>45028.75076</v>
      </c>
      <c r="D10985" s="15">
        <f>IFERROR(__xludf.DUMMYFUNCTION("""COMPUTED_VALUE"""),1.069)</f>
        <v>1.069</v>
      </c>
      <c r="E10985" s="16">
        <f>IFERROR(__xludf.DUMMYFUNCTION("""COMPUTED_VALUE"""),62.0)</f>
        <v>62</v>
      </c>
      <c r="F10985" s="19" t="str">
        <f>IFERROR(__xludf.DUMMYFUNCTION("""COMPUTED_VALUE"""),"BLUE")</f>
        <v>BLUE</v>
      </c>
      <c r="G10985" s="20" t="str">
        <f>IFERROR(__xludf.DUMMYFUNCTION("""COMPUTED_VALUE"""),"Uncle Sams Cider (04/04/2023)")</f>
        <v>Uncle Sams Cider (04/04/2023)</v>
      </c>
      <c r="H10985" s="19"/>
    </row>
    <row r="10986">
      <c r="A10986" s="9"/>
      <c r="B10986" s="15"/>
      <c r="C10986" s="9">
        <f>IFERROR(__xludf.DUMMYFUNCTION("""COMPUTED_VALUE"""),45028.7403368055)</f>
        <v>45028.74034</v>
      </c>
      <c r="D10986" s="15">
        <f>IFERROR(__xludf.DUMMYFUNCTION("""COMPUTED_VALUE"""),1.069)</f>
        <v>1.069</v>
      </c>
      <c r="E10986" s="16">
        <f>IFERROR(__xludf.DUMMYFUNCTION("""COMPUTED_VALUE"""),62.0)</f>
        <v>62</v>
      </c>
      <c r="F10986" s="19" t="str">
        <f>IFERROR(__xludf.DUMMYFUNCTION("""COMPUTED_VALUE"""),"BLUE")</f>
        <v>BLUE</v>
      </c>
      <c r="G10986" s="20" t="str">
        <f>IFERROR(__xludf.DUMMYFUNCTION("""COMPUTED_VALUE"""),"Uncle Sams Cider (04/04/2023)")</f>
        <v>Uncle Sams Cider (04/04/2023)</v>
      </c>
      <c r="H10986" s="19"/>
    </row>
    <row r="10987">
      <c r="A10987" s="9"/>
      <c r="B10987" s="15"/>
      <c r="C10987" s="9">
        <f>IFERROR(__xludf.DUMMYFUNCTION("""COMPUTED_VALUE"""),45028.7299054976)</f>
        <v>45028.72991</v>
      </c>
      <c r="D10987" s="15">
        <f>IFERROR(__xludf.DUMMYFUNCTION("""COMPUTED_VALUE"""),1.069)</f>
        <v>1.069</v>
      </c>
      <c r="E10987" s="16">
        <f>IFERROR(__xludf.DUMMYFUNCTION("""COMPUTED_VALUE"""),62.0)</f>
        <v>62</v>
      </c>
      <c r="F10987" s="19" t="str">
        <f>IFERROR(__xludf.DUMMYFUNCTION("""COMPUTED_VALUE"""),"BLUE")</f>
        <v>BLUE</v>
      </c>
      <c r="G10987" s="20" t="str">
        <f>IFERROR(__xludf.DUMMYFUNCTION("""COMPUTED_VALUE"""),"Uncle Sams Cider (04/04/2023)")</f>
        <v>Uncle Sams Cider (04/04/2023)</v>
      </c>
      <c r="H10987" s="19"/>
    </row>
    <row r="10988">
      <c r="A10988" s="9"/>
      <c r="B10988" s="15"/>
      <c r="C10988" s="9">
        <f>IFERROR(__xludf.DUMMYFUNCTION("""COMPUTED_VALUE"""),45028.7194732638)</f>
        <v>45028.71947</v>
      </c>
      <c r="D10988" s="15">
        <f>IFERROR(__xludf.DUMMYFUNCTION("""COMPUTED_VALUE"""),1.069)</f>
        <v>1.069</v>
      </c>
      <c r="E10988" s="16">
        <f>IFERROR(__xludf.DUMMYFUNCTION("""COMPUTED_VALUE"""),62.0)</f>
        <v>62</v>
      </c>
      <c r="F10988" s="19" t="str">
        <f>IFERROR(__xludf.DUMMYFUNCTION("""COMPUTED_VALUE"""),"BLUE")</f>
        <v>BLUE</v>
      </c>
      <c r="G10988" s="20" t="str">
        <f>IFERROR(__xludf.DUMMYFUNCTION("""COMPUTED_VALUE"""),"Uncle Sams Cider (04/04/2023)")</f>
        <v>Uncle Sams Cider (04/04/2023)</v>
      </c>
      <c r="H10988" s="19"/>
    </row>
    <row r="10989">
      <c r="A10989" s="9"/>
      <c r="B10989" s="15"/>
      <c r="C10989" s="9">
        <f>IFERROR(__xludf.DUMMYFUNCTION("""COMPUTED_VALUE"""),45028.7090523611)</f>
        <v>45028.70905</v>
      </c>
      <c r="D10989" s="15">
        <f>IFERROR(__xludf.DUMMYFUNCTION("""COMPUTED_VALUE"""),1.069)</f>
        <v>1.069</v>
      </c>
      <c r="E10989" s="16">
        <f>IFERROR(__xludf.DUMMYFUNCTION("""COMPUTED_VALUE"""),62.0)</f>
        <v>62</v>
      </c>
      <c r="F10989" s="19" t="str">
        <f>IFERROR(__xludf.DUMMYFUNCTION("""COMPUTED_VALUE"""),"BLUE")</f>
        <v>BLUE</v>
      </c>
      <c r="G10989" s="20" t="str">
        <f>IFERROR(__xludf.DUMMYFUNCTION("""COMPUTED_VALUE"""),"Uncle Sams Cider (04/04/2023)")</f>
        <v>Uncle Sams Cider (04/04/2023)</v>
      </c>
      <c r="H10989" s="19"/>
    </row>
    <row r="10990">
      <c r="A10990" s="9"/>
      <c r="B10990" s="15"/>
      <c r="C10990" s="9">
        <f>IFERROR(__xludf.DUMMYFUNCTION("""COMPUTED_VALUE"""),45028.6986283449)</f>
        <v>45028.69863</v>
      </c>
      <c r="D10990" s="15">
        <f>IFERROR(__xludf.DUMMYFUNCTION("""COMPUTED_VALUE"""),1.069)</f>
        <v>1.069</v>
      </c>
      <c r="E10990" s="16">
        <f>IFERROR(__xludf.DUMMYFUNCTION("""COMPUTED_VALUE"""),62.0)</f>
        <v>62</v>
      </c>
      <c r="F10990" s="19" t="str">
        <f>IFERROR(__xludf.DUMMYFUNCTION("""COMPUTED_VALUE"""),"BLUE")</f>
        <v>BLUE</v>
      </c>
      <c r="G10990" s="20" t="str">
        <f>IFERROR(__xludf.DUMMYFUNCTION("""COMPUTED_VALUE"""),"Uncle Sams Cider (04/04/2023)")</f>
        <v>Uncle Sams Cider (04/04/2023)</v>
      </c>
      <c r="H10990" s="19"/>
    </row>
    <row r="10991">
      <c r="A10991" s="9"/>
      <c r="B10991" s="15"/>
      <c r="C10991" s="9">
        <f>IFERROR(__xludf.DUMMYFUNCTION("""COMPUTED_VALUE"""),45028.6882072338)</f>
        <v>45028.68821</v>
      </c>
      <c r="D10991" s="15">
        <f>IFERROR(__xludf.DUMMYFUNCTION("""COMPUTED_VALUE"""),1.07)</f>
        <v>1.07</v>
      </c>
      <c r="E10991" s="16">
        <f>IFERROR(__xludf.DUMMYFUNCTION("""COMPUTED_VALUE"""),62.0)</f>
        <v>62</v>
      </c>
      <c r="F10991" s="19" t="str">
        <f>IFERROR(__xludf.DUMMYFUNCTION("""COMPUTED_VALUE"""),"BLUE")</f>
        <v>BLUE</v>
      </c>
      <c r="G10991" s="20" t="str">
        <f>IFERROR(__xludf.DUMMYFUNCTION("""COMPUTED_VALUE"""),"Uncle Sams Cider (04/04/2023)")</f>
        <v>Uncle Sams Cider (04/04/2023)</v>
      </c>
      <c r="H10991" s="19"/>
    </row>
    <row r="10992">
      <c r="A10992" s="9"/>
      <c r="B10992" s="15"/>
      <c r="C10992" s="9">
        <f>IFERROR(__xludf.DUMMYFUNCTION("""COMPUTED_VALUE"""),45028.6777866898)</f>
        <v>45028.67779</v>
      </c>
      <c r="D10992" s="15">
        <f>IFERROR(__xludf.DUMMYFUNCTION("""COMPUTED_VALUE"""),1.07)</f>
        <v>1.07</v>
      </c>
      <c r="E10992" s="16">
        <f>IFERROR(__xludf.DUMMYFUNCTION("""COMPUTED_VALUE"""),62.0)</f>
        <v>62</v>
      </c>
      <c r="F10992" s="19" t="str">
        <f>IFERROR(__xludf.DUMMYFUNCTION("""COMPUTED_VALUE"""),"BLUE")</f>
        <v>BLUE</v>
      </c>
      <c r="G10992" s="20" t="str">
        <f>IFERROR(__xludf.DUMMYFUNCTION("""COMPUTED_VALUE"""),"Uncle Sams Cider (04/04/2023)")</f>
        <v>Uncle Sams Cider (04/04/2023)</v>
      </c>
      <c r="H10992" s="19"/>
    </row>
    <row r="10993">
      <c r="A10993" s="9"/>
      <c r="B10993" s="15"/>
      <c r="C10993" s="9">
        <f>IFERROR(__xludf.DUMMYFUNCTION("""COMPUTED_VALUE"""),45028.6673645949)</f>
        <v>45028.66736</v>
      </c>
      <c r="D10993" s="15">
        <f>IFERROR(__xludf.DUMMYFUNCTION("""COMPUTED_VALUE"""),1.07)</f>
        <v>1.07</v>
      </c>
      <c r="E10993" s="16">
        <f>IFERROR(__xludf.DUMMYFUNCTION("""COMPUTED_VALUE"""),62.0)</f>
        <v>62</v>
      </c>
      <c r="F10993" s="19" t="str">
        <f>IFERROR(__xludf.DUMMYFUNCTION("""COMPUTED_VALUE"""),"BLUE")</f>
        <v>BLUE</v>
      </c>
      <c r="G10993" s="20" t="str">
        <f>IFERROR(__xludf.DUMMYFUNCTION("""COMPUTED_VALUE"""),"Uncle Sams Cider (04/04/2023)")</f>
        <v>Uncle Sams Cider (04/04/2023)</v>
      </c>
      <c r="H10993" s="19"/>
    </row>
    <row r="10994">
      <c r="A10994" s="9"/>
      <c r="B10994" s="15"/>
      <c r="C10994" s="9">
        <f>IFERROR(__xludf.DUMMYFUNCTION("""COMPUTED_VALUE"""),45028.6569453703)</f>
        <v>45028.65695</v>
      </c>
      <c r="D10994" s="15">
        <f>IFERROR(__xludf.DUMMYFUNCTION("""COMPUTED_VALUE"""),1.07)</f>
        <v>1.07</v>
      </c>
      <c r="E10994" s="16">
        <f>IFERROR(__xludf.DUMMYFUNCTION("""COMPUTED_VALUE"""),62.0)</f>
        <v>62</v>
      </c>
      <c r="F10994" s="19" t="str">
        <f>IFERROR(__xludf.DUMMYFUNCTION("""COMPUTED_VALUE"""),"BLUE")</f>
        <v>BLUE</v>
      </c>
      <c r="G10994" s="20" t="str">
        <f>IFERROR(__xludf.DUMMYFUNCTION("""COMPUTED_VALUE"""),"Uncle Sams Cider (04/04/2023)")</f>
        <v>Uncle Sams Cider (04/04/2023)</v>
      </c>
      <c r="H10994" s="19"/>
    </row>
    <row r="10995">
      <c r="A10995" s="9"/>
      <c r="B10995" s="15"/>
      <c r="C10995" s="9">
        <f>IFERROR(__xludf.DUMMYFUNCTION("""COMPUTED_VALUE"""),45028.6465259606)</f>
        <v>45028.64653</v>
      </c>
      <c r="D10995" s="15">
        <f>IFERROR(__xludf.DUMMYFUNCTION("""COMPUTED_VALUE"""),1.07)</f>
        <v>1.07</v>
      </c>
      <c r="E10995" s="16">
        <f>IFERROR(__xludf.DUMMYFUNCTION("""COMPUTED_VALUE"""),62.0)</f>
        <v>62</v>
      </c>
      <c r="F10995" s="19" t="str">
        <f>IFERROR(__xludf.DUMMYFUNCTION("""COMPUTED_VALUE"""),"BLUE")</f>
        <v>BLUE</v>
      </c>
      <c r="G10995" s="20" t="str">
        <f>IFERROR(__xludf.DUMMYFUNCTION("""COMPUTED_VALUE"""),"Uncle Sams Cider (04/04/2023)")</f>
        <v>Uncle Sams Cider (04/04/2023)</v>
      </c>
      <c r="H10995" s="19"/>
    </row>
    <row r="10996">
      <c r="A10996" s="9"/>
      <c r="B10996" s="15"/>
      <c r="C10996" s="9">
        <f>IFERROR(__xludf.DUMMYFUNCTION("""COMPUTED_VALUE"""),45028.6361051388)</f>
        <v>45028.63611</v>
      </c>
      <c r="D10996" s="15">
        <f>IFERROR(__xludf.DUMMYFUNCTION("""COMPUTED_VALUE"""),1.07)</f>
        <v>1.07</v>
      </c>
      <c r="E10996" s="16">
        <f>IFERROR(__xludf.DUMMYFUNCTION("""COMPUTED_VALUE"""),62.0)</f>
        <v>62</v>
      </c>
      <c r="F10996" s="19" t="str">
        <f>IFERROR(__xludf.DUMMYFUNCTION("""COMPUTED_VALUE"""),"BLUE")</f>
        <v>BLUE</v>
      </c>
      <c r="G10996" s="20" t="str">
        <f>IFERROR(__xludf.DUMMYFUNCTION("""COMPUTED_VALUE"""),"Uncle Sams Cider (04/04/2023)")</f>
        <v>Uncle Sams Cider (04/04/2023)</v>
      </c>
      <c r="H10996" s="19"/>
    </row>
    <row r="10997">
      <c r="A10997" s="9"/>
      <c r="B10997" s="15"/>
      <c r="C10997" s="9">
        <f>IFERROR(__xludf.DUMMYFUNCTION("""COMPUTED_VALUE"""),45028.6256819444)</f>
        <v>45028.62568</v>
      </c>
      <c r="D10997" s="15">
        <f>IFERROR(__xludf.DUMMYFUNCTION("""COMPUTED_VALUE"""),1.07)</f>
        <v>1.07</v>
      </c>
      <c r="E10997" s="16">
        <f>IFERROR(__xludf.DUMMYFUNCTION("""COMPUTED_VALUE"""),62.0)</f>
        <v>62</v>
      </c>
      <c r="F10997" s="19" t="str">
        <f>IFERROR(__xludf.DUMMYFUNCTION("""COMPUTED_VALUE"""),"BLUE")</f>
        <v>BLUE</v>
      </c>
      <c r="G10997" s="20" t="str">
        <f>IFERROR(__xludf.DUMMYFUNCTION("""COMPUTED_VALUE"""),"Uncle Sams Cider (04/04/2023)")</f>
        <v>Uncle Sams Cider (04/04/2023)</v>
      </c>
      <c r="H10997" s="19"/>
    </row>
    <row r="10998">
      <c r="A10998" s="9"/>
      <c r="B10998" s="15"/>
      <c r="C10998" s="9">
        <f>IFERROR(__xludf.DUMMYFUNCTION("""COMPUTED_VALUE"""),45028.6152504861)</f>
        <v>45028.61525</v>
      </c>
      <c r="D10998" s="15">
        <f>IFERROR(__xludf.DUMMYFUNCTION("""COMPUTED_VALUE"""),1.07)</f>
        <v>1.07</v>
      </c>
      <c r="E10998" s="16">
        <f>IFERROR(__xludf.DUMMYFUNCTION("""COMPUTED_VALUE"""),62.0)</f>
        <v>62</v>
      </c>
      <c r="F10998" s="19" t="str">
        <f>IFERROR(__xludf.DUMMYFUNCTION("""COMPUTED_VALUE"""),"BLUE")</f>
        <v>BLUE</v>
      </c>
      <c r="G10998" s="20" t="str">
        <f>IFERROR(__xludf.DUMMYFUNCTION("""COMPUTED_VALUE"""),"Uncle Sams Cider (04/04/2023)")</f>
        <v>Uncle Sams Cider (04/04/2023)</v>
      </c>
      <c r="H10998" s="19"/>
    </row>
    <row r="10999">
      <c r="A10999" s="9"/>
      <c r="B10999" s="15"/>
      <c r="C10999" s="9">
        <f>IFERROR(__xludf.DUMMYFUNCTION("""COMPUTED_VALUE"""),45028.6048296412)</f>
        <v>45028.60483</v>
      </c>
      <c r="D10999" s="15">
        <f>IFERROR(__xludf.DUMMYFUNCTION("""COMPUTED_VALUE"""),1.07)</f>
        <v>1.07</v>
      </c>
      <c r="E10999" s="16">
        <f>IFERROR(__xludf.DUMMYFUNCTION("""COMPUTED_VALUE"""),62.0)</f>
        <v>62</v>
      </c>
      <c r="F10999" s="19" t="str">
        <f>IFERROR(__xludf.DUMMYFUNCTION("""COMPUTED_VALUE"""),"BLUE")</f>
        <v>BLUE</v>
      </c>
      <c r="G10999" s="20" t="str">
        <f>IFERROR(__xludf.DUMMYFUNCTION("""COMPUTED_VALUE"""),"Uncle Sams Cider (04/04/2023)")</f>
        <v>Uncle Sams Cider (04/04/2023)</v>
      </c>
      <c r="H10999" s="19"/>
    </row>
    <row r="11000">
      <c r="A11000" s="9"/>
      <c r="B11000" s="15"/>
      <c r="C11000" s="9">
        <f>IFERROR(__xludf.DUMMYFUNCTION("""COMPUTED_VALUE"""),45028.5944084259)</f>
        <v>45028.59441</v>
      </c>
      <c r="D11000" s="15">
        <f>IFERROR(__xludf.DUMMYFUNCTION("""COMPUTED_VALUE"""),1.07)</f>
        <v>1.07</v>
      </c>
      <c r="E11000" s="16">
        <f>IFERROR(__xludf.DUMMYFUNCTION("""COMPUTED_VALUE"""),62.0)</f>
        <v>62</v>
      </c>
      <c r="F11000" s="19" t="str">
        <f>IFERROR(__xludf.DUMMYFUNCTION("""COMPUTED_VALUE"""),"BLUE")</f>
        <v>BLUE</v>
      </c>
      <c r="G11000" s="20" t="str">
        <f>IFERROR(__xludf.DUMMYFUNCTION("""COMPUTED_VALUE"""),"Uncle Sams Cider (04/04/2023)")</f>
        <v>Uncle Sams Cider (04/04/2023)</v>
      </c>
      <c r="H11000" s="19"/>
    </row>
    <row r="11001">
      <c r="A11001" s="9"/>
      <c r="B11001" s="15"/>
      <c r="C11001" s="9">
        <f>IFERROR(__xludf.DUMMYFUNCTION("""COMPUTED_VALUE"""),45028.5839774074)</f>
        <v>45028.58398</v>
      </c>
      <c r="D11001" s="15">
        <f>IFERROR(__xludf.DUMMYFUNCTION("""COMPUTED_VALUE"""),1.07)</f>
        <v>1.07</v>
      </c>
      <c r="E11001" s="16">
        <f>IFERROR(__xludf.DUMMYFUNCTION("""COMPUTED_VALUE"""),62.0)</f>
        <v>62</v>
      </c>
      <c r="F11001" s="19" t="str">
        <f>IFERROR(__xludf.DUMMYFUNCTION("""COMPUTED_VALUE"""),"BLUE")</f>
        <v>BLUE</v>
      </c>
      <c r="G11001" s="20" t="str">
        <f>IFERROR(__xludf.DUMMYFUNCTION("""COMPUTED_VALUE"""),"Uncle Sams Cider (04/04/2023)")</f>
        <v>Uncle Sams Cider (04/04/2023)</v>
      </c>
      <c r="H11001" s="19"/>
    </row>
    <row r="11002">
      <c r="A11002" s="9"/>
      <c r="B11002" s="15"/>
      <c r="C11002" s="9">
        <f>IFERROR(__xludf.DUMMYFUNCTION("""COMPUTED_VALUE"""),45028.573556655)</f>
        <v>45028.57356</v>
      </c>
      <c r="D11002" s="15">
        <f>IFERROR(__xludf.DUMMYFUNCTION("""COMPUTED_VALUE"""),1.07)</f>
        <v>1.07</v>
      </c>
      <c r="E11002" s="16">
        <f>IFERROR(__xludf.DUMMYFUNCTION("""COMPUTED_VALUE"""),62.0)</f>
        <v>62</v>
      </c>
      <c r="F11002" s="19" t="str">
        <f>IFERROR(__xludf.DUMMYFUNCTION("""COMPUTED_VALUE"""),"BLUE")</f>
        <v>BLUE</v>
      </c>
      <c r="G11002" s="20" t="str">
        <f>IFERROR(__xludf.DUMMYFUNCTION("""COMPUTED_VALUE"""),"Uncle Sams Cider (04/04/2023)")</f>
        <v>Uncle Sams Cider (04/04/2023)</v>
      </c>
      <c r="H11002" s="19"/>
    </row>
    <row r="11003">
      <c r="A11003" s="9"/>
      <c r="B11003" s="15"/>
      <c r="C11003" s="9">
        <f>IFERROR(__xludf.DUMMYFUNCTION("""COMPUTED_VALUE"""),45028.5631361226)</f>
        <v>45028.56314</v>
      </c>
      <c r="D11003" s="15">
        <f>IFERROR(__xludf.DUMMYFUNCTION("""COMPUTED_VALUE"""),1.07)</f>
        <v>1.07</v>
      </c>
      <c r="E11003" s="16">
        <f>IFERROR(__xludf.DUMMYFUNCTION("""COMPUTED_VALUE"""),62.0)</f>
        <v>62</v>
      </c>
      <c r="F11003" s="19" t="str">
        <f>IFERROR(__xludf.DUMMYFUNCTION("""COMPUTED_VALUE"""),"BLUE")</f>
        <v>BLUE</v>
      </c>
      <c r="G11003" s="20" t="str">
        <f>IFERROR(__xludf.DUMMYFUNCTION("""COMPUTED_VALUE"""),"Uncle Sams Cider (04/04/2023)")</f>
        <v>Uncle Sams Cider (04/04/2023)</v>
      </c>
      <c r="H11003" s="19"/>
    </row>
    <row r="11004">
      <c r="A11004" s="9"/>
      <c r="B11004" s="15"/>
      <c r="C11004" s="9">
        <f>IFERROR(__xludf.DUMMYFUNCTION("""COMPUTED_VALUE"""),45028.5526934722)</f>
        <v>45028.55269</v>
      </c>
      <c r="D11004" s="15">
        <f>IFERROR(__xludf.DUMMYFUNCTION("""COMPUTED_VALUE"""),1.07)</f>
        <v>1.07</v>
      </c>
      <c r="E11004" s="16">
        <f>IFERROR(__xludf.DUMMYFUNCTION("""COMPUTED_VALUE"""),62.0)</f>
        <v>62</v>
      </c>
      <c r="F11004" s="19" t="str">
        <f>IFERROR(__xludf.DUMMYFUNCTION("""COMPUTED_VALUE"""),"BLUE")</f>
        <v>BLUE</v>
      </c>
      <c r="G11004" s="20" t="str">
        <f>IFERROR(__xludf.DUMMYFUNCTION("""COMPUTED_VALUE"""),"Uncle Sams Cider (04/04/2023)")</f>
        <v>Uncle Sams Cider (04/04/2023)</v>
      </c>
      <c r="H11004" s="19"/>
    </row>
    <row r="11005">
      <c r="A11005" s="9"/>
      <c r="B11005" s="15"/>
      <c r="C11005" s="9">
        <f>IFERROR(__xludf.DUMMYFUNCTION("""COMPUTED_VALUE"""),45028.5422709259)</f>
        <v>45028.54227</v>
      </c>
      <c r="D11005" s="15">
        <f>IFERROR(__xludf.DUMMYFUNCTION("""COMPUTED_VALUE"""),1.07)</f>
        <v>1.07</v>
      </c>
      <c r="E11005" s="16">
        <f>IFERROR(__xludf.DUMMYFUNCTION("""COMPUTED_VALUE"""),61.0)</f>
        <v>61</v>
      </c>
      <c r="F11005" s="19" t="str">
        <f>IFERROR(__xludf.DUMMYFUNCTION("""COMPUTED_VALUE"""),"BLUE")</f>
        <v>BLUE</v>
      </c>
      <c r="G11005" s="20" t="str">
        <f>IFERROR(__xludf.DUMMYFUNCTION("""COMPUTED_VALUE"""),"Uncle Sams Cider (04/04/2023)")</f>
        <v>Uncle Sams Cider (04/04/2023)</v>
      </c>
      <c r="H11005" s="19"/>
    </row>
    <row r="11006">
      <c r="A11006" s="9"/>
      <c r="B11006" s="15"/>
      <c r="C11006" s="9">
        <f>IFERROR(__xludf.DUMMYFUNCTION("""COMPUTED_VALUE"""),45028.531839618)</f>
        <v>45028.53184</v>
      </c>
      <c r="D11006" s="15">
        <f>IFERROR(__xludf.DUMMYFUNCTION("""COMPUTED_VALUE"""),1.07)</f>
        <v>1.07</v>
      </c>
      <c r="E11006" s="16">
        <f>IFERROR(__xludf.DUMMYFUNCTION("""COMPUTED_VALUE"""),62.0)</f>
        <v>62</v>
      </c>
      <c r="F11006" s="19" t="str">
        <f>IFERROR(__xludf.DUMMYFUNCTION("""COMPUTED_VALUE"""),"BLUE")</f>
        <v>BLUE</v>
      </c>
      <c r="G11006" s="20" t="str">
        <f>IFERROR(__xludf.DUMMYFUNCTION("""COMPUTED_VALUE"""),"Uncle Sams Cider (04/04/2023)")</f>
        <v>Uncle Sams Cider (04/04/2023)</v>
      </c>
      <c r="H11006" s="19"/>
    </row>
    <row r="11007">
      <c r="A11007" s="9"/>
      <c r="B11007" s="15"/>
      <c r="C11007" s="9">
        <f>IFERROR(__xludf.DUMMYFUNCTION("""COMPUTED_VALUE"""),45028.5214185532)</f>
        <v>45028.52142</v>
      </c>
      <c r="D11007" s="15">
        <f>IFERROR(__xludf.DUMMYFUNCTION("""COMPUTED_VALUE"""),1.07)</f>
        <v>1.07</v>
      </c>
      <c r="E11007" s="16">
        <f>IFERROR(__xludf.DUMMYFUNCTION("""COMPUTED_VALUE"""),61.0)</f>
        <v>61</v>
      </c>
      <c r="F11007" s="19" t="str">
        <f>IFERROR(__xludf.DUMMYFUNCTION("""COMPUTED_VALUE"""),"BLUE")</f>
        <v>BLUE</v>
      </c>
      <c r="G11007" s="20" t="str">
        <f>IFERROR(__xludf.DUMMYFUNCTION("""COMPUTED_VALUE"""),"Uncle Sams Cider (04/04/2023)")</f>
        <v>Uncle Sams Cider (04/04/2023)</v>
      </c>
      <c r="H11007" s="19"/>
    </row>
    <row r="11008">
      <c r="A11008" s="9"/>
      <c r="B11008" s="15"/>
      <c r="C11008" s="9">
        <f>IFERROR(__xludf.DUMMYFUNCTION("""COMPUTED_VALUE"""),45028.5109984143)</f>
        <v>45028.511</v>
      </c>
      <c r="D11008" s="15">
        <f>IFERROR(__xludf.DUMMYFUNCTION("""COMPUTED_VALUE"""),1.07)</f>
        <v>1.07</v>
      </c>
      <c r="E11008" s="16">
        <f>IFERROR(__xludf.DUMMYFUNCTION("""COMPUTED_VALUE"""),61.0)</f>
        <v>61</v>
      </c>
      <c r="F11008" s="19" t="str">
        <f>IFERROR(__xludf.DUMMYFUNCTION("""COMPUTED_VALUE"""),"BLUE")</f>
        <v>BLUE</v>
      </c>
      <c r="G11008" s="20" t="str">
        <f>IFERROR(__xludf.DUMMYFUNCTION("""COMPUTED_VALUE"""),"Uncle Sams Cider (04/04/2023)")</f>
        <v>Uncle Sams Cider (04/04/2023)</v>
      </c>
      <c r="H11008" s="19"/>
    </row>
    <row r="11009">
      <c r="A11009" s="9"/>
      <c r="B11009" s="15"/>
      <c r="C11009" s="9">
        <f>IFERROR(__xludf.DUMMYFUNCTION("""COMPUTED_VALUE"""),45028.5005765393)</f>
        <v>45028.50058</v>
      </c>
      <c r="D11009" s="15">
        <f>IFERROR(__xludf.DUMMYFUNCTION("""COMPUTED_VALUE"""),1.07)</f>
        <v>1.07</v>
      </c>
      <c r="E11009" s="16">
        <f>IFERROR(__xludf.DUMMYFUNCTION("""COMPUTED_VALUE"""),61.0)</f>
        <v>61</v>
      </c>
      <c r="F11009" s="19" t="str">
        <f>IFERROR(__xludf.DUMMYFUNCTION("""COMPUTED_VALUE"""),"BLUE")</f>
        <v>BLUE</v>
      </c>
      <c r="G11009" s="20" t="str">
        <f>IFERROR(__xludf.DUMMYFUNCTION("""COMPUTED_VALUE"""),"Uncle Sams Cider (04/04/2023)")</f>
        <v>Uncle Sams Cider (04/04/2023)</v>
      </c>
      <c r="H11009" s="19"/>
    </row>
    <row r="11010">
      <c r="A11010" s="9"/>
      <c r="B11010" s="15"/>
      <c r="C11010" s="9">
        <f>IFERROR(__xludf.DUMMYFUNCTION("""COMPUTED_VALUE"""),45028.4901418981)</f>
        <v>45028.49014</v>
      </c>
      <c r="D11010" s="15">
        <f>IFERROR(__xludf.DUMMYFUNCTION("""COMPUTED_VALUE"""),1.071)</f>
        <v>1.071</v>
      </c>
      <c r="E11010" s="16">
        <f>IFERROR(__xludf.DUMMYFUNCTION("""COMPUTED_VALUE"""),62.0)</f>
        <v>62</v>
      </c>
      <c r="F11010" s="19" t="str">
        <f>IFERROR(__xludf.DUMMYFUNCTION("""COMPUTED_VALUE"""),"BLUE")</f>
        <v>BLUE</v>
      </c>
      <c r="G11010" s="20" t="str">
        <f>IFERROR(__xludf.DUMMYFUNCTION("""COMPUTED_VALUE"""),"Uncle Sams Cider (04/04/2023)")</f>
        <v>Uncle Sams Cider (04/04/2023)</v>
      </c>
      <c r="H11010" s="19"/>
    </row>
    <row r="11011">
      <c r="A11011" s="9"/>
      <c r="B11011" s="15"/>
      <c r="C11011" s="9">
        <f>IFERROR(__xludf.DUMMYFUNCTION("""COMPUTED_VALUE"""),45028.4797199768)</f>
        <v>45028.47972</v>
      </c>
      <c r="D11011" s="15">
        <f>IFERROR(__xludf.DUMMYFUNCTION("""COMPUTED_VALUE"""),1.071)</f>
        <v>1.071</v>
      </c>
      <c r="E11011" s="16">
        <f>IFERROR(__xludf.DUMMYFUNCTION("""COMPUTED_VALUE"""),62.0)</f>
        <v>62</v>
      </c>
      <c r="F11011" s="19" t="str">
        <f>IFERROR(__xludf.DUMMYFUNCTION("""COMPUTED_VALUE"""),"BLUE")</f>
        <v>BLUE</v>
      </c>
      <c r="G11011" s="20" t="str">
        <f>IFERROR(__xludf.DUMMYFUNCTION("""COMPUTED_VALUE"""),"Uncle Sams Cider (04/04/2023)")</f>
        <v>Uncle Sams Cider (04/04/2023)</v>
      </c>
      <c r="H11011" s="19"/>
    </row>
    <row r="11012">
      <c r="A11012" s="9"/>
      <c r="B11012" s="15"/>
      <c r="C11012" s="9">
        <f>IFERROR(__xludf.DUMMYFUNCTION("""COMPUTED_VALUE"""),45028.4692860532)</f>
        <v>45028.46929</v>
      </c>
      <c r="D11012" s="15">
        <f>IFERROR(__xludf.DUMMYFUNCTION("""COMPUTED_VALUE"""),1.071)</f>
        <v>1.071</v>
      </c>
      <c r="E11012" s="16">
        <f>IFERROR(__xludf.DUMMYFUNCTION("""COMPUTED_VALUE"""),61.0)</f>
        <v>61</v>
      </c>
      <c r="F11012" s="19" t="str">
        <f>IFERROR(__xludf.DUMMYFUNCTION("""COMPUTED_VALUE"""),"BLUE")</f>
        <v>BLUE</v>
      </c>
      <c r="G11012" s="20" t="str">
        <f>IFERROR(__xludf.DUMMYFUNCTION("""COMPUTED_VALUE"""),"Uncle Sams Cider (04/04/2023)")</f>
        <v>Uncle Sams Cider (04/04/2023)</v>
      </c>
      <c r="H11012" s="19"/>
    </row>
    <row r="11013">
      <c r="A11013" s="9"/>
      <c r="B11013" s="15"/>
      <c r="C11013" s="9">
        <f>IFERROR(__xludf.DUMMYFUNCTION("""COMPUTED_VALUE"""),45028.4588660301)</f>
        <v>45028.45887</v>
      </c>
      <c r="D11013" s="15">
        <f>IFERROR(__xludf.DUMMYFUNCTION("""COMPUTED_VALUE"""),1.071)</f>
        <v>1.071</v>
      </c>
      <c r="E11013" s="16">
        <f>IFERROR(__xludf.DUMMYFUNCTION("""COMPUTED_VALUE"""),61.0)</f>
        <v>61</v>
      </c>
      <c r="F11013" s="19" t="str">
        <f>IFERROR(__xludf.DUMMYFUNCTION("""COMPUTED_VALUE"""),"BLUE")</f>
        <v>BLUE</v>
      </c>
      <c r="G11013" s="20" t="str">
        <f>IFERROR(__xludf.DUMMYFUNCTION("""COMPUTED_VALUE"""),"Uncle Sams Cider (04/04/2023)")</f>
        <v>Uncle Sams Cider (04/04/2023)</v>
      </c>
      <c r="H11013" s="19"/>
    </row>
    <row r="11014">
      <c r="A11014" s="9"/>
      <c r="B11014" s="15"/>
      <c r="C11014" s="9">
        <f>IFERROR(__xludf.DUMMYFUNCTION("""COMPUTED_VALUE"""),45028.4484454745)</f>
        <v>45028.44845</v>
      </c>
      <c r="D11014" s="15">
        <f>IFERROR(__xludf.DUMMYFUNCTION("""COMPUTED_VALUE"""),1.071)</f>
        <v>1.071</v>
      </c>
      <c r="E11014" s="16">
        <f>IFERROR(__xludf.DUMMYFUNCTION("""COMPUTED_VALUE"""),61.0)</f>
        <v>61</v>
      </c>
      <c r="F11014" s="19" t="str">
        <f>IFERROR(__xludf.DUMMYFUNCTION("""COMPUTED_VALUE"""),"BLUE")</f>
        <v>BLUE</v>
      </c>
      <c r="G11014" s="20" t="str">
        <f>IFERROR(__xludf.DUMMYFUNCTION("""COMPUTED_VALUE"""),"Uncle Sams Cider (04/04/2023)")</f>
        <v>Uncle Sams Cider (04/04/2023)</v>
      </c>
      <c r="H11014" s="19"/>
    </row>
    <row r="11015">
      <c r="A11015" s="9"/>
      <c r="B11015" s="15"/>
      <c r="C11015" s="9">
        <f>IFERROR(__xludf.DUMMYFUNCTION("""COMPUTED_VALUE"""),45028.4380247569)</f>
        <v>45028.43802</v>
      </c>
      <c r="D11015" s="15">
        <f>IFERROR(__xludf.DUMMYFUNCTION("""COMPUTED_VALUE"""),1.071)</f>
        <v>1.071</v>
      </c>
      <c r="E11015" s="16">
        <f>IFERROR(__xludf.DUMMYFUNCTION("""COMPUTED_VALUE"""),61.0)</f>
        <v>61</v>
      </c>
      <c r="F11015" s="19" t="str">
        <f>IFERROR(__xludf.DUMMYFUNCTION("""COMPUTED_VALUE"""),"BLUE")</f>
        <v>BLUE</v>
      </c>
      <c r="G11015" s="20" t="str">
        <f>IFERROR(__xludf.DUMMYFUNCTION("""COMPUTED_VALUE"""),"Uncle Sams Cider (04/04/2023)")</f>
        <v>Uncle Sams Cider (04/04/2023)</v>
      </c>
      <c r="H11015" s="19"/>
    </row>
    <row r="11016">
      <c r="A11016" s="9"/>
      <c r="B11016" s="15"/>
      <c r="C11016" s="9">
        <f>IFERROR(__xludf.DUMMYFUNCTION("""COMPUTED_VALUE"""),45028.42760375)</f>
        <v>45028.4276</v>
      </c>
      <c r="D11016" s="15">
        <f>IFERROR(__xludf.DUMMYFUNCTION("""COMPUTED_VALUE"""),1.071)</f>
        <v>1.071</v>
      </c>
      <c r="E11016" s="16">
        <f>IFERROR(__xludf.DUMMYFUNCTION("""COMPUTED_VALUE"""),61.0)</f>
        <v>61</v>
      </c>
      <c r="F11016" s="19" t="str">
        <f>IFERROR(__xludf.DUMMYFUNCTION("""COMPUTED_VALUE"""),"BLUE")</f>
        <v>BLUE</v>
      </c>
      <c r="G11016" s="20" t="str">
        <f>IFERROR(__xludf.DUMMYFUNCTION("""COMPUTED_VALUE"""),"Uncle Sams Cider (04/04/2023)")</f>
        <v>Uncle Sams Cider (04/04/2023)</v>
      </c>
      <c r="H11016" s="19"/>
    </row>
    <row r="11017">
      <c r="A11017" s="9"/>
      <c r="B11017" s="15"/>
      <c r="C11017" s="9">
        <f>IFERROR(__xludf.DUMMYFUNCTION("""COMPUTED_VALUE"""),45028.4171461342)</f>
        <v>45028.41715</v>
      </c>
      <c r="D11017" s="15">
        <f>IFERROR(__xludf.DUMMYFUNCTION("""COMPUTED_VALUE"""),1.071)</f>
        <v>1.071</v>
      </c>
      <c r="E11017" s="16">
        <f>IFERROR(__xludf.DUMMYFUNCTION("""COMPUTED_VALUE"""),62.0)</f>
        <v>62</v>
      </c>
      <c r="F11017" s="19" t="str">
        <f>IFERROR(__xludf.DUMMYFUNCTION("""COMPUTED_VALUE"""),"BLUE")</f>
        <v>BLUE</v>
      </c>
      <c r="G11017" s="20" t="str">
        <f>IFERROR(__xludf.DUMMYFUNCTION("""COMPUTED_VALUE"""),"Uncle Sams Cider (04/04/2023)")</f>
        <v>Uncle Sams Cider (04/04/2023)</v>
      </c>
      <c r="H11017" s="19"/>
    </row>
    <row r="11018">
      <c r="A11018" s="9"/>
      <c r="B11018" s="15"/>
      <c r="C11018" s="9">
        <f>IFERROR(__xludf.DUMMYFUNCTION("""COMPUTED_VALUE"""),45028.4067255555)</f>
        <v>45028.40673</v>
      </c>
      <c r="D11018" s="15">
        <f>IFERROR(__xludf.DUMMYFUNCTION("""COMPUTED_VALUE"""),1.071)</f>
        <v>1.071</v>
      </c>
      <c r="E11018" s="16">
        <f>IFERROR(__xludf.DUMMYFUNCTION("""COMPUTED_VALUE"""),61.0)</f>
        <v>61</v>
      </c>
      <c r="F11018" s="19" t="str">
        <f>IFERROR(__xludf.DUMMYFUNCTION("""COMPUTED_VALUE"""),"BLUE")</f>
        <v>BLUE</v>
      </c>
      <c r="G11018" s="20" t="str">
        <f>IFERROR(__xludf.DUMMYFUNCTION("""COMPUTED_VALUE"""),"Uncle Sams Cider (04/04/2023)")</f>
        <v>Uncle Sams Cider (04/04/2023)</v>
      </c>
      <c r="H11018" s="19"/>
    </row>
    <row r="11019">
      <c r="A11019" s="9"/>
      <c r="B11019" s="15"/>
      <c r="C11019" s="9">
        <f>IFERROR(__xludf.DUMMYFUNCTION("""COMPUTED_VALUE"""),45028.3963053703)</f>
        <v>45028.39631</v>
      </c>
      <c r="D11019" s="15">
        <f>IFERROR(__xludf.DUMMYFUNCTION("""COMPUTED_VALUE"""),1.071)</f>
        <v>1.071</v>
      </c>
      <c r="E11019" s="16">
        <f>IFERROR(__xludf.DUMMYFUNCTION("""COMPUTED_VALUE"""),61.0)</f>
        <v>61</v>
      </c>
      <c r="F11019" s="19" t="str">
        <f>IFERROR(__xludf.DUMMYFUNCTION("""COMPUTED_VALUE"""),"BLUE")</f>
        <v>BLUE</v>
      </c>
      <c r="G11019" s="20" t="str">
        <f>IFERROR(__xludf.DUMMYFUNCTION("""COMPUTED_VALUE"""),"Uncle Sams Cider (04/04/2023)")</f>
        <v>Uncle Sams Cider (04/04/2023)</v>
      </c>
      <c r="H11019" s="19"/>
    </row>
    <row r="11020">
      <c r="A11020" s="9"/>
      <c r="B11020" s="15"/>
      <c r="C11020" s="9">
        <f>IFERROR(__xludf.DUMMYFUNCTION("""COMPUTED_VALUE"""),45028.385885)</f>
        <v>45028.38589</v>
      </c>
      <c r="D11020" s="15">
        <f>IFERROR(__xludf.DUMMYFUNCTION("""COMPUTED_VALUE"""),1.071)</f>
        <v>1.071</v>
      </c>
      <c r="E11020" s="16">
        <f>IFERROR(__xludf.DUMMYFUNCTION("""COMPUTED_VALUE"""),61.0)</f>
        <v>61</v>
      </c>
      <c r="F11020" s="19" t="str">
        <f>IFERROR(__xludf.DUMMYFUNCTION("""COMPUTED_VALUE"""),"BLUE")</f>
        <v>BLUE</v>
      </c>
      <c r="G11020" s="20" t="str">
        <f>IFERROR(__xludf.DUMMYFUNCTION("""COMPUTED_VALUE"""),"Uncle Sams Cider (04/04/2023)")</f>
        <v>Uncle Sams Cider (04/04/2023)</v>
      </c>
      <c r="H11020" s="19"/>
    </row>
    <row r="11021">
      <c r="A11021" s="9"/>
      <c r="B11021" s="15"/>
      <c r="C11021" s="9">
        <f>IFERROR(__xludf.DUMMYFUNCTION("""COMPUTED_VALUE"""),45028.3754633912)</f>
        <v>45028.37546</v>
      </c>
      <c r="D11021" s="15">
        <f>IFERROR(__xludf.DUMMYFUNCTION("""COMPUTED_VALUE"""),1.071)</f>
        <v>1.071</v>
      </c>
      <c r="E11021" s="16">
        <f>IFERROR(__xludf.DUMMYFUNCTION("""COMPUTED_VALUE"""),61.0)</f>
        <v>61</v>
      </c>
      <c r="F11021" s="19" t="str">
        <f>IFERROR(__xludf.DUMMYFUNCTION("""COMPUTED_VALUE"""),"BLUE")</f>
        <v>BLUE</v>
      </c>
      <c r="G11021" s="20" t="str">
        <f>IFERROR(__xludf.DUMMYFUNCTION("""COMPUTED_VALUE"""),"Uncle Sams Cider (04/04/2023)")</f>
        <v>Uncle Sams Cider (04/04/2023)</v>
      </c>
      <c r="H11021" s="19"/>
    </row>
    <row r="11022">
      <c r="A11022" s="9"/>
      <c r="B11022" s="15"/>
      <c r="C11022" s="9">
        <f>IFERROR(__xludf.DUMMYFUNCTION("""COMPUTED_VALUE"""),45028.3650305208)</f>
        <v>45028.36503</v>
      </c>
      <c r="D11022" s="15">
        <f>IFERROR(__xludf.DUMMYFUNCTION("""COMPUTED_VALUE"""),1.071)</f>
        <v>1.071</v>
      </c>
      <c r="E11022" s="16">
        <f>IFERROR(__xludf.DUMMYFUNCTION("""COMPUTED_VALUE"""),61.0)</f>
        <v>61</v>
      </c>
      <c r="F11022" s="19" t="str">
        <f>IFERROR(__xludf.DUMMYFUNCTION("""COMPUTED_VALUE"""),"BLUE")</f>
        <v>BLUE</v>
      </c>
      <c r="G11022" s="20" t="str">
        <f>IFERROR(__xludf.DUMMYFUNCTION("""COMPUTED_VALUE"""),"Uncle Sams Cider (04/04/2023)")</f>
        <v>Uncle Sams Cider (04/04/2023)</v>
      </c>
      <c r="H11022" s="19"/>
    </row>
    <row r="11023">
      <c r="A11023" s="9"/>
      <c r="B11023" s="15"/>
      <c r="C11023" s="9">
        <f>IFERROR(__xludf.DUMMYFUNCTION("""COMPUTED_VALUE"""),45028.3546090856)</f>
        <v>45028.35461</v>
      </c>
      <c r="D11023" s="15">
        <f>IFERROR(__xludf.DUMMYFUNCTION("""COMPUTED_VALUE"""),1.071)</f>
        <v>1.071</v>
      </c>
      <c r="E11023" s="16">
        <f>IFERROR(__xludf.DUMMYFUNCTION("""COMPUTED_VALUE"""),61.0)</f>
        <v>61</v>
      </c>
      <c r="F11023" s="19" t="str">
        <f>IFERROR(__xludf.DUMMYFUNCTION("""COMPUTED_VALUE"""),"BLUE")</f>
        <v>BLUE</v>
      </c>
      <c r="G11023" s="20" t="str">
        <f>IFERROR(__xludf.DUMMYFUNCTION("""COMPUTED_VALUE"""),"Uncle Sams Cider (04/04/2023)")</f>
        <v>Uncle Sams Cider (04/04/2023)</v>
      </c>
      <c r="H11023" s="19"/>
    </row>
    <row r="11024">
      <c r="A11024" s="9"/>
      <c r="B11024" s="15"/>
      <c r="C11024" s="9">
        <f>IFERROR(__xludf.DUMMYFUNCTION("""COMPUTED_VALUE"""),45028.3441870601)</f>
        <v>45028.34419</v>
      </c>
      <c r="D11024" s="15">
        <f>IFERROR(__xludf.DUMMYFUNCTION("""COMPUTED_VALUE"""),1.071)</f>
        <v>1.071</v>
      </c>
      <c r="E11024" s="16">
        <f>IFERROR(__xludf.DUMMYFUNCTION("""COMPUTED_VALUE"""),61.0)</f>
        <v>61</v>
      </c>
      <c r="F11024" s="19" t="str">
        <f>IFERROR(__xludf.DUMMYFUNCTION("""COMPUTED_VALUE"""),"BLUE")</f>
        <v>BLUE</v>
      </c>
      <c r="G11024" s="20" t="str">
        <f>IFERROR(__xludf.DUMMYFUNCTION("""COMPUTED_VALUE"""),"Uncle Sams Cider (04/04/2023)")</f>
        <v>Uncle Sams Cider (04/04/2023)</v>
      </c>
      <c r="H11024" s="19"/>
    </row>
    <row r="11025">
      <c r="A11025" s="9"/>
      <c r="B11025" s="15"/>
      <c r="C11025" s="9">
        <f>IFERROR(__xludf.DUMMYFUNCTION("""COMPUTED_VALUE"""),45028.3337656944)</f>
        <v>45028.33377</v>
      </c>
      <c r="D11025" s="15">
        <f>IFERROR(__xludf.DUMMYFUNCTION("""COMPUTED_VALUE"""),1.071)</f>
        <v>1.071</v>
      </c>
      <c r="E11025" s="16">
        <f>IFERROR(__xludf.DUMMYFUNCTION("""COMPUTED_VALUE"""),61.0)</f>
        <v>61</v>
      </c>
      <c r="F11025" s="19" t="str">
        <f>IFERROR(__xludf.DUMMYFUNCTION("""COMPUTED_VALUE"""),"BLUE")</f>
        <v>BLUE</v>
      </c>
      <c r="G11025" s="20" t="str">
        <f>IFERROR(__xludf.DUMMYFUNCTION("""COMPUTED_VALUE"""),"Uncle Sams Cider (04/04/2023)")</f>
        <v>Uncle Sams Cider (04/04/2023)</v>
      </c>
      <c r="H11025" s="19"/>
    </row>
    <row r="11026">
      <c r="A11026" s="9"/>
      <c r="B11026" s="15"/>
      <c r="C11026" s="9">
        <f>IFERROR(__xludf.DUMMYFUNCTION("""COMPUTED_VALUE"""),45028.3233442245)</f>
        <v>45028.32334</v>
      </c>
      <c r="D11026" s="15">
        <f>IFERROR(__xludf.DUMMYFUNCTION("""COMPUTED_VALUE"""),1.071)</f>
        <v>1.071</v>
      </c>
      <c r="E11026" s="16">
        <f>IFERROR(__xludf.DUMMYFUNCTION("""COMPUTED_VALUE"""),61.0)</f>
        <v>61</v>
      </c>
      <c r="F11026" s="19" t="str">
        <f>IFERROR(__xludf.DUMMYFUNCTION("""COMPUTED_VALUE"""),"BLUE")</f>
        <v>BLUE</v>
      </c>
      <c r="G11026" s="20" t="str">
        <f>IFERROR(__xludf.DUMMYFUNCTION("""COMPUTED_VALUE"""),"Uncle Sams Cider (04/04/2023)")</f>
        <v>Uncle Sams Cider (04/04/2023)</v>
      </c>
      <c r="H11026" s="19"/>
    </row>
    <row r="11027">
      <c r="A11027" s="9"/>
      <c r="B11027" s="15"/>
      <c r="C11027" s="9">
        <f>IFERROR(__xludf.DUMMYFUNCTION("""COMPUTED_VALUE"""),45028.3129114004)</f>
        <v>45028.31291</v>
      </c>
      <c r="D11027" s="15">
        <f>IFERROR(__xludf.DUMMYFUNCTION("""COMPUTED_VALUE"""),1.071)</f>
        <v>1.071</v>
      </c>
      <c r="E11027" s="16">
        <f>IFERROR(__xludf.DUMMYFUNCTION("""COMPUTED_VALUE"""),61.0)</f>
        <v>61</v>
      </c>
      <c r="F11027" s="19" t="str">
        <f>IFERROR(__xludf.DUMMYFUNCTION("""COMPUTED_VALUE"""),"BLUE")</f>
        <v>BLUE</v>
      </c>
      <c r="G11027" s="20" t="str">
        <f>IFERROR(__xludf.DUMMYFUNCTION("""COMPUTED_VALUE"""),"Uncle Sams Cider (04/04/2023)")</f>
        <v>Uncle Sams Cider (04/04/2023)</v>
      </c>
      <c r="H11027" s="19"/>
    </row>
    <row r="11028">
      <c r="A11028" s="9"/>
      <c r="B11028" s="15"/>
      <c r="C11028" s="9">
        <f>IFERROR(__xludf.DUMMYFUNCTION("""COMPUTED_VALUE"""),45028.3024920254)</f>
        <v>45028.30249</v>
      </c>
      <c r="D11028" s="15">
        <f>IFERROR(__xludf.DUMMYFUNCTION("""COMPUTED_VALUE"""),1.071)</f>
        <v>1.071</v>
      </c>
      <c r="E11028" s="16">
        <f>IFERROR(__xludf.DUMMYFUNCTION("""COMPUTED_VALUE"""),61.0)</f>
        <v>61</v>
      </c>
      <c r="F11028" s="19" t="str">
        <f>IFERROR(__xludf.DUMMYFUNCTION("""COMPUTED_VALUE"""),"BLUE")</f>
        <v>BLUE</v>
      </c>
      <c r="G11028" s="20" t="str">
        <f>IFERROR(__xludf.DUMMYFUNCTION("""COMPUTED_VALUE"""),"Uncle Sams Cider (04/04/2023)")</f>
        <v>Uncle Sams Cider (04/04/2023)</v>
      </c>
      <c r="H11028" s="19"/>
    </row>
    <row r="11029">
      <c r="A11029" s="9"/>
      <c r="B11029" s="15"/>
      <c r="C11029" s="9">
        <f>IFERROR(__xludf.DUMMYFUNCTION("""COMPUTED_VALUE"""),45028.2920481365)</f>
        <v>45028.29205</v>
      </c>
      <c r="D11029" s="15">
        <f>IFERROR(__xludf.DUMMYFUNCTION("""COMPUTED_VALUE"""),1.071)</f>
        <v>1.071</v>
      </c>
      <c r="E11029" s="16">
        <f>IFERROR(__xludf.DUMMYFUNCTION("""COMPUTED_VALUE"""),61.0)</f>
        <v>61</v>
      </c>
      <c r="F11029" s="19" t="str">
        <f>IFERROR(__xludf.DUMMYFUNCTION("""COMPUTED_VALUE"""),"BLUE")</f>
        <v>BLUE</v>
      </c>
      <c r="G11029" s="20" t="str">
        <f>IFERROR(__xludf.DUMMYFUNCTION("""COMPUTED_VALUE"""),"Uncle Sams Cider (04/04/2023)")</f>
        <v>Uncle Sams Cider (04/04/2023)</v>
      </c>
      <c r="H11029" s="19"/>
    </row>
    <row r="11030">
      <c r="A11030" s="9"/>
      <c r="B11030" s="15"/>
      <c r="C11030" s="9">
        <f>IFERROR(__xludf.DUMMYFUNCTION("""COMPUTED_VALUE"""),45028.2816141088)</f>
        <v>45028.28161</v>
      </c>
      <c r="D11030" s="15">
        <f>IFERROR(__xludf.DUMMYFUNCTION("""COMPUTED_VALUE"""),1.071)</f>
        <v>1.071</v>
      </c>
      <c r="E11030" s="16">
        <f>IFERROR(__xludf.DUMMYFUNCTION("""COMPUTED_VALUE"""),61.0)</f>
        <v>61</v>
      </c>
      <c r="F11030" s="19" t="str">
        <f>IFERROR(__xludf.DUMMYFUNCTION("""COMPUTED_VALUE"""),"BLUE")</f>
        <v>BLUE</v>
      </c>
      <c r="G11030" s="20" t="str">
        <f>IFERROR(__xludf.DUMMYFUNCTION("""COMPUTED_VALUE"""),"Uncle Sams Cider (04/04/2023)")</f>
        <v>Uncle Sams Cider (04/04/2023)</v>
      </c>
      <c r="H11030" s="19"/>
    </row>
    <row r="11031">
      <c r="A11031" s="9"/>
      <c r="B11031" s="15"/>
      <c r="C11031" s="9">
        <f>IFERROR(__xludf.DUMMYFUNCTION("""COMPUTED_VALUE"""),45028.2711950578)</f>
        <v>45028.2712</v>
      </c>
      <c r="D11031" s="15">
        <f>IFERROR(__xludf.DUMMYFUNCTION("""COMPUTED_VALUE"""),1.071)</f>
        <v>1.071</v>
      </c>
      <c r="E11031" s="16">
        <f>IFERROR(__xludf.DUMMYFUNCTION("""COMPUTED_VALUE"""),61.0)</f>
        <v>61</v>
      </c>
      <c r="F11031" s="19" t="str">
        <f>IFERROR(__xludf.DUMMYFUNCTION("""COMPUTED_VALUE"""),"BLUE")</f>
        <v>BLUE</v>
      </c>
      <c r="G11031" s="20" t="str">
        <f>IFERROR(__xludf.DUMMYFUNCTION("""COMPUTED_VALUE"""),"Uncle Sams Cider (04/04/2023)")</f>
        <v>Uncle Sams Cider (04/04/2023)</v>
      </c>
      <c r="H11031" s="19"/>
    </row>
    <row r="11032">
      <c r="A11032" s="9"/>
      <c r="B11032" s="15"/>
      <c r="C11032" s="9">
        <f>IFERROR(__xludf.DUMMYFUNCTION("""COMPUTED_VALUE"""),45028.2607730671)</f>
        <v>45028.26077</v>
      </c>
      <c r="D11032" s="15">
        <f>IFERROR(__xludf.DUMMYFUNCTION("""COMPUTED_VALUE"""),1.071)</f>
        <v>1.071</v>
      </c>
      <c r="E11032" s="16">
        <f>IFERROR(__xludf.DUMMYFUNCTION("""COMPUTED_VALUE"""),61.0)</f>
        <v>61</v>
      </c>
      <c r="F11032" s="19" t="str">
        <f>IFERROR(__xludf.DUMMYFUNCTION("""COMPUTED_VALUE"""),"BLUE")</f>
        <v>BLUE</v>
      </c>
      <c r="G11032" s="20" t="str">
        <f>IFERROR(__xludf.DUMMYFUNCTION("""COMPUTED_VALUE"""),"Uncle Sams Cider (04/04/2023)")</f>
        <v>Uncle Sams Cider (04/04/2023)</v>
      </c>
      <c r="H11032" s="19"/>
    </row>
    <row r="11033">
      <c r="A11033" s="9"/>
      <c r="B11033" s="15"/>
      <c r="C11033" s="9">
        <f>IFERROR(__xludf.DUMMYFUNCTION("""COMPUTED_VALUE"""),45028.2503508796)</f>
        <v>45028.25035</v>
      </c>
      <c r="D11033" s="15">
        <f>IFERROR(__xludf.DUMMYFUNCTION("""COMPUTED_VALUE"""),1.071)</f>
        <v>1.071</v>
      </c>
      <c r="E11033" s="16">
        <f>IFERROR(__xludf.DUMMYFUNCTION("""COMPUTED_VALUE"""),61.0)</f>
        <v>61</v>
      </c>
      <c r="F11033" s="19" t="str">
        <f>IFERROR(__xludf.DUMMYFUNCTION("""COMPUTED_VALUE"""),"BLUE")</f>
        <v>BLUE</v>
      </c>
      <c r="G11033" s="20" t="str">
        <f>IFERROR(__xludf.DUMMYFUNCTION("""COMPUTED_VALUE"""),"Uncle Sams Cider (04/04/2023)")</f>
        <v>Uncle Sams Cider (04/04/2023)</v>
      </c>
      <c r="H11033" s="19"/>
    </row>
    <row r="11034">
      <c r="A11034" s="9"/>
      <c r="B11034" s="15"/>
      <c r="C11034" s="9">
        <f>IFERROR(__xludf.DUMMYFUNCTION("""COMPUTED_VALUE"""),45028.2399292708)</f>
        <v>45028.23993</v>
      </c>
      <c r="D11034" s="15">
        <f>IFERROR(__xludf.DUMMYFUNCTION("""COMPUTED_VALUE"""),1.072)</f>
        <v>1.072</v>
      </c>
      <c r="E11034" s="16">
        <f>IFERROR(__xludf.DUMMYFUNCTION("""COMPUTED_VALUE"""),61.0)</f>
        <v>61</v>
      </c>
      <c r="F11034" s="19" t="str">
        <f>IFERROR(__xludf.DUMMYFUNCTION("""COMPUTED_VALUE"""),"BLUE")</f>
        <v>BLUE</v>
      </c>
      <c r="G11034" s="20" t="str">
        <f>IFERROR(__xludf.DUMMYFUNCTION("""COMPUTED_VALUE"""),"Uncle Sams Cider (04/04/2023)")</f>
        <v>Uncle Sams Cider (04/04/2023)</v>
      </c>
      <c r="H11034" s="19"/>
    </row>
    <row r="11035">
      <c r="A11035" s="9"/>
      <c r="B11035" s="15"/>
      <c r="C11035" s="9">
        <f>IFERROR(__xludf.DUMMYFUNCTION("""COMPUTED_VALUE"""),45028.2295092245)</f>
        <v>45028.22951</v>
      </c>
      <c r="D11035" s="15">
        <f>IFERROR(__xludf.DUMMYFUNCTION("""COMPUTED_VALUE"""),1.072)</f>
        <v>1.072</v>
      </c>
      <c r="E11035" s="16">
        <f>IFERROR(__xludf.DUMMYFUNCTION("""COMPUTED_VALUE"""),61.0)</f>
        <v>61</v>
      </c>
      <c r="F11035" s="19" t="str">
        <f>IFERROR(__xludf.DUMMYFUNCTION("""COMPUTED_VALUE"""),"BLUE")</f>
        <v>BLUE</v>
      </c>
      <c r="G11035" s="20" t="str">
        <f>IFERROR(__xludf.DUMMYFUNCTION("""COMPUTED_VALUE"""),"Uncle Sams Cider (04/04/2023)")</f>
        <v>Uncle Sams Cider (04/04/2023)</v>
      </c>
      <c r="H11035" s="19"/>
    </row>
    <row r="11036">
      <c r="A11036" s="9"/>
      <c r="B11036" s="15"/>
      <c r="C11036" s="9">
        <f>IFERROR(__xludf.DUMMYFUNCTION("""COMPUTED_VALUE"""),45028.219077199)</f>
        <v>45028.21908</v>
      </c>
      <c r="D11036" s="15">
        <f>IFERROR(__xludf.DUMMYFUNCTION("""COMPUTED_VALUE"""),1.071)</f>
        <v>1.071</v>
      </c>
      <c r="E11036" s="16">
        <f>IFERROR(__xludf.DUMMYFUNCTION("""COMPUTED_VALUE"""),61.0)</f>
        <v>61</v>
      </c>
      <c r="F11036" s="19" t="str">
        <f>IFERROR(__xludf.DUMMYFUNCTION("""COMPUTED_VALUE"""),"BLUE")</f>
        <v>BLUE</v>
      </c>
      <c r="G11036" s="20" t="str">
        <f>IFERROR(__xludf.DUMMYFUNCTION("""COMPUTED_VALUE"""),"Uncle Sams Cider (04/04/2023)")</f>
        <v>Uncle Sams Cider (04/04/2023)</v>
      </c>
      <c r="H11036" s="19"/>
    </row>
    <row r="11037">
      <c r="A11037" s="9"/>
      <c r="B11037" s="15"/>
      <c r="C11037" s="9">
        <f>IFERROR(__xludf.DUMMYFUNCTION("""COMPUTED_VALUE"""),45028.208656331)</f>
        <v>45028.20866</v>
      </c>
      <c r="D11037" s="15">
        <f>IFERROR(__xludf.DUMMYFUNCTION("""COMPUTED_VALUE"""),1.072)</f>
        <v>1.072</v>
      </c>
      <c r="E11037" s="16">
        <f>IFERROR(__xludf.DUMMYFUNCTION("""COMPUTED_VALUE"""),61.0)</f>
        <v>61</v>
      </c>
      <c r="F11037" s="19" t="str">
        <f>IFERROR(__xludf.DUMMYFUNCTION("""COMPUTED_VALUE"""),"BLUE")</f>
        <v>BLUE</v>
      </c>
      <c r="G11037" s="20" t="str">
        <f>IFERROR(__xludf.DUMMYFUNCTION("""COMPUTED_VALUE"""),"Uncle Sams Cider (04/04/2023)")</f>
        <v>Uncle Sams Cider (04/04/2023)</v>
      </c>
      <c r="H11037" s="19"/>
    </row>
    <row r="11038">
      <c r="A11038" s="9"/>
      <c r="B11038" s="15"/>
      <c r="C11038" s="9">
        <f>IFERROR(__xludf.DUMMYFUNCTION("""COMPUTED_VALUE"""),45028.1982246759)</f>
        <v>45028.19822</v>
      </c>
      <c r="D11038" s="15">
        <f>IFERROR(__xludf.DUMMYFUNCTION("""COMPUTED_VALUE"""),1.072)</f>
        <v>1.072</v>
      </c>
      <c r="E11038" s="16">
        <f>IFERROR(__xludf.DUMMYFUNCTION("""COMPUTED_VALUE"""),61.0)</f>
        <v>61</v>
      </c>
      <c r="F11038" s="19" t="str">
        <f>IFERROR(__xludf.DUMMYFUNCTION("""COMPUTED_VALUE"""),"BLUE")</f>
        <v>BLUE</v>
      </c>
      <c r="G11038" s="20" t="str">
        <f>IFERROR(__xludf.DUMMYFUNCTION("""COMPUTED_VALUE"""),"Uncle Sams Cider (04/04/2023)")</f>
        <v>Uncle Sams Cider (04/04/2023)</v>
      </c>
      <c r="H11038" s="19"/>
    </row>
    <row r="11039">
      <c r="A11039" s="9"/>
      <c r="B11039" s="15"/>
      <c r="C11039" s="9">
        <f>IFERROR(__xludf.DUMMYFUNCTION("""COMPUTED_VALUE"""),45028.1878026967)</f>
        <v>45028.1878</v>
      </c>
      <c r="D11039" s="15">
        <f>IFERROR(__xludf.DUMMYFUNCTION("""COMPUTED_VALUE"""),1.071)</f>
        <v>1.071</v>
      </c>
      <c r="E11039" s="16">
        <f>IFERROR(__xludf.DUMMYFUNCTION("""COMPUTED_VALUE"""),61.0)</f>
        <v>61</v>
      </c>
      <c r="F11039" s="19" t="str">
        <f>IFERROR(__xludf.DUMMYFUNCTION("""COMPUTED_VALUE"""),"BLUE")</f>
        <v>BLUE</v>
      </c>
      <c r="G11039" s="20" t="str">
        <f>IFERROR(__xludf.DUMMYFUNCTION("""COMPUTED_VALUE"""),"Uncle Sams Cider (04/04/2023)")</f>
        <v>Uncle Sams Cider (04/04/2023)</v>
      </c>
      <c r="H11039" s="19"/>
    </row>
    <row r="11040">
      <c r="A11040" s="9"/>
      <c r="B11040" s="15"/>
      <c r="C11040" s="9">
        <f>IFERROR(__xludf.DUMMYFUNCTION("""COMPUTED_VALUE"""),45028.177381331)</f>
        <v>45028.17738</v>
      </c>
      <c r="D11040" s="15">
        <f>IFERROR(__xludf.DUMMYFUNCTION("""COMPUTED_VALUE"""),1.072)</f>
        <v>1.072</v>
      </c>
      <c r="E11040" s="16">
        <f>IFERROR(__xludf.DUMMYFUNCTION("""COMPUTED_VALUE"""),61.0)</f>
        <v>61</v>
      </c>
      <c r="F11040" s="19" t="str">
        <f>IFERROR(__xludf.DUMMYFUNCTION("""COMPUTED_VALUE"""),"BLUE")</f>
        <v>BLUE</v>
      </c>
      <c r="G11040" s="20" t="str">
        <f>IFERROR(__xludf.DUMMYFUNCTION("""COMPUTED_VALUE"""),"Uncle Sams Cider (04/04/2023)")</f>
        <v>Uncle Sams Cider (04/04/2023)</v>
      </c>
      <c r="H11040" s="19"/>
    </row>
    <row r="11041">
      <c r="A11041" s="9"/>
      <c r="B11041" s="15"/>
      <c r="C11041" s="9">
        <f>IFERROR(__xludf.DUMMYFUNCTION("""COMPUTED_VALUE"""),45028.1669467361)</f>
        <v>45028.16695</v>
      </c>
      <c r="D11041" s="15">
        <f>IFERROR(__xludf.DUMMYFUNCTION("""COMPUTED_VALUE"""),1.072)</f>
        <v>1.072</v>
      </c>
      <c r="E11041" s="16">
        <f>IFERROR(__xludf.DUMMYFUNCTION("""COMPUTED_VALUE"""),61.0)</f>
        <v>61</v>
      </c>
      <c r="F11041" s="19" t="str">
        <f>IFERROR(__xludf.DUMMYFUNCTION("""COMPUTED_VALUE"""),"BLUE")</f>
        <v>BLUE</v>
      </c>
      <c r="G11041" s="20" t="str">
        <f>IFERROR(__xludf.DUMMYFUNCTION("""COMPUTED_VALUE"""),"Uncle Sams Cider (04/04/2023)")</f>
        <v>Uncle Sams Cider (04/04/2023)</v>
      </c>
      <c r="H11041" s="19"/>
    </row>
    <row r="11042">
      <c r="A11042" s="9"/>
      <c r="B11042" s="15"/>
      <c r="C11042" s="9">
        <f>IFERROR(__xludf.DUMMYFUNCTION("""COMPUTED_VALUE"""),45028.1565133333)</f>
        <v>45028.15651</v>
      </c>
      <c r="D11042" s="15">
        <f>IFERROR(__xludf.DUMMYFUNCTION("""COMPUTED_VALUE"""),1.072)</f>
        <v>1.072</v>
      </c>
      <c r="E11042" s="16">
        <f>IFERROR(__xludf.DUMMYFUNCTION("""COMPUTED_VALUE"""),61.0)</f>
        <v>61</v>
      </c>
      <c r="F11042" s="19" t="str">
        <f>IFERROR(__xludf.DUMMYFUNCTION("""COMPUTED_VALUE"""),"BLUE")</f>
        <v>BLUE</v>
      </c>
      <c r="G11042" s="20" t="str">
        <f>IFERROR(__xludf.DUMMYFUNCTION("""COMPUTED_VALUE"""),"Uncle Sams Cider (04/04/2023)")</f>
        <v>Uncle Sams Cider (04/04/2023)</v>
      </c>
      <c r="H11042" s="19"/>
    </row>
    <row r="11043">
      <c r="A11043" s="9"/>
      <c r="B11043" s="15"/>
      <c r="C11043" s="9">
        <f>IFERROR(__xludf.DUMMYFUNCTION("""COMPUTED_VALUE"""),45028.1460911111)</f>
        <v>45028.14609</v>
      </c>
      <c r="D11043" s="15">
        <f>IFERROR(__xludf.DUMMYFUNCTION("""COMPUTED_VALUE"""),1.072)</f>
        <v>1.072</v>
      </c>
      <c r="E11043" s="16">
        <f>IFERROR(__xludf.DUMMYFUNCTION("""COMPUTED_VALUE"""),61.0)</f>
        <v>61</v>
      </c>
      <c r="F11043" s="19" t="str">
        <f>IFERROR(__xludf.DUMMYFUNCTION("""COMPUTED_VALUE"""),"BLUE")</f>
        <v>BLUE</v>
      </c>
      <c r="G11043" s="20" t="str">
        <f>IFERROR(__xludf.DUMMYFUNCTION("""COMPUTED_VALUE"""),"Uncle Sams Cider (04/04/2023)")</f>
        <v>Uncle Sams Cider (04/04/2023)</v>
      </c>
      <c r="H11043" s="19"/>
    </row>
    <row r="11044">
      <c r="A11044" s="9"/>
      <c r="B11044" s="15"/>
      <c r="C11044" s="9">
        <f>IFERROR(__xludf.DUMMYFUNCTION("""COMPUTED_VALUE"""),45028.1356697916)</f>
        <v>45028.13567</v>
      </c>
      <c r="D11044" s="15">
        <f>IFERROR(__xludf.DUMMYFUNCTION("""COMPUTED_VALUE"""),1.072)</f>
        <v>1.072</v>
      </c>
      <c r="E11044" s="16">
        <f>IFERROR(__xludf.DUMMYFUNCTION("""COMPUTED_VALUE"""),61.0)</f>
        <v>61</v>
      </c>
      <c r="F11044" s="19" t="str">
        <f>IFERROR(__xludf.DUMMYFUNCTION("""COMPUTED_VALUE"""),"BLUE")</f>
        <v>BLUE</v>
      </c>
      <c r="G11044" s="20" t="str">
        <f>IFERROR(__xludf.DUMMYFUNCTION("""COMPUTED_VALUE"""),"Uncle Sams Cider (04/04/2023)")</f>
        <v>Uncle Sams Cider (04/04/2023)</v>
      </c>
      <c r="H11044" s="19"/>
    </row>
    <row r="11045">
      <c r="A11045" s="9"/>
      <c r="B11045" s="15"/>
      <c r="C11045" s="9">
        <f>IFERROR(__xludf.DUMMYFUNCTION("""COMPUTED_VALUE"""),45028.1252486921)</f>
        <v>45028.12525</v>
      </c>
      <c r="D11045" s="15">
        <f>IFERROR(__xludf.DUMMYFUNCTION("""COMPUTED_VALUE"""),1.072)</f>
        <v>1.072</v>
      </c>
      <c r="E11045" s="16">
        <f>IFERROR(__xludf.DUMMYFUNCTION("""COMPUTED_VALUE"""),61.0)</f>
        <v>61</v>
      </c>
      <c r="F11045" s="19" t="str">
        <f>IFERROR(__xludf.DUMMYFUNCTION("""COMPUTED_VALUE"""),"BLUE")</f>
        <v>BLUE</v>
      </c>
      <c r="G11045" s="20" t="str">
        <f>IFERROR(__xludf.DUMMYFUNCTION("""COMPUTED_VALUE"""),"Uncle Sams Cider (04/04/2023)")</f>
        <v>Uncle Sams Cider (04/04/2023)</v>
      </c>
      <c r="H11045" s="19"/>
    </row>
    <row r="11046">
      <c r="A11046" s="9"/>
      <c r="B11046" s="15"/>
      <c r="C11046" s="9">
        <f>IFERROR(__xludf.DUMMYFUNCTION("""COMPUTED_VALUE"""),45028.1148047453)</f>
        <v>45028.1148</v>
      </c>
      <c r="D11046" s="15">
        <f>IFERROR(__xludf.DUMMYFUNCTION("""COMPUTED_VALUE"""),1.072)</f>
        <v>1.072</v>
      </c>
      <c r="E11046" s="16">
        <f>IFERROR(__xludf.DUMMYFUNCTION("""COMPUTED_VALUE"""),61.0)</f>
        <v>61</v>
      </c>
      <c r="F11046" s="19" t="str">
        <f>IFERROR(__xludf.DUMMYFUNCTION("""COMPUTED_VALUE"""),"BLUE")</f>
        <v>BLUE</v>
      </c>
      <c r="G11046" s="20" t="str">
        <f>IFERROR(__xludf.DUMMYFUNCTION("""COMPUTED_VALUE"""),"Uncle Sams Cider (04/04/2023)")</f>
        <v>Uncle Sams Cider (04/04/2023)</v>
      </c>
      <c r="H11046" s="19"/>
    </row>
    <row r="11047">
      <c r="A11047" s="9"/>
      <c r="B11047" s="15"/>
      <c r="C11047" s="9">
        <f>IFERROR(__xludf.DUMMYFUNCTION("""COMPUTED_VALUE"""),45028.1043826504)</f>
        <v>45028.10438</v>
      </c>
      <c r="D11047" s="15">
        <f>IFERROR(__xludf.DUMMYFUNCTION("""COMPUTED_VALUE"""),1.072)</f>
        <v>1.072</v>
      </c>
      <c r="E11047" s="16">
        <f>IFERROR(__xludf.DUMMYFUNCTION("""COMPUTED_VALUE"""),61.0)</f>
        <v>61</v>
      </c>
      <c r="F11047" s="19" t="str">
        <f>IFERROR(__xludf.DUMMYFUNCTION("""COMPUTED_VALUE"""),"BLUE")</f>
        <v>BLUE</v>
      </c>
      <c r="G11047" s="20" t="str">
        <f>IFERROR(__xludf.DUMMYFUNCTION("""COMPUTED_VALUE"""),"Uncle Sams Cider (04/04/2023)")</f>
        <v>Uncle Sams Cider (04/04/2023)</v>
      </c>
      <c r="H11047" s="19"/>
    </row>
    <row r="11048">
      <c r="A11048" s="9"/>
      <c r="B11048" s="15"/>
      <c r="C11048" s="9">
        <f>IFERROR(__xludf.DUMMYFUNCTION("""COMPUTED_VALUE"""),45028.0939475115)</f>
        <v>45028.09395</v>
      </c>
      <c r="D11048" s="15">
        <f>IFERROR(__xludf.DUMMYFUNCTION("""COMPUTED_VALUE"""),1.072)</f>
        <v>1.072</v>
      </c>
      <c r="E11048" s="16">
        <f>IFERROR(__xludf.DUMMYFUNCTION("""COMPUTED_VALUE"""),61.0)</f>
        <v>61</v>
      </c>
      <c r="F11048" s="19" t="str">
        <f>IFERROR(__xludf.DUMMYFUNCTION("""COMPUTED_VALUE"""),"BLUE")</f>
        <v>BLUE</v>
      </c>
      <c r="G11048" s="20" t="str">
        <f>IFERROR(__xludf.DUMMYFUNCTION("""COMPUTED_VALUE"""),"Uncle Sams Cider (04/04/2023)")</f>
        <v>Uncle Sams Cider (04/04/2023)</v>
      </c>
      <c r="H11048" s="19"/>
    </row>
    <row r="11049">
      <c r="A11049" s="9"/>
      <c r="B11049" s="15"/>
      <c r="C11049" s="9">
        <f>IFERROR(__xludf.DUMMYFUNCTION("""COMPUTED_VALUE"""),45028.083526493)</f>
        <v>45028.08353</v>
      </c>
      <c r="D11049" s="15">
        <f>IFERROR(__xludf.DUMMYFUNCTION("""COMPUTED_VALUE"""),1.072)</f>
        <v>1.072</v>
      </c>
      <c r="E11049" s="16">
        <f>IFERROR(__xludf.DUMMYFUNCTION("""COMPUTED_VALUE"""),61.0)</f>
        <v>61</v>
      </c>
      <c r="F11049" s="19" t="str">
        <f>IFERROR(__xludf.DUMMYFUNCTION("""COMPUTED_VALUE"""),"BLUE")</f>
        <v>BLUE</v>
      </c>
      <c r="G11049" s="20" t="str">
        <f>IFERROR(__xludf.DUMMYFUNCTION("""COMPUTED_VALUE"""),"Uncle Sams Cider (04/04/2023)")</f>
        <v>Uncle Sams Cider (04/04/2023)</v>
      </c>
      <c r="H11049" s="19"/>
    </row>
    <row r="11050">
      <c r="A11050" s="9"/>
      <c r="B11050" s="15"/>
      <c r="C11050" s="9">
        <f>IFERROR(__xludf.DUMMYFUNCTION("""COMPUTED_VALUE"""),45028.073105)</f>
        <v>45028.07311</v>
      </c>
      <c r="D11050" s="15">
        <f>IFERROR(__xludf.DUMMYFUNCTION("""COMPUTED_VALUE"""),1.072)</f>
        <v>1.072</v>
      </c>
      <c r="E11050" s="16">
        <f>IFERROR(__xludf.DUMMYFUNCTION("""COMPUTED_VALUE"""),61.0)</f>
        <v>61</v>
      </c>
      <c r="F11050" s="19" t="str">
        <f>IFERROR(__xludf.DUMMYFUNCTION("""COMPUTED_VALUE"""),"BLUE")</f>
        <v>BLUE</v>
      </c>
      <c r="G11050" s="20" t="str">
        <f>IFERROR(__xludf.DUMMYFUNCTION("""COMPUTED_VALUE"""),"Uncle Sams Cider (04/04/2023)")</f>
        <v>Uncle Sams Cider (04/04/2023)</v>
      </c>
      <c r="H11050" s="19"/>
    </row>
    <row r="11051">
      <c r="A11051" s="9"/>
      <c r="B11051" s="15"/>
      <c r="C11051" s="9">
        <f>IFERROR(__xludf.DUMMYFUNCTION("""COMPUTED_VALUE"""),45028.0626830092)</f>
        <v>45028.06268</v>
      </c>
      <c r="D11051" s="15">
        <f>IFERROR(__xludf.DUMMYFUNCTION("""COMPUTED_VALUE"""),1.072)</f>
        <v>1.072</v>
      </c>
      <c r="E11051" s="16">
        <f>IFERROR(__xludf.DUMMYFUNCTION("""COMPUTED_VALUE"""),61.0)</f>
        <v>61</v>
      </c>
      <c r="F11051" s="19" t="str">
        <f>IFERROR(__xludf.DUMMYFUNCTION("""COMPUTED_VALUE"""),"BLUE")</f>
        <v>BLUE</v>
      </c>
      <c r="G11051" s="20" t="str">
        <f>IFERROR(__xludf.DUMMYFUNCTION("""COMPUTED_VALUE"""),"Uncle Sams Cider (04/04/2023)")</f>
        <v>Uncle Sams Cider (04/04/2023)</v>
      </c>
      <c r="H11051" s="19"/>
    </row>
    <row r="11052">
      <c r="A11052" s="9"/>
      <c r="B11052" s="15"/>
      <c r="C11052" s="9">
        <f>IFERROR(__xludf.DUMMYFUNCTION("""COMPUTED_VALUE"""),45028.0522619444)</f>
        <v>45028.05226</v>
      </c>
      <c r="D11052" s="15">
        <f>IFERROR(__xludf.DUMMYFUNCTION("""COMPUTED_VALUE"""),1.072)</f>
        <v>1.072</v>
      </c>
      <c r="E11052" s="16">
        <f>IFERROR(__xludf.DUMMYFUNCTION("""COMPUTED_VALUE"""),61.0)</f>
        <v>61</v>
      </c>
      <c r="F11052" s="19" t="str">
        <f>IFERROR(__xludf.DUMMYFUNCTION("""COMPUTED_VALUE"""),"BLUE")</f>
        <v>BLUE</v>
      </c>
      <c r="G11052" s="20" t="str">
        <f>IFERROR(__xludf.DUMMYFUNCTION("""COMPUTED_VALUE"""),"Uncle Sams Cider (04/04/2023)")</f>
        <v>Uncle Sams Cider (04/04/2023)</v>
      </c>
      <c r="H11052" s="19"/>
    </row>
    <row r="11053">
      <c r="A11053" s="9"/>
      <c r="B11053" s="15"/>
      <c r="C11053" s="9">
        <f>IFERROR(__xludf.DUMMYFUNCTION("""COMPUTED_VALUE"""),45028.0418420717)</f>
        <v>45028.04184</v>
      </c>
      <c r="D11053" s="15">
        <f>IFERROR(__xludf.DUMMYFUNCTION("""COMPUTED_VALUE"""),1.072)</f>
        <v>1.072</v>
      </c>
      <c r="E11053" s="16">
        <f>IFERROR(__xludf.DUMMYFUNCTION("""COMPUTED_VALUE"""),61.0)</f>
        <v>61</v>
      </c>
      <c r="F11053" s="19" t="str">
        <f>IFERROR(__xludf.DUMMYFUNCTION("""COMPUTED_VALUE"""),"BLUE")</f>
        <v>BLUE</v>
      </c>
      <c r="G11053" s="20" t="str">
        <f>IFERROR(__xludf.DUMMYFUNCTION("""COMPUTED_VALUE"""),"Uncle Sams Cider (04/04/2023)")</f>
        <v>Uncle Sams Cider (04/04/2023)</v>
      </c>
      <c r="H11053" s="19"/>
    </row>
    <row r="11054">
      <c r="A11054" s="9"/>
      <c r="B11054" s="15"/>
      <c r="C11054" s="9">
        <f>IFERROR(__xludf.DUMMYFUNCTION("""COMPUTED_VALUE"""),45028.0314200926)</f>
        <v>45028.03142</v>
      </c>
      <c r="D11054" s="15">
        <f>IFERROR(__xludf.DUMMYFUNCTION("""COMPUTED_VALUE"""),1.072)</f>
        <v>1.072</v>
      </c>
      <c r="E11054" s="16">
        <f>IFERROR(__xludf.DUMMYFUNCTION("""COMPUTED_VALUE"""),61.0)</f>
        <v>61</v>
      </c>
      <c r="F11054" s="19" t="str">
        <f>IFERROR(__xludf.DUMMYFUNCTION("""COMPUTED_VALUE"""),"BLUE")</f>
        <v>BLUE</v>
      </c>
      <c r="G11054" s="20" t="str">
        <f>IFERROR(__xludf.DUMMYFUNCTION("""COMPUTED_VALUE"""),"Uncle Sams Cider (04/04/2023)")</f>
        <v>Uncle Sams Cider (04/04/2023)</v>
      </c>
      <c r="H11054" s="19"/>
    </row>
    <row r="11055">
      <c r="A11055" s="9"/>
      <c r="B11055" s="15"/>
      <c r="C11055" s="9">
        <f>IFERROR(__xludf.DUMMYFUNCTION("""COMPUTED_VALUE"""),45028.0209992824)</f>
        <v>45028.021</v>
      </c>
      <c r="D11055" s="15">
        <f>IFERROR(__xludf.DUMMYFUNCTION("""COMPUTED_VALUE"""),1.072)</f>
        <v>1.072</v>
      </c>
      <c r="E11055" s="16">
        <f>IFERROR(__xludf.DUMMYFUNCTION("""COMPUTED_VALUE"""),61.0)</f>
        <v>61</v>
      </c>
      <c r="F11055" s="19" t="str">
        <f>IFERROR(__xludf.DUMMYFUNCTION("""COMPUTED_VALUE"""),"BLUE")</f>
        <v>BLUE</v>
      </c>
      <c r="G11055" s="20" t="str">
        <f>IFERROR(__xludf.DUMMYFUNCTION("""COMPUTED_VALUE"""),"Uncle Sams Cider (04/04/2023)")</f>
        <v>Uncle Sams Cider (04/04/2023)</v>
      </c>
      <c r="H11055" s="19"/>
    </row>
    <row r="11056">
      <c r="A11056" s="9"/>
      <c r="B11056" s="15"/>
      <c r="C11056" s="9">
        <f>IFERROR(__xludf.DUMMYFUNCTION("""COMPUTED_VALUE"""),45028.0105787037)</f>
        <v>45028.01058</v>
      </c>
      <c r="D11056" s="15">
        <f>IFERROR(__xludf.DUMMYFUNCTION("""COMPUTED_VALUE"""),1.072)</f>
        <v>1.072</v>
      </c>
      <c r="E11056" s="16">
        <f>IFERROR(__xludf.DUMMYFUNCTION("""COMPUTED_VALUE"""),61.0)</f>
        <v>61</v>
      </c>
      <c r="F11056" s="19" t="str">
        <f>IFERROR(__xludf.DUMMYFUNCTION("""COMPUTED_VALUE"""),"BLUE")</f>
        <v>BLUE</v>
      </c>
      <c r="G11056" s="20" t="str">
        <f>IFERROR(__xludf.DUMMYFUNCTION("""COMPUTED_VALUE"""),"Uncle Sams Cider (04/04/2023)")</f>
        <v>Uncle Sams Cider (04/04/2023)</v>
      </c>
      <c r="H11056" s="19"/>
    </row>
    <row r="11057">
      <c r="A11057" s="9"/>
      <c r="B11057" s="15"/>
      <c r="C11057" s="9">
        <f>IFERROR(__xludf.DUMMYFUNCTION("""COMPUTED_VALUE"""),45028.0001571875)</f>
        <v>45028.00016</v>
      </c>
      <c r="D11057" s="15">
        <f>IFERROR(__xludf.DUMMYFUNCTION("""COMPUTED_VALUE"""),1.073)</f>
        <v>1.073</v>
      </c>
      <c r="E11057" s="16">
        <f>IFERROR(__xludf.DUMMYFUNCTION("""COMPUTED_VALUE"""),61.0)</f>
        <v>61</v>
      </c>
      <c r="F11057" s="19" t="str">
        <f>IFERROR(__xludf.DUMMYFUNCTION("""COMPUTED_VALUE"""),"BLUE")</f>
        <v>BLUE</v>
      </c>
      <c r="G11057" s="20" t="str">
        <f>IFERROR(__xludf.DUMMYFUNCTION("""COMPUTED_VALUE"""),"Uncle Sams Cider (04/04/2023)")</f>
        <v>Uncle Sams Cider (04/04/2023)</v>
      </c>
      <c r="H11057" s="19"/>
    </row>
    <row r="11058">
      <c r="A11058" s="9"/>
      <c r="B11058" s="15"/>
      <c r="C11058" s="9">
        <f>IFERROR(__xludf.DUMMYFUNCTION("""COMPUTED_VALUE"""),45027.9897123379)</f>
        <v>45027.98971</v>
      </c>
      <c r="D11058" s="15">
        <f>IFERROR(__xludf.DUMMYFUNCTION("""COMPUTED_VALUE"""),1.073)</f>
        <v>1.073</v>
      </c>
      <c r="E11058" s="16">
        <f>IFERROR(__xludf.DUMMYFUNCTION("""COMPUTED_VALUE"""),61.0)</f>
        <v>61</v>
      </c>
      <c r="F11058" s="19" t="str">
        <f>IFERROR(__xludf.DUMMYFUNCTION("""COMPUTED_VALUE"""),"BLUE")</f>
        <v>BLUE</v>
      </c>
      <c r="G11058" s="20" t="str">
        <f>IFERROR(__xludf.DUMMYFUNCTION("""COMPUTED_VALUE"""),"Uncle Sams Cider (04/04/2023)")</f>
        <v>Uncle Sams Cider (04/04/2023)</v>
      </c>
      <c r="H11058" s="19"/>
    </row>
    <row r="11059">
      <c r="A11059" s="9"/>
      <c r="B11059" s="15"/>
      <c r="C11059" s="9">
        <f>IFERROR(__xludf.DUMMYFUNCTION("""COMPUTED_VALUE"""),45027.9792897338)</f>
        <v>45027.97929</v>
      </c>
      <c r="D11059" s="15">
        <f>IFERROR(__xludf.DUMMYFUNCTION("""COMPUTED_VALUE"""),1.073)</f>
        <v>1.073</v>
      </c>
      <c r="E11059" s="16">
        <f>IFERROR(__xludf.DUMMYFUNCTION("""COMPUTED_VALUE"""),61.0)</f>
        <v>61</v>
      </c>
      <c r="F11059" s="19" t="str">
        <f>IFERROR(__xludf.DUMMYFUNCTION("""COMPUTED_VALUE"""),"BLUE")</f>
        <v>BLUE</v>
      </c>
      <c r="G11059" s="20" t="str">
        <f>IFERROR(__xludf.DUMMYFUNCTION("""COMPUTED_VALUE"""),"Uncle Sams Cider (04/04/2023)")</f>
        <v>Uncle Sams Cider (04/04/2023)</v>
      </c>
      <c r="H11059" s="19"/>
    </row>
    <row r="11060">
      <c r="A11060" s="9"/>
      <c r="B11060" s="15"/>
      <c r="C11060" s="9">
        <f>IFERROR(__xludf.DUMMYFUNCTION("""COMPUTED_VALUE"""),45027.9688673958)</f>
        <v>45027.96887</v>
      </c>
      <c r="D11060" s="15">
        <f>IFERROR(__xludf.DUMMYFUNCTION("""COMPUTED_VALUE"""),1.073)</f>
        <v>1.073</v>
      </c>
      <c r="E11060" s="16">
        <f>IFERROR(__xludf.DUMMYFUNCTION("""COMPUTED_VALUE"""),61.0)</f>
        <v>61</v>
      </c>
      <c r="F11060" s="19" t="str">
        <f>IFERROR(__xludf.DUMMYFUNCTION("""COMPUTED_VALUE"""),"BLUE")</f>
        <v>BLUE</v>
      </c>
      <c r="G11060" s="20" t="str">
        <f>IFERROR(__xludf.DUMMYFUNCTION("""COMPUTED_VALUE"""),"Uncle Sams Cider (04/04/2023)")</f>
        <v>Uncle Sams Cider (04/04/2023)</v>
      </c>
      <c r="H11060" s="19"/>
    </row>
    <row r="11061">
      <c r="A11061" s="9"/>
      <c r="B11061" s="15"/>
      <c r="C11061" s="9">
        <f>IFERROR(__xludf.DUMMYFUNCTION("""COMPUTED_VALUE"""),45027.958434155)</f>
        <v>45027.95843</v>
      </c>
      <c r="D11061" s="15">
        <f>IFERROR(__xludf.DUMMYFUNCTION("""COMPUTED_VALUE"""),1.073)</f>
        <v>1.073</v>
      </c>
      <c r="E11061" s="16">
        <f>IFERROR(__xludf.DUMMYFUNCTION("""COMPUTED_VALUE"""),61.0)</f>
        <v>61</v>
      </c>
      <c r="F11061" s="19" t="str">
        <f>IFERROR(__xludf.DUMMYFUNCTION("""COMPUTED_VALUE"""),"BLUE")</f>
        <v>BLUE</v>
      </c>
      <c r="G11061" s="20" t="str">
        <f>IFERROR(__xludf.DUMMYFUNCTION("""COMPUTED_VALUE"""),"Uncle Sams Cider (04/04/2023)")</f>
        <v>Uncle Sams Cider (04/04/2023)</v>
      </c>
      <c r="H11061" s="19"/>
    </row>
    <row r="11062">
      <c r="A11062" s="9"/>
      <c r="B11062" s="15"/>
      <c r="C11062" s="9">
        <f>IFERROR(__xludf.DUMMYFUNCTION("""COMPUTED_VALUE"""),45027.9480115046)</f>
        <v>45027.94801</v>
      </c>
      <c r="D11062" s="15">
        <f>IFERROR(__xludf.DUMMYFUNCTION("""COMPUTED_VALUE"""),1.073)</f>
        <v>1.073</v>
      </c>
      <c r="E11062" s="16">
        <f>IFERROR(__xludf.DUMMYFUNCTION("""COMPUTED_VALUE"""),61.0)</f>
        <v>61</v>
      </c>
      <c r="F11062" s="19" t="str">
        <f>IFERROR(__xludf.DUMMYFUNCTION("""COMPUTED_VALUE"""),"BLUE")</f>
        <v>BLUE</v>
      </c>
      <c r="G11062" s="20" t="str">
        <f>IFERROR(__xludf.DUMMYFUNCTION("""COMPUTED_VALUE"""),"Uncle Sams Cider (04/04/2023)")</f>
        <v>Uncle Sams Cider (04/04/2023)</v>
      </c>
      <c r="H11062" s="19"/>
    </row>
    <row r="11063">
      <c r="A11063" s="9"/>
      <c r="B11063" s="15"/>
      <c r="C11063" s="9">
        <f>IFERROR(__xludf.DUMMYFUNCTION("""COMPUTED_VALUE"""),45027.9375906713)</f>
        <v>45027.93759</v>
      </c>
      <c r="D11063" s="15">
        <f>IFERROR(__xludf.DUMMYFUNCTION("""COMPUTED_VALUE"""),1.073)</f>
        <v>1.073</v>
      </c>
      <c r="E11063" s="16">
        <f>IFERROR(__xludf.DUMMYFUNCTION("""COMPUTED_VALUE"""),61.0)</f>
        <v>61</v>
      </c>
      <c r="F11063" s="19" t="str">
        <f>IFERROR(__xludf.DUMMYFUNCTION("""COMPUTED_VALUE"""),"BLUE")</f>
        <v>BLUE</v>
      </c>
      <c r="G11063" s="20" t="str">
        <f>IFERROR(__xludf.DUMMYFUNCTION("""COMPUTED_VALUE"""),"Uncle Sams Cider (04/04/2023)")</f>
        <v>Uncle Sams Cider (04/04/2023)</v>
      </c>
      <c r="H11063" s="19"/>
    </row>
    <row r="11064">
      <c r="A11064" s="9"/>
      <c r="B11064" s="15"/>
      <c r="C11064" s="9">
        <f>IFERROR(__xludf.DUMMYFUNCTION("""COMPUTED_VALUE"""),45027.9271671643)</f>
        <v>45027.92717</v>
      </c>
      <c r="D11064" s="15">
        <f>IFERROR(__xludf.DUMMYFUNCTION("""COMPUTED_VALUE"""),1.073)</f>
        <v>1.073</v>
      </c>
      <c r="E11064" s="16">
        <f>IFERROR(__xludf.DUMMYFUNCTION("""COMPUTED_VALUE"""),61.0)</f>
        <v>61</v>
      </c>
      <c r="F11064" s="19" t="str">
        <f>IFERROR(__xludf.DUMMYFUNCTION("""COMPUTED_VALUE"""),"BLUE")</f>
        <v>BLUE</v>
      </c>
      <c r="G11064" s="20" t="str">
        <f>IFERROR(__xludf.DUMMYFUNCTION("""COMPUTED_VALUE"""),"Uncle Sams Cider (04/04/2023)")</f>
        <v>Uncle Sams Cider (04/04/2023)</v>
      </c>
      <c r="H11064" s="19"/>
    </row>
    <row r="11065">
      <c r="A11065" s="9"/>
      <c r="B11065" s="15"/>
      <c r="C11065" s="9">
        <f>IFERROR(__xludf.DUMMYFUNCTION("""COMPUTED_VALUE"""),45027.9167465046)</f>
        <v>45027.91675</v>
      </c>
      <c r="D11065" s="15">
        <f>IFERROR(__xludf.DUMMYFUNCTION("""COMPUTED_VALUE"""),1.073)</f>
        <v>1.073</v>
      </c>
      <c r="E11065" s="16">
        <f>IFERROR(__xludf.DUMMYFUNCTION("""COMPUTED_VALUE"""),61.0)</f>
        <v>61</v>
      </c>
      <c r="F11065" s="19" t="str">
        <f>IFERROR(__xludf.DUMMYFUNCTION("""COMPUTED_VALUE"""),"BLUE")</f>
        <v>BLUE</v>
      </c>
      <c r="G11065" s="20" t="str">
        <f>IFERROR(__xludf.DUMMYFUNCTION("""COMPUTED_VALUE"""),"Uncle Sams Cider (04/04/2023)")</f>
        <v>Uncle Sams Cider (04/04/2023)</v>
      </c>
      <c r="H11065" s="19"/>
    </row>
    <row r="11066">
      <c r="A11066" s="9"/>
      <c r="B11066" s="15"/>
      <c r="C11066" s="9">
        <f>IFERROR(__xludf.DUMMYFUNCTION("""COMPUTED_VALUE"""),45027.9063261574)</f>
        <v>45027.90633</v>
      </c>
      <c r="D11066" s="15">
        <f>IFERROR(__xludf.DUMMYFUNCTION("""COMPUTED_VALUE"""),1.073)</f>
        <v>1.073</v>
      </c>
      <c r="E11066" s="16">
        <f>IFERROR(__xludf.DUMMYFUNCTION("""COMPUTED_VALUE"""),61.0)</f>
        <v>61</v>
      </c>
      <c r="F11066" s="19" t="str">
        <f>IFERROR(__xludf.DUMMYFUNCTION("""COMPUTED_VALUE"""),"BLUE")</f>
        <v>BLUE</v>
      </c>
      <c r="G11066" s="20" t="str">
        <f>IFERROR(__xludf.DUMMYFUNCTION("""COMPUTED_VALUE"""),"Uncle Sams Cider (04/04/2023)")</f>
        <v>Uncle Sams Cider (04/04/2023)</v>
      </c>
      <c r="H11066" s="19"/>
    </row>
    <row r="11067">
      <c r="A11067" s="9"/>
      <c r="B11067" s="15"/>
      <c r="C11067" s="9">
        <f>IFERROR(__xludf.DUMMYFUNCTION("""COMPUTED_VALUE"""),45027.8959053356)</f>
        <v>45027.89591</v>
      </c>
      <c r="D11067" s="15">
        <f>IFERROR(__xludf.DUMMYFUNCTION("""COMPUTED_VALUE"""),1.073)</f>
        <v>1.073</v>
      </c>
      <c r="E11067" s="16">
        <f>IFERROR(__xludf.DUMMYFUNCTION("""COMPUTED_VALUE"""),61.0)</f>
        <v>61</v>
      </c>
      <c r="F11067" s="19" t="str">
        <f>IFERROR(__xludf.DUMMYFUNCTION("""COMPUTED_VALUE"""),"BLUE")</f>
        <v>BLUE</v>
      </c>
      <c r="G11067" s="20" t="str">
        <f>IFERROR(__xludf.DUMMYFUNCTION("""COMPUTED_VALUE"""),"Uncle Sams Cider (04/04/2023)")</f>
        <v>Uncle Sams Cider (04/04/2023)</v>
      </c>
      <c r="H11067" s="19"/>
    </row>
    <row r="11068">
      <c r="A11068" s="9"/>
      <c r="B11068" s="15"/>
      <c r="C11068" s="9">
        <f>IFERROR(__xludf.DUMMYFUNCTION("""COMPUTED_VALUE"""),45027.8854830324)</f>
        <v>45027.88548</v>
      </c>
      <c r="D11068" s="15">
        <f>IFERROR(__xludf.DUMMYFUNCTION("""COMPUTED_VALUE"""),1.073)</f>
        <v>1.073</v>
      </c>
      <c r="E11068" s="16">
        <f>IFERROR(__xludf.DUMMYFUNCTION("""COMPUTED_VALUE"""),61.0)</f>
        <v>61</v>
      </c>
      <c r="F11068" s="19" t="str">
        <f>IFERROR(__xludf.DUMMYFUNCTION("""COMPUTED_VALUE"""),"BLUE")</f>
        <v>BLUE</v>
      </c>
      <c r="G11068" s="20" t="str">
        <f>IFERROR(__xludf.DUMMYFUNCTION("""COMPUTED_VALUE"""),"Uncle Sams Cider (04/04/2023)")</f>
        <v>Uncle Sams Cider (04/04/2023)</v>
      </c>
      <c r="H11068" s="19"/>
    </row>
    <row r="11069">
      <c r="A11069" s="9"/>
      <c r="B11069" s="15"/>
      <c r="C11069" s="9">
        <f>IFERROR(__xludf.DUMMYFUNCTION("""COMPUTED_VALUE"""),45027.8750633796)</f>
        <v>45027.87506</v>
      </c>
      <c r="D11069" s="15">
        <f>IFERROR(__xludf.DUMMYFUNCTION("""COMPUTED_VALUE"""),1.073)</f>
        <v>1.073</v>
      </c>
      <c r="E11069" s="16">
        <f>IFERROR(__xludf.DUMMYFUNCTION("""COMPUTED_VALUE"""),61.0)</f>
        <v>61</v>
      </c>
      <c r="F11069" s="19" t="str">
        <f>IFERROR(__xludf.DUMMYFUNCTION("""COMPUTED_VALUE"""),"BLUE")</f>
        <v>BLUE</v>
      </c>
      <c r="G11069" s="20" t="str">
        <f>IFERROR(__xludf.DUMMYFUNCTION("""COMPUTED_VALUE"""),"Uncle Sams Cider (04/04/2023)")</f>
        <v>Uncle Sams Cider (04/04/2023)</v>
      </c>
      <c r="H11069" s="19"/>
    </row>
    <row r="11070">
      <c r="A11070" s="9"/>
      <c r="B11070" s="15"/>
      <c r="C11070" s="9">
        <f>IFERROR(__xludf.DUMMYFUNCTION("""COMPUTED_VALUE"""),45027.8646419907)</f>
        <v>45027.86464</v>
      </c>
      <c r="D11070" s="15">
        <f>IFERROR(__xludf.DUMMYFUNCTION("""COMPUTED_VALUE"""),1.073)</f>
        <v>1.073</v>
      </c>
      <c r="E11070" s="16">
        <f>IFERROR(__xludf.DUMMYFUNCTION("""COMPUTED_VALUE"""),61.0)</f>
        <v>61</v>
      </c>
      <c r="F11070" s="19" t="str">
        <f>IFERROR(__xludf.DUMMYFUNCTION("""COMPUTED_VALUE"""),"BLUE")</f>
        <v>BLUE</v>
      </c>
      <c r="G11070" s="20" t="str">
        <f>IFERROR(__xludf.DUMMYFUNCTION("""COMPUTED_VALUE"""),"Uncle Sams Cider (04/04/2023)")</f>
        <v>Uncle Sams Cider (04/04/2023)</v>
      </c>
      <c r="H11070" s="19"/>
    </row>
    <row r="11071">
      <c r="A11071" s="9"/>
      <c r="B11071" s="15"/>
      <c r="C11071" s="9">
        <f>IFERROR(__xludf.DUMMYFUNCTION("""COMPUTED_VALUE"""),45027.8542094097)</f>
        <v>45027.85421</v>
      </c>
      <c r="D11071" s="15">
        <f>IFERROR(__xludf.DUMMYFUNCTION("""COMPUTED_VALUE"""),1.073)</f>
        <v>1.073</v>
      </c>
      <c r="E11071" s="16">
        <f>IFERROR(__xludf.DUMMYFUNCTION("""COMPUTED_VALUE"""),61.0)</f>
        <v>61</v>
      </c>
      <c r="F11071" s="19" t="str">
        <f>IFERROR(__xludf.DUMMYFUNCTION("""COMPUTED_VALUE"""),"BLUE")</f>
        <v>BLUE</v>
      </c>
      <c r="G11071" s="20" t="str">
        <f>IFERROR(__xludf.DUMMYFUNCTION("""COMPUTED_VALUE"""),"Uncle Sams Cider (04/04/2023)")</f>
        <v>Uncle Sams Cider (04/04/2023)</v>
      </c>
      <c r="H11071" s="19"/>
    </row>
    <row r="11072">
      <c r="A11072" s="9"/>
      <c r="B11072" s="15"/>
      <c r="C11072" s="9">
        <f>IFERROR(__xludf.DUMMYFUNCTION("""COMPUTED_VALUE"""),45027.8437778703)</f>
        <v>45027.84378</v>
      </c>
      <c r="D11072" s="15">
        <f>IFERROR(__xludf.DUMMYFUNCTION("""COMPUTED_VALUE"""),1.073)</f>
        <v>1.073</v>
      </c>
      <c r="E11072" s="16">
        <f>IFERROR(__xludf.DUMMYFUNCTION("""COMPUTED_VALUE"""),61.0)</f>
        <v>61</v>
      </c>
      <c r="F11072" s="19" t="str">
        <f>IFERROR(__xludf.DUMMYFUNCTION("""COMPUTED_VALUE"""),"BLUE")</f>
        <v>BLUE</v>
      </c>
      <c r="G11072" s="20" t="str">
        <f>IFERROR(__xludf.DUMMYFUNCTION("""COMPUTED_VALUE"""),"Uncle Sams Cider (04/04/2023)")</f>
        <v>Uncle Sams Cider (04/04/2023)</v>
      </c>
      <c r="H11072" s="19"/>
    </row>
    <row r="11073">
      <c r="A11073" s="9"/>
      <c r="B11073" s="15"/>
      <c r="C11073" s="9">
        <f>IFERROR(__xludf.DUMMYFUNCTION("""COMPUTED_VALUE"""),45027.8333571296)</f>
        <v>45027.83336</v>
      </c>
      <c r="D11073" s="15">
        <f>IFERROR(__xludf.DUMMYFUNCTION("""COMPUTED_VALUE"""),1.073)</f>
        <v>1.073</v>
      </c>
      <c r="E11073" s="16">
        <f>IFERROR(__xludf.DUMMYFUNCTION("""COMPUTED_VALUE"""),61.0)</f>
        <v>61</v>
      </c>
      <c r="F11073" s="19" t="str">
        <f>IFERROR(__xludf.DUMMYFUNCTION("""COMPUTED_VALUE"""),"BLUE")</f>
        <v>BLUE</v>
      </c>
      <c r="G11073" s="20" t="str">
        <f>IFERROR(__xludf.DUMMYFUNCTION("""COMPUTED_VALUE"""),"Uncle Sams Cider (04/04/2023)")</f>
        <v>Uncle Sams Cider (04/04/2023)</v>
      </c>
      <c r="H11073" s="19"/>
    </row>
    <row r="11074">
      <c r="A11074" s="9"/>
      <c r="B11074" s="15"/>
      <c r="C11074" s="9">
        <f>IFERROR(__xludf.DUMMYFUNCTION("""COMPUTED_VALUE"""),45027.8229351504)</f>
        <v>45027.82294</v>
      </c>
      <c r="D11074" s="15">
        <f>IFERROR(__xludf.DUMMYFUNCTION("""COMPUTED_VALUE"""),1.073)</f>
        <v>1.073</v>
      </c>
      <c r="E11074" s="16">
        <f>IFERROR(__xludf.DUMMYFUNCTION("""COMPUTED_VALUE"""),61.0)</f>
        <v>61</v>
      </c>
      <c r="F11074" s="19" t="str">
        <f>IFERROR(__xludf.DUMMYFUNCTION("""COMPUTED_VALUE"""),"BLUE")</f>
        <v>BLUE</v>
      </c>
      <c r="G11074" s="20" t="str">
        <f>IFERROR(__xludf.DUMMYFUNCTION("""COMPUTED_VALUE"""),"Uncle Sams Cider (04/04/2023)")</f>
        <v>Uncle Sams Cider (04/04/2023)</v>
      </c>
      <c r="H11074" s="19"/>
    </row>
    <row r="11075">
      <c r="A11075" s="9"/>
      <c r="B11075" s="15"/>
      <c r="C11075" s="9">
        <f>IFERROR(__xludf.DUMMYFUNCTION("""COMPUTED_VALUE"""),45027.812514375)</f>
        <v>45027.81251</v>
      </c>
      <c r="D11075" s="15">
        <f>IFERROR(__xludf.DUMMYFUNCTION("""COMPUTED_VALUE"""),1.073)</f>
        <v>1.073</v>
      </c>
      <c r="E11075" s="16">
        <f>IFERROR(__xludf.DUMMYFUNCTION("""COMPUTED_VALUE"""),61.0)</f>
        <v>61</v>
      </c>
      <c r="F11075" s="19" t="str">
        <f>IFERROR(__xludf.DUMMYFUNCTION("""COMPUTED_VALUE"""),"BLUE")</f>
        <v>BLUE</v>
      </c>
      <c r="G11075" s="20" t="str">
        <f>IFERROR(__xludf.DUMMYFUNCTION("""COMPUTED_VALUE"""),"Uncle Sams Cider (04/04/2023)")</f>
        <v>Uncle Sams Cider (04/04/2023)</v>
      </c>
      <c r="H11075" s="19"/>
    </row>
    <row r="11076">
      <c r="A11076" s="9"/>
      <c r="B11076" s="15"/>
      <c r="C11076" s="9">
        <f>IFERROR(__xludf.DUMMYFUNCTION("""COMPUTED_VALUE"""),45027.8020684606)</f>
        <v>45027.80207</v>
      </c>
      <c r="D11076" s="15">
        <f>IFERROR(__xludf.DUMMYFUNCTION("""COMPUTED_VALUE"""),1.073)</f>
        <v>1.073</v>
      </c>
      <c r="E11076" s="16">
        <f>IFERROR(__xludf.DUMMYFUNCTION("""COMPUTED_VALUE"""),61.0)</f>
        <v>61</v>
      </c>
      <c r="F11076" s="19" t="str">
        <f>IFERROR(__xludf.DUMMYFUNCTION("""COMPUTED_VALUE"""),"BLUE")</f>
        <v>BLUE</v>
      </c>
      <c r="G11076" s="20" t="str">
        <f>IFERROR(__xludf.DUMMYFUNCTION("""COMPUTED_VALUE"""),"Uncle Sams Cider (04/04/2023)")</f>
        <v>Uncle Sams Cider (04/04/2023)</v>
      </c>
      <c r="H11076" s="19"/>
    </row>
    <row r="11077">
      <c r="A11077" s="9"/>
      <c r="B11077" s="15"/>
      <c r="C11077" s="9">
        <f>IFERROR(__xludf.DUMMYFUNCTION("""COMPUTED_VALUE"""),45027.7916456134)</f>
        <v>45027.79165</v>
      </c>
      <c r="D11077" s="15">
        <f>IFERROR(__xludf.DUMMYFUNCTION("""COMPUTED_VALUE"""),1.073)</f>
        <v>1.073</v>
      </c>
      <c r="E11077" s="16">
        <f>IFERROR(__xludf.DUMMYFUNCTION("""COMPUTED_VALUE"""),61.0)</f>
        <v>61</v>
      </c>
      <c r="F11077" s="19" t="str">
        <f>IFERROR(__xludf.DUMMYFUNCTION("""COMPUTED_VALUE"""),"BLUE")</f>
        <v>BLUE</v>
      </c>
      <c r="G11077" s="20" t="str">
        <f>IFERROR(__xludf.DUMMYFUNCTION("""COMPUTED_VALUE"""),"Uncle Sams Cider (04/04/2023)")</f>
        <v>Uncle Sams Cider (04/04/2023)</v>
      </c>
      <c r="H11077" s="19"/>
    </row>
    <row r="11078">
      <c r="A11078" s="9"/>
      <c r="B11078" s="15"/>
      <c r="C11078" s="9">
        <f>IFERROR(__xludf.DUMMYFUNCTION("""COMPUTED_VALUE"""),45027.7812231134)</f>
        <v>45027.78122</v>
      </c>
      <c r="D11078" s="15">
        <f>IFERROR(__xludf.DUMMYFUNCTION("""COMPUTED_VALUE"""),1.073)</f>
        <v>1.073</v>
      </c>
      <c r="E11078" s="16">
        <f>IFERROR(__xludf.DUMMYFUNCTION("""COMPUTED_VALUE"""),61.0)</f>
        <v>61</v>
      </c>
      <c r="F11078" s="19" t="str">
        <f>IFERROR(__xludf.DUMMYFUNCTION("""COMPUTED_VALUE"""),"BLUE")</f>
        <v>BLUE</v>
      </c>
      <c r="G11078" s="20" t="str">
        <f>IFERROR(__xludf.DUMMYFUNCTION("""COMPUTED_VALUE"""),"Uncle Sams Cider (04/04/2023)")</f>
        <v>Uncle Sams Cider (04/04/2023)</v>
      </c>
      <c r="H11078" s="19"/>
    </row>
    <row r="11079">
      <c r="A11079" s="9"/>
      <c r="B11079" s="15"/>
      <c r="C11079" s="9">
        <f>IFERROR(__xludf.DUMMYFUNCTION("""COMPUTED_VALUE"""),45027.7708027546)</f>
        <v>45027.7708</v>
      </c>
      <c r="D11079" s="15">
        <f>IFERROR(__xludf.DUMMYFUNCTION("""COMPUTED_VALUE"""),1.074)</f>
        <v>1.074</v>
      </c>
      <c r="E11079" s="16">
        <f>IFERROR(__xludf.DUMMYFUNCTION("""COMPUTED_VALUE"""),61.0)</f>
        <v>61</v>
      </c>
      <c r="F11079" s="19" t="str">
        <f>IFERROR(__xludf.DUMMYFUNCTION("""COMPUTED_VALUE"""),"BLUE")</f>
        <v>BLUE</v>
      </c>
      <c r="G11079" s="20" t="str">
        <f>IFERROR(__xludf.DUMMYFUNCTION("""COMPUTED_VALUE"""),"Uncle Sams Cider (04/04/2023)")</f>
        <v>Uncle Sams Cider (04/04/2023)</v>
      </c>
      <c r="H11079" s="19"/>
    </row>
    <row r="11080">
      <c r="A11080" s="9"/>
      <c r="B11080" s="15"/>
      <c r="C11080" s="9">
        <f>IFERROR(__xludf.DUMMYFUNCTION("""COMPUTED_VALUE"""),45027.7603818287)</f>
        <v>45027.76038</v>
      </c>
      <c r="D11080" s="15">
        <f>IFERROR(__xludf.DUMMYFUNCTION("""COMPUTED_VALUE"""),1.073)</f>
        <v>1.073</v>
      </c>
      <c r="E11080" s="16">
        <f>IFERROR(__xludf.DUMMYFUNCTION("""COMPUTED_VALUE"""),61.0)</f>
        <v>61</v>
      </c>
      <c r="F11080" s="19" t="str">
        <f>IFERROR(__xludf.DUMMYFUNCTION("""COMPUTED_VALUE"""),"BLUE")</f>
        <v>BLUE</v>
      </c>
      <c r="G11080" s="20" t="str">
        <f>IFERROR(__xludf.DUMMYFUNCTION("""COMPUTED_VALUE"""),"Uncle Sams Cider (04/04/2023)")</f>
        <v>Uncle Sams Cider (04/04/2023)</v>
      </c>
      <c r="H11080" s="19"/>
    </row>
    <row r="11081">
      <c r="A11081" s="9"/>
      <c r="B11081" s="15"/>
      <c r="C11081" s="9">
        <f>IFERROR(__xludf.DUMMYFUNCTION("""COMPUTED_VALUE"""),45027.749960787)</f>
        <v>45027.74996</v>
      </c>
      <c r="D11081" s="15">
        <f>IFERROR(__xludf.DUMMYFUNCTION("""COMPUTED_VALUE"""),1.073)</f>
        <v>1.073</v>
      </c>
      <c r="E11081" s="16">
        <f>IFERROR(__xludf.DUMMYFUNCTION("""COMPUTED_VALUE"""),61.0)</f>
        <v>61</v>
      </c>
      <c r="F11081" s="19" t="str">
        <f>IFERROR(__xludf.DUMMYFUNCTION("""COMPUTED_VALUE"""),"BLUE")</f>
        <v>BLUE</v>
      </c>
      <c r="G11081" s="20" t="str">
        <f>IFERROR(__xludf.DUMMYFUNCTION("""COMPUTED_VALUE"""),"Uncle Sams Cider (04/04/2023)")</f>
        <v>Uncle Sams Cider (04/04/2023)</v>
      </c>
      <c r="H11081" s="19"/>
    </row>
    <row r="11082">
      <c r="A11082" s="9"/>
      <c r="B11082" s="15"/>
      <c r="C11082" s="9">
        <f>IFERROR(__xludf.DUMMYFUNCTION("""COMPUTED_VALUE"""),45027.7395409606)</f>
        <v>45027.73954</v>
      </c>
      <c r="D11082" s="15">
        <f>IFERROR(__xludf.DUMMYFUNCTION("""COMPUTED_VALUE"""),1.073)</f>
        <v>1.073</v>
      </c>
      <c r="E11082" s="16">
        <f>IFERROR(__xludf.DUMMYFUNCTION("""COMPUTED_VALUE"""),61.0)</f>
        <v>61</v>
      </c>
      <c r="F11082" s="19" t="str">
        <f>IFERROR(__xludf.DUMMYFUNCTION("""COMPUTED_VALUE"""),"BLUE")</f>
        <v>BLUE</v>
      </c>
      <c r="G11082" s="20" t="str">
        <f>IFERROR(__xludf.DUMMYFUNCTION("""COMPUTED_VALUE"""),"Uncle Sams Cider (04/04/2023)")</f>
        <v>Uncle Sams Cider (04/04/2023)</v>
      </c>
      <c r="H11082" s="19"/>
    </row>
    <row r="11083">
      <c r="A11083" s="9"/>
      <c r="B11083" s="15"/>
      <c r="C11083" s="9">
        <f>IFERROR(__xludf.DUMMYFUNCTION("""COMPUTED_VALUE"""),45027.7291217708)</f>
        <v>45027.72912</v>
      </c>
      <c r="D11083" s="15">
        <f>IFERROR(__xludf.DUMMYFUNCTION("""COMPUTED_VALUE"""),1.074)</f>
        <v>1.074</v>
      </c>
      <c r="E11083" s="16">
        <f>IFERROR(__xludf.DUMMYFUNCTION("""COMPUTED_VALUE"""),61.0)</f>
        <v>61</v>
      </c>
      <c r="F11083" s="19" t="str">
        <f>IFERROR(__xludf.DUMMYFUNCTION("""COMPUTED_VALUE"""),"BLUE")</f>
        <v>BLUE</v>
      </c>
      <c r="G11083" s="20" t="str">
        <f>IFERROR(__xludf.DUMMYFUNCTION("""COMPUTED_VALUE"""),"Uncle Sams Cider (04/04/2023)")</f>
        <v>Uncle Sams Cider (04/04/2023)</v>
      </c>
      <c r="H11083" s="19"/>
    </row>
    <row r="11084">
      <c r="A11084" s="9"/>
      <c r="B11084" s="15"/>
      <c r="C11084" s="9">
        <f>IFERROR(__xludf.DUMMYFUNCTION("""COMPUTED_VALUE"""),45027.7187010879)</f>
        <v>45027.7187</v>
      </c>
      <c r="D11084" s="15">
        <f>IFERROR(__xludf.DUMMYFUNCTION("""COMPUTED_VALUE"""),1.073)</f>
        <v>1.073</v>
      </c>
      <c r="E11084" s="16">
        <f>IFERROR(__xludf.DUMMYFUNCTION("""COMPUTED_VALUE"""),61.0)</f>
        <v>61</v>
      </c>
      <c r="F11084" s="19" t="str">
        <f>IFERROR(__xludf.DUMMYFUNCTION("""COMPUTED_VALUE"""),"BLUE")</f>
        <v>BLUE</v>
      </c>
      <c r="G11084" s="20" t="str">
        <f>IFERROR(__xludf.DUMMYFUNCTION("""COMPUTED_VALUE"""),"Uncle Sams Cider (04/04/2023)")</f>
        <v>Uncle Sams Cider (04/04/2023)</v>
      </c>
      <c r="H11084" s="19"/>
    </row>
    <row r="11085">
      <c r="A11085" s="9"/>
      <c r="B11085" s="15"/>
      <c r="C11085" s="9">
        <f>IFERROR(__xludf.DUMMYFUNCTION("""COMPUTED_VALUE"""),45027.7082791203)</f>
        <v>45027.70828</v>
      </c>
      <c r="D11085" s="15">
        <f>IFERROR(__xludf.DUMMYFUNCTION("""COMPUTED_VALUE"""),1.073)</f>
        <v>1.073</v>
      </c>
      <c r="E11085" s="16">
        <f>IFERROR(__xludf.DUMMYFUNCTION("""COMPUTED_VALUE"""),61.0)</f>
        <v>61</v>
      </c>
      <c r="F11085" s="19" t="str">
        <f>IFERROR(__xludf.DUMMYFUNCTION("""COMPUTED_VALUE"""),"BLUE")</f>
        <v>BLUE</v>
      </c>
      <c r="G11085" s="20" t="str">
        <f>IFERROR(__xludf.DUMMYFUNCTION("""COMPUTED_VALUE"""),"Uncle Sams Cider (04/04/2023)")</f>
        <v>Uncle Sams Cider (04/04/2023)</v>
      </c>
      <c r="H11085" s="19"/>
    </row>
    <row r="11086">
      <c r="A11086" s="9"/>
      <c r="B11086" s="15"/>
      <c r="C11086" s="9">
        <f>IFERROR(__xludf.DUMMYFUNCTION("""COMPUTED_VALUE"""),45027.6978582638)</f>
        <v>45027.69786</v>
      </c>
      <c r="D11086" s="15">
        <f>IFERROR(__xludf.DUMMYFUNCTION("""COMPUTED_VALUE"""),1.074)</f>
        <v>1.074</v>
      </c>
      <c r="E11086" s="16">
        <f>IFERROR(__xludf.DUMMYFUNCTION("""COMPUTED_VALUE"""),61.0)</f>
        <v>61</v>
      </c>
      <c r="F11086" s="19" t="str">
        <f>IFERROR(__xludf.DUMMYFUNCTION("""COMPUTED_VALUE"""),"BLUE")</f>
        <v>BLUE</v>
      </c>
      <c r="G11086" s="20" t="str">
        <f>IFERROR(__xludf.DUMMYFUNCTION("""COMPUTED_VALUE"""),"Uncle Sams Cider (04/04/2023)")</f>
        <v>Uncle Sams Cider (04/04/2023)</v>
      </c>
      <c r="H11086" s="19"/>
    </row>
    <row r="11087">
      <c r="A11087" s="9"/>
      <c r="B11087" s="15"/>
      <c r="C11087" s="9">
        <f>IFERROR(__xludf.DUMMYFUNCTION("""COMPUTED_VALUE"""),45027.6874367476)</f>
        <v>45027.68744</v>
      </c>
      <c r="D11087" s="15">
        <f>IFERROR(__xludf.DUMMYFUNCTION("""COMPUTED_VALUE"""),1.074)</f>
        <v>1.074</v>
      </c>
      <c r="E11087" s="16">
        <f>IFERROR(__xludf.DUMMYFUNCTION("""COMPUTED_VALUE"""),61.0)</f>
        <v>61</v>
      </c>
      <c r="F11087" s="19" t="str">
        <f>IFERROR(__xludf.DUMMYFUNCTION("""COMPUTED_VALUE"""),"BLUE")</f>
        <v>BLUE</v>
      </c>
      <c r="G11087" s="20" t="str">
        <f>IFERROR(__xludf.DUMMYFUNCTION("""COMPUTED_VALUE"""),"Uncle Sams Cider (04/04/2023)")</f>
        <v>Uncle Sams Cider (04/04/2023)</v>
      </c>
      <c r="H11087" s="19"/>
    </row>
    <row r="11088">
      <c r="A11088" s="9"/>
      <c r="B11088" s="15"/>
      <c r="C11088" s="9">
        <f>IFERROR(__xludf.DUMMYFUNCTION("""COMPUTED_VALUE"""),45027.67700375)</f>
        <v>45027.677</v>
      </c>
      <c r="D11088" s="15">
        <f>IFERROR(__xludf.DUMMYFUNCTION("""COMPUTED_VALUE"""),1.074)</f>
        <v>1.074</v>
      </c>
      <c r="E11088" s="16">
        <f>IFERROR(__xludf.DUMMYFUNCTION("""COMPUTED_VALUE"""),61.0)</f>
        <v>61</v>
      </c>
      <c r="F11088" s="19" t="str">
        <f>IFERROR(__xludf.DUMMYFUNCTION("""COMPUTED_VALUE"""),"BLUE")</f>
        <v>BLUE</v>
      </c>
      <c r="G11088" s="20" t="str">
        <f>IFERROR(__xludf.DUMMYFUNCTION("""COMPUTED_VALUE"""),"Uncle Sams Cider (04/04/2023)")</f>
        <v>Uncle Sams Cider (04/04/2023)</v>
      </c>
      <c r="H11088" s="19"/>
    </row>
    <row r="11089">
      <c r="A11089" s="9"/>
      <c r="B11089" s="15"/>
      <c r="C11089" s="9">
        <f>IFERROR(__xludf.DUMMYFUNCTION("""COMPUTED_VALUE"""),45027.6665824768)</f>
        <v>45027.66658</v>
      </c>
      <c r="D11089" s="15">
        <f>IFERROR(__xludf.DUMMYFUNCTION("""COMPUTED_VALUE"""),1.074)</f>
        <v>1.074</v>
      </c>
      <c r="E11089" s="16">
        <f>IFERROR(__xludf.DUMMYFUNCTION("""COMPUTED_VALUE"""),61.0)</f>
        <v>61</v>
      </c>
      <c r="F11089" s="19" t="str">
        <f>IFERROR(__xludf.DUMMYFUNCTION("""COMPUTED_VALUE"""),"BLUE")</f>
        <v>BLUE</v>
      </c>
      <c r="G11089" s="20" t="str">
        <f>IFERROR(__xludf.DUMMYFUNCTION("""COMPUTED_VALUE"""),"Uncle Sams Cider (04/04/2023)")</f>
        <v>Uncle Sams Cider (04/04/2023)</v>
      </c>
      <c r="H11089" s="19"/>
    </row>
    <row r="11090">
      <c r="A11090" s="9"/>
      <c r="B11090" s="15"/>
      <c r="C11090" s="9">
        <f>IFERROR(__xludf.DUMMYFUNCTION("""COMPUTED_VALUE"""),45027.6561613425)</f>
        <v>45027.65616</v>
      </c>
      <c r="D11090" s="15">
        <f>IFERROR(__xludf.DUMMYFUNCTION("""COMPUTED_VALUE"""),1.074)</f>
        <v>1.074</v>
      </c>
      <c r="E11090" s="16">
        <f>IFERROR(__xludf.DUMMYFUNCTION("""COMPUTED_VALUE"""),61.0)</f>
        <v>61</v>
      </c>
      <c r="F11090" s="19" t="str">
        <f>IFERROR(__xludf.DUMMYFUNCTION("""COMPUTED_VALUE"""),"BLUE")</f>
        <v>BLUE</v>
      </c>
      <c r="G11090" s="20" t="str">
        <f>IFERROR(__xludf.DUMMYFUNCTION("""COMPUTED_VALUE"""),"Uncle Sams Cider (04/04/2023)")</f>
        <v>Uncle Sams Cider (04/04/2023)</v>
      </c>
      <c r="H11090" s="19"/>
    </row>
    <row r="11091">
      <c r="A11091" s="9"/>
      <c r="B11091" s="15"/>
      <c r="C11091" s="9">
        <f>IFERROR(__xludf.DUMMYFUNCTION("""COMPUTED_VALUE"""),45027.6457403703)</f>
        <v>45027.64574</v>
      </c>
      <c r="D11091" s="15">
        <f>IFERROR(__xludf.DUMMYFUNCTION("""COMPUTED_VALUE"""),1.074)</f>
        <v>1.074</v>
      </c>
      <c r="E11091" s="16">
        <f>IFERROR(__xludf.DUMMYFUNCTION("""COMPUTED_VALUE"""),61.0)</f>
        <v>61</v>
      </c>
      <c r="F11091" s="19" t="str">
        <f>IFERROR(__xludf.DUMMYFUNCTION("""COMPUTED_VALUE"""),"BLUE")</f>
        <v>BLUE</v>
      </c>
      <c r="G11091" s="20" t="str">
        <f>IFERROR(__xludf.DUMMYFUNCTION("""COMPUTED_VALUE"""),"Uncle Sams Cider (04/04/2023)")</f>
        <v>Uncle Sams Cider (04/04/2023)</v>
      </c>
      <c r="H11091" s="19"/>
    </row>
    <row r="11092">
      <c r="A11092" s="9"/>
      <c r="B11092" s="15"/>
      <c r="C11092" s="9">
        <f>IFERROR(__xludf.DUMMYFUNCTION("""COMPUTED_VALUE"""),45027.6353187037)</f>
        <v>45027.63532</v>
      </c>
      <c r="D11092" s="15">
        <f>IFERROR(__xludf.DUMMYFUNCTION("""COMPUTED_VALUE"""),1.074)</f>
        <v>1.074</v>
      </c>
      <c r="E11092" s="16">
        <f>IFERROR(__xludf.DUMMYFUNCTION("""COMPUTED_VALUE"""),61.0)</f>
        <v>61</v>
      </c>
      <c r="F11092" s="19" t="str">
        <f>IFERROR(__xludf.DUMMYFUNCTION("""COMPUTED_VALUE"""),"BLUE")</f>
        <v>BLUE</v>
      </c>
      <c r="G11092" s="20" t="str">
        <f>IFERROR(__xludf.DUMMYFUNCTION("""COMPUTED_VALUE"""),"Uncle Sams Cider (04/04/2023)")</f>
        <v>Uncle Sams Cider (04/04/2023)</v>
      </c>
      <c r="H11092" s="19"/>
    </row>
    <row r="11093">
      <c r="A11093" s="9"/>
      <c r="B11093" s="15"/>
      <c r="C11093" s="9">
        <f>IFERROR(__xludf.DUMMYFUNCTION("""COMPUTED_VALUE"""),45027.6248962847)</f>
        <v>45027.6249</v>
      </c>
      <c r="D11093" s="15">
        <f>IFERROR(__xludf.DUMMYFUNCTION("""COMPUTED_VALUE"""),1.074)</f>
        <v>1.074</v>
      </c>
      <c r="E11093" s="16">
        <f>IFERROR(__xludf.DUMMYFUNCTION("""COMPUTED_VALUE"""),61.0)</f>
        <v>61</v>
      </c>
      <c r="F11093" s="19" t="str">
        <f>IFERROR(__xludf.DUMMYFUNCTION("""COMPUTED_VALUE"""),"BLUE")</f>
        <v>BLUE</v>
      </c>
      <c r="G11093" s="20" t="str">
        <f>IFERROR(__xludf.DUMMYFUNCTION("""COMPUTED_VALUE"""),"Uncle Sams Cider (04/04/2023)")</f>
        <v>Uncle Sams Cider (04/04/2023)</v>
      </c>
      <c r="H11093" s="19"/>
    </row>
    <row r="11094">
      <c r="A11094" s="9"/>
      <c r="B11094" s="15"/>
      <c r="C11094" s="9">
        <f>IFERROR(__xludf.DUMMYFUNCTION("""COMPUTED_VALUE"""),45027.6144762615)</f>
        <v>45027.61448</v>
      </c>
      <c r="D11094" s="15">
        <f>IFERROR(__xludf.DUMMYFUNCTION("""COMPUTED_VALUE"""),1.074)</f>
        <v>1.074</v>
      </c>
      <c r="E11094" s="16">
        <f>IFERROR(__xludf.DUMMYFUNCTION("""COMPUTED_VALUE"""),61.0)</f>
        <v>61</v>
      </c>
      <c r="F11094" s="19" t="str">
        <f>IFERROR(__xludf.DUMMYFUNCTION("""COMPUTED_VALUE"""),"BLUE")</f>
        <v>BLUE</v>
      </c>
      <c r="G11094" s="20" t="str">
        <f>IFERROR(__xludf.DUMMYFUNCTION("""COMPUTED_VALUE"""),"Uncle Sams Cider (04/04/2023)")</f>
        <v>Uncle Sams Cider (04/04/2023)</v>
      </c>
      <c r="H11094" s="19"/>
    </row>
    <row r="11095">
      <c r="A11095" s="9"/>
      <c r="B11095" s="15"/>
      <c r="C11095" s="9">
        <f>IFERROR(__xludf.DUMMYFUNCTION("""COMPUTED_VALUE"""),45027.604055706)</f>
        <v>45027.60406</v>
      </c>
      <c r="D11095" s="15">
        <f>IFERROR(__xludf.DUMMYFUNCTION("""COMPUTED_VALUE"""),1.074)</f>
        <v>1.074</v>
      </c>
      <c r="E11095" s="16">
        <f>IFERROR(__xludf.DUMMYFUNCTION("""COMPUTED_VALUE"""),61.0)</f>
        <v>61</v>
      </c>
      <c r="F11095" s="19" t="str">
        <f>IFERROR(__xludf.DUMMYFUNCTION("""COMPUTED_VALUE"""),"BLUE")</f>
        <v>BLUE</v>
      </c>
      <c r="G11095" s="20" t="str">
        <f>IFERROR(__xludf.DUMMYFUNCTION("""COMPUTED_VALUE"""),"Uncle Sams Cider (04/04/2023)")</f>
        <v>Uncle Sams Cider (04/04/2023)</v>
      </c>
      <c r="H11095" s="19"/>
    </row>
    <row r="11096">
      <c r="A11096" s="9"/>
      <c r="B11096" s="15"/>
      <c r="C11096" s="9">
        <f>IFERROR(__xludf.DUMMYFUNCTION("""COMPUTED_VALUE"""),45027.5936103819)</f>
        <v>45027.59361</v>
      </c>
      <c r="D11096" s="15">
        <f>IFERROR(__xludf.DUMMYFUNCTION("""COMPUTED_VALUE"""),1.074)</f>
        <v>1.074</v>
      </c>
      <c r="E11096" s="16">
        <f>IFERROR(__xludf.DUMMYFUNCTION("""COMPUTED_VALUE"""),61.0)</f>
        <v>61</v>
      </c>
      <c r="F11096" s="19" t="str">
        <f>IFERROR(__xludf.DUMMYFUNCTION("""COMPUTED_VALUE"""),"BLUE")</f>
        <v>BLUE</v>
      </c>
      <c r="G11096" s="20" t="str">
        <f>IFERROR(__xludf.DUMMYFUNCTION("""COMPUTED_VALUE"""),"Uncle Sams Cider (04/04/2023)")</f>
        <v>Uncle Sams Cider (04/04/2023)</v>
      </c>
      <c r="H11096" s="19"/>
    </row>
    <row r="11097">
      <c r="A11097" s="9"/>
      <c r="B11097" s="15"/>
      <c r="C11097" s="9">
        <f>IFERROR(__xludf.DUMMYFUNCTION("""COMPUTED_VALUE"""),45027.5831897685)</f>
        <v>45027.58319</v>
      </c>
      <c r="D11097" s="15">
        <f>IFERROR(__xludf.DUMMYFUNCTION("""COMPUTED_VALUE"""),1.074)</f>
        <v>1.074</v>
      </c>
      <c r="E11097" s="16">
        <f>IFERROR(__xludf.DUMMYFUNCTION("""COMPUTED_VALUE"""),61.0)</f>
        <v>61</v>
      </c>
      <c r="F11097" s="19" t="str">
        <f>IFERROR(__xludf.DUMMYFUNCTION("""COMPUTED_VALUE"""),"BLUE")</f>
        <v>BLUE</v>
      </c>
      <c r="G11097" s="20" t="str">
        <f>IFERROR(__xludf.DUMMYFUNCTION("""COMPUTED_VALUE"""),"Uncle Sams Cider (04/04/2023)")</f>
        <v>Uncle Sams Cider (04/04/2023)</v>
      </c>
      <c r="H11097" s="19"/>
    </row>
    <row r="11098">
      <c r="A11098" s="9"/>
      <c r="B11098" s="15"/>
      <c r="C11098" s="9">
        <f>IFERROR(__xludf.DUMMYFUNCTION("""COMPUTED_VALUE"""),45027.5727587268)</f>
        <v>45027.57276</v>
      </c>
      <c r="D11098" s="15">
        <f>IFERROR(__xludf.DUMMYFUNCTION("""COMPUTED_VALUE"""),1.074)</f>
        <v>1.074</v>
      </c>
      <c r="E11098" s="16">
        <f>IFERROR(__xludf.DUMMYFUNCTION("""COMPUTED_VALUE"""),61.0)</f>
        <v>61</v>
      </c>
      <c r="F11098" s="19" t="str">
        <f>IFERROR(__xludf.DUMMYFUNCTION("""COMPUTED_VALUE"""),"BLUE")</f>
        <v>BLUE</v>
      </c>
      <c r="G11098" s="20" t="str">
        <f>IFERROR(__xludf.DUMMYFUNCTION("""COMPUTED_VALUE"""),"Uncle Sams Cider (04/04/2023)")</f>
        <v>Uncle Sams Cider (04/04/2023)</v>
      </c>
      <c r="H11098" s="19"/>
    </row>
    <row r="11099">
      <c r="A11099" s="9"/>
      <c r="B11099" s="15"/>
      <c r="C11099" s="9">
        <f>IFERROR(__xludf.DUMMYFUNCTION("""COMPUTED_VALUE"""),45027.5622893518)</f>
        <v>45027.56229</v>
      </c>
      <c r="D11099" s="15">
        <f>IFERROR(__xludf.DUMMYFUNCTION("""COMPUTED_VALUE"""),1.074)</f>
        <v>1.074</v>
      </c>
      <c r="E11099" s="16">
        <f>IFERROR(__xludf.DUMMYFUNCTION("""COMPUTED_VALUE"""),61.0)</f>
        <v>61</v>
      </c>
      <c r="F11099" s="19" t="str">
        <f>IFERROR(__xludf.DUMMYFUNCTION("""COMPUTED_VALUE"""),"BLUE")</f>
        <v>BLUE</v>
      </c>
      <c r="G11099" s="20" t="str">
        <f>IFERROR(__xludf.DUMMYFUNCTION("""COMPUTED_VALUE"""),"Uncle Sams Cider (04/04/2023)")</f>
        <v>Uncle Sams Cider (04/04/2023)</v>
      </c>
      <c r="H11099" s="19"/>
    </row>
    <row r="11100">
      <c r="A11100" s="9"/>
      <c r="B11100" s="15"/>
      <c r="C11100" s="9">
        <f>IFERROR(__xludf.DUMMYFUNCTION("""COMPUTED_VALUE"""),45027.5518678819)</f>
        <v>45027.55187</v>
      </c>
      <c r="D11100" s="15">
        <f>IFERROR(__xludf.DUMMYFUNCTION("""COMPUTED_VALUE"""),1.074)</f>
        <v>1.074</v>
      </c>
      <c r="E11100" s="16">
        <f>IFERROR(__xludf.DUMMYFUNCTION("""COMPUTED_VALUE"""),61.0)</f>
        <v>61</v>
      </c>
      <c r="F11100" s="19" t="str">
        <f>IFERROR(__xludf.DUMMYFUNCTION("""COMPUTED_VALUE"""),"BLUE")</f>
        <v>BLUE</v>
      </c>
      <c r="G11100" s="20" t="str">
        <f>IFERROR(__xludf.DUMMYFUNCTION("""COMPUTED_VALUE"""),"Uncle Sams Cider (04/04/2023)")</f>
        <v>Uncle Sams Cider (04/04/2023)</v>
      </c>
      <c r="H11100" s="19"/>
    </row>
    <row r="11101">
      <c r="A11101" s="9"/>
      <c r="B11101" s="15"/>
      <c r="C11101" s="9">
        <f>IFERROR(__xludf.DUMMYFUNCTION("""COMPUTED_VALUE"""),45027.5414466088)</f>
        <v>45027.54145</v>
      </c>
      <c r="D11101" s="15">
        <f>IFERROR(__xludf.DUMMYFUNCTION("""COMPUTED_VALUE"""),1.074)</f>
        <v>1.074</v>
      </c>
      <c r="E11101" s="16">
        <f>IFERROR(__xludf.DUMMYFUNCTION("""COMPUTED_VALUE"""),61.0)</f>
        <v>61</v>
      </c>
      <c r="F11101" s="19" t="str">
        <f>IFERROR(__xludf.DUMMYFUNCTION("""COMPUTED_VALUE"""),"BLUE")</f>
        <v>BLUE</v>
      </c>
      <c r="G11101" s="20" t="str">
        <f>IFERROR(__xludf.DUMMYFUNCTION("""COMPUTED_VALUE"""),"Uncle Sams Cider (04/04/2023)")</f>
        <v>Uncle Sams Cider (04/04/2023)</v>
      </c>
      <c r="H11101" s="19"/>
    </row>
    <row r="11102">
      <c r="A11102" s="9"/>
      <c r="B11102" s="15"/>
      <c r="C11102" s="9">
        <f>IFERROR(__xludf.DUMMYFUNCTION("""COMPUTED_VALUE"""),45027.5310238541)</f>
        <v>45027.53102</v>
      </c>
      <c r="D11102" s="15">
        <f>IFERROR(__xludf.DUMMYFUNCTION("""COMPUTED_VALUE"""),1.074)</f>
        <v>1.074</v>
      </c>
      <c r="E11102" s="16">
        <f>IFERROR(__xludf.DUMMYFUNCTION("""COMPUTED_VALUE"""),61.0)</f>
        <v>61</v>
      </c>
      <c r="F11102" s="19" t="str">
        <f>IFERROR(__xludf.DUMMYFUNCTION("""COMPUTED_VALUE"""),"BLUE")</f>
        <v>BLUE</v>
      </c>
      <c r="G11102" s="20" t="str">
        <f>IFERROR(__xludf.DUMMYFUNCTION("""COMPUTED_VALUE"""),"Uncle Sams Cider (04/04/2023)")</f>
        <v>Uncle Sams Cider (04/04/2023)</v>
      </c>
      <c r="H11102" s="19"/>
    </row>
    <row r="11103">
      <c r="A11103" s="9"/>
      <c r="B11103" s="15"/>
      <c r="C11103" s="9">
        <f>IFERROR(__xludf.DUMMYFUNCTION("""COMPUTED_VALUE"""),45027.5206030439)</f>
        <v>45027.5206</v>
      </c>
      <c r="D11103" s="15">
        <f>IFERROR(__xludf.DUMMYFUNCTION("""COMPUTED_VALUE"""),1.074)</f>
        <v>1.074</v>
      </c>
      <c r="E11103" s="16">
        <f>IFERROR(__xludf.DUMMYFUNCTION("""COMPUTED_VALUE"""),61.0)</f>
        <v>61</v>
      </c>
      <c r="F11103" s="19" t="str">
        <f>IFERROR(__xludf.DUMMYFUNCTION("""COMPUTED_VALUE"""),"BLUE")</f>
        <v>BLUE</v>
      </c>
      <c r="G11103" s="20" t="str">
        <f>IFERROR(__xludf.DUMMYFUNCTION("""COMPUTED_VALUE"""),"Uncle Sams Cider (04/04/2023)")</f>
        <v>Uncle Sams Cider (04/04/2023)</v>
      </c>
      <c r="H11103" s="19"/>
    </row>
    <row r="11104">
      <c r="A11104" s="9"/>
      <c r="B11104" s="15"/>
      <c r="C11104" s="9">
        <f>IFERROR(__xludf.DUMMYFUNCTION("""COMPUTED_VALUE"""),45027.5101823726)</f>
        <v>45027.51018</v>
      </c>
      <c r="D11104" s="15">
        <f>IFERROR(__xludf.DUMMYFUNCTION("""COMPUTED_VALUE"""),1.074)</f>
        <v>1.074</v>
      </c>
      <c r="E11104" s="16">
        <f>IFERROR(__xludf.DUMMYFUNCTION("""COMPUTED_VALUE"""),61.0)</f>
        <v>61</v>
      </c>
      <c r="F11104" s="19" t="str">
        <f>IFERROR(__xludf.DUMMYFUNCTION("""COMPUTED_VALUE"""),"BLUE")</f>
        <v>BLUE</v>
      </c>
      <c r="G11104" s="20" t="str">
        <f>IFERROR(__xludf.DUMMYFUNCTION("""COMPUTED_VALUE"""),"Uncle Sams Cider (04/04/2023)")</f>
        <v>Uncle Sams Cider (04/04/2023)</v>
      </c>
      <c r="H11104" s="19"/>
    </row>
    <row r="11105">
      <c r="A11105" s="9"/>
      <c r="B11105" s="15"/>
      <c r="C11105" s="9">
        <f>IFERROR(__xludf.DUMMYFUNCTION("""COMPUTED_VALUE"""),45027.4997627199)</f>
        <v>45027.49976</v>
      </c>
      <c r="D11105" s="15">
        <f>IFERROR(__xludf.DUMMYFUNCTION("""COMPUTED_VALUE"""),1.075)</f>
        <v>1.075</v>
      </c>
      <c r="E11105" s="16">
        <f>IFERROR(__xludf.DUMMYFUNCTION("""COMPUTED_VALUE"""),61.0)</f>
        <v>61</v>
      </c>
      <c r="F11105" s="19" t="str">
        <f>IFERROR(__xludf.DUMMYFUNCTION("""COMPUTED_VALUE"""),"BLUE")</f>
        <v>BLUE</v>
      </c>
      <c r="G11105" s="20" t="str">
        <f>IFERROR(__xludf.DUMMYFUNCTION("""COMPUTED_VALUE"""),"Uncle Sams Cider (04/04/2023)")</f>
        <v>Uncle Sams Cider (04/04/2023)</v>
      </c>
      <c r="H11105" s="19"/>
    </row>
    <row r="11106">
      <c r="A11106" s="9"/>
      <c r="B11106" s="15"/>
      <c r="C11106" s="9">
        <f>IFERROR(__xludf.DUMMYFUNCTION("""COMPUTED_VALUE"""),45027.4893407291)</f>
        <v>45027.48934</v>
      </c>
      <c r="D11106" s="15">
        <f>IFERROR(__xludf.DUMMYFUNCTION("""COMPUTED_VALUE"""),1.074)</f>
        <v>1.074</v>
      </c>
      <c r="E11106" s="16">
        <f>IFERROR(__xludf.DUMMYFUNCTION("""COMPUTED_VALUE"""),61.0)</f>
        <v>61</v>
      </c>
      <c r="F11106" s="19" t="str">
        <f>IFERROR(__xludf.DUMMYFUNCTION("""COMPUTED_VALUE"""),"BLUE")</f>
        <v>BLUE</v>
      </c>
      <c r="G11106" s="20" t="str">
        <f>IFERROR(__xludf.DUMMYFUNCTION("""COMPUTED_VALUE"""),"Uncle Sams Cider (04/04/2023)")</f>
        <v>Uncle Sams Cider (04/04/2023)</v>
      </c>
      <c r="H11106" s="19"/>
    </row>
    <row r="11107">
      <c r="A11107" s="9"/>
      <c r="B11107" s="15"/>
      <c r="C11107" s="9">
        <f>IFERROR(__xludf.DUMMYFUNCTION("""COMPUTED_VALUE"""),45027.4789074768)</f>
        <v>45027.47891</v>
      </c>
      <c r="D11107" s="15">
        <f>IFERROR(__xludf.DUMMYFUNCTION("""COMPUTED_VALUE"""),1.074)</f>
        <v>1.074</v>
      </c>
      <c r="E11107" s="16">
        <f>IFERROR(__xludf.DUMMYFUNCTION("""COMPUTED_VALUE"""),61.0)</f>
        <v>61</v>
      </c>
      <c r="F11107" s="19" t="str">
        <f>IFERROR(__xludf.DUMMYFUNCTION("""COMPUTED_VALUE"""),"BLUE")</f>
        <v>BLUE</v>
      </c>
      <c r="G11107" s="20" t="str">
        <f>IFERROR(__xludf.DUMMYFUNCTION("""COMPUTED_VALUE"""),"Uncle Sams Cider (04/04/2023)")</f>
        <v>Uncle Sams Cider (04/04/2023)</v>
      </c>
      <c r="H11107" s="19"/>
    </row>
    <row r="11108">
      <c r="A11108" s="9"/>
      <c r="B11108" s="15"/>
      <c r="C11108" s="9">
        <f>IFERROR(__xludf.DUMMYFUNCTION("""COMPUTED_VALUE"""),45027.4684753588)</f>
        <v>45027.46848</v>
      </c>
      <c r="D11108" s="15">
        <f>IFERROR(__xludf.DUMMYFUNCTION("""COMPUTED_VALUE"""),1.075)</f>
        <v>1.075</v>
      </c>
      <c r="E11108" s="16">
        <f>IFERROR(__xludf.DUMMYFUNCTION("""COMPUTED_VALUE"""),61.0)</f>
        <v>61</v>
      </c>
      <c r="F11108" s="19" t="str">
        <f>IFERROR(__xludf.DUMMYFUNCTION("""COMPUTED_VALUE"""),"BLUE")</f>
        <v>BLUE</v>
      </c>
      <c r="G11108" s="20" t="str">
        <f>IFERROR(__xludf.DUMMYFUNCTION("""COMPUTED_VALUE"""),"Uncle Sams Cider (04/04/2023)")</f>
        <v>Uncle Sams Cider (04/04/2023)</v>
      </c>
      <c r="H11108" s="19"/>
    </row>
    <row r="11109">
      <c r="A11109" s="9"/>
      <c r="B11109" s="15"/>
      <c r="C11109" s="9">
        <f>IFERROR(__xludf.DUMMYFUNCTION("""COMPUTED_VALUE"""),45027.458053125)</f>
        <v>45027.45805</v>
      </c>
      <c r="D11109" s="15">
        <f>IFERROR(__xludf.DUMMYFUNCTION("""COMPUTED_VALUE"""),1.075)</f>
        <v>1.075</v>
      </c>
      <c r="E11109" s="16">
        <f>IFERROR(__xludf.DUMMYFUNCTION("""COMPUTED_VALUE"""),61.0)</f>
        <v>61</v>
      </c>
      <c r="F11109" s="19" t="str">
        <f>IFERROR(__xludf.DUMMYFUNCTION("""COMPUTED_VALUE"""),"BLUE")</f>
        <v>BLUE</v>
      </c>
      <c r="G11109" s="20" t="str">
        <f>IFERROR(__xludf.DUMMYFUNCTION("""COMPUTED_VALUE"""),"Uncle Sams Cider (04/04/2023)")</f>
        <v>Uncle Sams Cider (04/04/2023)</v>
      </c>
      <c r="H11109" s="19"/>
    </row>
    <row r="11110">
      <c r="A11110" s="9"/>
      <c r="B11110" s="15"/>
      <c r="C11110" s="9">
        <f>IFERROR(__xludf.DUMMYFUNCTION("""COMPUTED_VALUE"""),45027.447631493)</f>
        <v>45027.44763</v>
      </c>
      <c r="D11110" s="15">
        <f>IFERROR(__xludf.DUMMYFUNCTION("""COMPUTED_VALUE"""),1.075)</f>
        <v>1.075</v>
      </c>
      <c r="E11110" s="16">
        <f>IFERROR(__xludf.DUMMYFUNCTION("""COMPUTED_VALUE"""),61.0)</f>
        <v>61</v>
      </c>
      <c r="F11110" s="19" t="str">
        <f>IFERROR(__xludf.DUMMYFUNCTION("""COMPUTED_VALUE"""),"BLUE")</f>
        <v>BLUE</v>
      </c>
      <c r="G11110" s="20" t="str">
        <f>IFERROR(__xludf.DUMMYFUNCTION("""COMPUTED_VALUE"""),"Uncle Sams Cider (04/04/2023)")</f>
        <v>Uncle Sams Cider (04/04/2023)</v>
      </c>
      <c r="H11110" s="19"/>
    </row>
    <row r="11111">
      <c r="A11111" s="9"/>
      <c r="B11111" s="15"/>
      <c r="C11111" s="9">
        <f>IFERROR(__xludf.DUMMYFUNCTION("""COMPUTED_VALUE"""),45027.4372105208)</f>
        <v>45027.43721</v>
      </c>
      <c r="D11111" s="15">
        <f>IFERROR(__xludf.DUMMYFUNCTION("""COMPUTED_VALUE"""),1.075)</f>
        <v>1.075</v>
      </c>
      <c r="E11111" s="16">
        <f>IFERROR(__xludf.DUMMYFUNCTION("""COMPUTED_VALUE"""),61.0)</f>
        <v>61</v>
      </c>
      <c r="F11111" s="19" t="str">
        <f>IFERROR(__xludf.DUMMYFUNCTION("""COMPUTED_VALUE"""),"BLUE")</f>
        <v>BLUE</v>
      </c>
      <c r="G11111" s="20" t="str">
        <f>IFERROR(__xludf.DUMMYFUNCTION("""COMPUTED_VALUE"""),"Uncle Sams Cider (04/04/2023)")</f>
        <v>Uncle Sams Cider (04/04/2023)</v>
      </c>
      <c r="H11111" s="19"/>
    </row>
    <row r="11112">
      <c r="A11112" s="9"/>
      <c r="B11112" s="15"/>
      <c r="C11112" s="9">
        <f>IFERROR(__xludf.DUMMYFUNCTION("""COMPUTED_VALUE"""),45027.4267875463)</f>
        <v>45027.42679</v>
      </c>
      <c r="D11112" s="15">
        <f>IFERROR(__xludf.DUMMYFUNCTION("""COMPUTED_VALUE"""),1.075)</f>
        <v>1.075</v>
      </c>
      <c r="E11112" s="16">
        <f>IFERROR(__xludf.DUMMYFUNCTION("""COMPUTED_VALUE"""),61.0)</f>
        <v>61</v>
      </c>
      <c r="F11112" s="19" t="str">
        <f>IFERROR(__xludf.DUMMYFUNCTION("""COMPUTED_VALUE"""),"BLUE")</f>
        <v>BLUE</v>
      </c>
      <c r="G11112" s="20" t="str">
        <f>IFERROR(__xludf.DUMMYFUNCTION("""COMPUTED_VALUE"""),"Uncle Sams Cider (04/04/2023)")</f>
        <v>Uncle Sams Cider (04/04/2023)</v>
      </c>
      <c r="H11112" s="19"/>
    </row>
    <row r="11113">
      <c r="A11113" s="9"/>
      <c r="B11113" s="15"/>
      <c r="C11113" s="9">
        <f>IFERROR(__xludf.DUMMYFUNCTION("""COMPUTED_VALUE"""),45027.4163660995)</f>
        <v>45027.41637</v>
      </c>
      <c r="D11113" s="15">
        <f>IFERROR(__xludf.DUMMYFUNCTION("""COMPUTED_VALUE"""),1.075)</f>
        <v>1.075</v>
      </c>
      <c r="E11113" s="16">
        <f>IFERROR(__xludf.DUMMYFUNCTION("""COMPUTED_VALUE"""),61.0)</f>
        <v>61</v>
      </c>
      <c r="F11113" s="19" t="str">
        <f>IFERROR(__xludf.DUMMYFUNCTION("""COMPUTED_VALUE"""),"BLUE")</f>
        <v>BLUE</v>
      </c>
      <c r="G11113" s="20" t="str">
        <f>IFERROR(__xludf.DUMMYFUNCTION("""COMPUTED_VALUE"""),"Uncle Sams Cider (04/04/2023)")</f>
        <v>Uncle Sams Cider (04/04/2023)</v>
      </c>
      <c r="H11113" s="19"/>
    </row>
    <row r="11114">
      <c r="A11114" s="9"/>
      <c r="B11114" s="15"/>
      <c r="C11114" s="9">
        <f>IFERROR(__xludf.DUMMYFUNCTION("""COMPUTED_VALUE"""),45027.4059334953)</f>
        <v>45027.40593</v>
      </c>
      <c r="D11114" s="15">
        <f>IFERROR(__xludf.DUMMYFUNCTION("""COMPUTED_VALUE"""),1.075)</f>
        <v>1.075</v>
      </c>
      <c r="E11114" s="16">
        <f>IFERROR(__xludf.DUMMYFUNCTION("""COMPUTED_VALUE"""),61.0)</f>
        <v>61</v>
      </c>
      <c r="F11114" s="19" t="str">
        <f>IFERROR(__xludf.DUMMYFUNCTION("""COMPUTED_VALUE"""),"BLUE")</f>
        <v>BLUE</v>
      </c>
      <c r="G11114" s="20" t="str">
        <f>IFERROR(__xludf.DUMMYFUNCTION("""COMPUTED_VALUE"""),"Uncle Sams Cider (04/04/2023)")</f>
        <v>Uncle Sams Cider (04/04/2023)</v>
      </c>
      <c r="H11114" s="19"/>
    </row>
    <row r="11115">
      <c r="A11115" s="9"/>
      <c r="B11115" s="15"/>
      <c r="C11115" s="9">
        <f>IFERROR(__xludf.DUMMYFUNCTION("""COMPUTED_VALUE"""),45027.3955114351)</f>
        <v>45027.39551</v>
      </c>
      <c r="D11115" s="15">
        <f>IFERROR(__xludf.DUMMYFUNCTION("""COMPUTED_VALUE"""),1.075)</f>
        <v>1.075</v>
      </c>
      <c r="E11115" s="16">
        <f>IFERROR(__xludf.DUMMYFUNCTION("""COMPUTED_VALUE"""),61.0)</f>
        <v>61</v>
      </c>
      <c r="F11115" s="19" t="str">
        <f>IFERROR(__xludf.DUMMYFUNCTION("""COMPUTED_VALUE"""),"BLUE")</f>
        <v>BLUE</v>
      </c>
      <c r="G11115" s="20" t="str">
        <f>IFERROR(__xludf.DUMMYFUNCTION("""COMPUTED_VALUE"""),"Uncle Sams Cider (04/04/2023)")</f>
        <v>Uncle Sams Cider (04/04/2023)</v>
      </c>
      <c r="H11115" s="19"/>
    </row>
    <row r="11116">
      <c r="A11116" s="9"/>
      <c r="B11116" s="15"/>
      <c r="C11116" s="9">
        <f>IFERROR(__xludf.DUMMYFUNCTION("""COMPUTED_VALUE"""),45027.3850771064)</f>
        <v>45027.38508</v>
      </c>
      <c r="D11116" s="15">
        <f>IFERROR(__xludf.DUMMYFUNCTION("""COMPUTED_VALUE"""),1.075)</f>
        <v>1.075</v>
      </c>
      <c r="E11116" s="16">
        <f>IFERROR(__xludf.DUMMYFUNCTION("""COMPUTED_VALUE"""),61.0)</f>
        <v>61</v>
      </c>
      <c r="F11116" s="19" t="str">
        <f>IFERROR(__xludf.DUMMYFUNCTION("""COMPUTED_VALUE"""),"BLUE")</f>
        <v>BLUE</v>
      </c>
      <c r="G11116" s="20" t="str">
        <f>IFERROR(__xludf.DUMMYFUNCTION("""COMPUTED_VALUE"""),"Uncle Sams Cider (04/04/2023)")</f>
        <v>Uncle Sams Cider (04/04/2023)</v>
      </c>
      <c r="H11116" s="19"/>
    </row>
    <row r="11117">
      <c r="A11117" s="9"/>
      <c r="B11117" s="15"/>
      <c r="C11117" s="9">
        <f>IFERROR(__xludf.DUMMYFUNCTION("""COMPUTED_VALUE"""),45027.3746551157)</f>
        <v>45027.37466</v>
      </c>
      <c r="D11117" s="15">
        <f>IFERROR(__xludf.DUMMYFUNCTION("""COMPUTED_VALUE"""),1.075)</f>
        <v>1.075</v>
      </c>
      <c r="E11117" s="16">
        <f>IFERROR(__xludf.DUMMYFUNCTION("""COMPUTED_VALUE"""),61.0)</f>
        <v>61</v>
      </c>
      <c r="F11117" s="19" t="str">
        <f>IFERROR(__xludf.DUMMYFUNCTION("""COMPUTED_VALUE"""),"BLUE")</f>
        <v>BLUE</v>
      </c>
      <c r="G11117" s="20" t="str">
        <f>IFERROR(__xludf.DUMMYFUNCTION("""COMPUTED_VALUE"""),"Uncle Sams Cider (04/04/2023)")</f>
        <v>Uncle Sams Cider (04/04/2023)</v>
      </c>
      <c r="H11117" s="19"/>
    </row>
    <row r="11118">
      <c r="A11118" s="9"/>
      <c r="B11118" s="15"/>
      <c r="C11118" s="9">
        <f>IFERROR(__xludf.DUMMYFUNCTION("""COMPUTED_VALUE"""),45027.3642347569)</f>
        <v>45027.36423</v>
      </c>
      <c r="D11118" s="15">
        <f>IFERROR(__xludf.DUMMYFUNCTION("""COMPUTED_VALUE"""),1.075)</f>
        <v>1.075</v>
      </c>
      <c r="E11118" s="16">
        <f>IFERROR(__xludf.DUMMYFUNCTION("""COMPUTED_VALUE"""),61.0)</f>
        <v>61</v>
      </c>
      <c r="F11118" s="19" t="str">
        <f>IFERROR(__xludf.DUMMYFUNCTION("""COMPUTED_VALUE"""),"BLUE")</f>
        <v>BLUE</v>
      </c>
      <c r="G11118" s="20" t="str">
        <f>IFERROR(__xludf.DUMMYFUNCTION("""COMPUTED_VALUE"""),"Uncle Sams Cider (04/04/2023)")</f>
        <v>Uncle Sams Cider (04/04/2023)</v>
      </c>
      <c r="H11118" s="19"/>
    </row>
    <row r="11119">
      <c r="A11119" s="9"/>
      <c r="B11119" s="15"/>
      <c r="C11119" s="9">
        <f>IFERROR(__xludf.DUMMYFUNCTION("""COMPUTED_VALUE"""),45027.3537894907)</f>
        <v>45027.35379</v>
      </c>
      <c r="D11119" s="15">
        <f>IFERROR(__xludf.DUMMYFUNCTION("""COMPUTED_VALUE"""),1.075)</f>
        <v>1.075</v>
      </c>
      <c r="E11119" s="16">
        <f>IFERROR(__xludf.DUMMYFUNCTION("""COMPUTED_VALUE"""),61.0)</f>
        <v>61</v>
      </c>
      <c r="F11119" s="19" t="str">
        <f>IFERROR(__xludf.DUMMYFUNCTION("""COMPUTED_VALUE"""),"BLUE")</f>
        <v>BLUE</v>
      </c>
      <c r="G11119" s="20" t="str">
        <f>IFERROR(__xludf.DUMMYFUNCTION("""COMPUTED_VALUE"""),"Uncle Sams Cider (04/04/2023)")</f>
        <v>Uncle Sams Cider (04/04/2023)</v>
      </c>
      <c r="H11119" s="19"/>
    </row>
    <row r="11120">
      <c r="A11120" s="9"/>
      <c r="B11120" s="15"/>
      <c r="C11120" s="9">
        <f>IFERROR(__xludf.DUMMYFUNCTION("""COMPUTED_VALUE"""),45027.343368368)</f>
        <v>45027.34337</v>
      </c>
      <c r="D11120" s="15">
        <f>IFERROR(__xludf.DUMMYFUNCTION("""COMPUTED_VALUE"""),1.075)</f>
        <v>1.075</v>
      </c>
      <c r="E11120" s="16">
        <f>IFERROR(__xludf.DUMMYFUNCTION("""COMPUTED_VALUE"""),61.0)</f>
        <v>61</v>
      </c>
      <c r="F11120" s="19" t="str">
        <f>IFERROR(__xludf.DUMMYFUNCTION("""COMPUTED_VALUE"""),"BLUE")</f>
        <v>BLUE</v>
      </c>
      <c r="G11120" s="20" t="str">
        <f>IFERROR(__xludf.DUMMYFUNCTION("""COMPUTED_VALUE"""),"Uncle Sams Cider (04/04/2023)")</f>
        <v>Uncle Sams Cider (04/04/2023)</v>
      </c>
      <c r="H11120" s="19"/>
    </row>
    <row r="11121">
      <c r="A11121" s="9"/>
      <c r="B11121" s="15"/>
      <c r="C11121" s="9">
        <f>IFERROR(__xludf.DUMMYFUNCTION("""COMPUTED_VALUE"""),45027.3329475231)</f>
        <v>45027.33295</v>
      </c>
      <c r="D11121" s="15">
        <f>IFERROR(__xludf.DUMMYFUNCTION("""COMPUTED_VALUE"""),1.075)</f>
        <v>1.075</v>
      </c>
      <c r="E11121" s="16">
        <f>IFERROR(__xludf.DUMMYFUNCTION("""COMPUTED_VALUE"""),61.0)</f>
        <v>61</v>
      </c>
      <c r="F11121" s="19" t="str">
        <f>IFERROR(__xludf.DUMMYFUNCTION("""COMPUTED_VALUE"""),"BLUE")</f>
        <v>BLUE</v>
      </c>
      <c r="G11121" s="20" t="str">
        <f>IFERROR(__xludf.DUMMYFUNCTION("""COMPUTED_VALUE"""),"Uncle Sams Cider (04/04/2023)")</f>
        <v>Uncle Sams Cider (04/04/2023)</v>
      </c>
      <c r="H11121" s="19"/>
    </row>
    <row r="11122">
      <c r="A11122" s="9"/>
      <c r="B11122" s="15"/>
      <c r="C11122" s="9">
        <f>IFERROR(__xludf.DUMMYFUNCTION("""COMPUTED_VALUE"""),45027.3225271875)</f>
        <v>45027.32253</v>
      </c>
      <c r="D11122" s="15">
        <f>IFERROR(__xludf.DUMMYFUNCTION("""COMPUTED_VALUE"""),1.075)</f>
        <v>1.075</v>
      </c>
      <c r="E11122" s="16">
        <f>IFERROR(__xludf.DUMMYFUNCTION("""COMPUTED_VALUE"""),61.0)</f>
        <v>61</v>
      </c>
      <c r="F11122" s="19" t="str">
        <f>IFERROR(__xludf.DUMMYFUNCTION("""COMPUTED_VALUE"""),"BLUE")</f>
        <v>BLUE</v>
      </c>
      <c r="G11122" s="20" t="str">
        <f>IFERROR(__xludf.DUMMYFUNCTION("""COMPUTED_VALUE"""),"Uncle Sams Cider (04/04/2023)")</f>
        <v>Uncle Sams Cider (04/04/2023)</v>
      </c>
      <c r="H11122" s="19"/>
    </row>
    <row r="11123">
      <c r="A11123" s="9"/>
      <c r="B11123" s="15"/>
      <c r="C11123" s="9">
        <f>IFERROR(__xludf.DUMMYFUNCTION("""COMPUTED_VALUE"""),45027.3121059953)</f>
        <v>45027.31211</v>
      </c>
      <c r="D11123" s="15">
        <f>IFERROR(__xludf.DUMMYFUNCTION("""COMPUTED_VALUE"""),1.075)</f>
        <v>1.075</v>
      </c>
      <c r="E11123" s="16">
        <f>IFERROR(__xludf.DUMMYFUNCTION("""COMPUTED_VALUE"""),61.0)</f>
        <v>61</v>
      </c>
      <c r="F11123" s="19" t="str">
        <f>IFERROR(__xludf.DUMMYFUNCTION("""COMPUTED_VALUE"""),"BLUE")</f>
        <v>BLUE</v>
      </c>
      <c r="G11123" s="20" t="str">
        <f>IFERROR(__xludf.DUMMYFUNCTION("""COMPUTED_VALUE"""),"Uncle Sams Cider (04/04/2023)")</f>
        <v>Uncle Sams Cider (04/04/2023)</v>
      </c>
      <c r="H11123" s="19"/>
    </row>
    <row r="11124">
      <c r="A11124" s="9"/>
      <c r="B11124" s="15"/>
      <c r="C11124" s="9">
        <f>IFERROR(__xludf.DUMMYFUNCTION("""COMPUTED_VALUE"""),45027.3016740509)</f>
        <v>45027.30167</v>
      </c>
      <c r="D11124" s="15">
        <f>IFERROR(__xludf.DUMMYFUNCTION("""COMPUTED_VALUE"""),1.075)</f>
        <v>1.075</v>
      </c>
      <c r="E11124" s="16">
        <f>IFERROR(__xludf.DUMMYFUNCTION("""COMPUTED_VALUE"""),61.0)</f>
        <v>61</v>
      </c>
      <c r="F11124" s="19" t="str">
        <f>IFERROR(__xludf.DUMMYFUNCTION("""COMPUTED_VALUE"""),"BLUE")</f>
        <v>BLUE</v>
      </c>
      <c r="G11124" s="20" t="str">
        <f>IFERROR(__xludf.DUMMYFUNCTION("""COMPUTED_VALUE"""),"Uncle Sams Cider (04/04/2023)")</f>
        <v>Uncle Sams Cider (04/04/2023)</v>
      </c>
      <c r="H11124" s="19"/>
    </row>
    <row r="11125">
      <c r="A11125" s="9"/>
      <c r="B11125" s="15"/>
      <c r="C11125" s="9">
        <f>IFERROR(__xludf.DUMMYFUNCTION("""COMPUTED_VALUE"""),45027.2912302314)</f>
        <v>45027.29123</v>
      </c>
      <c r="D11125" s="15">
        <f>IFERROR(__xludf.DUMMYFUNCTION("""COMPUTED_VALUE"""),1.075)</f>
        <v>1.075</v>
      </c>
      <c r="E11125" s="16">
        <f>IFERROR(__xludf.DUMMYFUNCTION("""COMPUTED_VALUE"""),61.0)</f>
        <v>61</v>
      </c>
      <c r="F11125" s="19" t="str">
        <f>IFERROR(__xludf.DUMMYFUNCTION("""COMPUTED_VALUE"""),"BLUE")</f>
        <v>BLUE</v>
      </c>
      <c r="G11125" s="20" t="str">
        <f>IFERROR(__xludf.DUMMYFUNCTION("""COMPUTED_VALUE"""),"Uncle Sams Cider (04/04/2023)")</f>
        <v>Uncle Sams Cider (04/04/2023)</v>
      </c>
      <c r="H11125" s="19"/>
    </row>
    <row r="11126">
      <c r="A11126" s="9"/>
      <c r="B11126" s="15"/>
      <c r="C11126" s="9">
        <f>IFERROR(__xludf.DUMMYFUNCTION("""COMPUTED_VALUE"""),45027.280808912)</f>
        <v>45027.28081</v>
      </c>
      <c r="D11126" s="15">
        <f>IFERROR(__xludf.DUMMYFUNCTION("""COMPUTED_VALUE"""),1.075)</f>
        <v>1.075</v>
      </c>
      <c r="E11126" s="16">
        <f>IFERROR(__xludf.DUMMYFUNCTION("""COMPUTED_VALUE"""),61.0)</f>
        <v>61</v>
      </c>
      <c r="F11126" s="19" t="str">
        <f>IFERROR(__xludf.DUMMYFUNCTION("""COMPUTED_VALUE"""),"BLUE")</f>
        <v>BLUE</v>
      </c>
      <c r="G11126" s="20" t="str">
        <f>IFERROR(__xludf.DUMMYFUNCTION("""COMPUTED_VALUE"""),"Uncle Sams Cider (04/04/2023)")</f>
        <v>Uncle Sams Cider (04/04/2023)</v>
      </c>
      <c r="H11126" s="19"/>
    </row>
    <row r="11127">
      <c r="A11127" s="9"/>
      <c r="B11127" s="15"/>
      <c r="C11127" s="9">
        <f>IFERROR(__xludf.DUMMYFUNCTION("""COMPUTED_VALUE"""),45027.2703865625)</f>
        <v>45027.27039</v>
      </c>
      <c r="D11127" s="15">
        <f>IFERROR(__xludf.DUMMYFUNCTION("""COMPUTED_VALUE"""),1.076)</f>
        <v>1.076</v>
      </c>
      <c r="E11127" s="16">
        <f>IFERROR(__xludf.DUMMYFUNCTION("""COMPUTED_VALUE"""),61.0)</f>
        <v>61</v>
      </c>
      <c r="F11127" s="19" t="str">
        <f>IFERROR(__xludf.DUMMYFUNCTION("""COMPUTED_VALUE"""),"BLUE")</f>
        <v>BLUE</v>
      </c>
      <c r="G11127" s="20" t="str">
        <f>IFERROR(__xludf.DUMMYFUNCTION("""COMPUTED_VALUE"""),"Uncle Sams Cider (04/04/2023)")</f>
        <v>Uncle Sams Cider (04/04/2023)</v>
      </c>
      <c r="H11127" s="19"/>
    </row>
    <row r="11128">
      <c r="A11128" s="9"/>
      <c r="B11128" s="15"/>
      <c r="C11128" s="9">
        <f>IFERROR(__xludf.DUMMYFUNCTION("""COMPUTED_VALUE"""),45027.2599655092)</f>
        <v>45027.25997</v>
      </c>
      <c r="D11128" s="15">
        <f>IFERROR(__xludf.DUMMYFUNCTION("""COMPUTED_VALUE"""),1.076)</f>
        <v>1.076</v>
      </c>
      <c r="E11128" s="16">
        <f>IFERROR(__xludf.DUMMYFUNCTION("""COMPUTED_VALUE"""),61.0)</f>
        <v>61</v>
      </c>
      <c r="F11128" s="19" t="str">
        <f>IFERROR(__xludf.DUMMYFUNCTION("""COMPUTED_VALUE"""),"BLUE")</f>
        <v>BLUE</v>
      </c>
      <c r="G11128" s="20" t="str">
        <f>IFERROR(__xludf.DUMMYFUNCTION("""COMPUTED_VALUE"""),"Uncle Sams Cider (04/04/2023)")</f>
        <v>Uncle Sams Cider (04/04/2023)</v>
      </c>
      <c r="H11128" s="19"/>
    </row>
    <row r="11129">
      <c r="A11129" s="9"/>
      <c r="B11129" s="15"/>
      <c r="C11129" s="9">
        <f>IFERROR(__xludf.DUMMYFUNCTION("""COMPUTED_VALUE"""),45027.24953228)</f>
        <v>45027.24953</v>
      </c>
      <c r="D11129" s="15">
        <f>IFERROR(__xludf.DUMMYFUNCTION("""COMPUTED_VALUE"""),1.076)</f>
        <v>1.076</v>
      </c>
      <c r="E11129" s="16">
        <f>IFERROR(__xludf.DUMMYFUNCTION("""COMPUTED_VALUE"""),61.0)</f>
        <v>61</v>
      </c>
      <c r="F11129" s="19" t="str">
        <f>IFERROR(__xludf.DUMMYFUNCTION("""COMPUTED_VALUE"""),"BLUE")</f>
        <v>BLUE</v>
      </c>
      <c r="G11129" s="20" t="str">
        <f>IFERROR(__xludf.DUMMYFUNCTION("""COMPUTED_VALUE"""),"Uncle Sams Cider (04/04/2023)")</f>
        <v>Uncle Sams Cider (04/04/2023)</v>
      </c>
      <c r="H11129" s="19"/>
    </row>
    <row r="11130">
      <c r="A11130" s="9"/>
      <c r="B11130" s="15"/>
      <c r="C11130" s="9">
        <f>IFERROR(__xludf.DUMMYFUNCTION("""COMPUTED_VALUE"""),45027.2391098958)</f>
        <v>45027.23911</v>
      </c>
      <c r="D11130" s="15">
        <f>IFERROR(__xludf.DUMMYFUNCTION("""COMPUTED_VALUE"""),1.076)</f>
        <v>1.076</v>
      </c>
      <c r="E11130" s="16">
        <f>IFERROR(__xludf.DUMMYFUNCTION("""COMPUTED_VALUE"""),61.0)</f>
        <v>61</v>
      </c>
      <c r="F11130" s="19" t="str">
        <f>IFERROR(__xludf.DUMMYFUNCTION("""COMPUTED_VALUE"""),"BLUE")</f>
        <v>BLUE</v>
      </c>
      <c r="G11130" s="20" t="str">
        <f>IFERROR(__xludf.DUMMYFUNCTION("""COMPUTED_VALUE"""),"Uncle Sams Cider (04/04/2023)")</f>
        <v>Uncle Sams Cider (04/04/2023)</v>
      </c>
      <c r="H11130" s="19"/>
    </row>
    <row r="11131">
      <c r="A11131" s="9"/>
      <c r="B11131" s="15"/>
      <c r="C11131" s="9">
        <f>IFERROR(__xludf.DUMMYFUNCTION("""COMPUTED_VALUE"""),45027.2286893171)</f>
        <v>45027.22869</v>
      </c>
      <c r="D11131" s="15">
        <f>IFERROR(__xludf.DUMMYFUNCTION("""COMPUTED_VALUE"""),1.075)</f>
        <v>1.075</v>
      </c>
      <c r="E11131" s="16">
        <f>IFERROR(__xludf.DUMMYFUNCTION("""COMPUTED_VALUE"""),61.0)</f>
        <v>61</v>
      </c>
      <c r="F11131" s="19" t="str">
        <f>IFERROR(__xludf.DUMMYFUNCTION("""COMPUTED_VALUE"""),"BLUE")</f>
        <v>BLUE</v>
      </c>
      <c r="G11131" s="20" t="str">
        <f>IFERROR(__xludf.DUMMYFUNCTION("""COMPUTED_VALUE"""),"Uncle Sams Cider (04/04/2023)")</f>
        <v>Uncle Sams Cider (04/04/2023)</v>
      </c>
      <c r="H11131" s="19"/>
    </row>
    <row r="11132">
      <c r="A11132" s="9"/>
      <c r="B11132" s="15"/>
      <c r="C11132" s="9">
        <f>IFERROR(__xludf.DUMMYFUNCTION("""COMPUTED_VALUE"""),45027.2182556134)</f>
        <v>45027.21826</v>
      </c>
      <c r="D11132" s="15">
        <f>IFERROR(__xludf.DUMMYFUNCTION("""COMPUTED_VALUE"""),1.075)</f>
        <v>1.075</v>
      </c>
      <c r="E11132" s="16">
        <f>IFERROR(__xludf.DUMMYFUNCTION("""COMPUTED_VALUE"""),61.0)</f>
        <v>61</v>
      </c>
      <c r="F11132" s="19" t="str">
        <f>IFERROR(__xludf.DUMMYFUNCTION("""COMPUTED_VALUE"""),"BLUE")</f>
        <v>BLUE</v>
      </c>
      <c r="G11132" s="20" t="str">
        <f>IFERROR(__xludf.DUMMYFUNCTION("""COMPUTED_VALUE"""),"Uncle Sams Cider (04/04/2023)")</f>
        <v>Uncle Sams Cider (04/04/2023)</v>
      </c>
      <c r="H11132" s="19"/>
    </row>
    <row r="11133">
      <c r="A11133" s="9"/>
      <c r="B11133" s="15"/>
      <c r="C11133" s="9">
        <f>IFERROR(__xludf.DUMMYFUNCTION("""COMPUTED_VALUE"""),45027.2078329282)</f>
        <v>45027.20783</v>
      </c>
      <c r="D11133" s="15">
        <f>IFERROR(__xludf.DUMMYFUNCTION("""COMPUTED_VALUE"""),1.076)</f>
        <v>1.076</v>
      </c>
      <c r="E11133" s="16">
        <f>IFERROR(__xludf.DUMMYFUNCTION("""COMPUTED_VALUE"""),61.0)</f>
        <v>61</v>
      </c>
      <c r="F11133" s="19" t="str">
        <f>IFERROR(__xludf.DUMMYFUNCTION("""COMPUTED_VALUE"""),"BLUE")</f>
        <v>BLUE</v>
      </c>
      <c r="G11133" s="20" t="str">
        <f>IFERROR(__xludf.DUMMYFUNCTION("""COMPUTED_VALUE"""),"Uncle Sams Cider (04/04/2023)")</f>
        <v>Uncle Sams Cider (04/04/2023)</v>
      </c>
      <c r="H11133" s="19"/>
    </row>
    <row r="11134">
      <c r="A11134" s="9"/>
      <c r="B11134" s="15"/>
      <c r="C11134" s="9">
        <f>IFERROR(__xludf.DUMMYFUNCTION("""COMPUTED_VALUE"""),45027.1974111226)</f>
        <v>45027.19741</v>
      </c>
      <c r="D11134" s="15">
        <f>IFERROR(__xludf.DUMMYFUNCTION("""COMPUTED_VALUE"""),1.076)</f>
        <v>1.076</v>
      </c>
      <c r="E11134" s="16">
        <f>IFERROR(__xludf.DUMMYFUNCTION("""COMPUTED_VALUE"""),61.0)</f>
        <v>61</v>
      </c>
      <c r="F11134" s="19" t="str">
        <f>IFERROR(__xludf.DUMMYFUNCTION("""COMPUTED_VALUE"""),"BLUE")</f>
        <v>BLUE</v>
      </c>
      <c r="G11134" s="20" t="str">
        <f>IFERROR(__xludf.DUMMYFUNCTION("""COMPUTED_VALUE"""),"Uncle Sams Cider (04/04/2023)")</f>
        <v>Uncle Sams Cider (04/04/2023)</v>
      </c>
      <c r="H11134" s="19"/>
    </row>
    <row r="11135">
      <c r="A11135" s="9"/>
      <c r="B11135" s="15"/>
      <c r="C11135" s="9">
        <f>IFERROR(__xludf.DUMMYFUNCTION("""COMPUTED_VALUE"""),45027.1869886226)</f>
        <v>45027.18699</v>
      </c>
      <c r="D11135" s="15">
        <f>IFERROR(__xludf.DUMMYFUNCTION("""COMPUTED_VALUE"""),1.076)</f>
        <v>1.076</v>
      </c>
      <c r="E11135" s="16">
        <f>IFERROR(__xludf.DUMMYFUNCTION("""COMPUTED_VALUE"""),61.0)</f>
        <v>61</v>
      </c>
      <c r="F11135" s="19" t="str">
        <f>IFERROR(__xludf.DUMMYFUNCTION("""COMPUTED_VALUE"""),"BLUE")</f>
        <v>BLUE</v>
      </c>
      <c r="G11135" s="20" t="str">
        <f>IFERROR(__xludf.DUMMYFUNCTION("""COMPUTED_VALUE"""),"Uncle Sams Cider (04/04/2023)")</f>
        <v>Uncle Sams Cider (04/04/2023)</v>
      </c>
      <c r="H11135" s="19"/>
    </row>
    <row r="11136">
      <c r="A11136" s="9"/>
      <c r="B11136" s="15"/>
      <c r="C11136" s="9">
        <f>IFERROR(__xludf.DUMMYFUNCTION("""COMPUTED_VALUE"""),45027.1765681597)</f>
        <v>45027.17657</v>
      </c>
      <c r="D11136" s="15">
        <f>IFERROR(__xludf.DUMMYFUNCTION("""COMPUTED_VALUE"""),1.076)</f>
        <v>1.076</v>
      </c>
      <c r="E11136" s="16">
        <f>IFERROR(__xludf.DUMMYFUNCTION("""COMPUTED_VALUE"""),61.0)</f>
        <v>61</v>
      </c>
      <c r="F11136" s="19" t="str">
        <f>IFERROR(__xludf.DUMMYFUNCTION("""COMPUTED_VALUE"""),"BLUE")</f>
        <v>BLUE</v>
      </c>
      <c r="G11136" s="20" t="str">
        <f>IFERROR(__xludf.DUMMYFUNCTION("""COMPUTED_VALUE"""),"Uncle Sams Cider (04/04/2023)")</f>
        <v>Uncle Sams Cider (04/04/2023)</v>
      </c>
      <c r="H11136" s="19"/>
    </row>
    <row r="11137">
      <c r="A11137" s="9"/>
      <c r="B11137" s="15"/>
      <c r="C11137" s="9">
        <f>IFERROR(__xludf.DUMMYFUNCTION("""COMPUTED_VALUE"""),45027.1661240162)</f>
        <v>45027.16612</v>
      </c>
      <c r="D11137" s="15">
        <f>IFERROR(__xludf.DUMMYFUNCTION("""COMPUTED_VALUE"""),1.076)</f>
        <v>1.076</v>
      </c>
      <c r="E11137" s="16">
        <f>IFERROR(__xludf.DUMMYFUNCTION("""COMPUTED_VALUE"""),61.0)</f>
        <v>61</v>
      </c>
      <c r="F11137" s="19" t="str">
        <f>IFERROR(__xludf.DUMMYFUNCTION("""COMPUTED_VALUE"""),"BLUE")</f>
        <v>BLUE</v>
      </c>
      <c r="G11137" s="20" t="str">
        <f>IFERROR(__xludf.DUMMYFUNCTION("""COMPUTED_VALUE"""),"Uncle Sams Cider (04/04/2023)")</f>
        <v>Uncle Sams Cider (04/04/2023)</v>
      </c>
      <c r="H11137" s="19"/>
    </row>
    <row r="11138">
      <c r="A11138" s="9"/>
      <c r="B11138" s="15"/>
      <c r="C11138" s="9">
        <f>IFERROR(__xludf.DUMMYFUNCTION("""COMPUTED_VALUE"""),45027.1557021643)</f>
        <v>45027.1557</v>
      </c>
      <c r="D11138" s="15">
        <f>IFERROR(__xludf.DUMMYFUNCTION("""COMPUTED_VALUE"""),1.076)</f>
        <v>1.076</v>
      </c>
      <c r="E11138" s="16">
        <f>IFERROR(__xludf.DUMMYFUNCTION("""COMPUTED_VALUE"""),61.0)</f>
        <v>61</v>
      </c>
      <c r="F11138" s="19" t="str">
        <f>IFERROR(__xludf.DUMMYFUNCTION("""COMPUTED_VALUE"""),"BLUE")</f>
        <v>BLUE</v>
      </c>
      <c r="G11138" s="20" t="str">
        <f>IFERROR(__xludf.DUMMYFUNCTION("""COMPUTED_VALUE"""),"Uncle Sams Cider (04/04/2023)")</f>
        <v>Uncle Sams Cider (04/04/2023)</v>
      </c>
      <c r="H11138" s="19"/>
    </row>
    <row r="11139">
      <c r="A11139" s="9"/>
      <c r="B11139" s="15"/>
      <c r="C11139" s="9">
        <f>IFERROR(__xludf.DUMMYFUNCTION("""COMPUTED_VALUE"""),45027.1452813889)</f>
        <v>45027.14528</v>
      </c>
      <c r="D11139" s="15">
        <f>IFERROR(__xludf.DUMMYFUNCTION("""COMPUTED_VALUE"""),1.076)</f>
        <v>1.076</v>
      </c>
      <c r="E11139" s="16">
        <f>IFERROR(__xludf.DUMMYFUNCTION("""COMPUTED_VALUE"""),61.0)</f>
        <v>61</v>
      </c>
      <c r="F11139" s="19" t="str">
        <f>IFERROR(__xludf.DUMMYFUNCTION("""COMPUTED_VALUE"""),"BLUE")</f>
        <v>BLUE</v>
      </c>
      <c r="G11139" s="20" t="str">
        <f>IFERROR(__xludf.DUMMYFUNCTION("""COMPUTED_VALUE"""),"Uncle Sams Cider (04/04/2023)")</f>
        <v>Uncle Sams Cider (04/04/2023)</v>
      </c>
      <c r="H11139" s="19"/>
    </row>
    <row r="11140">
      <c r="A11140" s="9"/>
      <c r="B11140" s="15"/>
      <c r="C11140" s="9">
        <f>IFERROR(__xludf.DUMMYFUNCTION("""COMPUTED_VALUE"""),45027.1348480787)</f>
        <v>45027.13485</v>
      </c>
      <c r="D11140" s="15">
        <f>IFERROR(__xludf.DUMMYFUNCTION("""COMPUTED_VALUE"""),1.076)</f>
        <v>1.076</v>
      </c>
      <c r="E11140" s="16">
        <f>IFERROR(__xludf.DUMMYFUNCTION("""COMPUTED_VALUE"""),61.0)</f>
        <v>61</v>
      </c>
      <c r="F11140" s="19" t="str">
        <f>IFERROR(__xludf.DUMMYFUNCTION("""COMPUTED_VALUE"""),"BLUE")</f>
        <v>BLUE</v>
      </c>
      <c r="G11140" s="20" t="str">
        <f>IFERROR(__xludf.DUMMYFUNCTION("""COMPUTED_VALUE"""),"Uncle Sams Cider (04/04/2023)")</f>
        <v>Uncle Sams Cider (04/04/2023)</v>
      </c>
      <c r="H11140" s="19"/>
    </row>
    <row r="11141">
      <c r="A11141" s="9"/>
      <c r="B11141" s="15"/>
      <c r="C11141" s="9">
        <f>IFERROR(__xludf.DUMMYFUNCTION("""COMPUTED_VALUE"""),45027.1244162847)</f>
        <v>45027.12442</v>
      </c>
      <c r="D11141" s="15">
        <f>IFERROR(__xludf.DUMMYFUNCTION("""COMPUTED_VALUE"""),1.076)</f>
        <v>1.076</v>
      </c>
      <c r="E11141" s="16">
        <f>IFERROR(__xludf.DUMMYFUNCTION("""COMPUTED_VALUE"""),61.0)</f>
        <v>61</v>
      </c>
      <c r="F11141" s="19" t="str">
        <f>IFERROR(__xludf.DUMMYFUNCTION("""COMPUTED_VALUE"""),"BLUE")</f>
        <v>BLUE</v>
      </c>
      <c r="G11141" s="20" t="str">
        <f>IFERROR(__xludf.DUMMYFUNCTION("""COMPUTED_VALUE"""),"Uncle Sams Cider (04/04/2023)")</f>
        <v>Uncle Sams Cider (04/04/2023)</v>
      </c>
      <c r="H11141" s="19"/>
    </row>
    <row r="11142">
      <c r="A11142" s="9"/>
      <c r="B11142" s="15"/>
      <c r="C11142" s="9">
        <f>IFERROR(__xludf.DUMMYFUNCTION("""COMPUTED_VALUE"""),45027.113983831)</f>
        <v>45027.11398</v>
      </c>
      <c r="D11142" s="15">
        <f>IFERROR(__xludf.DUMMYFUNCTION("""COMPUTED_VALUE"""),1.076)</f>
        <v>1.076</v>
      </c>
      <c r="E11142" s="16">
        <f>IFERROR(__xludf.DUMMYFUNCTION("""COMPUTED_VALUE"""),61.0)</f>
        <v>61</v>
      </c>
      <c r="F11142" s="19" t="str">
        <f>IFERROR(__xludf.DUMMYFUNCTION("""COMPUTED_VALUE"""),"BLUE")</f>
        <v>BLUE</v>
      </c>
      <c r="G11142" s="20" t="str">
        <f>IFERROR(__xludf.DUMMYFUNCTION("""COMPUTED_VALUE"""),"Uncle Sams Cider (04/04/2023)")</f>
        <v>Uncle Sams Cider (04/04/2023)</v>
      </c>
      <c r="H11142" s="19"/>
    </row>
    <row r="11143">
      <c r="A11143" s="9"/>
      <c r="B11143" s="15"/>
      <c r="C11143" s="9">
        <f>IFERROR(__xludf.DUMMYFUNCTION("""COMPUTED_VALUE"""),45027.10356228)</f>
        <v>45027.10356</v>
      </c>
      <c r="D11143" s="15">
        <f>IFERROR(__xludf.DUMMYFUNCTION("""COMPUTED_VALUE"""),1.076)</f>
        <v>1.076</v>
      </c>
      <c r="E11143" s="16">
        <f>IFERROR(__xludf.DUMMYFUNCTION("""COMPUTED_VALUE"""),61.0)</f>
        <v>61</v>
      </c>
      <c r="F11143" s="19" t="str">
        <f>IFERROR(__xludf.DUMMYFUNCTION("""COMPUTED_VALUE"""),"BLUE")</f>
        <v>BLUE</v>
      </c>
      <c r="G11143" s="20" t="str">
        <f>IFERROR(__xludf.DUMMYFUNCTION("""COMPUTED_VALUE"""),"Uncle Sams Cider (04/04/2023)")</f>
        <v>Uncle Sams Cider (04/04/2023)</v>
      </c>
      <c r="H11143" s="19"/>
    </row>
    <row r="11144">
      <c r="A11144" s="9"/>
      <c r="B11144" s="15"/>
      <c r="C11144" s="9">
        <f>IFERROR(__xludf.DUMMYFUNCTION("""COMPUTED_VALUE"""),45027.0931275347)</f>
        <v>45027.09313</v>
      </c>
      <c r="D11144" s="15">
        <f>IFERROR(__xludf.DUMMYFUNCTION("""COMPUTED_VALUE"""),1.076)</f>
        <v>1.076</v>
      </c>
      <c r="E11144" s="16">
        <f>IFERROR(__xludf.DUMMYFUNCTION("""COMPUTED_VALUE"""),61.0)</f>
        <v>61</v>
      </c>
      <c r="F11144" s="19" t="str">
        <f>IFERROR(__xludf.DUMMYFUNCTION("""COMPUTED_VALUE"""),"BLUE")</f>
        <v>BLUE</v>
      </c>
      <c r="G11144" s="20" t="str">
        <f>IFERROR(__xludf.DUMMYFUNCTION("""COMPUTED_VALUE"""),"Uncle Sams Cider (04/04/2023)")</f>
        <v>Uncle Sams Cider (04/04/2023)</v>
      </c>
      <c r="H11144" s="19"/>
    </row>
    <row r="11145">
      <c r="A11145" s="9"/>
      <c r="B11145" s="15"/>
      <c r="C11145" s="9">
        <f>IFERROR(__xludf.DUMMYFUNCTION("""COMPUTED_VALUE"""),45027.0827055439)</f>
        <v>45027.08271</v>
      </c>
      <c r="D11145" s="15">
        <f>IFERROR(__xludf.DUMMYFUNCTION("""COMPUTED_VALUE"""),1.076)</f>
        <v>1.076</v>
      </c>
      <c r="E11145" s="16">
        <f>IFERROR(__xludf.DUMMYFUNCTION("""COMPUTED_VALUE"""),61.0)</f>
        <v>61</v>
      </c>
      <c r="F11145" s="19" t="str">
        <f>IFERROR(__xludf.DUMMYFUNCTION("""COMPUTED_VALUE"""),"BLUE")</f>
        <v>BLUE</v>
      </c>
      <c r="G11145" s="20" t="str">
        <f>IFERROR(__xludf.DUMMYFUNCTION("""COMPUTED_VALUE"""),"Uncle Sams Cider (04/04/2023)")</f>
        <v>Uncle Sams Cider (04/04/2023)</v>
      </c>
      <c r="H11145" s="19"/>
    </row>
    <row r="11146">
      <c r="A11146" s="9"/>
      <c r="B11146" s="15"/>
      <c r="C11146" s="9">
        <f>IFERROR(__xludf.DUMMYFUNCTION("""COMPUTED_VALUE"""),45027.07228353)</f>
        <v>45027.07228</v>
      </c>
      <c r="D11146" s="15">
        <f>IFERROR(__xludf.DUMMYFUNCTION("""COMPUTED_VALUE"""),1.076)</f>
        <v>1.076</v>
      </c>
      <c r="E11146" s="16">
        <f>IFERROR(__xludf.DUMMYFUNCTION("""COMPUTED_VALUE"""),61.0)</f>
        <v>61</v>
      </c>
      <c r="F11146" s="19" t="str">
        <f>IFERROR(__xludf.DUMMYFUNCTION("""COMPUTED_VALUE"""),"BLUE")</f>
        <v>BLUE</v>
      </c>
      <c r="G11146" s="20" t="str">
        <f>IFERROR(__xludf.DUMMYFUNCTION("""COMPUTED_VALUE"""),"Uncle Sams Cider (04/04/2023)")</f>
        <v>Uncle Sams Cider (04/04/2023)</v>
      </c>
      <c r="H11146" s="19"/>
    </row>
    <row r="11147">
      <c r="A11147" s="9"/>
      <c r="B11147" s="15"/>
      <c r="C11147" s="9">
        <f>IFERROR(__xludf.DUMMYFUNCTION("""COMPUTED_VALUE"""),45027.0618395138)</f>
        <v>45027.06184</v>
      </c>
      <c r="D11147" s="15">
        <f>IFERROR(__xludf.DUMMYFUNCTION("""COMPUTED_VALUE"""),1.076)</f>
        <v>1.076</v>
      </c>
      <c r="E11147" s="16">
        <f>IFERROR(__xludf.DUMMYFUNCTION("""COMPUTED_VALUE"""),61.0)</f>
        <v>61</v>
      </c>
      <c r="F11147" s="19" t="str">
        <f>IFERROR(__xludf.DUMMYFUNCTION("""COMPUTED_VALUE"""),"BLUE")</f>
        <v>BLUE</v>
      </c>
      <c r="G11147" s="20" t="str">
        <f>IFERROR(__xludf.DUMMYFUNCTION("""COMPUTED_VALUE"""),"Uncle Sams Cider (04/04/2023)")</f>
        <v>Uncle Sams Cider (04/04/2023)</v>
      </c>
      <c r="H11147" s="19"/>
    </row>
    <row r="11148">
      <c r="A11148" s="9"/>
      <c r="B11148" s="15"/>
      <c r="C11148" s="9">
        <f>IFERROR(__xludf.DUMMYFUNCTION("""COMPUTED_VALUE"""),45027.0514179976)</f>
        <v>45027.05142</v>
      </c>
      <c r="D11148" s="15">
        <f>IFERROR(__xludf.DUMMYFUNCTION("""COMPUTED_VALUE"""),1.076)</f>
        <v>1.076</v>
      </c>
      <c r="E11148" s="16">
        <f>IFERROR(__xludf.DUMMYFUNCTION("""COMPUTED_VALUE"""),61.0)</f>
        <v>61</v>
      </c>
      <c r="F11148" s="19" t="str">
        <f>IFERROR(__xludf.DUMMYFUNCTION("""COMPUTED_VALUE"""),"BLUE")</f>
        <v>BLUE</v>
      </c>
      <c r="G11148" s="20" t="str">
        <f>IFERROR(__xludf.DUMMYFUNCTION("""COMPUTED_VALUE"""),"Uncle Sams Cider (04/04/2023)")</f>
        <v>Uncle Sams Cider (04/04/2023)</v>
      </c>
      <c r="H11148" s="19"/>
    </row>
    <row r="11149">
      <c r="A11149" s="9"/>
      <c r="B11149" s="15"/>
      <c r="C11149" s="9">
        <f>IFERROR(__xludf.DUMMYFUNCTION("""COMPUTED_VALUE"""),45027.0409981365)</f>
        <v>45027.041</v>
      </c>
      <c r="D11149" s="15">
        <f>IFERROR(__xludf.DUMMYFUNCTION("""COMPUTED_VALUE"""),1.076)</f>
        <v>1.076</v>
      </c>
      <c r="E11149" s="16">
        <f>IFERROR(__xludf.DUMMYFUNCTION("""COMPUTED_VALUE"""),61.0)</f>
        <v>61</v>
      </c>
      <c r="F11149" s="19" t="str">
        <f>IFERROR(__xludf.DUMMYFUNCTION("""COMPUTED_VALUE"""),"BLUE")</f>
        <v>BLUE</v>
      </c>
      <c r="G11149" s="20" t="str">
        <f>IFERROR(__xludf.DUMMYFUNCTION("""COMPUTED_VALUE"""),"Uncle Sams Cider (04/04/2023)")</f>
        <v>Uncle Sams Cider (04/04/2023)</v>
      </c>
      <c r="H11149" s="19"/>
    </row>
    <row r="11150">
      <c r="A11150" s="9"/>
      <c r="B11150" s="15"/>
      <c r="C11150" s="9">
        <f>IFERROR(__xludf.DUMMYFUNCTION("""COMPUTED_VALUE"""),45027.0305788773)</f>
        <v>45027.03058</v>
      </c>
      <c r="D11150" s="15">
        <f>IFERROR(__xludf.DUMMYFUNCTION("""COMPUTED_VALUE"""),1.076)</f>
        <v>1.076</v>
      </c>
      <c r="E11150" s="16">
        <f>IFERROR(__xludf.DUMMYFUNCTION("""COMPUTED_VALUE"""),61.0)</f>
        <v>61</v>
      </c>
      <c r="F11150" s="19" t="str">
        <f>IFERROR(__xludf.DUMMYFUNCTION("""COMPUTED_VALUE"""),"BLUE")</f>
        <v>BLUE</v>
      </c>
      <c r="G11150" s="20" t="str">
        <f>IFERROR(__xludf.DUMMYFUNCTION("""COMPUTED_VALUE"""),"Uncle Sams Cider (04/04/2023)")</f>
        <v>Uncle Sams Cider (04/04/2023)</v>
      </c>
      <c r="H11150" s="19"/>
    </row>
    <row r="11151">
      <c r="A11151" s="9"/>
      <c r="B11151" s="15"/>
      <c r="C11151" s="9">
        <f>IFERROR(__xludf.DUMMYFUNCTION("""COMPUTED_VALUE"""),45027.0201457754)</f>
        <v>45027.02015</v>
      </c>
      <c r="D11151" s="15">
        <f>IFERROR(__xludf.DUMMYFUNCTION("""COMPUTED_VALUE"""),1.076)</f>
        <v>1.076</v>
      </c>
      <c r="E11151" s="16">
        <f>IFERROR(__xludf.DUMMYFUNCTION("""COMPUTED_VALUE"""),61.0)</f>
        <v>61</v>
      </c>
      <c r="F11151" s="19" t="str">
        <f>IFERROR(__xludf.DUMMYFUNCTION("""COMPUTED_VALUE"""),"BLUE")</f>
        <v>BLUE</v>
      </c>
      <c r="G11151" s="20" t="str">
        <f>IFERROR(__xludf.DUMMYFUNCTION("""COMPUTED_VALUE"""),"Uncle Sams Cider (04/04/2023)")</f>
        <v>Uncle Sams Cider (04/04/2023)</v>
      </c>
      <c r="H11151" s="19"/>
    </row>
    <row r="11152">
      <c r="A11152" s="9"/>
      <c r="B11152" s="15"/>
      <c r="C11152" s="9">
        <f>IFERROR(__xludf.DUMMYFUNCTION("""COMPUTED_VALUE"""),45027.0097256134)</f>
        <v>45027.00973</v>
      </c>
      <c r="D11152" s="15">
        <f>IFERROR(__xludf.DUMMYFUNCTION("""COMPUTED_VALUE"""),1.076)</f>
        <v>1.076</v>
      </c>
      <c r="E11152" s="16">
        <f>IFERROR(__xludf.DUMMYFUNCTION("""COMPUTED_VALUE"""),61.0)</f>
        <v>61</v>
      </c>
      <c r="F11152" s="19" t="str">
        <f>IFERROR(__xludf.DUMMYFUNCTION("""COMPUTED_VALUE"""),"BLUE")</f>
        <v>BLUE</v>
      </c>
      <c r="G11152" s="20" t="str">
        <f>IFERROR(__xludf.DUMMYFUNCTION("""COMPUTED_VALUE"""),"Uncle Sams Cider (04/04/2023)")</f>
        <v>Uncle Sams Cider (04/04/2023)</v>
      </c>
      <c r="H11152" s="19"/>
    </row>
    <row r="11153">
      <c r="A11153" s="9"/>
      <c r="B11153" s="15"/>
      <c r="C11153" s="9">
        <f>IFERROR(__xludf.DUMMYFUNCTION("""COMPUTED_VALUE"""),45026.9993049537)</f>
        <v>45026.9993</v>
      </c>
      <c r="D11153" s="15">
        <f>IFERROR(__xludf.DUMMYFUNCTION("""COMPUTED_VALUE"""),1.076)</f>
        <v>1.076</v>
      </c>
      <c r="E11153" s="16">
        <f>IFERROR(__xludf.DUMMYFUNCTION("""COMPUTED_VALUE"""),61.0)</f>
        <v>61</v>
      </c>
      <c r="F11153" s="19" t="str">
        <f>IFERROR(__xludf.DUMMYFUNCTION("""COMPUTED_VALUE"""),"BLUE")</f>
        <v>BLUE</v>
      </c>
      <c r="G11153" s="20" t="str">
        <f>IFERROR(__xludf.DUMMYFUNCTION("""COMPUTED_VALUE"""),"Uncle Sams Cider (04/04/2023)")</f>
        <v>Uncle Sams Cider (04/04/2023)</v>
      </c>
      <c r="H11153" s="19"/>
    </row>
    <row r="11154">
      <c r="A11154" s="9"/>
      <c r="B11154" s="15"/>
      <c r="C11154" s="9">
        <f>IFERROR(__xludf.DUMMYFUNCTION("""COMPUTED_VALUE"""),45026.9888834375)</f>
        <v>45026.98888</v>
      </c>
      <c r="D11154" s="15">
        <f>IFERROR(__xludf.DUMMYFUNCTION("""COMPUTED_VALUE"""),1.076)</f>
        <v>1.076</v>
      </c>
      <c r="E11154" s="16">
        <f>IFERROR(__xludf.DUMMYFUNCTION("""COMPUTED_VALUE"""),61.0)</f>
        <v>61</v>
      </c>
      <c r="F11154" s="19" t="str">
        <f>IFERROR(__xludf.DUMMYFUNCTION("""COMPUTED_VALUE"""),"BLUE")</f>
        <v>BLUE</v>
      </c>
      <c r="G11154" s="20" t="str">
        <f>IFERROR(__xludf.DUMMYFUNCTION("""COMPUTED_VALUE"""),"Uncle Sams Cider (04/04/2023)")</f>
        <v>Uncle Sams Cider (04/04/2023)</v>
      </c>
      <c r="H11154" s="19"/>
    </row>
    <row r="11155">
      <c r="A11155" s="9"/>
      <c r="B11155" s="15"/>
      <c r="C11155" s="9">
        <f>IFERROR(__xludf.DUMMYFUNCTION("""COMPUTED_VALUE"""),45026.9784628935)</f>
        <v>45026.97846</v>
      </c>
      <c r="D11155" s="15">
        <f>IFERROR(__xludf.DUMMYFUNCTION("""COMPUTED_VALUE"""),1.077)</f>
        <v>1.077</v>
      </c>
      <c r="E11155" s="16">
        <f>IFERROR(__xludf.DUMMYFUNCTION("""COMPUTED_VALUE"""),61.0)</f>
        <v>61</v>
      </c>
      <c r="F11155" s="19" t="str">
        <f>IFERROR(__xludf.DUMMYFUNCTION("""COMPUTED_VALUE"""),"BLUE")</f>
        <v>BLUE</v>
      </c>
      <c r="G11155" s="20" t="str">
        <f>IFERROR(__xludf.DUMMYFUNCTION("""COMPUTED_VALUE"""),"Uncle Sams Cider (04/04/2023)")</f>
        <v>Uncle Sams Cider (04/04/2023)</v>
      </c>
      <c r="H11155" s="19"/>
    </row>
    <row r="11156">
      <c r="A11156" s="9"/>
      <c r="B11156" s="15"/>
      <c r="C11156" s="9">
        <f>IFERROR(__xludf.DUMMYFUNCTION("""COMPUTED_VALUE"""),45026.9680412615)</f>
        <v>45026.96804</v>
      </c>
      <c r="D11156" s="15">
        <f>IFERROR(__xludf.DUMMYFUNCTION("""COMPUTED_VALUE"""),1.077)</f>
        <v>1.077</v>
      </c>
      <c r="E11156" s="16">
        <f>IFERROR(__xludf.DUMMYFUNCTION("""COMPUTED_VALUE"""),61.0)</f>
        <v>61</v>
      </c>
      <c r="F11156" s="19" t="str">
        <f>IFERROR(__xludf.DUMMYFUNCTION("""COMPUTED_VALUE"""),"BLUE")</f>
        <v>BLUE</v>
      </c>
      <c r="G11156" s="20" t="str">
        <f>IFERROR(__xludf.DUMMYFUNCTION("""COMPUTED_VALUE"""),"Uncle Sams Cider (04/04/2023)")</f>
        <v>Uncle Sams Cider (04/04/2023)</v>
      </c>
      <c r="H11156" s="19"/>
    </row>
    <row r="11157">
      <c r="A11157" s="9"/>
      <c r="B11157" s="15"/>
      <c r="C11157" s="9">
        <f>IFERROR(__xludf.DUMMYFUNCTION("""COMPUTED_VALUE"""),45026.9576202199)</f>
        <v>45026.95762</v>
      </c>
      <c r="D11157" s="15">
        <f>IFERROR(__xludf.DUMMYFUNCTION("""COMPUTED_VALUE"""),1.077)</f>
        <v>1.077</v>
      </c>
      <c r="E11157" s="16">
        <f>IFERROR(__xludf.DUMMYFUNCTION("""COMPUTED_VALUE"""),61.0)</f>
        <v>61</v>
      </c>
      <c r="F11157" s="19" t="str">
        <f>IFERROR(__xludf.DUMMYFUNCTION("""COMPUTED_VALUE"""),"BLUE")</f>
        <v>BLUE</v>
      </c>
      <c r="G11157" s="20" t="str">
        <f>IFERROR(__xludf.DUMMYFUNCTION("""COMPUTED_VALUE"""),"Uncle Sams Cider (04/04/2023)")</f>
        <v>Uncle Sams Cider (04/04/2023)</v>
      </c>
      <c r="H11157" s="19"/>
    </row>
    <row r="11158">
      <c r="A11158" s="9"/>
      <c r="B11158" s="15"/>
      <c r="C11158" s="9">
        <f>IFERROR(__xludf.DUMMYFUNCTION("""COMPUTED_VALUE"""),45026.9471658912)</f>
        <v>45026.94717</v>
      </c>
      <c r="D11158" s="15">
        <f>IFERROR(__xludf.DUMMYFUNCTION("""COMPUTED_VALUE"""),1.077)</f>
        <v>1.077</v>
      </c>
      <c r="E11158" s="16">
        <f>IFERROR(__xludf.DUMMYFUNCTION("""COMPUTED_VALUE"""),61.0)</f>
        <v>61</v>
      </c>
      <c r="F11158" s="19" t="str">
        <f>IFERROR(__xludf.DUMMYFUNCTION("""COMPUTED_VALUE"""),"BLUE")</f>
        <v>BLUE</v>
      </c>
      <c r="G11158" s="20" t="str">
        <f>IFERROR(__xludf.DUMMYFUNCTION("""COMPUTED_VALUE"""),"Uncle Sams Cider (04/04/2023)")</f>
        <v>Uncle Sams Cider (04/04/2023)</v>
      </c>
      <c r="H11158" s="19"/>
    </row>
    <row r="11159">
      <c r="A11159" s="9"/>
      <c r="B11159" s="15"/>
      <c r="C11159" s="9">
        <f>IFERROR(__xludf.DUMMYFUNCTION("""COMPUTED_VALUE"""),45026.9367319097)</f>
        <v>45026.93673</v>
      </c>
      <c r="D11159" s="15">
        <f>IFERROR(__xludf.DUMMYFUNCTION("""COMPUTED_VALUE"""),1.076)</f>
        <v>1.076</v>
      </c>
      <c r="E11159" s="16">
        <f>IFERROR(__xludf.DUMMYFUNCTION("""COMPUTED_VALUE"""),61.0)</f>
        <v>61</v>
      </c>
      <c r="F11159" s="19" t="str">
        <f>IFERROR(__xludf.DUMMYFUNCTION("""COMPUTED_VALUE"""),"BLUE")</f>
        <v>BLUE</v>
      </c>
      <c r="G11159" s="20" t="str">
        <f>IFERROR(__xludf.DUMMYFUNCTION("""COMPUTED_VALUE"""),"Uncle Sams Cider (04/04/2023)")</f>
        <v>Uncle Sams Cider (04/04/2023)</v>
      </c>
      <c r="H11159" s="19"/>
    </row>
    <row r="11160">
      <c r="A11160" s="9"/>
      <c r="B11160" s="15"/>
      <c r="C11160" s="9">
        <f>IFERROR(__xludf.DUMMYFUNCTION("""COMPUTED_VALUE"""),45026.9263105324)</f>
        <v>45026.92631</v>
      </c>
      <c r="D11160" s="15">
        <f>IFERROR(__xludf.DUMMYFUNCTION("""COMPUTED_VALUE"""),1.076)</f>
        <v>1.076</v>
      </c>
      <c r="E11160" s="16">
        <f>IFERROR(__xludf.DUMMYFUNCTION("""COMPUTED_VALUE"""),61.0)</f>
        <v>61</v>
      </c>
      <c r="F11160" s="19" t="str">
        <f>IFERROR(__xludf.DUMMYFUNCTION("""COMPUTED_VALUE"""),"BLUE")</f>
        <v>BLUE</v>
      </c>
      <c r="G11160" s="20" t="str">
        <f>IFERROR(__xludf.DUMMYFUNCTION("""COMPUTED_VALUE"""),"Uncle Sams Cider (04/04/2023)")</f>
        <v>Uncle Sams Cider (04/04/2023)</v>
      </c>
      <c r="H11160" s="19"/>
    </row>
    <row r="11161">
      <c r="A11161" s="9"/>
      <c r="B11161" s="15"/>
      <c r="C11161" s="9">
        <f>IFERROR(__xludf.DUMMYFUNCTION("""COMPUTED_VALUE"""),45026.9158878819)</f>
        <v>45026.91589</v>
      </c>
      <c r="D11161" s="15">
        <f>IFERROR(__xludf.DUMMYFUNCTION("""COMPUTED_VALUE"""),1.077)</f>
        <v>1.077</v>
      </c>
      <c r="E11161" s="16">
        <f>IFERROR(__xludf.DUMMYFUNCTION("""COMPUTED_VALUE"""),61.0)</f>
        <v>61</v>
      </c>
      <c r="F11161" s="19" t="str">
        <f>IFERROR(__xludf.DUMMYFUNCTION("""COMPUTED_VALUE"""),"BLUE")</f>
        <v>BLUE</v>
      </c>
      <c r="G11161" s="20" t="str">
        <f>IFERROR(__xludf.DUMMYFUNCTION("""COMPUTED_VALUE"""),"Uncle Sams Cider (04/04/2023)")</f>
        <v>Uncle Sams Cider (04/04/2023)</v>
      </c>
      <c r="H11161" s="19"/>
    </row>
    <row r="11162">
      <c r="A11162" s="9"/>
      <c r="B11162" s="15"/>
      <c r="C11162" s="9">
        <f>IFERROR(__xludf.DUMMYFUNCTION("""COMPUTED_VALUE"""),45026.9054671759)</f>
        <v>45026.90547</v>
      </c>
      <c r="D11162" s="15">
        <f>IFERROR(__xludf.DUMMYFUNCTION("""COMPUTED_VALUE"""),1.077)</f>
        <v>1.077</v>
      </c>
      <c r="E11162" s="16">
        <f>IFERROR(__xludf.DUMMYFUNCTION("""COMPUTED_VALUE"""),61.0)</f>
        <v>61</v>
      </c>
      <c r="F11162" s="19" t="str">
        <f>IFERROR(__xludf.DUMMYFUNCTION("""COMPUTED_VALUE"""),"BLUE")</f>
        <v>BLUE</v>
      </c>
      <c r="G11162" s="20" t="str">
        <f>IFERROR(__xludf.DUMMYFUNCTION("""COMPUTED_VALUE"""),"Uncle Sams Cider (04/04/2023)")</f>
        <v>Uncle Sams Cider (04/04/2023)</v>
      </c>
      <c r="H11162" s="19"/>
    </row>
    <row r="11163">
      <c r="A11163" s="9"/>
      <c r="B11163" s="15"/>
      <c r="C11163" s="9">
        <f>IFERROR(__xludf.DUMMYFUNCTION("""COMPUTED_VALUE"""),45026.8950457638)</f>
        <v>45026.89505</v>
      </c>
      <c r="D11163" s="15">
        <f>IFERROR(__xludf.DUMMYFUNCTION("""COMPUTED_VALUE"""),1.077)</f>
        <v>1.077</v>
      </c>
      <c r="E11163" s="16">
        <f>IFERROR(__xludf.DUMMYFUNCTION("""COMPUTED_VALUE"""),61.0)</f>
        <v>61</v>
      </c>
      <c r="F11163" s="19" t="str">
        <f>IFERROR(__xludf.DUMMYFUNCTION("""COMPUTED_VALUE"""),"BLUE")</f>
        <v>BLUE</v>
      </c>
      <c r="G11163" s="20" t="str">
        <f>IFERROR(__xludf.DUMMYFUNCTION("""COMPUTED_VALUE"""),"Uncle Sams Cider (04/04/2023)")</f>
        <v>Uncle Sams Cider (04/04/2023)</v>
      </c>
      <c r="H11163" s="19"/>
    </row>
    <row r="11164">
      <c r="A11164" s="9"/>
      <c r="B11164" s="15"/>
      <c r="C11164" s="9">
        <f>IFERROR(__xludf.DUMMYFUNCTION("""COMPUTED_VALUE"""),45026.8846241435)</f>
        <v>45026.88462</v>
      </c>
      <c r="D11164" s="15">
        <f>IFERROR(__xludf.DUMMYFUNCTION("""COMPUTED_VALUE"""),1.077)</f>
        <v>1.077</v>
      </c>
      <c r="E11164" s="16">
        <f>IFERROR(__xludf.DUMMYFUNCTION("""COMPUTED_VALUE"""),61.0)</f>
        <v>61</v>
      </c>
      <c r="F11164" s="19" t="str">
        <f>IFERROR(__xludf.DUMMYFUNCTION("""COMPUTED_VALUE"""),"BLUE")</f>
        <v>BLUE</v>
      </c>
      <c r="G11164" s="20" t="str">
        <f>IFERROR(__xludf.DUMMYFUNCTION("""COMPUTED_VALUE"""),"Uncle Sams Cider (04/04/2023)")</f>
        <v>Uncle Sams Cider (04/04/2023)</v>
      </c>
      <c r="H11164" s="19"/>
    </row>
    <row r="11165">
      <c r="A11165" s="9"/>
      <c r="B11165" s="15"/>
      <c r="C11165" s="9">
        <f>IFERROR(__xludf.DUMMYFUNCTION("""COMPUTED_VALUE"""),45026.8741917708)</f>
        <v>45026.87419</v>
      </c>
      <c r="D11165" s="15">
        <f>IFERROR(__xludf.DUMMYFUNCTION("""COMPUTED_VALUE"""),1.077)</f>
        <v>1.077</v>
      </c>
      <c r="E11165" s="16">
        <f>IFERROR(__xludf.DUMMYFUNCTION("""COMPUTED_VALUE"""),61.0)</f>
        <v>61</v>
      </c>
      <c r="F11165" s="19" t="str">
        <f>IFERROR(__xludf.DUMMYFUNCTION("""COMPUTED_VALUE"""),"BLUE")</f>
        <v>BLUE</v>
      </c>
      <c r="G11165" s="20" t="str">
        <f>IFERROR(__xludf.DUMMYFUNCTION("""COMPUTED_VALUE"""),"Uncle Sams Cider (04/04/2023)")</f>
        <v>Uncle Sams Cider (04/04/2023)</v>
      </c>
      <c r="H11165" s="19"/>
    </row>
    <row r="11166">
      <c r="A11166" s="9"/>
      <c r="B11166" s="15"/>
      <c r="C11166" s="9">
        <f>IFERROR(__xludf.DUMMYFUNCTION("""COMPUTED_VALUE"""),45026.8637584143)</f>
        <v>45026.86376</v>
      </c>
      <c r="D11166" s="15">
        <f>IFERROR(__xludf.DUMMYFUNCTION("""COMPUTED_VALUE"""),1.077)</f>
        <v>1.077</v>
      </c>
      <c r="E11166" s="16">
        <f>IFERROR(__xludf.DUMMYFUNCTION("""COMPUTED_VALUE"""),61.0)</f>
        <v>61</v>
      </c>
      <c r="F11166" s="19" t="str">
        <f>IFERROR(__xludf.DUMMYFUNCTION("""COMPUTED_VALUE"""),"BLUE")</f>
        <v>BLUE</v>
      </c>
      <c r="G11166" s="20" t="str">
        <f>IFERROR(__xludf.DUMMYFUNCTION("""COMPUTED_VALUE"""),"Uncle Sams Cider (04/04/2023)")</f>
        <v>Uncle Sams Cider (04/04/2023)</v>
      </c>
      <c r="H11166" s="19"/>
    </row>
    <row r="11167">
      <c r="A11167" s="9"/>
      <c r="B11167" s="15"/>
      <c r="C11167" s="9">
        <f>IFERROR(__xludf.DUMMYFUNCTION("""COMPUTED_VALUE"""),45026.8533378472)</f>
        <v>45026.85334</v>
      </c>
      <c r="D11167" s="15">
        <f>IFERROR(__xludf.DUMMYFUNCTION("""COMPUTED_VALUE"""),1.077)</f>
        <v>1.077</v>
      </c>
      <c r="E11167" s="16">
        <f>IFERROR(__xludf.DUMMYFUNCTION("""COMPUTED_VALUE"""),61.0)</f>
        <v>61</v>
      </c>
      <c r="F11167" s="19" t="str">
        <f>IFERROR(__xludf.DUMMYFUNCTION("""COMPUTED_VALUE"""),"BLUE")</f>
        <v>BLUE</v>
      </c>
      <c r="G11167" s="20" t="str">
        <f>IFERROR(__xludf.DUMMYFUNCTION("""COMPUTED_VALUE"""),"Uncle Sams Cider (04/04/2023)")</f>
        <v>Uncle Sams Cider (04/04/2023)</v>
      </c>
      <c r="H11167" s="19"/>
    </row>
    <row r="11168">
      <c r="A11168" s="9"/>
      <c r="B11168" s="15"/>
      <c r="C11168" s="9">
        <f>IFERROR(__xludf.DUMMYFUNCTION("""COMPUTED_VALUE"""),45026.8429169907)</f>
        <v>45026.84292</v>
      </c>
      <c r="D11168" s="15">
        <f>IFERROR(__xludf.DUMMYFUNCTION("""COMPUTED_VALUE"""),1.077)</f>
        <v>1.077</v>
      </c>
      <c r="E11168" s="16">
        <f>IFERROR(__xludf.DUMMYFUNCTION("""COMPUTED_VALUE"""),61.0)</f>
        <v>61</v>
      </c>
      <c r="F11168" s="19" t="str">
        <f>IFERROR(__xludf.DUMMYFUNCTION("""COMPUTED_VALUE"""),"BLUE")</f>
        <v>BLUE</v>
      </c>
      <c r="G11168" s="20" t="str">
        <f>IFERROR(__xludf.DUMMYFUNCTION("""COMPUTED_VALUE"""),"Uncle Sams Cider (04/04/2023)")</f>
        <v>Uncle Sams Cider (04/04/2023)</v>
      </c>
      <c r="H11168" s="19"/>
    </row>
    <row r="11169">
      <c r="A11169" s="9"/>
      <c r="B11169" s="15"/>
      <c r="C11169" s="9">
        <f>IFERROR(__xludf.DUMMYFUNCTION("""COMPUTED_VALUE"""),45026.832496875)</f>
        <v>45026.8325</v>
      </c>
      <c r="D11169" s="15">
        <f>IFERROR(__xludf.DUMMYFUNCTION("""COMPUTED_VALUE"""),1.077)</f>
        <v>1.077</v>
      </c>
      <c r="E11169" s="16">
        <f>IFERROR(__xludf.DUMMYFUNCTION("""COMPUTED_VALUE"""),61.0)</f>
        <v>61</v>
      </c>
      <c r="F11169" s="19" t="str">
        <f>IFERROR(__xludf.DUMMYFUNCTION("""COMPUTED_VALUE"""),"BLUE")</f>
        <v>BLUE</v>
      </c>
      <c r="G11169" s="20" t="str">
        <f>IFERROR(__xludf.DUMMYFUNCTION("""COMPUTED_VALUE"""),"Uncle Sams Cider (04/04/2023)")</f>
        <v>Uncle Sams Cider (04/04/2023)</v>
      </c>
      <c r="H11169" s="19"/>
    </row>
    <row r="11170">
      <c r="A11170" s="9"/>
      <c r="B11170" s="15"/>
      <c r="C11170" s="9">
        <f>IFERROR(__xludf.DUMMYFUNCTION("""COMPUTED_VALUE"""),45026.8220766551)</f>
        <v>45026.82208</v>
      </c>
      <c r="D11170" s="15">
        <f>IFERROR(__xludf.DUMMYFUNCTION("""COMPUTED_VALUE"""),1.077)</f>
        <v>1.077</v>
      </c>
      <c r="E11170" s="16">
        <f>IFERROR(__xludf.DUMMYFUNCTION("""COMPUTED_VALUE"""),61.0)</f>
        <v>61</v>
      </c>
      <c r="F11170" s="19" t="str">
        <f>IFERROR(__xludf.DUMMYFUNCTION("""COMPUTED_VALUE"""),"BLUE")</f>
        <v>BLUE</v>
      </c>
      <c r="G11170" s="20" t="str">
        <f>IFERROR(__xludf.DUMMYFUNCTION("""COMPUTED_VALUE"""),"Uncle Sams Cider (04/04/2023)")</f>
        <v>Uncle Sams Cider (04/04/2023)</v>
      </c>
      <c r="H11170" s="19"/>
    </row>
    <row r="11171">
      <c r="A11171" s="9"/>
      <c r="B11171" s="15"/>
      <c r="C11171" s="9">
        <f>IFERROR(__xludf.DUMMYFUNCTION("""COMPUTED_VALUE"""),45026.8116553356)</f>
        <v>45026.81166</v>
      </c>
      <c r="D11171" s="15">
        <f>IFERROR(__xludf.DUMMYFUNCTION("""COMPUTED_VALUE"""),1.077)</f>
        <v>1.077</v>
      </c>
      <c r="E11171" s="16">
        <f>IFERROR(__xludf.DUMMYFUNCTION("""COMPUTED_VALUE"""),61.0)</f>
        <v>61</v>
      </c>
      <c r="F11171" s="19" t="str">
        <f>IFERROR(__xludf.DUMMYFUNCTION("""COMPUTED_VALUE"""),"BLUE")</f>
        <v>BLUE</v>
      </c>
      <c r="G11171" s="20" t="str">
        <f>IFERROR(__xludf.DUMMYFUNCTION("""COMPUTED_VALUE"""),"Uncle Sams Cider (04/04/2023)")</f>
        <v>Uncle Sams Cider (04/04/2023)</v>
      </c>
      <c r="H11171" s="19"/>
    </row>
    <row r="11172">
      <c r="A11172" s="9"/>
      <c r="B11172" s="15"/>
      <c r="C11172" s="9">
        <f>IFERROR(__xludf.DUMMYFUNCTION("""COMPUTED_VALUE"""),45026.8012349074)</f>
        <v>45026.80123</v>
      </c>
      <c r="D11172" s="15">
        <f>IFERROR(__xludf.DUMMYFUNCTION("""COMPUTED_VALUE"""),1.077)</f>
        <v>1.077</v>
      </c>
      <c r="E11172" s="16">
        <f>IFERROR(__xludf.DUMMYFUNCTION("""COMPUTED_VALUE"""),61.0)</f>
        <v>61</v>
      </c>
      <c r="F11172" s="19" t="str">
        <f>IFERROR(__xludf.DUMMYFUNCTION("""COMPUTED_VALUE"""),"BLUE")</f>
        <v>BLUE</v>
      </c>
      <c r="G11172" s="20" t="str">
        <f>IFERROR(__xludf.DUMMYFUNCTION("""COMPUTED_VALUE"""),"Uncle Sams Cider (04/04/2023)")</f>
        <v>Uncle Sams Cider (04/04/2023)</v>
      </c>
      <c r="H11172" s="19"/>
    </row>
    <row r="11173">
      <c r="A11173" s="9"/>
      <c r="B11173" s="15"/>
      <c r="C11173" s="9">
        <f>IFERROR(__xludf.DUMMYFUNCTION("""COMPUTED_VALUE"""),45026.7908133333)</f>
        <v>45026.79081</v>
      </c>
      <c r="D11173" s="15">
        <f>IFERROR(__xludf.DUMMYFUNCTION("""COMPUTED_VALUE"""),1.077)</f>
        <v>1.077</v>
      </c>
      <c r="E11173" s="16">
        <f>IFERROR(__xludf.DUMMYFUNCTION("""COMPUTED_VALUE"""),61.0)</f>
        <v>61</v>
      </c>
      <c r="F11173" s="19" t="str">
        <f>IFERROR(__xludf.DUMMYFUNCTION("""COMPUTED_VALUE"""),"BLUE")</f>
        <v>BLUE</v>
      </c>
      <c r="G11173" s="20" t="str">
        <f>IFERROR(__xludf.DUMMYFUNCTION("""COMPUTED_VALUE"""),"Uncle Sams Cider (04/04/2023)")</f>
        <v>Uncle Sams Cider (04/04/2023)</v>
      </c>
      <c r="H11173" s="19"/>
    </row>
    <row r="11174">
      <c r="A11174" s="9"/>
      <c r="B11174" s="15"/>
      <c r="C11174" s="9">
        <f>IFERROR(__xludf.DUMMYFUNCTION("""COMPUTED_VALUE"""),45026.7803921412)</f>
        <v>45026.78039</v>
      </c>
      <c r="D11174" s="15">
        <f>IFERROR(__xludf.DUMMYFUNCTION("""COMPUTED_VALUE"""),1.077)</f>
        <v>1.077</v>
      </c>
      <c r="E11174" s="16">
        <f>IFERROR(__xludf.DUMMYFUNCTION("""COMPUTED_VALUE"""),61.0)</f>
        <v>61</v>
      </c>
      <c r="F11174" s="19" t="str">
        <f>IFERROR(__xludf.DUMMYFUNCTION("""COMPUTED_VALUE"""),"BLUE")</f>
        <v>BLUE</v>
      </c>
      <c r="G11174" s="20" t="str">
        <f>IFERROR(__xludf.DUMMYFUNCTION("""COMPUTED_VALUE"""),"Uncle Sams Cider (04/04/2023)")</f>
        <v>Uncle Sams Cider (04/04/2023)</v>
      </c>
      <c r="H11174" s="19"/>
    </row>
    <row r="11175">
      <c r="A11175" s="9"/>
      <c r="B11175" s="15"/>
      <c r="C11175" s="9">
        <f>IFERROR(__xludf.DUMMYFUNCTION("""COMPUTED_VALUE"""),45026.7699595833)</f>
        <v>45026.76996</v>
      </c>
      <c r="D11175" s="15">
        <f>IFERROR(__xludf.DUMMYFUNCTION("""COMPUTED_VALUE"""),1.077)</f>
        <v>1.077</v>
      </c>
      <c r="E11175" s="16">
        <f>IFERROR(__xludf.DUMMYFUNCTION("""COMPUTED_VALUE"""),61.0)</f>
        <v>61</v>
      </c>
      <c r="F11175" s="19" t="str">
        <f>IFERROR(__xludf.DUMMYFUNCTION("""COMPUTED_VALUE"""),"BLUE")</f>
        <v>BLUE</v>
      </c>
      <c r="G11175" s="20" t="str">
        <f>IFERROR(__xludf.DUMMYFUNCTION("""COMPUTED_VALUE"""),"Uncle Sams Cider (04/04/2023)")</f>
        <v>Uncle Sams Cider (04/04/2023)</v>
      </c>
      <c r="H11175" s="19"/>
    </row>
    <row r="11176">
      <c r="A11176" s="9"/>
      <c r="B11176" s="15"/>
      <c r="C11176" s="9">
        <f>IFERROR(__xludf.DUMMYFUNCTION("""COMPUTED_VALUE"""),45026.7595397453)</f>
        <v>45026.75954</v>
      </c>
      <c r="D11176" s="15">
        <f>IFERROR(__xludf.DUMMYFUNCTION("""COMPUTED_VALUE"""),1.077)</f>
        <v>1.077</v>
      </c>
      <c r="E11176" s="16">
        <f>IFERROR(__xludf.DUMMYFUNCTION("""COMPUTED_VALUE"""),61.0)</f>
        <v>61</v>
      </c>
      <c r="F11176" s="19" t="str">
        <f>IFERROR(__xludf.DUMMYFUNCTION("""COMPUTED_VALUE"""),"BLUE")</f>
        <v>BLUE</v>
      </c>
      <c r="G11176" s="20" t="str">
        <f>IFERROR(__xludf.DUMMYFUNCTION("""COMPUTED_VALUE"""),"Uncle Sams Cider (04/04/2023)")</f>
        <v>Uncle Sams Cider (04/04/2023)</v>
      </c>
      <c r="H11176" s="19"/>
    </row>
    <row r="11177">
      <c r="A11177" s="9"/>
      <c r="B11177" s="15"/>
      <c r="C11177" s="9">
        <f>IFERROR(__xludf.DUMMYFUNCTION("""COMPUTED_VALUE"""),45026.749116574)</f>
        <v>45026.74912</v>
      </c>
      <c r="D11177" s="15">
        <f>IFERROR(__xludf.DUMMYFUNCTION("""COMPUTED_VALUE"""),1.077)</f>
        <v>1.077</v>
      </c>
      <c r="E11177" s="16">
        <f>IFERROR(__xludf.DUMMYFUNCTION("""COMPUTED_VALUE"""),61.0)</f>
        <v>61</v>
      </c>
      <c r="F11177" s="19" t="str">
        <f>IFERROR(__xludf.DUMMYFUNCTION("""COMPUTED_VALUE"""),"BLUE")</f>
        <v>BLUE</v>
      </c>
      <c r="G11177" s="20" t="str">
        <f>IFERROR(__xludf.DUMMYFUNCTION("""COMPUTED_VALUE"""),"Uncle Sams Cider (04/04/2023)")</f>
        <v>Uncle Sams Cider (04/04/2023)</v>
      </c>
      <c r="H11177" s="19"/>
    </row>
    <row r="11178">
      <c r="A11178" s="9"/>
      <c r="B11178" s="15"/>
      <c r="C11178" s="9">
        <f>IFERROR(__xludf.DUMMYFUNCTION("""COMPUTED_VALUE"""),45026.7386960995)</f>
        <v>45026.7387</v>
      </c>
      <c r="D11178" s="15">
        <f>IFERROR(__xludf.DUMMYFUNCTION("""COMPUTED_VALUE"""),1.077)</f>
        <v>1.077</v>
      </c>
      <c r="E11178" s="16">
        <f>IFERROR(__xludf.DUMMYFUNCTION("""COMPUTED_VALUE"""),61.0)</f>
        <v>61</v>
      </c>
      <c r="F11178" s="19" t="str">
        <f>IFERROR(__xludf.DUMMYFUNCTION("""COMPUTED_VALUE"""),"BLUE")</f>
        <v>BLUE</v>
      </c>
      <c r="G11178" s="20" t="str">
        <f>IFERROR(__xludf.DUMMYFUNCTION("""COMPUTED_VALUE"""),"Uncle Sams Cider (04/04/2023)")</f>
        <v>Uncle Sams Cider (04/04/2023)</v>
      </c>
      <c r="H11178" s="19"/>
    </row>
    <row r="11179">
      <c r="A11179" s="9"/>
      <c r="B11179" s="15"/>
      <c r="C11179" s="9">
        <f>IFERROR(__xludf.DUMMYFUNCTION("""COMPUTED_VALUE"""),45026.7282646412)</f>
        <v>45026.72826</v>
      </c>
      <c r="D11179" s="15">
        <f>IFERROR(__xludf.DUMMYFUNCTION("""COMPUTED_VALUE"""),1.077)</f>
        <v>1.077</v>
      </c>
      <c r="E11179" s="16">
        <f>IFERROR(__xludf.DUMMYFUNCTION("""COMPUTED_VALUE"""),61.0)</f>
        <v>61</v>
      </c>
      <c r="F11179" s="19" t="str">
        <f>IFERROR(__xludf.DUMMYFUNCTION("""COMPUTED_VALUE"""),"BLUE")</f>
        <v>BLUE</v>
      </c>
      <c r="G11179" s="20" t="str">
        <f>IFERROR(__xludf.DUMMYFUNCTION("""COMPUTED_VALUE"""),"Uncle Sams Cider (04/04/2023)")</f>
        <v>Uncle Sams Cider (04/04/2023)</v>
      </c>
      <c r="H11179" s="19"/>
    </row>
    <row r="11180">
      <c r="A11180" s="9"/>
      <c r="B11180" s="15"/>
      <c r="C11180" s="9">
        <f>IFERROR(__xludf.DUMMYFUNCTION("""COMPUTED_VALUE"""),45026.7178436226)</f>
        <v>45026.71784</v>
      </c>
      <c r="D11180" s="15">
        <f>IFERROR(__xludf.DUMMYFUNCTION("""COMPUTED_VALUE"""),1.078)</f>
        <v>1.078</v>
      </c>
      <c r="E11180" s="16">
        <f>IFERROR(__xludf.DUMMYFUNCTION("""COMPUTED_VALUE"""),61.0)</f>
        <v>61</v>
      </c>
      <c r="F11180" s="19" t="str">
        <f>IFERROR(__xludf.DUMMYFUNCTION("""COMPUTED_VALUE"""),"BLUE")</f>
        <v>BLUE</v>
      </c>
      <c r="G11180" s="20" t="str">
        <f>IFERROR(__xludf.DUMMYFUNCTION("""COMPUTED_VALUE"""),"Uncle Sams Cider (04/04/2023)")</f>
        <v>Uncle Sams Cider (04/04/2023)</v>
      </c>
      <c r="H11180" s="19"/>
    </row>
    <row r="11181">
      <c r="A11181" s="9"/>
      <c r="B11181" s="15"/>
      <c r="C11181" s="9">
        <f>IFERROR(__xludf.DUMMYFUNCTION("""COMPUTED_VALUE"""),45026.7074242129)</f>
        <v>45026.70742</v>
      </c>
      <c r="D11181" s="15">
        <f>IFERROR(__xludf.DUMMYFUNCTION("""COMPUTED_VALUE"""),1.078)</f>
        <v>1.078</v>
      </c>
      <c r="E11181" s="16">
        <f>IFERROR(__xludf.DUMMYFUNCTION("""COMPUTED_VALUE"""),61.0)</f>
        <v>61</v>
      </c>
      <c r="F11181" s="19" t="str">
        <f>IFERROR(__xludf.DUMMYFUNCTION("""COMPUTED_VALUE"""),"BLUE")</f>
        <v>BLUE</v>
      </c>
      <c r="G11181" s="20" t="str">
        <f>IFERROR(__xludf.DUMMYFUNCTION("""COMPUTED_VALUE"""),"Uncle Sams Cider (04/04/2023)")</f>
        <v>Uncle Sams Cider (04/04/2023)</v>
      </c>
      <c r="H11181" s="19"/>
    </row>
    <row r="11182">
      <c r="A11182" s="9"/>
      <c r="B11182" s="15"/>
      <c r="C11182" s="9">
        <f>IFERROR(__xludf.DUMMYFUNCTION("""COMPUTED_VALUE"""),45026.6970031828)</f>
        <v>45026.697</v>
      </c>
      <c r="D11182" s="15">
        <f>IFERROR(__xludf.DUMMYFUNCTION("""COMPUTED_VALUE"""),1.078)</f>
        <v>1.078</v>
      </c>
      <c r="E11182" s="16">
        <f>IFERROR(__xludf.DUMMYFUNCTION("""COMPUTED_VALUE"""),61.0)</f>
        <v>61</v>
      </c>
      <c r="F11182" s="19" t="str">
        <f>IFERROR(__xludf.DUMMYFUNCTION("""COMPUTED_VALUE"""),"BLUE")</f>
        <v>BLUE</v>
      </c>
      <c r="G11182" s="20" t="str">
        <f>IFERROR(__xludf.DUMMYFUNCTION("""COMPUTED_VALUE"""),"Uncle Sams Cider (04/04/2023)")</f>
        <v>Uncle Sams Cider (04/04/2023)</v>
      </c>
      <c r="H11182" s="19"/>
    </row>
    <row r="11183">
      <c r="A11183" s="9"/>
      <c r="B11183" s="15"/>
      <c r="C11183" s="9">
        <f>IFERROR(__xludf.DUMMYFUNCTION("""COMPUTED_VALUE"""),45026.6865724884)</f>
        <v>45026.68657</v>
      </c>
      <c r="D11183" s="15">
        <f>IFERROR(__xludf.DUMMYFUNCTION("""COMPUTED_VALUE"""),1.078)</f>
        <v>1.078</v>
      </c>
      <c r="E11183" s="16">
        <f>IFERROR(__xludf.DUMMYFUNCTION("""COMPUTED_VALUE"""),61.0)</f>
        <v>61</v>
      </c>
      <c r="F11183" s="19" t="str">
        <f>IFERROR(__xludf.DUMMYFUNCTION("""COMPUTED_VALUE"""),"BLUE")</f>
        <v>BLUE</v>
      </c>
      <c r="G11183" s="20" t="str">
        <f>IFERROR(__xludf.DUMMYFUNCTION("""COMPUTED_VALUE"""),"Uncle Sams Cider (04/04/2023)")</f>
        <v>Uncle Sams Cider (04/04/2023)</v>
      </c>
      <c r="H11183" s="19"/>
    </row>
    <row r="11184">
      <c r="A11184" s="9"/>
      <c r="B11184" s="15"/>
      <c r="C11184" s="9">
        <f>IFERROR(__xludf.DUMMYFUNCTION("""COMPUTED_VALUE"""),45026.6761531713)</f>
        <v>45026.67615</v>
      </c>
      <c r="D11184" s="15">
        <f>IFERROR(__xludf.DUMMYFUNCTION("""COMPUTED_VALUE"""),1.078)</f>
        <v>1.078</v>
      </c>
      <c r="E11184" s="16">
        <f>IFERROR(__xludf.DUMMYFUNCTION("""COMPUTED_VALUE"""),61.0)</f>
        <v>61</v>
      </c>
      <c r="F11184" s="19" t="str">
        <f>IFERROR(__xludf.DUMMYFUNCTION("""COMPUTED_VALUE"""),"BLUE")</f>
        <v>BLUE</v>
      </c>
      <c r="G11184" s="20" t="str">
        <f>IFERROR(__xludf.DUMMYFUNCTION("""COMPUTED_VALUE"""),"Uncle Sams Cider (04/04/2023)")</f>
        <v>Uncle Sams Cider (04/04/2023)</v>
      </c>
      <c r="H11184" s="19"/>
    </row>
    <row r="11185">
      <c r="A11185" s="9"/>
      <c r="B11185" s="15"/>
      <c r="C11185" s="9">
        <f>IFERROR(__xludf.DUMMYFUNCTION("""COMPUTED_VALUE"""),45026.6657315856)</f>
        <v>45026.66573</v>
      </c>
      <c r="D11185" s="15">
        <f>IFERROR(__xludf.DUMMYFUNCTION("""COMPUTED_VALUE"""),1.078)</f>
        <v>1.078</v>
      </c>
      <c r="E11185" s="16">
        <f>IFERROR(__xludf.DUMMYFUNCTION("""COMPUTED_VALUE"""),61.0)</f>
        <v>61</v>
      </c>
      <c r="F11185" s="19" t="str">
        <f>IFERROR(__xludf.DUMMYFUNCTION("""COMPUTED_VALUE"""),"BLUE")</f>
        <v>BLUE</v>
      </c>
      <c r="G11185" s="20" t="str">
        <f>IFERROR(__xludf.DUMMYFUNCTION("""COMPUTED_VALUE"""),"Uncle Sams Cider (04/04/2023)")</f>
        <v>Uncle Sams Cider (04/04/2023)</v>
      </c>
      <c r="H11185" s="19"/>
    </row>
    <row r="11186">
      <c r="A11186" s="9"/>
      <c r="B11186" s="15"/>
      <c r="C11186" s="9">
        <f>IFERROR(__xludf.DUMMYFUNCTION("""COMPUTED_VALUE"""),45026.6553105324)</f>
        <v>45026.65531</v>
      </c>
      <c r="D11186" s="15">
        <f>IFERROR(__xludf.DUMMYFUNCTION("""COMPUTED_VALUE"""),1.078)</f>
        <v>1.078</v>
      </c>
      <c r="E11186" s="16">
        <f>IFERROR(__xludf.DUMMYFUNCTION("""COMPUTED_VALUE"""),61.0)</f>
        <v>61</v>
      </c>
      <c r="F11186" s="19" t="str">
        <f>IFERROR(__xludf.DUMMYFUNCTION("""COMPUTED_VALUE"""),"BLUE")</f>
        <v>BLUE</v>
      </c>
      <c r="G11186" s="20" t="str">
        <f>IFERROR(__xludf.DUMMYFUNCTION("""COMPUTED_VALUE"""),"Uncle Sams Cider (04/04/2023)")</f>
        <v>Uncle Sams Cider (04/04/2023)</v>
      </c>
      <c r="H11186" s="19"/>
    </row>
    <row r="11187">
      <c r="A11187" s="9"/>
      <c r="B11187" s="15"/>
      <c r="C11187" s="9">
        <f>IFERROR(__xludf.DUMMYFUNCTION("""COMPUTED_VALUE"""),45026.6448882176)</f>
        <v>45026.64489</v>
      </c>
      <c r="D11187" s="15">
        <f>IFERROR(__xludf.DUMMYFUNCTION("""COMPUTED_VALUE"""),1.078)</f>
        <v>1.078</v>
      </c>
      <c r="E11187" s="16">
        <f>IFERROR(__xludf.DUMMYFUNCTION("""COMPUTED_VALUE"""),61.0)</f>
        <v>61</v>
      </c>
      <c r="F11187" s="19" t="str">
        <f>IFERROR(__xludf.DUMMYFUNCTION("""COMPUTED_VALUE"""),"BLUE")</f>
        <v>BLUE</v>
      </c>
      <c r="G11187" s="20" t="str">
        <f>IFERROR(__xludf.DUMMYFUNCTION("""COMPUTED_VALUE"""),"Uncle Sams Cider (04/04/2023)")</f>
        <v>Uncle Sams Cider (04/04/2023)</v>
      </c>
      <c r="H11187" s="19"/>
    </row>
    <row r="11188">
      <c r="A11188" s="9"/>
      <c r="B11188" s="15"/>
      <c r="C11188" s="9">
        <f>IFERROR(__xludf.DUMMYFUNCTION("""COMPUTED_VALUE"""),45026.6344539583)</f>
        <v>45026.63445</v>
      </c>
      <c r="D11188" s="15">
        <f>IFERROR(__xludf.DUMMYFUNCTION("""COMPUTED_VALUE"""),1.078)</f>
        <v>1.078</v>
      </c>
      <c r="E11188" s="16">
        <f>IFERROR(__xludf.DUMMYFUNCTION("""COMPUTED_VALUE"""),61.0)</f>
        <v>61</v>
      </c>
      <c r="F11188" s="19" t="str">
        <f>IFERROR(__xludf.DUMMYFUNCTION("""COMPUTED_VALUE"""),"BLUE")</f>
        <v>BLUE</v>
      </c>
      <c r="G11188" s="20" t="str">
        <f>IFERROR(__xludf.DUMMYFUNCTION("""COMPUTED_VALUE"""),"Uncle Sams Cider (04/04/2023)")</f>
        <v>Uncle Sams Cider (04/04/2023)</v>
      </c>
      <c r="H11188" s="19"/>
    </row>
    <row r="11189">
      <c r="A11189" s="9"/>
      <c r="B11189" s="15"/>
      <c r="C11189" s="9">
        <f>IFERROR(__xludf.DUMMYFUNCTION("""COMPUTED_VALUE"""),45026.6240343287)</f>
        <v>45026.62403</v>
      </c>
      <c r="D11189" s="15">
        <f>IFERROR(__xludf.DUMMYFUNCTION("""COMPUTED_VALUE"""),1.078)</f>
        <v>1.078</v>
      </c>
      <c r="E11189" s="16">
        <f>IFERROR(__xludf.DUMMYFUNCTION("""COMPUTED_VALUE"""),61.0)</f>
        <v>61</v>
      </c>
      <c r="F11189" s="19" t="str">
        <f>IFERROR(__xludf.DUMMYFUNCTION("""COMPUTED_VALUE"""),"BLUE")</f>
        <v>BLUE</v>
      </c>
      <c r="G11189" s="20" t="str">
        <f>IFERROR(__xludf.DUMMYFUNCTION("""COMPUTED_VALUE"""),"Uncle Sams Cider (04/04/2023)")</f>
        <v>Uncle Sams Cider (04/04/2023)</v>
      </c>
      <c r="H11189" s="19"/>
    </row>
    <row r="11190">
      <c r="A11190" s="9"/>
      <c r="B11190" s="15"/>
      <c r="C11190" s="9">
        <f>IFERROR(__xludf.DUMMYFUNCTION("""COMPUTED_VALUE"""),45026.6136148611)</f>
        <v>45026.61361</v>
      </c>
      <c r="D11190" s="15">
        <f>IFERROR(__xludf.DUMMYFUNCTION("""COMPUTED_VALUE"""),1.078)</f>
        <v>1.078</v>
      </c>
      <c r="E11190" s="16">
        <f>IFERROR(__xludf.DUMMYFUNCTION("""COMPUTED_VALUE"""),61.0)</f>
        <v>61</v>
      </c>
      <c r="F11190" s="19" t="str">
        <f>IFERROR(__xludf.DUMMYFUNCTION("""COMPUTED_VALUE"""),"BLUE")</f>
        <v>BLUE</v>
      </c>
      <c r="G11190" s="20" t="str">
        <f>IFERROR(__xludf.DUMMYFUNCTION("""COMPUTED_VALUE"""),"Uncle Sams Cider (04/04/2023)")</f>
        <v>Uncle Sams Cider (04/04/2023)</v>
      </c>
      <c r="H11190" s="19"/>
    </row>
    <row r="11191">
      <c r="A11191" s="9"/>
      <c r="B11191" s="15"/>
      <c r="C11191" s="9">
        <f>IFERROR(__xludf.DUMMYFUNCTION("""COMPUTED_VALUE"""),45026.6031945254)</f>
        <v>45026.60319</v>
      </c>
      <c r="D11191" s="15">
        <f>IFERROR(__xludf.DUMMYFUNCTION("""COMPUTED_VALUE"""),1.078)</f>
        <v>1.078</v>
      </c>
      <c r="E11191" s="16">
        <f>IFERROR(__xludf.DUMMYFUNCTION("""COMPUTED_VALUE"""),61.0)</f>
        <v>61</v>
      </c>
      <c r="F11191" s="19" t="str">
        <f>IFERROR(__xludf.DUMMYFUNCTION("""COMPUTED_VALUE"""),"BLUE")</f>
        <v>BLUE</v>
      </c>
      <c r="G11191" s="20" t="str">
        <f>IFERROR(__xludf.DUMMYFUNCTION("""COMPUTED_VALUE"""),"Uncle Sams Cider (04/04/2023)")</f>
        <v>Uncle Sams Cider (04/04/2023)</v>
      </c>
      <c r="H11191" s="19"/>
    </row>
    <row r="11192">
      <c r="A11192" s="9"/>
      <c r="B11192" s="15"/>
      <c r="C11192" s="9">
        <f>IFERROR(__xludf.DUMMYFUNCTION("""COMPUTED_VALUE"""),45026.5927725231)</f>
        <v>45026.59277</v>
      </c>
      <c r="D11192" s="15">
        <f>IFERROR(__xludf.DUMMYFUNCTION("""COMPUTED_VALUE"""),1.078)</f>
        <v>1.078</v>
      </c>
      <c r="E11192" s="16">
        <f>IFERROR(__xludf.DUMMYFUNCTION("""COMPUTED_VALUE"""),61.0)</f>
        <v>61</v>
      </c>
      <c r="F11192" s="19" t="str">
        <f>IFERROR(__xludf.DUMMYFUNCTION("""COMPUTED_VALUE"""),"BLUE")</f>
        <v>BLUE</v>
      </c>
      <c r="G11192" s="20" t="str">
        <f>IFERROR(__xludf.DUMMYFUNCTION("""COMPUTED_VALUE"""),"Uncle Sams Cider (04/04/2023)")</f>
        <v>Uncle Sams Cider (04/04/2023)</v>
      </c>
      <c r="H11192" s="19"/>
    </row>
    <row r="11193">
      <c r="A11193" s="9"/>
      <c r="B11193" s="15"/>
      <c r="C11193" s="9">
        <f>IFERROR(__xludf.DUMMYFUNCTION("""COMPUTED_VALUE"""),45026.58235103)</f>
        <v>45026.58235</v>
      </c>
      <c r="D11193" s="15">
        <f>IFERROR(__xludf.DUMMYFUNCTION("""COMPUTED_VALUE"""),1.078)</f>
        <v>1.078</v>
      </c>
      <c r="E11193" s="16">
        <f>IFERROR(__xludf.DUMMYFUNCTION("""COMPUTED_VALUE"""),61.0)</f>
        <v>61</v>
      </c>
      <c r="F11193" s="19" t="str">
        <f>IFERROR(__xludf.DUMMYFUNCTION("""COMPUTED_VALUE"""),"BLUE")</f>
        <v>BLUE</v>
      </c>
      <c r="G11193" s="20" t="str">
        <f>IFERROR(__xludf.DUMMYFUNCTION("""COMPUTED_VALUE"""),"Uncle Sams Cider (04/04/2023)")</f>
        <v>Uncle Sams Cider (04/04/2023)</v>
      </c>
      <c r="H11193" s="19"/>
    </row>
    <row r="11194">
      <c r="A11194" s="9"/>
      <c r="B11194" s="15"/>
      <c r="C11194" s="9">
        <f>IFERROR(__xludf.DUMMYFUNCTION("""COMPUTED_VALUE"""),45026.5719298263)</f>
        <v>45026.57193</v>
      </c>
      <c r="D11194" s="15">
        <f>IFERROR(__xludf.DUMMYFUNCTION("""COMPUTED_VALUE"""),1.078)</f>
        <v>1.078</v>
      </c>
      <c r="E11194" s="16">
        <f>IFERROR(__xludf.DUMMYFUNCTION("""COMPUTED_VALUE"""),61.0)</f>
        <v>61</v>
      </c>
      <c r="F11194" s="19" t="str">
        <f>IFERROR(__xludf.DUMMYFUNCTION("""COMPUTED_VALUE"""),"BLUE")</f>
        <v>BLUE</v>
      </c>
      <c r="G11194" s="20" t="str">
        <f>IFERROR(__xludf.DUMMYFUNCTION("""COMPUTED_VALUE"""),"Uncle Sams Cider (04/04/2023)")</f>
        <v>Uncle Sams Cider (04/04/2023)</v>
      </c>
      <c r="H11194" s="19"/>
    </row>
    <row r="11195">
      <c r="A11195" s="9"/>
      <c r="B11195" s="15"/>
      <c r="C11195" s="9">
        <f>IFERROR(__xludf.DUMMYFUNCTION("""COMPUTED_VALUE"""),45026.5615075231)</f>
        <v>45026.56151</v>
      </c>
      <c r="D11195" s="15">
        <f>IFERROR(__xludf.DUMMYFUNCTION("""COMPUTED_VALUE"""),1.078)</f>
        <v>1.078</v>
      </c>
      <c r="E11195" s="16">
        <f>IFERROR(__xludf.DUMMYFUNCTION("""COMPUTED_VALUE"""),61.0)</f>
        <v>61</v>
      </c>
      <c r="F11195" s="19" t="str">
        <f>IFERROR(__xludf.DUMMYFUNCTION("""COMPUTED_VALUE"""),"BLUE")</f>
        <v>BLUE</v>
      </c>
      <c r="G11195" s="20" t="str">
        <f>IFERROR(__xludf.DUMMYFUNCTION("""COMPUTED_VALUE"""),"Uncle Sams Cider (04/04/2023)")</f>
        <v>Uncle Sams Cider (04/04/2023)</v>
      </c>
      <c r="H11195" s="19"/>
    </row>
    <row r="11196">
      <c r="A11196" s="9"/>
      <c r="B11196" s="15"/>
      <c r="C11196" s="9">
        <f>IFERROR(__xludf.DUMMYFUNCTION("""COMPUTED_VALUE"""),45026.5510871412)</f>
        <v>45026.55109</v>
      </c>
      <c r="D11196" s="15">
        <f>IFERROR(__xludf.DUMMYFUNCTION("""COMPUTED_VALUE"""),1.078)</f>
        <v>1.078</v>
      </c>
      <c r="E11196" s="16">
        <f>IFERROR(__xludf.DUMMYFUNCTION("""COMPUTED_VALUE"""),61.0)</f>
        <v>61</v>
      </c>
      <c r="F11196" s="19" t="str">
        <f>IFERROR(__xludf.DUMMYFUNCTION("""COMPUTED_VALUE"""),"BLUE")</f>
        <v>BLUE</v>
      </c>
      <c r="G11196" s="20" t="str">
        <f>IFERROR(__xludf.DUMMYFUNCTION("""COMPUTED_VALUE"""),"Uncle Sams Cider (04/04/2023)")</f>
        <v>Uncle Sams Cider (04/04/2023)</v>
      </c>
      <c r="H11196" s="19"/>
    </row>
    <row r="11197">
      <c r="A11197" s="9"/>
      <c r="B11197" s="15"/>
      <c r="C11197" s="9">
        <f>IFERROR(__xludf.DUMMYFUNCTION("""COMPUTED_VALUE"""),45026.5406649421)</f>
        <v>45026.54066</v>
      </c>
      <c r="D11197" s="15">
        <f>IFERROR(__xludf.DUMMYFUNCTION("""COMPUTED_VALUE"""),1.079)</f>
        <v>1.079</v>
      </c>
      <c r="E11197" s="16">
        <f>IFERROR(__xludf.DUMMYFUNCTION("""COMPUTED_VALUE"""),61.0)</f>
        <v>61</v>
      </c>
      <c r="F11197" s="19" t="str">
        <f>IFERROR(__xludf.DUMMYFUNCTION("""COMPUTED_VALUE"""),"BLUE")</f>
        <v>BLUE</v>
      </c>
      <c r="G11197" s="20" t="str">
        <f>IFERROR(__xludf.DUMMYFUNCTION("""COMPUTED_VALUE"""),"Uncle Sams Cider (04/04/2023)")</f>
        <v>Uncle Sams Cider (04/04/2023)</v>
      </c>
      <c r="H11197" s="19"/>
    </row>
    <row r="11198">
      <c r="A11198" s="9"/>
      <c r="B11198" s="15"/>
      <c r="C11198" s="9">
        <f>IFERROR(__xludf.DUMMYFUNCTION("""COMPUTED_VALUE"""),45026.5302448611)</f>
        <v>45026.53024</v>
      </c>
      <c r="D11198" s="15">
        <f>IFERROR(__xludf.DUMMYFUNCTION("""COMPUTED_VALUE"""),1.078)</f>
        <v>1.078</v>
      </c>
      <c r="E11198" s="16">
        <f>IFERROR(__xludf.DUMMYFUNCTION("""COMPUTED_VALUE"""),61.0)</f>
        <v>61</v>
      </c>
      <c r="F11198" s="19" t="str">
        <f>IFERROR(__xludf.DUMMYFUNCTION("""COMPUTED_VALUE"""),"BLUE")</f>
        <v>BLUE</v>
      </c>
      <c r="G11198" s="20" t="str">
        <f>IFERROR(__xludf.DUMMYFUNCTION("""COMPUTED_VALUE"""),"Uncle Sams Cider (04/04/2023)")</f>
        <v>Uncle Sams Cider (04/04/2023)</v>
      </c>
      <c r="H11198" s="19"/>
    </row>
    <row r="11199">
      <c r="A11199" s="9"/>
      <c r="B11199" s="15"/>
      <c r="C11199" s="9">
        <f>IFERROR(__xludf.DUMMYFUNCTION("""COMPUTED_VALUE"""),45026.5198120949)</f>
        <v>45026.51981</v>
      </c>
      <c r="D11199" s="15">
        <f>IFERROR(__xludf.DUMMYFUNCTION("""COMPUTED_VALUE"""),1.078)</f>
        <v>1.078</v>
      </c>
      <c r="E11199" s="16">
        <f>IFERROR(__xludf.DUMMYFUNCTION("""COMPUTED_VALUE"""),61.0)</f>
        <v>61</v>
      </c>
      <c r="F11199" s="19" t="str">
        <f>IFERROR(__xludf.DUMMYFUNCTION("""COMPUTED_VALUE"""),"BLUE")</f>
        <v>BLUE</v>
      </c>
      <c r="G11199" s="20" t="str">
        <f>IFERROR(__xludf.DUMMYFUNCTION("""COMPUTED_VALUE"""),"Uncle Sams Cider (04/04/2023)")</f>
        <v>Uncle Sams Cider (04/04/2023)</v>
      </c>
      <c r="H11199" s="19"/>
    </row>
    <row r="11200">
      <c r="A11200" s="9"/>
      <c r="B11200" s="15"/>
      <c r="C11200" s="9">
        <f>IFERROR(__xludf.DUMMYFUNCTION("""COMPUTED_VALUE"""),45026.509390868)</f>
        <v>45026.50939</v>
      </c>
      <c r="D11200" s="15">
        <f>IFERROR(__xludf.DUMMYFUNCTION("""COMPUTED_VALUE"""),1.078)</f>
        <v>1.078</v>
      </c>
      <c r="E11200" s="16">
        <f>IFERROR(__xludf.DUMMYFUNCTION("""COMPUTED_VALUE"""),61.0)</f>
        <v>61</v>
      </c>
      <c r="F11200" s="19" t="str">
        <f>IFERROR(__xludf.DUMMYFUNCTION("""COMPUTED_VALUE"""),"BLUE")</f>
        <v>BLUE</v>
      </c>
      <c r="G11200" s="20" t="str">
        <f>IFERROR(__xludf.DUMMYFUNCTION("""COMPUTED_VALUE"""),"Uncle Sams Cider (04/04/2023)")</f>
        <v>Uncle Sams Cider (04/04/2023)</v>
      </c>
      <c r="H11200" s="19"/>
    </row>
    <row r="11201">
      <c r="A11201" s="9"/>
      <c r="B11201" s="15"/>
      <c r="C11201" s="9">
        <f>IFERROR(__xludf.DUMMYFUNCTION("""COMPUTED_VALUE"""),45026.4989582176)</f>
        <v>45026.49896</v>
      </c>
      <c r="D11201" s="15">
        <f>IFERROR(__xludf.DUMMYFUNCTION("""COMPUTED_VALUE"""),1.078)</f>
        <v>1.078</v>
      </c>
      <c r="E11201" s="16">
        <f>IFERROR(__xludf.DUMMYFUNCTION("""COMPUTED_VALUE"""),61.0)</f>
        <v>61</v>
      </c>
      <c r="F11201" s="19" t="str">
        <f>IFERROR(__xludf.DUMMYFUNCTION("""COMPUTED_VALUE"""),"BLUE")</f>
        <v>BLUE</v>
      </c>
      <c r="G11201" s="20" t="str">
        <f>IFERROR(__xludf.DUMMYFUNCTION("""COMPUTED_VALUE"""),"Uncle Sams Cider (04/04/2023)")</f>
        <v>Uncle Sams Cider (04/04/2023)</v>
      </c>
      <c r="H11201" s="19"/>
    </row>
    <row r="11202">
      <c r="A11202" s="9"/>
      <c r="B11202" s="15"/>
      <c r="C11202" s="9">
        <f>IFERROR(__xludf.DUMMYFUNCTION("""COMPUTED_VALUE"""),45026.4885377546)</f>
        <v>45026.48854</v>
      </c>
      <c r="D11202" s="15">
        <f>IFERROR(__xludf.DUMMYFUNCTION("""COMPUTED_VALUE"""),1.078)</f>
        <v>1.078</v>
      </c>
      <c r="E11202" s="16">
        <f>IFERROR(__xludf.DUMMYFUNCTION("""COMPUTED_VALUE"""),61.0)</f>
        <v>61</v>
      </c>
      <c r="F11202" s="19" t="str">
        <f>IFERROR(__xludf.DUMMYFUNCTION("""COMPUTED_VALUE"""),"BLUE")</f>
        <v>BLUE</v>
      </c>
      <c r="G11202" s="20" t="str">
        <f>IFERROR(__xludf.DUMMYFUNCTION("""COMPUTED_VALUE"""),"Uncle Sams Cider (04/04/2023)")</f>
        <v>Uncle Sams Cider (04/04/2023)</v>
      </c>
      <c r="H11202" s="19"/>
    </row>
    <row r="11203">
      <c r="A11203" s="9"/>
      <c r="B11203" s="15"/>
      <c r="C11203" s="9">
        <f>IFERROR(__xludf.DUMMYFUNCTION("""COMPUTED_VALUE"""),45026.4781065509)</f>
        <v>45026.47811</v>
      </c>
      <c r="D11203" s="15">
        <f>IFERROR(__xludf.DUMMYFUNCTION("""COMPUTED_VALUE"""),1.078)</f>
        <v>1.078</v>
      </c>
      <c r="E11203" s="16">
        <f>IFERROR(__xludf.DUMMYFUNCTION("""COMPUTED_VALUE"""),61.0)</f>
        <v>61</v>
      </c>
      <c r="F11203" s="19" t="str">
        <f>IFERROR(__xludf.DUMMYFUNCTION("""COMPUTED_VALUE"""),"BLUE")</f>
        <v>BLUE</v>
      </c>
      <c r="G11203" s="20" t="str">
        <f>IFERROR(__xludf.DUMMYFUNCTION("""COMPUTED_VALUE"""),"Uncle Sams Cider (04/04/2023)")</f>
        <v>Uncle Sams Cider (04/04/2023)</v>
      </c>
      <c r="H11203" s="19"/>
    </row>
    <row r="11204">
      <c r="A11204" s="9"/>
      <c r="B11204" s="15"/>
      <c r="C11204" s="9">
        <f>IFERROR(__xludf.DUMMYFUNCTION("""COMPUTED_VALUE"""),45026.4676846875)</f>
        <v>45026.46768</v>
      </c>
      <c r="D11204" s="15">
        <f>IFERROR(__xludf.DUMMYFUNCTION("""COMPUTED_VALUE"""),1.079)</f>
        <v>1.079</v>
      </c>
      <c r="E11204" s="16">
        <f>IFERROR(__xludf.DUMMYFUNCTION("""COMPUTED_VALUE"""),61.0)</f>
        <v>61</v>
      </c>
      <c r="F11204" s="19" t="str">
        <f>IFERROR(__xludf.DUMMYFUNCTION("""COMPUTED_VALUE"""),"BLUE")</f>
        <v>BLUE</v>
      </c>
      <c r="G11204" s="20" t="str">
        <f>IFERROR(__xludf.DUMMYFUNCTION("""COMPUTED_VALUE"""),"Uncle Sams Cider (04/04/2023)")</f>
        <v>Uncle Sams Cider (04/04/2023)</v>
      </c>
      <c r="H11204" s="19"/>
    </row>
    <row r="11205">
      <c r="A11205" s="9"/>
      <c r="B11205" s="15"/>
      <c r="C11205" s="9">
        <f>IFERROR(__xludf.DUMMYFUNCTION("""COMPUTED_VALUE"""),45026.4572629976)</f>
        <v>45026.45726</v>
      </c>
      <c r="D11205" s="15">
        <f>IFERROR(__xludf.DUMMYFUNCTION("""COMPUTED_VALUE"""),1.079)</f>
        <v>1.079</v>
      </c>
      <c r="E11205" s="16">
        <f>IFERROR(__xludf.DUMMYFUNCTION("""COMPUTED_VALUE"""),61.0)</f>
        <v>61</v>
      </c>
      <c r="F11205" s="19" t="str">
        <f>IFERROR(__xludf.DUMMYFUNCTION("""COMPUTED_VALUE"""),"BLUE")</f>
        <v>BLUE</v>
      </c>
      <c r="G11205" s="20" t="str">
        <f>IFERROR(__xludf.DUMMYFUNCTION("""COMPUTED_VALUE"""),"Uncle Sams Cider (04/04/2023)")</f>
        <v>Uncle Sams Cider (04/04/2023)</v>
      </c>
      <c r="H11205" s="19"/>
    </row>
    <row r="11206">
      <c r="A11206" s="9"/>
      <c r="B11206" s="15"/>
      <c r="C11206" s="9">
        <f>IFERROR(__xludf.DUMMYFUNCTION("""COMPUTED_VALUE"""),45026.4468409606)</f>
        <v>45026.44684</v>
      </c>
      <c r="D11206" s="15">
        <f>IFERROR(__xludf.DUMMYFUNCTION("""COMPUTED_VALUE"""),1.079)</f>
        <v>1.079</v>
      </c>
      <c r="E11206" s="16">
        <f>IFERROR(__xludf.DUMMYFUNCTION("""COMPUTED_VALUE"""),61.0)</f>
        <v>61</v>
      </c>
      <c r="F11206" s="19" t="str">
        <f>IFERROR(__xludf.DUMMYFUNCTION("""COMPUTED_VALUE"""),"BLUE")</f>
        <v>BLUE</v>
      </c>
      <c r="G11206" s="20" t="str">
        <f>IFERROR(__xludf.DUMMYFUNCTION("""COMPUTED_VALUE"""),"Uncle Sams Cider (04/04/2023)")</f>
        <v>Uncle Sams Cider (04/04/2023)</v>
      </c>
      <c r="H11206" s="19"/>
    </row>
    <row r="11207">
      <c r="A11207" s="9"/>
      <c r="B11207" s="15"/>
      <c r="C11207" s="9">
        <f>IFERROR(__xludf.DUMMYFUNCTION("""COMPUTED_VALUE"""),45026.4364180671)</f>
        <v>45026.43642</v>
      </c>
      <c r="D11207" s="15">
        <f>IFERROR(__xludf.DUMMYFUNCTION("""COMPUTED_VALUE"""),1.078)</f>
        <v>1.078</v>
      </c>
      <c r="E11207" s="16">
        <f>IFERROR(__xludf.DUMMYFUNCTION("""COMPUTED_VALUE"""),61.0)</f>
        <v>61</v>
      </c>
      <c r="F11207" s="19" t="str">
        <f>IFERROR(__xludf.DUMMYFUNCTION("""COMPUTED_VALUE"""),"BLUE")</f>
        <v>BLUE</v>
      </c>
      <c r="G11207" s="20" t="str">
        <f>IFERROR(__xludf.DUMMYFUNCTION("""COMPUTED_VALUE"""),"Uncle Sams Cider (04/04/2023)")</f>
        <v>Uncle Sams Cider (04/04/2023)</v>
      </c>
      <c r="H11207" s="19"/>
    </row>
    <row r="11208">
      <c r="A11208" s="9"/>
      <c r="B11208" s="15"/>
      <c r="C11208" s="9">
        <f>IFERROR(__xludf.DUMMYFUNCTION("""COMPUTED_VALUE"""),45026.4259981134)</f>
        <v>45026.426</v>
      </c>
      <c r="D11208" s="15">
        <f>IFERROR(__xludf.DUMMYFUNCTION("""COMPUTED_VALUE"""),1.078)</f>
        <v>1.078</v>
      </c>
      <c r="E11208" s="16">
        <f>IFERROR(__xludf.DUMMYFUNCTION("""COMPUTED_VALUE"""),61.0)</f>
        <v>61</v>
      </c>
      <c r="F11208" s="19" t="str">
        <f>IFERROR(__xludf.DUMMYFUNCTION("""COMPUTED_VALUE"""),"BLUE")</f>
        <v>BLUE</v>
      </c>
      <c r="G11208" s="20" t="str">
        <f>IFERROR(__xludf.DUMMYFUNCTION("""COMPUTED_VALUE"""),"Uncle Sams Cider (04/04/2023)")</f>
        <v>Uncle Sams Cider (04/04/2023)</v>
      </c>
      <c r="H11208" s="19"/>
    </row>
    <row r="11209">
      <c r="A11209" s="9"/>
      <c r="B11209" s="15"/>
      <c r="C11209" s="9">
        <f>IFERROR(__xludf.DUMMYFUNCTION("""COMPUTED_VALUE"""),45026.4155786574)</f>
        <v>45026.41558</v>
      </c>
      <c r="D11209" s="15">
        <f>IFERROR(__xludf.DUMMYFUNCTION("""COMPUTED_VALUE"""),1.079)</f>
        <v>1.079</v>
      </c>
      <c r="E11209" s="16">
        <f>IFERROR(__xludf.DUMMYFUNCTION("""COMPUTED_VALUE"""),61.0)</f>
        <v>61</v>
      </c>
      <c r="F11209" s="19" t="str">
        <f>IFERROR(__xludf.DUMMYFUNCTION("""COMPUTED_VALUE"""),"BLUE")</f>
        <v>BLUE</v>
      </c>
      <c r="G11209" s="20" t="str">
        <f>IFERROR(__xludf.DUMMYFUNCTION("""COMPUTED_VALUE"""),"Uncle Sams Cider (04/04/2023)")</f>
        <v>Uncle Sams Cider (04/04/2023)</v>
      </c>
      <c r="H11209" s="19"/>
    </row>
    <row r="11210">
      <c r="A11210" s="9"/>
      <c r="B11210" s="15"/>
      <c r="C11210" s="9">
        <f>IFERROR(__xludf.DUMMYFUNCTION("""COMPUTED_VALUE"""),45026.4051578588)</f>
        <v>45026.40516</v>
      </c>
      <c r="D11210" s="15">
        <f>IFERROR(__xludf.DUMMYFUNCTION("""COMPUTED_VALUE"""),1.078)</f>
        <v>1.078</v>
      </c>
      <c r="E11210" s="16">
        <f>IFERROR(__xludf.DUMMYFUNCTION("""COMPUTED_VALUE"""),61.0)</f>
        <v>61</v>
      </c>
      <c r="F11210" s="19" t="str">
        <f>IFERROR(__xludf.DUMMYFUNCTION("""COMPUTED_VALUE"""),"BLUE")</f>
        <v>BLUE</v>
      </c>
      <c r="G11210" s="20" t="str">
        <f>IFERROR(__xludf.DUMMYFUNCTION("""COMPUTED_VALUE"""),"Uncle Sams Cider (04/04/2023)")</f>
        <v>Uncle Sams Cider (04/04/2023)</v>
      </c>
      <c r="H11210" s="19"/>
    </row>
    <row r="11211">
      <c r="A11211" s="9"/>
      <c r="B11211" s="15"/>
      <c r="C11211" s="9">
        <f>IFERROR(__xludf.DUMMYFUNCTION("""COMPUTED_VALUE"""),45026.3947363773)</f>
        <v>45026.39474</v>
      </c>
      <c r="D11211" s="15">
        <f>IFERROR(__xludf.DUMMYFUNCTION("""COMPUTED_VALUE"""),1.079)</f>
        <v>1.079</v>
      </c>
      <c r="E11211" s="16">
        <f>IFERROR(__xludf.DUMMYFUNCTION("""COMPUTED_VALUE"""),61.0)</f>
        <v>61</v>
      </c>
      <c r="F11211" s="19" t="str">
        <f>IFERROR(__xludf.DUMMYFUNCTION("""COMPUTED_VALUE"""),"BLUE")</f>
        <v>BLUE</v>
      </c>
      <c r="G11211" s="20" t="str">
        <f>IFERROR(__xludf.DUMMYFUNCTION("""COMPUTED_VALUE"""),"Uncle Sams Cider (04/04/2023)")</f>
        <v>Uncle Sams Cider (04/04/2023)</v>
      </c>
      <c r="H11211" s="19"/>
    </row>
    <row r="11212">
      <c r="A11212" s="9"/>
      <c r="B11212" s="15"/>
      <c r="C11212" s="9">
        <f>IFERROR(__xludf.DUMMYFUNCTION("""COMPUTED_VALUE"""),45026.3843133217)</f>
        <v>45026.38431</v>
      </c>
      <c r="D11212" s="15">
        <f>IFERROR(__xludf.DUMMYFUNCTION("""COMPUTED_VALUE"""),1.079)</f>
        <v>1.079</v>
      </c>
      <c r="E11212" s="16">
        <f>IFERROR(__xludf.DUMMYFUNCTION("""COMPUTED_VALUE"""),61.0)</f>
        <v>61</v>
      </c>
      <c r="F11212" s="19" t="str">
        <f>IFERROR(__xludf.DUMMYFUNCTION("""COMPUTED_VALUE"""),"BLUE")</f>
        <v>BLUE</v>
      </c>
      <c r="G11212" s="20" t="str">
        <f>IFERROR(__xludf.DUMMYFUNCTION("""COMPUTED_VALUE"""),"Uncle Sams Cider (04/04/2023)")</f>
        <v>Uncle Sams Cider (04/04/2023)</v>
      </c>
      <c r="H11212" s="19"/>
    </row>
    <row r="11213">
      <c r="A11213" s="9"/>
      <c r="B11213" s="15"/>
      <c r="C11213" s="9">
        <f>IFERROR(__xludf.DUMMYFUNCTION("""COMPUTED_VALUE"""),45026.3738919328)</f>
        <v>45026.37389</v>
      </c>
      <c r="D11213" s="15">
        <f>IFERROR(__xludf.DUMMYFUNCTION("""COMPUTED_VALUE"""),1.079)</f>
        <v>1.079</v>
      </c>
      <c r="E11213" s="16">
        <f>IFERROR(__xludf.DUMMYFUNCTION("""COMPUTED_VALUE"""),61.0)</f>
        <v>61</v>
      </c>
      <c r="F11213" s="19" t="str">
        <f>IFERROR(__xludf.DUMMYFUNCTION("""COMPUTED_VALUE"""),"BLUE")</f>
        <v>BLUE</v>
      </c>
      <c r="G11213" s="20" t="str">
        <f>IFERROR(__xludf.DUMMYFUNCTION("""COMPUTED_VALUE"""),"Uncle Sams Cider (04/04/2023)")</f>
        <v>Uncle Sams Cider (04/04/2023)</v>
      </c>
      <c r="H11213" s="19"/>
    </row>
    <row r="11214">
      <c r="A11214" s="9"/>
      <c r="B11214" s="15"/>
      <c r="C11214" s="9">
        <f>IFERROR(__xludf.DUMMYFUNCTION("""COMPUTED_VALUE"""),45026.3634581481)</f>
        <v>45026.36346</v>
      </c>
      <c r="D11214" s="15">
        <f>IFERROR(__xludf.DUMMYFUNCTION("""COMPUTED_VALUE"""),1.079)</f>
        <v>1.079</v>
      </c>
      <c r="E11214" s="16">
        <f>IFERROR(__xludf.DUMMYFUNCTION("""COMPUTED_VALUE"""),61.0)</f>
        <v>61</v>
      </c>
      <c r="F11214" s="19" t="str">
        <f>IFERROR(__xludf.DUMMYFUNCTION("""COMPUTED_VALUE"""),"BLUE")</f>
        <v>BLUE</v>
      </c>
      <c r="G11214" s="20" t="str">
        <f>IFERROR(__xludf.DUMMYFUNCTION("""COMPUTED_VALUE"""),"Uncle Sams Cider (04/04/2023)")</f>
        <v>Uncle Sams Cider (04/04/2023)</v>
      </c>
      <c r="H11214" s="19"/>
    </row>
    <row r="11215">
      <c r="A11215" s="9"/>
      <c r="B11215" s="15"/>
      <c r="C11215" s="9">
        <f>IFERROR(__xludf.DUMMYFUNCTION("""COMPUTED_VALUE"""),45026.3530354282)</f>
        <v>45026.35304</v>
      </c>
      <c r="D11215" s="15">
        <f>IFERROR(__xludf.DUMMYFUNCTION("""COMPUTED_VALUE"""),1.079)</f>
        <v>1.079</v>
      </c>
      <c r="E11215" s="16">
        <f>IFERROR(__xludf.DUMMYFUNCTION("""COMPUTED_VALUE"""),61.0)</f>
        <v>61</v>
      </c>
      <c r="F11215" s="19" t="str">
        <f>IFERROR(__xludf.DUMMYFUNCTION("""COMPUTED_VALUE"""),"BLUE")</f>
        <v>BLUE</v>
      </c>
      <c r="G11215" s="20" t="str">
        <f>IFERROR(__xludf.DUMMYFUNCTION("""COMPUTED_VALUE"""),"Uncle Sams Cider (04/04/2023)")</f>
        <v>Uncle Sams Cider (04/04/2023)</v>
      </c>
      <c r="H11215" s="19"/>
    </row>
    <row r="11216">
      <c r="A11216" s="9"/>
      <c r="B11216" s="15"/>
      <c r="C11216" s="9">
        <f>IFERROR(__xludf.DUMMYFUNCTION("""COMPUTED_VALUE"""),45026.3426136574)</f>
        <v>45026.34261</v>
      </c>
      <c r="D11216" s="15">
        <f>IFERROR(__xludf.DUMMYFUNCTION("""COMPUTED_VALUE"""),1.079)</f>
        <v>1.079</v>
      </c>
      <c r="E11216" s="16">
        <f>IFERROR(__xludf.DUMMYFUNCTION("""COMPUTED_VALUE"""),61.0)</f>
        <v>61</v>
      </c>
      <c r="F11216" s="19" t="str">
        <f>IFERROR(__xludf.DUMMYFUNCTION("""COMPUTED_VALUE"""),"BLUE")</f>
        <v>BLUE</v>
      </c>
      <c r="G11216" s="20" t="str">
        <f>IFERROR(__xludf.DUMMYFUNCTION("""COMPUTED_VALUE"""),"Uncle Sams Cider (04/04/2023)")</f>
        <v>Uncle Sams Cider (04/04/2023)</v>
      </c>
      <c r="H11216" s="19"/>
    </row>
    <row r="11217">
      <c r="A11217" s="9"/>
      <c r="B11217" s="15"/>
      <c r="C11217" s="9">
        <f>IFERROR(__xludf.DUMMYFUNCTION("""COMPUTED_VALUE"""),45026.332180162)</f>
        <v>45026.33218</v>
      </c>
      <c r="D11217" s="15">
        <f>IFERROR(__xludf.DUMMYFUNCTION("""COMPUTED_VALUE"""),1.079)</f>
        <v>1.079</v>
      </c>
      <c r="E11217" s="16">
        <f>IFERROR(__xludf.DUMMYFUNCTION("""COMPUTED_VALUE"""),61.0)</f>
        <v>61</v>
      </c>
      <c r="F11217" s="19" t="str">
        <f>IFERROR(__xludf.DUMMYFUNCTION("""COMPUTED_VALUE"""),"BLUE")</f>
        <v>BLUE</v>
      </c>
      <c r="G11217" s="20" t="str">
        <f>IFERROR(__xludf.DUMMYFUNCTION("""COMPUTED_VALUE"""),"Uncle Sams Cider (04/04/2023)")</f>
        <v>Uncle Sams Cider (04/04/2023)</v>
      </c>
      <c r="H11217" s="19"/>
    </row>
    <row r="11218">
      <c r="A11218" s="9"/>
      <c r="B11218" s="15"/>
      <c r="C11218" s="9">
        <f>IFERROR(__xludf.DUMMYFUNCTION("""COMPUTED_VALUE"""),45026.3217588078)</f>
        <v>45026.32176</v>
      </c>
      <c r="D11218" s="15">
        <f>IFERROR(__xludf.DUMMYFUNCTION("""COMPUTED_VALUE"""),1.079)</f>
        <v>1.079</v>
      </c>
      <c r="E11218" s="16">
        <f>IFERROR(__xludf.DUMMYFUNCTION("""COMPUTED_VALUE"""),61.0)</f>
        <v>61</v>
      </c>
      <c r="F11218" s="19" t="str">
        <f>IFERROR(__xludf.DUMMYFUNCTION("""COMPUTED_VALUE"""),"BLUE")</f>
        <v>BLUE</v>
      </c>
      <c r="G11218" s="20" t="str">
        <f>IFERROR(__xludf.DUMMYFUNCTION("""COMPUTED_VALUE"""),"Uncle Sams Cider (04/04/2023)")</f>
        <v>Uncle Sams Cider (04/04/2023)</v>
      </c>
      <c r="H11218" s="19"/>
    </row>
    <row r="11219">
      <c r="A11219" s="9"/>
      <c r="B11219" s="15"/>
      <c r="C11219" s="9">
        <f>IFERROR(__xludf.DUMMYFUNCTION("""COMPUTED_VALUE"""),45026.3113377314)</f>
        <v>45026.31134</v>
      </c>
      <c r="D11219" s="15">
        <f>IFERROR(__xludf.DUMMYFUNCTION("""COMPUTED_VALUE"""),1.079)</f>
        <v>1.079</v>
      </c>
      <c r="E11219" s="16">
        <f>IFERROR(__xludf.DUMMYFUNCTION("""COMPUTED_VALUE"""),61.0)</f>
        <v>61</v>
      </c>
      <c r="F11219" s="19" t="str">
        <f>IFERROR(__xludf.DUMMYFUNCTION("""COMPUTED_VALUE"""),"BLUE")</f>
        <v>BLUE</v>
      </c>
      <c r="G11219" s="20" t="str">
        <f>IFERROR(__xludf.DUMMYFUNCTION("""COMPUTED_VALUE"""),"Uncle Sams Cider (04/04/2023)")</f>
        <v>Uncle Sams Cider (04/04/2023)</v>
      </c>
      <c r="H11219" s="19"/>
    </row>
    <row r="11220">
      <c r="A11220" s="9"/>
      <c r="B11220" s="15"/>
      <c r="C11220" s="9">
        <f>IFERROR(__xludf.DUMMYFUNCTION("""COMPUTED_VALUE"""),45026.3009155092)</f>
        <v>45026.30092</v>
      </c>
      <c r="D11220" s="15">
        <f>IFERROR(__xludf.DUMMYFUNCTION("""COMPUTED_VALUE"""),1.079)</f>
        <v>1.079</v>
      </c>
      <c r="E11220" s="16">
        <f>IFERROR(__xludf.DUMMYFUNCTION("""COMPUTED_VALUE"""),61.0)</f>
        <v>61</v>
      </c>
      <c r="F11220" s="19" t="str">
        <f>IFERROR(__xludf.DUMMYFUNCTION("""COMPUTED_VALUE"""),"BLUE")</f>
        <v>BLUE</v>
      </c>
      <c r="G11220" s="20" t="str">
        <f>IFERROR(__xludf.DUMMYFUNCTION("""COMPUTED_VALUE"""),"Uncle Sams Cider (04/04/2023)")</f>
        <v>Uncle Sams Cider (04/04/2023)</v>
      </c>
      <c r="H11220" s="19"/>
    </row>
    <row r="11221">
      <c r="A11221" s="9"/>
      <c r="B11221" s="15"/>
      <c r="C11221" s="9">
        <f>IFERROR(__xludf.DUMMYFUNCTION("""COMPUTED_VALUE"""),45026.2904934722)</f>
        <v>45026.29049</v>
      </c>
      <c r="D11221" s="15">
        <f>IFERROR(__xludf.DUMMYFUNCTION("""COMPUTED_VALUE"""),1.08)</f>
        <v>1.08</v>
      </c>
      <c r="E11221" s="16">
        <f>IFERROR(__xludf.DUMMYFUNCTION("""COMPUTED_VALUE"""),61.0)</f>
        <v>61</v>
      </c>
      <c r="F11221" s="19" t="str">
        <f>IFERROR(__xludf.DUMMYFUNCTION("""COMPUTED_VALUE"""),"BLUE")</f>
        <v>BLUE</v>
      </c>
      <c r="G11221" s="20" t="str">
        <f>IFERROR(__xludf.DUMMYFUNCTION("""COMPUTED_VALUE"""),"Uncle Sams Cider (04/04/2023)")</f>
        <v>Uncle Sams Cider (04/04/2023)</v>
      </c>
      <c r="H11221" s="19"/>
    </row>
    <row r="11222">
      <c r="A11222" s="9"/>
      <c r="B11222" s="15"/>
      <c r="C11222" s="9">
        <f>IFERROR(__xludf.DUMMYFUNCTION("""COMPUTED_VALUE"""),45026.2800732638)</f>
        <v>45026.28007</v>
      </c>
      <c r="D11222" s="15">
        <f>IFERROR(__xludf.DUMMYFUNCTION("""COMPUTED_VALUE"""),1.079)</f>
        <v>1.079</v>
      </c>
      <c r="E11222" s="16">
        <f>IFERROR(__xludf.DUMMYFUNCTION("""COMPUTED_VALUE"""),61.0)</f>
        <v>61</v>
      </c>
      <c r="F11222" s="19" t="str">
        <f>IFERROR(__xludf.DUMMYFUNCTION("""COMPUTED_VALUE"""),"BLUE")</f>
        <v>BLUE</v>
      </c>
      <c r="G11222" s="20" t="str">
        <f>IFERROR(__xludf.DUMMYFUNCTION("""COMPUTED_VALUE"""),"Uncle Sams Cider (04/04/2023)")</f>
        <v>Uncle Sams Cider (04/04/2023)</v>
      </c>
      <c r="H11222" s="19"/>
    </row>
    <row r="11223">
      <c r="A11223" s="9"/>
      <c r="B11223" s="15"/>
      <c r="C11223" s="9">
        <f>IFERROR(__xludf.DUMMYFUNCTION("""COMPUTED_VALUE"""),45026.2696516782)</f>
        <v>45026.26965</v>
      </c>
      <c r="D11223" s="15">
        <f>IFERROR(__xludf.DUMMYFUNCTION("""COMPUTED_VALUE"""),1.079)</f>
        <v>1.079</v>
      </c>
      <c r="E11223" s="16">
        <f>IFERROR(__xludf.DUMMYFUNCTION("""COMPUTED_VALUE"""),61.0)</f>
        <v>61</v>
      </c>
      <c r="F11223" s="19" t="str">
        <f>IFERROR(__xludf.DUMMYFUNCTION("""COMPUTED_VALUE"""),"BLUE")</f>
        <v>BLUE</v>
      </c>
      <c r="G11223" s="20" t="str">
        <f>IFERROR(__xludf.DUMMYFUNCTION("""COMPUTED_VALUE"""),"Uncle Sams Cider (04/04/2023)")</f>
        <v>Uncle Sams Cider (04/04/2023)</v>
      </c>
      <c r="H11223" s="19"/>
    </row>
    <row r="11224">
      <c r="A11224" s="9"/>
      <c r="B11224" s="15"/>
      <c r="C11224" s="9">
        <f>IFERROR(__xludf.DUMMYFUNCTION("""COMPUTED_VALUE"""),45026.2592305439)</f>
        <v>45026.25923</v>
      </c>
      <c r="D11224" s="15">
        <f>IFERROR(__xludf.DUMMYFUNCTION("""COMPUTED_VALUE"""),1.079)</f>
        <v>1.079</v>
      </c>
      <c r="E11224" s="16">
        <f>IFERROR(__xludf.DUMMYFUNCTION("""COMPUTED_VALUE"""),61.0)</f>
        <v>61</v>
      </c>
      <c r="F11224" s="19" t="str">
        <f>IFERROR(__xludf.DUMMYFUNCTION("""COMPUTED_VALUE"""),"BLUE")</f>
        <v>BLUE</v>
      </c>
      <c r="G11224" s="20" t="str">
        <f>IFERROR(__xludf.DUMMYFUNCTION("""COMPUTED_VALUE"""),"Uncle Sams Cider (04/04/2023)")</f>
        <v>Uncle Sams Cider (04/04/2023)</v>
      </c>
      <c r="H11224" s="19"/>
    </row>
    <row r="11225">
      <c r="A11225" s="9"/>
      <c r="B11225" s="15"/>
      <c r="C11225" s="9">
        <f>IFERROR(__xludf.DUMMYFUNCTION("""COMPUTED_VALUE"""),45026.2488099884)</f>
        <v>45026.24881</v>
      </c>
      <c r="D11225" s="15">
        <f>IFERROR(__xludf.DUMMYFUNCTION("""COMPUTED_VALUE"""),1.079)</f>
        <v>1.079</v>
      </c>
      <c r="E11225" s="16">
        <f>IFERROR(__xludf.DUMMYFUNCTION("""COMPUTED_VALUE"""),61.0)</f>
        <v>61</v>
      </c>
      <c r="F11225" s="19" t="str">
        <f>IFERROR(__xludf.DUMMYFUNCTION("""COMPUTED_VALUE"""),"BLUE")</f>
        <v>BLUE</v>
      </c>
      <c r="G11225" s="20" t="str">
        <f>IFERROR(__xludf.DUMMYFUNCTION("""COMPUTED_VALUE"""),"Uncle Sams Cider (04/04/2023)")</f>
        <v>Uncle Sams Cider (04/04/2023)</v>
      </c>
      <c r="H11225" s="19"/>
    </row>
    <row r="11226">
      <c r="A11226" s="9"/>
      <c r="B11226" s="15"/>
      <c r="C11226" s="9">
        <f>IFERROR(__xludf.DUMMYFUNCTION("""COMPUTED_VALUE"""),45026.2383875463)</f>
        <v>45026.23839</v>
      </c>
      <c r="D11226" s="15">
        <f>IFERROR(__xludf.DUMMYFUNCTION("""COMPUTED_VALUE"""),1.079)</f>
        <v>1.079</v>
      </c>
      <c r="E11226" s="16">
        <f>IFERROR(__xludf.DUMMYFUNCTION("""COMPUTED_VALUE"""),61.0)</f>
        <v>61</v>
      </c>
      <c r="F11226" s="19" t="str">
        <f>IFERROR(__xludf.DUMMYFUNCTION("""COMPUTED_VALUE"""),"BLUE")</f>
        <v>BLUE</v>
      </c>
      <c r="G11226" s="20" t="str">
        <f>IFERROR(__xludf.DUMMYFUNCTION("""COMPUTED_VALUE"""),"Uncle Sams Cider (04/04/2023)")</f>
        <v>Uncle Sams Cider (04/04/2023)</v>
      </c>
      <c r="H11226" s="19"/>
    </row>
    <row r="11227">
      <c r="A11227" s="9"/>
      <c r="B11227" s="15"/>
      <c r="C11227" s="9">
        <f>IFERROR(__xludf.DUMMYFUNCTION("""COMPUTED_VALUE"""),45026.2279665625)</f>
        <v>45026.22797</v>
      </c>
      <c r="D11227" s="15">
        <f>IFERROR(__xludf.DUMMYFUNCTION("""COMPUTED_VALUE"""),1.079)</f>
        <v>1.079</v>
      </c>
      <c r="E11227" s="16">
        <f>IFERROR(__xludf.DUMMYFUNCTION("""COMPUTED_VALUE"""),61.0)</f>
        <v>61</v>
      </c>
      <c r="F11227" s="19" t="str">
        <f>IFERROR(__xludf.DUMMYFUNCTION("""COMPUTED_VALUE"""),"BLUE")</f>
        <v>BLUE</v>
      </c>
      <c r="G11227" s="20" t="str">
        <f>IFERROR(__xludf.DUMMYFUNCTION("""COMPUTED_VALUE"""),"Uncle Sams Cider (04/04/2023)")</f>
        <v>Uncle Sams Cider (04/04/2023)</v>
      </c>
      <c r="H11227" s="19"/>
    </row>
    <row r="11228">
      <c r="A11228" s="9"/>
      <c r="B11228" s="15"/>
      <c r="C11228" s="9">
        <f>IFERROR(__xludf.DUMMYFUNCTION("""COMPUTED_VALUE"""),45026.2175444791)</f>
        <v>45026.21754</v>
      </c>
      <c r="D11228" s="15">
        <f>IFERROR(__xludf.DUMMYFUNCTION("""COMPUTED_VALUE"""),1.08)</f>
        <v>1.08</v>
      </c>
      <c r="E11228" s="16">
        <f>IFERROR(__xludf.DUMMYFUNCTION("""COMPUTED_VALUE"""),61.0)</f>
        <v>61</v>
      </c>
      <c r="F11228" s="19" t="str">
        <f>IFERROR(__xludf.DUMMYFUNCTION("""COMPUTED_VALUE"""),"BLUE")</f>
        <v>BLUE</v>
      </c>
      <c r="G11228" s="20" t="str">
        <f>IFERROR(__xludf.DUMMYFUNCTION("""COMPUTED_VALUE"""),"Uncle Sams Cider (04/04/2023)")</f>
        <v>Uncle Sams Cider (04/04/2023)</v>
      </c>
      <c r="H11228" s="19"/>
    </row>
    <row r="11229">
      <c r="A11229" s="9"/>
      <c r="B11229" s="15"/>
      <c r="C11229" s="9">
        <f>IFERROR(__xludf.DUMMYFUNCTION("""COMPUTED_VALUE"""),45026.2071222453)</f>
        <v>45026.20712</v>
      </c>
      <c r="D11229" s="15">
        <f>IFERROR(__xludf.DUMMYFUNCTION("""COMPUTED_VALUE"""),1.079)</f>
        <v>1.079</v>
      </c>
      <c r="E11229" s="16">
        <f>IFERROR(__xludf.DUMMYFUNCTION("""COMPUTED_VALUE"""),61.0)</f>
        <v>61</v>
      </c>
      <c r="F11229" s="19" t="str">
        <f>IFERROR(__xludf.DUMMYFUNCTION("""COMPUTED_VALUE"""),"BLUE")</f>
        <v>BLUE</v>
      </c>
      <c r="G11229" s="20" t="str">
        <f>IFERROR(__xludf.DUMMYFUNCTION("""COMPUTED_VALUE"""),"Uncle Sams Cider (04/04/2023)")</f>
        <v>Uncle Sams Cider (04/04/2023)</v>
      </c>
      <c r="H11229" s="19"/>
    </row>
    <row r="11230">
      <c r="A11230" s="9"/>
      <c r="B11230" s="15"/>
      <c r="C11230" s="9">
        <f>IFERROR(__xludf.DUMMYFUNCTION("""COMPUTED_VALUE"""),45026.1967010995)</f>
        <v>45026.1967</v>
      </c>
      <c r="D11230" s="15">
        <f>IFERROR(__xludf.DUMMYFUNCTION("""COMPUTED_VALUE"""),1.08)</f>
        <v>1.08</v>
      </c>
      <c r="E11230" s="16">
        <f>IFERROR(__xludf.DUMMYFUNCTION("""COMPUTED_VALUE"""),61.0)</f>
        <v>61</v>
      </c>
      <c r="F11230" s="19" t="str">
        <f>IFERROR(__xludf.DUMMYFUNCTION("""COMPUTED_VALUE"""),"BLUE")</f>
        <v>BLUE</v>
      </c>
      <c r="G11230" s="20" t="str">
        <f>IFERROR(__xludf.DUMMYFUNCTION("""COMPUTED_VALUE"""),"Uncle Sams Cider (04/04/2023)")</f>
        <v>Uncle Sams Cider (04/04/2023)</v>
      </c>
      <c r="H11230" s="19"/>
    </row>
    <row r="11231">
      <c r="A11231" s="9"/>
      <c r="B11231" s="15"/>
      <c r="C11231" s="9">
        <f>IFERROR(__xludf.DUMMYFUNCTION("""COMPUTED_VALUE"""),45026.1862806597)</f>
        <v>45026.18628</v>
      </c>
      <c r="D11231" s="15">
        <f>IFERROR(__xludf.DUMMYFUNCTION("""COMPUTED_VALUE"""),1.079)</f>
        <v>1.079</v>
      </c>
      <c r="E11231" s="16">
        <f>IFERROR(__xludf.DUMMYFUNCTION("""COMPUTED_VALUE"""),61.0)</f>
        <v>61</v>
      </c>
      <c r="F11231" s="19" t="str">
        <f>IFERROR(__xludf.DUMMYFUNCTION("""COMPUTED_VALUE"""),"BLUE")</f>
        <v>BLUE</v>
      </c>
      <c r="G11231" s="20" t="str">
        <f>IFERROR(__xludf.DUMMYFUNCTION("""COMPUTED_VALUE"""),"Uncle Sams Cider (04/04/2023)")</f>
        <v>Uncle Sams Cider (04/04/2023)</v>
      </c>
      <c r="H11231" s="19"/>
    </row>
    <row r="11232">
      <c r="A11232" s="9"/>
      <c r="B11232" s="15"/>
      <c r="C11232" s="9">
        <f>IFERROR(__xludf.DUMMYFUNCTION("""COMPUTED_VALUE"""),45026.1758588657)</f>
        <v>45026.17586</v>
      </c>
      <c r="D11232" s="15">
        <f>IFERROR(__xludf.DUMMYFUNCTION("""COMPUTED_VALUE"""),1.079)</f>
        <v>1.079</v>
      </c>
      <c r="E11232" s="16">
        <f>IFERROR(__xludf.DUMMYFUNCTION("""COMPUTED_VALUE"""),61.0)</f>
        <v>61</v>
      </c>
      <c r="F11232" s="19" t="str">
        <f>IFERROR(__xludf.DUMMYFUNCTION("""COMPUTED_VALUE"""),"BLUE")</f>
        <v>BLUE</v>
      </c>
      <c r="G11232" s="20" t="str">
        <f>IFERROR(__xludf.DUMMYFUNCTION("""COMPUTED_VALUE"""),"Uncle Sams Cider (04/04/2023)")</f>
        <v>Uncle Sams Cider (04/04/2023)</v>
      </c>
      <c r="H11232" s="19"/>
    </row>
    <row r="11233">
      <c r="A11233" s="9"/>
      <c r="B11233" s="15"/>
      <c r="C11233" s="9">
        <f>IFERROR(__xludf.DUMMYFUNCTION("""COMPUTED_VALUE"""),45026.1654377777)</f>
        <v>45026.16544</v>
      </c>
      <c r="D11233" s="15">
        <f>IFERROR(__xludf.DUMMYFUNCTION("""COMPUTED_VALUE"""),1.08)</f>
        <v>1.08</v>
      </c>
      <c r="E11233" s="16">
        <f>IFERROR(__xludf.DUMMYFUNCTION("""COMPUTED_VALUE"""),61.0)</f>
        <v>61</v>
      </c>
      <c r="F11233" s="19" t="str">
        <f>IFERROR(__xludf.DUMMYFUNCTION("""COMPUTED_VALUE"""),"BLUE")</f>
        <v>BLUE</v>
      </c>
      <c r="G11233" s="20" t="str">
        <f>IFERROR(__xludf.DUMMYFUNCTION("""COMPUTED_VALUE"""),"Uncle Sams Cider (04/04/2023)")</f>
        <v>Uncle Sams Cider (04/04/2023)</v>
      </c>
      <c r="H11233" s="19"/>
    </row>
    <row r="11234">
      <c r="A11234" s="9"/>
      <c r="B11234" s="15"/>
      <c r="C11234" s="9">
        <f>IFERROR(__xludf.DUMMYFUNCTION("""COMPUTED_VALUE"""),45026.1550031944)</f>
        <v>45026.155</v>
      </c>
      <c r="D11234" s="15">
        <f>IFERROR(__xludf.DUMMYFUNCTION("""COMPUTED_VALUE"""),1.08)</f>
        <v>1.08</v>
      </c>
      <c r="E11234" s="16">
        <f>IFERROR(__xludf.DUMMYFUNCTION("""COMPUTED_VALUE"""),61.0)</f>
        <v>61</v>
      </c>
      <c r="F11234" s="19" t="str">
        <f>IFERROR(__xludf.DUMMYFUNCTION("""COMPUTED_VALUE"""),"BLUE")</f>
        <v>BLUE</v>
      </c>
      <c r="G11234" s="20" t="str">
        <f>IFERROR(__xludf.DUMMYFUNCTION("""COMPUTED_VALUE"""),"Uncle Sams Cider (04/04/2023)")</f>
        <v>Uncle Sams Cider (04/04/2023)</v>
      </c>
      <c r="H11234" s="19"/>
    </row>
    <row r="11235">
      <c r="A11235" s="9"/>
      <c r="B11235" s="15"/>
      <c r="C11235" s="9">
        <f>IFERROR(__xludf.DUMMYFUNCTION("""COMPUTED_VALUE"""),45026.1445685879)</f>
        <v>45026.14457</v>
      </c>
      <c r="D11235" s="15">
        <f>IFERROR(__xludf.DUMMYFUNCTION("""COMPUTED_VALUE"""),1.08)</f>
        <v>1.08</v>
      </c>
      <c r="E11235" s="16">
        <f>IFERROR(__xludf.DUMMYFUNCTION("""COMPUTED_VALUE"""),61.0)</f>
        <v>61</v>
      </c>
      <c r="F11235" s="19" t="str">
        <f>IFERROR(__xludf.DUMMYFUNCTION("""COMPUTED_VALUE"""),"BLUE")</f>
        <v>BLUE</v>
      </c>
      <c r="G11235" s="20" t="str">
        <f>IFERROR(__xludf.DUMMYFUNCTION("""COMPUTED_VALUE"""),"Uncle Sams Cider (04/04/2023)")</f>
        <v>Uncle Sams Cider (04/04/2023)</v>
      </c>
      <c r="H11235" s="19"/>
    </row>
    <row r="11236">
      <c r="A11236" s="9"/>
      <c r="B11236" s="15"/>
      <c r="C11236" s="9">
        <f>IFERROR(__xludf.DUMMYFUNCTION("""COMPUTED_VALUE"""),45026.1341480902)</f>
        <v>45026.13415</v>
      </c>
      <c r="D11236" s="15">
        <f>IFERROR(__xludf.DUMMYFUNCTION("""COMPUTED_VALUE"""),1.08)</f>
        <v>1.08</v>
      </c>
      <c r="E11236" s="16">
        <f>IFERROR(__xludf.DUMMYFUNCTION("""COMPUTED_VALUE"""),61.0)</f>
        <v>61</v>
      </c>
      <c r="F11236" s="19" t="str">
        <f>IFERROR(__xludf.DUMMYFUNCTION("""COMPUTED_VALUE"""),"BLUE")</f>
        <v>BLUE</v>
      </c>
      <c r="G11236" s="20" t="str">
        <f>IFERROR(__xludf.DUMMYFUNCTION("""COMPUTED_VALUE"""),"Uncle Sams Cider (04/04/2023)")</f>
        <v>Uncle Sams Cider (04/04/2023)</v>
      </c>
      <c r="H11236" s="19"/>
    </row>
    <row r="11237">
      <c r="A11237" s="9"/>
      <c r="B11237" s="15"/>
      <c r="C11237" s="9">
        <f>IFERROR(__xludf.DUMMYFUNCTION("""COMPUTED_VALUE"""),45026.1237250694)</f>
        <v>45026.12373</v>
      </c>
      <c r="D11237" s="15">
        <f>IFERROR(__xludf.DUMMYFUNCTION("""COMPUTED_VALUE"""),1.08)</f>
        <v>1.08</v>
      </c>
      <c r="E11237" s="16">
        <f>IFERROR(__xludf.DUMMYFUNCTION("""COMPUTED_VALUE"""),61.0)</f>
        <v>61</v>
      </c>
      <c r="F11237" s="19" t="str">
        <f>IFERROR(__xludf.DUMMYFUNCTION("""COMPUTED_VALUE"""),"BLUE")</f>
        <v>BLUE</v>
      </c>
      <c r="G11237" s="20" t="str">
        <f>IFERROR(__xludf.DUMMYFUNCTION("""COMPUTED_VALUE"""),"Uncle Sams Cider (04/04/2023)")</f>
        <v>Uncle Sams Cider (04/04/2023)</v>
      </c>
      <c r="H11237" s="19"/>
    </row>
    <row r="11238">
      <c r="A11238" s="9"/>
      <c r="B11238" s="15"/>
      <c r="C11238" s="9">
        <f>IFERROR(__xludf.DUMMYFUNCTION("""COMPUTED_VALUE"""),45026.1133037152)</f>
        <v>45026.1133</v>
      </c>
      <c r="D11238" s="15">
        <f>IFERROR(__xludf.DUMMYFUNCTION("""COMPUTED_VALUE"""),1.08)</f>
        <v>1.08</v>
      </c>
      <c r="E11238" s="16">
        <f>IFERROR(__xludf.DUMMYFUNCTION("""COMPUTED_VALUE"""),61.0)</f>
        <v>61</v>
      </c>
      <c r="F11238" s="19" t="str">
        <f>IFERROR(__xludf.DUMMYFUNCTION("""COMPUTED_VALUE"""),"BLUE")</f>
        <v>BLUE</v>
      </c>
      <c r="G11238" s="20" t="str">
        <f>IFERROR(__xludf.DUMMYFUNCTION("""COMPUTED_VALUE"""),"Uncle Sams Cider (04/04/2023)")</f>
        <v>Uncle Sams Cider (04/04/2023)</v>
      </c>
      <c r="H11238" s="19"/>
    </row>
    <row r="11239">
      <c r="A11239" s="9"/>
      <c r="B11239" s="15"/>
      <c r="C11239" s="9">
        <f>IFERROR(__xludf.DUMMYFUNCTION("""COMPUTED_VALUE"""),45026.1028838773)</f>
        <v>45026.10288</v>
      </c>
      <c r="D11239" s="15">
        <f>IFERROR(__xludf.DUMMYFUNCTION("""COMPUTED_VALUE"""),1.079)</f>
        <v>1.079</v>
      </c>
      <c r="E11239" s="16">
        <f>IFERROR(__xludf.DUMMYFUNCTION("""COMPUTED_VALUE"""),61.0)</f>
        <v>61</v>
      </c>
      <c r="F11239" s="19" t="str">
        <f>IFERROR(__xludf.DUMMYFUNCTION("""COMPUTED_VALUE"""),"BLUE")</f>
        <v>BLUE</v>
      </c>
      <c r="G11239" s="20" t="str">
        <f>IFERROR(__xludf.DUMMYFUNCTION("""COMPUTED_VALUE"""),"Uncle Sams Cider (04/04/2023)")</f>
        <v>Uncle Sams Cider (04/04/2023)</v>
      </c>
      <c r="H11239" s="19"/>
    </row>
    <row r="11240">
      <c r="A11240" s="9"/>
      <c r="B11240" s="15"/>
      <c r="C11240" s="9">
        <f>IFERROR(__xludf.DUMMYFUNCTION("""COMPUTED_VALUE"""),45026.0924627314)</f>
        <v>45026.09246</v>
      </c>
      <c r="D11240" s="15">
        <f>IFERROR(__xludf.DUMMYFUNCTION("""COMPUTED_VALUE"""),1.08)</f>
        <v>1.08</v>
      </c>
      <c r="E11240" s="16">
        <f>IFERROR(__xludf.DUMMYFUNCTION("""COMPUTED_VALUE"""),61.0)</f>
        <v>61</v>
      </c>
      <c r="F11240" s="19" t="str">
        <f>IFERROR(__xludf.DUMMYFUNCTION("""COMPUTED_VALUE"""),"BLUE")</f>
        <v>BLUE</v>
      </c>
      <c r="G11240" s="20" t="str">
        <f>IFERROR(__xludf.DUMMYFUNCTION("""COMPUTED_VALUE"""),"Uncle Sams Cider (04/04/2023)")</f>
        <v>Uncle Sams Cider (04/04/2023)</v>
      </c>
      <c r="H11240" s="19"/>
    </row>
    <row r="11241">
      <c r="A11241" s="9"/>
      <c r="B11241" s="15"/>
      <c r="C11241" s="9">
        <f>IFERROR(__xludf.DUMMYFUNCTION("""COMPUTED_VALUE"""),45026.0820428356)</f>
        <v>45026.08204</v>
      </c>
      <c r="D11241" s="15">
        <f>IFERROR(__xludf.DUMMYFUNCTION("""COMPUTED_VALUE"""),1.08)</f>
        <v>1.08</v>
      </c>
      <c r="E11241" s="16">
        <f>IFERROR(__xludf.DUMMYFUNCTION("""COMPUTED_VALUE"""),61.0)</f>
        <v>61</v>
      </c>
      <c r="F11241" s="19" t="str">
        <f>IFERROR(__xludf.DUMMYFUNCTION("""COMPUTED_VALUE"""),"BLUE")</f>
        <v>BLUE</v>
      </c>
      <c r="G11241" s="20" t="str">
        <f>IFERROR(__xludf.DUMMYFUNCTION("""COMPUTED_VALUE"""),"Uncle Sams Cider (04/04/2023)")</f>
        <v>Uncle Sams Cider (04/04/2023)</v>
      </c>
      <c r="H11241" s="19"/>
    </row>
    <row r="11242">
      <c r="A11242" s="9"/>
      <c r="B11242" s="15"/>
      <c r="C11242" s="9">
        <f>IFERROR(__xludf.DUMMYFUNCTION("""COMPUTED_VALUE"""),45026.0716213194)</f>
        <v>45026.07162</v>
      </c>
      <c r="D11242" s="15">
        <f>IFERROR(__xludf.DUMMYFUNCTION("""COMPUTED_VALUE"""),1.08)</f>
        <v>1.08</v>
      </c>
      <c r="E11242" s="16">
        <f>IFERROR(__xludf.DUMMYFUNCTION("""COMPUTED_VALUE"""),61.0)</f>
        <v>61</v>
      </c>
      <c r="F11242" s="19" t="str">
        <f>IFERROR(__xludf.DUMMYFUNCTION("""COMPUTED_VALUE"""),"BLUE")</f>
        <v>BLUE</v>
      </c>
      <c r="G11242" s="20" t="str">
        <f>IFERROR(__xludf.DUMMYFUNCTION("""COMPUTED_VALUE"""),"Uncle Sams Cider (04/04/2023)")</f>
        <v>Uncle Sams Cider (04/04/2023)</v>
      </c>
      <c r="H11242" s="19"/>
    </row>
    <row r="11243">
      <c r="A11243" s="9"/>
      <c r="B11243" s="15"/>
      <c r="C11243" s="9">
        <f>IFERROR(__xludf.DUMMYFUNCTION("""COMPUTED_VALUE"""),45026.0611878009)</f>
        <v>45026.06119</v>
      </c>
      <c r="D11243" s="15">
        <f>IFERROR(__xludf.DUMMYFUNCTION("""COMPUTED_VALUE"""),1.08)</f>
        <v>1.08</v>
      </c>
      <c r="E11243" s="16">
        <f>IFERROR(__xludf.DUMMYFUNCTION("""COMPUTED_VALUE"""),61.0)</f>
        <v>61</v>
      </c>
      <c r="F11243" s="19" t="str">
        <f>IFERROR(__xludf.DUMMYFUNCTION("""COMPUTED_VALUE"""),"BLUE")</f>
        <v>BLUE</v>
      </c>
      <c r="G11243" s="20" t="str">
        <f>IFERROR(__xludf.DUMMYFUNCTION("""COMPUTED_VALUE"""),"Uncle Sams Cider (04/04/2023)")</f>
        <v>Uncle Sams Cider (04/04/2023)</v>
      </c>
      <c r="H11243" s="19"/>
    </row>
    <row r="11244">
      <c r="A11244" s="9"/>
      <c r="B11244" s="15"/>
      <c r="C11244" s="9">
        <f>IFERROR(__xludf.DUMMYFUNCTION("""COMPUTED_VALUE"""),45026.0507656944)</f>
        <v>45026.05077</v>
      </c>
      <c r="D11244" s="15">
        <f>IFERROR(__xludf.DUMMYFUNCTION("""COMPUTED_VALUE"""),1.08)</f>
        <v>1.08</v>
      </c>
      <c r="E11244" s="16">
        <f>IFERROR(__xludf.DUMMYFUNCTION("""COMPUTED_VALUE"""),61.0)</f>
        <v>61</v>
      </c>
      <c r="F11244" s="19" t="str">
        <f>IFERROR(__xludf.DUMMYFUNCTION("""COMPUTED_VALUE"""),"BLUE")</f>
        <v>BLUE</v>
      </c>
      <c r="G11244" s="20" t="str">
        <f>IFERROR(__xludf.DUMMYFUNCTION("""COMPUTED_VALUE"""),"Uncle Sams Cider (04/04/2023)")</f>
        <v>Uncle Sams Cider (04/04/2023)</v>
      </c>
      <c r="H11244" s="19"/>
    </row>
    <row r="11245">
      <c r="A11245" s="9"/>
      <c r="B11245" s="15"/>
      <c r="C11245" s="9">
        <f>IFERROR(__xludf.DUMMYFUNCTION("""COMPUTED_VALUE"""),45026.040343993)</f>
        <v>45026.04034</v>
      </c>
      <c r="D11245" s="15">
        <f>IFERROR(__xludf.DUMMYFUNCTION("""COMPUTED_VALUE"""),1.08)</f>
        <v>1.08</v>
      </c>
      <c r="E11245" s="16">
        <f>IFERROR(__xludf.DUMMYFUNCTION("""COMPUTED_VALUE"""),61.0)</f>
        <v>61</v>
      </c>
      <c r="F11245" s="19" t="str">
        <f>IFERROR(__xludf.DUMMYFUNCTION("""COMPUTED_VALUE"""),"BLUE")</f>
        <v>BLUE</v>
      </c>
      <c r="G11245" s="20" t="str">
        <f>IFERROR(__xludf.DUMMYFUNCTION("""COMPUTED_VALUE"""),"Uncle Sams Cider (04/04/2023)")</f>
        <v>Uncle Sams Cider (04/04/2023)</v>
      </c>
      <c r="H11245" s="19"/>
    </row>
    <row r="11246">
      <c r="A11246" s="9"/>
      <c r="B11246" s="15"/>
      <c r="C11246" s="9">
        <f>IFERROR(__xludf.DUMMYFUNCTION("""COMPUTED_VALUE"""),45026.029922824)</f>
        <v>45026.02992</v>
      </c>
      <c r="D11246" s="15">
        <f>IFERROR(__xludf.DUMMYFUNCTION("""COMPUTED_VALUE"""),1.08)</f>
        <v>1.08</v>
      </c>
      <c r="E11246" s="16">
        <f>IFERROR(__xludf.DUMMYFUNCTION("""COMPUTED_VALUE"""),61.0)</f>
        <v>61</v>
      </c>
      <c r="F11246" s="19" t="str">
        <f>IFERROR(__xludf.DUMMYFUNCTION("""COMPUTED_VALUE"""),"BLUE")</f>
        <v>BLUE</v>
      </c>
      <c r="G11246" s="20" t="str">
        <f>IFERROR(__xludf.DUMMYFUNCTION("""COMPUTED_VALUE"""),"Uncle Sams Cider (04/04/2023)")</f>
        <v>Uncle Sams Cider (04/04/2023)</v>
      </c>
      <c r="H11246" s="19"/>
    </row>
    <row r="11247">
      <c r="A11247" s="9"/>
      <c r="B11247" s="15"/>
      <c r="C11247" s="9">
        <f>IFERROR(__xludf.DUMMYFUNCTION("""COMPUTED_VALUE"""),45026.0195004513)</f>
        <v>45026.0195</v>
      </c>
      <c r="D11247" s="15">
        <f>IFERROR(__xludf.DUMMYFUNCTION("""COMPUTED_VALUE"""),1.08)</f>
        <v>1.08</v>
      </c>
      <c r="E11247" s="16">
        <f>IFERROR(__xludf.DUMMYFUNCTION("""COMPUTED_VALUE"""),61.0)</f>
        <v>61</v>
      </c>
      <c r="F11247" s="19" t="str">
        <f>IFERROR(__xludf.DUMMYFUNCTION("""COMPUTED_VALUE"""),"BLUE")</f>
        <v>BLUE</v>
      </c>
      <c r="G11247" s="20" t="str">
        <f>IFERROR(__xludf.DUMMYFUNCTION("""COMPUTED_VALUE"""),"Uncle Sams Cider (04/04/2023)")</f>
        <v>Uncle Sams Cider (04/04/2023)</v>
      </c>
      <c r="H11247" s="19"/>
    </row>
    <row r="11248">
      <c r="A11248" s="9"/>
      <c r="B11248" s="15"/>
      <c r="C11248" s="9">
        <f>IFERROR(__xludf.DUMMYFUNCTION("""COMPUTED_VALUE"""),45026.0090680092)</f>
        <v>45026.00907</v>
      </c>
      <c r="D11248" s="15">
        <f>IFERROR(__xludf.DUMMYFUNCTION("""COMPUTED_VALUE"""),1.081)</f>
        <v>1.081</v>
      </c>
      <c r="E11248" s="16">
        <f>IFERROR(__xludf.DUMMYFUNCTION("""COMPUTED_VALUE"""),62.0)</f>
        <v>62</v>
      </c>
      <c r="F11248" s="19" t="str">
        <f>IFERROR(__xludf.DUMMYFUNCTION("""COMPUTED_VALUE"""),"BLUE")</f>
        <v>BLUE</v>
      </c>
      <c r="G11248" s="20" t="str">
        <f>IFERROR(__xludf.DUMMYFUNCTION("""COMPUTED_VALUE"""),"Uncle Sams Cider (04/04/2023)")</f>
        <v>Uncle Sams Cider (04/04/2023)</v>
      </c>
      <c r="H11248" s="19"/>
    </row>
    <row r="11249">
      <c r="A11249" s="9"/>
      <c r="B11249" s="15"/>
      <c r="C11249" s="9">
        <f>IFERROR(__xludf.DUMMYFUNCTION("""COMPUTED_VALUE"""),45025.9986483333)</f>
        <v>45025.99865</v>
      </c>
      <c r="D11249" s="15">
        <f>IFERROR(__xludf.DUMMYFUNCTION("""COMPUTED_VALUE"""),1.08)</f>
        <v>1.08</v>
      </c>
      <c r="E11249" s="16">
        <f>IFERROR(__xludf.DUMMYFUNCTION("""COMPUTED_VALUE"""),61.0)</f>
        <v>61</v>
      </c>
      <c r="F11249" s="19" t="str">
        <f>IFERROR(__xludf.DUMMYFUNCTION("""COMPUTED_VALUE"""),"BLUE")</f>
        <v>BLUE</v>
      </c>
      <c r="G11249" s="20" t="str">
        <f>IFERROR(__xludf.DUMMYFUNCTION("""COMPUTED_VALUE"""),"Uncle Sams Cider (04/04/2023)")</f>
        <v>Uncle Sams Cider (04/04/2023)</v>
      </c>
      <c r="H11249" s="19"/>
    </row>
    <row r="11250">
      <c r="A11250" s="9"/>
      <c r="B11250" s="15"/>
      <c r="C11250" s="9">
        <f>IFERROR(__xludf.DUMMYFUNCTION("""COMPUTED_VALUE"""),45025.9882265393)</f>
        <v>45025.98823</v>
      </c>
      <c r="D11250" s="15">
        <f>IFERROR(__xludf.DUMMYFUNCTION("""COMPUTED_VALUE"""),1.08)</f>
        <v>1.08</v>
      </c>
      <c r="E11250" s="16">
        <f>IFERROR(__xludf.DUMMYFUNCTION("""COMPUTED_VALUE"""),61.0)</f>
        <v>61</v>
      </c>
      <c r="F11250" s="19" t="str">
        <f>IFERROR(__xludf.DUMMYFUNCTION("""COMPUTED_VALUE"""),"BLUE")</f>
        <v>BLUE</v>
      </c>
      <c r="G11250" s="20" t="str">
        <f>IFERROR(__xludf.DUMMYFUNCTION("""COMPUTED_VALUE"""),"Uncle Sams Cider (04/04/2023)")</f>
        <v>Uncle Sams Cider (04/04/2023)</v>
      </c>
      <c r="H11250" s="19"/>
    </row>
    <row r="11251">
      <c r="A11251" s="9"/>
      <c r="B11251" s="15"/>
      <c r="C11251" s="9">
        <f>IFERROR(__xludf.DUMMYFUNCTION("""COMPUTED_VALUE"""),45025.9778076851)</f>
        <v>45025.97781</v>
      </c>
      <c r="D11251" s="15">
        <f>IFERROR(__xludf.DUMMYFUNCTION("""COMPUTED_VALUE"""),1.08)</f>
        <v>1.08</v>
      </c>
      <c r="E11251" s="16">
        <f>IFERROR(__xludf.DUMMYFUNCTION("""COMPUTED_VALUE"""),62.0)</f>
        <v>62</v>
      </c>
      <c r="F11251" s="19" t="str">
        <f>IFERROR(__xludf.DUMMYFUNCTION("""COMPUTED_VALUE"""),"BLUE")</f>
        <v>BLUE</v>
      </c>
      <c r="G11251" s="20" t="str">
        <f>IFERROR(__xludf.DUMMYFUNCTION("""COMPUTED_VALUE"""),"Uncle Sams Cider (04/04/2023)")</f>
        <v>Uncle Sams Cider (04/04/2023)</v>
      </c>
      <c r="H11251" s="19"/>
    </row>
    <row r="11252">
      <c r="A11252" s="9"/>
      <c r="B11252" s="15"/>
      <c r="C11252" s="9">
        <f>IFERROR(__xludf.DUMMYFUNCTION("""COMPUTED_VALUE"""),45025.9673861574)</f>
        <v>45025.96739</v>
      </c>
      <c r="D11252" s="15">
        <f>IFERROR(__xludf.DUMMYFUNCTION("""COMPUTED_VALUE"""),1.08)</f>
        <v>1.08</v>
      </c>
      <c r="E11252" s="16">
        <f>IFERROR(__xludf.DUMMYFUNCTION("""COMPUTED_VALUE"""),61.0)</f>
        <v>61</v>
      </c>
      <c r="F11252" s="19" t="str">
        <f>IFERROR(__xludf.DUMMYFUNCTION("""COMPUTED_VALUE"""),"BLUE")</f>
        <v>BLUE</v>
      </c>
      <c r="G11252" s="20" t="str">
        <f>IFERROR(__xludf.DUMMYFUNCTION("""COMPUTED_VALUE"""),"Uncle Sams Cider (04/04/2023)")</f>
        <v>Uncle Sams Cider (04/04/2023)</v>
      </c>
      <c r="H11252" s="19"/>
    </row>
    <row r="11253">
      <c r="A11253" s="9"/>
      <c r="B11253" s="15"/>
      <c r="C11253" s="9">
        <f>IFERROR(__xludf.DUMMYFUNCTION("""COMPUTED_VALUE"""),45025.9569652546)</f>
        <v>45025.95697</v>
      </c>
      <c r="D11253" s="15">
        <f>IFERROR(__xludf.DUMMYFUNCTION("""COMPUTED_VALUE"""),1.081)</f>
        <v>1.081</v>
      </c>
      <c r="E11253" s="16">
        <f>IFERROR(__xludf.DUMMYFUNCTION("""COMPUTED_VALUE"""),62.0)</f>
        <v>62</v>
      </c>
      <c r="F11253" s="19" t="str">
        <f>IFERROR(__xludf.DUMMYFUNCTION("""COMPUTED_VALUE"""),"BLUE")</f>
        <v>BLUE</v>
      </c>
      <c r="G11253" s="20" t="str">
        <f>IFERROR(__xludf.DUMMYFUNCTION("""COMPUTED_VALUE"""),"Uncle Sams Cider (04/04/2023)")</f>
        <v>Uncle Sams Cider (04/04/2023)</v>
      </c>
      <c r="H11253" s="19"/>
    </row>
    <row r="11254">
      <c r="A11254" s="9"/>
      <c r="B11254" s="15"/>
      <c r="C11254" s="9">
        <f>IFERROR(__xludf.DUMMYFUNCTION("""COMPUTED_VALUE"""),45025.9465345949)</f>
        <v>45025.94653</v>
      </c>
      <c r="D11254" s="15">
        <f>IFERROR(__xludf.DUMMYFUNCTION("""COMPUTED_VALUE"""),1.081)</f>
        <v>1.081</v>
      </c>
      <c r="E11254" s="16">
        <f>IFERROR(__xludf.DUMMYFUNCTION("""COMPUTED_VALUE"""),62.0)</f>
        <v>62</v>
      </c>
      <c r="F11254" s="19" t="str">
        <f>IFERROR(__xludf.DUMMYFUNCTION("""COMPUTED_VALUE"""),"BLUE")</f>
        <v>BLUE</v>
      </c>
      <c r="G11254" s="20" t="str">
        <f>IFERROR(__xludf.DUMMYFUNCTION("""COMPUTED_VALUE"""),"Uncle Sams Cider (04/04/2023)")</f>
        <v>Uncle Sams Cider (04/04/2023)</v>
      </c>
      <c r="H11254" s="19"/>
    </row>
    <row r="11255">
      <c r="A11255" s="9"/>
      <c r="B11255" s="15"/>
      <c r="C11255" s="9">
        <f>IFERROR(__xludf.DUMMYFUNCTION("""COMPUTED_VALUE"""),45025.9361005555)</f>
        <v>45025.9361</v>
      </c>
      <c r="D11255" s="15">
        <f>IFERROR(__xludf.DUMMYFUNCTION("""COMPUTED_VALUE"""),1.081)</f>
        <v>1.081</v>
      </c>
      <c r="E11255" s="16">
        <f>IFERROR(__xludf.DUMMYFUNCTION("""COMPUTED_VALUE"""),61.0)</f>
        <v>61</v>
      </c>
      <c r="F11255" s="19" t="str">
        <f>IFERROR(__xludf.DUMMYFUNCTION("""COMPUTED_VALUE"""),"BLUE")</f>
        <v>BLUE</v>
      </c>
      <c r="G11255" s="20" t="str">
        <f>IFERROR(__xludf.DUMMYFUNCTION("""COMPUTED_VALUE"""),"Uncle Sams Cider (04/04/2023)")</f>
        <v>Uncle Sams Cider (04/04/2023)</v>
      </c>
      <c r="H11255" s="19"/>
    </row>
    <row r="11256">
      <c r="A11256" s="9"/>
      <c r="B11256" s="15"/>
      <c r="C11256" s="9">
        <f>IFERROR(__xludf.DUMMYFUNCTION("""COMPUTED_VALUE"""),45025.925680706)</f>
        <v>45025.92568</v>
      </c>
      <c r="D11256" s="15">
        <f>IFERROR(__xludf.DUMMYFUNCTION("""COMPUTED_VALUE"""),1.081)</f>
        <v>1.081</v>
      </c>
      <c r="E11256" s="16">
        <f>IFERROR(__xludf.DUMMYFUNCTION("""COMPUTED_VALUE"""),61.0)</f>
        <v>61</v>
      </c>
      <c r="F11256" s="19" t="str">
        <f>IFERROR(__xludf.DUMMYFUNCTION("""COMPUTED_VALUE"""),"BLUE")</f>
        <v>BLUE</v>
      </c>
      <c r="G11256" s="20" t="str">
        <f>IFERROR(__xludf.DUMMYFUNCTION("""COMPUTED_VALUE"""),"Uncle Sams Cider (04/04/2023)")</f>
        <v>Uncle Sams Cider (04/04/2023)</v>
      </c>
      <c r="H11256" s="19"/>
    </row>
    <row r="11257">
      <c r="A11257" s="9"/>
      <c r="B11257" s="15"/>
      <c r="C11257" s="9">
        <f>IFERROR(__xludf.DUMMYFUNCTION("""COMPUTED_VALUE"""),45025.9152476157)</f>
        <v>45025.91525</v>
      </c>
      <c r="D11257" s="15">
        <f>IFERROR(__xludf.DUMMYFUNCTION("""COMPUTED_VALUE"""),1.081)</f>
        <v>1.081</v>
      </c>
      <c r="E11257" s="16">
        <f>IFERROR(__xludf.DUMMYFUNCTION("""COMPUTED_VALUE"""),62.0)</f>
        <v>62</v>
      </c>
      <c r="F11257" s="19" t="str">
        <f>IFERROR(__xludf.DUMMYFUNCTION("""COMPUTED_VALUE"""),"BLUE")</f>
        <v>BLUE</v>
      </c>
      <c r="G11257" s="20" t="str">
        <f>IFERROR(__xludf.DUMMYFUNCTION("""COMPUTED_VALUE"""),"Uncle Sams Cider (04/04/2023)")</f>
        <v>Uncle Sams Cider (04/04/2023)</v>
      </c>
      <c r="H11257" s="19"/>
    </row>
    <row r="11258">
      <c r="A11258" s="9"/>
      <c r="B11258" s="15"/>
      <c r="C11258" s="9">
        <f>IFERROR(__xludf.DUMMYFUNCTION("""COMPUTED_VALUE"""),45025.9048256018)</f>
        <v>45025.90483</v>
      </c>
      <c r="D11258" s="15">
        <f>IFERROR(__xludf.DUMMYFUNCTION("""COMPUTED_VALUE"""),1.081)</f>
        <v>1.081</v>
      </c>
      <c r="E11258" s="16">
        <f>IFERROR(__xludf.DUMMYFUNCTION("""COMPUTED_VALUE"""),62.0)</f>
        <v>62</v>
      </c>
      <c r="F11258" s="19" t="str">
        <f>IFERROR(__xludf.DUMMYFUNCTION("""COMPUTED_VALUE"""),"BLUE")</f>
        <v>BLUE</v>
      </c>
      <c r="G11258" s="20" t="str">
        <f>IFERROR(__xludf.DUMMYFUNCTION("""COMPUTED_VALUE"""),"Uncle Sams Cider (04/04/2023)")</f>
        <v>Uncle Sams Cider (04/04/2023)</v>
      </c>
      <c r="H11258" s="19"/>
    </row>
    <row r="11259">
      <c r="A11259" s="9"/>
      <c r="B11259" s="15"/>
      <c r="C11259" s="9">
        <f>IFERROR(__xludf.DUMMYFUNCTION("""COMPUTED_VALUE"""),45025.8944048379)</f>
        <v>45025.8944</v>
      </c>
      <c r="D11259" s="15">
        <f>IFERROR(__xludf.DUMMYFUNCTION("""COMPUTED_VALUE"""),1.081)</f>
        <v>1.081</v>
      </c>
      <c r="E11259" s="16">
        <f>IFERROR(__xludf.DUMMYFUNCTION("""COMPUTED_VALUE"""),61.0)</f>
        <v>61</v>
      </c>
      <c r="F11259" s="19" t="str">
        <f>IFERROR(__xludf.DUMMYFUNCTION("""COMPUTED_VALUE"""),"BLUE")</f>
        <v>BLUE</v>
      </c>
      <c r="G11259" s="20" t="str">
        <f>IFERROR(__xludf.DUMMYFUNCTION("""COMPUTED_VALUE"""),"Uncle Sams Cider (04/04/2023)")</f>
        <v>Uncle Sams Cider (04/04/2023)</v>
      </c>
      <c r="H11259" s="19"/>
    </row>
    <row r="11260">
      <c r="A11260" s="9"/>
      <c r="B11260" s="15"/>
      <c r="C11260" s="9">
        <f>IFERROR(__xludf.DUMMYFUNCTION("""COMPUTED_VALUE"""),45025.8839840393)</f>
        <v>45025.88398</v>
      </c>
      <c r="D11260" s="15">
        <f>IFERROR(__xludf.DUMMYFUNCTION("""COMPUTED_VALUE"""),1.081)</f>
        <v>1.081</v>
      </c>
      <c r="E11260" s="16">
        <f>IFERROR(__xludf.DUMMYFUNCTION("""COMPUTED_VALUE"""),61.0)</f>
        <v>61</v>
      </c>
      <c r="F11260" s="19" t="str">
        <f>IFERROR(__xludf.DUMMYFUNCTION("""COMPUTED_VALUE"""),"BLUE")</f>
        <v>BLUE</v>
      </c>
      <c r="G11260" s="20" t="str">
        <f>IFERROR(__xludf.DUMMYFUNCTION("""COMPUTED_VALUE"""),"Uncle Sams Cider (04/04/2023)")</f>
        <v>Uncle Sams Cider (04/04/2023)</v>
      </c>
      <c r="H11260" s="19"/>
    </row>
    <row r="11261">
      <c r="A11261" s="9"/>
      <c r="B11261" s="15"/>
      <c r="C11261" s="9">
        <f>IFERROR(__xludf.DUMMYFUNCTION("""COMPUTED_VALUE"""),45025.8735618981)</f>
        <v>45025.87356</v>
      </c>
      <c r="D11261" s="15">
        <f>IFERROR(__xludf.DUMMYFUNCTION("""COMPUTED_VALUE"""),1.081)</f>
        <v>1.081</v>
      </c>
      <c r="E11261" s="16">
        <f>IFERROR(__xludf.DUMMYFUNCTION("""COMPUTED_VALUE"""),61.0)</f>
        <v>61</v>
      </c>
      <c r="F11261" s="19" t="str">
        <f>IFERROR(__xludf.DUMMYFUNCTION("""COMPUTED_VALUE"""),"BLUE")</f>
        <v>BLUE</v>
      </c>
      <c r="G11261" s="20" t="str">
        <f>IFERROR(__xludf.DUMMYFUNCTION("""COMPUTED_VALUE"""),"Uncle Sams Cider (04/04/2023)")</f>
        <v>Uncle Sams Cider (04/04/2023)</v>
      </c>
      <c r="H11261" s="19"/>
    </row>
    <row r="11262">
      <c r="A11262" s="9"/>
      <c r="B11262" s="15"/>
      <c r="C11262" s="9">
        <f>IFERROR(__xludf.DUMMYFUNCTION("""COMPUTED_VALUE"""),45025.8631404745)</f>
        <v>45025.86314</v>
      </c>
      <c r="D11262" s="15">
        <f>IFERROR(__xludf.DUMMYFUNCTION("""COMPUTED_VALUE"""),1.081)</f>
        <v>1.081</v>
      </c>
      <c r="E11262" s="16">
        <f>IFERROR(__xludf.DUMMYFUNCTION("""COMPUTED_VALUE"""),62.0)</f>
        <v>62</v>
      </c>
      <c r="F11262" s="19" t="str">
        <f>IFERROR(__xludf.DUMMYFUNCTION("""COMPUTED_VALUE"""),"BLUE")</f>
        <v>BLUE</v>
      </c>
      <c r="G11262" s="20" t="str">
        <f>IFERROR(__xludf.DUMMYFUNCTION("""COMPUTED_VALUE"""),"Uncle Sams Cider (04/04/2023)")</f>
        <v>Uncle Sams Cider (04/04/2023)</v>
      </c>
      <c r="H11262" s="19"/>
    </row>
    <row r="11263">
      <c r="A11263" s="9"/>
      <c r="B11263" s="15"/>
      <c r="C11263" s="9">
        <f>IFERROR(__xludf.DUMMYFUNCTION("""COMPUTED_VALUE"""),45025.8527193981)</f>
        <v>45025.85272</v>
      </c>
      <c r="D11263" s="15">
        <f>IFERROR(__xludf.DUMMYFUNCTION("""COMPUTED_VALUE"""),1.081)</f>
        <v>1.081</v>
      </c>
      <c r="E11263" s="16">
        <f>IFERROR(__xludf.DUMMYFUNCTION("""COMPUTED_VALUE"""),61.0)</f>
        <v>61</v>
      </c>
      <c r="F11263" s="19" t="str">
        <f>IFERROR(__xludf.DUMMYFUNCTION("""COMPUTED_VALUE"""),"BLUE")</f>
        <v>BLUE</v>
      </c>
      <c r="G11263" s="20" t="str">
        <f>IFERROR(__xludf.DUMMYFUNCTION("""COMPUTED_VALUE"""),"Uncle Sams Cider (04/04/2023)")</f>
        <v>Uncle Sams Cider (04/04/2023)</v>
      </c>
      <c r="H11263" s="19"/>
    </row>
    <row r="11264">
      <c r="A11264" s="9"/>
      <c r="B11264" s="15"/>
      <c r="C11264" s="9">
        <f>IFERROR(__xludf.DUMMYFUNCTION("""COMPUTED_VALUE"""),45025.8422992939)</f>
        <v>45025.8423</v>
      </c>
      <c r="D11264" s="15">
        <f>IFERROR(__xludf.DUMMYFUNCTION("""COMPUTED_VALUE"""),1.081)</f>
        <v>1.081</v>
      </c>
      <c r="E11264" s="16">
        <f>IFERROR(__xludf.DUMMYFUNCTION("""COMPUTED_VALUE"""),62.0)</f>
        <v>62</v>
      </c>
      <c r="F11264" s="19" t="str">
        <f>IFERROR(__xludf.DUMMYFUNCTION("""COMPUTED_VALUE"""),"BLUE")</f>
        <v>BLUE</v>
      </c>
      <c r="G11264" s="20" t="str">
        <f>IFERROR(__xludf.DUMMYFUNCTION("""COMPUTED_VALUE"""),"Uncle Sams Cider (04/04/2023)")</f>
        <v>Uncle Sams Cider (04/04/2023)</v>
      </c>
      <c r="H11264" s="19"/>
    </row>
    <row r="11265">
      <c r="A11265" s="9"/>
      <c r="B11265" s="15"/>
      <c r="C11265" s="9">
        <f>IFERROR(__xludf.DUMMYFUNCTION("""COMPUTED_VALUE"""),45025.8318780324)</f>
        <v>45025.83188</v>
      </c>
      <c r="D11265" s="15">
        <f>IFERROR(__xludf.DUMMYFUNCTION("""COMPUTED_VALUE"""),1.081)</f>
        <v>1.081</v>
      </c>
      <c r="E11265" s="16">
        <f>IFERROR(__xludf.DUMMYFUNCTION("""COMPUTED_VALUE"""),62.0)</f>
        <v>62</v>
      </c>
      <c r="F11265" s="19" t="str">
        <f>IFERROR(__xludf.DUMMYFUNCTION("""COMPUTED_VALUE"""),"BLUE")</f>
        <v>BLUE</v>
      </c>
      <c r="G11265" s="20" t="str">
        <f>IFERROR(__xludf.DUMMYFUNCTION("""COMPUTED_VALUE"""),"Uncle Sams Cider (04/04/2023)")</f>
        <v>Uncle Sams Cider (04/04/2023)</v>
      </c>
      <c r="H11265" s="19"/>
    </row>
    <row r="11266">
      <c r="A11266" s="9"/>
      <c r="B11266" s="15"/>
      <c r="C11266" s="9">
        <f>IFERROR(__xludf.DUMMYFUNCTION("""COMPUTED_VALUE"""),45025.821457581)</f>
        <v>45025.82146</v>
      </c>
      <c r="D11266" s="15">
        <f>IFERROR(__xludf.DUMMYFUNCTION("""COMPUTED_VALUE"""),1.081)</f>
        <v>1.081</v>
      </c>
      <c r="E11266" s="16">
        <f>IFERROR(__xludf.DUMMYFUNCTION("""COMPUTED_VALUE"""),61.0)</f>
        <v>61</v>
      </c>
      <c r="F11266" s="19" t="str">
        <f>IFERROR(__xludf.DUMMYFUNCTION("""COMPUTED_VALUE"""),"BLUE")</f>
        <v>BLUE</v>
      </c>
      <c r="G11266" s="20" t="str">
        <f>IFERROR(__xludf.DUMMYFUNCTION("""COMPUTED_VALUE"""),"Uncle Sams Cider (04/04/2023)")</f>
        <v>Uncle Sams Cider (04/04/2023)</v>
      </c>
      <c r="H11266" s="19"/>
    </row>
    <row r="11267">
      <c r="A11267" s="9"/>
      <c r="B11267" s="15"/>
      <c r="C11267" s="9">
        <f>IFERROR(__xludf.DUMMYFUNCTION("""COMPUTED_VALUE"""),45025.8110357754)</f>
        <v>45025.81104</v>
      </c>
      <c r="D11267" s="15">
        <f>IFERROR(__xludf.DUMMYFUNCTION("""COMPUTED_VALUE"""),1.081)</f>
        <v>1.081</v>
      </c>
      <c r="E11267" s="16">
        <f>IFERROR(__xludf.DUMMYFUNCTION("""COMPUTED_VALUE"""),61.0)</f>
        <v>61</v>
      </c>
      <c r="F11267" s="19" t="str">
        <f>IFERROR(__xludf.DUMMYFUNCTION("""COMPUTED_VALUE"""),"BLUE")</f>
        <v>BLUE</v>
      </c>
      <c r="G11267" s="20" t="str">
        <f>IFERROR(__xludf.DUMMYFUNCTION("""COMPUTED_VALUE"""),"Uncle Sams Cider (04/04/2023)")</f>
        <v>Uncle Sams Cider (04/04/2023)</v>
      </c>
      <c r="H11267" s="19"/>
    </row>
    <row r="11268">
      <c r="A11268" s="9"/>
      <c r="B11268" s="15"/>
      <c r="C11268" s="9">
        <f>IFERROR(__xludf.DUMMYFUNCTION("""COMPUTED_VALUE"""),45025.8006148958)</f>
        <v>45025.80061</v>
      </c>
      <c r="D11268" s="15">
        <f>IFERROR(__xludf.DUMMYFUNCTION("""COMPUTED_VALUE"""),1.081)</f>
        <v>1.081</v>
      </c>
      <c r="E11268" s="16">
        <f>IFERROR(__xludf.DUMMYFUNCTION("""COMPUTED_VALUE"""),61.0)</f>
        <v>61</v>
      </c>
      <c r="F11268" s="19" t="str">
        <f>IFERROR(__xludf.DUMMYFUNCTION("""COMPUTED_VALUE"""),"BLUE")</f>
        <v>BLUE</v>
      </c>
      <c r="G11268" s="20" t="str">
        <f>IFERROR(__xludf.DUMMYFUNCTION("""COMPUTED_VALUE"""),"Uncle Sams Cider (04/04/2023)")</f>
        <v>Uncle Sams Cider (04/04/2023)</v>
      </c>
      <c r="H11268" s="19"/>
    </row>
    <row r="11269">
      <c r="A11269" s="9"/>
      <c r="B11269" s="15"/>
      <c r="C11269" s="9">
        <f>IFERROR(__xludf.DUMMYFUNCTION("""COMPUTED_VALUE"""),45025.7901939004)</f>
        <v>45025.79019</v>
      </c>
      <c r="D11269" s="15">
        <f>IFERROR(__xludf.DUMMYFUNCTION("""COMPUTED_VALUE"""),1.081)</f>
        <v>1.081</v>
      </c>
      <c r="E11269" s="16">
        <f>IFERROR(__xludf.DUMMYFUNCTION("""COMPUTED_VALUE"""),61.0)</f>
        <v>61</v>
      </c>
      <c r="F11269" s="19" t="str">
        <f>IFERROR(__xludf.DUMMYFUNCTION("""COMPUTED_VALUE"""),"BLUE")</f>
        <v>BLUE</v>
      </c>
      <c r="G11269" s="20" t="str">
        <f>IFERROR(__xludf.DUMMYFUNCTION("""COMPUTED_VALUE"""),"Uncle Sams Cider (04/04/2023)")</f>
        <v>Uncle Sams Cider (04/04/2023)</v>
      </c>
      <c r="H11269" s="19"/>
    </row>
    <row r="11270">
      <c r="A11270" s="9"/>
      <c r="B11270" s="15"/>
      <c r="C11270" s="9">
        <f>IFERROR(__xludf.DUMMYFUNCTION("""COMPUTED_VALUE"""),45025.7797609953)</f>
        <v>45025.77976</v>
      </c>
      <c r="D11270" s="15">
        <f>IFERROR(__xludf.DUMMYFUNCTION("""COMPUTED_VALUE"""),1.081)</f>
        <v>1.081</v>
      </c>
      <c r="E11270" s="16">
        <f>IFERROR(__xludf.DUMMYFUNCTION("""COMPUTED_VALUE"""),61.0)</f>
        <v>61</v>
      </c>
      <c r="F11270" s="19" t="str">
        <f>IFERROR(__xludf.DUMMYFUNCTION("""COMPUTED_VALUE"""),"BLUE")</f>
        <v>BLUE</v>
      </c>
      <c r="G11270" s="20" t="str">
        <f>IFERROR(__xludf.DUMMYFUNCTION("""COMPUTED_VALUE"""),"Uncle Sams Cider (04/04/2023)")</f>
        <v>Uncle Sams Cider (04/04/2023)</v>
      </c>
      <c r="H11270" s="19"/>
    </row>
    <row r="11271">
      <c r="A11271" s="9"/>
      <c r="B11271" s="15"/>
      <c r="C11271" s="9">
        <f>IFERROR(__xludf.DUMMYFUNCTION("""COMPUTED_VALUE"""),45025.7693416435)</f>
        <v>45025.76934</v>
      </c>
      <c r="D11271" s="15">
        <f>IFERROR(__xludf.DUMMYFUNCTION("""COMPUTED_VALUE"""),1.081)</f>
        <v>1.081</v>
      </c>
      <c r="E11271" s="16">
        <f>IFERROR(__xludf.DUMMYFUNCTION("""COMPUTED_VALUE"""),61.0)</f>
        <v>61</v>
      </c>
      <c r="F11271" s="19" t="str">
        <f>IFERROR(__xludf.DUMMYFUNCTION("""COMPUTED_VALUE"""),"BLUE")</f>
        <v>BLUE</v>
      </c>
      <c r="G11271" s="20" t="str">
        <f>IFERROR(__xludf.DUMMYFUNCTION("""COMPUTED_VALUE"""),"Uncle Sams Cider (04/04/2023)")</f>
        <v>Uncle Sams Cider (04/04/2023)</v>
      </c>
      <c r="H11271" s="19"/>
    </row>
    <row r="11272">
      <c r="A11272" s="9"/>
      <c r="B11272" s="15"/>
      <c r="C11272" s="9">
        <f>IFERROR(__xludf.DUMMYFUNCTION("""COMPUTED_VALUE"""),45025.7589198611)</f>
        <v>45025.75892</v>
      </c>
      <c r="D11272" s="15">
        <f>IFERROR(__xludf.DUMMYFUNCTION("""COMPUTED_VALUE"""),1.081)</f>
        <v>1.081</v>
      </c>
      <c r="E11272" s="16">
        <f>IFERROR(__xludf.DUMMYFUNCTION("""COMPUTED_VALUE"""),62.0)</f>
        <v>62</v>
      </c>
      <c r="F11272" s="19" t="str">
        <f>IFERROR(__xludf.DUMMYFUNCTION("""COMPUTED_VALUE"""),"BLUE")</f>
        <v>BLUE</v>
      </c>
      <c r="G11272" s="20" t="str">
        <f>IFERROR(__xludf.DUMMYFUNCTION("""COMPUTED_VALUE"""),"Uncle Sams Cider (04/04/2023)")</f>
        <v>Uncle Sams Cider (04/04/2023)</v>
      </c>
      <c r="H11272" s="19"/>
    </row>
    <row r="11273">
      <c r="A11273" s="9"/>
      <c r="B11273" s="15"/>
      <c r="C11273" s="9">
        <f>IFERROR(__xludf.DUMMYFUNCTION("""COMPUTED_VALUE"""),45025.7484973148)</f>
        <v>45025.7485</v>
      </c>
      <c r="D11273" s="15">
        <f>IFERROR(__xludf.DUMMYFUNCTION("""COMPUTED_VALUE"""),1.082)</f>
        <v>1.082</v>
      </c>
      <c r="E11273" s="16">
        <f>IFERROR(__xludf.DUMMYFUNCTION("""COMPUTED_VALUE"""),61.0)</f>
        <v>61</v>
      </c>
      <c r="F11273" s="19" t="str">
        <f>IFERROR(__xludf.DUMMYFUNCTION("""COMPUTED_VALUE"""),"BLUE")</f>
        <v>BLUE</v>
      </c>
      <c r="G11273" s="20" t="str">
        <f>IFERROR(__xludf.DUMMYFUNCTION("""COMPUTED_VALUE"""),"Uncle Sams Cider (04/04/2023)")</f>
        <v>Uncle Sams Cider (04/04/2023)</v>
      </c>
      <c r="H11273" s="19"/>
    </row>
    <row r="11274">
      <c r="A11274" s="9"/>
      <c r="B11274" s="15"/>
      <c r="C11274" s="9">
        <f>IFERROR(__xludf.DUMMYFUNCTION("""COMPUTED_VALUE"""),45025.7380646759)</f>
        <v>45025.73806</v>
      </c>
      <c r="D11274" s="15">
        <f>IFERROR(__xludf.DUMMYFUNCTION("""COMPUTED_VALUE"""),1.082)</f>
        <v>1.082</v>
      </c>
      <c r="E11274" s="16">
        <f>IFERROR(__xludf.DUMMYFUNCTION("""COMPUTED_VALUE"""),61.0)</f>
        <v>61</v>
      </c>
      <c r="F11274" s="19" t="str">
        <f>IFERROR(__xludf.DUMMYFUNCTION("""COMPUTED_VALUE"""),"BLUE")</f>
        <v>BLUE</v>
      </c>
      <c r="G11274" s="20" t="str">
        <f>IFERROR(__xludf.DUMMYFUNCTION("""COMPUTED_VALUE"""),"Uncle Sams Cider (04/04/2023)")</f>
        <v>Uncle Sams Cider (04/04/2023)</v>
      </c>
      <c r="H11274" s="19"/>
    </row>
    <row r="11275">
      <c r="A11275" s="9"/>
      <c r="B11275" s="15"/>
      <c r="C11275" s="9">
        <f>IFERROR(__xludf.DUMMYFUNCTION("""COMPUTED_VALUE"""),45025.7276311111)</f>
        <v>45025.72763</v>
      </c>
      <c r="D11275" s="15">
        <f>IFERROR(__xludf.DUMMYFUNCTION("""COMPUTED_VALUE"""),1.082)</f>
        <v>1.082</v>
      </c>
      <c r="E11275" s="16">
        <f>IFERROR(__xludf.DUMMYFUNCTION("""COMPUTED_VALUE"""),61.0)</f>
        <v>61</v>
      </c>
      <c r="F11275" s="19" t="str">
        <f>IFERROR(__xludf.DUMMYFUNCTION("""COMPUTED_VALUE"""),"BLUE")</f>
        <v>BLUE</v>
      </c>
      <c r="G11275" s="20" t="str">
        <f>IFERROR(__xludf.DUMMYFUNCTION("""COMPUTED_VALUE"""),"Uncle Sams Cider (04/04/2023)")</f>
        <v>Uncle Sams Cider (04/04/2023)</v>
      </c>
      <c r="H11275" s="19"/>
    </row>
    <row r="11276">
      <c r="A11276" s="9"/>
      <c r="B11276" s="15"/>
      <c r="C11276" s="9">
        <f>IFERROR(__xludf.DUMMYFUNCTION("""COMPUTED_VALUE"""),45025.7172093634)</f>
        <v>45025.71721</v>
      </c>
      <c r="D11276" s="15">
        <f>IFERROR(__xludf.DUMMYFUNCTION("""COMPUTED_VALUE"""),1.082)</f>
        <v>1.082</v>
      </c>
      <c r="E11276" s="16">
        <f>IFERROR(__xludf.DUMMYFUNCTION("""COMPUTED_VALUE"""),61.0)</f>
        <v>61</v>
      </c>
      <c r="F11276" s="19" t="str">
        <f>IFERROR(__xludf.DUMMYFUNCTION("""COMPUTED_VALUE"""),"BLUE")</f>
        <v>BLUE</v>
      </c>
      <c r="G11276" s="20" t="str">
        <f>IFERROR(__xludf.DUMMYFUNCTION("""COMPUTED_VALUE"""),"Uncle Sams Cider (04/04/2023)")</f>
        <v>Uncle Sams Cider (04/04/2023)</v>
      </c>
      <c r="H11276" s="19"/>
    </row>
    <row r="11277">
      <c r="A11277" s="9"/>
      <c r="B11277" s="15"/>
      <c r="C11277" s="9">
        <f>IFERROR(__xludf.DUMMYFUNCTION("""COMPUTED_VALUE"""),45025.7067892592)</f>
        <v>45025.70679</v>
      </c>
      <c r="D11277" s="15">
        <f>IFERROR(__xludf.DUMMYFUNCTION("""COMPUTED_VALUE"""),1.081)</f>
        <v>1.081</v>
      </c>
      <c r="E11277" s="16">
        <f>IFERROR(__xludf.DUMMYFUNCTION("""COMPUTED_VALUE"""),61.0)</f>
        <v>61</v>
      </c>
      <c r="F11277" s="19" t="str">
        <f>IFERROR(__xludf.DUMMYFUNCTION("""COMPUTED_VALUE"""),"BLUE")</f>
        <v>BLUE</v>
      </c>
      <c r="G11277" s="20" t="str">
        <f>IFERROR(__xludf.DUMMYFUNCTION("""COMPUTED_VALUE"""),"Uncle Sams Cider (04/04/2023)")</f>
        <v>Uncle Sams Cider (04/04/2023)</v>
      </c>
      <c r="H11277" s="19"/>
    </row>
    <row r="11278">
      <c r="A11278" s="9"/>
      <c r="B11278" s="15"/>
      <c r="C11278" s="9">
        <f>IFERROR(__xludf.DUMMYFUNCTION("""COMPUTED_VALUE"""),45025.6963685185)</f>
        <v>45025.69637</v>
      </c>
      <c r="D11278" s="15">
        <f>IFERROR(__xludf.DUMMYFUNCTION("""COMPUTED_VALUE"""),1.081)</f>
        <v>1.081</v>
      </c>
      <c r="E11278" s="16">
        <f>IFERROR(__xludf.DUMMYFUNCTION("""COMPUTED_VALUE"""),61.0)</f>
        <v>61</v>
      </c>
      <c r="F11278" s="19" t="str">
        <f>IFERROR(__xludf.DUMMYFUNCTION("""COMPUTED_VALUE"""),"BLUE")</f>
        <v>BLUE</v>
      </c>
      <c r="G11278" s="20" t="str">
        <f>IFERROR(__xludf.DUMMYFUNCTION("""COMPUTED_VALUE"""),"Uncle Sams Cider (04/04/2023)")</f>
        <v>Uncle Sams Cider (04/04/2023)</v>
      </c>
      <c r="H11278" s="19"/>
    </row>
    <row r="11279">
      <c r="A11279" s="9"/>
      <c r="B11279" s="15"/>
      <c r="C11279" s="9">
        <f>IFERROR(__xludf.DUMMYFUNCTION("""COMPUTED_VALUE"""),45025.6859472453)</f>
        <v>45025.68595</v>
      </c>
      <c r="D11279" s="15">
        <f>IFERROR(__xludf.DUMMYFUNCTION("""COMPUTED_VALUE"""),1.081)</f>
        <v>1.081</v>
      </c>
      <c r="E11279" s="16">
        <f>IFERROR(__xludf.DUMMYFUNCTION("""COMPUTED_VALUE"""),62.0)</f>
        <v>62</v>
      </c>
      <c r="F11279" s="19" t="str">
        <f>IFERROR(__xludf.DUMMYFUNCTION("""COMPUTED_VALUE"""),"BLUE")</f>
        <v>BLUE</v>
      </c>
      <c r="G11279" s="20" t="str">
        <f>IFERROR(__xludf.DUMMYFUNCTION("""COMPUTED_VALUE"""),"Uncle Sams Cider (04/04/2023)")</f>
        <v>Uncle Sams Cider (04/04/2023)</v>
      </c>
      <c r="H11279" s="19"/>
    </row>
    <row r="11280">
      <c r="A11280" s="9"/>
      <c r="B11280" s="15"/>
      <c r="C11280" s="9">
        <f>IFERROR(__xludf.DUMMYFUNCTION("""COMPUTED_VALUE"""),45025.6755270717)</f>
        <v>45025.67553</v>
      </c>
      <c r="D11280" s="15">
        <f>IFERROR(__xludf.DUMMYFUNCTION("""COMPUTED_VALUE"""),1.082)</f>
        <v>1.082</v>
      </c>
      <c r="E11280" s="16">
        <f>IFERROR(__xludf.DUMMYFUNCTION("""COMPUTED_VALUE"""),62.0)</f>
        <v>62</v>
      </c>
      <c r="F11280" s="19" t="str">
        <f>IFERROR(__xludf.DUMMYFUNCTION("""COMPUTED_VALUE"""),"BLUE")</f>
        <v>BLUE</v>
      </c>
      <c r="G11280" s="20" t="str">
        <f>IFERROR(__xludf.DUMMYFUNCTION("""COMPUTED_VALUE"""),"Uncle Sams Cider (04/04/2023)")</f>
        <v>Uncle Sams Cider (04/04/2023)</v>
      </c>
      <c r="H11280" s="19"/>
    </row>
    <row r="11281">
      <c r="A11281" s="9"/>
      <c r="B11281" s="15"/>
      <c r="C11281" s="9">
        <f>IFERROR(__xludf.DUMMYFUNCTION("""COMPUTED_VALUE"""),45025.6651062963)</f>
        <v>45025.66511</v>
      </c>
      <c r="D11281" s="15">
        <f>IFERROR(__xludf.DUMMYFUNCTION("""COMPUTED_VALUE"""),1.082)</f>
        <v>1.082</v>
      </c>
      <c r="E11281" s="16">
        <f>IFERROR(__xludf.DUMMYFUNCTION("""COMPUTED_VALUE"""),61.0)</f>
        <v>61</v>
      </c>
      <c r="F11281" s="19" t="str">
        <f>IFERROR(__xludf.DUMMYFUNCTION("""COMPUTED_VALUE"""),"BLUE")</f>
        <v>BLUE</v>
      </c>
      <c r="G11281" s="20" t="str">
        <f>IFERROR(__xludf.DUMMYFUNCTION("""COMPUTED_VALUE"""),"Uncle Sams Cider (04/04/2023)")</f>
        <v>Uncle Sams Cider (04/04/2023)</v>
      </c>
      <c r="H11281" s="19"/>
    </row>
    <row r="11282">
      <c r="A11282" s="9"/>
      <c r="B11282" s="15"/>
      <c r="C11282" s="9">
        <f>IFERROR(__xludf.DUMMYFUNCTION("""COMPUTED_VALUE"""),45025.6546851851)</f>
        <v>45025.65469</v>
      </c>
      <c r="D11282" s="15">
        <f>IFERROR(__xludf.DUMMYFUNCTION("""COMPUTED_VALUE"""),1.082)</f>
        <v>1.082</v>
      </c>
      <c r="E11282" s="16">
        <f>IFERROR(__xludf.DUMMYFUNCTION("""COMPUTED_VALUE"""),61.0)</f>
        <v>61</v>
      </c>
      <c r="F11282" s="19" t="str">
        <f>IFERROR(__xludf.DUMMYFUNCTION("""COMPUTED_VALUE"""),"BLUE")</f>
        <v>BLUE</v>
      </c>
      <c r="G11282" s="20" t="str">
        <f>IFERROR(__xludf.DUMMYFUNCTION("""COMPUTED_VALUE"""),"Uncle Sams Cider (04/04/2023)")</f>
        <v>Uncle Sams Cider (04/04/2023)</v>
      </c>
      <c r="H11282" s="19"/>
    </row>
    <row r="11283">
      <c r="A11283" s="9"/>
      <c r="B11283" s="15"/>
      <c r="C11283" s="9">
        <f>IFERROR(__xludf.DUMMYFUNCTION("""COMPUTED_VALUE"""),45025.6442641088)</f>
        <v>45025.64426</v>
      </c>
      <c r="D11283" s="15">
        <f>IFERROR(__xludf.DUMMYFUNCTION("""COMPUTED_VALUE"""),1.082)</f>
        <v>1.082</v>
      </c>
      <c r="E11283" s="16">
        <f>IFERROR(__xludf.DUMMYFUNCTION("""COMPUTED_VALUE"""),62.0)</f>
        <v>62</v>
      </c>
      <c r="F11283" s="19" t="str">
        <f>IFERROR(__xludf.DUMMYFUNCTION("""COMPUTED_VALUE"""),"BLUE")</f>
        <v>BLUE</v>
      </c>
      <c r="G11283" s="20" t="str">
        <f>IFERROR(__xludf.DUMMYFUNCTION("""COMPUTED_VALUE"""),"Uncle Sams Cider (04/04/2023)")</f>
        <v>Uncle Sams Cider (04/04/2023)</v>
      </c>
      <c r="H11283" s="19"/>
    </row>
    <row r="11284">
      <c r="A11284" s="9"/>
      <c r="B11284" s="15"/>
      <c r="C11284" s="9">
        <f>IFERROR(__xludf.DUMMYFUNCTION("""COMPUTED_VALUE"""),45025.6338441898)</f>
        <v>45025.63384</v>
      </c>
      <c r="D11284" s="15">
        <f>IFERROR(__xludf.DUMMYFUNCTION("""COMPUTED_VALUE"""),1.081)</f>
        <v>1.081</v>
      </c>
      <c r="E11284" s="16">
        <f>IFERROR(__xludf.DUMMYFUNCTION("""COMPUTED_VALUE"""),62.0)</f>
        <v>62</v>
      </c>
      <c r="F11284" s="19" t="str">
        <f>IFERROR(__xludf.DUMMYFUNCTION("""COMPUTED_VALUE"""),"BLUE")</f>
        <v>BLUE</v>
      </c>
      <c r="G11284" s="20" t="str">
        <f>IFERROR(__xludf.DUMMYFUNCTION("""COMPUTED_VALUE"""),"Uncle Sams Cider (04/04/2023)")</f>
        <v>Uncle Sams Cider (04/04/2023)</v>
      </c>
      <c r="H11284" s="19"/>
    </row>
    <row r="11285">
      <c r="A11285" s="9"/>
      <c r="B11285" s="15"/>
      <c r="C11285" s="9">
        <f>IFERROR(__xludf.DUMMYFUNCTION("""COMPUTED_VALUE"""),45025.6234242708)</f>
        <v>45025.62342</v>
      </c>
      <c r="D11285" s="15">
        <f>IFERROR(__xludf.DUMMYFUNCTION("""COMPUTED_VALUE"""),1.082)</f>
        <v>1.082</v>
      </c>
      <c r="E11285" s="16">
        <f>IFERROR(__xludf.DUMMYFUNCTION("""COMPUTED_VALUE"""),62.0)</f>
        <v>62</v>
      </c>
      <c r="F11285" s="19" t="str">
        <f>IFERROR(__xludf.DUMMYFUNCTION("""COMPUTED_VALUE"""),"BLUE")</f>
        <v>BLUE</v>
      </c>
      <c r="G11285" s="20" t="str">
        <f>IFERROR(__xludf.DUMMYFUNCTION("""COMPUTED_VALUE"""),"Uncle Sams Cider (04/04/2023)")</f>
        <v>Uncle Sams Cider (04/04/2023)</v>
      </c>
      <c r="H11285" s="19"/>
    </row>
    <row r="11286">
      <c r="A11286" s="9"/>
      <c r="B11286" s="15"/>
      <c r="C11286" s="9">
        <f>IFERROR(__xludf.DUMMYFUNCTION("""COMPUTED_VALUE"""),45025.6130013657)</f>
        <v>45025.613</v>
      </c>
      <c r="D11286" s="15">
        <f>IFERROR(__xludf.DUMMYFUNCTION("""COMPUTED_VALUE"""),1.082)</f>
        <v>1.082</v>
      </c>
      <c r="E11286" s="16">
        <f>IFERROR(__xludf.DUMMYFUNCTION("""COMPUTED_VALUE"""),62.0)</f>
        <v>62</v>
      </c>
      <c r="F11286" s="19" t="str">
        <f>IFERROR(__xludf.DUMMYFUNCTION("""COMPUTED_VALUE"""),"BLUE")</f>
        <v>BLUE</v>
      </c>
      <c r="G11286" s="20" t="str">
        <f>IFERROR(__xludf.DUMMYFUNCTION("""COMPUTED_VALUE"""),"Uncle Sams Cider (04/04/2023)")</f>
        <v>Uncle Sams Cider (04/04/2023)</v>
      </c>
      <c r="H11286" s="19"/>
    </row>
    <row r="11287">
      <c r="A11287" s="9"/>
      <c r="B11287" s="15"/>
      <c r="C11287" s="9">
        <f>IFERROR(__xludf.DUMMYFUNCTION("""COMPUTED_VALUE"""),45025.602580787)</f>
        <v>45025.60258</v>
      </c>
      <c r="D11287" s="15">
        <f>IFERROR(__xludf.DUMMYFUNCTION("""COMPUTED_VALUE"""),1.082)</f>
        <v>1.082</v>
      </c>
      <c r="E11287" s="16">
        <f>IFERROR(__xludf.DUMMYFUNCTION("""COMPUTED_VALUE"""),62.0)</f>
        <v>62</v>
      </c>
      <c r="F11287" s="19" t="str">
        <f>IFERROR(__xludf.DUMMYFUNCTION("""COMPUTED_VALUE"""),"BLUE")</f>
        <v>BLUE</v>
      </c>
      <c r="G11287" s="20" t="str">
        <f>IFERROR(__xludf.DUMMYFUNCTION("""COMPUTED_VALUE"""),"Uncle Sams Cider (04/04/2023)")</f>
        <v>Uncle Sams Cider (04/04/2023)</v>
      </c>
      <c r="H11287" s="19"/>
    </row>
    <row r="11288">
      <c r="A11288" s="9"/>
      <c r="B11288" s="15"/>
      <c r="C11288" s="9">
        <f>IFERROR(__xludf.DUMMYFUNCTION("""COMPUTED_VALUE"""),45025.5921613657)</f>
        <v>45025.59216</v>
      </c>
      <c r="D11288" s="15">
        <f>IFERROR(__xludf.DUMMYFUNCTION("""COMPUTED_VALUE"""),1.082)</f>
        <v>1.082</v>
      </c>
      <c r="E11288" s="16">
        <f>IFERROR(__xludf.DUMMYFUNCTION("""COMPUTED_VALUE"""),62.0)</f>
        <v>62</v>
      </c>
      <c r="F11288" s="19" t="str">
        <f>IFERROR(__xludf.DUMMYFUNCTION("""COMPUTED_VALUE"""),"BLUE")</f>
        <v>BLUE</v>
      </c>
      <c r="G11288" s="20" t="str">
        <f>IFERROR(__xludf.DUMMYFUNCTION("""COMPUTED_VALUE"""),"Uncle Sams Cider (04/04/2023)")</f>
        <v>Uncle Sams Cider (04/04/2023)</v>
      </c>
      <c r="H11288" s="19"/>
    </row>
    <row r="11289">
      <c r="A11289" s="9"/>
      <c r="B11289" s="15"/>
      <c r="C11289" s="9">
        <f>IFERROR(__xludf.DUMMYFUNCTION("""COMPUTED_VALUE"""),45025.5817410879)</f>
        <v>45025.58174</v>
      </c>
      <c r="D11289" s="15">
        <f>IFERROR(__xludf.DUMMYFUNCTION("""COMPUTED_VALUE"""),1.082)</f>
        <v>1.082</v>
      </c>
      <c r="E11289" s="16">
        <f>IFERROR(__xludf.DUMMYFUNCTION("""COMPUTED_VALUE"""),62.0)</f>
        <v>62</v>
      </c>
      <c r="F11289" s="19" t="str">
        <f>IFERROR(__xludf.DUMMYFUNCTION("""COMPUTED_VALUE"""),"BLUE")</f>
        <v>BLUE</v>
      </c>
      <c r="G11289" s="20" t="str">
        <f>IFERROR(__xludf.DUMMYFUNCTION("""COMPUTED_VALUE"""),"Uncle Sams Cider (04/04/2023)")</f>
        <v>Uncle Sams Cider (04/04/2023)</v>
      </c>
      <c r="H11289" s="19"/>
    </row>
    <row r="11290">
      <c r="A11290" s="9"/>
      <c r="B11290" s="15"/>
      <c r="C11290" s="9">
        <f>IFERROR(__xludf.DUMMYFUNCTION("""COMPUTED_VALUE"""),45025.5713205902)</f>
        <v>45025.57132</v>
      </c>
      <c r="D11290" s="15">
        <f>IFERROR(__xludf.DUMMYFUNCTION("""COMPUTED_VALUE"""),1.082)</f>
        <v>1.082</v>
      </c>
      <c r="E11290" s="16">
        <f>IFERROR(__xludf.DUMMYFUNCTION("""COMPUTED_VALUE"""),62.0)</f>
        <v>62</v>
      </c>
      <c r="F11290" s="19" t="str">
        <f>IFERROR(__xludf.DUMMYFUNCTION("""COMPUTED_VALUE"""),"BLUE")</f>
        <v>BLUE</v>
      </c>
      <c r="G11290" s="20" t="str">
        <f>IFERROR(__xludf.DUMMYFUNCTION("""COMPUTED_VALUE"""),"Uncle Sams Cider (04/04/2023)")</f>
        <v>Uncle Sams Cider (04/04/2023)</v>
      </c>
      <c r="H11290" s="19"/>
    </row>
    <row r="11291">
      <c r="A11291" s="9"/>
      <c r="B11291" s="15"/>
      <c r="C11291" s="9">
        <f>IFERROR(__xludf.DUMMYFUNCTION("""COMPUTED_VALUE"""),45025.5608884143)</f>
        <v>45025.56089</v>
      </c>
      <c r="D11291" s="15">
        <f>IFERROR(__xludf.DUMMYFUNCTION("""COMPUTED_VALUE"""),1.082)</f>
        <v>1.082</v>
      </c>
      <c r="E11291" s="16">
        <f>IFERROR(__xludf.DUMMYFUNCTION("""COMPUTED_VALUE"""),62.0)</f>
        <v>62</v>
      </c>
      <c r="F11291" s="19" t="str">
        <f>IFERROR(__xludf.DUMMYFUNCTION("""COMPUTED_VALUE"""),"BLUE")</f>
        <v>BLUE</v>
      </c>
      <c r="G11291" s="20" t="str">
        <f>IFERROR(__xludf.DUMMYFUNCTION("""COMPUTED_VALUE"""),"Uncle Sams Cider (04/04/2023)")</f>
        <v>Uncle Sams Cider (04/04/2023)</v>
      </c>
      <c r="H11291" s="19"/>
    </row>
    <row r="11292">
      <c r="A11292" s="9"/>
      <c r="B11292" s="15"/>
      <c r="C11292" s="9">
        <f>IFERROR(__xludf.DUMMYFUNCTION("""COMPUTED_VALUE"""),45025.5504664814)</f>
        <v>45025.55047</v>
      </c>
      <c r="D11292" s="15">
        <f>IFERROR(__xludf.DUMMYFUNCTION("""COMPUTED_VALUE"""),1.082)</f>
        <v>1.082</v>
      </c>
      <c r="E11292" s="16">
        <f>IFERROR(__xludf.DUMMYFUNCTION("""COMPUTED_VALUE"""),62.0)</f>
        <v>62</v>
      </c>
      <c r="F11292" s="19" t="str">
        <f>IFERROR(__xludf.DUMMYFUNCTION("""COMPUTED_VALUE"""),"BLUE")</f>
        <v>BLUE</v>
      </c>
      <c r="G11292" s="20" t="str">
        <f>IFERROR(__xludf.DUMMYFUNCTION("""COMPUTED_VALUE"""),"Uncle Sams Cider (04/04/2023)")</f>
        <v>Uncle Sams Cider (04/04/2023)</v>
      </c>
      <c r="H11292" s="19"/>
    </row>
    <row r="11293">
      <c r="A11293" s="9"/>
      <c r="B11293" s="15"/>
      <c r="C11293" s="9">
        <f>IFERROR(__xludf.DUMMYFUNCTION("""COMPUTED_VALUE"""),45025.5400465972)</f>
        <v>45025.54005</v>
      </c>
      <c r="D11293" s="15">
        <f>IFERROR(__xludf.DUMMYFUNCTION("""COMPUTED_VALUE"""),1.082)</f>
        <v>1.082</v>
      </c>
      <c r="E11293" s="16">
        <f>IFERROR(__xludf.DUMMYFUNCTION("""COMPUTED_VALUE"""),62.0)</f>
        <v>62</v>
      </c>
      <c r="F11293" s="19" t="str">
        <f>IFERROR(__xludf.DUMMYFUNCTION("""COMPUTED_VALUE"""),"BLUE")</f>
        <v>BLUE</v>
      </c>
      <c r="G11293" s="20" t="str">
        <f>IFERROR(__xludf.DUMMYFUNCTION("""COMPUTED_VALUE"""),"Uncle Sams Cider (04/04/2023)")</f>
        <v>Uncle Sams Cider (04/04/2023)</v>
      </c>
      <c r="H11293" s="19"/>
    </row>
    <row r="11294">
      <c r="A11294" s="9"/>
      <c r="B11294" s="15"/>
      <c r="C11294" s="9">
        <f>IFERROR(__xludf.DUMMYFUNCTION("""COMPUTED_VALUE"""),45025.529614456)</f>
        <v>45025.52961</v>
      </c>
      <c r="D11294" s="15">
        <f>IFERROR(__xludf.DUMMYFUNCTION("""COMPUTED_VALUE"""),1.082)</f>
        <v>1.082</v>
      </c>
      <c r="E11294" s="16">
        <f>IFERROR(__xludf.DUMMYFUNCTION("""COMPUTED_VALUE"""),62.0)</f>
        <v>62</v>
      </c>
      <c r="F11294" s="19" t="str">
        <f>IFERROR(__xludf.DUMMYFUNCTION("""COMPUTED_VALUE"""),"BLUE")</f>
        <v>BLUE</v>
      </c>
      <c r="G11294" s="20" t="str">
        <f>IFERROR(__xludf.DUMMYFUNCTION("""COMPUTED_VALUE"""),"Uncle Sams Cider (04/04/2023)")</f>
        <v>Uncle Sams Cider (04/04/2023)</v>
      </c>
      <c r="H11294" s="19"/>
    </row>
    <row r="11295">
      <c r="A11295" s="9"/>
      <c r="B11295" s="15"/>
      <c r="C11295" s="9">
        <f>IFERROR(__xludf.DUMMYFUNCTION("""COMPUTED_VALUE"""),45025.5191918634)</f>
        <v>45025.51919</v>
      </c>
      <c r="D11295" s="15">
        <f>IFERROR(__xludf.DUMMYFUNCTION("""COMPUTED_VALUE"""),1.082)</f>
        <v>1.082</v>
      </c>
      <c r="E11295" s="16">
        <f>IFERROR(__xludf.DUMMYFUNCTION("""COMPUTED_VALUE"""),62.0)</f>
        <v>62</v>
      </c>
      <c r="F11295" s="19" t="str">
        <f>IFERROR(__xludf.DUMMYFUNCTION("""COMPUTED_VALUE"""),"BLUE")</f>
        <v>BLUE</v>
      </c>
      <c r="G11295" s="20" t="str">
        <f>IFERROR(__xludf.DUMMYFUNCTION("""COMPUTED_VALUE"""),"Uncle Sams Cider (04/04/2023)")</f>
        <v>Uncle Sams Cider (04/04/2023)</v>
      </c>
      <c r="H11295" s="19"/>
    </row>
    <row r="11296">
      <c r="A11296" s="9"/>
      <c r="B11296" s="15"/>
      <c r="C11296" s="9">
        <f>IFERROR(__xludf.DUMMYFUNCTION("""COMPUTED_VALUE"""),45025.5087706134)</f>
        <v>45025.50877</v>
      </c>
      <c r="D11296" s="15">
        <f>IFERROR(__xludf.DUMMYFUNCTION("""COMPUTED_VALUE"""),1.082)</f>
        <v>1.082</v>
      </c>
      <c r="E11296" s="16">
        <f>IFERROR(__xludf.DUMMYFUNCTION("""COMPUTED_VALUE"""),62.0)</f>
        <v>62</v>
      </c>
      <c r="F11296" s="19" t="str">
        <f>IFERROR(__xludf.DUMMYFUNCTION("""COMPUTED_VALUE"""),"BLUE")</f>
        <v>BLUE</v>
      </c>
      <c r="G11296" s="20" t="str">
        <f>IFERROR(__xludf.DUMMYFUNCTION("""COMPUTED_VALUE"""),"Uncle Sams Cider (04/04/2023)")</f>
        <v>Uncle Sams Cider (04/04/2023)</v>
      </c>
      <c r="H11296" s="19"/>
    </row>
    <row r="11297">
      <c r="A11297" s="9"/>
      <c r="B11297" s="15"/>
      <c r="C11297" s="9">
        <f>IFERROR(__xludf.DUMMYFUNCTION("""COMPUTED_VALUE"""),45025.4983492129)</f>
        <v>45025.49835</v>
      </c>
      <c r="D11297" s="15">
        <f>IFERROR(__xludf.DUMMYFUNCTION("""COMPUTED_VALUE"""),1.082)</f>
        <v>1.082</v>
      </c>
      <c r="E11297" s="16">
        <f>IFERROR(__xludf.DUMMYFUNCTION("""COMPUTED_VALUE"""),62.0)</f>
        <v>62</v>
      </c>
      <c r="F11297" s="19" t="str">
        <f>IFERROR(__xludf.DUMMYFUNCTION("""COMPUTED_VALUE"""),"BLUE")</f>
        <v>BLUE</v>
      </c>
      <c r="G11297" s="20" t="str">
        <f>IFERROR(__xludf.DUMMYFUNCTION("""COMPUTED_VALUE"""),"Uncle Sams Cider (04/04/2023)")</f>
        <v>Uncle Sams Cider (04/04/2023)</v>
      </c>
      <c r="H11297" s="19"/>
    </row>
    <row r="11298">
      <c r="A11298" s="9"/>
      <c r="B11298" s="15"/>
      <c r="C11298" s="9">
        <f>IFERROR(__xludf.DUMMYFUNCTION("""COMPUTED_VALUE"""),45025.4879144907)</f>
        <v>45025.48791</v>
      </c>
      <c r="D11298" s="15">
        <f>IFERROR(__xludf.DUMMYFUNCTION("""COMPUTED_VALUE"""),1.082)</f>
        <v>1.082</v>
      </c>
      <c r="E11298" s="16">
        <f>IFERROR(__xludf.DUMMYFUNCTION("""COMPUTED_VALUE"""),62.0)</f>
        <v>62</v>
      </c>
      <c r="F11298" s="19" t="str">
        <f>IFERROR(__xludf.DUMMYFUNCTION("""COMPUTED_VALUE"""),"BLUE")</f>
        <v>BLUE</v>
      </c>
      <c r="G11298" s="20" t="str">
        <f>IFERROR(__xludf.DUMMYFUNCTION("""COMPUTED_VALUE"""),"Uncle Sams Cider (04/04/2023)")</f>
        <v>Uncle Sams Cider (04/04/2023)</v>
      </c>
      <c r="H11298" s="19"/>
    </row>
    <row r="11299">
      <c r="A11299" s="9"/>
      <c r="B11299" s="15"/>
      <c r="C11299" s="9">
        <f>IFERROR(__xludf.DUMMYFUNCTION("""COMPUTED_VALUE"""),45025.4774706134)</f>
        <v>45025.47747</v>
      </c>
      <c r="D11299" s="15">
        <f>IFERROR(__xludf.DUMMYFUNCTION("""COMPUTED_VALUE"""),1.082)</f>
        <v>1.082</v>
      </c>
      <c r="E11299" s="16">
        <f>IFERROR(__xludf.DUMMYFUNCTION("""COMPUTED_VALUE"""),62.0)</f>
        <v>62</v>
      </c>
      <c r="F11299" s="19" t="str">
        <f>IFERROR(__xludf.DUMMYFUNCTION("""COMPUTED_VALUE"""),"BLUE")</f>
        <v>BLUE</v>
      </c>
      <c r="G11299" s="20" t="str">
        <f>IFERROR(__xludf.DUMMYFUNCTION("""COMPUTED_VALUE"""),"Uncle Sams Cider (04/04/2023)")</f>
        <v>Uncle Sams Cider (04/04/2023)</v>
      </c>
      <c r="H11299" s="19"/>
    </row>
    <row r="11300">
      <c r="A11300" s="9"/>
      <c r="B11300" s="15"/>
      <c r="C11300" s="9">
        <f>IFERROR(__xludf.DUMMYFUNCTION("""COMPUTED_VALUE"""),45025.4670506134)</f>
        <v>45025.46705</v>
      </c>
      <c r="D11300" s="15">
        <f>IFERROR(__xludf.DUMMYFUNCTION("""COMPUTED_VALUE"""),1.082)</f>
        <v>1.082</v>
      </c>
      <c r="E11300" s="16">
        <f>IFERROR(__xludf.DUMMYFUNCTION("""COMPUTED_VALUE"""),62.0)</f>
        <v>62</v>
      </c>
      <c r="F11300" s="19" t="str">
        <f>IFERROR(__xludf.DUMMYFUNCTION("""COMPUTED_VALUE"""),"BLUE")</f>
        <v>BLUE</v>
      </c>
      <c r="G11300" s="20" t="str">
        <f>IFERROR(__xludf.DUMMYFUNCTION("""COMPUTED_VALUE"""),"Uncle Sams Cider (04/04/2023)")</f>
        <v>Uncle Sams Cider (04/04/2023)</v>
      </c>
      <c r="H11300" s="19"/>
    </row>
    <row r="11301">
      <c r="A11301" s="9"/>
      <c r="B11301" s="15"/>
      <c r="C11301" s="9">
        <f>IFERROR(__xludf.DUMMYFUNCTION("""COMPUTED_VALUE"""),45025.4566282175)</f>
        <v>45025.45663</v>
      </c>
      <c r="D11301" s="15">
        <f>IFERROR(__xludf.DUMMYFUNCTION("""COMPUTED_VALUE"""),1.083)</f>
        <v>1.083</v>
      </c>
      <c r="E11301" s="16">
        <f>IFERROR(__xludf.DUMMYFUNCTION("""COMPUTED_VALUE"""),62.0)</f>
        <v>62</v>
      </c>
      <c r="F11301" s="19" t="str">
        <f>IFERROR(__xludf.DUMMYFUNCTION("""COMPUTED_VALUE"""),"BLUE")</f>
        <v>BLUE</v>
      </c>
      <c r="G11301" s="20" t="str">
        <f>IFERROR(__xludf.DUMMYFUNCTION("""COMPUTED_VALUE"""),"Uncle Sams Cider (04/04/2023)")</f>
        <v>Uncle Sams Cider (04/04/2023)</v>
      </c>
      <c r="H11301" s="19"/>
    </row>
    <row r="11302">
      <c r="A11302" s="9"/>
      <c r="B11302" s="15"/>
      <c r="C11302" s="9">
        <f>IFERROR(__xludf.DUMMYFUNCTION("""COMPUTED_VALUE"""),45025.4462079629)</f>
        <v>45025.44621</v>
      </c>
      <c r="D11302" s="15">
        <f>IFERROR(__xludf.DUMMYFUNCTION("""COMPUTED_VALUE"""),1.083)</f>
        <v>1.083</v>
      </c>
      <c r="E11302" s="16">
        <f>IFERROR(__xludf.DUMMYFUNCTION("""COMPUTED_VALUE"""),62.0)</f>
        <v>62</v>
      </c>
      <c r="F11302" s="19" t="str">
        <f>IFERROR(__xludf.DUMMYFUNCTION("""COMPUTED_VALUE"""),"BLUE")</f>
        <v>BLUE</v>
      </c>
      <c r="G11302" s="20" t="str">
        <f>IFERROR(__xludf.DUMMYFUNCTION("""COMPUTED_VALUE"""),"Uncle Sams Cider (04/04/2023)")</f>
        <v>Uncle Sams Cider (04/04/2023)</v>
      </c>
      <c r="H11302" s="19"/>
    </row>
    <row r="11303">
      <c r="A11303" s="9"/>
      <c r="B11303" s="15"/>
      <c r="C11303" s="9">
        <f>IFERROR(__xludf.DUMMYFUNCTION("""COMPUTED_VALUE"""),45025.435785706)</f>
        <v>45025.43579</v>
      </c>
      <c r="D11303" s="15">
        <f>IFERROR(__xludf.DUMMYFUNCTION("""COMPUTED_VALUE"""),1.082)</f>
        <v>1.082</v>
      </c>
      <c r="E11303" s="16">
        <f>IFERROR(__xludf.DUMMYFUNCTION("""COMPUTED_VALUE"""),62.0)</f>
        <v>62</v>
      </c>
      <c r="F11303" s="19" t="str">
        <f>IFERROR(__xludf.DUMMYFUNCTION("""COMPUTED_VALUE"""),"BLUE")</f>
        <v>BLUE</v>
      </c>
      <c r="G11303" s="20" t="str">
        <f>IFERROR(__xludf.DUMMYFUNCTION("""COMPUTED_VALUE"""),"Uncle Sams Cider (04/04/2023)")</f>
        <v>Uncle Sams Cider (04/04/2023)</v>
      </c>
      <c r="H11303" s="19"/>
    </row>
    <row r="11304">
      <c r="A11304" s="9"/>
      <c r="B11304" s="15"/>
      <c r="C11304" s="9">
        <f>IFERROR(__xludf.DUMMYFUNCTION("""COMPUTED_VALUE"""),45025.4253667361)</f>
        <v>45025.42537</v>
      </c>
      <c r="D11304" s="15">
        <f>IFERROR(__xludf.DUMMYFUNCTION("""COMPUTED_VALUE"""),1.082)</f>
        <v>1.082</v>
      </c>
      <c r="E11304" s="16">
        <f>IFERROR(__xludf.DUMMYFUNCTION("""COMPUTED_VALUE"""),62.0)</f>
        <v>62</v>
      </c>
      <c r="F11304" s="19" t="str">
        <f>IFERROR(__xludf.DUMMYFUNCTION("""COMPUTED_VALUE"""),"BLUE")</f>
        <v>BLUE</v>
      </c>
      <c r="G11304" s="20" t="str">
        <f>IFERROR(__xludf.DUMMYFUNCTION("""COMPUTED_VALUE"""),"Uncle Sams Cider (04/04/2023)")</f>
        <v>Uncle Sams Cider (04/04/2023)</v>
      </c>
      <c r="H11304" s="19"/>
    </row>
    <row r="11305">
      <c r="A11305" s="9"/>
      <c r="B11305" s="15"/>
      <c r="C11305" s="9">
        <f>IFERROR(__xludf.DUMMYFUNCTION("""COMPUTED_VALUE"""),45025.4149346875)</f>
        <v>45025.41493</v>
      </c>
      <c r="D11305" s="15">
        <f>IFERROR(__xludf.DUMMYFUNCTION("""COMPUTED_VALUE"""),1.083)</f>
        <v>1.083</v>
      </c>
      <c r="E11305" s="16">
        <f>IFERROR(__xludf.DUMMYFUNCTION("""COMPUTED_VALUE"""),62.0)</f>
        <v>62</v>
      </c>
      <c r="F11305" s="19" t="str">
        <f>IFERROR(__xludf.DUMMYFUNCTION("""COMPUTED_VALUE"""),"BLUE")</f>
        <v>BLUE</v>
      </c>
      <c r="G11305" s="20" t="str">
        <f>IFERROR(__xludf.DUMMYFUNCTION("""COMPUTED_VALUE"""),"Uncle Sams Cider (04/04/2023)")</f>
        <v>Uncle Sams Cider (04/04/2023)</v>
      </c>
      <c r="H11305" s="19"/>
    </row>
    <row r="11306">
      <c r="A11306" s="9"/>
      <c r="B11306" s="15"/>
      <c r="C11306" s="9">
        <f>IFERROR(__xludf.DUMMYFUNCTION("""COMPUTED_VALUE"""),45025.4045029861)</f>
        <v>45025.4045</v>
      </c>
      <c r="D11306" s="15">
        <f>IFERROR(__xludf.DUMMYFUNCTION("""COMPUTED_VALUE"""),1.083)</f>
        <v>1.083</v>
      </c>
      <c r="E11306" s="16">
        <f>IFERROR(__xludf.DUMMYFUNCTION("""COMPUTED_VALUE"""),62.0)</f>
        <v>62</v>
      </c>
      <c r="F11306" s="19" t="str">
        <f>IFERROR(__xludf.DUMMYFUNCTION("""COMPUTED_VALUE"""),"BLUE")</f>
        <v>BLUE</v>
      </c>
      <c r="G11306" s="20" t="str">
        <f>IFERROR(__xludf.DUMMYFUNCTION("""COMPUTED_VALUE"""),"Uncle Sams Cider (04/04/2023)")</f>
        <v>Uncle Sams Cider (04/04/2023)</v>
      </c>
      <c r="H11306" s="19"/>
    </row>
    <row r="11307">
      <c r="A11307" s="9"/>
      <c r="B11307" s="15"/>
      <c r="C11307" s="9">
        <f>IFERROR(__xludf.DUMMYFUNCTION("""COMPUTED_VALUE"""),45025.3940825578)</f>
        <v>45025.39408</v>
      </c>
      <c r="D11307" s="15">
        <f>IFERROR(__xludf.DUMMYFUNCTION("""COMPUTED_VALUE"""),1.083)</f>
        <v>1.083</v>
      </c>
      <c r="E11307" s="16">
        <f>IFERROR(__xludf.DUMMYFUNCTION("""COMPUTED_VALUE"""),62.0)</f>
        <v>62</v>
      </c>
      <c r="F11307" s="19" t="str">
        <f>IFERROR(__xludf.DUMMYFUNCTION("""COMPUTED_VALUE"""),"BLUE")</f>
        <v>BLUE</v>
      </c>
      <c r="G11307" s="20" t="str">
        <f>IFERROR(__xludf.DUMMYFUNCTION("""COMPUTED_VALUE"""),"Uncle Sams Cider (04/04/2023)")</f>
        <v>Uncle Sams Cider (04/04/2023)</v>
      </c>
      <c r="H11307" s="19"/>
    </row>
    <row r="11308">
      <c r="A11308" s="9"/>
      <c r="B11308" s="15"/>
      <c r="C11308" s="9">
        <f>IFERROR(__xludf.DUMMYFUNCTION("""COMPUTED_VALUE"""),45025.3836611921)</f>
        <v>45025.38366</v>
      </c>
      <c r="D11308" s="15">
        <f>IFERROR(__xludf.DUMMYFUNCTION("""COMPUTED_VALUE"""),1.083)</f>
        <v>1.083</v>
      </c>
      <c r="E11308" s="16">
        <f>IFERROR(__xludf.DUMMYFUNCTION("""COMPUTED_VALUE"""),62.0)</f>
        <v>62</v>
      </c>
      <c r="F11308" s="19" t="str">
        <f>IFERROR(__xludf.DUMMYFUNCTION("""COMPUTED_VALUE"""),"BLUE")</f>
        <v>BLUE</v>
      </c>
      <c r="G11308" s="20" t="str">
        <f>IFERROR(__xludf.DUMMYFUNCTION("""COMPUTED_VALUE"""),"Uncle Sams Cider (04/04/2023)")</f>
        <v>Uncle Sams Cider (04/04/2023)</v>
      </c>
      <c r="H11308" s="19"/>
    </row>
    <row r="11309">
      <c r="A11309" s="9"/>
      <c r="B11309" s="15"/>
      <c r="C11309" s="9">
        <f>IFERROR(__xludf.DUMMYFUNCTION("""COMPUTED_VALUE"""),45025.3732388888)</f>
        <v>45025.37324</v>
      </c>
      <c r="D11309" s="15">
        <f>IFERROR(__xludf.DUMMYFUNCTION("""COMPUTED_VALUE"""),1.083)</f>
        <v>1.083</v>
      </c>
      <c r="E11309" s="16">
        <f>IFERROR(__xludf.DUMMYFUNCTION("""COMPUTED_VALUE"""),62.0)</f>
        <v>62</v>
      </c>
      <c r="F11309" s="19" t="str">
        <f>IFERROR(__xludf.DUMMYFUNCTION("""COMPUTED_VALUE"""),"BLUE")</f>
        <v>BLUE</v>
      </c>
      <c r="G11309" s="20" t="str">
        <f>IFERROR(__xludf.DUMMYFUNCTION("""COMPUTED_VALUE"""),"Uncle Sams Cider (04/04/2023)")</f>
        <v>Uncle Sams Cider (04/04/2023)</v>
      </c>
      <c r="H11309" s="19"/>
    </row>
    <row r="11310">
      <c r="A11310" s="9"/>
      <c r="B11310" s="15"/>
      <c r="C11310" s="9">
        <f>IFERROR(__xludf.DUMMYFUNCTION("""COMPUTED_VALUE"""),45025.3628041319)</f>
        <v>45025.3628</v>
      </c>
      <c r="D11310" s="15">
        <f>IFERROR(__xludf.DUMMYFUNCTION("""COMPUTED_VALUE"""),1.083)</f>
        <v>1.083</v>
      </c>
      <c r="E11310" s="16">
        <f>IFERROR(__xludf.DUMMYFUNCTION("""COMPUTED_VALUE"""),62.0)</f>
        <v>62</v>
      </c>
      <c r="F11310" s="19" t="str">
        <f>IFERROR(__xludf.DUMMYFUNCTION("""COMPUTED_VALUE"""),"BLUE")</f>
        <v>BLUE</v>
      </c>
      <c r="G11310" s="20" t="str">
        <f>IFERROR(__xludf.DUMMYFUNCTION("""COMPUTED_VALUE"""),"Uncle Sams Cider (04/04/2023)")</f>
        <v>Uncle Sams Cider (04/04/2023)</v>
      </c>
      <c r="H11310" s="19"/>
    </row>
    <row r="11311">
      <c r="A11311" s="9"/>
      <c r="B11311" s="15"/>
      <c r="C11311" s="9">
        <f>IFERROR(__xludf.DUMMYFUNCTION("""COMPUTED_VALUE"""),45025.352382581)</f>
        <v>45025.35238</v>
      </c>
      <c r="D11311" s="15">
        <f>IFERROR(__xludf.DUMMYFUNCTION("""COMPUTED_VALUE"""),1.082)</f>
        <v>1.082</v>
      </c>
      <c r="E11311" s="16">
        <f>IFERROR(__xludf.DUMMYFUNCTION("""COMPUTED_VALUE"""),62.0)</f>
        <v>62</v>
      </c>
      <c r="F11311" s="19" t="str">
        <f>IFERROR(__xludf.DUMMYFUNCTION("""COMPUTED_VALUE"""),"BLUE")</f>
        <v>BLUE</v>
      </c>
      <c r="G11311" s="20" t="str">
        <f>IFERROR(__xludf.DUMMYFUNCTION("""COMPUTED_VALUE"""),"Uncle Sams Cider (04/04/2023)")</f>
        <v>Uncle Sams Cider (04/04/2023)</v>
      </c>
      <c r="H11311" s="19"/>
    </row>
    <row r="11312">
      <c r="A11312" s="9"/>
      <c r="B11312" s="15"/>
      <c r="C11312" s="9">
        <f>IFERROR(__xludf.DUMMYFUNCTION("""COMPUTED_VALUE"""),45025.3419611689)</f>
        <v>45025.34196</v>
      </c>
      <c r="D11312" s="15">
        <f>IFERROR(__xludf.DUMMYFUNCTION("""COMPUTED_VALUE"""),1.083)</f>
        <v>1.083</v>
      </c>
      <c r="E11312" s="16">
        <f>IFERROR(__xludf.DUMMYFUNCTION("""COMPUTED_VALUE"""),62.0)</f>
        <v>62</v>
      </c>
      <c r="F11312" s="19" t="str">
        <f>IFERROR(__xludf.DUMMYFUNCTION("""COMPUTED_VALUE"""),"BLUE")</f>
        <v>BLUE</v>
      </c>
      <c r="G11312" s="20" t="str">
        <f>IFERROR(__xludf.DUMMYFUNCTION("""COMPUTED_VALUE"""),"Uncle Sams Cider (04/04/2023)")</f>
        <v>Uncle Sams Cider (04/04/2023)</v>
      </c>
      <c r="H11312" s="19"/>
    </row>
    <row r="11313">
      <c r="A11313" s="9"/>
      <c r="B11313" s="15"/>
      <c r="C11313" s="9">
        <f>IFERROR(__xludf.DUMMYFUNCTION("""COMPUTED_VALUE"""),45025.3315409722)</f>
        <v>45025.33154</v>
      </c>
      <c r="D11313" s="15">
        <f>IFERROR(__xludf.DUMMYFUNCTION("""COMPUTED_VALUE"""),1.083)</f>
        <v>1.083</v>
      </c>
      <c r="E11313" s="16">
        <f>IFERROR(__xludf.DUMMYFUNCTION("""COMPUTED_VALUE"""),62.0)</f>
        <v>62</v>
      </c>
      <c r="F11313" s="19" t="str">
        <f>IFERROR(__xludf.DUMMYFUNCTION("""COMPUTED_VALUE"""),"BLUE")</f>
        <v>BLUE</v>
      </c>
      <c r="G11313" s="20" t="str">
        <f>IFERROR(__xludf.DUMMYFUNCTION("""COMPUTED_VALUE"""),"Uncle Sams Cider (04/04/2023)")</f>
        <v>Uncle Sams Cider (04/04/2023)</v>
      </c>
      <c r="H11313" s="19"/>
    </row>
    <row r="11314">
      <c r="A11314" s="9"/>
      <c r="B11314" s="15"/>
      <c r="C11314" s="9">
        <f>IFERROR(__xludf.DUMMYFUNCTION("""COMPUTED_VALUE"""),45025.3211185763)</f>
        <v>45025.32112</v>
      </c>
      <c r="D11314" s="15">
        <f>IFERROR(__xludf.DUMMYFUNCTION("""COMPUTED_VALUE"""),1.083)</f>
        <v>1.083</v>
      </c>
      <c r="E11314" s="16">
        <f>IFERROR(__xludf.DUMMYFUNCTION("""COMPUTED_VALUE"""),62.0)</f>
        <v>62</v>
      </c>
      <c r="F11314" s="19" t="str">
        <f>IFERROR(__xludf.DUMMYFUNCTION("""COMPUTED_VALUE"""),"BLUE")</f>
        <v>BLUE</v>
      </c>
      <c r="G11314" s="20" t="str">
        <f>IFERROR(__xludf.DUMMYFUNCTION("""COMPUTED_VALUE"""),"Uncle Sams Cider (04/04/2023)")</f>
        <v>Uncle Sams Cider (04/04/2023)</v>
      </c>
      <c r="H11314" s="19"/>
    </row>
    <row r="11315">
      <c r="A11315" s="9"/>
      <c r="B11315" s="15"/>
      <c r="C11315" s="9">
        <f>IFERROR(__xludf.DUMMYFUNCTION("""COMPUTED_VALUE"""),45025.3106981828)</f>
        <v>45025.3107</v>
      </c>
      <c r="D11315" s="15">
        <f>IFERROR(__xludf.DUMMYFUNCTION("""COMPUTED_VALUE"""),1.083)</f>
        <v>1.083</v>
      </c>
      <c r="E11315" s="16">
        <f>IFERROR(__xludf.DUMMYFUNCTION("""COMPUTED_VALUE"""),62.0)</f>
        <v>62</v>
      </c>
      <c r="F11315" s="19" t="str">
        <f>IFERROR(__xludf.DUMMYFUNCTION("""COMPUTED_VALUE"""),"BLUE")</f>
        <v>BLUE</v>
      </c>
      <c r="G11315" s="20" t="str">
        <f>IFERROR(__xludf.DUMMYFUNCTION("""COMPUTED_VALUE"""),"Uncle Sams Cider (04/04/2023)")</f>
        <v>Uncle Sams Cider (04/04/2023)</v>
      </c>
      <c r="H11315" s="19"/>
    </row>
    <row r="11316">
      <c r="A11316" s="9"/>
      <c r="B11316" s="15"/>
      <c r="C11316" s="9">
        <f>IFERROR(__xludf.DUMMYFUNCTION("""COMPUTED_VALUE"""),45025.3002799074)</f>
        <v>45025.30028</v>
      </c>
      <c r="D11316" s="15">
        <f>IFERROR(__xludf.DUMMYFUNCTION("""COMPUTED_VALUE"""),1.083)</f>
        <v>1.083</v>
      </c>
      <c r="E11316" s="16">
        <f>IFERROR(__xludf.DUMMYFUNCTION("""COMPUTED_VALUE"""),62.0)</f>
        <v>62</v>
      </c>
      <c r="F11316" s="19" t="str">
        <f>IFERROR(__xludf.DUMMYFUNCTION("""COMPUTED_VALUE"""),"BLUE")</f>
        <v>BLUE</v>
      </c>
      <c r="G11316" s="20" t="str">
        <f>IFERROR(__xludf.DUMMYFUNCTION("""COMPUTED_VALUE"""),"Uncle Sams Cider (04/04/2023)")</f>
        <v>Uncle Sams Cider (04/04/2023)</v>
      </c>
      <c r="H11316" s="19"/>
    </row>
    <row r="11317">
      <c r="A11317" s="9"/>
      <c r="B11317" s="15"/>
      <c r="C11317" s="9">
        <f>IFERROR(__xludf.DUMMYFUNCTION("""COMPUTED_VALUE"""),45025.2898591435)</f>
        <v>45025.28986</v>
      </c>
      <c r="D11317" s="15">
        <f>IFERROR(__xludf.DUMMYFUNCTION("""COMPUTED_VALUE"""),1.083)</f>
        <v>1.083</v>
      </c>
      <c r="E11317" s="16">
        <f>IFERROR(__xludf.DUMMYFUNCTION("""COMPUTED_VALUE"""),62.0)</f>
        <v>62</v>
      </c>
      <c r="F11317" s="19" t="str">
        <f>IFERROR(__xludf.DUMMYFUNCTION("""COMPUTED_VALUE"""),"BLUE")</f>
        <v>BLUE</v>
      </c>
      <c r="G11317" s="20" t="str">
        <f>IFERROR(__xludf.DUMMYFUNCTION("""COMPUTED_VALUE"""),"Uncle Sams Cider (04/04/2023)")</f>
        <v>Uncle Sams Cider (04/04/2023)</v>
      </c>
      <c r="H11317" s="19"/>
    </row>
    <row r="11318">
      <c r="A11318" s="9"/>
      <c r="B11318" s="15"/>
      <c r="C11318" s="9">
        <f>IFERROR(__xludf.DUMMYFUNCTION("""COMPUTED_VALUE"""),45025.279439074)</f>
        <v>45025.27944</v>
      </c>
      <c r="D11318" s="15">
        <f>IFERROR(__xludf.DUMMYFUNCTION("""COMPUTED_VALUE"""),1.083)</f>
        <v>1.083</v>
      </c>
      <c r="E11318" s="16">
        <f>IFERROR(__xludf.DUMMYFUNCTION("""COMPUTED_VALUE"""),62.0)</f>
        <v>62</v>
      </c>
      <c r="F11318" s="19" t="str">
        <f>IFERROR(__xludf.DUMMYFUNCTION("""COMPUTED_VALUE"""),"BLUE")</f>
        <v>BLUE</v>
      </c>
      <c r="G11318" s="20" t="str">
        <f>IFERROR(__xludf.DUMMYFUNCTION("""COMPUTED_VALUE"""),"Uncle Sams Cider (04/04/2023)")</f>
        <v>Uncle Sams Cider (04/04/2023)</v>
      </c>
      <c r="H11318" s="19"/>
    </row>
    <row r="11319">
      <c r="A11319" s="9"/>
      <c r="B11319" s="15"/>
      <c r="C11319" s="9">
        <f>IFERROR(__xludf.DUMMYFUNCTION("""COMPUTED_VALUE"""),45025.2690188657)</f>
        <v>45025.26902</v>
      </c>
      <c r="D11319" s="15">
        <f>IFERROR(__xludf.DUMMYFUNCTION("""COMPUTED_VALUE"""),1.083)</f>
        <v>1.083</v>
      </c>
      <c r="E11319" s="16">
        <f>IFERROR(__xludf.DUMMYFUNCTION("""COMPUTED_VALUE"""),62.0)</f>
        <v>62</v>
      </c>
      <c r="F11319" s="19" t="str">
        <f>IFERROR(__xludf.DUMMYFUNCTION("""COMPUTED_VALUE"""),"BLUE")</f>
        <v>BLUE</v>
      </c>
      <c r="G11319" s="20" t="str">
        <f>IFERROR(__xludf.DUMMYFUNCTION("""COMPUTED_VALUE"""),"Uncle Sams Cider (04/04/2023)")</f>
        <v>Uncle Sams Cider (04/04/2023)</v>
      </c>
      <c r="H11319" s="19"/>
    </row>
    <row r="11320">
      <c r="A11320" s="9"/>
      <c r="B11320" s="15"/>
      <c r="C11320" s="9">
        <f>IFERROR(__xludf.DUMMYFUNCTION("""COMPUTED_VALUE"""),45025.2585974189)</f>
        <v>45025.2586</v>
      </c>
      <c r="D11320" s="15">
        <f>IFERROR(__xludf.DUMMYFUNCTION("""COMPUTED_VALUE"""),1.083)</f>
        <v>1.083</v>
      </c>
      <c r="E11320" s="16">
        <f>IFERROR(__xludf.DUMMYFUNCTION("""COMPUTED_VALUE"""),62.0)</f>
        <v>62</v>
      </c>
      <c r="F11320" s="19" t="str">
        <f>IFERROR(__xludf.DUMMYFUNCTION("""COMPUTED_VALUE"""),"BLUE")</f>
        <v>BLUE</v>
      </c>
      <c r="G11320" s="20" t="str">
        <f>IFERROR(__xludf.DUMMYFUNCTION("""COMPUTED_VALUE"""),"Uncle Sams Cider (04/04/2023)")</f>
        <v>Uncle Sams Cider (04/04/2023)</v>
      </c>
      <c r="H11320" s="19"/>
    </row>
    <row r="11321">
      <c r="A11321" s="9"/>
      <c r="B11321" s="15"/>
      <c r="C11321" s="9">
        <f>IFERROR(__xludf.DUMMYFUNCTION("""COMPUTED_VALUE"""),45025.2481543865)</f>
        <v>45025.24815</v>
      </c>
      <c r="D11321" s="15">
        <f>IFERROR(__xludf.DUMMYFUNCTION("""COMPUTED_VALUE"""),1.083)</f>
        <v>1.083</v>
      </c>
      <c r="E11321" s="16">
        <f>IFERROR(__xludf.DUMMYFUNCTION("""COMPUTED_VALUE"""),62.0)</f>
        <v>62</v>
      </c>
      <c r="F11321" s="19" t="str">
        <f>IFERROR(__xludf.DUMMYFUNCTION("""COMPUTED_VALUE"""),"BLUE")</f>
        <v>BLUE</v>
      </c>
      <c r="G11321" s="20" t="str">
        <f>IFERROR(__xludf.DUMMYFUNCTION("""COMPUTED_VALUE"""),"Uncle Sams Cider (04/04/2023)")</f>
        <v>Uncle Sams Cider (04/04/2023)</v>
      </c>
      <c r="H11321" s="19"/>
    </row>
    <row r="11322">
      <c r="A11322" s="9"/>
      <c r="B11322" s="15"/>
      <c r="C11322" s="9">
        <f>IFERROR(__xludf.DUMMYFUNCTION("""COMPUTED_VALUE"""),45025.2377101157)</f>
        <v>45025.23771</v>
      </c>
      <c r="D11322" s="15">
        <f>IFERROR(__xludf.DUMMYFUNCTION("""COMPUTED_VALUE"""),1.083)</f>
        <v>1.083</v>
      </c>
      <c r="E11322" s="16">
        <f>IFERROR(__xludf.DUMMYFUNCTION("""COMPUTED_VALUE"""),62.0)</f>
        <v>62</v>
      </c>
      <c r="F11322" s="19" t="str">
        <f>IFERROR(__xludf.DUMMYFUNCTION("""COMPUTED_VALUE"""),"BLUE")</f>
        <v>BLUE</v>
      </c>
      <c r="G11322" s="20" t="str">
        <f>IFERROR(__xludf.DUMMYFUNCTION("""COMPUTED_VALUE"""),"Uncle Sams Cider (04/04/2023)")</f>
        <v>Uncle Sams Cider (04/04/2023)</v>
      </c>
      <c r="H11322" s="19"/>
    </row>
    <row r="11323">
      <c r="A11323" s="9"/>
      <c r="B11323" s="15"/>
      <c r="C11323" s="9">
        <f>IFERROR(__xludf.DUMMYFUNCTION("""COMPUTED_VALUE"""),45025.2272891435)</f>
        <v>45025.22729</v>
      </c>
      <c r="D11323" s="15">
        <f>IFERROR(__xludf.DUMMYFUNCTION("""COMPUTED_VALUE"""),1.083)</f>
        <v>1.083</v>
      </c>
      <c r="E11323" s="16">
        <f>IFERROR(__xludf.DUMMYFUNCTION("""COMPUTED_VALUE"""),62.0)</f>
        <v>62</v>
      </c>
      <c r="F11323" s="19" t="str">
        <f>IFERROR(__xludf.DUMMYFUNCTION("""COMPUTED_VALUE"""),"BLUE")</f>
        <v>BLUE</v>
      </c>
      <c r="G11323" s="20" t="str">
        <f>IFERROR(__xludf.DUMMYFUNCTION("""COMPUTED_VALUE"""),"Uncle Sams Cider (04/04/2023)")</f>
        <v>Uncle Sams Cider (04/04/2023)</v>
      </c>
      <c r="H11323" s="19"/>
    </row>
    <row r="11324">
      <c r="A11324" s="9"/>
      <c r="B11324" s="15"/>
      <c r="C11324" s="9">
        <f>IFERROR(__xludf.DUMMYFUNCTION("""COMPUTED_VALUE"""),45025.2168677893)</f>
        <v>45025.21687</v>
      </c>
      <c r="D11324" s="15">
        <f>IFERROR(__xludf.DUMMYFUNCTION("""COMPUTED_VALUE"""),1.083)</f>
        <v>1.083</v>
      </c>
      <c r="E11324" s="16">
        <f>IFERROR(__xludf.DUMMYFUNCTION("""COMPUTED_VALUE"""),62.0)</f>
        <v>62</v>
      </c>
      <c r="F11324" s="19" t="str">
        <f>IFERROR(__xludf.DUMMYFUNCTION("""COMPUTED_VALUE"""),"BLUE")</f>
        <v>BLUE</v>
      </c>
      <c r="G11324" s="20" t="str">
        <f>IFERROR(__xludf.DUMMYFUNCTION("""COMPUTED_VALUE"""),"Uncle Sams Cider (04/04/2023)")</f>
        <v>Uncle Sams Cider (04/04/2023)</v>
      </c>
      <c r="H11324" s="19"/>
    </row>
    <row r="11325">
      <c r="A11325" s="9"/>
      <c r="B11325" s="15"/>
      <c r="C11325" s="9">
        <f>IFERROR(__xludf.DUMMYFUNCTION("""COMPUTED_VALUE"""),45025.2064461689)</f>
        <v>45025.20645</v>
      </c>
      <c r="D11325" s="15">
        <f>IFERROR(__xludf.DUMMYFUNCTION("""COMPUTED_VALUE"""),1.083)</f>
        <v>1.083</v>
      </c>
      <c r="E11325" s="16">
        <f>IFERROR(__xludf.DUMMYFUNCTION("""COMPUTED_VALUE"""),62.0)</f>
        <v>62</v>
      </c>
      <c r="F11325" s="19" t="str">
        <f>IFERROR(__xludf.DUMMYFUNCTION("""COMPUTED_VALUE"""),"BLUE")</f>
        <v>BLUE</v>
      </c>
      <c r="G11325" s="20" t="str">
        <f>IFERROR(__xludf.DUMMYFUNCTION("""COMPUTED_VALUE"""),"Uncle Sams Cider (04/04/2023)")</f>
        <v>Uncle Sams Cider (04/04/2023)</v>
      </c>
      <c r="H11325" s="19"/>
    </row>
    <row r="11326">
      <c r="A11326" s="9"/>
      <c r="B11326" s="15"/>
      <c r="C11326" s="9">
        <f>IFERROR(__xludf.DUMMYFUNCTION("""COMPUTED_VALUE"""),45025.1960234606)</f>
        <v>45025.19602</v>
      </c>
      <c r="D11326" s="15">
        <f>IFERROR(__xludf.DUMMYFUNCTION("""COMPUTED_VALUE"""),1.083)</f>
        <v>1.083</v>
      </c>
      <c r="E11326" s="16">
        <f>IFERROR(__xludf.DUMMYFUNCTION("""COMPUTED_VALUE"""),62.0)</f>
        <v>62</v>
      </c>
      <c r="F11326" s="19" t="str">
        <f>IFERROR(__xludf.DUMMYFUNCTION("""COMPUTED_VALUE"""),"BLUE")</f>
        <v>BLUE</v>
      </c>
      <c r="G11326" s="20" t="str">
        <f>IFERROR(__xludf.DUMMYFUNCTION("""COMPUTED_VALUE"""),"Uncle Sams Cider (04/04/2023)")</f>
        <v>Uncle Sams Cider (04/04/2023)</v>
      </c>
      <c r="H11326" s="19"/>
    </row>
    <row r="11327">
      <c r="A11327" s="9"/>
      <c r="B11327" s="15"/>
      <c r="C11327" s="9">
        <f>IFERROR(__xludf.DUMMYFUNCTION("""COMPUTED_VALUE"""),45025.1856031713)</f>
        <v>45025.1856</v>
      </c>
      <c r="D11327" s="15">
        <f>IFERROR(__xludf.DUMMYFUNCTION("""COMPUTED_VALUE"""),1.083)</f>
        <v>1.083</v>
      </c>
      <c r="E11327" s="16">
        <f>IFERROR(__xludf.DUMMYFUNCTION("""COMPUTED_VALUE"""),62.0)</f>
        <v>62</v>
      </c>
      <c r="F11327" s="19" t="str">
        <f>IFERROR(__xludf.DUMMYFUNCTION("""COMPUTED_VALUE"""),"BLUE")</f>
        <v>BLUE</v>
      </c>
      <c r="G11327" s="20" t="str">
        <f>IFERROR(__xludf.DUMMYFUNCTION("""COMPUTED_VALUE"""),"Uncle Sams Cider (04/04/2023)")</f>
        <v>Uncle Sams Cider (04/04/2023)</v>
      </c>
      <c r="H11327" s="19"/>
    </row>
    <row r="11328">
      <c r="A11328" s="9"/>
      <c r="B11328" s="15"/>
      <c r="C11328" s="9">
        <f>IFERROR(__xludf.DUMMYFUNCTION("""COMPUTED_VALUE"""),45025.1751824884)</f>
        <v>45025.17518</v>
      </c>
      <c r="D11328" s="15">
        <f>IFERROR(__xludf.DUMMYFUNCTION("""COMPUTED_VALUE"""),1.083)</f>
        <v>1.083</v>
      </c>
      <c r="E11328" s="16">
        <f>IFERROR(__xludf.DUMMYFUNCTION("""COMPUTED_VALUE"""),62.0)</f>
        <v>62</v>
      </c>
      <c r="F11328" s="19" t="str">
        <f>IFERROR(__xludf.DUMMYFUNCTION("""COMPUTED_VALUE"""),"BLUE")</f>
        <v>BLUE</v>
      </c>
      <c r="G11328" s="20" t="str">
        <f>IFERROR(__xludf.DUMMYFUNCTION("""COMPUTED_VALUE"""),"Uncle Sams Cider (04/04/2023)")</f>
        <v>Uncle Sams Cider (04/04/2023)</v>
      </c>
      <c r="H11328" s="19"/>
    </row>
    <row r="11329">
      <c r="A11329" s="9"/>
      <c r="B11329" s="15"/>
      <c r="C11329" s="9">
        <f>IFERROR(__xludf.DUMMYFUNCTION("""COMPUTED_VALUE"""),45025.1647626273)</f>
        <v>45025.16476</v>
      </c>
      <c r="D11329" s="15">
        <f>IFERROR(__xludf.DUMMYFUNCTION("""COMPUTED_VALUE"""),1.084)</f>
        <v>1.084</v>
      </c>
      <c r="E11329" s="16">
        <f>IFERROR(__xludf.DUMMYFUNCTION("""COMPUTED_VALUE"""),62.0)</f>
        <v>62</v>
      </c>
      <c r="F11329" s="19" t="str">
        <f>IFERROR(__xludf.DUMMYFUNCTION("""COMPUTED_VALUE"""),"BLUE")</f>
        <v>BLUE</v>
      </c>
      <c r="G11329" s="20" t="str">
        <f>IFERROR(__xludf.DUMMYFUNCTION("""COMPUTED_VALUE"""),"Uncle Sams Cider (04/04/2023)")</f>
        <v>Uncle Sams Cider (04/04/2023)</v>
      </c>
      <c r="H11329" s="19"/>
    </row>
    <row r="11330">
      <c r="A11330" s="9"/>
      <c r="B11330" s="15"/>
      <c r="C11330" s="9">
        <f>IFERROR(__xludf.DUMMYFUNCTION("""COMPUTED_VALUE"""),45025.1543410185)</f>
        <v>45025.15434</v>
      </c>
      <c r="D11330" s="15">
        <f>IFERROR(__xludf.DUMMYFUNCTION("""COMPUTED_VALUE"""),1.084)</f>
        <v>1.084</v>
      </c>
      <c r="E11330" s="16">
        <f>IFERROR(__xludf.DUMMYFUNCTION("""COMPUTED_VALUE"""),62.0)</f>
        <v>62</v>
      </c>
      <c r="F11330" s="19" t="str">
        <f>IFERROR(__xludf.DUMMYFUNCTION("""COMPUTED_VALUE"""),"BLUE")</f>
        <v>BLUE</v>
      </c>
      <c r="G11330" s="20" t="str">
        <f>IFERROR(__xludf.DUMMYFUNCTION("""COMPUTED_VALUE"""),"Uncle Sams Cider (04/04/2023)")</f>
        <v>Uncle Sams Cider (04/04/2023)</v>
      </c>
      <c r="H11330" s="19"/>
    </row>
    <row r="11331">
      <c r="A11331" s="9"/>
      <c r="B11331" s="15"/>
      <c r="C11331" s="9">
        <f>IFERROR(__xludf.DUMMYFUNCTION("""COMPUTED_VALUE"""),45025.1439210995)</f>
        <v>45025.14392</v>
      </c>
      <c r="D11331" s="15">
        <f>IFERROR(__xludf.DUMMYFUNCTION("""COMPUTED_VALUE"""),1.084)</f>
        <v>1.084</v>
      </c>
      <c r="E11331" s="16">
        <f>IFERROR(__xludf.DUMMYFUNCTION("""COMPUTED_VALUE"""),62.0)</f>
        <v>62</v>
      </c>
      <c r="F11331" s="19" t="str">
        <f>IFERROR(__xludf.DUMMYFUNCTION("""COMPUTED_VALUE"""),"BLUE")</f>
        <v>BLUE</v>
      </c>
      <c r="G11331" s="20" t="str">
        <f>IFERROR(__xludf.DUMMYFUNCTION("""COMPUTED_VALUE"""),"Uncle Sams Cider (04/04/2023)")</f>
        <v>Uncle Sams Cider (04/04/2023)</v>
      </c>
      <c r="H11331" s="19"/>
    </row>
    <row r="11332">
      <c r="A11332" s="9"/>
      <c r="B11332" s="15"/>
      <c r="C11332" s="9">
        <f>IFERROR(__xludf.DUMMYFUNCTION("""COMPUTED_VALUE"""),45025.1335021527)</f>
        <v>45025.1335</v>
      </c>
      <c r="D11332" s="15">
        <f>IFERROR(__xludf.DUMMYFUNCTION("""COMPUTED_VALUE"""),1.084)</f>
        <v>1.084</v>
      </c>
      <c r="E11332" s="16">
        <f>IFERROR(__xludf.DUMMYFUNCTION("""COMPUTED_VALUE"""),62.0)</f>
        <v>62</v>
      </c>
      <c r="F11332" s="19" t="str">
        <f>IFERROR(__xludf.DUMMYFUNCTION("""COMPUTED_VALUE"""),"BLUE")</f>
        <v>BLUE</v>
      </c>
      <c r="G11332" s="20" t="str">
        <f>IFERROR(__xludf.DUMMYFUNCTION("""COMPUTED_VALUE"""),"Uncle Sams Cider (04/04/2023)")</f>
        <v>Uncle Sams Cider (04/04/2023)</v>
      </c>
      <c r="H11332" s="19"/>
    </row>
    <row r="11333">
      <c r="A11333" s="9"/>
      <c r="B11333" s="15"/>
      <c r="C11333" s="9">
        <f>IFERROR(__xludf.DUMMYFUNCTION("""COMPUTED_VALUE"""),45025.1230800925)</f>
        <v>45025.12308</v>
      </c>
      <c r="D11333" s="15">
        <f>IFERROR(__xludf.DUMMYFUNCTION("""COMPUTED_VALUE"""),1.083)</f>
        <v>1.083</v>
      </c>
      <c r="E11333" s="16">
        <f>IFERROR(__xludf.DUMMYFUNCTION("""COMPUTED_VALUE"""),62.0)</f>
        <v>62</v>
      </c>
      <c r="F11333" s="19" t="str">
        <f>IFERROR(__xludf.DUMMYFUNCTION("""COMPUTED_VALUE"""),"BLUE")</f>
        <v>BLUE</v>
      </c>
      <c r="G11333" s="20" t="str">
        <f>IFERROR(__xludf.DUMMYFUNCTION("""COMPUTED_VALUE"""),"Uncle Sams Cider (04/04/2023)")</f>
        <v>Uncle Sams Cider (04/04/2023)</v>
      </c>
      <c r="H11333" s="19"/>
    </row>
    <row r="11334">
      <c r="A11334" s="9"/>
      <c r="B11334" s="15"/>
      <c r="C11334" s="9">
        <f>IFERROR(__xludf.DUMMYFUNCTION("""COMPUTED_VALUE"""),45025.1126594328)</f>
        <v>45025.11266</v>
      </c>
      <c r="D11334" s="15">
        <f>IFERROR(__xludf.DUMMYFUNCTION("""COMPUTED_VALUE"""),1.084)</f>
        <v>1.084</v>
      </c>
      <c r="E11334" s="16">
        <f>IFERROR(__xludf.DUMMYFUNCTION("""COMPUTED_VALUE"""),62.0)</f>
        <v>62</v>
      </c>
      <c r="F11334" s="19" t="str">
        <f>IFERROR(__xludf.DUMMYFUNCTION("""COMPUTED_VALUE"""),"BLUE")</f>
        <v>BLUE</v>
      </c>
      <c r="G11334" s="20" t="str">
        <f>IFERROR(__xludf.DUMMYFUNCTION("""COMPUTED_VALUE"""),"Uncle Sams Cider (04/04/2023)")</f>
        <v>Uncle Sams Cider (04/04/2023)</v>
      </c>
      <c r="H11334" s="19"/>
    </row>
    <row r="11335">
      <c r="A11335" s="9"/>
      <c r="B11335" s="15"/>
      <c r="C11335" s="9">
        <f>IFERROR(__xludf.DUMMYFUNCTION("""COMPUTED_VALUE"""),45025.1022375)</f>
        <v>45025.10224</v>
      </c>
      <c r="D11335" s="15">
        <f>IFERROR(__xludf.DUMMYFUNCTION("""COMPUTED_VALUE"""),1.084)</f>
        <v>1.084</v>
      </c>
      <c r="E11335" s="16">
        <f>IFERROR(__xludf.DUMMYFUNCTION("""COMPUTED_VALUE"""),62.0)</f>
        <v>62</v>
      </c>
      <c r="F11335" s="19" t="str">
        <f>IFERROR(__xludf.DUMMYFUNCTION("""COMPUTED_VALUE"""),"BLUE")</f>
        <v>BLUE</v>
      </c>
      <c r="G11335" s="20" t="str">
        <f>IFERROR(__xludf.DUMMYFUNCTION("""COMPUTED_VALUE"""),"Uncle Sams Cider (04/04/2023)")</f>
        <v>Uncle Sams Cider (04/04/2023)</v>
      </c>
      <c r="H11335" s="19"/>
    </row>
    <row r="11336">
      <c r="A11336" s="9"/>
      <c r="B11336" s="15"/>
      <c r="C11336" s="9">
        <f>IFERROR(__xludf.DUMMYFUNCTION("""COMPUTED_VALUE"""),45025.0918049421)</f>
        <v>45025.0918</v>
      </c>
      <c r="D11336" s="15">
        <f>IFERROR(__xludf.DUMMYFUNCTION("""COMPUTED_VALUE"""),1.084)</f>
        <v>1.084</v>
      </c>
      <c r="E11336" s="16">
        <f>IFERROR(__xludf.DUMMYFUNCTION("""COMPUTED_VALUE"""),62.0)</f>
        <v>62</v>
      </c>
      <c r="F11336" s="19" t="str">
        <f>IFERROR(__xludf.DUMMYFUNCTION("""COMPUTED_VALUE"""),"BLUE")</f>
        <v>BLUE</v>
      </c>
      <c r="G11336" s="20" t="str">
        <f>IFERROR(__xludf.DUMMYFUNCTION("""COMPUTED_VALUE"""),"Uncle Sams Cider (04/04/2023)")</f>
        <v>Uncle Sams Cider (04/04/2023)</v>
      </c>
      <c r="H11336" s="19"/>
    </row>
    <row r="11337">
      <c r="A11337" s="9"/>
      <c r="B11337" s="15"/>
      <c r="C11337" s="9">
        <f>IFERROR(__xludf.DUMMYFUNCTION("""COMPUTED_VALUE"""),45025.0813843865)</f>
        <v>45025.08138</v>
      </c>
      <c r="D11337" s="15">
        <f>IFERROR(__xludf.DUMMYFUNCTION("""COMPUTED_VALUE"""),1.084)</f>
        <v>1.084</v>
      </c>
      <c r="E11337" s="16">
        <f>IFERROR(__xludf.DUMMYFUNCTION("""COMPUTED_VALUE"""),62.0)</f>
        <v>62</v>
      </c>
      <c r="F11337" s="19" t="str">
        <f>IFERROR(__xludf.DUMMYFUNCTION("""COMPUTED_VALUE"""),"BLUE")</f>
        <v>BLUE</v>
      </c>
      <c r="G11337" s="20" t="str">
        <f>IFERROR(__xludf.DUMMYFUNCTION("""COMPUTED_VALUE"""),"Uncle Sams Cider (04/04/2023)")</f>
        <v>Uncle Sams Cider (04/04/2023)</v>
      </c>
      <c r="H11337" s="19"/>
    </row>
    <row r="11338">
      <c r="A11338" s="9"/>
      <c r="B11338" s="15"/>
      <c r="C11338" s="9">
        <f>IFERROR(__xludf.DUMMYFUNCTION("""COMPUTED_VALUE"""),45025.0709510416)</f>
        <v>45025.07095</v>
      </c>
      <c r="D11338" s="15">
        <f>IFERROR(__xludf.DUMMYFUNCTION("""COMPUTED_VALUE"""),1.084)</f>
        <v>1.084</v>
      </c>
      <c r="E11338" s="16">
        <f>IFERROR(__xludf.DUMMYFUNCTION("""COMPUTED_VALUE"""),62.0)</f>
        <v>62</v>
      </c>
      <c r="F11338" s="19" t="str">
        <f>IFERROR(__xludf.DUMMYFUNCTION("""COMPUTED_VALUE"""),"BLUE")</f>
        <v>BLUE</v>
      </c>
      <c r="G11338" s="20" t="str">
        <f>IFERROR(__xludf.DUMMYFUNCTION("""COMPUTED_VALUE"""),"Uncle Sams Cider (04/04/2023)")</f>
        <v>Uncle Sams Cider (04/04/2023)</v>
      </c>
      <c r="H11338" s="19"/>
    </row>
    <row r="11339">
      <c r="A11339" s="9"/>
      <c r="B11339" s="15"/>
      <c r="C11339" s="9">
        <f>IFERROR(__xludf.DUMMYFUNCTION("""COMPUTED_VALUE"""),45025.0605062962)</f>
        <v>45025.06051</v>
      </c>
      <c r="D11339" s="15">
        <f>IFERROR(__xludf.DUMMYFUNCTION("""COMPUTED_VALUE"""),1.084)</f>
        <v>1.084</v>
      </c>
      <c r="E11339" s="16">
        <f>IFERROR(__xludf.DUMMYFUNCTION("""COMPUTED_VALUE"""),62.0)</f>
        <v>62</v>
      </c>
      <c r="F11339" s="19" t="str">
        <f>IFERROR(__xludf.DUMMYFUNCTION("""COMPUTED_VALUE"""),"BLUE")</f>
        <v>BLUE</v>
      </c>
      <c r="G11339" s="20" t="str">
        <f>IFERROR(__xludf.DUMMYFUNCTION("""COMPUTED_VALUE"""),"Uncle Sams Cider (04/04/2023)")</f>
        <v>Uncle Sams Cider (04/04/2023)</v>
      </c>
      <c r="H11339" s="19"/>
    </row>
    <row r="11340">
      <c r="A11340" s="9"/>
      <c r="B11340" s="15"/>
      <c r="C11340" s="9">
        <f>IFERROR(__xludf.DUMMYFUNCTION("""COMPUTED_VALUE"""),45025.0500867824)</f>
        <v>45025.05009</v>
      </c>
      <c r="D11340" s="15">
        <f>IFERROR(__xludf.DUMMYFUNCTION("""COMPUTED_VALUE"""),1.084)</f>
        <v>1.084</v>
      </c>
      <c r="E11340" s="16">
        <f>IFERROR(__xludf.DUMMYFUNCTION("""COMPUTED_VALUE"""),62.0)</f>
        <v>62</v>
      </c>
      <c r="F11340" s="19" t="str">
        <f>IFERROR(__xludf.DUMMYFUNCTION("""COMPUTED_VALUE"""),"BLUE")</f>
        <v>BLUE</v>
      </c>
      <c r="G11340" s="20" t="str">
        <f>IFERROR(__xludf.DUMMYFUNCTION("""COMPUTED_VALUE"""),"Uncle Sams Cider (04/04/2023)")</f>
        <v>Uncle Sams Cider (04/04/2023)</v>
      </c>
      <c r="H11340" s="19"/>
    </row>
    <row r="11341">
      <c r="A11341" s="9"/>
      <c r="B11341" s="15"/>
      <c r="C11341" s="9">
        <f>IFERROR(__xludf.DUMMYFUNCTION("""COMPUTED_VALUE"""),45025.0396654629)</f>
        <v>45025.03967</v>
      </c>
      <c r="D11341" s="15">
        <f>IFERROR(__xludf.DUMMYFUNCTION("""COMPUTED_VALUE"""),1.084)</f>
        <v>1.084</v>
      </c>
      <c r="E11341" s="16">
        <f>IFERROR(__xludf.DUMMYFUNCTION("""COMPUTED_VALUE"""),62.0)</f>
        <v>62</v>
      </c>
      <c r="F11341" s="19" t="str">
        <f>IFERROR(__xludf.DUMMYFUNCTION("""COMPUTED_VALUE"""),"BLUE")</f>
        <v>BLUE</v>
      </c>
      <c r="G11341" s="20" t="str">
        <f>IFERROR(__xludf.DUMMYFUNCTION("""COMPUTED_VALUE"""),"Uncle Sams Cider (04/04/2023)")</f>
        <v>Uncle Sams Cider (04/04/2023)</v>
      </c>
      <c r="H11341" s="19"/>
    </row>
    <row r="11342">
      <c r="A11342" s="9"/>
      <c r="B11342" s="15"/>
      <c r="C11342" s="9">
        <f>IFERROR(__xludf.DUMMYFUNCTION("""COMPUTED_VALUE"""),45025.029244537)</f>
        <v>45025.02924</v>
      </c>
      <c r="D11342" s="15">
        <f>IFERROR(__xludf.DUMMYFUNCTION("""COMPUTED_VALUE"""),1.084)</f>
        <v>1.084</v>
      </c>
      <c r="E11342" s="16">
        <f>IFERROR(__xludf.DUMMYFUNCTION("""COMPUTED_VALUE"""),62.0)</f>
        <v>62</v>
      </c>
      <c r="F11342" s="19" t="str">
        <f>IFERROR(__xludf.DUMMYFUNCTION("""COMPUTED_VALUE"""),"BLUE")</f>
        <v>BLUE</v>
      </c>
      <c r="G11342" s="20" t="str">
        <f>IFERROR(__xludf.DUMMYFUNCTION("""COMPUTED_VALUE"""),"Uncle Sams Cider (04/04/2023)")</f>
        <v>Uncle Sams Cider (04/04/2023)</v>
      </c>
      <c r="H11342" s="19"/>
    </row>
    <row r="11343">
      <c r="A11343" s="9"/>
      <c r="B11343" s="15"/>
      <c r="C11343" s="9">
        <f>IFERROR(__xludf.DUMMYFUNCTION("""COMPUTED_VALUE"""),45025.0188226157)</f>
        <v>45025.01882</v>
      </c>
      <c r="D11343" s="15">
        <f>IFERROR(__xludf.DUMMYFUNCTION("""COMPUTED_VALUE"""),1.084)</f>
        <v>1.084</v>
      </c>
      <c r="E11343" s="16">
        <f>IFERROR(__xludf.DUMMYFUNCTION("""COMPUTED_VALUE"""),62.0)</f>
        <v>62</v>
      </c>
      <c r="F11343" s="19" t="str">
        <f>IFERROR(__xludf.DUMMYFUNCTION("""COMPUTED_VALUE"""),"BLUE")</f>
        <v>BLUE</v>
      </c>
      <c r="G11343" s="20" t="str">
        <f>IFERROR(__xludf.DUMMYFUNCTION("""COMPUTED_VALUE"""),"Uncle Sams Cider (04/04/2023)")</f>
        <v>Uncle Sams Cider (04/04/2023)</v>
      </c>
      <c r="H11343" s="19"/>
    </row>
    <row r="11344">
      <c r="A11344" s="9"/>
      <c r="B11344" s="15"/>
      <c r="C11344" s="9">
        <f>IFERROR(__xludf.DUMMYFUNCTION("""COMPUTED_VALUE"""),45025.0083880092)</f>
        <v>45025.00839</v>
      </c>
      <c r="D11344" s="15">
        <f>IFERROR(__xludf.DUMMYFUNCTION("""COMPUTED_VALUE"""),1.084)</f>
        <v>1.084</v>
      </c>
      <c r="E11344" s="16">
        <f>IFERROR(__xludf.DUMMYFUNCTION("""COMPUTED_VALUE"""),62.0)</f>
        <v>62</v>
      </c>
      <c r="F11344" s="19" t="str">
        <f>IFERROR(__xludf.DUMMYFUNCTION("""COMPUTED_VALUE"""),"BLUE")</f>
        <v>BLUE</v>
      </c>
      <c r="G11344" s="20" t="str">
        <f>IFERROR(__xludf.DUMMYFUNCTION("""COMPUTED_VALUE"""),"Uncle Sams Cider (04/04/2023)")</f>
        <v>Uncle Sams Cider (04/04/2023)</v>
      </c>
      <c r="H11344" s="19"/>
    </row>
    <row r="11345">
      <c r="A11345" s="9"/>
      <c r="B11345" s="15"/>
      <c r="C11345" s="9">
        <f>IFERROR(__xludf.DUMMYFUNCTION("""COMPUTED_VALUE"""),45024.9979652893)</f>
        <v>45024.99797</v>
      </c>
      <c r="D11345" s="15">
        <f>IFERROR(__xludf.DUMMYFUNCTION("""COMPUTED_VALUE"""),1.084)</f>
        <v>1.084</v>
      </c>
      <c r="E11345" s="16">
        <f>IFERROR(__xludf.DUMMYFUNCTION("""COMPUTED_VALUE"""),63.0)</f>
        <v>63</v>
      </c>
      <c r="F11345" s="19" t="str">
        <f>IFERROR(__xludf.DUMMYFUNCTION("""COMPUTED_VALUE"""),"BLUE")</f>
        <v>BLUE</v>
      </c>
      <c r="G11345" s="20" t="str">
        <f>IFERROR(__xludf.DUMMYFUNCTION("""COMPUTED_VALUE"""),"Uncle Sams Cider (04/04/2023)")</f>
        <v>Uncle Sams Cider (04/04/2023)</v>
      </c>
      <c r="H11345" s="19"/>
    </row>
    <row r="11346">
      <c r="A11346" s="9"/>
      <c r="B11346" s="15"/>
      <c r="C11346" s="9">
        <f>IFERROR(__xludf.DUMMYFUNCTION("""COMPUTED_VALUE"""),45024.9875312037)</f>
        <v>45024.98753</v>
      </c>
      <c r="D11346" s="15">
        <f>IFERROR(__xludf.DUMMYFUNCTION("""COMPUTED_VALUE"""),1.084)</f>
        <v>1.084</v>
      </c>
      <c r="E11346" s="16">
        <f>IFERROR(__xludf.DUMMYFUNCTION("""COMPUTED_VALUE"""),62.0)</f>
        <v>62</v>
      </c>
      <c r="F11346" s="19" t="str">
        <f>IFERROR(__xludf.DUMMYFUNCTION("""COMPUTED_VALUE"""),"BLUE")</f>
        <v>BLUE</v>
      </c>
      <c r="G11346" s="20" t="str">
        <f>IFERROR(__xludf.DUMMYFUNCTION("""COMPUTED_VALUE"""),"Uncle Sams Cider (04/04/2023)")</f>
        <v>Uncle Sams Cider (04/04/2023)</v>
      </c>
      <c r="H11346" s="19"/>
    </row>
    <row r="11347">
      <c r="A11347" s="9"/>
      <c r="B11347" s="15"/>
      <c r="C11347" s="9">
        <f>IFERROR(__xludf.DUMMYFUNCTION("""COMPUTED_VALUE"""),45024.9770989236)</f>
        <v>45024.9771</v>
      </c>
      <c r="D11347" s="15">
        <f>IFERROR(__xludf.DUMMYFUNCTION("""COMPUTED_VALUE"""),1.085)</f>
        <v>1.085</v>
      </c>
      <c r="E11347" s="16">
        <f>IFERROR(__xludf.DUMMYFUNCTION("""COMPUTED_VALUE"""),62.0)</f>
        <v>62</v>
      </c>
      <c r="F11347" s="19" t="str">
        <f>IFERROR(__xludf.DUMMYFUNCTION("""COMPUTED_VALUE"""),"BLUE")</f>
        <v>BLUE</v>
      </c>
      <c r="G11347" s="20" t="str">
        <f>IFERROR(__xludf.DUMMYFUNCTION("""COMPUTED_VALUE"""),"Uncle Sams Cider (04/04/2023)")</f>
        <v>Uncle Sams Cider (04/04/2023)</v>
      </c>
      <c r="H11347" s="19"/>
    </row>
    <row r="11348">
      <c r="A11348" s="9"/>
      <c r="B11348" s="15"/>
      <c r="C11348" s="9">
        <f>IFERROR(__xludf.DUMMYFUNCTION("""COMPUTED_VALUE"""),45024.9666768518)</f>
        <v>45024.96668</v>
      </c>
      <c r="D11348" s="15">
        <f>IFERROR(__xludf.DUMMYFUNCTION("""COMPUTED_VALUE"""),1.085)</f>
        <v>1.085</v>
      </c>
      <c r="E11348" s="16">
        <f>IFERROR(__xludf.DUMMYFUNCTION("""COMPUTED_VALUE"""),62.0)</f>
        <v>62</v>
      </c>
      <c r="F11348" s="19" t="str">
        <f>IFERROR(__xludf.DUMMYFUNCTION("""COMPUTED_VALUE"""),"BLUE")</f>
        <v>BLUE</v>
      </c>
      <c r="G11348" s="20" t="str">
        <f>IFERROR(__xludf.DUMMYFUNCTION("""COMPUTED_VALUE"""),"Uncle Sams Cider (04/04/2023)")</f>
        <v>Uncle Sams Cider (04/04/2023)</v>
      </c>
      <c r="H11348" s="19"/>
    </row>
    <row r="11349">
      <c r="A11349" s="9"/>
      <c r="B11349" s="15"/>
      <c r="C11349" s="9">
        <f>IFERROR(__xludf.DUMMYFUNCTION("""COMPUTED_VALUE"""),45024.9562563078)</f>
        <v>45024.95626</v>
      </c>
      <c r="D11349" s="15">
        <f>IFERROR(__xludf.DUMMYFUNCTION("""COMPUTED_VALUE"""),1.084)</f>
        <v>1.084</v>
      </c>
      <c r="E11349" s="16">
        <f>IFERROR(__xludf.DUMMYFUNCTION("""COMPUTED_VALUE"""),62.0)</f>
        <v>62</v>
      </c>
      <c r="F11349" s="19" t="str">
        <f>IFERROR(__xludf.DUMMYFUNCTION("""COMPUTED_VALUE"""),"BLUE")</f>
        <v>BLUE</v>
      </c>
      <c r="G11349" s="20" t="str">
        <f>IFERROR(__xludf.DUMMYFUNCTION("""COMPUTED_VALUE"""),"Uncle Sams Cider (04/04/2023)")</f>
        <v>Uncle Sams Cider (04/04/2023)</v>
      </c>
      <c r="H11349" s="19"/>
    </row>
    <row r="11350">
      <c r="A11350" s="9"/>
      <c r="B11350" s="15"/>
      <c r="C11350" s="9">
        <f>IFERROR(__xludf.DUMMYFUNCTION("""COMPUTED_VALUE"""),45024.9458128356)</f>
        <v>45024.94581</v>
      </c>
      <c r="D11350" s="15">
        <f>IFERROR(__xludf.DUMMYFUNCTION("""COMPUTED_VALUE"""),1.084)</f>
        <v>1.084</v>
      </c>
      <c r="E11350" s="16">
        <f>IFERROR(__xludf.DUMMYFUNCTION("""COMPUTED_VALUE"""),63.0)</f>
        <v>63</v>
      </c>
      <c r="F11350" s="19" t="str">
        <f>IFERROR(__xludf.DUMMYFUNCTION("""COMPUTED_VALUE"""),"BLUE")</f>
        <v>BLUE</v>
      </c>
      <c r="G11350" s="20" t="str">
        <f>IFERROR(__xludf.DUMMYFUNCTION("""COMPUTED_VALUE"""),"Uncle Sams Cider (04/04/2023)")</f>
        <v>Uncle Sams Cider (04/04/2023)</v>
      </c>
      <c r="H11350" s="19"/>
    </row>
    <row r="11351">
      <c r="A11351" s="9"/>
      <c r="B11351" s="15"/>
      <c r="C11351" s="9">
        <f>IFERROR(__xludf.DUMMYFUNCTION("""COMPUTED_VALUE"""),45024.9353915856)</f>
        <v>45024.93539</v>
      </c>
      <c r="D11351" s="15">
        <f>IFERROR(__xludf.DUMMYFUNCTION("""COMPUTED_VALUE"""),1.084)</f>
        <v>1.084</v>
      </c>
      <c r="E11351" s="16">
        <f>IFERROR(__xludf.DUMMYFUNCTION("""COMPUTED_VALUE"""),63.0)</f>
        <v>63</v>
      </c>
      <c r="F11351" s="19" t="str">
        <f>IFERROR(__xludf.DUMMYFUNCTION("""COMPUTED_VALUE"""),"BLUE")</f>
        <v>BLUE</v>
      </c>
      <c r="G11351" s="20" t="str">
        <f>IFERROR(__xludf.DUMMYFUNCTION("""COMPUTED_VALUE"""),"Uncle Sams Cider (04/04/2023)")</f>
        <v>Uncle Sams Cider (04/04/2023)</v>
      </c>
      <c r="H11351" s="19"/>
    </row>
    <row r="11352">
      <c r="A11352" s="9"/>
      <c r="B11352" s="15"/>
      <c r="C11352" s="9">
        <f>IFERROR(__xludf.DUMMYFUNCTION("""COMPUTED_VALUE"""),45024.924968912)</f>
        <v>45024.92497</v>
      </c>
      <c r="D11352" s="15">
        <f>IFERROR(__xludf.DUMMYFUNCTION("""COMPUTED_VALUE"""),1.085)</f>
        <v>1.085</v>
      </c>
      <c r="E11352" s="16">
        <f>IFERROR(__xludf.DUMMYFUNCTION("""COMPUTED_VALUE"""),63.0)</f>
        <v>63</v>
      </c>
      <c r="F11352" s="19" t="str">
        <f>IFERROR(__xludf.DUMMYFUNCTION("""COMPUTED_VALUE"""),"BLUE")</f>
        <v>BLUE</v>
      </c>
      <c r="G11352" s="20" t="str">
        <f>IFERROR(__xludf.DUMMYFUNCTION("""COMPUTED_VALUE"""),"Uncle Sams Cider (04/04/2023)")</f>
        <v>Uncle Sams Cider (04/04/2023)</v>
      </c>
      <c r="H11352" s="19"/>
    </row>
    <row r="11353">
      <c r="A11353" s="9"/>
      <c r="B11353" s="15"/>
      <c r="C11353" s="9">
        <f>IFERROR(__xludf.DUMMYFUNCTION("""COMPUTED_VALUE"""),45024.9145494097)</f>
        <v>45024.91455</v>
      </c>
      <c r="D11353" s="15">
        <f>IFERROR(__xludf.DUMMYFUNCTION("""COMPUTED_VALUE"""),1.085)</f>
        <v>1.085</v>
      </c>
      <c r="E11353" s="16">
        <f>IFERROR(__xludf.DUMMYFUNCTION("""COMPUTED_VALUE"""),63.0)</f>
        <v>63</v>
      </c>
      <c r="F11353" s="19" t="str">
        <f>IFERROR(__xludf.DUMMYFUNCTION("""COMPUTED_VALUE"""),"BLUE")</f>
        <v>BLUE</v>
      </c>
      <c r="G11353" s="20" t="str">
        <f>IFERROR(__xludf.DUMMYFUNCTION("""COMPUTED_VALUE"""),"Uncle Sams Cider (04/04/2023)")</f>
        <v>Uncle Sams Cider (04/04/2023)</v>
      </c>
      <c r="H11353" s="19"/>
    </row>
    <row r="11354">
      <c r="A11354" s="9"/>
      <c r="B11354" s="15"/>
      <c r="C11354" s="9">
        <f>IFERROR(__xludf.DUMMYFUNCTION("""COMPUTED_VALUE"""),45024.9041279166)</f>
        <v>45024.90413</v>
      </c>
      <c r="D11354" s="15">
        <f>IFERROR(__xludf.DUMMYFUNCTION("""COMPUTED_VALUE"""),1.084)</f>
        <v>1.084</v>
      </c>
      <c r="E11354" s="16">
        <f>IFERROR(__xludf.DUMMYFUNCTION("""COMPUTED_VALUE"""),63.0)</f>
        <v>63</v>
      </c>
      <c r="F11354" s="19" t="str">
        <f>IFERROR(__xludf.DUMMYFUNCTION("""COMPUTED_VALUE"""),"BLUE")</f>
        <v>BLUE</v>
      </c>
      <c r="G11354" s="20" t="str">
        <f>IFERROR(__xludf.DUMMYFUNCTION("""COMPUTED_VALUE"""),"Uncle Sams Cider (04/04/2023)")</f>
        <v>Uncle Sams Cider (04/04/2023)</v>
      </c>
      <c r="H11354" s="19"/>
    </row>
    <row r="11355">
      <c r="A11355" s="9"/>
      <c r="B11355" s="15"/>
      <c r="C11355" s="9">
        <f>IFERROR(__xludf.DUMMYFUNCTION("""COMPUTED_VALUE"""),45024.8937065277)</f>
        <v>45024.89371</v>
      </c>
      <c r="D11355" s="15">
        <f>IFERROR(__xludf.DUMMYFUNCTION("""COMPUTED_VALUE"""),1.085)</f>
        <v>1.085</v>
      </c>
      <c r="E11355" s="16">
        <f>IFERROR(__xludf.DUMMYFUNCTION("""COMPUTED_VALUE"""),63.0)</f>
        <v>63</v>
      </c>
      <c r="F11355" s="19" t="str">
        <f>IFERROR(__xludf.DUMMYFUNCTION("""COMPUTED_VALUE"""),"BLUE")</f>
        <v>BLUE</v>
      </c>
      <c r="G11355" s="20" t="str">
        <f>IFERROR(__xludf.DUMMYFUNCTION("""COMPUTED_VALUE"""),"Uncle Sams Cider (04/04/2023)")</f>
        <v>Uncle Sams Cider (04/04/2023)</v>
      </c>
      <c r="H11355" s="19"/>
    </row>
    <row r="11356">
      <c r="A11356" s="9"/>
      <c r="B11356" s="15"/>
      <c r="C11356" s="9">
        <f>IFERROR(__xludf.DUMMYFUNCTION("""COMPUTED_VALUE"""),45024.8832853935)</f>
        <v>45024.88329</v>
      </c>
      <c r="D11356" s="15">
        <f>IFERROR(__xludf.DUMMYFUNCTION("""COMPUTED_VALUE"""),1.085)</f>
        <v>1.085</v>
      </c>
      <c r="E11356" s="16">
        <f>IFERROR(__xludf.DUMMYFUNCTION("""COMPUTED_VALUE"""),63.0)</f>
        <v>63</v>
      </c>
      <c r="F11356" s="19" t="str">
        <f>IFERROR(__xludf.DUMMYFUNCTION("""COMPUTED_VALUE"""),"BLUE")</f>
        <v>BLUE</v>
      </c>
      <c r="G11356" s="20" t="str">
        <f>IFERROR(__xludf.DUMMYFUNCTION("""COMPUTED_VALUE"""),"Uncle Sams Cider (04/04/2023)")</f>
        <v>Uncle Sams Cider (04/04/2023)</v>
      </c>
      <c r="H11356" s="19"/>
    </row>
    <row r="11357">
      <c r="A11357" s="9"/>
      <c r="B11357" s="15"/>
      <c r="C11357" s="9">
        <f>IFERROR(__xludf.DUMMYFUNCTION("""COMPUTED_VALUE"""),45024.8728653588)</f>
        <v>45024.87287</v>
      </c>
      <c r="D11357" s="15">
        <f>IFERROR(__xludf.DUMMYFUNCTION("""COMPUTED_VALUE"""),1.085)</f>
        <v>1.085</v>
      </c>
      <c r="E11357" s="16">
        <f>IFERROR(__xludf.DUMMYFUNCTION("""COMPUTED_VALUE"""),63.0)</f>
        <v>63</v>
      </c>
      <c r="F11357" s="19" t="str">
        <f>IFERROR(__xludf.DUMMYFUNCTION("""COMPUTED_VALUE"""),"BLUE")</f>
        <v>BLUE</v>
      </c>
      <c r="G11357" s="20" t="str">
        <f>IFERROR(__xludf.DUMMYFUNCTION("""COMPUTED_VALUE"""),"Uncle Sams Cider (04/04/2023)")</f>
        <v>Uncle Sams Cider (04/04/2023)</v>
      </c>
      <c r="H11357" s="19"/>
    </row>
    <row r="11358">
      <c r="A11358" s="9"/>
      <c r="B11358" s="15"/>
      <c r="C11358" s="9">
        <f>IFERROR(__xludf.DUMMYFUNCTION("""COMPUTED_VALUE"""),45024.8624434838)</f>
        <v>45024.86244</v>
      </c>
      <c r="D11358" s="15">
        <f>IFERROR(__xludf.DUMMYFUNCTION("""COMPUTED_VALUE"""),1.085)</f>
        <v>1.085</v>
      </c>
      <c r="E11358" s="16">
        <f>IFERROR(__xludf.DUMMYFUNCTION("""COMPUTED_VALUE"""),63.0)</f>
        <v>63</v>
      </c>
      <c r="F11358" s="19" t="str">
        <f>IFERROR(__xludf.DUMMYFUNCTION("""COMPUTED_VALUE"""),"BLUE")</f>
        <v>BLUE</v>
      </c>
      <c r="G11358" s="20" t="str">
        <f>IFERROR(__xludf.DUMMYFUNCTION("""COMPUTED_VALUE"""),"Uncle Sams Cider (04/04/2023)")</f>
        <v>Uncle Sams Cider (04/04/2023)</v>
      </c>
      <c r="H11358" s="19"/>
    </row>
    <row r="11359">
      <c r="A11359" s="9"/>
      <c r="B11359" s="15"/>
      <c r="C11359" s="9">
        <f>IFERROR(__xludf.DUMMYFUNCTION("""COMPUTED_VALUE"""),45024.852021412)</f>
        <v>45024.85202</v>
      </c>
      <c r="D11359" s="15">
        <f>IFERROR(__xludf.DUMMYFUNCTION("""COMPUTED_VALUE"""),1.085)</f>
        <v>1.085</v>
      </c>
      <c r="E11359" s="16">
        <f>IFERROR(__xludf.DUMMYFUNCTION("""COMPUTED_VALUE"""),63.0)</f>
        <v>63</v>
      </c>
      <c r="F11359" s="19" t="str">
        <f>IFERROR(__xludf.DUMMYFUNCTION("""COMPUTED_VALUE"""),"BLUE")</f>
        <v>BLUE</v>
      </c>
      <c r="G11359" s="20" t="str">
        <f>IFERROR(__xludf.DUMMYFUNCTION("""COMPUTED_VALUE"""),"Uncle Sams Cider (04/04/2023)")</f>
        <v>Uncle Sams Cider (04/04/2023)</v>
      </c>
      <c r="H11359" s="19"/>
    </row>
    <row r="11360">
      <c r="A11360" s="9"/>
      <c r="B11360" s="15"/>
      <c r="C11360" s="9">
        <f>IFERROR(__xludf.DUMMYFUNCTION("""COMPUTED_VALUE"""),45024.8416005902)</f>
        <v>45024.8416</v>
      </c>
      <c r="D11360" s="15">
        <f>IFERROR(__xludf.DUMMYFUNCTION("""COMPUTED_VALUE"""),1.085)</f>
        <v>1.085</v>
      </c>
      <c r="E11360" s="16">
        <f>IFERROR(__xludf.DUMMYFUNCTION("""COMPUTED_VALUE"""),63.0)</f>
        <v>63</v>
      </c>
      <c r="F11360" s="19" t="str">
        <f>IFERROR(__xludf.DUMMYFUNCTION("""COMPUTED_VALUE"""),"BLUE")</f>
        <v>BLUE</v>
      </c>
      <c r="G11360" s="20" t="str">
        <f>IFERROR(__xludf.DUMMYFUNCTION("""COMPUTED_VALUE"""),"Uncle Sams Cider (04/04/2023)")</f>
        <v>Uncle Sams Cider (04/04/2023)</v>
      </c>
      <c r="H11360" s="19"/>
    </row>
    <row r="11361">
      <c r="A11361" s="9"/>
      <c r="B11361" s="15"/>
      <c r="C11361" s="9">
        <f>IFERROR(__xludf.DUMMYFUNCTION("""COMPUTED_VALUE"""),45024.8311803125)</f>
        <v>45024.83118</v>
      </c>
      <c r="D11361" s="15">
        <f>IFERROR(__xludf.DUMMYFUNCTION("""COMPUTED_VALUE"""),1.085)</f>
        <v>1.085</v>
      </c>
      <c r="E11361" s="16">
        <f>IFERROR(__xludf.DUMMYFUNCTION("""COMPUTED_VALUE"""),63.0)</f>
        <v>63</v>
      </c>
      <c r="F11361" s="19" t="str">
        <f>IFERROR(__xludf.DUMMYFUNCTION("""COMPUTED_VALUE"""),"BLUE")</f>
        <v>BLUE</v>
      </c>
      <c r="G11361" s="20" t="str">
        <f>IFERROR(__xludf.DUMMYFUNCTION("""COMPUTED_VALUE"""),"Uncle Sams Cider (04/04/2023)")</f>
        <v>Uncle Sams Cider (04/04/2023)</v>
      </c>
      <c r="H11361" s="19"/>
    </row>
    <row r="11362">
      <c r="A11362" s="9"/>
      <c r="B11362" s="15"/>
      <c r="C11362" s="9">
        <f>IFERROR(__xludf.DUMMYFUNCTION("""COMPUTED_VALUE"""),45024.8207592592)</f>
        <v>45024.82076</v>
      </c>
      <c r="D11362" s="15">
        <f>IFERROR(__xludf.DUMMYFUNCTION("""COMPUTED_VALUE"""),1.085)</f>
        <v>1.085</v>
      </c>
      <c r="E11362" s="16">
        <f>IFERROR(__xludf.DUMMYFUNCTION("""COMPUTED_VALUE"""),63.0)</f>
        <v>63</v>
      </c>
      <c r="F11362" s="19" t="str">
        <f>IFERROR(__xludf.DUMMYFUNCTION("""COMPUTED_VALUE"""),"BLUE")</f>
        <v>BLUE</v>
      </c>
      <c r="G11362" s="20" t="str">
        <f>IFERROR(__xludf.DUMMYFUNCTION("""COMPUTED_VALUE"""),"Uncle Sams Cider (04/04/2023)")</f>
        <v>Uncle Sams Cider (04/04/2023)</v>
      </c>
      <c r="H11362" s="19"/>
    </row>
    <row r="11363">
      <c r="A11363" s="9"/>
      <c r="B11363" s="15"/>
      <c r="C11363" s="9">
        <f>IFERROR(__xludf.DUMMYFUNCTION("""COMPUTED_VALUE"""),45024.8103381134)</f>
        <v>45024.81034</v>
      </c>
      <c r="D11363" s="15">
        <f>IFERROR(__xludf.DUMMYFUNCTION("""COMPUTED_VALUE"""),1.085)</f>
        <v>1.085</v>
      </c>
      <c r="E11363" s="16">
        <f>IFERROR(__xludf.DUMMYFUNCTION("""COMPUTED_VALUE"""),63.0)</f>
        <v>63</v>
      </c>
      <c r="F11363" s="19" t="str">
        <f>IFERROR(__xludf.DUMMYFUNCTION("""COMPUTED_VALUE"""),"BLUE")</f>
        <v>BLUE</v>
      </c>
      <c r="G11363" s="20" t="str">
        <f>IFERROR(__xludf.DUMMYFUNCTION("""COMPUTED_VALUE"""),"Uncle Sams Cider (04/04/2023)")</f>
        <v>Uncle Sams Cider (04/04/2023)</v>
      </c>
      <c r="H11363" s="19"/>
    </row>
    <row r="11364">
      <c r="A11364" s="9"/>
      <c r="B11364" s="15"/>
      <c r="C11364" s="9">
        <f>IFERROR(__xludf.DUMMYFUNCTION("""COMPUTED_VALUE"""),45024.7999051736)</f>
        <v>45024.79991</v>
      </c>
      <c r="D11364" s="15">
        <f>IFERROR(__xludf.DUMMYFUNCTION("""COMPUTED_VALUE"""),1.085)</f>
        <v>1.085</v>
      </c>
      <c r="E11364" s="16">
        <f>IFERROR(__xludf.DUMMYFUNCTION("""COMPUTED_VALUE"""),63.0)</f>
        <v>63</v>
      </c>
      <c r="F11364" s="19" t="str">
        <f>IFERROR(__xludf.DUMMYFUNCTION("""COMPUTED_VALUE"""),"BLUE")</f>
        <v>BLUE</v>
      </c>
      <c r="G11364" s="20" t="str">
        <f>IFERROR(__xludf.DUMMYFUNCTION("""COMPUTED_VALUE"""),"Uncle Sams Cider (04/04/2023)")</f>
        <v>Uncle Sams Cider (04/04/2023)</v>
      </c>
      <c r="H11364" s="19"/>
    </row>
    <row r="11365">
      <c r="A11365" s="9"/>
      <c r="B11365" s="15"/>
      <c r="C11365" s="9">
        <f>IFERROR(__xludf.DUMMYFUNCTION("""COMPUTED_VALUE"""),45024.7894849305)</f>
        <v>45024.78948</v>
      </c>
      <c r="D11365" s="15">
        <f>IFERROR(__xludf.DUMMYFUNCTION("""COMPUTED_VALUE"""),1.085)</f>
        <v>1.085</v>
      </c>
      <c r="E11365" s="16">
        <f>IFERROR(__xludf.DUMMYFUNCTION("""COMPUTED_VALUE"""),63.0)</f>
        <v>63</v>
      </c>
      <c r="F11365" s="19" t="str">
        <f>IFERROR(__xludf.DUMMYFUNCTION("""COMPUTED_VALUE"""),"BLUE")</f>
        <v>BLUE</v>
      </c>
      <c r="G11365" s="20" t="str">
        <f>IFERROR(__xludf.DUMMYFUNCTION("""COMPUTED_VALUE"""),"Uncle Sams Cider (04/04/2023)")</f>
        <v>Uncle Sams Cider (04/04/2023)</v>
      </c>
      <c r="H11365" s="19"/>
    </row>
    <row r="11366">
      <c r="A11366" s="9"/>
      <c r="B11366" s="15"/>
      <c r="C11366" s="9">
        <f>IFERROR(__xludf.DUMMYFUNCTION("""COMPUTED_VALUE"""),45024.7790643865)</f>
        <v>45024.77906</v>
      </c>
      <c r="D11366" s="15">
        <f>IFERROR(__xludf.DUMMYFUNCTION("""COMPUTED_VALUE"""),1.086)</f>
        <v>1.086</v>
      </c>
      <c r="E11366" s="16">
        <f>IFERROR(__xludf.DUMMYFUNCTION("""COMPUTED_VALUE"""),63.0)</f>
        <v>63</v>
      </c>
      <c r="F11366" s="19" t="str">
        <f>IFERROR(__xludf.DUMMYFUNCTION("""COMPUTED_VALUE"""),"BLUE")</f>
        <v>BLUE</v>
      </c>
      <c r="G11366" s="20" t="str">
        <f>IFERROR(__xludf.DUMMYFUNCTION("""COMPUTED_VALUE"""),"Uncle Sams Cider (04/04/2023)")</f>
        <v>Uncle Sams Cider (04/04/2023)</v>
      </c>
      <c r="H11366" s="19"/>
    </row>
    <row r="11367">
      <c r="A11367" s="9"/>
      <c r="B11367" s="15"/>
      <c r="C11367" s="9">
        <f>IFERROR(__xludf.DUMMYFUNCTION("""COMPUTED_VALUE"""),45024.7686443055)</f>
        <v>45024.76864</v>
      </c>
      <c r="D11367" s="15">
        <f>IFERROR(__xludf.DUMMYFUNCTION("""COMPUTED_VALUE"""),1.086)</f>
        <v>1.086</v>
      </c>
      <c r="E11367" s="16">
        <f>IFERROR(__xludf.DUMMYFUNCTION("""COMPUTED_VALUE"""),63.0)</f>
        <v>63</v>
      </c>
      <c r="F11367" s="19" t="str">
        <f>IFERROR(__xludf.DUMMYFUNCTION("""COMPUTED_VALUE"""),"BLUE")</f>
        <v>BLUE</v>
      </c>
      <c r="G11367" s="20" t="str">
        <f>IFERROR(__xludf.DUMMYFUNCTION("""COMPUTED_VALUE"""),"Uncle Sams Cider (04/04/2023)")</f>
        <v>Uncle Sams Cider (04/04/2023)</v>
      </c>
      <c r="H11367" s="19"/>
    </row>
    <row r="11368">
      <c r="A11368" s="9"/>
      <c r="B11368" s="15"/>
      <c r="C11368" s="9">
        <f>IFERROR(__xludf.DUMMYFUNCTION("""COMPUTED_VALUE"""),45024.758210625)</f>
        <v>45024.75821</v>
      </c>
      <c r="D11368" s="15">
        <f>IFERROR(__xludf.DUMMYFUNCTION("""COMPUTED_VALUE"""),1.085)</f>
        <v>1.085</v>
      </c>
      <c r="E11368" s="16">
        <f>IFERROR(__xludf.DUMMYFUNCTION("""COMPUTED_VALUE"""),63.0)</f>
        <v>63</v>
      </c>
      <c r="F11368" s="19" t="str">
        <f>IFERROR(__xludf.DUMMYFUNCTION("""COMPUTED_VALUE"""),"BLUE")</f>
        <v>BLUE</v>
      </c>
      <c r="G11368" s="20" t="str">
        <f>IFERROR(__xludf.DUMMYFUNCTION("""COMPUTED_VALUE"""),"Uncle Sams Cider (04/04/2023)")</f>
        <v>Uncle Sams Cider (04/04/2023)</v>
      </c>
      <c r="H11368" s="19"/>
    </row>
    <row r="11369">
      <c r="A11369" s="9"/>
      <c r="B11369" s="15"/>
      <c r="C11369" s="9">
        <f>IFERROR(__xludf.DUMMYFUNCTION("""COMPUTED_VALUE"""),45024.7477899652)</f>
        <v>45024.74779</v>
      </c>
      <c r="D11369" s="15">
        <f>IFERROR(__xludf.DUMMYFUNCTION("""COMPUTED_VALUE"""),1.085)</f>
        <v>1.085</v>
      </c>
      <c r="E11369" s="16">
        <f>IFERROR(__xludf.DUMMYFUNCTION("""COMPUTED_VALUE"""),63.0)</f>
        <v>63</v>
      </c>
      <c r="F11369" s="19" t="str">
        <f>IFERROR(__xludf.DUMMYFUNCTION("""COMPUTED_VALUE"""),"BLUE")</f>
        <v>BLUE</v>
      </c>
      <c r="G11369" s="20" t="str">
        <f>IFERROR(__xludf.DUMMYFUNCTION("""COMPUTED_VALUE"""),"Uncle Sams Cider (04/04/2023)")</f>
        <v>Uncle Sams Cider (04/04/2023)</v>
      </c>
      <c r="H11369" s="19"/>
    </row>
    <row r="11370">
      <c r="A11370" s="9"/>
      <c r="B11370" s="15"/>
      <c r="C11370" s="9">
        <f>IFERROR(__xludf.DUMMYFUNCTION("""COMPUTED_VALUE"""),45024.7373691898)</f>
        <v>45024.73737</v>
      </c>
      <c r="D11370" s="15">
        <f>IFERROR(__xludf.DUMMYFUNCTION("""COMPUTED_VALUE"""),1.086)</f>
        <v>1.086</v>
      </c>
      <c r="E11370" s="16">
        <f>IFERROR(__xludf.DUMMYFUNCTION("""COMPUTED_VALUE"""),63.0)</f>
        <v>63</v>
      </c>
      <c r="F11370" s="19" t="str">
        <f>IFERROR(__xludf.DUMMYFUNCTION("""COMPUTED_VALUE"""),"BLUE")</f>
        <v>BLUE</v>
      </c>
      <c r="G11370" s="20" t="str">
        <f>IFERROR(__xludf.DUMMYFUNCTION("""COMPUTED_VALUE"""),"Uncle Sams Cider (04/04/2023)")</f>
        <v>Uncle Sams Cider (04/04/2023)</v>
      </c>
      <c r="H11370" s="19"/>
    </row>
    <row r="11371">
      <c r="A11371" s="9"/>
      <c r="B11371" s="15"/>
      <c r="C11371" s="9">
        <f>IFERROR(__xludf.DUMMYFUNCTION("""COMPUTED_VALUE"""),45024.7269481713)</f>
        <v>45024.72695</v>
      </c>
      <c r="D11371" s="15">
        <f>IFERROR(__xludf.DUMMYFUNCTION("""COMPUTED_VALUE"""),1.086)</f>
        <v>1.086</v>
      </c>
      <c r="E11371" s="16">
        <f>IFERROR(__xludf.DUMMYFUNCTION("""COMPUTED_VALUE"""),63.0)</f>
        <v>63</v>
      </c>
      <c r="F11371" s="19" t="str">
        <f>IFERROR(__xludf.DUMMYFUNCTION("""COMPUTED_VALUE"""),"BLUE")</f>
        <v>BLUE</v>
      </c>
      <c r="G11371" s="20" t="str">
        <f>IFERROR(__xludf.DUMMYFUNCTION("""COMPUTED_VALUE"""),"Uncle Sams Cider (04/04/2023)")</f>
        <v>Uncle Sams Cider (04/04/2023)</v>
      </c>
      <c r="H11371" s="19"/>
    </row>
    <row r="11372">
      <c r="A11372" s="9"/>
      <c r="B11372" s="15"/>
      <c r="C11372" s="9">
        <f>IFERROR(__xludf.DUMMYFUNCTION("""COMPUTED_VALUE"""),45024.7165264699)</f>
        <v>45024.71653</v>
      </c>
      <c r="D11372" s="15">
        <f>IFERROR(__xludf.DUMMYFUNCTION("""COMPUTED_VALUE"""),1.086)</f>
        <v>1.086</v>
      </c>
      <c r="E11372" s="16">
        <f>IFERROR(__xludf.DUMMYFUNCTION("""COMPUTED_VALUE"""),63.0)</f>
        <v>63</v>
      </c>
      <c r="F11372" s="19" t="str">
        <f>IFERROR(__xludf.DUMMYFUNCTION("""COMPUTED_VALUE"""),"BLUE")</f>
        <v>BLUE</v>
      </c>
      <c r="G11372" s="20" t="str">
        <f>IFERROR(__xludf.DUMMYFUNCTION("""COMPUTED_VALUE"""),"Uncle Sams Cider (04/04/2023)")</f>
        <v>Uncle Sams Cider (04/04/2023)</v>
      </c>
      <c r="H11372" s="19"/>
    </row>
    <row r="11373">
      <c r="A11373" s="9"/>
      <c r="B11373" s="15"/>
      <c r="C11373" s="9">
        <f>IFERROR(__xludf.DUMMYFUNCTION("""COMPUTED_VALUE"""),45024.7061075578)</f>
        <v>45024.70611</v>
      </c>
      <c r="D11373" s="15">
        <f>IFERROR(__xludf.DUMMYFUNCTION("""COMPUTED_VALUE"""),1.086)</f>
        <v>1.086</v>
      </c>
      <c r="E11373" s="16">
        <f>IFERROR(__xludf.DUMMYFUNCTION("""COMPUTED_VALUE"""),63.0)</f>
        <v>63</v>
      </c>
      <c r="F11373" s="19" t="str">
        <f>IFERROR(__xludf.DUMMYFUNCTION("""COMPUTED_VALUE"""),"BLUE")</f>
        <v>BLUE</v>
      </c>
      <c r="G11373" s="20" t="str">
        <f>IFERROR(__xludf.DUMMYFUNCTION("""COMPUTED_VALUE"""),"Uncle Sams Cider (04/04/2023)")</f>
        <v>Uncle Sams Cider (04/04/2023)</v>
      </c>
      <c r="H11373" s="19"/>
    </row>
    <row r="11374">
      <c r="A11374" s="9"/>
      <c r="B11374" s="15"/>
      <c r="C11374" s="9">
        <f>IFERROR(__xludf.DUMMYFUNCTION("""COMPUTED_VALUE"""),45024.695686574)</f>
        <v>45024.69569</v>
      </c>
      <c r="D11374" s="15">
        <f>IFERROR(__xludf.DUMMYFUNCTION("""COMPUTED_VALUE"""),1.086)</f>
        <v>1.086</v>
      </c>
      <c r="E11374" s="16">
        <f>IFERROR(__xludf.DUMMYFUNCTION("""COMPUTED_VALUE"""),63.0)</f>
        <v>63</v>
      </c>
      <c r="F11374" s="19" t="str">
        <f>IFERROR(__xludf.DUMMYFUNCTION("""COMPUTED_VALUE"""),"BLUE")</f>
        <v>BLUE</v>
      </c>
      <c r="G11374" s="20" t="str">
        <f>IFERROR(__xludf.DUMMYFUNCTION("""COMPUTED_VALUE"""),"Uncle Sams Cider (04/04/2023)")</f>
        <v>Uncle Sams Cider (04/04/2023)</v>
      </c>
      <c r="H11374" s="19"/>
    </row>
    <row r="11375">
      <c r="A11375" s="9"/>
      <c r="B11375" s="15"/>
      <c r="C11375" s="9">
        <f>IFERROR(__xludf.DUMMYFUNCTION("""COMPUTED_VALUE"""),45024.685264375)</f>
        <v>45024.68526</v>
      </c>
      <c r="D11375" s="15">
        <f>IFERROR(__xludf.DUMMYFUNCTION("""COMPUTED_VALUE"""),1.086)</f>
        <v>1.086</v>
      </c>
      <c r="E11375" s="16">
        <f>IFERROR(__xludf.DUMMYFUNCTION("""COMPUTED_VALUE"""),63.0)</f>
        <v>63</v>
      </c>
      <c r="F11375" s="19" t="str">
        <f>IFERROR(__xludf.DUMMYFUNCTION("""COMPUTED_VALUE"""),"BLUE")</f>
        <v>BLUE</v>
      </c>
      <c r="G11375" s="20" t="str">
        <f>IFERROR(__xludf.DUMMYFUNCTION("""COMPUTED_VALUE"""),"Uncle Sams Cider (04/04/2023)")</f>
        <v>Uncle Sams Cider (04/04/2023)</v>
      </c>
      <c r="H11375" s="19"/>
    </row>
    <row r="11376">
      <c r="A11376" s="9"/>
      <c r="B11376" s="15"/>
      <c r="C11376" s="9">
        <f>IFERROR(__xludf.DUMMYFUNCTION("""COMPUTED_VALUE"""),45024.6748424884)</f>
        <v>45024.67484</v>
      </c>
      <c r="D11376" s="15">
        <f>IFERROR(__xludf.DUMMYFUNCTION("""COMPUTED_VALUE"""),1.086)</f>
        <v>1.086</v>
      </c>
      <c r="E11376" s="16">
        <f>IFERROR(__xludf.DUMMYFUNCTION("""COMPUTED_VALUE"""),63.0)</f>
        <v>63</v>
      </c>
      <c r="F11376" s="19" t="str">
        <f>IFERROR(__xludf.DUMMYFUNCTION("""COMPUTED_VALUE"""),"BLUE")</f>
        <v>BLUE</v>
      </c>
      <c r="G11376" s="20" t="str">
        <f>IFERROR(__xludf.DUMMYFUNCTION("""COMPUTED_VALUE"""),"Uncle Sams Cider (04/04/2023)")</f>
        <v>Uncle Sams Cider (04/04/2023)</v>
      </c>
      <c r="H11376" s="19"/>
    </row>
    <row r="11377">
      <c r="A11377" s="9"/>
      <c r="B11377" s="15"/>
      <c r="C11377" s="9">
        <f>IFERROR(__xludf.DUMMYFUNCTION("""COMPUTED_VALUE"""),45024.6644228009)</f>
        <v>45024.66442</v>
      </c>
      <c r="D11377" s="15">
        <f>IFERROR(__xludf.DUMMYFUNCTION("""COMPUTED_VALUE"""),1.086)</f>
        <v>1.086</v>
      </c>
      <c r="E11377" s="16">
        <f>IFERROR(__xludf.DUMMYFUNCTION("""COMPUTED_VALUE"""),63.0)</f>
        <v>63</v>
      </c>
      <c r="F11377" s="19" t="str">
        <f>IFERROR(__xludf.DUMMYFUNCTION("""COMPUTED_VALUE"""),"BLUE")</f>
        <v>BLUE</v>
      </c>
      <c r="G11377" s="20" t="str">
        <f>IFERROR(__xludf.DUMMYFUNCTION("""COMPUTED_VALUE"""),"Uncle Sams Cider (04/04/2023)")</f>
        <v>Uncle Sams Cider (04/04/2023)</v>
      </c>
      <c r="H11377" s="19"/>
    </row>
    <row r="11378">
      <c r="A11378" s="9"/>
      <c r="B11378" s="15"/>
      <c r="C11378" s="9">
        <f>IFERROR(__xludf.DUMMYFUNCTION("""COMPUTED_VALUE"""),45024.6540013888)</f>
        <v>45024.654</v>
      </c>
      <c r="D11378" s="15">
        <f>IFERROR(__xludf.DUMMYFUNCTION("""COMPUTED_VALUE"""),1.086)</f>
        <v>1.086</v>
      </c>
      <c r="E11378" s="16">
        <f>IFERROR(__xludf.DUMMYFUNCTION("""COMPUTED_VALUE"""),63.0)</f>
        <v>63</v>
      </c>
      <c r="F11378" s="19" t="str">
        <f>IFERROR(__xludf.DUMMYFUNCTION("""COMPUTED_VALUE"""),"BLUE")</f>
        <v>BLUE</v>
      </c>
      <c r="G11378" s="20" t="str">
        <f>IFERROR(__xludf.DUMMYFUNCTION("""COMPUTED_VALUE"""),"Uncle Sams Cider (04/04/2023)")</f>
        <v>Uncle Sams Cider (04/04/2023)</v>
      </c>
      <c r="H11378" s="19"/>
    </row>
    <row r="11379">
      <c r="A11379" s="9"/>
      <c r="B11379" s="15"/>
      <c r="C11379" s="9">
        <f>IFERROR(__xludf.DUMMYFUNCTION("""COMPUTED_VALUE"""),45024.6435801967)</f>
        <v>45024.64358</v>
      </c>
      <c r="D11379" s="15">
        <f>IFERROR(__xludf.DUMMYFUNCTION("""COMPUTED_VALUE"""),1.086)</f>
        <v>1.086</v>
      </c>
      <c r="E11379" s="16">
        <f>IFERROR(__xludf.DUMMYFUNCTION("""COMPUTED_VALUE"""),63.0)</f>
        <v>63</v>
      </c>
      <c r="F11379" s="19" t="str">
        <f>IFERROR(__xludf.DUMMYFUNCTION("""COMPUTED_VALUE"""),"BLUE")</f>
        <v>BLUE</v>
      </c>
      <c r="G11379" s="20" t="str">
        <f>IFERROR(__xludf.DUMMYFUNCTION("""COMPUTED_VALUE"""),"Uncle Sams Cider (04/04/2023)")</f>
        <v>Uncle Sams Cider (04/04/2023)</v>
      </c>
      <c r="H11379" s="19"/>
    </row>
    <row r="11380">
      <c r="A11380" s="9"/>
      <c r="B11380" s="15"/>
      <c r="C11380" s="9">
        <f>IFERROR(__xludf.DUMMYFUNCTION("""COMPUTED_VALUE"""),45024.6331609953)</f>
        <v>45024.63316</v>
      </c>
      <c r="D11380" s="15">
        <f>IFERROR(__xludf.DUMMYFUNCTION("""COMPUTED_VALUE"""),1.087)</f>
        <v>1.087</v>
      </c>
      <c r="E11380" s="16">
        <f>IFERROR(__xludf.DUMMYFUNCTION("""COMPUTED_VALUE"""),63.0)</f>
        <v>63</v>
      </c>
      <c r="F11380" s="19" t="str">
        <f>IFERROR(__xludf.DUMMYFUNCTION("""COMPUTED_VALUE"""),"BLUE")</f>
        <v>BLUE</v>
      </c>
      <c r="G11380" s="20" t="str">
        <f>IFERROR(__xludf.DUMMYFUNCTION("""COMPUTED_VALUE"""),"Uncle Sams Cider (04/04/2023)")</f>
        <v>Uncle Sams Cider (04/04/2023)</v>
      </c>
      <c r="H11380" s="19"/>
    </row>
    <row r="11381">
      <c r="A11381" s="9"/>
      <c r="B11381" s="15"/>
      <c r="C11381" s="9">
        <f>IFERROR(__xludf.DUMMYFUNCTION("""COMPUTED_VALUE"""),45024.6227398032)</f>
        <v>45024.62274</v>
      </c>
      <c r="D11381" s="15">
        <f>IFERROR(__xludf.DUMMYFUNCTION("""COMPUTED_VALUE"""),1.087)</f>
        <v>1.087</v>
      </c>
      <c r="E11381" s="16">
        <f>IFERROR(__xludf.DUMMYFUNCTION("""COMPUTED_VALUE"""),63.0)</f>
        <v>63</v>
      </c>
      <c r="F11381" s="19" t="str">
        <f>IFERROR(__xludf.DUMMYFUNCTION("""COMPUTED_VALUE"""),"BLUE")</f>
        <v>BLUE</v>
      </c>
      <c r="G11381" s="20" t="str">
        <f>IFERROR(__xludf.DUMMYFUNCTION("""COMPUTED_VALUE"""),"Uncle Sams Cider (04/04/2023)")</f>
        <v>Uncle Sams Cider (04/04/2023)</v>
      </c>
      <c r="H11381" s="19"/>
    </row>
    <row r="11382">
      <c r="A11382" s="9"/>
      <c r="B11382" s="15"/>
      <c r="C11382" s="9">
        <f>IFERROR(__xludf.DUMMYFUNCTION("""COMPUTED_VALUE"""),45024.6123192939)</f>
        <v>45024.61232</v>
      </c>
      <c r="D11382" s="15">
        <f>IFERROR(__xludf.DUMMYFUNCTION("""COMPUTED_VALUE"""),1.086)</f>
        <v>1.086</v>
      </c>
      <c r="E11382" s="16">
        <f>IFERROR(__xludf.DUMMYFUNCTION("""COMPUTED_VALUE"""),63.0)</f>
        <v>63</v>
      </c>
      <c r="F11382" s="19" t="str">
        <f>IFERROR(__xludf.DUMMYFUNCTION("""COMPUTED_VALUE"""),"BLUE")</f>
        <v>BLUE</v>
      </c>
      <c r="G11382" s="20" t="str">
        <f>IFERROR(__xludf.DUMMYFUNCTION("""COMPUTED_VALUE"""),"Uncle Sams Cider (04/04/2023)")</f>
        <v>Uncle Sams Cider (04/04/2023)</v>
      </c>
      <c r="H11382" s="19"/>
    </row>
    <row r="11383">
      <c r="A11383" s="9"/>
      <c r="B11383" s="15"/>
      <c r="C11383" s="9">
        <f>IFERROR(__xludf.DUMMYFUNCTION("""COMPUTED_VALUE"""),45024.6018966782)</f>
        <v>45024.6019</v>
      </c>
      <c r="D11383" s="15">
        <f>IFERROR(__xludf.DUMMYFUNCTION("""COMPUTED_VALUE"""),1.087)</f>
        <v>1.087</v>
      </c>
      <c r="E11383" s="16">
        <f>IFERROR(__xludf.DUMMYFUNCTION("""COMPUTED_VALUE"""),63.0)</f>
        <v>63</v>
      </c>
      <c r="F11383" s="19" t="str">
        <f>IFERROR(__xludf.DUMMYFUNCTION("""COMPUTED_VALUE"""),"BLUE")</f>
        <v>BLUE</v>
      </c>
      <c r="G11383" s="20" t="str">
        <f>IFERROR(__xludf.DUMMYFUNCTION("""COMPUTED_VALUE"""),"Uncle Sams Cider (04/04/2023)")</f>
        <v>Uncle Sams Cider (04/04/2023)</v>
      </c>
      <c r="H11383" s="19"/>
    </row>
    <row r="11384">
      <c r="A11384" s="9"/>
      <c r="B11384" s="15"/>
      <c r="C11384" s="9">
        <f>IFERROR(__xludf.DUMMYFUNCTION("""COMPUTED_VALUE"""),45024.5914767824)</f>
        <v>45024.59148</v>
      </c>
      <c r="D11384" s="15">
        <f>IFERROR(__xludf.DUMMYFUNCTION("""COMPUTED_VALUE"""),1.087)</f>
        <v>1.087</v>
      </c>
      <c r="E11384" s="16">
        <f>IFERROR(__xludf.DUMMYFUNCTION("""COMPUTED_VALUE"""),63.0)</f>
        <v>63</v>
      </c>
      <c r="F11384" s="19" t="str">
        <f>IFERROR(__xludf.DUMMYFUNCTION("""COMPUTED_VALUE"""),"BLUE")</f>
        <v>BLUE</v>
      </c>
      <c r="G11384" s="20" t="str">
        <f>IFERROR(__xludf.DUMMYFUNCTION("""COMPUTED_VALUE"""),"Uncle Sams Cider (04/04/2023)")</f>
        <v>Uncle Sams Cider (04/04/2023)</v>
      </c>
      <c r="H11384" s="19"/>
    </row>
    <row r="11385">
      <c r="A11385" s="9"/>
      <c r="B11385" s="15"/>
      <c r="C11385" s="9">
        <f>IFERROR(__xludf.DUMMYFUNCTION("""COMPUTED_VALUE"""),45024.5810555787)</f>
        <v>45024.58106</v>
      </c>
      <c r="D11385" s="15">
        <f>IFERROR(__xludf.DUMMYFUNCTION("""COMPUTED_VALUE"""),1.087)</f>
        <v>1.087</v>
      </c>
      <c r="E11385" s="16">
        <f>IFERROR(__xludf.DUMMYFUNCTION("""COMPUTED_VALUE"""),63.0)</f>
        <v>63</v>
      </c>
      <c r="F11385" s="19" t="str">
        <f>IFERROR(__xludf.DUMMYFUNCTION("""COMPUTED_VALUE"""),"BLUE")</f>
        <v>BLUE</v>
      </c>
      <c r="G11385" s="20" t="str">
        <f>IFERROR(__xludf.DUMMYFUNCTION("""COMPUTED_VALUE"""),"Uncle Sams Cider (04/04/2023)")</f>
        <v>Uncle Sams Cider (04/04/2023)</v>
      </c>
      <c r="H11385" s="19"/>
    </row>
    <row r="11386">
      <c r="A11386" s="9"/>
      <c r="B11386" s="15"/>
      <c r="C11386" s="9">
        <f>IFERROR(__xludf.DUMMYFUNCTION("""COMPUTED_VALUE"""),45024.5706357986)</f>
        <v>45024.57064</v>
      </c>
      <c r="D11386" s="15">
        <f>IFERROR(__xludf.DUMMYFUNCTION("""COMPUTED_VALUE"""),1.086)</f>
        <v>1.086</v>
      </c>
      <c r="E11386" s="16">
        <f>IFERROR(__xludf.DUMMYFUNCTION("""COMPUTED_VALUE"""),63.0)</f>
        <v>63</v>
      </c>
      <c r="F11386" s="19" t="str">
        <f>IFERROR(__xludf.DUMMYFUNCTION("""COMPUTED_VALUE"""),"BLUE")</f>
        <v>BLUE</v>
      </c>
      <c r="G11386" s="20" t="str">
        <f>IFERROR(__xludf.DUMMYFUNCTION("""COMPUTED_VALUE"""),"Uncle Sams Cider (04/04/2023)")</f>
        <v>Uncle Sams Cider (04/04/2023)</v>
      </c>
      <c r="H11386" s="19"/>
    </row>
    <row r="11387">
      <c r="A11387" s="9"/>
      <c r="B11387" s="15"/>
      <c r="C11387" s="9">
        <f>IFERROR(__xludf.DUMMYFUNCTION("""COMPUTED_VALUE"""),45024.5602037963)</f>
        <v>45024.5602</v>
      </c>
      <c r="D11387" s="15">
        <f>IFERROR(__xludf.DUMMYFUNCTION("""COMPUTED_VALUE"""),1.086)</f>
        <v>1.086</v>
      </c>
      <c r="E11387" s="16">
        <f>IFERROR(__xludf.DUMMYFUNCTION("""COMPUTED_VALUE"""),63.0)</f>
        <v>63</v>
      </c>
      <c r="F11387" s="19" t="str">
        <f>IFERROR(__xludf.DUMMYFUNCTION("""COMPUTED_VALUE"""),"BLUE")</f>
        <v>BLUE</v>
      </c>
      <c r="G11387" s="20" t="str">
        <f>IFERROR(__xludf.DUMMYFUNCTION("""COMPUTED_VALUE"""),"Uncle Sams Cider (04/04/2023)")</f>
        <v>Uncle Sams Cider (04/04/2023)</v>
      </c>
      <c r="H11387" s="19"/>
    </row>
    <row r="11388">
      <c r="A11388" s="9"/>
      <c r="B11388" s="15"/>
      <c r="C11388" s="9">
        <f>IFERROR(__xludf.DUMMYFUNCTION("""COMPUTED_VALUE"""),45024.5497841898)</f>
        <v>45024.54978</v>
      </c>
      <c r="D11388" s="15">
        <f>IFERROR(__xludf.DUMMYFUNCTION("""COMPUTED_VALUE"""),1.087)</f>
        <v>1.087</v>
      </c>
      <c r="E11388" s="16">
        <f>IFERROR(__xludf.DUMMYFUNCTION("""COMPUTED_VALUE"""),63.0)</f>
        <v>63</v>
      </c>
      <c r="F11388" s="19" t="str">
        <f>IFERROR(__xludf.DUMMYFUNCTION("""COMPUTED_VALUE"""),"BLUE")</f>
        <v>BLUE</v>
      </c>
      <c r="G11388" s="20" t="str">
        <f>IFERROR(__xludf.DUMMYFUNCTION("""COMPUTED_VALUE"""),"Uncle Sams Cider (04/04/2023)")</f>
        <v>Uncle Sams Cider (04/04/2023)</v>
      </c>
      <c r="H11388" s="19"/>
    </row>
    <row r="11389">
      <c r="A11389" s="9"/>
      <c r="B11389" s="15"/>
      <c r="C11389" s="9">
        <f>IFERROR(__xludf.DUMMYFUNCTION("""COMPUTED_VALUE"""),45024.5393619212)</f>
        <v>45024.53936</v>
      </c>
      <c r="D11389" s="15">
        <f>IFERROR(__xludf.DUMMYFUNCTION("""COMPUTED_VALUE"""),1.087)</f>
        <v>1.087</v>
      </c>
      <c r="E11389" s="16">
        <f>IFERROR(__xludf.DUMMYFUNCTION("""COMPUTED_VALUE"""),63.0)</f>
        <v>63</v>
      </c>
      <c r="F11389" s="19" t="str">
        <f>IFERROR(__xludf.DUMMYFUNCTION("""COMPUTED_VALUE"""),"BLUE")</f>
        <v>BLUE</v>
      </c>
      <c r="G11389" s="20" t="str">
        <f>IFERROR(__xludf.DUMMYFUNCTION("""COMPUTED_VALUE"""),"Uncle Sams Cider (04/04/2023)")</f>
        <v>Uncle Sams Cider (04/04/2023)</v>
      </c>
      <c r="H11389" s="19"/>
    </row>
    <row r="11390">
      <c r="A11390" s="9"/>
      <c r="B11390" s="15"/>
      <c r="C11390" s="9">
        <f>IFERROR(__xludf.DUMMYFUNCTION("""COMPUTED_VALUE"""),45024.5289416898)</f>
        <v>45024.52894</v>
      </c>
      <c r="D11390" s="15">
        <f>IFERROR(__xludf.DUMMYFUNCTION("""COMPUTED_VALUE"""),1.088)</f>
        <v>1.088</v>
      </c>
      <c r="E11390" s="16">
        <f>IFERROR(__xludf.DUMMYFUNCTION("""COMPUTED_VALUE"""),63.0)</f>
        <v>63</v>
      </c>
      <c r="F11390" s="19" t="str">
        <f>IFERROR(__xludf.DUMMYFUNCTION("""COMPUTED_VALUE"""),"BLUE")</f>
        <v>BLUE</v>
      </c>
      <c r="G11390" s="20" t="str">
        <f>IFERROR(__xludf.DUMMYFUNCTION("""COMPUTED_VALUE"""),"Uncle Sams Cider (04/04/2023)")</f>
        <v>Uncle Sams Cider (04/04/2023)</v>
      </c>
      <c r="H11390" s="19"/>
    </row>
    <row r="11391">
      <c r="A11391" s="9"/>
      <c r="B11391" s="15"/>
      <c r="C11391" s="9">
        <f>IFERROR(__xludf.DUMMYFUNCTION("""COMPUTED_VALUE"""),45024.5185207523)</f>
        <v>45024.51852</v>
      </c>
      <c r="D11391" s="15">
        <f>IFERROR(__xludf.DUMMYFUNCTION("""COMPUTED_VALUE"""),1.087)</f>
        <v>1.087</v>
      </c>
      <c r="E11391" s="16">
        <f>IFERROR(__xludf.DUMMYFUNCTION("""COMPUTED_VALUE"""),63.0)</f>
        <v>63</v>
      </c>
      <c r="F11391" s="19" t="str">
        <f>IFERROR(__xludf.DUMMYFUNCTION("""COMPUTED_VALUE"""),"BLUE")</f>
        <v>BLUE</v>
      </c>
      <c r="G11391" s="20" t="str">
        <f>IFERROR(__xludf.DUMMYFUNCTION("""COMPUTED_VALUE"""),"Uncle Sams Cider (04/04/2023)")</f>
        <v>Uncle Sams Cider (04/04/2023)</v>
      </c>
      <c r="H11391" s="19"/>
    </row>
    <row r="11392">
      <c r="A11392" s="9"/>
      <c r="B11392" s="15"/>
      <c r="C11392" s="9">
        <f>IFERROR(__xludf.DUMMYFUNCTION("""COMPUTED_VALUE"""),45024.5080988657)</f>
        <v>45024.5081</v>
      </c>
      <c r="D11392" s="15">
        <f>IFERROR(__xludf.DUMMYFUNCTION("""COMPUTED_VALUE"""),1.087)</f>
        <v>1.087</v>
      </c>
      <c r="E11392" s="16">
        <f>IFERROR(__xludf.DUMMYFUNCTION("""COMPUTED_VALUE"""),63.0)</f>
        <v>63</v>
      </c>
      <c r="F11392" s="19" t="str">
        <f>IFERROR(__xludf.DUMMYFUNCTION("""COMPUTED_VALUE"""),"BLUE")</f>
        <v>BLUE</v>
      </c>
      <c r="G11392" s="20" t="str">
        <f>IFERROR(__xludf.DUMMYFUNCTION("""COMPUTED_VALUE"""),"Uncle Sams Cider (04/04/2023)")</f>
        <v>Uncle Sams Cider (04/04/2023)</v>
      </c>
      <c r="H11392" s="19"/>
    </row>
    <row r="11393">
      <c r="A11393" s="9"/>
      <c r="B11393" s="15"/>
      <c r="C11393" s="9">
        <f>IFERROR(__xludf.DUMMYFUNCTION("""COMPUTED_VALUE"""),45024.4976784143)</f>
        <v>45024.49768</v>
      </c>
      <c r="D11393" s="15">
        <f>IFERROR(__xludf.DUMMYFUNCTION("""COMPUTED_VALUE"""),1.087)</f>
        <v>1.087</v>
      </c>
      <c r="E11393" s="16">
        <f>IFERROR(__xludf.DUMMYFUNCTION("""COMPUTED_VALUE"""),63.0)</f>
        <v>63</v>
      </c>
      <c r="F11393" s="19" t="str">
        <f>IFERROR(__xludf.DUMMYFUNCTION("""COMPUTED_VALUE"""),"BLUE")</f>
        <v>BLUE</v>
      </c>
      <c r="G11393" s="20" t="str">
        <f>IFERROR(__xludf.DUMMYFUNCTION("""COMPUTED_VALUE"""),"Uncle Sams Cider (04/04/2023)")</f>
        <v>Uncle Sams Cider (04/04/2023)</v>
      </c>
      <c r="H11393" s="19"/>
    </row>
    <row r="11394">
      <c r="A11394" s="9"/>
      <c r="B11394" s="15"/>
      <c r="C11394" s="9">
        <f>IFERROR(__xludf.DUMMYFUNCTION("""COMPUTED_VALUE"""),45024.4872581481)</f>
        <v>45024.48726</v>
      </c>
      <c r="D11394" s="15">
        <f>IFERROR(__xludf.DUMMYFUNCTION("""COMPUTED_VALUE"""),1.088)</f>
        <v>1.088</v>
      </c>
      <c r="E11394" s="16">
        <f>IFERROR(__xludf.DUMMYFUNCTION("""COMPUTED_VALUE"""),63.0)</f>
        <v>63</v>
      </c>
      <c r="F11394" s="19" t="str">
        <f>IFERROR(__xludf.DUMMYFUNCTION("""COMPUTED_VALUE"""),"BLUE")</f>
        <v>BLUE</v>
      </c>
      <c r="G11394" s="20" t="str">
        <f>IFERROR(__xludf.DUMMYFUNCTION("""COMPUTED_VALUE"""),"Uncle Sams Cider (04/04/2023)")</f>
        <v>Uncle Sams Cider (04/04/2023)</v>
      </c>
      <c r="H11394" s="19"/>
    </row>
    <row r="11395">
      <c r="A11395" s="9"/>
      <c r="B11395" s="15"/>
      <c r="C11395" s="9">
        <f>IFERROR(__xludf.DUMMYFUNCTION("""COMPUTED_VALUE"""),45024.4768381249)</f>
        <v>45024.47684</v>
      </c>
      <c r="D11395" s="15">
        <f>IFERROR(__xludf.DUMMYFUNCTION("""COMPUTED_VALUE"""),1.087)</f>
        <v>1.087</v>
      </c>
      <c r="E11395" s="16">
        <f>IFERROR(__xludf.DUMMYFUNCTION("""COMPUTED_VALUE"""),63.0)</f>
        <v>63</v>
      </c>
      <c r="F11395" s="19" t="str">
        <f>IFERROR(__xludf.DUMMYFUNCTION("""COMPUTED_VALUE"""),"BLUE")</f>
        <v>BLUE</v>
      </c>
      <c r="G11395" s="20" t="str">
        <f>IFERROR(__xludf.DUMMYFUNCTION("""COMPUTED_VALUE"""),"Uncle Sams Cider (04/04/2023)")</f>
        <v>Uncle Sams Cider (04/04/2023)</v>
      </c>
      <c r="H11395" s="19"/>
    </row>
    <row r="11396">
      <c r="A11396" s="9"/>
      <c r="B11396" s="15"/>
      <c r="C11396" s="9">
        <f>IFERROR(__xludf.DUMMYFUNCTION("""COMPUTED_VALUE"""),45024.466415081)</f>
        <v>45024.46642</v>
      </c>
      <c r="D11396" s="15">
        <f>IFERROR(__xludf.DUMMYFUNCTION("""COMPUTED_VALUE"""),1.087)</f>
        <v>1.087</v>
      </c>
      <c r="E11396" s="16">
        <f>IFERROR(__xludf.DUMMYFUNCTION("""COMPUTED_VALUE"""),63.0)</f>
        <v>63</v>
      </c>
      <c r="F11396" s="19" t="str">
        <f>IFERROR(__xludf.DUMMYFUNCTION("""COMPUTED_VALUE"""),"BLUE")</f>
        <v>BLUE</v>
      </c>
      <c r="G11396" s="20" t="str">
        <f>IFERROR(__xludf.DUMMYFUNCTION("""COMPUTED_VALUE"""),"Uncle Sams Cider (04/04/2023)")</f>
        <v>Uncle Sams Cider (04/04/2023)</v>
      </c>
      <c r="H11396" s="19"/>
    </row>
    <row r="11397">
      <c r="A11397" s="9"/>
      <c r="B11397" s="15"/>
      <c r="C11397" s="9">
        <f>IFERROR(__xludf.DUMMYFUNCTION("""COMPUTED_VALUE"""),45024.455993912)</f>
        <v>45024.45599</v>
      </c>
      <c r="D11397" s="15">
        <f>IFERROR(__xludf.DUMMYFUNCTION("""COMPUTED_VALUE"""),1.088)</f>
        <v>1.088</v>
      </c>
      <c r="E11397" s="16">
        <f>IFERROR(__xludf.DUMMYFUNCTION("""COMPUTED_VALUE"""),63.0)</f>
        <v>63</v>
      </c>
      <c r="F11397" s="19" t="str">
        <f>IFERROR(__xludf.DUMMYFUNCTION("""COMPUTED_VALUE"""),"BLUE")</f>
        <v>BLUE</v>
      </c>
      <c r="G11397" s="20" t="str">
        <f>IFERROR(__xludf.DUMMYFUNCTION("""COMPUTED_VALUE"""),"Uncle Sams Cider (04/04/2023)")</f>
        <v>Uncle Sams Cider (04/04/2023)</v>
      </c>
      <c r="H11397" s="19"/>
    </row>
    <row r="11398">
      <c r="A11398" s="9"/>
      <c r="B11398" s="15"/>
      <c r="C11398" s="9">
        <f>IFERROR(__xludf.DUMMYFUNCTION("""COMPUTED_VALUE"""),45024.445572905)</f>
        <v>45024.44557</v>
      </c>
      <c r="D11398" s="15">
        <f>IFERROR(__xludf.DUMMYFUNCTION("""COMPUTED_VALUE"""),1.088)</f>
        <v>1.088</v>
      </c>
      <c r="E11398" s="16">
        <f>IFERROR(__xludf.DUMMYFUNCTION("""COMPUTED_VALUE"""),63.0)</f>
        <v>63</v>
      </c>
      <c r="F11398" s="19" t="str">
        <f>IFERROR(__xludf.DUMMYFUNCTION("""COMPUTED_VALUE"""),"BLUE")</f>
        <v>BLUE</v>
      </c>
      <c r="G11398" s="20" t="str">
        <f>IFERROR(__xludf.DUMMYFUNCTION("""COMPUTED_VALUE"""),"Uncle Sams Cider (04/04/2023)")</f>
        <v>Uncle Sams Cider (04/04/2023)</v>
      </c>
      <c r="H11398" s="19"/>
    </row>
    <row r="11399">
      <c r="A11399" s="9"/>
      <c r="B11399" s="15"/>
      <c r="C11399" s="9">
        <f>IFERROR(__xludf.DUMMYFUNCTION("""COMPUTED_VALUE"""),45024.4351394907)</f>
        <v>45024.43514</v>
      </c>
      <c r="D11399" s="15">
        <f>IFERROR(__xludf.DUMMYFUNCTION("""COMPUTED_VALUE"""),1.087)</f>
        <v>1.087</v>
      </c>
      <c r="E11399" s="16">
        <f>IFERROR(__xludf.DUMMYFUNCTION("""COMPUTED_VALUE"""),63.0)</f>
        <v>63</v>
      </c>
      <c r="F11399" s="19" t="str">
        <f>IFERROR(__xludf.DUMMYFUNCTION("""COMPUTED_VALUE"""),"BLUE")</f>
        <v>BLUE</v>
      </c>
      <c r="G11399" s="20" t="str">
        <f>IFERROR(__xludf.DUMMYFUNCTION("""COMPUTED_VALUE"""),"Uncle Sams Cider (04/04/2023)")</f>
        <v>Uncle Sams Cider (04/04/2023)</v>
      </c>
      <c r="H11399" s="19"/>
    </row>
    <row r="11400">
      <c r="A11400" s="9"/>
      <c r="B11400" s="15"/>
      <c r="C11400" s="9">
        <f>IFERROR(__xludf.DUMMYFUNCTION("""COMPUTED_VALUE"""),45024.4247165856)</f>
        <v>45024.42472</v>
      </c>
      <c r="D11400" s="15">
        <f>IFERROR(__xludf.DUMMYFUNCTION("""COMPUTED_VALUE"""),1.088)</f>
        <v>1.088</v>
      </c>
      <c r="E11400" s="16">
        <f>IFERROR(__xludf.DUMMYFUNCTION("""COMPUTED_VALUE"""),63.0)</f>
        <v>63</v>
      </c>
      <c r="F11400" s="19" t="str">
        <f>IFERROR(__xludf.DUMMYFUNCTION("""COMPUTED_VALUE"""),"BLUE")</f>
        <v>BLUE</v>
      </c>
      <c r="G11400" s="20" t="str">
        <f>IFERROR(__xludf.DUMMYFUNCTION("""COMPUTED_VALUE"""),"Uncle Sams Cider (04/04/2023)")</f>
        <v>Uncle Sams Cider (04/04/2023)</v>
      </c>
      <c r="H11400" s="19"/>
    </row>
    <row r="11401">
      <c r="A11401" s="9"/>
      <c r="B11401" s="15"/>
      <c r="C11401" s="9">
        <f>IFERROR(__xludf.DUMMYFUNCTION("""COMPUTED_VALUE"""),45024.4142950578)</f>
        <v>45024.4143</v>
      </c>
      <c r="D11401" s="15">
        <f>IFERROR(__xludf.DUMMYFUNCTION("""COMPUTED_VALUE"""),1.088)</f>
        <v>1.088</v>
      </c>
      <c r="E11401" s="16">
        <f>IFERROR(__xludf.DUMMYFUNCTION("""COMPUTED_VALUE"""),63.0)</f>
        <v>63</v>
      </c>
      <c r="F11401" s="19" t="str">
        <f>IFERROR(__xludf.DUMMYFUNCTION("""COMPUTED_VALUE"""),"BLUE")</f>
        <v>BLUE</v>
      </c>
      <c r="G11401" s="20" t="str">
        <f>IFERROR(__xludf.DUMMYFUNCTION("""COMPUTED_VALUE"""),"Uncle Sams Cider (04/04/2023)")</f>
        <v>Uncle Sams Cider (04/04/2023)</v>
      </c>
      <c r="H11401" s="19"/>
    </row>
    <row r="11402">
      <c r="A11402" s="9"/>
      <c r="B11402" s="15"/>
      <c r="C11402" s="9">
        <f>IFERROR(__xludf.DUMMYFUNCTION("""COMPUTED_VALUE"""),45024.4038743402)</f>
        <v>45024.40387</v>
      </c>
      <c r="D11402" s="15">
        <f>IFERROR(__xludf.DUMMYFUNCTION("""COMPUTED_VALUE"""),1.088)</f>
        <v>1.088</v>
      </c>
      <c r="E11402" s="16">
        <f>IFERROR(__xludf.DUMMYFUNCTION("""COMPUTED_VALUE"""),64.0)</f>
        <v>64</v>
      </c>
      <c r="F11402" s="19" t="str">
        <f>IFERROR(__xludf.DUMMYFUNCTION("""COMPUTED_VALUE"""),"BLUE")</f>
        <v>BLUE</v>
      </c>
      <c r="G11402" s="20" t="str">
        <f>IFERROR(__xludf.DUMMYFUNCTION("""COMPUTED_VALUE"""),"Uncle Sams Cider (04/04/2023)")</f>
        <v>Uncle Sams Cider (04/04/2023)</v>
      </c>
      <c r="H11402" s="19"/>
    </row>
    <row r="11403">
      <c r="A11403" s="9"/>
      <c r="B11403" s="15"/>
      <c r="C11403" s="9">
        <f>IFERROR(__xludf.DUMMYFUNCTION("""COMPUTED_VALUE"""),45024.3934523495)</f>
        <v>45024.39345</v>
      </c>
      <c r="D11403" s="15">
        <f>IFERROR(__xludf.DUMMYFUNCTION("""COMPUTED_VALUE"""),1.088)</f>
        <v>1.088</v>
      </c>
      <c r="E11403" s="16">
        <f>IFERROR(__xludf.DUMMYFUNCTION("""COMPUTED_VALUE"""),63.0)</f>
        <v>63</v>
      </c>
      <c r="F11403" s="19" t="str">
        <f>IFERROR(__xludf.DUMMYFUNCTION("""COMPUTED_VALUE"""),"BLUE")</f>
        <v>BLUE</v>
      </c>
      <c r="G11403" s="20" t="str">
        <f>IFERROR(__xludf.DUMMYFUNCTION("""COMPUTED_VALUE"""),"Uncle Sams Cider (04/04/2023)")</f>
        <v>Uncle Sams Cider (04/04/2023)</v>
      </c>
      <c r="H11403" s="19"/>
    </row>
    <row r="11404">
      <c r="A11404" s="9"/>
      <c r="B11404" s="15"/>
      <c r="C11404" s="9">
        <f>IFERROR(__xludf.DUMMYFUNCTION("""COMPUTED_VALUE"""),45024.3830320486)</f>
        <v>45024.38303</v>
      </c>
      <c r="D11404" s="15">
        <f>IFERROR(__xludf.DUMMYFUNCTION("""COMPUTED_VALUE"""),1.088)</f>
        <v>1.088</v>
      </c>
      <c r="E11404" s="16">
        <f>IFERROR(__xludf.DUMMYFUNCTION("""COMPUTED_VALUE"""),64.0)</f>
        <v>64</v>
      </c>
      <c r="F11404" s="19" t="str">
        <f>IFERROR(__xludf.DUMMYFUNCTION("""COMPUTED_VALUE"""),"BLUE")</f>
        <v>BLUE</v>
      </c>
      <c r="G11404" s="20" t="str">
        <f>IFERROR(__xludf.DUMMYFUNCTION("""COMPUTED_VALUE"""),"Uncle Sams Cider (04/04/2023)")</f>
        <v>Uncle Sams Cider (04/04/2023)</v>
      </c>
      <c r="H11404" s="19"/>
    </row>
    <row r="11405">
      <c r="A11405" s="9"/>
      <c r="B11405" s="15"/>
      <c r="C11405" s="9">
        <f>IFERROR(__xludf.DUMMYFUNCTION("""COMPUTED_VALUE"""),45024.3726124537)</f>
        <v>45024.37261</v>
      </c>
      <c r="D11405" s="15">
        <f>IFERROR(__xludf.DUMMYFUNCTION("""COMPUTED_VALUE"""),1.088)</f>
        <v>1.088</v>
      </c>
      <c r="E11405" s="16">
        <f>IFERROR(__xludf.DUMMYFUNCTION("""COMPUTED_VALUE"""),64.0)</f>
        <v>64</v>
      </c>
      <c r="F11405" s="19" t="str">
        <f>IFERROR(__xludf.DUMMYFUNCTION("""COMPUTED_VALUE"""),"BLUE")</f>
        <v>BLUE</v>
      </c>
      <c r="G11405" s="20" t="str">
        <f>IFERROR(__xludf.DUMMYFUNCTION("""COMPUTED_VALUE"""),"Uncle Sams Cider (04/04/2023)")</f>
        <v>Uncle Sams Cider (04/04/2023)</v>
      </c>
      <c r="H11405" s="19"/>
    </row>
    <row r="11406">
      <c r="A11406" s="9"/>
      <c r="B11406" s="15"/>
      <c r="C11406" s="9">
        <f>IFERROR(__xludf.DUMMYFUNCTION("""COMPUTED_VALUE"""),45024.3621910648)</f>
        <v>45024.36219</v>
      </c>
      <c r="D11406" s="15">
        <f>IFERROR(__xludf.DUMMYFUNCTION("""COMPUTED_VALUE"""),1.088)</f>
        <v>1.088</v>
      </c>
      <c r="E11406" s="16">
        <f>IFERROR(__xludf.DUMMYFUNCTION("""COMPUTED_VALUE"""),64.0)</f>
        <v>64</v>
      </c>
      <c r="F11406" s="19" t="str">
        <f>IFERROR(__xludf.DUMMYFUNCTION("""COMPUTED_VALUE"""),"BLUE")</f>
        <v>BLUE</v>
      </c>
      <c r="G11406" s="20" t="str">
        <f>IFERROR(__xludf.DUMMYFUNCTION("""COMPUTED_VALUE"""),"Uncle Sams Cider (04/04/2023)")</f>
        <v>Uncle Sams Cider (04/04/2023)</v>
      </c>
      <c r="H11406" s="19"/>
    </row>
    <row r="11407">
      <c r="A11407" s="9"/>
      <c r="B11407" s="15"/>
      <c r="C11407" s="9">
        <f>IFERROR(__xludf.DUMMYFUNCTION("""COMPUTED_VALUE"""),45024.3517707291)</f>
        <v>45024.35177</v>
      </c>
      <c r="D11407" s="15">
        <f>IFERROR(__xludf.DUMMYFUNCTION("""COMPUTED_VALUE"""),1.089)</f>
        <v>1.089</v>
      </c>
      <c r="E11407" s="16">
        <f>IFERROR(__xludf.DUMMYFUNCTION("""COMPUTED_VALUE"""),64.0)</f>
        <v>64</v>
      </c>
      <c r="F11407" s="19" t="str">
        <f>IFERROR(__xludf.DUMMYFUNCTION("""COMPUTED_VALUE"""),"BLUE")</f>
        <v>BLUE</v>
      </c>
      <c r="G11407" s="20" t="str">
        <f>IFERROR(__xludf.DUMMYFUNCTION("""COMPUTED_VALUE"""),"Uncle Sams Cider (04/04/2023)")</f>
        <v>Uncle Sams Cider (04/04/2023)</v>
      </c>
      <c r="H11407" s="19"/>
    </row>
    <row r="11408">
      <c r="A11408" s="9"/>
      <c r="B11408" s="15"/>
      <c r="C11408" s="9">
        <f>IFERROR(__xludf.DUMMYFUNCTION("""COMPUTED_VALUE"""),45024.3413500347)</f>
        <v>45024.34135</v>
      </c>
      <c r="D11408" s="15">
        <f>IFERROR(__xludf.DUMMYFUNCTION("""COMPUTED_VALUE"""),1.089)</f>
        <v>1.089</v>
      </c>
      <c r="E11408" s="16">
        <f>IFERROR(__xludf.DUMMYFUNCTION("""COMPUTED_VALUE"""),64.0)</f>
        <v>64</v>
      </c>
      <c r="F11408" s="19" t="str">
        <f>IFERROR(__xludf.DUMMYFUNCTION("""COMPUTED_VALUE"""),"BLUE")</f>
        <v>BLUE</v>
      </c>
      <c r="G11408" s="20" t="str">
        <f>IFERROR(__xludf.DUMMYFUNCTION("""COMPUTED_VALUE"""),"Uncle Sams Cider (04/04/2023)")</f>
        <v>Uncle Sams Cider (04/04/2023)</v>
      </c>
      <c r="H11408" s="19"/>
    </row>
    <row r="11409">
      <c r="A11409" s="9"/>
      <c r="B11409" s="15"/>
      <c r="C11409" s="9">
        <f>IFERROR(__xludf.DUMMYFUNCTION("""COMPUTED_VALUE"""),45024.3309288425)</f>
        <v>45024.33093</v>
      </c>
      <c r="D11409" s="15">
        <f>IFERROR(__xludf.DUMMYFUNCTION("""COMPUTED_VALUE"""),1.088)</f>
        <v>1.088</v>
      </c>
      <c r="E11409" s="16">
        <f>IFERROR(__xludf.DUMMYFUNCTION("""COMPUTED_VALUE"""),64.0)</f>
        <v>64</v>
      </c>
      <c r="F11409" s="19" t="str">
        <f>IFERROR(__xludf.DUMMYFUNCTION("""COMPUTED_VALUE"""),"BLUE")</f>
        <v>BLUE</v>
      </c>
      <c r="G11409" s="20" t="str">
        <f>IFERROR(__xludf.DUMMYFUNCTION("""COMPUTED_VALUE"""),"Uncle Sams Cider (04/04/2023)")</f>
        <v>Uncle Sams Cider (04/04/2023)</v>
      </c>
      <c r="H11409" s="19"/>
    </row>
    <row r="11410">
      <c r="A11410" s="9"/>
      <c r="B11410" s="15"/>
      <c r="C11410" s="9">
        <f>IFERROR(__xludf.DUMMYFUNCTION("""COMPUTED_VALUE"""),45024.3205078125)</f>
        <v>45024.32051</v>
      </c>
      <c r="D11410" s="15">
        <f>IFERROR(__xludf.DUMMYFUNCTION("""COMPUTED_VALUE"""),1.088)</f>
        <v>1.088</v>
      </c>
      <c r="E11410" s="16">
        <f>IFERROR(__xludf.DUMMYFUNCTION("""COMPUTED_VALUE"""),64.0)</f>
        <v>64</v>
      </c>
      <c r="F11410" s="19" t="str">
        <f>IFERROR(__xludf.DUMMYFUNCTION("""COMPUTED_VALUE"""),"BLUE")</f>
        <v>BLUE</v>
      </c>
      <c r="G11410" s="20" t="str">
        <f>IFERROR(__xludf.DUMMYFUNCTION("""COMPUTED_VALUE"""),"Uncle Sams Cider (04/04/2023)")</f>
        <v>Uncle Sams Cider (04/04/2023)</v>
      </c>
      <c r="H11410" s="19"/>
    </row>
    <row r="11411">
      <c r="A11411" s="9"/>
      <c r="B11411" s="15"/>
      <c r="C11411" s="9">
        <f>IFERROR(__xludf.DUMMYFUNCTION("""COMPUTED_VALUE"""),45024.3100739699)</f>
        <v>45024.31007</v>
      </c>
      <c r="D11411" s="15">
        <f>IFERROR(__xludf.DUMMYFUNCTION("""COMPUTED_VALUE"""),1.089)</f>
        <v>1.089</v>
      </c>
      <c r="E11411" s="16">
        <f>IFERROR(__xludf.DUMMYFUNCTION("""COMPUTED_VALUE"""),64.0)</f>
        <v>64</v>
      </c>
      <c r="F11411" s="19" t="str">
        <f>IFERROR(__xludf.DUMMYFUNCTION("""COMPUTED_VALUE"""),"BLUE")</f>
        <v>BLUE</v>
      </c>
      <c r="G11411" s="20" t="str">
        <f>IFERROR(__xludf.DUMMYFUNCTION("""COMPUTED_VALUE"""),"Uncle Sams Cider (04/04/2023)")</f>
        <v>Uncle Sams Cider (04/04/2023)</v>
      </c>
      <c r="H11411" s="19"/>
    </row>
    <row r="11412">
      <c r="A11412" s="9"/>
      <c r="B11412" s="15"/>
      <c r="C11412" s="9">
        <f>IFERROR(__xludf.DUMMYFUNCTION("""COMPUTED_VALUE"""),45024.2996508449)</f>
        <v>45024.29965</v>
      </c>
      <c r="D11412" s="15">
        <f>IFERROR(__xludf.DUMMYFUNCTION("""COMPUTED_VALUE"""),1.089)</f>
        <v>1.089</v>
      </c>
      <c r="E11412" s="16">
        <f>IFERROR(__xludf.DUMMYFUNCTION("""COMPUTED_VALUE"""),64.0)</f>
        <v>64</v>
      </c>
      <c r="F11412" s="19" t="str">
        <f>IFERROR(__xludf.DUMMYFUNCTION("""COMPUTED_VALUE"""),"BLUE")</f>
        <v>BLUE</v>
      </c>
      <c r="G11412" s="20" t="str">
        <f>IFERROR(__xludf.DUMMYFUNCTION("""COMPUTED_VALUE"""),"Uncle Sams Cider (04/04/2023)")</f>
        <v>Uncle Sams Cider (04/04/2023)</v>
      </c>
      <c r="H11412" s="19"/>
    </row>
    <row r="11413">
      <c r="A11413" s="9"/>
      <c r="B11413" s="15"/>
      <c r="C11413" s="9">
        <f>IFERROR(__xludf.DUMMYFUNCTION("""COMPUTED_VALUE"""),45024.2892291203)</f>
        <v>45024.28923</v>
      </c>
      <c r="D11413" s="15">
        <f>IFERROR(__xludf.DUMMYFUNCTION("""COMPUTED_VALUE"""),1.088)</f>
        <v>1.088</v>
      </c>
      <c r="E11413" s="16">
        <f>IFERROR(__xludf.DUMMYFUNCTION("""COMPUTED_VALUE"""),64.0)</f>
        <v>64</v>
      </c>
      <c r="F11413" s="19" t="str">
        <f>IFERROR(__xludf.DUMMYFUNCTION("""COMPUTED_VALUE"""),"BLUE")</f>
        <v>BLUE</v>
      </c>
      <c r="G11413" s="20" t="str">
        <f>IFERROR(__xludf.DUMMYFUNCTION("""COMPUTED_VALUE"""),"Uncle Sams Cider (04/04/2023)")</f>
        <v>Uncle Sams Cider (04/04/2023)</v>
      </c>
      <c r="H11413" s="19"/>
    </row>
    <row r="11414">
      <c r="A11414" s="9"/>
      <c r="B11414" s="15"/>
      <c r="C11414" s="9">
        <f>IFERROR(__xludf.DUMMYFUNCTION("""COMPUTED_VALUE"""),45024.2787967476)</f>
        <v>45024.2788</v>
      </c>
      <c r="D11414" s="15">
        <f>IFERROR(__xludf.DUMMYFUNCTION("""COMPUTED_VALUE"""),1.089)</f>
        <v>1.089</v>
      </c>
      <c r="E11414" s="16">
        <f>IFERROR(__xludf.DUMMYFUNCTION("""COMPUTED_VALUE"""),64.0)</f>
        <v>64</v>
      </c>
      <c r="F11414" s="19" t="str">
        <f>IFERROR(__xludf.DUMMYFUNCTION("""COMPUTED_VALUE"""),"BLUE")</f>
        <v>BLUE</v>
      </c>
      <c r="G11414" s="20" t="str">
        <f>IFERROR(__xludf.DUMMYFUNCTION("""COMPUTED_VALUE"""),"Uncle Sams Cider (04/04/2023)")</f>
        <v>Uncle Sams Cider (04/04/2023)</v>
      </c>
      <c r="H11414" s="19"/>
    </row>
    <row r="11415">
      <c r="A11415" s="9"/>
      <c r="B11415" s="15"/>
      <c r="C11415" s="9">
        <f>IFERROR(__xludf.DUMMYFUNCTION("""COMPUTED_VALUE"""),45024.2683745138)</f>
        <v>45024.26837</v>
      </c>
      <c r="D11415" s="15">
        <f>IFERROR(__xludf.DUMMYFUNCTION("""COMPUTED_VALUE"""),1.089)</f>
        <v>1.089</v>
      </c>
      <c r="E11415" s="16">
        <f>IFERROR(__xludf.DUMMYFUNCTION("""COMPUTED_VALUE"""),64.0)</f>
        <v>64</v>
      </c>
      <c r="F11415" s="19" t="str">
        <f>IFERROR(__xludf.DUMMYFUNCTION("""COMPUTED_VALUE"""),"BLUE")</f>
        <v>BLUE</v>
      </c>
      <c r="G11415" s="20" t="str">
        <f>IFERROR(__xludf.DUMMYFUNCTION("""COMPUTED_VALUE"""),"Uncle Sams Cider (04/04/2023)")</f>
        <v>Uncle Sams Cider (04/04/2023)</v>
      </c>
      <c r="H11415" s="19"/>
    </row>
    <row r="11416">
      <c r="A11416" s="9"/>
      <c r="B11416" s="15"/>
      <c r="C11416" s="9">
        <f>IFERROR(__xludf.DUMMYFUNCTION("""COMPUTED_VALUE"""),45024.2579287731)</f>
        <v>45024.25793</v>
      </c>
      <c r="D11416" s="15">
        <f>IFERROR(__xludf.DUMMYFUNCTION("""COMPUTED_VALUE"""),1.089)</f>
        <v>1.089</v>
      </c>
      <c r="E11416" s="16">
        <f>IFERROR(__xludf.DUMMYFUNCTION("""COMPUTED_VALUE"""),64.0)</f>
        <v>64</v>
      </c>
      <c r="F11416" s="19" t="str">
        <f>IFERROR(__xludf.DUMMYFUNCTION("""COMPUTED_VALUE"""),"BLUE")</f>
        <v>BLUE</v>
      </c>
      <c r="G11416" s="20" t="str">
        <f>IFERROR(__xludf.DUMMYFUNCTION("""COMPUTED_VALUE"""),"Uncle Sams Cider (04/04/2023)")</f>
        <v>Uncle Sams Cider (04/04/2023)</v>
      </c>
      <c r="H11416" s="19"/>
    </row>
    <row r="11417">
      <c r="A11417" s="9"/>
      <c r="B11417" s="15"/>
      <c r="C11417" s="9">
        <f>IFERROR(__xludf.DUMMYFUNCTION("""COMPUTED_VALUE"""),45024.2474967939)</f>
        <v>45024.2475</v>
      </c>
      <c r="D11417" s="15">
        <f>IFERROR(__xludf.DUMMYFUNCTION("""COMPUTED_VALUE"""),1.089)</f>
        <v>1.089</v>
      </c>
      <c r="E11417" s="16">
        <f>IFERROR(__xludf.DUMMYFUNCTION("""COMPUTED_VALUE"""),64.0)</f>
        <v>64</v>
      </c>
      <c r="F11417" s="19" t="str">
        <f>IFERROR(__xludf.DUMMYFUNCTION("""COMPUTED_VALUE"""),"BLUE")</f>
        <v>BLUE</v>
      </c>
      <c r="G11417" s="20" t="str">
        <f>IFERROR(__xludf.DUMMYFUNCTION("""COMPUTED_VALUE"""),"Uncle Sams Cider (04/04/2023)")</f>
        <v>Uncle Sams Cider (04/04/2023)</v>
      </c>
      <c r="H11417" s="19"/>
    </row>
    <row r="11418">
      <c r="A11418" s="9"/>
      <c r="B11418" s="15"/>
      <c r="C11418" s="9">
        <f>IFERROR(__xludf.DUMMYFUNCTION("""COMPUTED_VALUE"""),45024.2370635763)</f>
        <v>45024.23706</v>
      </c>
      <c r="D11418" s="15">
        <f>IFERROR(__xludf.DUMMYFUNCTION("""COMPUTED_VALUE"""),1.089)</f>
        <v>1.089</v>
      </c>
      <c r="E11418" s="16">
        <f>IFERROR(__xludf.DUMMYFUNCTION("""COMPUTED_VALUE"""),64.0)</f>
        <v>64</v>
      </c>
      <c r="F11418" s="19" t="str">
        <f>IFERROR(__xludf.DUMMYFUNCTION("""COMPUTED_VALUE"""),"BLUE")</f>
        <v>BLUE</v>
      </c>
      <c r="G11418" s="20" t="str">
        <f>IFERROR(__xludf.DUMMYFUNCTION("""COMPUTED_VALUE"""),"Uncle Sams Cider (04/04/2023)")</f>
        <v>Uncle Sams Cider (04/04/2023)</v>
      </c>
      <c r="H11418" s="19"/>
    </row>
    <row r="11419">
      <c r="A11419" s="9"/>
      <c r="B11419" s="15"/>
      <c r="C11419" s="9">
        <f>IFERROR(__xludf.DUMMYFUNCTION("""COMPUTED_VALUE"""),45024.2266421527)</f>
        <v>45024.22664</v>
      </c>
      <c r="D11419" s="15">
        <f>IFERROR(__xludf.DUMMYFUNCTION("""COMPUTED_VALUE"""),1.089)</f>
        <v>1.089</v>
      </c>
      <c r="E11419" s="16">
        <f>IFERROR(__xludf.DUMMYFUNCTION("""COMPUTED_VALUE"""),64.0)</f>
        <v>64</v>
      </c>
      <c r="F11419" s="19" t="str">
        <f>IFERROR(__xludf.DUMMYFUNCTION("""COMPUTED_VALUE"""),"BLUE")</f>
        <v>BLUE</v>
      </c>
      <c r="G11419" s="20" t="str">
        <f>IFERROR(__xludf.DUMMYFUNCTION("""COMPUTED_VALUE"""),"Uncle Sams Cider (04/04/2023)")</f>
        <v>Uncle Sams Cider (04/04/2023)</v>
      </c>
      <c r="H11419" s="19"/>
    </row>
    <row r="11420">
      <c r="A11420" s="9"/>
      <c r="B11420" s="15"/>
      <c r="C11420" s="9">
        <f>IFERROR(__xludf.DUMMYFUNCTION("""COMPUTED_VALUE"""),45024.2162222338)</f>
        <v>45024.21622</v>
      </c>
      <c r="D11420" s="15">
        <f>IFERROR(__xludf.DUMMYFUNCTION("""COMPUTED_VALUE"""),1.09)</f>
        <v>1.09</v>
      </c>
      <c r="E11420" s="16">
        <f>IFERROR(__xludf.DUMMYFUNCTION("""COMPUTED_VALUE"""),64.0)</f>
        <v>64</v>
      </c>
      <c r="F11420" s="19" t="str">
        <f>IFERROR(__xludf.DUMMYFUNCTION("""COMPUTED_VALUE"""),"BLUE")</f>
        <v>BLUE</v>
      </c>
      <c r="G11420" s="20" t="str">
        <f>IFERROR(__xludf.DUMMYFUNCTION("""COMPUTED_VALUE"""),"Uncle Sams Cider (04/04/2023)")</f>
        <v>Uncle Sams Cider (04/04/2023)</v>
      </c>
      <c r="H11420" s="19"/>
    </row>
    <row r="11421">
      <c r="A11421" s="9"/>
      <c r="B11421" s="15"/>
      <c r="C11421" s="9">
        <f>IFERROR(__xludf.DUMMYFUNCTION("""COMPUTED_VALUE"""),45024.2057999652)</f>
        <v>45024.2058</v>
      </c>
      <c r="D11421" s="15">
        <f>IFERROR(__xludf.DUMMYFUNCTION("""COMPUTED_VALUE"""),1.089)</f>
        <v>1.089</v>
      </c>
      <c r="E11421" s="16">
        <f>IFERROR(__xludf.DUMMYFUNCTION("""COMPUTED_VALUE"""),64.0)</f>
        <v>64</v>
      </c>
      <c r="F11421" s="19" t="str">
        <f>IFERROR(__xludf.DUMMYFUNCTION("""COMPUTED_VALUE"""),"BLUE")</f>
        <v>BLUE</v>
      </c>
      <c r="G11421" s="20" t="str">
        <f>IFERROR(__xludf.DUMMYFUNCTION("""COMPUTED_VALUE"""),"Uncle Sams Cider (04/04/2023)")</f>
        <v>Uncle Sams Cider (04/04/2023)</v>
      </c>
      <c r="H11421" s="19"/>
    </row>
    <row r="11422">
      <c r="A11422" s="9"/>
      <c r="B11422" s="15"/>
      <c r="C11422" s="9">
        <f>IFERROR(__xludf.DUMMYFUNCTION("""COMPUTED_VALUE"""),45024.1953659722)</f>
        <v>45024.19537</v>
      </c>
      <c r="D11422" s="15">
        <f>IFERROR(__xludf.DUMMYFUNCTION("""COMPUTED_VALUE"""),1.089)</f>
        <v>1.089</v>
      </c>
      <c r="E11422" s="16">
        <f>IFERROR(__xludf.DUMMYFUNCTION("""COMPUTED_VALUE"""),64.0)</f>
        <v>64</v>
      </c>
      <c r="F11422" s="19" t="str">
        <f>IFERROR(__xludf.DUMMYFUNCTION("""COMPUTED_VALUE"""),"BLUE")</f>
        <v>BLUE</v>
      </c>
      <c r="G11422" s="20" t="str">
        <f>IFERROR(__xludf.DUMMYFUNCTION("""COMPUTED_VALUE"""),"Uncle Sams Cider (04/04/2023)")</f>
        <v>Uncle Sams Cider (04/04/2023)</v>
      </c>
      <c r="H11422" s="19"/>
    </row>
    <row r="11423">
      <c r="A11423" s="9"/>
      <c r="B11423" s="15"/>
      <c r="C11423" s="9">
        <f>IFERROR(__xludf.DUMMYFUNCTION("""COMPUTED_VALUE"""),45024.184945949)</f>
        <v>45024.18495</v>
      </c>
      <c r="D11423" s="15">
        <f>IFERROR(__xludf.DUMMYFUNCTION("""COMPUTED_VALUE"""),1.089)</f>
        <v>1.089</v>
      </c>
      <c r="E11423" s="16">
        <f>IFERROR(__xludf.DUMMYFUNCTION("""COMPUTED_VALUE"""),64.0)</f>
        <v>64</v>
      </c>
      <c r="F11423" s="19" t="str">
        <f>IFERROR(__xludf.DUMMYFUNCTION("""COMPUTED_VALUE"""),"BLUE")</f>
        <v>BLUE</v>
      </c>
      <c r="G11423" s="20" t="str">
        <f>IFERROR(__xludf.DUMMYFUNCTION("""COMPUTED_VALUE"""),"Uncle Sams Cider (04/04/2023)")</f>
        <v>Uncle Sams Cider (04/04/2023)</v>
      </c>
      <c r="H11423" s="19"/>
    </row>
    <row r="11424">
      <c r="A11424" s="9"/>
      <c r="B11424" s="15"/>
      <c r="C11424" s="9">
        <f>IFERROR(__xludf.DUMMYFUNCTION("""COMPUTED_VALUE"""),45024.1745146296)</f>
        <v>45024.17451</v>
      </c>
      <c r="D11424" s="15">
        <f>IFERROR(__xludf.DUMMYFUNCTION("""COMPUTED_VALUE"""),1.09)</f>
        <v>1.09</v>
      </c>
      <c r="E11424" s="16">
        <f>IFERROR(__xludf.DUMMYFUNCTION("""COMPUTED_VALUE"""),64.0)</f>
        <v>64</v>
      </c>
      <c r="F11424" s="19" t="str">
        <f>IFERROR(__xludf.DUMMYFUNCTION("""COMPUTED_VALUE"""),"BLUE")</f>
        <v>BLUE</v>
      </c>
      <c r="G11424" s="20" t="str">
        <f>IFERROR(__xludf.DUMMYFUNCTION("""COMPUTED_VALUE"""),"Uncle Sams Cider (04/04/2023)")</f>
        <v>Uncle Sams Cider (04/04/2023)</v>
      </c>
      <c r="H11424" s="19"/>
    </row>
    <row r="11425">
      <c r="A11425" s="9"/>
      <c r="B11425" s="15"/>
      <c r="C11425" s="9">
        <f>IFERROR(__xludf.DUMMYFUNCTION("""COMPUTED_VALUE"""),45024.1640702662)</f>
        <v>45024.16407</v>
      </c>
      <c r="D11425" s="15">
        <f>IFERROR(__xludf.DUMMYFUNCTION("""COMPUTED_VALUE"""),1.09)</f>
        <v>1.09</v>
      </c>
      <c r="E11425" s="16">
        <f>IFERROR(__xludf.DUMMYFUNCTION("""COMPUTED_VALUE"""),64.0)</f>
        <v>64</v>
      </c>
      <c r="F11425" s="19" t="str">
        <f>IFERROR(__xludf.DUMMYFUNCTION("""COMPUTED_VALUE"""),"BLUE")</f>
        <v>BLUE</v>
      </c>
      <c r="G11425" s="20" t="str">
        <f>IFERROR(__xludf.DUMMYFUNCTION("""COMPUTED_VALUE"""),"Uncle Sams Cider (04/04/2023)")</f>
        <v>Uncle Sams Cider (04/04/2023)</v>
      </c>
      <c r="H11425" s="19"/>
    </row>
    <row r="11426">
      <c r="A11426" s="9"/>
      <c r="B11426" s="15"/>
      <c r="C11426" s="9">
        <f>IFERROR(__xludf.DUMMYFUNCTION("""COMPUTED_VALUE"""),45024.1536501736)</f>
        <v>45024.15365</v>
      </c>
      <c r="D11426" s="15">
        <f>IFERROR(__xludf.DUMMYFUNCTION("""COMPUTED_VALUE"""),1.089)</f>
        <v>1.089</v>
      </c>
      <c r="E11426" s="16">
        <f>IFERROR(__xludf.DUMMYFUNCTION("""COMPUTED_VALUE"""),64.0)</f>
        <v>64</v>
      </c>
      <c r="F11426" s="19" t="str">
        <f>IFERROR(__xludf.DUMMYFUNCTION("""COMPUTED_VALUE"""),"BLUE")</f>
        <v>BLUE</v>
      </c>
      <c r="G11426" s="20" t="str">
        <f>IFERROR(__xludf.DUMMYFUNCTION("""COMPUTED_VALUE"""),"Uncle Sams Cider (04/04/2023)")</f>
        <v>Uncle Sams Cider (04/04/2023)</v>
      </c>
      <c r="H11426" s="19"/>
    </row>
    <row r="11427">
      <c r="A11427" s="9"/>
      <c r="B11427" s="15"/>
      <c r="C11427" s="9">
        <f>IFERROR(__xludf.DUMMYFUNCTION("""COMPUTED_VALUE"""),45024.1432298032)</f>
        <v>45024.14323</v>
      </c>
      <c r="D11427" s="15">
        <f>IFERROR(__xludf.DUMMYFUNCTION("""COMPUTED_VALUE"""),1.09)</f>
        <v>1.09</v>
      </c>
      <c r="E11427" s="16">
        <f>IFERROR(__xludf.DUMMYFUNCTION("""COMPUTED_VALUE"""),64.0)</f>
        <v>64</v>
      </c>
      <c r="F11427" s="19" t="str">
        <f>IFERROR(__xludf.DUMMYFUNCTION("""COMPUTED_VALUE"""),"BLUE")</f>
        <v>BLUE</v>
      </c>
      <c r="G11427" s="20" t="str">
        <f>IFERROR(__xludf.DUMMYFUNCTION("""COMPUTED_VALUE"""),"Uncle Sams Cider (04/04/2023)")</f>
        <v>Uncle Sams Cider (04/04/2023)</v>
      </c>
      <c r="H11427" s="19"/>
    </row>
    <row r="11428">
      <c r="A11428" s="9"/>
      <c r="B11428" s="15"/>
      <c r="C11428" s="9">
        <f>IFERROR(__xludf.DUMMYFUNCTION("""COMPUTED_VALUE"""),45024.1327510995)</f>
        <v>45024.13275</v>
      </c>
      <c r="D11428" s="15">
        <f>IFERROR(__xludf.DUMMYFUNCTION("""COMPUTED_VALUE"""),1.09)</f>
        <v>1.09</v>
      </c>
      <c r="E11428" s="16">
        <f>IFERROR(__xludf.DUMMYFUNCTION("""COMPUTED_VALUE"""),64.0)</f>
        <v>64</v>
      </c>
      <c r="F11428" s="19" t="str">
        <f>IFERROR(__xludf.DUMMYFUNCTION("""COMPUTED_VALUE"""),"BLUE")</f>
        <v>BLUE</v>
      </c>
      <c r="G11428" s="20" t="str">
        <f>IFERROR(__xludf.DUMMYFUNCTION("""COMPUTED_VALUE"""),"Uncle Sams Cider (04/04/2023)")</f>
        <v>Uncle Sams Cider (04/04/2023)</v>
      </c>
      <c r="H11428" s="19"/>
    </row>
    <row r="11429">
      <c r="A11429" s="9"/>
      <c r="B11429" s="15"/>
      <c r="C11429" s="9">
        <f>IFERROR(__xludf.DUMMYFUNCTION("""COMPUTED_VALUE"""),45024.1223309606)</f>
        <v>45024.12233</v>
      </c>
      <c r="D11429" s="15">
        <f>IFERROR(__xludf.DUMMYFUNCTION("""COMPUTED_VALUE"""),1.09)</f>
        <v>1.09</v>
      </c>
      <c r="E11429" s="16">
        <f>IFERROR(__xludf.DUMMYFUNCTION("""COMPUTED_VALUE"""),64.0)</f>
        <v>64</v>
      </c>
      <c r="F11429" s="19" t="str">
        <f>IFERROR(__xludf.DUMMYFUNCTION("""COMPUTED_VALUE"""),"BLUE")</f>
        <v>BLUE</v>
      </c>
      <c r="G11429" s="20" t="str">
        <f>IFERROR(__xludf.DUMMYFUNCTION("""COMPUTED_VALUE"""),"Uncle Sams Cider (04/04/2023)")</f>
        <v>Uncle Sams Cider (04/04/2023)</v>
      </c>
      <c r="H11429" s="19"/>
    </row>
    <row r="11430">
      <c r="A11430" s="9"/>
      <c r="B11430" s="15"/>
      <c r="C11430" s="9">
        <f>IFERROR(__xludf.DUMMYFUNCTION("""COMPUTED_VALUE"""),45024.1119083796)</f>
        <v>45024.11191</v>
      </c>
      <c r="D11430" s="15">
        <f>IFERROR(__xludf.DUMMYFUNCTION("""COMPUTED_VALUE"""),1.09)</f>
        <v>1.09</v>
      </c>
      <c r="E11430" s="16">
        <f>IFERROR(__xludf.DUMMYFUNCTION("""COMPUTED_VALUE"""),64.0)</f>
        <v>64</v>
      </c>
      <c r="F11430" s="19" t="str">
        <f>IFERROR(__xludf.DUMMYFUNCTION("""COMPUTED_VALUE"""),"BLUE")</f>
        <v>BLUE</v>
      </c>
      <c r="G11430" s="20" t="str">
        <f>IFERROR(__xludf.DUMMYFUNCTION("""COMPUTED_VALUE"""),"Uncle Sams Cider (04/04/2023)")</f>
        <v>Uncle Sams Cider (04/04/2023)</v>
      </c>
      <c r="H11430" s="19"/>
    </row>
    <row r="11431">
      <c r="A11431" s="9"/>
      <c r="B11431" s="15"/>
      <c r="C11431" s="9">
        <f>IFERROR(__xludf.DUMMYFUNCTION("""COMPUTED_VALUE"""),45024.1014868287)</f>
        <v>45024.10149</v>
      </c>
      <c r="D11431" s="15">
        <f>IFERROR(__xludf.DUMMYFUNCTION("""COMPUTED_VALUE"""),1.09)</f>
        <v>1.09</v>
      </c>
      <c r="E11431" s="16">
        <f>IFERROR(__xludf.DUMMYFUNCTION("""COMPUTED_VALUE"""),64.0)</f>
        <v>64</v>
      </c>
      <c r="F11431" s="19" t="str">
        <f>IFERROR(__xludf.DUMMYFUNCTION("""COMPUTED_VALUE"""),"BLUE")</f>
        <v>BLUE</v>
      </c>
      <c r="G11431" s="20" t="str">
        <f>IFERROR(__xludf.DUMMYFUNCTION("""COMPUTED_VALUE"""),"Uncle Sams Cider (04/04/2023)")</f>
        <v>Uncle Sams Cider (04/04/2023)</v>
      </c>
      <c r="H11431" s="19"/>
    </row>
    <row r="11432">
      <c r="A11432" s="9"/>
      <c r="B11432" s="15"/>
      <c r="C11432" s="9">
        <f>IFERROR(__xludf.DUMMYFUNCTION("""COMPUTED_VALUE"""),45024.0910655092)</f>
        <v>45024.09107</v>
      </c>
      <c r="D11432" s="15">
        <f>IFERROR(__xludf.DUMMYFUNCTION("""COMPUTED_VALUE"""),1.09)</f>
        <v>1.09</v>
      </c>
      <c r="E11432" s="16">
        <f>IFERROR(__xludf.DUMMYFUNCTION("""COMPUTED_VALUE"""),64.0)</f>
        <v>64</v>
      </c>
      <c r="F11432" s="19" t="str">
        <f>IFERROR(__xludf.DUMMYFUNCTION("""COMPUTED_VALUE"""),"BLUE")</f>
        <v>BLUE</v>
      </c>
      <c r="G11432" s="20" t="str">
        <f>IFERROR(__xludf.DUMMYFUNCTION("""COMPUTED_VALUE"""),"Uncle Sams Cider (04/04/2023)")</f>
        <v>Uncle Sams Cider (04/04/2023)</v>
      </c>
      <c r="H11432" s="19"/>
    </row>
    <row r="11433">
      <c r="A11433" s="9"/>
      <c r="B11433" s="15"/>
      <c r="C11433" s="9">
        <f>IFERROR(__xludf.DUMMYFUNCTION("""COMPUTED_VALUE"""),45024.0806425925)</f>
        <v>45024.08064</v>
      </c>
      <c r="D11433" s="15">
        <f>IFERROR(__xludf.DUMMYFUNCTION("""COMPUTED_VALUE"""),1.091)</f>
        <v>1.091</v>
      </c>
      <c r="E11433" s="16">
        <f>IFERROR(__xludf.DUMMYFUNCTION("""COMPUTED_VALUE"""),64.0)</f>
        <v>64</v>
      </c>
      <c r="F11433" s="19" t="str">
        <f>IFERROR(__xludf.DUMMYFUNCTION("""COMPUTED_VALUE"""),"BLUE")</f>
        <v>BLUE</v>
      </c>
      <c r="G11433" s="20" t="str">
        <f>IFERROR(__xludf.DUMMYFUNCTION("""COMPUTED_VALUE"""),"Uncle Sams Cider (04/04/2023)")</f>
        <v>Uncle Sams Cider (04/04/2023)</v>
      </c>
      <c r="H11433" s="19"/>
    </row>
    <row r="11434">
      <c r="A11434" s="9"/>
      <c r="B11434" s="15"/>
      <c r="C11434" s="9">
        <f>IFERROR(__xludf.DUMMYFUNCTION("""COMPUTED_VALUE"""),45024.0702202777)</f>
        <v>45024.07022</v>
      </c>
      <c r="D11434" s="15">
        <f>IFERROR(__xludf.DUMMYFUNCTION("""COMPUTED_VALUE"""),1.091)</f>
        <v>1.091</v>
      </c>
      <c r="E11434" s="16">
        <f>IFERROR(__xludf.DUMMYFUNCTION("""COMPUTED_VALUE"""),64.0)</f>
        <v>64</v>
      </c>
      <c r="F11434" s="19" t="str">
        <f>IFERROR(__xludf.DUMMYFUNCTION("""COMPUTED_VALUE"""),"BLUE")</f>
        <v>BLUE</v>
      </c>
      <c r="G11434" s="20" t="str">
        <f>IFERROR(__xludf.DUMMYFUNCTION("""COMPUTED_VALUE"""),"Uncle Sams Cider (04/04/2023)")</f>
        <v>Uncle Sams Cider (04/04/2023)</v>
      </c>
      <c r="H11434" s="19"/>
    </row>
    <row r="11435">
      <c r="A11435" s="9"/>
      <c r="B11435" s="15"/>
      <c r="C11435" s="9">
        <f>IFERROR(__xludf.DUMMYFUNCTION("""COMPUTED_VALUE"""),45024.0597773726)</f>
        <v>45024.05978</v>
      </c>
      <c r="D11435" s="15">
        <f>IFERROR(__xludf.DUMMYFUNCTION("""COMPUTED_VALUE"""),1.09)</f>
        <v>1.09</v>
      </c>
      <c r="E11435" s="16">
        <f>IFERROR(__xludf.DUMMYFUNCTION("""COMPUTED_VALUE"""),64.0)</f>
        <v>64</v>
      </c>
      <c r="F11435" s="19" t="str">
        <f>IFERROR(__xludf.DUMMYFUNCTION("""COMPUTED_VALUE"""),"BLUE")</f>
        <v>BLUE</v>
      </c>
      <c r="G11435" s="20" t="str">
        <f>IFERROR(__xludf.DUMMYFUNCTION("""COMPUTED_VALUE"""),"Uncle Sams Cider (04/04/2023)")</f>
        <v>Uncle Sams Cider (04/04/2023)</v>
      </c>
      <c r="H11435" s="19"/>
    </row>
    <row r="11436">
      <c r="A11436" s="9"/>
      <c r="B11436" s="15"/>
      <c r="C11436" s="9">
        <f>IFERROR(__xludf.DUMMYFUNCTION("""COMPUTED_VALUE"""),45024.0493565046)</f>
        <v>45024.04936</v>
      </c>
      <c r="D11436" s="15">
        <f>IFERROR(__xludf.DUMMYFUNCTION("""COMPUTED_VALUE"""),1.09)</f>
        <v>1.09</v>
      </c>
      <c r="E11436" s="16">
        <f>IFERROR(__xludf.DUMMYFUNCTION("""COMPUTED_VALUE"""),64.0)</f>
        <v>64</v>
      </c>
      <c r="F11436" s="19" t="str">
        <f>IFERROR(__xludf.DUMMYFUNCTION("""COMPUTED_VALUE"""),"BLUE")</f>
        <v>BLUE</v>
      </c>
      <c r="G11436" s="20" t="str">
        <f>IFERROR(__xludf.DUMMYFUNCTION("""COMPUTED_VALUE"""),"Uncle Sams Cider (04/04/2023)")</f>
        <v>Uncle Sams Cider (04/04/2023)</v>
      </c>
      <c r="H11436" s="19"/>
    </row>
    <row r="11437">
      <c r="A11437" s="9"/>
      <c r="B11437" s="15"/>
      <c r="C11437" s="9">
        <f>IFERROR(__xludf.DUMMYFUNCTION("""COMPUTED_VALUE"""),45024.0389365625)</f>
        <v>45024.03894</v>
      </c>
      <c r="D11437" s="15">
        <f>IFERROR(__xludf.DUMMYFUNCTION("""COMPUTED_VALUE"""),1.091)</f>
        <v>1.091</v>
      </c>
      <c r="E11437" s="16">
        <f>IFERROR(__xludf.DUMMYFUNCTION("""COMPUTED_VALUE"""),64.0)</f>
        <v>64</v>
      </c>
      <c r="F11437" s="19" t="str">
        <f>IFERROR(__xludf.DUMMYFUNCTION("""COMPUTED_VALUE"""),"BLUE")</f>
        <v>BLUE</v>
      </c>
      <c r="G11437" s="20" t="str">
        <f>IFERROR(__xludf.DUMMYFUNCTION("""COMPUTED_VALUE"""),"Uncle Sams Cider (04/04/2023)")</f>
        <v>Uncle Sams Cider (04/04/2023)</v>
      </c>
      <c r="H11437" s="19"/>
    </row>
    <row r="11438">
      <c r="A11438" s="9"/>
      <c r="B11438" s="15"/>
      <c r="C11438" s="9">
        <f>IFERROR(__xludf.DUMMYFUNCTION("""COMPUTED_VALUE"""),45024.0285150115)</f>
        <v>45024.02852</v>
      </c>
      <c r="D11438" s="15">
        <f>IFERROR(__xludf.DUMMYFUNCTION("""COMPUTED_VALUE"""),1.091)</f>
        <v>1.091</v>
      </c>
      <c r="E11438" s="16">
        <f>IFERROR(__xludf.DUMMYFUNCTION("""COMPUTED_VALUE"""),64.0)</f>
        <v>64</v>
      </c>
      <c r="F11438" s="19" t="str">
        <f>IFERROR(__xludf.DUMMYFUNCTION("""COMPUTED_VALUE"""),"BLUE")</f>
        <v>BLUE</v>
      </c>
      <c r="G11438" s="20" t="str">
        <f>IFERROR(__xludf.DUMMYFUNCTION("""COMPUTED_VALUE"""),"Uncle Sams Cider (04/04/2023)")</f>
        <v>Uncle Sams Cider (04/04/2023)</v>
      </c>
      <c r="H11438" s="19"/>
    </row>
    <row r="11439">
      <c r="A11439" s="9"/>
      <c r="B11439" s="15"/>
      <c r="C11439" s="9">
        <f>IFERROR(__xludf.DUMMYFUNCTION("""COMPUTED_VALUE"""),45024.0180924421)</f>
        <v>45024.01809</v>
      </c>
      <c r="D11439" s="15">
        <f>IFERROR(__xludf.DUMMYFUNCTION("""COMPUTED_VALUE"""),1.09)</f>
        <v>1.09</v>
      </c>
      <c r="E11439" s="16">
        <f>IFERROR(__xludf.DUMMYFUNCTION("""COMPUTED_VALUE"""),64.0)</f>
        <v>64</v>
      </c>
      <c r="F11439" s="19" t="str">
        <f>IFERROR(__xludf.DUMMYFUNCTION("""COMPUTED_VALUE"""),"BLUE")</f>
        <v>BLUE</v>
      </c>
      <c r="G11439" s="20" t="str">
        <f>IFERROR(__xludf.DUMMYFUNCTION("""COMPUTED_VALUE"""),"Uncle Sams Cider (04/04/2023)")</f>
        <v>Uncle Sams Cider (04/04/2023)</v>
      </c>
      <c r="H11439" s="19"/>
    </row>
    <row r="11440">
      <c r="A11440" s="9"/>
      <c r="B11440" s="15"/>
      <c r="C11440" s="9">
        <f>IFERROR(__xludf.DUMMYFUNCTION("""COMPUTED_VALUE"""),45024.0076703935)</f>
        <v>45024.00767</v>
      </c>
      <c r="D11440" s="15">
        <f>IFERROR(__xludf.DUMMYFUNCTION("""COMPUTED_VALUE"""),1.09)</f>
        <v>1.09</v>
      </c>
      <c r="E11440" s="16">
        <f>IFERROR(__xludf.DUMMYFUNCTION("""COMPUTED_VALUE"""),64.0)</f>
        <v>64</v>
      </c>
      <c r="F11440" s="19" t="str">
        <f>IFERROR(__xludf.DUMMYFUNCTION("""COMPUTED_VALUE"""),"BLUE")</f>
        <v>BLUE</v>
      </c>
      <c r="G11440" s="20" t="str">
        <f>IFERROR(__xludf.DUMMYFUNCTION("""COMPUTED_VALUE"""),"Uncle Sams Cider (04/04/2023)")</f>
        <v>Uncle Sams Cider (04/04/2023)</v>
      </c>
      <c r="H11440" s="19"/>
    </row>
    <row r="11441">
      <c r="A11441" s="9"/>
      <c r="B11441" s="15"/>
      <c r="C11441" s="9">
        <f>IFERROR(__xludf.DUMMYFUNCTION("""COMPUTED_VALUE"""),45023.9972385995)</f>
        <v>45023.99724</v>
      </c>
      <c r="D11441" s="15">
        <f>IFERROR(__xludf.DUMMYFUNCTION("""COMPUTED_VALUE"""),1.091)</f>
        <v>1.091</v>
      </c>
      <c r="E11441" s="16">
        <f>IFERROR(__xludf.DUMMYFUNCTION("""COMPUTED_VALUE"""),64.0)</f>
        <v>64</v>
      </c>
      <c r="F11441" s="19" t="str">
        <f>IFERROR(__xludf.DUMMYFUNCTION("""COMPUTED_VALUE"""),"BLUE")</f>
        <v>BLUE</v>
      </c>
      <c r="G11441" s="20" t="str">
        <f>IFERROR(__xludf.DUMMYFUNCTION("""COMPUTED_VALUE"""),"Uncle Sams Cider (04/04/2023)")</f>
        <v>Uncle Sams Cider (04/04/2023)</v>
      </c>
      <c r="H11441" s="19"/>
    </row>
    <row r="11442">
      <c r="A11442" s="9"/>
      <c r="B11442" s="15"/>
      <c r="C11442" s="9">
        <f>IFERROR(__xludf.DUMMYFUNCTION("""COMPUTED_VALUE"""),45023.9868060416)</f>
        <v>45023.98681</v>
      </c>
      <c r="D11442" s="15">
        <f>IFERROR(__xludf.DUMMYFUNCTION("""COMPUTED_VALUE"""),1.092)</f>
        <v>1.092</v>
      </c>
      <c r="E11442" s="16">
        <f>IFERROR(__xludf.DUMMYFUNCTION("""COMPUTED_VALUE"""),64.0)</f>
        <v>64</v>
      </c>
      <c r="F11442" s="19" t="str">
        <f>IFERROR(__xludf.DUMMYFUNCTION("""COMPUTED_VALUE"""),"BLUE")</f>
        <v>BLUE</v>
      </c>
      <c r="G11442" s="20" t="str">
        <f>IFERROR(__xludf.DUMMYFUNCTION("""COMPUTED_VALUE"""),"Uncle Sams Cider (04/04/2023)")</f>
        <v>Uncle Sams Cider (04/04/2023)</v>
      </c>
      <c r="H11442" s="19"/>
    </row>
    <row r="11443">
      <c r="A11443" s="9"/>
      <c r="B11443" s="15"/>
      <c r="C11443" s="9">
        <f>IFERROR(__xludf.DUMMYFUNCTION("""COMPUTED_VALUE"""),45023.9763861574)</f>
        <v>45023.97639</v>
      </c>
      <c r="D11443" s="15">
        <f>IFERROR(__xludf.DUMMYFUNCTION("""COMPUTED_VALUE"""),1.091)</f>
        <v>1.091</v>
      </c>
      <c r="E11443" s="16">
        <f>IFERROR(__xludf.DUMMYFUNCTION("""COMPUTED_VALUE"""),64.0)</f>
        <v>64</v>
      </c>
      <c r="F11443" s="19" t="str">
        <f>IFERROR(__xludf.DUMMYFUNCTION("""COMPUTED_VALUE"""),"BLUE")</f>
        <v>BLUE</v>
      </c>
      <c r="G11443" s="20" t="str">
        <f>IFERROR(__xludf.DUMMYFUNCTION("""COMPUTED_VALUE"""),"Uncle Sams Cider (04/04/2023)")</f>
        <v>Uncle Sams Cider (04/04/2023)</v>
      </c>
      <c r="H11443" s="19"/>
    </row>
    <row r="11444">
      <c r="A11444" s="9"/>
      <c r="B11444" s="15"/>
      <c r="C11444" s="9">
        <f>IFERROR(__xludf.DUMMYFUNCTION("""COMPUTED_VALUE"""),45023.9659647916)</f>
        <v>45023.96596</v>
      </c>
      <c r="D11444" s="15">
        <f>IFERROR(__xludf.DUMMYFUNCTION("""COMPUTED_VALUE"""),1.091)</f>
        <v>1.091</v>
      </c>
      <c r="E11444" s="16">
        <f>IFERROR(__xludf.DUMMYFUNCTION("""COMPUTED_VALUE"""),64.0)</f>
        <v>64</v>
      </c>
      <c r="F11444" s="19" t="str">
        <f>IFERROR(__xludf.DUMMYFUNCTION("""COMPUTED_VALUE"""),"BLUE")</f>
        <v>BLUE</v>
      </c>
      <c r="G11444" s="20" t="str">
        <f>IFERROR(__xludf.DUMMYFUNCTION("""COMPUTED_VALUE"""),"Uncle Sams Cider (04/04/2023)")</f>
        <v>Uncle Sams Cider (04/04/2023)</v>
      </c>
      <c r="H11444" s="19"/>
    </row>
    <row r="11445">
      <c r="A11445" s="9"/>
      <c r="B11445" s="15"/>
      <c r="C11445" s="9">
        <f>IFERROR(__xludf.DUMMYFUNCTION("""COMPUTED_VALUE"""),45023.9555315625)</f>
        <v>45023.95553</v>
      </c>
      <c r="D11445" s="15">
        <f>IFERROR(__xludf.DUMMYFUNCTION("""COMPUTED_VALUE"""),1.091)</f>
        <v>1.091</v>
      </c>
      <c r="E11445" s="16">
        <f>IFERROR(__xludf.DUMMYFUNCTION("""COMPUTED_VALUE"""),64.0)</f>
        <v>64</v>
      </c>
      <c r="F11445" s="19" t="str">
        <f>IFERROR(__xludf.DUMMYFUNCTION("""COMPUTED_VALUE"""),"BLUE")</f>
        <v>BLUE</v>
      </c>
      <c r="G11445" s="20" t="str">
        <f>IFERROR(__xludf.DUMMYFUNCTION("""COMPUTED_VALUE"""),"Uncle Sams Cider (04/04/2023)")</f>
        <v>Uncle Sams Cider (04/04/2023)</v>
      </c>
      <c r="H11445" s="19"/>
    </row>
    <row r="11446">
      <c r="A11446" s="9"/>
      <c r="B11446" s="15"/>
      <c r="C11446" s="9">
        <f>IFERROR(__xludf.DUMMYFUNCTION("""COMPUTED_VALUE"""),45023.9451095486)</f>
        <v>45023.94511</v>
      </c>
      <c r="D11446" s="15">
        <f>IFERROR(__xludf.DUMMYFUNCTION("""COMPUTED_VALUE"""),1.092)</f>
        <v>1.092</v>
      </c>
      <c r="E11446" s="16">
        <f>IFERROR(__xludf.DUMMYFUNCTION("""COMPUTED_VALUE"""),64.0)</f>
        <v>64</v>
      </c>
      <c r="F11446" s="19" t="str">
        <f>IFERROR(__xludf.DUMMYFUNCTION("""COMPUTED_VALUE"""),"BLUE")</f>
        <v>BLUE</v>
      </c>
      <c r="G11446" s="20" t="str">
        <f>IFERROR(__xludf.DUMMYFUNCTION("""COMPUTED_VALUE"""),"Uncle Sams Cider (04/04/2023)")</f>
        <v>Uncle Sams Cider (04/04/2023)</v>
      </c>
      <c r="H11446" s="19"/>
    </row>
    <row r="11447">
      <c r="A11447" s="9"/>
      <c r="B11447" s="15"/>
      <c r="C11447" s="9">
        <f>IFERROR(__xludf.DUMMYFUNCTION("""COMPUTED_VALUE"""),45023.934687743)</f>
        <v>45023.93469</v>
      </c>
      <c r="D11447" s="15">
        <f>IFERROR(__xludf.DUMMYFUNCTION("""COMPUTED_VALUE"""),1.092)</f>
        <v>1.092</v>
      </c>
      <c r="E11447" s="16">
        <f>IFERROR(__xludf.DUMMYFUNCTION("""COMPUTED_VALUE"""),64.0)</f>
        <v>64</v>
      </c>
      <c r="F11447" s="19" t="str">
        <f>IFERROR(__xludf.DUMMYFUNCTION("""COMPUTED_VALUE"""),"BLUE")</f>
        <v>BLUE</v>
      </c>
      <c r="G11447" s="20" t="str">
        <f>IFERROR(__xludf.DUMMYFUNCTION("""COMPUTED_VALUE"""),"Uncle Sams Cider (04/04/2023)")</f>
        <v>Uncle Sams Cider (04/04/2023)</v>
      </c>
      <c r="H11447" s="19"/>
    </row>
    <row r="11448">
      <c r="A11448" s="9"/>
      <c r="B11448" s="15"/>
      <c r="C11448" s="9">
        <f>IFERROR(__xludf.DUMMYFUNCTION("""COMPUTED_VALUE"""),45023.9242676504)</f>
        <v>45023.92427</v>
      </c>
      <c r="D11448" s="15">
        <f>IFERROR(__xludf.DUMMYFUNCTION("""COMPUTED_VALUE"""),1.091)</f>
        <v>1.091</v>
      </c>
      <c r="E11448" s="16">
        <f>IFERROR(__xludf.DUMMYFUNCTION("""COMPUTED_VALUE"""),64.0)</f>
        <v>64</v>
      </c>
      <c r="F11448" s="19" t="str">
        <f>IFERROR(__xludf.DUMMYFUNCTION("""COMPUTED_VALUE"""),"BLUE")</f>
        <v>BLUE</v>
      </c>
      <c r="G11448" s="20" t="str">
        <f>IFERROR(__xludf.DUMMYFUNCTION("""COMPUTED_VALUE"""),"Uncle Sams Cider (04/04/2023)")</f>
        <v>Uncle Sams Cider (04/04/2023)</v>
      </c>
      <c r="H11448" s="19"/>
    </row>
    <row r="11449">
      <c r="A11449" s="9"/>
      <c r="B11449" s="15"/>
      <c r="C11449" s="9">
        <f>IFERROR(__xludf.DUMMYFUNCTION("""COMPUTED_VALUE"""),45023.9138356134)</f>
        <v>45023.91384</v>
      </c>
      <c r="D11449" s="15">
        <f>IFERROR(__xludf.DUMMYFUNCTION("""COMPUTED_VALUE"""),1.091)</f>
        <v>1.091</v>
      </c>
      <c r="E11449" s="16">
        <f>IFERROR(__xludf.DUMMYFUNCTION("""COMPUTED_VALUE"""),64.0)</f>
        <v>64</v>
      </c>
      <c r="F11449" s="19" t="str">
        <f>IFERROR(__xludf.DUMMYFUNCTION("""COMPUTED_VALUE"""),"BLUE")</f>
        <v>BLUE</v>
      </c>
      <c r="G11449" s="20" t="str">
        <f>IFERROR(__xludf.DUMMYFUNCTION("""COMPUTED_VALUE"""),"Uncle Sams Cider (04/04/2023)")</f>
        <v>Uncle Sams Cider (04/04/2023)</v>
      </c>
      <c r="H11449" s="19"/>
    </row>
    <row r="11450">
      <c r="A11450" s="9"/>
      <c r="B11450" s="15"/>
      <c r="C11450" s="9">
        <f>IFERROR(__xludf.DUMMYFUNCTION("""COMPUTED_VALUE"""),45023.9034037268)</f>
        <v>45023.9034</v>
      </c>
      <c r="D11450" s="15">
        <f>IFERROR(__xludf.DUMMYFUNCTION("""COMPUTED_VALUE"""),1.092)</f>
        <v>1.092</v>
      </c>
      <c r="E11450" s="16">
        <f>IFERROR(__xludf.DUMMYFUNCTION("""COMPUTED_VALUE"""),64.0)</f>
        <v>64</v>
      </c>
      <c r="F11450" s="19" t="str">
        <f>IFERROR(__xludf.DUMMYFUNCTION("""COMPUTED_VALUE"""),"BLUE")</f>
        <v>BLUE</v>
      </c>
      <c r="G11450" s="20" t="str">
        <f>IFERROR(__xludf.DUMMYFUNCTION("""COMPUTED_VALUE"""),"Uncle Sams Cider (04/04/2023)")</f>
        <v>Uncle Sams Cider (04/04/2023)</v>
      </c>
      <c r="H11450" s="19"/>
    </row>
    <row r="11451">
      <c r="A11451" s="9"/>
      <c r="B11451" s="15"/>
      <c r="C11451" s="9">
        <f>IFERROR(__xludf.DUMMYFUNCTION("""COMPUTED_VALUE"""),45023.89298353)</f>
        <v>45023.89298</v>
      </c>
      <c r="D11451" s="15">
        <f>IFERROR(__xludf.DUMMYFUNCTION("""COMPUTED_VALUE"""),1.092)</f>
        <v>1.092</v>
      </c>
      <c r="E11451" s="16">
        <f>IFERROR(__xludf.DUMMYFUNCTION("""COMPUTED_VALUE"""),64.0)</f>
        <v>64</v>
      </c>
      <c r="F11451" s="19" t="str">
        <f>IFERROR(__xludf.DUMMYFUNCTION("""COMPUTED_VALUE"""),"BLUE")</f>
        <v>BLUE</v>
      </c>
      <c r="G11451" s="20" t="str">
        <f>IFERROR(__xludf.DUMMYFUNCTION("""COMPUTED_VALUE"""),"Uncle Sams Cider (04/04/2023)")</f>
        <v>Uncle Sams Cider (04/04/2023)</v>
      </c>
      <c r="H11451" s="19"/>
    </row>
    <row r="11452">
      <c r="A11452" s="9"/>
      <c r="B11452" s="15"/>
      <c r="C11452" s="9">
        <f>IFERROR(__xludf.DUMMYFUNCTION("""COMPUTED_VALUE"""),45023.8825627777)</f>
        <v>45023.88256</v>
      </c>
      <c r="D11452" s="15">
        <f>IFERROR(__xludf.DUMMYFUNCTION("""COMPUTED_VALUE"""),1.092)</f>
        <v>1.092</v>
      </c>
      <c r="E11452" s="16">
        <f>IFERROR(__xludf.DUMMYFUNCTION("""COMPUTED_VALUE"""),65.0)</f>
        <v>65</v>
      </c>
      <c r="F11452" s="19" t="str">
        <f>IFERROR(__xludf.DUMMYFUNCTION("""COMPUTED_VALUE"""),"BLUE")</f>
        <v>BLUE</v>
      </c>
      <c r="G11452" s="20" t="str">
        <f>IFERROR(__xludf.DUMMYFUNCTION("""COMPUTED_VALUE"""),"Uncle Sams Cider (04/04/2023)")</f>
        <v>Uncle Sams Cider (04/04/2023)</v>
      </c>
      <c r="H11452" s="19"/>
    </row>
    <row r="11453">
      <c r="A11453" s="9"/>
      <c r="B11453" s="15"/>
      <c r="C11453" s="9">
        <f>IFERROR(__xludf.DUMMYFUNCTION("""COMPUTED_VALUE"""),45023.8721413888)</f>
        <v>45023.87214</v>
      </c>
      <c r="D11453" s="15">
        <f>IFERROR(__xludf.DUMMYFUNCTION("""COMPUTED_VALUE"""),1.092)</f>
        <v>1.092</v>
      </c>
      <c r="E11453" s="16">
        <f>IFERROR(__xludf.DUMMYFUNCTION("""COMPUTED_VALUE"""),64.0)</f>
        <v>64</v>
      </c>
      <c r="F11453" s="19" t="str">
        <f>IFERROR(__xludf.DUMMYFUNCTION("""COMPUTED_VALUE"""),"BLUE")</f>
        <v>BLUE</v>
      </c>
      <c r="G11453" s="20" t="str">
        <f>IFERROR(__xludf.DUMMYFUNCTION("""COMPUTED_VALUE"""),"Uncle Sams Cider (04/04/2023)")</f>
        <v>Uncle Sams Cider (04/04/2023)</v>
      </c>
      <c r="H11453" s="19"/>
    </row>
    <row r="11454">
      <c r="A11454" s="9"/>
      <c r="B11454" s="15"/>
      <c r="C11454" s="9">
        <f>IFERROR(__xludf.DUMMYFUNCTION("""COMPUTED_VALUE"""),45023.8617183449)</f>
        <v>45023.86172</v>
      </c>
      <c r="D11454" s="15">
        <f>IFERROR(__xludf.DUMMYFUNCTION("""COMPUTED_VALUE"""),1.092)</f>
        <v>1.092</v>
      </c>
      <c r="E11454" s="16">
        <f>IFERROR(__xludf.DUMMYFUNCTION("""COMPUTED_VALUE"""),65.0)</f>
        <v>65</v>
      </c>
      <c r="F11454" s="19" t="str">
        <f>IFERROR(__xludf.DUMMYFUNCTION("""COMPUTED_VALUE"""),"BLUE")</f>
        <v>BLUE</v>
      </c>
      <c r="G11454" s="20" t="str">
        <f>IFERROR(__xludf.DUMMYFUNCTION("""COMPUTED_VALUE"""),"Uncle Sams Cider (04/04/2023)")</f>
        <v>Uncle Sams Cider (04/04/2023)</v>
      </c>
      <c r="H11454" s="19"/>
    </row>
    <row r="11455">
      <c r="A11455" s="9"/>
      <c r="B11455" s="15"/>
      <c r="C11455" s="9">
        <f>IFERROR(__xludf.DUMMYFUNCTION("""COMPUTED_VALUE"""),45023.8512951967)</f>
        <v>45023.8513</v>
      </c>
      <c r="D11455" s="15">
        <f>IFERROR(__xludf.DUMMYFUNCTION("""COMPUTED_VALUE"""),1.091)</f>
        <v>1.091</v>
      </c>
      <c r="E11455" s="16">
        <f>IFERROR(__xludf.DUMMYFUNCTION("""COMPUTED_VALUE"""),65.0)</f>
        <v>65</v>
      </c>
      <c r="F11455" s="19" t="str">
        <f>IFERROR(__xludf.DUMMYFUNCTION("""COMPUTED_VALUE"""),"BLUE")</f>
        <v>BLUE</v>
      </c>
      <c r="G11455" s="20" t="str">
        <f>IFERROR(__xludf.DUMMYFUNCTION("""COMPUTED_VALUE"""),"Uncle Sams Cider (04/04/2023)")</f>
        <v>Uncle Sams Cider (04/04/2023)</v>
      </c>
      <c r="H11455" s="19"/>
    </row>
    <row r="11456">
      <c r="A11456" s="9"/>
      <c r="B11456" s="15"/>
      <c r="C11456" s="9">
        <f>IFERROR(__xludf.DUMMYFUNCTION("""COMPUTED_VALUE"""),45023.8408744097)</f>
        <v>45023.84087</v>
      </c>
      <c r="D11456" s="15">
        <f>IFERROR(__xludf.DUMMYFUNCTION("""COMPUTED_VALUE"""),1.092)</f>
        <v>1.092</v>
      </c>
      <c r="E11456" s="16">
        <f>IFERROR(__xludf.DUMMYFUNCTION("""COMPUTED_VALUE"""),64.0)</f>
        <v>64</v>
      </c>
      <c r="F11456" s="19" t="str">
        <f>IFERROR(__xludf.DUMMYFUNCTION("""COMPUTED_VALUE"""),"BLUE")</f>
        <v>BLUE</v>
      </c>
      <c r="G11456" s="20" t="str">
        <f>IFERROR(__xludf.DUMMYFUNCTION("""COMPUTED_VALUE"""),"Uncle Sams Cider (04/04/2023)")</f>
        <v>Uncle Sams Cider (04/04/2023)</v>
      </c>
      <c r="H11456" s="19"/>
    </row>
    <row r="11457">
      <c r="A11457" s="9"/>
      <c r="B11457" s="15"/>
      <c r="C11457" s="9">
        <f>IFERROR(__xludf.DUMMYFUNCTION("""COMPUTED_VALUE"""),45023.8304518287)</f>
        <v>45023.83045</v>
      </c>
      <c r="D11457" s="15">
        <f>IFERROR(__xludf.DUMMYFUNCTION("""COMPUTED_VALUE"""),1.093)</f>
        <v>1.093</v>
      </c>
      <c r="E11457" s="16">
        <f>IFERROR(__xludf.DUMMYFUNCTION("""COMPUTED_VALUE"""),65.0)</f>
        <v>65</v>
      </c>
      <c r="F11457" s="19" t="str">
        <f>IFERROR(__xludf.DUMMYFUNCTION("""COMPUTED_VALUE"""),"BLUE")</f>
        <v>BLUE</v>
      </c>
      <c r="G11457" s="20" t="str">
        <f>IFERROR(__xludf.DUMMYFUNCTION("""COMPUTED_VALUE"""),"Uncle Sams Cider (04/04/2023)")</f>
        <v>Uncle Sams Cider (04/04/2023)</v>
      </c>
      <c r="H11457" s="19"/>
    </row>
    <row r="11458">
      <c r="A11458" s="9"/>
      <c r="B11458" s="15"/>
      <c r="C11458" s="9">
        <f>IFERROR(__xludf.DUMMYFUNCTION("""COMPUTED_VALUE"""),45023.8200294328)</f>
        <v>45023.82003</v>
      </c>
      <c r="D11458" s="15">
        <f>IFERROR(__xludf.DUMMYFUNCTION("""COMPUTED_VALUE"""),1.092)</f>
        <v>1.092</v>
      </c>
      <c r="E11458" s="16">
        <f>IFERROR(__xludf.DUMMYFUNCTION("""COMPUTED_VALUE"""),65.0)</f>
        <v>65</v>
      </c>
      <c r="F11458" s="19" t="str">
        <f>IFERROR(__xludf.DUMMYFUNCTION("""COMPUTED_VALUE"""),"BLUE")</f>
        <v>BLUE</v>
      </c>
      <c r="G11458" s="20" t="str">
        <f>IFERROR(__xludf.DUMMYFUNCTION("""COMPUTED_VALUE"""),"Uncle Sams Cider (04/04/2023)")</f>
        <v>Uncle Sams Cider (04/04/2023)</v>
      </c>
      <c r="H11458" s="19"/>
    </row>
    <row r="11459">
      <c r="A11459" s="9"/>
      <c r="B11459" s="15"/>
      <c r="C11459" s="9">
        <f>IFERROR(__xludf.DUMMYFUNCTION("""COMPUTED_VALUE"""),45023.8095977083)</f>
        <v>45023.8096</v>
      </c>
      <c r="D11459" s="15">
        <f>IFERROR(__xludf.DUMMYFUNCTION("""COMPUTED_VALUE"""),1.092)</f>
        <v>1.092</v>
      </c>
      <c r="E11459" s="16">
        <f>IFERROR(__xludf.DUMMYFUNCTION("""COMPUTED_VALUE"""),65.0)</f>
        <v>65</v>
      </c>
      <c r="F11459" s="19" t="str">
        <f>IFERROR(__xludf.DUMMYFUNCTION("""COMPUTED_VALUE"""),"BLUE")</f>
        <v>BLUE</v>
      </c>
      <c r="G11459" s="20" t="str">
        <f>IFERROR(__xludf.DUMMYFUNCTION("""COMPUTED_VALUE"""),"Uncle Sams Cider (04/04/2023)")</f>
        <v>Uncle Sams Cider (04/04/2023)</v>
      </c>
      <c r="H11459" s="19"/>
    </row>
    <row r="11460">
      <c r="A11460" s="9"/>
      <c r="B11460" s="15"/>
      <c r="C11460" s="9">
        <f>IFERROR(__xludf.DUMMYFUNCTION("""COMPUTED_VALUE"""),45023.7991760301)</f>
        <v>45023.79918</v>
      </c>
      <c r="D11460" s="15">
        <f>IFERROR(__xludf.DUMMYFUNCTION("""COMPUTED_VALUE"""),1.093)</f>
        <v>1.093</v>
      </c>
      <c r="E11460" s="16">
        <f>IFERROR(__xludf.DUMMYFUNCTION("""COMPUTED_VALUE"""),65.0)</f>
        <v>65</v>
      </c>
      <c r="F11460" s="19" t="str">
        <f>IFERROR(__xludf.DUMMYFUNCTION("""COMPUTED_VALUE"""),"BLUE")</f>
        <v>BLUE</v>
      </c>
      <c r="G11460" s="20" t="str">
        <f>IFERROR(__xludf.DUMMYFUNCTION("""COMPUTED_VALUE"""),"Uncle Sams Cider (04/04/2023)")</f>
        <v>Uncle Sams Cider (04/04/2023)</v>
      </c>
      <c r="H11460" s="19"/>
    </row>
    <row r="11461">
      <c r="A11461" s="9"/>
      <c r="B11461" s="15"/>
      <c r="C11461" s="9">
        <f>IFERROR(__xludf.DUMMYFUNCTION("""COMPUTED_VALUE"""),45023.788754375)</f>
        <v>45023.78875</v>
      </c>
      <c r="D11461" s="15">
        <f>IFERROR(__xludf.DUMMYFUNCTION("""COMPUTED_VALUE"""),1.093)</f>
        <v>1.093</v>
      </c>
      <c r="E11461" s="16">
        <f>IFERROR(__xludf.DUMMYFUNCTION("""COMPUTED_VALUE"""),65.0)</f>
        <v>65</v>
      </c>
      <c r="F11461" s="19" t="str">
        <f>IFERROR(__xludf.DUMMYFUNCTION("""COMPUTED_VALUE"""),"BLUE")</f>
        <v>BLUE</v>
      </c>
      <c r="G11461" s="20" t="str">
        <f>IFERROR(__xludf.DUMMYFUNCTION("""COMPUTED_VALUE"""),"Uncle Sams Cider (04/04/2023)")</f>
        <v>Uncle Sams Cider (04/04/2023)</v>
      </c>
      <c r="H11461" s="19"/>
    </row>
    <row r="11462">
      <c r="A11462" s="9"/>
      <c r="B11462" s="15"/>
      <c r="C11462" s="9">
        <f>IFERROR(__xludf.DUMMYFUNCTION("""COMPUTED_VALUE"""),45023.7783333912)</f>
        <v>45023.77833</v>
      </c>
      <c r="D11462" s="15">
        <f>IFERROR(__xludf.DUMMYFUNCTION("""COMPUTED_VALUE"""),1.093)</f>
        <v>1.093</v>
      </c>
      <c r="E11462" s="16">
        <f>IFERROR(__xludf.DUMMYFUNCTION("""COMPUTED_VALUE"""),65.0)</f>
        <v>65</v>
      </c>
      <c r="F11462" s="19" t="str">
        <f>IFERROR(__xludf.DUMMYFUNCTION("""COMPUTED_VALUE"""),"BLUE")</f>
        <v>BLUE</v>
      </c>
      <c r="G11462" s="20" t="str">
        <f>IFERROR(__xludf.DUMMYFUNCTION("""COMPUTED_VALUE"""),"Uncle Sams Cider (04/04/2023)")</f>
        <v>Uncle Sams Cider (04/04/2023)</v>
      </c>
      <c r="H11462" s="19"/>
    </row>
    <row r="11463">
      <c r="A11463" s="9"/>
      <c r="B11463" s="15"/>
      <c r="C11463" s="9">
        <f>IFERROR(__xludf.DUMMYFUNCTION("""COMPUTED_VALUE"""),45023.7679116088)</f>
        <v>45023.76791</v>
      </c>
      <c r="D11463" s="15">
        <f>IFERROR(__xludf.DUMMYFUNCTION("""COMPUTED_VALUE"""),1.092)</f>
        <v>1.092</v>
      </c>
      <c r="E11463" s="16">
        <f>IFERROR(__xludf.DUMMYFUNCTION("""COMPUTED_VALUE"""),65.0)</f>
        <v>65</v>
      </c>
      <c r="F11463" s="19" t="str">
        <f>IFERROR(__xludf.DUMMYFUNCTION("""COMPUTED_VALUE"""),"BLUE")</f>
        <v>BLUE</v>
      </c>
      <c r="G11463" s="20" t="str">
        <f>IFERROR(__xludf.DUMMYFUNCTION("""COMPUTED_VALUE"""),"Uncle Sams Cider (04/04/2023)")</f>
        <v>Uncle Sams Cider (04/04/2023)</v>
      </c>
      <c r="H11463" s="19"/>
    </row>
    <row r="11464">
      <c r="A11464" s="9"/>
      <c r="B11464" s="15"/>
      <c r="C11464" s="9">
        <f>IFERROR(__xludf.DUMMYFUNCTION("""COMPUTED_VALUE"""),45023.7574896412)</f>
        <v>45023.75749</v>
      </c>
      <c r="D11464" s="15">
        <f>IFERROR(__xludf.DUMMYFUNCTION("""COMPUTED_VALUE"""),1.093)</f>
        <v>1.093</v>
      </c>
      <c r="E11464" s="16">
        <f>IFERROR(__xludf.DUMMYFUNCTION("""COMPUTED_VALUE"""),65.0)</f>
        <v>65</v>
      </c>
      <c r="F11464" s="19" t="str">
        <f>IFERROR(__xludf.DUMMYFUNCTION("""COMPUTED_VALUE"""),"BLUE")</f>
        <v>BLUE</v>
      </c>
      <c r="G11464" s="20" t="str">
        <f>IFERROR(__xludf.DUMMYFUNCTION("""COMPUTED_VALUE"""),"Uncle Sams Cider (04/04/2023)")</f>
        <v>Uncle Sams Cider (04/04/2023)</v>
      </c>
      <c r="H11464" s="19"/>
    </row>
    <row r="11465">
      <c r="A11465" s="9"/>
      <c r="B11465" s="15"/>
      <c r="C11465" s="9">
        <f>IFERROR(__xludf.DUMMYFUNCTION("""COMPUTED_VALUE"""),45023.7470679861)</f>
        <v>45023.74707</v>
      </c>
      <c r="D11465" s="15">
        <f>IFERROR(__xludf.DUMMYFUNCTION("""COMPUTED_VALUE"""),1.093)</f>
        <v>1.093</v>
      </c>
      <c r="E11465" s="16">
        <f>IFERROR(__xludf.DUMMYFUNCTION("""COMPUTED_VALUE"""),65.0)</f>
        <v>65</v>
      </c>
      <c r="F11465" s="19" t="str">
        <f>IFERROR(__xludf.DUMMYFUNCTION("""COMPUTED_VALUE"""),"BLUE")</f>
        <v>BLUE</v>
      </c>
      <c r="G11465" s="20" t="str">
        <f>IFERROR(__xludf.DUMMYFUNCTION("""COMPUTED_VALUE"""),"Uncle Sams Cider (04/04/2023)")</f>
        <v>Uncle Sams Cider (04/04/2023)</v>
      </c>
      <c r="H11465" s="19"/>
    </row>
    <row r="11466">
      <c r="A11466" s="9"/>
      <c r="B11466" s="15"/>
      <c r="C11466" s="9">
        <f>IFERROR(__xludf.DUMMYFUNCTION("""COMPUTED_VALUE"""),45023.7366461111)</f>
        <v>45023.73665</v>
      </c>
      <c r="D11466" s="15">
        <f>IFERROR(__xludf.DUMMYFUNCTION("""COMPUTED_VALUE"""),1.093)</f>
        <v>1.093</v>
      </c>
      <c r="E11466" s="16">
        <f>IFERROR(__xludf.DUMMYFUNCTION("""COMPUTED_VALUE"""),65.0)</f>
        <v>65</v>
      </c>
      <c r="F11466" s="19" t="str">
        <f>IFERROR(__xludf.DUMMYFUNCTION("""COMPUTED_VALUE"""),"BLUE")</f>
        <v>BLUE</v>
      </c>
      <c r="G11466" s="20" t="str">
        <f>IFERROR(__xludf.DUMMYFUNCTION("""COMPUTED_VALUE"""),"Uncle Sams Cider (04/04/2023)")</f>
        <v>Uncle Sams Cider (04/04/2023)</v>
      </c>
      <c r="H11466" s="19"/>
    </row>
    <row r="11467">
      <c r="A11467" s="9"/>
      <c r="B11467" s="15"/>
      <c r="C11467" s="9">
        <f>IFERROR(__xludf.DUMMYFUNCTION("""COMPUTED_VALUE"""),45023.7262253588)</f>
        <v>45023.72623</v>
      </c>
      <c r="D11467" s="15">
        <f>IFERROR(__xludf.DUMMYFUNCTION("""COMPUTED_VALUE"""),1.092)</f>
        <v>1.092</v>
      </c>
      <c r="E11467" s="16">
        <f>IFERROR(__xludf.DUMMYFUNCTION("""COMPUTED_VALUE"""),65.0)</f>
        <v>65</v>
      </c>
      <c r="F11467" s="19" t="str">
        <f>IFERROR(__xludf.DUMMYFUNCTION("""COMPUTED_VALUE"""),"BLUE")</f>
        <v>BLUE</v>
      </c>
      <c r="G11467" s="20" t="str">
        <f>IFERROR(__xludf.DUMMYFUNCTION("""COMPUTED_VALUE"""),"Uncle Sams Cider (04/04/2023)")</f>
        <v>Uncle Sams Cider (04/04/2023)</v>
      </c>
      <c r="H11467" s="19"/>
    </row>
    <row r="11468">
      <c r="A11468" s="9"/>
      <c r="B11468" s="15"/>
      <c r="C11468" s="9">
        <f>IFERROR(__xludf.DUMMYFUNCTION("""COMPUTED_VALUE"""),45023.7158054629)</f>
        <v>45023.71581</v>
      </c>
      <c r="D11468" s="15">
        <f>IFERROR(__xludf.DUMMYFUNCTION("""COMPUTED_VALUE"""),1.093)</f>
        <v>1.093</v>
      </c>
      <c r="E11468" s="16">
        <f>IFERROR(__xludf.DUMMYFUNCTION("""COMPUTED_VALUE"""),65.0)</f>
        <v>65</v>
      </c>
      <c r="F11468" s="19" t="str">
        <f>IFERROR(__xludf.DUMMYFUNCTION("""COMPUTED_VALUE"""),"BLUE")</f>
        <v>BLUE</v>
      </c>
      <c r="G11468" s="20" t="str">
        <f>IFERROR(__xludf.DUMMYFUNCTION("""COMPUTED_VALUE"""),"Uncle Sams Cider (04/04/2023)")</f>
        <v>Uncle Sams Cider (04/04/2023)</v>
      </c>
      <c r="H11468" s="19"/>
    </row>
    <row r="11469">
      <c r="A11469" s="9"/>
      <c r="B11469" s="15"/>
      <c r="C11469" s="9">
        <f>IFERROR(__xludf.DUMMYFUNCTION("""COMPUTED_VALUE"""),45023.7053870486)</f>
        <v>45023.70539</v>
      </c>
      <c r="D11469" s="15">
        <f>IFERROR(__xludf.DUMMYFUNCTION("""COMPUTED_VALUE"""),1.093)</f>
        <v>1.093</v>
      </c>
      <c r="E11469" s="16">
        <f>IFERROR(__xludf.DUMMYFUNCTION("""COMPUTED_VALUE"""),65.0)</f>
        <v>65</v>
      </c>
      <c r="F11469" s="19" t="str">
        <f>IFERROR(__xludf.DUMMYFUNCTION("""COMPUTED_VALUE"""),"BLUE")</f>
        <v>BLUE</v>
      </c>
      <c r="G11469" s="20" t="str">
        <f>IFERROR(__xludf.DUMMYFUNCTION("""COMPUTED_VALUE"""),"Uncle Sams Cider (04/04/2023)")</f>
        <v>Uncle Sams Cider (04/04/2023)</v>
      </c>
      <c r="H11469" s="19"/>
    </row>
    <row r="11470">
      <c r="A11470" s="9"/>
      <c r="B11470" s="15"/>
      <c r="C11470" s="9">
        <f>IFERROR(__xludf.DUMMYFUNCTION("""COMPUTED_VALUE"""),45023.6949666666)</f>
        <v>45023.69497</v>
      </c>
      <c r="D11470" s="15">
        <f>IFERROR(__xludf.DUMMYFUNCTION("""COMPUTED_VALUE"""),1.093)</f>
        <v>1.093</v>
      </c>
      <c r="E11470" s="16">
        <f>IFERROR(__xludf.DUMMYFUNCTION("""COMPUTED_VALUE"""),65.0)</f>
        <v>65</v>
      </c>
      <c r="F11470" s="19" t="str">
        <f>IFERROR(__xludf.DUMMYFUNCTION("""COMPUTED_VALUE"""),"BLUE")</f>
        <v>BLUE</v>
      </c>
      <c r="G11470" s="20" t="str">
        <f>IFERROR(__xludf.DUMMYFUNCTION("""COMPUTED_VALUE"""),"Uncle Sams Cider (04/04/2023)")</f>
        <v>Uncle Sams Cider (04/04/2023)</v>
      </c>
      <c r="H11470" s="19"/>
    </row>
    <row r="11471">
      <c r="A11471" s="9"/>
      <c r="B11471" s="15"/>
      <c r="C11471" s="9">
        <f>IFERROR(__xludf.DUMMYFUNCTION("""COMPUTED_VALUE"""),45023.6845475231)</f>
        <v>45023.68455</v>
      </c>
      <c r="D11471" s="15">
        <f>IFERROR(__xludf.DUMMYFUNCTION("""COMPUTED_VALUE"""),1.093)</f>
        <v>1.093</v>
      </c>
      <c r="E11471" s="16">
        <f>IFERROR(__xludf.DUMMYFUNCTION("""COMPUTED_VALUE"""),65.0)</f>
        <v>65</v>
      </c>
      <c r="F11471" s="19" t="str">
        <f>IFERROR(__xludf.DUMMYFUNCTION("""COMPUTED_VALUE"""),"BLUE")</f>
        <v>BLUE</v>
      </c>
      <c r="G11471" s="20" t="str">
        <f>IFERROR(__xludf.DUMMYFUNCTION("""COMPUTED_VALUE"""),"Uncle Sams Cider (04/04/2023)")</f>
        <v>Uncle Sams Cider (04/04/2023)</v>
      </c>
      <c r="H11471" s="19"/>
    </row>
    <row r="11472">
      <c r="A11472" s="9"/>
      <c r="B11472" s="15"/>
      <c r="C11472" s="9">
        <f>IFERROR(__xludf.DUMMYFUNCTION("""COMPUTED_VALUE"""),45023.6741271064)</f>
        <v>45023.67413</v>
      </c>
      <c r="D11472" s="15">
        <f>IFERROR(__xludf.DUMMYFUNCTION("""COMPUTED_VALUE"""),1.093)</f>
        <v>1.093</v>
      </c>
      <c r="E11472" s="16">
        <f>IFERROR(__xludf.DUMMYFUNCTION("""COMPUTED_VALUE"""),65.0)</f>
        <v>65</v>
      </c>
      <c r="F11472" s="19" t="str">
        <f>IFERROR(__xludf.DUMMYFUNCTION("""COMPUTED_VALUE"""),"BLUE")</f>
        <v>BLUE</v>
      </c>
      <c r="G11472" s="20" t="str">
        <f>IFERROR(__xludf.DUMMYFUNCTION("""COMPUTED_VALUE"""),"Uncle Sams Cider (04/04/2023)")</f>
        <v>Uncle Sams Cider (04/04/2023)</v>
      </c>
      <c r="H11472" s="19"/>
    </row>
    <row r="11473">
      <c r="A11473" s="9"/>
      <c r="B11473" s="15"/>
      <c r="C11473" s="9">
        <f>IFERROR(__xludf.DUMMYFUNCTION("""COMPUTED_VALUE"""),45023.663694456)</f>
        <v>45023.66369</v>
      </c>
      <c r="D11473" s="15">
        <f>IFERROR(__xludf.DUMMYFUNCTION("""COMPUTED_VALUE"""),1.093)</f>
        <v>1.093</v>
      </c>
      <c r="E11473" s="16">
        <f>IFERROR(__xludf.DUMMYFUNCTION("""COMPUTED_VALUE"""),65.0)</f>
        <v>65</v>
      </c>
      <c r="F11473" s="19" t="str">
        <f>IFERROR(__xludf.DUMMYFUNCTION("""COMPUTED_VALUE"""),"BLUE")</f>
        <v>BLUE</v>
      </c>
      <c r="G11473" s="20" t="str">
        <f>IFERROR(__xludf.DUMMYFUNCTION("""COMPUTED_VALUE"""),"Uncle Sams Cider (04/04/2023)")</f>
        <v>Uncle Sams Cider (04/04/2023)</v>
      </c>
      <c r="H11473" s="19"/>
    </row>
    <row r="11474">
      <c r="A11474" s="9"/>
      <c r="B11474" s="15"/>
      <c r="C11474" s="9">
        <f>IFERROR(__xludf.DUMMYFUNCTION("""COMPUTED_VALUE"""),45023.6532737731)</f>
        <v>45023.65327</v>
      </c>
      <c r="D11474" s="15">
        <f>IFERROR(__xludf.DUMMYFUNCTION("""COMPUTED_VALUE"""),1.093)</f>
        <v>1.093</v>
      </c>
      <c r="E11474" s="16">
        <f>IFERROR(__xludf.DUMMYFUNCTION("""COMPUTED_VALUE"""),65.0)</f>
        <v>65</v>
      </c>
      <c r="F11474" s="19" t="str">
        <f>IFERROR(__xludf.DUMMYFUNCTION("""COMPUTED_VALUE"""),"BLUE")</f>
        <v>BLUE</v>
      </c>
      <c r="G11474" s="20" t="str">
        <f>IFERROR(__xludf.DUMMYFUNCTION("""COMPUTED_VALUE"""),"Uncle Sams Cider (04/04/2023)")</f>
        <v>Uncle Sams Cider (04/04/2023)</v>
      </c>
      <c r="H11474" s="19"/>
    </row>
    <row r="11475">
      <c r="A11475" s="9"/>
      <c r="B11475" s="15"/>
      <c r="C11475" s="9">
        <f>IFERROR(__xludf.DUMMYFUNCTION("""COMPUTED_VALUE"""),45023.6428532291)</f>
        <v>45023.64285</v>
      </c>
      <c r="D11475" s="15">
        <f>IFERROR(__xludf.DUMMYFUNCTION("""COMPUTED_VALUE"""),1.093)</f>
        <v>1.093</v>
      </c>
      <c r="E11475" s="16">
        <f>IFERROR(__xludf.DUMMYFUNCTION("""COMPUTED_VALUE"""),65.0)</f>
        <v>65</v>
      </c>
      <c r="F11475" s="19" t="str">
        <f>IFERROR(__xludf.DUMMYFUNCTION("""COMPUTED_VALUE"""),"BLUE")</f>
        <v>BLUE</v>
      </c>
      <c r="G11475" s="20" t="str">
        <f>IFERROR(__xludf.DUMMYFUNCTION("""COMPUTED_VALUE"""),"Uncle Sams Cider (04/04/2023)")</f>
        <v>Uncle Sams Cider (04/04/2023)</v>
      </c>
      <c r="H11475" s="19"/>
    </row>
    <row r="11476">
      <c r="A11476" s="9"/>
      <c r="B11476" s="15"/>
      <c r="C11476" s="9">
        <f>IFERROR(__xludf.DUMMYFUNCTION("""COMPUTED_VALUE"""),45023.6324317361)</f>
        <v>45023.63243</v>
      </c>
      <c r="D11476" s="15">
        <f>IFERROR(__xludf.DUMMYFUNCTION("""COMPUTED_VALUE"""),1.093)</f>
        <v>1.093</v>
      </c>
      <c r="E11476" s="16">
        <f>IFERROR(__xludf.DUMMYFUNCTION("""COMPUTED_VALUE"""),65.0)</f>
        <v>65</v>
      </c>
      <c r="F11476" s="19" t="str">
        <f>IFERROR(__xludf.DUMMYFUNCTION("""COMPUTED_VALUE"""),"BLUE")</f>
        <v>BLUE</v>
      </c>
      <c r="G11476" s="20" t="str">
        <f>IFERROR(__xludf.DUMMYFUNCTION("""COMPUTED_VALUE"""),"Uncle Sams Cider (04/04/2023)")</f>
        <v>Uncle Sams Cider (04/04/2023)</v>
      </c>
      <c r="H11476" s="19"/>
    </row>
    <row r="11477">
      <c r="A11477" s="9"/>
      <c r="B11477" s="15"/>
      <c r="C11477" s="9">
        <f>IFERROR(__xludf.DUMMYFUNCTION("""COMPUTED_VALUE"""),45023.6220099421)</f>
        <v>45023.62201</v>
      </c>
      <c r="D11477" s="15">
        <f>IFERROR(__xludf.DUMMYFUNCTION("""COMPUTED_VALUE"""),1.094)</f>
        <v>1.094</v>
      </c>
      <c r="E11477" s="16">
        <f>IFERROR(__xludf.DUMMYFUNCTION("""COMPUTED_VALUE"""),65.0)</f>
        <v>65</v>
      </c>
      <c r="F11477" s="19" t="str">
        <f>IFERROR(__xludf.DUMMYFUNCTION("""COMPUTED_VALUE"""),"BLUE")</f>
        <v>BLUE</v>
      </c>
      <c r="G11477" s="20" t="str">
        <f>IFERROR(__xludf.DUMMYFUNCTION("""COMPUTED_VALUE"""),"Uncle Sams Cider (04/04/2023)")</f>
        <v>Uncle Sams Cider (04/04/2023)</v>
      </c>
      <c r="H11477" s="19"/>
    </row>
    <row r="11478">
      <c r="A11478" s="9"/>
      <c r="B11478" s="15"/>
      <c r="C11478" s="9">
        <f>IFERROR(__xludf.DUMMYFUNCTION("""COMPUTED_VALUE"""),45023.61158853)</f>
        <v>45023.61159</v>
      </c>
      <c r="D11478" s="15">
        <f>IFERROR(__xludf.DUMMYFUNCTION("""COMPUTED_VALUE"""),1.094)</f>
        <v>1.094</v>
      </c>
      <c r="E11478" s="16">
        <f>IFERROR(__xludf.DUMMYFUNCTION("""COMPUTED_VALUE"""),65.0)</f>
        <v>65</v>
      </c>
      <c r="F11478" s="19" t="str">
        <f>IFERROR(__xludf.DUMMYFUNCTION("""COMPUTED_VALUE"""),"BLUE")</f>
        <v>BLUE</v>
      </c>
      <c r="G11478" s="20" t="str">
        <f>IFERROR(__xludf.DUMMYFUNCTION("""COMPUTED_VALUE"""),"Uncle Sams Cider (04/04/2023)")</f>
        <v>Uncle Sams Cider (04/04/2023)</v>
      </c>
      <c r="H11478" s="19"/>
    </row>
    <row r="11479">
      <c r="A11479" s="9"/>
      <c r="B11479" s="15"/>
      <c r="C11479" s="9">
        <f>IFERROR(__xludf.DUMMYFUNCTION("""COMPUTED_VALUE"""),45023.6011675347)</f>
        <v>45023.60117</v>
      </c>
      <c r="D11479" s="15">
        <f>IFERROR(__xludf.DUMMYFUNCTION("""COMPUTED_VALUE"""),1.094)</f>
        <v>1.094</v>
      </c>
      <c r="E11479" s="16">
        <f>IFERROR(__xludf.DUMMYFUNCTION("""COMPUTED_VALUE"""),65.0)</f>
        <v>65</v>
      </c>
      <c r="F11479" s="19" t="str">
        <f>IFERROR(__xludf.DUMMYFUNCTION("""COMPUTED_VALUE"""),"BLUE")</f>
        <v>BLUE</v>
      </c>
      <c r="G11479" s="20" t="str">
        <f>IFERROR(__xludf.DUMMYFUNCTION("""COMPUTED_VALUE"""),"Uncle Sams Cider (04/04/2023)")</f>
        <v>Uncle Sams Cider (04/04/2023)</v>
      </c>
      <c r="H11479" s="19"/>
    </row>
    <row r="11480">
      <c r="A11480" s="9"/>
      <c r="B11480" s="15"/>
      <c r="C11480" s="9">
        <f>IFERROR(__xludf.DUMMYFUNCTION("""COMPUTED_VALUE"""),45023.5907343981)</f>
        <v>45023.59073</v>
      </c>
      <c r="D11480" s="15">
        <f>IFERROR(__xludf.DUMMYFUNCTION("""COMPUTED_VALUE"""),1.093)</f>
        <v>1.093</v>
      </c>
      <c r="E11480" s="16">
        <f>IFERROR(__xludf.DUMMYFUNCTION("""COMPUTED_VALUE"""),65.0)</f>
        <v>65</v>
      </c>
      <c r="F11480" s="19" t="str">
        <f>IFERROR(__xludf.DUMMYFUNCTION("""COMPUTED_VALUE"""),"BLUE")</f>
        <v>BLUE</v>
      </c>
      <c r="G11480" s="20" t="str">
        <f>IFERROR(__xludf.DUMMYFUNCTION("""COMPUTED_VALUE"""),"Uncle Sams Cider (04/04/2023)")</f>
        <v>Uncle Sams Cider (04/04/2023)</v>
      </c>
      <c r="H11480" s="19"/>
    </row>
    <row r="11481">
      <c r="A11481" s="9"/>
      <c r="B11481" s="15"/>
      <c r="C11481" s="9">
        <f>IFERROR(__xludf.DUMMYFUNCTION("""COMPUTED_VALUE"""),45023.5803136111)</f>
        <v>45023.58031</v>
      </c>
      <c r="D11481" s="15">
        <f>IFERROR(__xludf.DUMMYFUNCTION("""COMPUTED_VALUE"""),1.094)</f>
        <v>1.094</v>
      </c>
      <c r="E11481" s="16">
        <f>IFERROR(__xludf.DUMMYFUNCTION("""COMPUTED_VALUE"""),65.0)</f>
        <v>65</v>
      </c>
      <c r="F11481" s="19" t="str">
        <f>IFERROR(__xludf.DUMMYFUNCTION("""COMPUTED_VALUE"""),"BLUE")</f>
        <v>BLUE</v>
      </c>
      <c r="G11481" s="20" t="str">
        <f>IFERROR(__xludf.DUMMYFUNCTION("""COMPUTED_VALUE"""),"Uncle Sams Cider (04/04/2023)")</f>
        <v>Uncle Sams Cider (04/04/2023)</v>
      </c>
      <c r="H11481" s="19"/>
    </row>
    <row r="11482">
      <c r="A11482" s="9"/>
      <c r="B11482" s="15"/>
      <c r="C11482" s="9">
        <f>IFERROR(__xludf.DUMMYFUNCTION("""COMPUTED_VALUE"""),45023.5698931481)</f>
        <v>45023.56989</v>
      </c>
      <c r="D11482" s="15">
        <f>IFERROR(__xludf.DUMMYFUNCTION("""COMPUTED_VALUE"""),1.094)</f>
        <v>1.094</v>
      </c>
      <c r="E11482" s="16">
        <f>IFERROR(__xludf.DUMMYFUNCTION("""COMPUTED_VALUE"""),65.0)</f>
        <v>65</v>
      </c>
      <c r="F11482" s="19" t="str">
        <f>IFERROR(__xludf.DUMMYFUNCTION("""COMPUTED_VALUE"""),"BLUE")</f>
        <v>BLUE</v>
      </c>
      <c r="G11482" s="20" t="str">
        <f>IFERROR(__xludf.DUMMYFUNCTION("""COMPUTED_VALUE"""),"Uncle Sams Cider (04/04/2023)")</f>
        <v>Uncle Sams Cider (04/04/2023)</v>
      </c>
      <c r="H11482" s="19"/>
    </row>
    <row r="11483">
      <c r="A11483" s="9"/>
      <c r="B11483" s="15"/>
      <c r="C11483" s="9">
        <f>IFERROR(__xludf.DUMMYFUNCTION("""COMPUTED_VALUE"""),45023.5594593865)</f>
        <v>45023.55946</v>
      </c>
      <c r="D11483" s="15">
        <f>IFERROR(__xludf.DUMMYFUNCTION("""COMPUTED_VALUE"""),1.094)</f>
        <v>1.094</v>
      </c>
      <c r="E11483" s="16">
        <f>IFERROR(__xludf.DUMMYFUNCTION("""COMPUTED_VALUE"""),65.0)</f>
        <v>65</v>
      </c>
      <c r="F11483" s="19" t="str">
        <f>IFERROR(__xludf.DUMMYFUNCTION("""COMPUTED_VALUE"""),"BLUE")</f>
        <v>BLUE</v>
      </c>
      <c r="G11483" s="20" t="str">
        <f>IFERROR(__xludf.DUMMYFUNCTION("""COMPUTED_VALUE"""),"Uncle Sams Cider (04/04/2023)")</f>
        <v>Uncle Sams Cider (04/04/2023)</v>
      </c>
      <c r="H11483" s="19"/>
    </row>
    <row r="11484">
      <c r="A11484" s="9"/>
      <c r="B11484" s="15"/>
      <c r="C11484" s="9">
        <f>IFERROR(__xludf.DUMMYFUNCTION("""COMPUTED_VALUE"""),45023.5490383449)</f>
        <v>45023.54904</v>
      </c>
      <c r="D11484" s="15">
        <f>IFERROR(__xludf.DUMMYFUNCTION("""COMPUTED_VALUE"""),1.094)</f>
        <v>1.094</v>
      </c>
      <c r="E11484" s="16">
        <f>IFERROR(__xludf.DUMMYFUNCTION("""COMPUTED_VALUE"""),65.0)</f>
        <v>65</v>
      </c>
      <c r="F11484" s="19" t="str">
        <f>IFERROR(__xludf.DUMMYFUNCTION("""COMPUTED_VALUE"""),"BLUE")</f>
        <v>BLUE</v>
      </c>
      <c r="G11484" s="20" t="str">
        <f>IFERROR(__xludf.DUMMYFUNCTION("""COMPUTED_VALUE"""),"Uncle Sams Cider (04/04/2023)")</f>
        <v>Uncle Sams Cider (04/04/2023)</v>
      </c>
      <c r="H11484" s="19"/>
    </row>
    <row r="11485">
      <c r="A11485" s="9"/>
      <c r="B11485" s="15"/>
      <c r="C11485" s="9">
        <f>IFERROR(__xludf.DUMMYFUNCTION("""COMPUTED_VALUE"""),45023.538617581)</f>
        <v>45023.53862</v>
      </c>
      <c r="D11485" s="15">
        <f>IFERROR(__xludf.DUMMYFUNCTION("""COMPUTED_VALUE"""),1.094)</f>
        <v>1.094</v>
      </c>
      <c r="E11485" s="16">
        <f>IFERROR(__xludf.DUMMYFUNCTION("""COMPUTED_VALUE"""),65.0)</f>
        <v>65</v>
      </c>
      <c r="F11485" s="19" t="str">
        <f>IFERROR(__xludf.DUMMYFUNCTION("""COMPUTED_VALUE"""),"BLUE")</f>
        <v>BLUE</v>
      </c>
      <c r="G11485" s="20" t="str">
        <f>IFERROR(__xludf.DUMMYFUNCTION("""COMPUTED_VALUE"""),"Uncle Sams Cider (04/04/2023)")</f>
        <v>Uncle Sams Cider (04/04/2023)</v>
      </c>
      <c r="H11485" s="19"/>
    </row>
    <row r="11486">
      <c r="A11486" s="9"/>
      <c r="B11486" s="15"/>
      <c r="C11486" s="9">
        <f>IFERROR(__xludf.DUMMYFUNCTION("""COMPUTED_VALUE"""),45023.528194537)</f>
        <v>45023.52819</v>
      </c>
      <c r="D11486" s="15">
        <f>IFERROR(__xludf.DUMMYFUNCTION("""COMPUTED_VALUE"""),1.094)</f>
        <v>1.094</v>
      </c>
      <c r="E11486" s="16">
        <f>IFERROR(__xludf.DUMMYFUNCTION("""COMPUTED_VALUE"""),65.0)</f>
        <v>65</v>
      </c>
      <c r="F11486" s="19" t="str">
        <f>IFERROR(__xludf.DUMMYFUNCTION("""COMPUTED_VALUE"""),"BLUE")</f>
        <v>BLUE</v>
      </c>
      <c r="G11486" s="20" t="str">
        <f>IFERROR(__xludf.DUMMYFUNCTION("""COMPUTED_VALUE"""),"Uncle Sams Cider (04/04/2023)")</f>
        <v>Uncle Sams Cider (04/04/2023)</v>
      </c>
      <c r="H11486" s="19"/>
    </row>
    <row r="11487">
      <c r="A11487" s="9"/>
      <c r="B11487" s="15"/>
      <c r="C11487" s="9">
        <f>IFERROR(__xludf.DUMMYFUNCTION("""COMPUTED_VALUE"""),45023.517772662)</f>
        <v>45023.51777</v>
      </c>
      <c r="D11487" s="15">
        <f>IFERROR(__xludf.DUMMYFUNCTION("""COMPUTED_VALUE"""),1.094)</f>
        <v>1.094</v>
      </c>
      <c r="E11487" s="16">
        <f>IFERROR(__xludf.DUMMYFUNCTION("""COMPUTED_VALUE"""),65.0)</f>
        <v>65</v>
      </c>
      <c r="F11487" s="19" t="str">
        <f>IFERROR(__xludf.DUMMYFUNCTION("""COMPUTED_VALUE"""),"BLUE")</f>
        <v>BLUE</v>
      </c>
      <c r="G11487" s="20" t="str">
        <f>IFERROR(__xludf.DUMMYFUNCTION("""COMPUTED_VALUE"""),"Uncle Sams Cider (04/04/2023)")</f>
        <v>Uncle Sams Cider (04/04/2023)</v>
      </c>
      <c r="H11487" s="19"/>
    </row>
    <row r="11488">
      <c r="A11488" s="9"/>
      <c r="B11488" s="15"/>
      <c r="C11488" s="9">
        <f>IFERROR(__xludf.DUMMYFUNCTION("""COMPUTED_VALUE"""),45023.5073287847)</f>
        <v>45023.50733</v>
      </c>
      <c r="D11488" s="15">
        <f>IFERROR(__xludf.DUMMYFUNCTION("""COMPUTED_VALUE"""),1.094)</f>
        <v>1.094</v>
      </c>
      <c r="E11488" s="16">
        <f>IFERROR(__xludf.DUMMYFUNCTION("""COMPUTED_VALUE"""),65.0)</f>
        <v>65</v>
      </c>
      <c r="F11488" s="19" t="str">
        <f>IFERROR(__xludf.DUMMYFUNCTION("""COMPUTED_VALUE"""),"BLUE")</f>
        <v>BLUE</v>
      </c>
      <c r="G11488" s="20" t="str">
        <f>IFERROR(__xludf.DUMMYFUNCTION("""COMPUTED_VALUE"""),"Uncle Sams Cider (04/04/2023)")</f>
        <v>Uncle Sams Cider (04/04/2023)</v>
      </c>
      <c r="H11488" s="19"/>
    </row>
    <row r="11489">
      <c r="A11489" s="9"/>
      <c r="B11489" s="15"/>
      <c r="C11489" s="9">
        <f>IFERROR(__xludf.DUMMYFUNCTION("""COMPUTED_VALUE"""),45023.496907037)</f>
        <v>45023.49691</v>
      </c>
      <c r="D11489" s="15">
        <f>IFERROR(__xludf.DUMMYFUNCTION("""COMPUTED_VALUE"""),1.094)</f>
        <v>1.094</v>
      </c>
      <c r="E11489" s="16">
        <f>IFERROR(__xludf.DUMMYFUNCTION("""COMPUTED_VALUE"""),65.0)</f>
        <v>65</v>
      </c>
      <c r="F11489" s="19" t="str">
        <f>IFERROR(__xludf.DUMMYFUNCTION("""COMPUTED_VALUE"""),"BLUE")</f>
        <v>BLUE</v>
      </c>
      <c r="G11489" s="20" t="str">
        <f>IFERROR(__xludf.DUMMYFUNCTION("""COMPUTED_VALUE"""),"Uncle Sams Cider (04/04/2023)")</f>
        <v>Uncle Sams Cider (04/04/2023)</v>
      </c>
      <c r="H11489" s="19"/>
    </row>
    <row r="11490">
      <c r="A11490" s="9"/>
      <c r="B11490" s="15"/>
      <c r="C11490" s="9">
        <f>IFERROR(__xludf.DUMMYFUNCTION("""COMPUTED_VALUE"""),45023.4864735879)</f>
        <v>45023.48647</v>
      </c>
      <c r="D11490" s="15">
        <f>IFERROR(__xludf.DUMMYFUNCTION("""COMPUTED_VALUE"""),1.094)</f>
        <v>1.094</v>
      </c>
      <c r="E11490" s="16">
        <f>IFERROR(__xludf.DUMMYFUNCTION("""COMPUTED_VALUE"""),65.0)</f>
        <v>65</v>
      </c>
      <c r="F11490" s="19" t="str">
        <f>IFERROR(__xludf.DUMMYFUNCTION("""COMPUTED_VALUE"""),"BLUE")</f>
        <v>BLUE</v>
      </c>
      <c r="G11490" s="20" t="str">
        <f>IFERROR(__xludf.DUMMYFUNCTION("""COMPUTED_VALUE"""),"Uncle Sams Cider (04/04/2023)")</f>
        <v>Uncle Sams Cider (04/04/2023)</v>
      </c>
      <c r="H11490" s="19"/>
    </row>
    <row r="11491">
      <c r="A11491" s="9"/>
      <c r="B11491" s="15"/>
      <c r="C11491" s="9">
        <f>IFERROR(__xludf.DUMMYFUNCTION("""COMPUTED_VALUE"""),45023.4760515856)</f>
        <v>45023.47605</v>
      </c>
      <c r="D11491" s="15">
        <f>IFERROR(__xludf.DUMMYFUNCTION("""COMPUTED_VALUE"""),1.094)</f>
        <v>1.094</v>
      </c>
      <c r="E11491" s="16">
        <f>IFERROR(__xludf.DUMMYFUNCTION("""COMPUTED_VALUE"""),65.0)</f>
        <v>65</v>
      </c>
      <c r="F11491" s="19" t="str">
        <f>IFERROR(__xludf.DUMMYFUNCTION("""COMPUTED_VALUE"""),"BLUE")</f>
        <v>BLUE</v>
      </c>
      <c r="G11491" s="20" t="str">
        <f>IFERROR(__xludf.DUMMYFUNCTION("""COMPUTED_VALUE"""),"Uncle Sams Cider (04/04/2023)")</f>
        <v>Uncle Sams Cider (04/04/2023)</v>
      </c>
      <c r="H11491" s="19"/>
    </row>
    <row r="11492">
      <c r="A11492" s="9"/>
      <c r="B11492" s="15"/>
      <c r="C11492" s="9">
        <f>IFERROR(__xludf.DUMMYFUNCTION("""COMPUTED_VALUE"""),45023.46561978)</f>
        <v>45023.46562</v>
      </c>
      <c r="D11492" s="15">
        <f>IFERROR(__xludf.DUMMYFUNCTION("""COMPUTED_VALUE"""),1.095)</f>
        <v>1.095</v>
      </c>
      <c r="E11492" s="16">
        <f>IFERROR(__xludf.DUMMYFUNCTION("""COMPUTED_VALUE"""),65.0)</f>
        <v>65</v>
      </c>
      <c r="F11492" s="19" t="str">
        <f>IFERROR(__xludf.DUMMYFUNCTION("""COMPUTED_VALUE"""),"BLUE")</f>
        <v>BLUE</v>
      </c>
      <c r="G11492" s="20" t="str">
        <f>IFERROR(__xludf.DUMMYFUNCTION("""COMPUTED_VALUE"""),"Uncle Sams Cider (04/04/2023)")</f>
        <v>Uncle Sams Cider (04/04/2023)</v>
      </c>
      <c r="H11492" s="19"/>
    </row>
    <row r="11493">
      <c r="A11493" s="9"/>
      <c r="B11493" s="15"/>
      <c r="C11493" s="9">
        <f>IFERROR(__xludf.DUMMYFUNCTION("""COMPUTED_VALUE"""),45023.4551975694)</f>
        <v>45023.4552</v>
      </c>
      <c r="D11493" s="15">
        <f>IFERROR(__xludf.DUMMYFUNCTION("""COMPUTED_VALUE"""),1.094)</f>
        <v>1.094</v>
      </c>
      <c r="E11493" s="16">
        <f>IFERROR(__xludf.DUMMYFUNCTION("""COMPUTED_VALUE"""),65.0)</f>
        <v>65</v>
      </c>
      <c r="F11493" s="19" t="str">
        <f>IFERROR(__xludf.DUMMYFUNCTION("""COMPUTED_VALUE"""),"BLUE")</f>
        <v>BLUE</v>
      </c>
      <c r="G11493" s="20" t="str">
        <f>IFERROR(__xludf.DUMMYFUNCTION("""COMPUTED_VALUE"""),"Uncle Sams Cider (04/04/2023)")</f>
        <v>Uncle Sams Cider (04/04/2023)</v>
      </c>
      <c r="H11493" s="19"/>
    </row>
    <row r="11494">
      <c r="A11494" s="9"/>
      <c r="B11494" s="15"/>
      <c r="C11494" s="9">
        <f>IFERROR(__xludf.DUMMYFUNCTION("""COMPUTED_VALUE"""),45023.4447766203)</f>
        <v>45023.44478</v>
      </c>
      <c r="D11494" s="15">
        <f>IFERROR(__xludf.DUMMYFUNCTION("""COMPUTED_VALUE"""),1.095)</f>
        <v>1.095</v>
      </c>
      <c r="E11494" s="16">
        <f>IFERROR(__xludf.DUMMYFUNCTION("""COMPUTED_VALUE"""),65.0)</f>
        <v>65</v>
      </c>
      <c r="F11494" s="19" t="str">
        <f>IFERROR(__xludf.DUMMYFUNCTION("""COMPUTED_VALUE"""),"BLUE")</f>
        <v>BLUE</v>
      </c>
      <c r="G11494" s="20" t="str">
        <f>IFERROR(__xludf.DUMMYFUNCTION("""COMPUTED_VALUE"""),"Uncle Sams Cider (04/04/2023)")</f>
        <v>Uncle Sams Cider (04/04/2023)</v>
      </c>
      <c r="H11494" s="19"/>
    </row>
    <row r="11495">
      <c r="A11495" s="9"/>
      <c r="B11495" s="15"/>
      <c r="C11495" s="9">
        <f>IFERROR(__xludf.DUMMYFUNCTION("""COMPUTED_VALUE"""),45023.4343428819)</f>
        <v>45023.43434</v>
      </c>
      <c r="D11495" s="15">
        <f>IFERROR(__xludf.DUMMYFUNCTION("""COMPUTED_VALUE"""),1.095)</f>
        <v>1.095</v>
      </c>
      <c r="E11495" s="16">
        <f>IFERROR(__xludf.DUMMYFUNCTION("""COMPUTED_VALUE"""),65.0)</f>
        <v>65</v>
      </c>
      <c r="F11495" s="19" t="str">
        <f>IFERROR(__xludf.DUMMYFUNCTION("""COMPUTED_VALUE"""),"BLUE")</f>
        <v>BLUE</v>
      </c>
      <c r="G11495" s="20" t="str">
        <f>IFERROR(__xludf.DUMMYFUNCTION("""COMPUTED_VALUE"""),"Uncle Sams Cider (04/04/2023)")</f>
        <v>Uncle Sams Cider (04/04/2023)</v>
      </c>
      <c r="H11495" s="19"/>
    </row>
    <row r="11496">
      <c r="A11496" s="9"/>
      <c r="B11496" s="15"/>
      <c r="C11496" s="9">
        <f>IFERROR(__xludf.DUMMYFUNCTION("""COMPUTED_VALUE"""),45023.4239216087)</f>
        <v>45023.42392</v>
      </c>
      <c r="D11496" s="15">
        <f>IFERROR(__xludf.DUMMYFUNCTION("""COMPUTED_VALUE"""),1.094)</f>
        <v>1.094</v>
      </c>
      <c r="E11496" s="16">
        <f>IFERROR(__xludf.DUMMYFUNCTION("""COMPUTED_VALUE"""),65.0)</f>
        <v>65</v>
      </c>
      <c r="F11496" s="19" t="str">
        <f>IFERROR(__xludf.DUMMYFUNCTION("""COMPUTED_VALUE"""),"BLUE")</f>
        <v>BLUE</v>
      </c>
      <c r="G11496" s="20" t="str">
        <f>IFERROR(__xludf.DUMMYFUNCTION("""COMPUTED_VALUE"""),"Uncle Sams Cider (04/04/2023)")</f>
        <v>Uncle Sams Cider (04/04/2023)</v>
      </c>
      <c r="H11496" s="19"/>
    </row>
    <row r="11497">
      <c r="A11497" s="9"/>
      <c r="B11497" s="15"/>
      <c r="C11497" s="9">
        <f>IFERROR(__xludf.DUMMYFUNCTION("""COMPUTED_VALUE"""),45023.4134997916)</f>
        <v>45023.4135</v>
      </c>
      <c r="D11497" s="15">
        <f>IFERROR(__xludf.DUMMYFUNCTION("""COMPUTED_VALUE"""),1.095)</f>
        <v>1.095</v>
      </c>
      <c r="E11497" s="16">
        <f>IFERROR(__xludf.DUMMYFUNCTION("""COMPUTED_VALUE"""),65.0)</f>
        <v>65</v>
      </c>
      <c r="F11497" s="19" t="str">
        <f>IFERROR(__xludf.DUMMYFUNCTION("""COMPUTED_VALUE"""),"BLUE")</f>
        <v>BLUE</v>
      </c>
      <c r="G11497" s="20" t="str">
        <f>IFERROR(__xludf.DUMMYFUNCTION("""COMPUTED_VALUE"""),"Uncle Sams Cider (04/04/2023)")</f>
        <v>Uncle Sams Cider (04/04/2023)</v>
      </c>
      <c r="H11497" s="19"/>
    </row>
    <row r="11498">
      <c r="A11498" s="9"/>
      <c r="B11498" s="15"/>
      <c r="C11498" s="9">
        <f>IFERROR(__xludf.DUMMYFUNCTION("""COMPUTED_VALUE"""),45023.4030780671)</f>
        <v>45023.40308</v>
      </c>
      <c r="D11498" s="15">
        <f>IFERROR(__xludf.DUMMYFUNCTION("""COMPUTED_VALUE"""),1.094)</f>
        <v>1.094</v>
      </c>
      <c r="E11498" s="16">
        <f>IFERROR(__xludf.DUMMYFUNCTION("""COMPUTED_VALUE"""),65.0)</f>
        <v>65</v>
      </c>
      <c r="F11498" s="19" t="str">
        <f>IFERROR(__xludf.DUMMYFUNCTION("""COMPUTED_VALUE"""),"BLUE")</f>
        <v>BLUE</v>
      </c>
      <c r="G11498" s="20" t="str">
        <f>IFERROR(__xludf.DUMMYFUNCTION("""COMPUTED_VALUE"""),"Uncle Sams Cider (04/04/2023)")</f>
        <v>Uncle Sams Cider (04/04/2023)</v>
      </c>
      <c r="H11498" s="19"/>
    </row>
    <row r="11499">
      <c r="A11499" s="9"/>
      <c r="B11499" s="15"/>
      <c r="C11499" s="9">
        <f>IFERROR(__xludf.DUMMYFUNCTION("""COMPUTED_VALUE"""),45023.3926569675)</f>
        <v>45023.39266</v>
      </c>
      <c r="D11499" s="15">
        <f>IFERROR(__xludf.DUMMYFUNCTION("""COMPUTED_VALUE"""),1.095)</f>
        <v>1.095</v>
      </c>
      <c r="E11499" s="16">
        <f>IFERROR(__xludf.DUMMYFUNCTION("""COMPUTED_VALUE"""),65.0)</f>
        <v>65</v>
      </c>
      <c r="F11499" s="19" t="str">
        <f>IFERROR(__xludf.DUMMYFUNCTION("""COMPUTED_VALUE"""),"BLUE")</f>
        <v>BLUE</v>
      </c>
      <c r="G11499" s="20" t="str">
        <f>IFERROR(__xludf.DUMMYFUNCTION("""COMPUTED_VALUE"""),"Uncle Sams Cider (04/04/2023)")</f>
        <v>Uncle Sams Cider (04/04/2023)</v>
      </c>
      <c r="H11499" s="19"/>
    </row>
    <row r="11500">
      <c r="A11500" s="9"/>
      <c r="B11500" s="15"/>
      <c r="C11500" s="9">
        <f>IFERROR(__xludf.DUMMYFUNCTION("""COMPUTED_VALUE"""),45023.382237824)</f>
        <v>45023.38224</v>
      </c>
      <c r="D11500" s="15">
        <f>IFERROR(__xludf.DUMMYFUNCTION("""COMPUTED_VALUE"""),1.095)</f>
        <v>1.095</v>
      </c>
      <c r="E11500" s="16">
        <f>IFERROR(__xludf.DUMMYFUNCTION("""COMPUTED_VALUE"""),65.0)</f>
        <v>65</v>
      </c>
      <c r="F11500" s="19" t="str">
        <f>IFERROR(__xludf.DUMMYFUNCTION("""COMPUTED_VALUE"""),"BLUE")</f>
        <v>BLUE</v>
      </c>
      <c r="G11500" s="20" t="str">
        <f>IFERROR(__xludf.DUMMYFUNCTION("""COMPUTED_VALUE"""),"Uncle Sams Cider (04/04/2023)")</f>
        <v>Uncle Sams Cider (04/04/2023)</v>
      </c>
      <c r="H11500" s="19"/>
    </row>
    <row r="11501">
      <c r="A11501" s="9"/>
      <c r="B11501" s="15"/>
      <c r="C11501" s="9">
        <f>IFERROR(__xludf.DUMMYFUNCTION("""COMPUTED_VALUE"""),45023.3718045138)</f>
        <v>45023.3718</v>
      </c>
      <c r="D11501" s="15">
        <f>IFERROR(__xludf.DUMMYFUNCTION("""COMPUTED_VALUE"""),1.095)</f>
        <v>1.095</v>
      </c>
      <c r="E11501" s="16">
        <f>IFERROR(__xludf.DUMMYFUNCTION("""COMPUTED_VALUE"""),65.0)</f>
        <v>65</v>
      </c>
      <c r="F11501" s="19" t="str">
        <f>IFERROR(__xludf.DUMMYFUNCTION("""COMPUTED_VALUE"""),"BLUE")</f>
        <v>BLUE</v>
      </c>
      <c r="G11501" s="20" t="str">
        <f>IFERROR(__xludf.DUMMYFUNCTION("""COMPUTED_VALUE"""),"Uncle Sams Cider (04/04/2023)")</f>
        <v>Uncle Sams Cider (04/04/2023)</v>
      </c>
      <c r="H11501" s="19"/>
    </row>
    <row r="11502">
      <c r="A11502" s="9"/>
      <c r="B11502" s="15"/>
      <c r="C11502" s="9">
        <f>IFERROR(__xludf.DUMMYFUNCTION("""COMPUTED_VALUE"""),45023.3613840856)</f>
        <v>45023.36138</v>
      </c>
      <c r="D11502" s="15">
        <f>IFERROR(__xludf.DUMMYFUNCTION("""COMPUTED_VALUE"""),1.095)</f>
        <v>1.095</v>
      </c>
      <c r="E11502" s="16">
        <f>IFERROR(__xludf.DUMMYFUNCTION("""COMPUTED_VALUE"""),65.0)</f>
        <v>65</v>
      </c>
      <c r="F11502" s="19" t="str">
        <f>IFERROR(__xludf.DUMMYFUNCTION("""COMPUTED_VALUE"""),"BLUE")</f>
        <v>BLUE</v>
      </c>
      <c r="G11502" s="20" t="str">
        <f>IFERROR(__xludf.DUMMYFUNCTION("""COMPUTED_VALUE"""),"Uncle Sams Cider (04/04/2023)")</f>
        <v>Uncle Sams Cider (04/04/2023)</v>
      </c>
      <c r="H11502" s="19"/>
    </row>
    <row r="11503">
      <c r="A11503" s="9"/>
      <c r="B11503" s="15"/>
      <c r="C11503" s="9">
        <f>IFERROR(__xludf.DUMMYFUNCTION("""COMPUTED_VALUE"""),45023.3509276851)</f>
        <v>45023.35093</v>
      </c>
      <c r="D11503" s="15">
        <f>IFERROR(__xludf.DUMMYFUNCTION("""COMPUTED_VALUE"""),1.095)</f>
        <v>1.095</v>
      </c>
      <c r="E11503" s="16">
        <f>IFERROR(__xludf.DUMMYFUNCTION("""COMPUTED_VALUE"""),65.0)</f>
        <v>65</v>
      </c>
      <c r="F11503" s="19" t="str">
        <f>IFERROR(__xludf.DUMMYFUNCTION("""COMPUTED_VALUE"""),"BLUE")</f>
        <v>BLUE</v>
      </c>
      <c r="G11503" s="20" t="str">
        <f>IFERROR(__xludf.DUMMYFUNCTION("""COMPUTED_VALUE"""),"Uncle Sams Cider (04/04/2023)")</f>
        <v>Uncle Sams Cider (04/04/2023)</v>
      </c>
      <c r="H11503" s="19"/>
    </row>
    <row r="11504">
      <c r="A11504" s="9"/>
      <c r="B11504" s="15"/>
      <c r="C11504" s="9">
        <f>IFERROR(__xludf.DUMMYFUNCTION("""COMPUTED_VALUE"""),45023.3405073263)</f>
        <v>45023.34051</v>
      </c>
      <c r="D11504" s="15">
        <f>IFERROR(__xludf.DUMMYFUNCTION("""COMPUTED_VALUE"""),1.095)</f>
        <v>1.095</v>
      </c>
      <c r="E11504" s="16">
        <f>IFERROR(__xludf.DUMMYFUNCTION("""COMPUTED_VALUE"""),65.0)</f>
        <v>65</v>
      </c>
      <c r="F11504" s="19" t="str">
        <f>IFERROR(__xludf.DUMMYFUNCTION("""COMPUTED_VALUE"""),"BLUE")</f>
        <v>BLUE</v>
      </c>
      <c r="G11504" s="20" t="str">
        <f>IFERROR(__xludf.DUMMYFUNCTION("""COMPUTED_VALUE"""),"Uncle Sams Cider (04/04/2023)")</f>
        <v>Uncle Sams Cider (04/04/2023)</v>
      </c>
      <c r="H11504" s="19"/>
    </row>
    <row r="11505">
      <c r="A11505" s="9"/>
      <c r="B11505" s="15"/>
      <c r="C11505" s="9">
        <f>IFERROR(__xludf.DUMMYFUNCTION("""COMPUTED_VALUE"""),45023.3300840509)</f>
        <v>45023.33008</v>
      </c>
      <c r="D11505" s="15">
        <f>IFERROR(__xludf.DUMMYFUNCTION("""COMPUTED_VALUE"""),1.095)</f>
        <v>1.095</v>
      </c>
      <c r="E11505" s="16">
        <f>IFERROR(__xludf.DUMMYFUNCTION("""COMPUTED_VALUE"""),65.0)</f>
        <v>65</v>
      </c>
      <c r="F11505" s="19" t="str">
        <f>IFERROR(__xludf.DUMMYFUNCTION("""COMPUTED_VALUE"""),"BLUE")</f>
        <v>BLUE</v>
      </c>
      <c r="G11505" s="20" t="str">
        <f>IFERROR(__xludf.DUMMYFUNCTION("""COMPUTED_VALUE"""),"Uncle Sams Cider (04/04/2023)")</f>
        <v>Uncle Sams Cider (04/04/2023)</v>
      </c>
      <c r="H11505" s="19"/>
    </row>
    <row r="11506">
      <c r="A11506" s="9"/>
      <c r="B11506" s="15"/>
      <c r="C11506" s="9">
        <f>IFERROR(__xludf.DUMMYFUNCTION("""COMPUTED_VALUE"""),45023.3196629051)</f>
        <v>45023.31966</v>
      </c>
      <c r="D11506" s="15">
        <f>IFERROR(__xludf.DUMMYFUNCTION("""COMPUTED_VALUE"""),1.096)</f>
        <v>1.096</v>
      </c>
      <c r="E11506" s="16">
        <f>IFERROR(__xludf.DUMMYFUNCTION("""COMPUTED_VALUE"""),65.0)</f>
        <v>65</v>
      </c>
      <c r="F11506" s="19" t="str">
        <f>IFERROR(__xludf.DUMMYFUNCTION("""COMPUTED_VALUE"""),"BLUE")</f>
        <v>BLUE</v>
      </c>
      <c r="G11506" s="20" t="str">
        <f>IFERROR(__xludf.DUMMYFUNCTION("""COMPUTED_VALUE"""),"Uncle Sams Cider (04/04/2023)")</f>
        <v>Uncle Sams Cider (04/04/2023)</v>
      </c>
      <c r="H11506" s="19"/>
    </row>
    <row r="11507">
      <c r="A11507" s="9"/>
      <c r="B11507" s="15"/>
      <c r="C11507" s="9">
        <f>IFERROR(__xludf.DUMMYFUNCTION("""COMPUTED_VALUE"""),45023.3092311574)</f>
        <v>45023.30923</v>
      </c>
      <c r="D11507" s="15">
        <f>IFERROR(__xludf.DUMMYFUNCTION("""COMPUTED_VALUE"""),1.096)</f>
        <v>1.096</v>
      </c>
      <c r="E11507" s="16">
        <f>IFERROR(__xludf.DUMMYFUNCTION("""COMPUTED_VALUE"""),65.0)</f>
        <v>65</v>
      </c>
      <c r="F11507" s="19" t="str">
        <f>IFERROR(__xludf.DUMMYFUNCTION("""COMPUTED_VALUE"""),"BLUE")</f>
        <v>BLUE</v>
      </c>
      <c r="G11507" s="20" t="str">
        <f>IFERROR(__xludf.DUMMYFUNCTION("""COMPUTED_VALUE"""),"Uncle Sams Cider (04/04/2023)")</f>
        <v>Uncle Sams Cider (04/04/2023)</v>
      </c>
      <c r="H11507" s="19"/>
    </row>
    <row r="11508">
      <c r="A11508" s="9"/>
      <c r="B11508" s="15"/>
      <c r="C11508" s="9">
        <f>IFERROR(__xludf.DUMMYFUNCTION("""COMPUTED_VALUE"""),45023.2988115162)</f>
        <v>45023.29881</v>
      </c>
      <c r="D11508" s="15">
        <f>IFERROR(__xludf.DUMMYFUNCTION("""COMPUTED_VALUE"""),1.096)</f>
        <v>1.096</v>
      </c>
      <c r="E11508" s="16">
        <f>IFERROR(__xludf.DUMMYFUNCTION("""COMPUTED_VALUE"""),65.0)</f>
        <v>65</v>
      </c>
      <c r="F11508" s="19" t="str">
        <f>IFERROR(__xludf.DUMMYFUNCTION("""COMPUTED_VALUE"""),"BLUE")</f>
        <v>BLUE</v>
      </c>
      <c r="G11508" s="20" t="str">
        <f>IFERROR(__xludf.DUMMYFUNCTION("""COMPUTED_VALUE"""),"Uncle Sams Cider (04/04/2023)")</f>
        <v>Uncle Sams Cider (04/04/2023)</v>
      </c>
      <c r="H11508" s="19"/>
    </row>
    <row r="11509">
      <c r="A11509" s="9"/>
      <c r="B11509" s="15"/>
      <c r="C11509" s="9">
        <f>IFERROR(__xludf.DUMMYFUNCTION("""COMPUTED_VALUE"""),45023.2883898032)</f>
        <v>45023.28839</v>
      </c>
      <c r="D11509" s="15">
        <f>IFERROR(__xludf.DUMMYFUNCTION("""COMPUTED_VALUE"""),1.096)</f>
        <v>1.096</v>
      </c>
      <c r="E11509" s="16">
        <f>IFERROR(__xludf.DUMMYFUNCTION("""COMPUTED_VALUE"""),65.0)</f>
        <v>65</v>
      </c>
      <c r="F11509" s="19" t="str">
        <f>IFERROR(__xludf.DUMMYFUNCTION("""COMPUTED_VALUE"""),"BLUE")</f>
        <v>BLUE</v>
      </c>
      <c r="G11509" s="20" t="str">
        <f>IFERROR(__xludf.DUMMYFUNCTION("""COMPUTED_VALUE"""),"Uncle Sams Cider (04/04/2023)")</f>
        <v>Uncle Sams Cider (04/04/2023)</v>
      </c>
      <c r="H11509" s="19"/>
    </row>
    <row r="11510">
      <c r="A11510" s="9"/>
      <c r="B11510" s="15"/>
      <c r="C11510" s="9">
        <f>IFERROR(__xludf.DUMMYFUNCTION("""COMPUTED_VALUE"""),45023.2779686805)</f>
        <v>45023.27797</v>
      </c>
      <c r="D11510" s="15">
        <f>IFERROR(__xludf.DUMMYFUNCTION("""COMPUTED_VALUE"""),1.096)</f>
        <v>1.096</v>
      </c>
      <c r="E11510" s="16">
        <f>IFERROR(__xludf.DUMMYFUNCTION("""COMPUTED_VALUE"""),65.0)</f>
        <v>65</v>
      </c>
      <c r="F11510" s="19" t="str">
        <f>IFERROR(__xludf.DUMMYFUNCTION("""COMPUTED_VALUE"""),"BLUE")</f>
        <v>BLUE</v>
      </c>
      <c r="G11510" s="20" t="str">
        <f>IFERROR(__xludf.DUMMYFUNCTION("""COMPUTED_VALUE"""),"Uncle Sams Cider (04/04/2023)")</f>
        <v>Uncle Sams Cider (04/04/2023)</v>
      </c>
      <c r="H11510" s="19"/>
    </row>
    <row r="11511">
      <c r="A11511" s="9"/>
      <c r="B11511" s="15"/>
      <c r="C11511" s="9">
        <f>IFERROR(__xludf.DUMMYFUNCTION("""COMPUTED_VALUE"""),45023.2675370486)</f>
        <v>45023.26754</v>
      </c>
      <c r="D11511" s="15">
        <f>IFERROR(__xludf.DUMMYFUNCTION("""COMPUTED_VALUE"""),1.096)</f>
        <v>1.096</v>
      </c>
      <c r="E11511" s="16">
        <f>IFERROR(__xludf.DUMMYFUNCTION("""COMPUTED_VALUE"""),65.0)</f>
        <v>65</v>
      </c>
      <c r="F11511" s="19" t="str">
        <f>IFERROR(__xludf.DUMMYFUNCTION("""COMPUTED_VALUE"""),"BLUE")</f>
        <v>BLUE</v>
      </c>
      <c r="G11511" s="20" t="str">
        <f>IFERROR(__xludf.DUMMYFUNCTION("""COMPUTED_VALUE"""),"Uncle Sams Cider (04/04/2023)")</f>
        <v>Uncle Sams Cider (04/04/2023)</v>
      </c>
      <c r="H11511" s="19"/>
    </row>
    <row r="11512">
      <c r="A11512" s="9"/>
      <c r="B11512" s="15"/>
      <c r="C11512" s="9">
        <f>IFERROR(__xludf.DUMMYFUNCTION("""COMPUTED_VALUE"""),45023.2571151736)</f>
        <v>45023.25712</v>
      </c>
      <c r="D11512" s="15">
        <f>IFERROR(__xludf.DUMMYFUNCTION("""COMPUTED_VALUE"""),1.096)</f>
        <v>1.096</v>
      </c>
      <c r="E11512" s="16">
        <f>IFERROR(__xludf.DUMMYFUNCTION("""COMPUTED_VALUE"""),65.0)</f>
        <v>65</v>
      </c>
      <c r="F11512" s="19" t="str">
        <f>IFERROR(__xludf.DUMMYFUNCTION("""COMPUTED_VALUE"""),"BLUE")</f>
        <v>BLUE</v>
      </c>
      <c r="G11512" s="20" t="str">
        <f>IFERROR(__xludf.DUMMYFUNCTION("""COMPUTED_VALUE"""),"Uncle Sams Cider (04/04/2023)")</f>
        <v>Uncle Sams Cider (04/04/2023)</v>
      </c>
      <c r="H11512" s="19"/>
    </row>
    <row r="11513">
      <c r="A11513" s="9"/>
      <c r="B11513" s="15"/>
      <c r="C11513" s="9">
        <f>IFERROR(__xludf.DUMMYFUNCTION("""COMPUTED_VALUE"""),45023.2466961111)</f>
        <v>45023.2467</v>
      </c>
      <c r="D11513" s="15">
        <f>IFERROR(__xludf.DUMMYFUNCTION("""COMPUTED_VALUE"""),1.096)</f>
        <v>1.096</v>
      </c>
      <c r="E11513" s="16">
        <f>IFERROR(__xludf.DUMMYFUNCTION("""COMPUTED_VALUE"""),65.0)</f>
        <v>65</v>
      </c>
      <c r="F11513" s="19" t="str">
        <f>IFERROR(__xludf.DUMMYFUNCTION("""COMPUTED_VALUE"""),"BLUE")</f>
        <v>BLUE</v>
      </c>
      <c r="G11513" s="20" t="str">
        <f>IFERROR(__xludf.DUMMYFUNCTION("""COMPUTED_VALUE"""),"Uncle Sams Cider (04/04/2023)")</f>
        <v>Uncle Sams Cider (04/04/2023)</v>
      </c>
      <c r="H11513" s="19"/>
    </row>
    <row r="11514">
      <c r="A11514" s="9"/>
      <c r="B11514" s="15"/>
      <c r="C11514" s="9">
        <f>IFERROR(__xludf.DUMMYFUNCTION("""COMPUTED_VALUE"""),45023.2362750231)</f>
        <v>45023.23628</v>
      </c>
      <c r="D11514" s="15">
        <f>IFERROR(__xludf.DUMMYFUNCTION("""COMPUTED_VALUE"""),1.096)</f>
        <v>1.096</v>
      </c>
      <c r="E11514" s="16">
        <f>IFERROR(__xludf.DUMMYFUNCTION("""COMPUTED_VALUE"""),65.0)</f>
        <v>65</v>
      </c>
      <c r="F11514" s="19" t="str">
        <f>IFERROR(__xludf.DUMMYFUNCTION("""COMPUTED_VALUE"""),"BLUE")</f>
        <v>BLUE</v>
      </c>
      <c r="G11514" s="20" t="str">
        <f>IFERROR(__xludf.DUMMYFUNCTION("""COMPUTED_VALUE"""),"Uncle Sams Cider (04/04/2023)")</f>
        <v>Uncle Sams Cider (04/04/2023)</v>
      </c>
      <c r="H11514" s="19"/>
    </row>
    <row r="11515">
      <c r="A11515" s="9"/>
      <c r="B11515" s="15"/>
      <c r="C11515" s="9">
        <f>IFERROR(__xludf.DUMMYFUNCTION("""COMPUTED_VALUE"""),45023.2258527893)</f>
        <v>45023.22585</v>
      </c>
      <c r="D11515" s="15">
        <f>IFERROR(__xludf.DUMMYFUNCTION("""COMPUTED_VALUE"""),1.096)</f>
        <v>1.096</v>
      </c>
      <c r="E11515" s="16">
        <f>IFERROR(__xludf.DUMMYFUNCTION("""COMPUTED_VALUE"""),65.0)</f>
        <v>65</v>
      </c>
      <c r="F11515" s="19" t="str">
        <f>IFERROR(__xludf.DUMMYFUNCTION("""COMPUTED_VALUE"""),"BLUE")</f>
        <v>BLUE</v>
      </c>
      <c r="G11515" s="20" t="str">
        <f>IFERROR(__xludf.DUMMYFUNCTION("""COMPUTED_VALUE"""),"Uncle Sams Cider (04/04/2023)")</f>
        <v>Uncle Sams Cider (04/04/2023)</v>
      </c>
      <c r="H11515" s="19"/>
    </row>
    <row r="11516">
      <c r="A11516" s="9"/>
      <c r="B11516" s="15"/>
      <c r="C11516" s="9">
        <f>IFERROR(__xludf.DUMMYFUNCTION("""COMPUTED_VALUE"""),45023.2154322569)</f>
        <v>45023.21543</v>
      </c>
      <c r="D11516" s="15">
        <f>IFERROR(__xludf.DUMMYFUNCTION("""COMPUTED_VALUE"""),1.096)</f>
        <v>1.096</v>
      </c>
      <c r="E11516" s="16">
        <f>IFERROR(__xludf.DUMMYFUNCTION("""COMPUTED_VALUE"""),65.0)</f>
        <v>65</v>
      </c>
      <c r="F11516" s="19" t="str">
        <f>IFERROR(__xludf.DUMMYFUNCTION("""COMPUTED_VALUE"""),"BLUE")</f>
        <v>BLUE</v>
      </c>
      <c r="G11516" s="20" t="str">
        <f>IFERROR(__xludf.DUMMYFUNCTION("""COMPUTED_VALUE"""),"Uncle Sams Cider (04/04/2023)")</f>
        <v>Uncle Sams Cider (04/04/2023)</v>
      </c>
      <c r="H11516" s="19"/>
    </row>
    <row r="11517">
      <c r="A11517" s="9"/>
      <c r="B11517" s="15"/>
      <c r="C11517" s="9">
        <f>IFERROR(__xludf.DUMMYFUNCTION("""COMPUTED_VALUE"""),45023.2050102546)</f>
        <v>45023.20501</v>
      </c>
      <c r="D11517" s="15">
        <f>IFERROR(__xludf.DUMMYFUNCTION("""COMPUTED_VALUE"""),1.096)</f>
        <v>1.096</v>
      </c>
      <c r="E11517" s="16">
        <f>IFERROR(__xludf.DUMMYFUNCTION("""COMPUTED_VALUE"""),65.0)</f>
        <v>65</v>
      </c>
      <c r="F11517" s="19" t="str">
        <f>IFERROR(__xludf.DUMMYFUNCTION("""COMPUTED_VALUE"""),"BLUE")</f>
        <v>BLUE</v>
      </c>
      <c r="G11517" s="20" t="str">
        <f>IFERROR(__xludf.DUMMYFUNCTION("""COMPUTED_VALUE"""),"Uncle Sams Cider (04/04/2023)")</f>
        <v>Uncle Sams Cider (04/04/2023)</v>
      </c>
      <c r="H11517" s="19"/>
    </row>
    <row r="11518">
      <c r="A11518" s="9"/>
      <c r="B11518" s="15"/>
      <c r="C11518" s="9">
        <f>IFERROR(__xludf.DUMMYFUNCTION("""COMPUTED_VALUE"""),45023.1945869907)</f>
        <v>45023.19459</v>
      </c>
      <c r="D11518" s="15">
        <f>IFERROR(__xludf.DUMMYFUNCTION("""COMPUTED_VALUE"""),1.097)</f>
        <v>1.097</v>
      </c>
      <c r="E11518" s="16">
        <f>IFERROR(__xludf.DUMMYFUNCTION("""COMPUTED_VALUE"""),65.0)</f>
        <v>65</v>
      </c>
      <c r="F11518" s="19" t="str">
        <f>IFERROR(__xludf.DUMMYFUNCTION("""COMPUTED_VALUE"""),"BLUE")</f>
        <v>BLUE</v>
      </c>
      <c r="G11518" s="20" t="str">
        <f>IFERROR(__xludf.DUMMYFUNCTION("""COMPUTED_VALUE"""),"Uncle Sams Cider (04/04/2023)")</f>
        <v>Uncle Sams Cider (04/04/2023)</v>
      </c>
      <c r="H11518" s="19"/>
    </row>
    <row r="11519">
      <c r="A11519" s="9"/>
      <c r="B11519" s="15"/>
      <c r="C11519" s="9">
        <f>IFERROR(__xludf.DUMMYFUNCTION("""COMPUTED_VALUE"""),45023.1841669676)</f>
        <v>45023.18417</v>
      </c>
      <c r="D11519" s="15">
        <f>IFERROR(__xludf.DUMMYFUNCTION("""COMPUTED_VALUE"""),1.097)</f>
        <v>1.097</v>
      </c>
      <c r="E11519" s="16">
        <f>IFERROR(__xludf.DUMMYFUNCTION("""COMPUTED_VALUE"""),65.0)</f>
        <v>65</v>
      </c>
      <c r="F11519" s="19" t="str">
        <f>IFERROR(__xludf.DUMMYFUNCTION("""COMPUTED_VALUE"""),"BLUE")</f>
        <v>BLUE</v>
      </c>
      <c r="G11519" s="20" t="str">
        <f>IFERROR(__xludf.DUMMYFUNCTION("""COMPUTED_VALUE"""),"Uncle Sams Cider (04/04/2023)")</f>
        <v>Uncle Sams Cider (04/04/2023)</v>
      </c>
      <c r="H11519" s="19"/>
    </row>
    <row r="11520">
      <c r="A11520" s="9"/>
      <c r="B11520" s="15"/>
      <c r="C11520" s="9">
        <f>IFERROR(__xludf.DUMMYFUNCTION("""COMPUTED_VALUE"""),45023.1737349537)</f>
        <v>45023.17373</v>
      </c>
      <c r="D11520" s="15">
        <f>IFERROR(__xludf.DUMMYFUNCTION("""COMPUTED_VALUE"""),1.097)</f>
        <v>1.097</v>
      </c>
      <c r="E11520" s="16">
        <f>IFERROR(__xludf.DUMMYFUNCTION("""COMPUTED_VALUE"""),65.0)</f>
        <v>65</v>
      </c>
      <c r="F11520" s="19" t="str">
        <f>IFERROR(__xludf.DUMMYFUNCTION("""COMPUTED_VALUE"""),"BLUE")</f>
        <v>BLUE</v>
      </c>
      <c r="G11520" s="20" t="str">
        <f>IFERROR(__xludf.DUMMYFUNCTION("""COMPUTED_VALUE"""),"Uncle Sams Cider (04/04/2023)")</f>
        <v>Uncle Sams Cider (04/04/2023)</v>
      </c>
      <c r="H11520" s="19"/>
    </row>
    <row r="11521">
      <c r="A11521" s="9"/>
      <c r="B11521" s="15"/>
      <c r="C11521" s="9">
        <f>IFERROR(__xludf.DUMMYFUNCTION("""COMPUTED_VALUE"""),45023.16331375)</f>
        <v>45023.16331</v>
      </c>
      <c r="D11521" s="15">
        <f>IFERROR(__xludf.DUMMYFUNCTION("""COMPUTED_VALUE"""),1.096)</f>
        <v>1.096</v>
      </c>
      <c r="E11521" s="16">
        <f>IFERROR(__xludf.DUMMYFUNCTION("""COMPUTED_VALUE"""),65.0)</f>
        <v>65</v>
      </c>
      <c r="F11521" s="19" t="str">
        <f>IFERROR(__xludf.DUMMYFUNCTION("""COMPUTED_VALUE"""),"BLUE")</f>
        <v>BLUE</v>
      </c>
      <c r="G11521" s="20" t="str">
        <f>IFERROR(__xludf.DUMMYFUNCTION("""COMPUTED_VALUE"""),"Uncle Sams Cider (04/04/2023)")</f>
        <v>Uncle Sams Cider (04/04/2023)</v>
      </c>
      <c r="H11521" s="19"/>
    </row>
    <row r="11522">
      <c r="A11522" s="9"/>
      <c r="B11522" s="15"/>
      <c r="C11522" s="9">
        <f>IFERROR(__xludf.DUMMYFUNCTION("""COMPUTED_VALUE"""),45023.1528931944)</f>
        <v>45023.15289</v>
      </c>
      <c r="D11522" s="15">
        <f>IFERROR(__xludf.DUMMYFUNCTION("""COMPUTED_VALUE"""),1.097)</f>
        <v>1.097</v>
      </c>
      <c r="E11522" s="16">
        <f>IFERROR(__xludf.DUMMYFUNCTION("""COMPUTED_VALUE"""),65.0)</f>
        <v>65</v>
      </c>
      <c r="F11522" s="19" t="str">
        <f>IFERROR(__xludf.DUMMYFUNCTION("""COMPUTED_VALUE"""),"BLUE")</f>
        <v>BLUE</v>
      </c>
      <c r="G11522" s="20" t="str">
        <f>IFERROR(__xludf.DUMMYFUNCTION("""COMPUTED_VALUE"""),"Uncle Sams Cider (04/04/2023)")</f>
        <v>Uncle Sams Cider (04/04/2023)</v>
      </c>
      <c r="H11522" s="19"/>
    </row>
    <row r="11523">
      <c r="A11523" s="9"/>
      <c r="B11523" s="15"/>
      <c r="C11523" s="9">
        <f>IFERROR(__xludf.DUMMYFUNCTION("""COMPUTED_VALUE"""),45023.1424708217)</f>
        <v>45023.14247</v>
      </c>
      <c r="D11523" s="15">
        <f>IFERROR(__xludf.DUMMYFUNCTION("""COMPUTED_VALUE"""),1.097)</f>
        <v>1.097</v>
      </c>
      <c r="E11523" s="16">
        <f>IFERROR(__xludf.DUMMYFUNCTION("""COMPUTED_VALUE"""),65.0)</f>
        <v>65</v>
      </c>
      <c r="F11523" s="19" t="str">
        <f>IFERROR(__xludf.DUMMYFUNCTION("""COMPUTED_VALUE"""),"BLUE")</f>
        <v>BLUE</v>
      </c>
      <c r="G11523" s="20" t="str">
        <f>IFERROR(__xludf.DUMMYFUNCTION("""COMPUTED_VALUE"""),"Uncle Sams Cider (04/04/2023)")</f>
        <v>Uncle Sams Cider (04/04/2023)</v>
      </c>
      <c r="H11523" s="19"/>
    </row>
    <row r="11524">
      <c r="A11524" s="9"/>
      <c r="B11524" s="15"/>
      <c r="C11524" s="9">
        <f>IFERROR(__xludf.DUMMYFUNCTION("""COMPUTED_VALUE"""),45023.1320493287)</f>
        <v>45023.13205</v>
      </c>
      <c r="D11524" s="15">
        <f>IFERROR(__xludf.DUMMYFUNCTION("""COMPUTED_VALUE"""),1.097)</f>
        <v>1.097</v>
      </c>
      <c r="E11524" s="16">
        <f>IFERROR(__xludf.DUMMYFUNCTION("""COMPUTED_VALUE"""),65.0)</f>
        <v>65</v>
      </c>
      <c r="F11524" s="19" t="str">
        <f>IFERROR(__xludf.DUMMYFUNCTION("""COMPUTED_VALUE"""),"BLUE")</f>
        <v>BLUE</v>
      </c>
      <c r="G11524" s="20" t="str">
        <f>IFERROR(__xludf.DUMMYFUNCTION("""COMPUTED_VALUE"""),"Uncle Sams Cider (04/04/2023)")</f>
        <v>Uncle Sams Cider (04/04/2023)</v>
      </c>
      <c r="H11524" s="19"/>
    </row>
    <row r="11525">
      <c r="A11525" s="9"/>
      <c r="B11525" s="15"/>
      <c r="C11525" s="9">
        <f>IFERROR(__xludf.DUMMYFUNCTION("""COMPUTED_VALUE"""),45023.1216285879)</f>
        <v>45023.12163</v>
      </c>
      <c r="D11525" s="15">
        <f>IFERROR(__xludf.DUMMYFUNCTION("""COMPUTED_VALUE"""),1.097)</f>
        <v>1.097</v>
      </c>
      <c r="E11525" s="16">
        <f>IFERROR(__xludf.DUMMYFUNCTION("""COMPUTED_VALUE"""),65.0)</f>
        <v>65</v>
      </c>
      <c r="F11525" s="19" t="str">
        <f>IFERROR(__xludf.DUMMYFUNCTION("""COMPUTED_VALUE"""),"BLUE")</f>
        <v>BLUE</v>
      </c>
      <c r="G11525" s="20" t="str">
        <f>IFERROR(__xludf.DUMMYFUNCTION("""COMPUTED_VALUE"""),"Uncle Sams Cider (04/04/2023)")</f>
        <v>Uncle Sams Cider (04/04/2023)</v>
      </c>
      <c r="H11525" s="19"/>
    </row>
    <row r="11526">
      <c r="A11526" s="9"/>
      <c r="B11526" s="15"/>
      <c r="C11526" s="9">
        <f>IFERROR(__xludf.DUMMYFUNCTION("""COMPUTED_VALUE"""),45023.1112076736)</f>
        <v>45023.11121</v>
      </c>
      <c r="D11526" s="15">
        <f>IFERROR(__xludf.DUMMYFUNCTION("""COMPUTED_VALUE"""),1.098)</f>
        <v>1.098</v>
      </c>
      <c r="E11526" s="16">
        <f>IFERROR(__xludf.DUMMYFUNCTION("""COMPUTED_VALUE"""),65.0)</f>
        <v>65</v>
      </c>
      <c r="F11526" s="19" t="str">
        <f>IFERROR(__xludf.DUMMYFUNCTION("""COMPUTED_VALUE"""),"BLUE")</f>
        <v>BLUE</v>
      </c>
      <c r="G11526" s="20" t="str">
        <f>IFERROR(__xludf.DUMMYFUNCTION("""COMPUTED_VALUE"""),"Uncle Sams Cider (04/04/2023)")</f>
        <v>Uncle Sams Cider (04/04/2023)</v>
      </c>
      <c r="H11526" s="19"/>
    </row>
    <row r="11527">
      <c r="A11527" s="9"/>
      <c r="B11527" s="15"/>
      <c r="C11527" s="9">
        <f>IFERROR(__xludf.DUMMYFUNCTION("""COMPUTED_VALUE"""),45023.1007871527)</f>
        <v>45023.10079</v>
      </c>
      <c r="D11527" s="15">
        <f>IFERROR(__xludf.DUMMYFUNCTION("""COMPUTED_VALUE"""),1.097)</f>
        <v>1.097</v>
      </c>
      <c r="E11527" s="16">
        <f>IFERROR(__xludf.DUMMYFUNCTION("""COMPUTED_VALUE"""),65.0)</f>
        <v>65</v>
      </c>
      <c r="F11527" s="19" t="str">
        <f>IFERROR(__xludf.DUMMYFUNCTION("""COMPUTED_VALUE"""),"BLUE")</f>
        <v>BLUE</v>
      </c>
      <c r="G11527" s="20" t="str">
        <f>IFERROR(__xludf.DUMMYFUNCTION("""COMPUTED_VALUE"""),"Uncle Sams Cider (04/04/2023)")</f>
        <v>Uncle Sams Cider (04/04/2023)</v>
      </c>
      <c r="H11527" s="19"/>
    </row>
    <row r="11528">
      <c r="A11528" s="9"/>
      <c r="B11528" s="15"/>
      <c r="C11528" s="9">
        <f>IFERROR(__xludf.DUMMYFUNCTION("""COMPUTED_VALUE"""),45023.0903661805)</f>
        <v>45023.09037</v>
      </c>
      <c r="D11528" s="15">
        <f>IFERROR(__xludf.DUMMYFUNCTION("""COMPUTED_VALUE"""),1.097)</f>
        <v>1.097</v>
      </c>
      <c r="E11528" s="16">
        <f>IFERROR(__xludf.DUMMYFUNCTION("""COMPUTED_VALUE"""),65.0)</f>
        <v>65</v>
      </c>
      <c r="F11528" s="19" t="str">
        <f>IFERROR(__xludf.DUMMYFUNCTION("""COMPUTED_VALUE"""),"BLUE")</f>
        <v>BLUE</v>
      </c>
      <c r="G11528" s="20" t="str">
        <f>IFERROR(__xludf.DUMMYFUNCTION("""COMPUTED_VALUE"""),"Uncle Sams Cider (04/04/2023)")</f>
        <v>Uncle Sams Cider (04/04/2023)</v>
      </c>
      <c r="H11528" s="19"/>
    </row>
    <row r="11529">
      <c r="A11529" s="9"/>
      <c r="B11529" s="15"/>
      <c r="C11529" s="9">
        <f>IFERROR(__xludf.DUMMYFUNCTION("""COMPUTED_VALUE"""),45023.0799335185)</f>
        <v>45023.07993</v>
      </c>
      <c r="D11529" s="15">
        <f>IFERROR(__xludf.DUMMYFUNCTION("""COMPUTED_VALUE"""),1.097)</f>
        <v>1.097</v>
      </c>
      <c r="E11529" s="16">
        <f>IFERROR(__xludf.DUMMYFUNCTION("""COMPUTED_VALUE"""),65.0)</f>
        <v>65</v>
      </c>
      <c r="F11529" s="19" t="str">
        <f>IFERROR(__xludf.DUMMYFUNCTION("""COMPUTED_VALUE"""),"BLUE")</f>
        <v>BLUE</v>
      </c>
      <c r="G11529" s="20" t="str">
        <f>IFERROR(__xludf.DUMMYFUNCTION("""COMPUTED_VALUE"""),"Uncle Sams Cider (04/04/2023)")</f>
        <v>Uncle Sams Cider (04/04/2023)</v>
      </c>
      <c r="H11529" s="19"/>
    </row>
    <row r="11530">
      <c r="A11530" s="9"/>
      <c r="B11530" s="15"/>
      <c r="C11530" s="9">
        <f>IFERROR(__xludf.DUMMYFUNCTION("""COMPUTED_VALUE"""),45023.0694905902)</f>
        <v>45023.06949</v>
      </c>
      <c r="D11530" s="15">
        <f>IFERROR(__xludf.DUMMYFUNCTION("""COMPUTED_VALUE"""),1.097)</f>
        <v>1.097</v>
      </c>
      <c r="E11530" s="16">
        <f>IFERROR(__xludf.DUMMYFUNCTION("""COMPUTED_VALUE"""),65.0)</f>
        <v>65</v>
      </c>
      <c r="F11530" s="19" t="str">
        <f>IFERROR(__xludf.DUMMYFUNCTION("""COMPUTED_VALUE"""),"BLUE")</f>
        <v>BLUE</v>
      </c>
      <c r="G11530" s="20" t="str">
        <f>IFERROR(__xludf.DUMMYFUNCTION("""COMPUTED_VALUE"""),"Uncle Sams Cider (04/04/2023)")</f>
        <v>Uncle Sams Cider (04/04/2023)</v>
      </c>
      <c r="H11530" s="19"/>
    </row>
    <row r="11531">
      <c r="A11531" s="9"/>
      <c r="B11531" s="15"/>
      <c r="C11531" s="9">
        <f>IFERROR(__xludf.DUMMYFUNCTION("""COMPUTED_VALUE"""),45023.0590709143)</f>
        <v>45023.05907</v>
      </c>
      <c r="D11531" s="15">
        <f>IFERROR(__xludf.DUMMYFUNCTION("""COMPUTED_VALUE"""),1.098)</f>
        <v>1.098</v>
      </c>
      <c r="E11531" s="16">
        <f>IFERROR(__xludf.DUMMYFUNCTION("""COMPUTED_VALUE"""),65.0)</f>
        <v>65</v>
      </c>
      <c r="F11531" s="19" t="str">
        <f>IFERROR(__xludf.DUMMYFUNCTION("""COMPUTED_VALUE"""),"BLUE")</f>
        <v>BLUE</v>
      </c>
      <c r="G11531" s="20" t="str">
        <f>IFERROR(__xludf.DUMMYFUNCTION("""COMPUTED_VALUE"""),"Uncle Sams Cider (04/04/2023)")</f>
        <v>Uncle Sams Cider (04/04/2023)</v>
      </c>
      <c r="H11531" s="19"/>
    </row>
    <row r="11532">
      <c r="A11532" s="9"/>
      <c r="B11532" s="15"/>
      <c r="C11532" s="9">
        <f>IFERROR(__xludf.DUMMYFUNCTION("""COMPUTED_VALUE"""),45023.0486498263)</f>
        <v>45023.04865</v>
      </c>
      <c r="D11532" s="15">
        <f>IFERROR(__xludf.DUMMYFUNCTION("""COMPUTED_VALUE"""),1.098)</f>
        <v>1.098</v>
      </c>
      <c r="E11532" s="16">
        <f>IFERROR(__xludf.DUMMYFUNCTION("""COMPUTED_VALUE"""),65.0)</f>
        <v>65</v>
      </c>
      <c r="F11532" s="19" t="str">
        <f>IFERROR(__xludf.DUMMYFUNCTION("""COMPUTED_VALUE"""),"BLUE")</f>
        <v>BLUE</v>
      </c>
      <c r="G11532" s="20" t="str">
        <f>IFERROR(__xludf.DUMMYFUNCTION("""COMPUTED_VALUE"""),"Uncle Sams Cider (04/04/2023)")</f>
        <v>Uncle Sams Cider (04/04/2023)</v>
      </c>
      <c r="H11532" s="19"/>
    </row>
    <row r="11533">
      <c r="A11533" s="9"/>
      <c r="B11533" s="15"/>
      <c r="C11533" s="9">
        <f>IFERROR(__xludf.DUMMYFUNCTION("""COMPUTED_VALUE"""),45023.0382275)</f>
        <v>45023.03823</v>
      </c>
      <c r="D11533" s="15">
        <f>IFERROR(__xludf.DUMMYFUNCTION("""COMPUTED_VALUE"""),1.097)</f>
        <v>1.097</v>
      </c>
      <c r="E11533" s="16">
        <f>IFERROR(__xludf.DUMMYFUNCTION("""COMPUTED_VALUE"""),65.0)</f>
        <v>65</v>
      </c>
      <c r="F11533" s="19" t="str">
        <f>IFERROR(__xludf.DUMMYFUNCTION("""COMPUTED_VALUE"""),"BLUE")</f>
        <v>BLUE</v>
      </c>
      <c r="G11533" s="20" t="str">
        <f>IFERROR(__xludf.DUMMYFUNCTION("""COMPUTED_VALUE"""),"Uncle Sams Cider (04/04/2023)")</f>
        <v>Uncle Sams Cider (04/04/2023)</v>
      </c>
      <c r="H11533" s="19"/>
    </row>
    <row r="11534">
      <c r="A11534" s="9"/>
      <c r="B11534" s="15"/>
      <c r="C11534" s="9">
        <f>IFERROR(__xludf.DUMMYFUNCTION("""COMPUTED_VALUE"""),45023.0278069675)</f>
        <v>45023.02781</v>
      </c>
      <c r="D11534" s="15">
        <f>IFERROR(__xludf.DUMMYFUNCTION("""COMPUTED_VALUE"""),1.097)</f>
        <v>1.097</v>
      </c>
      <c r="E11534" s="16">
        <f>IFERROR(__xludf.DUMMYFUNCTION("""COMPUTED_VALUE"""),65.0)</f>
        <v>65</v>
      </c>
      <c r="F11534" s="19" t="str">
        <f>IFERROR(__xludf.DUMMYFUNCTION("""COMPUTED_VALUE"""),"BLUE")</f>
        <v>BLUE</v>
      </c>
      <c r="G11534" s="20" t="str">
        <f>IFERROR(__xludf.DUMMYFUNCTION("""COMPUTED_VALUE"""),"Uncle Sams Cider (04/04/2023)")</f>
        <v>Uncle Sams Cider (04/04/2023)</v>
      </c>
      <c r="H11534" s="19"/>
    </row>
    <row r="11535">
      <c r="A11535" s="9"/>
      <c r="B11535" s="15"/>
      <c r="C11535" s="9">
        <f>IFERROR(__xludf.DUMMYFUNCTION("""COMPUTED_VALUE"""),45023.0173853472)</f>
        <v>45023.01739</v>
      </c>
      <c r="D11535" s="15">
        <f>IFERROR(__xludf.DUMMYFUNCTION("""COMPUTED_VALUE"""),1.097)</f>
        <v>1.097</v>
      </c>
      <c r="E11535" s="16">
        <f>IFERROR(__xludf.DUMMYFUNCTION("""COMPUTED_VALUE"""),65.0)</f>
        <v>65</v>
      </c>
      <c r="F11535" s="19" t="str">
        <f>IFERROR(__xludf.DUMMYFUNCTION("""COMPUTED_VALUE"""),"BLUE")</f>
        <v>BLUE</v>
      </c>
      <c r="G11535" s="20" t="str">
        <f>IFERROR(__xludf.DUMMYFUNCTION("""COMPUTED_VALUE"""),"Uncle Sams Cider (04/04/2023)")</f>
        <v>Uncle Sams Cider (04/04/2023)</v>
      </c>
      <c r="H11535" s="19"/>
    </row>
    <row r="11536">
      <c r="A11536" s="9"/>
      <c r="B11536" s="15"/>
      <c r="C11536" s="9">
        <f>IFERROR(__xludf.DUMMYFUNCTION("""COMPUTED_VALUE"""),45023.0069625)</f>
        <v>45023.00696</v>
      </c>
      <c r="D11536" s="15">
        <f>IFERROR(__xludf.DUMMYFUNCTION("""COMPUTED_VALUE"""),1.097)</f>
        <v>1.097</v>
      </c>
      <c r="E11536" s="16">
        <f>IFERROR(__xludf.DUMMYFUNCTION("""COMPUTED_VALUE"""),65.0)</f>
        <v>65</v>
      </c>
      <c r="F11536" s="19" t="str">
        <f>IFERROR(__xludf.DUMMYFUNCTION("""COMPUTED_VALUE"""),"BLUE")</f>
        <v>BLUE</v>
      </c>
      <c r="G11536" s="20" t="str">
        <f>IFERROR(__xludf.DUMMYFUNCTION("""COMPUTED_VALUE"""),"Uncle Sams Cider (04/04/2023)")</f>
        <v>Uncle Sams Cider (04/04/2023)</v>
      </c>
      <c r="H11536" s="19"/>
    </row>
    <row r="11537">
      <c r="A11537" s="9"/>
      <c r="B11537" s="15"/>
      <c r="C11537" s="9">
        <f>IFERROR(__xludf.DUMMYFUNCTION("""COMPUTED_VALUE"""),45022.9965293287)</f>
        <v>45022.99653</v>
      </c>
      <c r="D11537" s="15">
        <f>IFERROR(__xludf.DUMMYFUNCTION("""COMPUTED_VALUE"""),1.097)</f>
        <v>1.097</v>
      </c>
      <c r="E11537" s="16">
        <f>IFERROR(__xludf.DUMMYFUNCTION("""COMPUTED_VALUE"""),65.0)</f>
        <v>65</v>
      </c>
      <c r="F11537" s="19" t="str">
        <f>IFERROR(__xludf.DUMMYFUNCTION("""COMPUTED_VALUE"""),"BLUE")</f>
        <v>BLUE</v>
      </c>
      <c r="G11537" s="20" t="str">
        <f>IFERROR(__xludf.DUMMYFUNCTION("""COMPUTED_VALUE"""),"Uncle Sams Cider (04/04/2023)")</f>
        <v>Uncle Sams Cider (04/04/2023)</v>
      </c>
      <c r="H11537" s="19"/>
    </row>
    <row r="11538">
      <c r="A11538" s="9"/>
      <c r="B11538" s="15"/>
      <c r="C11538" s="9">
        <f>IFERROR(__xludf.DUMMYFUNCTION("""COMPUTED_VALUE"""),45022.9861081481)</f>
        <v>45022.98611</v>
      </c>
      <c r="D11538" s="15">
        <f>IFERROR(__xludf.DUMMYFUNCTION("""COMPUTED_VALUE"""),1.096)</f>
        <v>1.096</v>
      </c>
      <c r="E11538" s="16">
        <f>IFERROR(__xludf.DUMMYFUNCTION("""COMPUTED_VALUE"""),65.0)</f>
        <v>65</v>
      </c>
      <c r="F11538" s="19" t="str">
        <f>IFERROR(__xludf.DUMMYFUNCTION("""COMPUTED_VALUE"""),"BLUE")</f>
        <v>BLUE</v>
      </c>
      <c r="G11538" s="20" t="str">
        <f>IFERROR(__xludf.DUMMYFUNCTION("""COMPUTED_VALUE"""),"Uncle Sams Cider (04/04/2023)")</f>
        <v>Uncle Sams Cider (04/04/2023)</v>
      </c>
      <c r="H11538" s="19"/>
    </row>
    <row r="11539">
      <c r="A11539" s="9"/>
      <c r="B11539" s="15"/>
      <c r="C11539" s="9">
        <f>IFERROR(__xludf.DUMMYFUNCTION("""COMPUTED_VALUE"""),45022.9756621527)</f>
        <v>45022.97566</v>
      </c>
      <c r="D11539" s="15">
        <f>IFERROR(__xludf.DUMMYFUNCTION("""COMPUTED_VALUE"""),1.097)</f>
        <v>1.097</v>
      </c>
      <c r="E11539" s="16">
        <f>IFERROR(__xludf.DUMMYFUNCTION("""COMPUTED_VALUE"""),65.0)</f>
        <v>65</v>
      </c>
      <c r="F11539" s="19" t="str">
        <f>IFERROR(__xludf.DUMMYFUNCTION("""COMPUTED_VALUE"""),"BLUE")</f>
        <v>BLUE</v>
      </c>
      <c r="G11539" s="20" t="str">
        <f>IFERROR(__xludf.DUMMYFUNCTION("""COMPUTED_VALUE"""),"Uncle Sams Cider (04/04/2023)")</f>
        <v>Uncle Sams Cider (04/04/2023)</v>
      </c>
      <c r="H11539" s="19"/>
    </row>
    <row r="11540">
      <c r="A11540" s="9"/>
      <c r="B11540" s="15"/>
      <c r="C11540" s="9">
        <f>IFERROR(__xludf.DUMMYFUNCTION("""COMPUTED_VALUE"""),45022.965240081)</f>
        <v>45022.96524</v>
      </c>
      <c r="D11540" s="15">
        <f>IFERROR(__xludf.DUMMYFUNCTION("""COMPUTED_VALUE"""),1.098)</f>
        <v>1.098</v>
      </c>
      <c r="E11540" s="16">
        <f>IFERROR(__xludf.DUMMYFUNCTION("""COMPUTED_VALUE"""),65.0)</f>
        <v>65</v>
      </c>
      <c r="F11540" s="19" t="str">
        <f>IFERROR(__xludf.DUMMYFUNCTION("""COMPUTED_VALUE"""),"BLUE")</f>
        <v>BLUE</v>
      </c>
      <c r="G11540" s="20" t="str">
        <f>IFERROR(__xludf.DUMMYFUNCTION("""COMPUTED_VALUE"""),"Uncle Sams Cider (04/04/2023)")</f>
        <v>Uncle Sams Cider (04/04/2023)</v>
      </c>
      <c r="H11540" s="19"/>
    </row>
    <row r="11541">
      <c r="A11541" s="9"/>
      <c r="B11541" s="15"/>
      <c r="C11541" s="9">
        <f>IFERROR(__xludf.DUMMYFUNCTION("""COMPUTED_VALUE"""),45022.9548074884)</f>
        <v>45022.95481</v>
      </c>
      <c r="D11541" s="15">
        <f>IFERROR(__xludf.DUMMYFUNCTION("""COMPUTED_VALUE"""),1.098)</f>
        <v>1.098</v>
      </c>
      <c r="E11541" s="16">
        <f>IFERROR(__xludf.DUMMYFUNCTION("""COMPUTED_VALUE"""),65.0)</f>
        <v>65</v>
      </c>
      <c r="F11541" s="19" t="str">
        <f>IFERROR(__xludf.DUMMYFUNCTION("""COMPUTED_VALUE"""),"BLUE")</f>
        <v>BLUE</v>
      </c>
      <c r="G11541" s="20" t="str">
        <f>IFERROR(__xludf.DUMMYFUNCTION("""COMPUTED_VALUE"""),"Uncle Sams Cider (04/04/2023)")</f>
        <v>Uncle Sams Cider (04/04/2023)</v>
      </c>
      <c r="H11541" s="19"/>
    </row>
    <row r="11542">
      <c r="A11542" s="9"/>
      <c r="B11542" s="15"/>
      <c r="C11542" s="9">
        <f>IFERROR(__xludf.DUMMYFUNCTION("""COMPUTED_VALUE"""),45022.944388368)</f>
        <v>45022.94439</v>
      </c>
      <c r="D11542" s="15">
        <f>IFERROR(__xludf.DUMMYFUNCTION("""COMPUTED_VALUE"""),1.098)</f>
        <v>1.098</v>
      </c>
      <c r="E11542" s="16">
        <f>IFERROR(__xludf.DUMMYFUNCTION("""COMPUTED_VALUE"""),65.0)</f>
        <v>65</v>
      </c>
      <c r="F11542" s="19" t="str">
        <f>IFERROR(__xludf.DUMMYFUNCTION("""COMPUTED_VALUE"""),"BLUE")</f>
        <v>BLUE</v>
      </c>
      <c r="G11542" s="20" t="str">
        <f>IFERROR(__xludf.DUMMYFUNCTION("""COMPUTED_VALUE"""),"Uncle Sams Cider (04/04/2023)")</f>
        <v>Uncle Sams Cider (04/04/2023)</v>
      </c>
      <c r="H11542" s="19"/>
    </row>
    <row r="11543">
      <c r="A11543" s="9"/>
      <c r="B11543" s="15"/>
      <c r="C11543" s="9">
        <f>IFERROR(__xludf.DUMMYFUNCTION("""COMPUTED_VALUE"""),45022.9339424421)</f>
        <v>45022.93394</v>
      </c>
      <c r="D11543" s="15">
        <f>IFERROR(__xludf.DUMMYFUNCTION("""COMPUTED_VALUE"""),1.097)</f>
        <v>1.097</v>
      </c>
      <c r="E11543" s="16">
        <f>IFERROR(__xludf.DUMMYFUNCTION("""COMPUTED_VALUE"""),65.0)</f>
        <v>65</v>
      </c>
      <c r="F11543" s="19" t="str">
        <f>IFERROR(__xludf.DUMMYFUNCTION("""COMPUTED_VALUE"""),"BLUE")</f>
        <v>BLUE</v>
      </c>
      <c r="G11543" s="20" t="str">
        <f>IFERROR(__xludf.DUMMYFUNCTION("""COMPUTED_VALUE"""),"Uncle Sams Cider (04/04/2023)")</f>
        <v>Uncle Sams Cider (04/04/2023)</v>
      </c>
      <c r="H11543" s="19"/>
    </row>
    <row r="11544">
      <c r="A11544" s="9"/>
      <c r="B11544" s="15"/>
      <c r="C11544" s="9">
        <f>IFERROR(__xludf.DUMMYFUNCTION("""COMPUTED_VALUE"""),45022.9234967592)</f>
        <v>45022.9235</v>
      </c>
      <c r="D11544" s="15">
        <f>IFERROR(__xludf.DUMMYFUNCTION("""COMPUTED_VALUE"""),1.097)</f>
        <v>1.097</v>
      </c>
      <c r="E11544" s="16">
        <f>IFERROR(__xludf.DUMMYFUNCTION("""COMPUTED_VALUE"""),65.0)</f>
        <v>65</v>
      </c>
      <c r="F11544" s="19" t="str">
        <f>IFERROR(__xludf.DUMMYFUNCTION("""COMPUTED_VALUE"""),"BLUE")</f>
        <v>BLUE</v>
      </c>
      <c r="G11544" s="20" t="str">
        <f>IFERROR(__xludf.DUMMYFUNCTION("""COMPUTED_VALUE"""),"Uncle Sams Cider (04/04/2023)")</f>
        <v>Uncle Sams Cider (04/04/2023)</v>
      </c>
      <c r="H11544" s="19"/>
    </row>
    <row r="11545">
      <c r="A11545" s="9"/>
      <c r="B11545" s="15"/>
      <c r="C11545" s="9">
        <f>IFERROR(__xludf.DUMMYFUNCTION("""COMPUTED_VALUE"""),45022.9130755092)</f>
        <v>45022.91308</v>
      </c>
      <c r="D11545" s="15">
        <f>IFERROR(__xludf.DUMMYFUNCTION("""COMPUTED_VALUE"""),1.098)</f>
        <v>1.098</v>
      </c>
      <c r="E11545" s="16">
        <f>IFERROR(__xludf.DUMMYFUNCTION("""COMPUTED_VALUE"""),65.0)</f>
        <v>65</v>
      </c>
      <c r="F11545" s="19" t="str">
        <f>IFERROR(__xludf.DUMMYFUNCTION("""COMPUTED_VALUE"""),"BLUE")</f>
        <v>BLUE</v>
      </c>
      <c r="G11545" s="20" t="str">
        <f>IFERROR(__xludf.DUMMYFUNCTION("""COMPUTED_VALUE"""),"Uncle Sams Cider (04/04/2023)")</f>
        <v>Uncle Sams Cider (04/04/2023)</v>
      </c>
      <c r="H11545" s="19"/>
    </row>
    <row r="11546">
      <c r="A11546" s="9"/>
      <c r="B11546" s="15"/>
      <c r="C11546" s="9">
        <f>IFERROR(__xludf.DUMMYFUNCTION("""COMPUTED_VALUE"""),45022.9026414583)</f>
        <v>45022.90264</v>
      </c>
      <c r="D11546" s="15">
        <f>IFERROR(__xludf.DUMMYFUNCTION("""COMPUTED_VALUE"""),1.099)</f>
        <v>1.099</v>
      </c>
      <c r="E11546" s="16">
        <f>IFERROR(__xludf.DUMMYFUNCTION("""COMPUTED_VALUE"""),65.0)</f>
        <v>65</v>
      </c>
      <c r="F11546" s="19" t="str">
        <f>IFERROR(__xludf.DUMMYFUNCTION("""COMPUTED_VALUE"""),"BLUE")</f>
        <v>BLUE</v>
      </c>
      <c r="G11546" s="20" t="str">
        <f>IFERROR(__xludf.DUMMYFUNCTION("""COMPUTED_VALUE"""),"Uncle Sams Cider (04/04/2023)")</f>
        <v>Uncle Sams Cider (04/04/2023)</v>
      </c>
      <c r="H11546" s="19"/>
    </row>
    <row r="11547">
      <c r="A11547" s="9"/>
      <c r="B11547" s="15"/>
      <c r="C11547" s="9">
        <f>IFERROR(__xludf.DUMMYFUNCTION("""COMPUTED_VALUE"""),45022.8922092592)</f>
        <v>45022.89221</v>
      </c>
      <c r="D11547" s="15">
        <f>IFERROR(__xludf.DUMMYFUNCTION("""COMPUTED_VALUE"""),1.098)</f>
        <v>1.098</v>
      </c>
      <c r="E11547" s="16">
        <f>IFERROR(__xludf.DUMMYFUNCTION("""COMPUTED_VALUE"""),65.0)</f>
        <v>65</v>
      </c>
      <c r="F11547" s="19" t="str">
        <f>IFERROR(__xludf.DUMMYFUNCTION("""COMPUTED_VALUE"""),"BLUE")</f>
        <v>BLUE</v>
      </c>
      <c r="G11547" s="20" t="str">
        <f>IFERROR(__xludf.DUMMYFUNCTION("""COMPUTED_VALUE"""),"Uncle Sams Cider (04/04/2023)")</f>
        <v>Uncle Sams Cider (04/04/2023)</v>
      </c>
      <c r="H11547" s="19"/>
    </row>
    <row r="11548">
      <c r="A11548" s="9"/>
      <c r="B11548" s="15"/>
      <c r="C11548" s="9">
        <f>IFERROR(__xludf.DUMMYFUNCTION("""COMPUTED_VALUE"""),45022.8817891782)</f>
        <v>45022.88179</v>
      </c>
      <c r="D11548" s="15">
        <f>IFERROR(__xludf.DUMMYFUNCTION("""COMPUTED_VALUE"""),1.098)</f>
        <v>1.098</v>
      </c>
      <c r="E11548" s="16">
        <f>IFERROR(__xludf.DUMMYFUNCTION("""COMPUTED_VALUE"""),65.0)</f>
        <v>65</v>
      </c>
      <c r="F11548" s="19" t="str">
        <f>IFERROR(__xludf.DUMMYFUNCTION("""COMPUTED_VALUE"""),"BLUE")</f>
        <v>BLUE</v>
      </c>
      <c r="G11548" s="20" t="str">
        <f>IFERROR(__xludf.DUMMYFUNCTION("""COMPUTED_VALUE"""),"Uncle Sams Cider (04/04/2023)")</f>
        <v>Uncle Sams Cider (04/04/2023)</v>
      </c>
      <c r="H11548" s="19"/>
    </row>
    <row r="11549">
      <c r="A11549" s="9"/>
      <c r="B11549" s="15"/>
      <c r="C11549" s="9">
        <f>IFERROR(__xludf.DUMMYFUNCTION("""COMPUTED_VALUE"""),45022.8713687037)</f>
        <v>45022.87137</v>
      </c>
      <c r="D11549" s="15">
        <f>IFERROR(__xludf.DUMMYFUNCTION("""COMPUTED_VALUE"""),1.098)</f>
        <v>1.098</v>
      </c>
      <c r="E11549" s="16">
        <f>IFERROR(__xludf.DUMMYFUNCTION("""COMPUTED_VALUE"""),65.0)</f>
        <v>65</v>
      </c>
      <c r="F11549" s="19" t="str">
        <f>IFERROR(__xludf.DUMMYFUNCTION("""COMPUTED_VALUE"""),"BLUE")</f>
        <v>BLUE</v>
      </c>
      <c r="G11549" s="20" t="str">
        <f>IFERROR(__xludf.DUMMYFUNCTION("""COMPUTED_VALUE"""),"Uncle Sams Cider (04/04/2023)")</f>
        <v>Uncle Sams Cider (04/04/2023)</v>
      </c>
      <c r="H11549" s="19"/>
    </row>
    <row r="11550">
      <c r="A11550" s="9"/>
      <c r="B11550" s="15"/>
      <c r="C11550" s="9">
        <f>IFERROR(__xludf.DUMMYFUNCTION("""COMPUTED_VALUE"""),45022.8609461226)</f>
        <v>45022.86095</v>
      </c>
      <c r="D11550" s="15">
        <f>IFERROR(__xludf.DUMMYFUNCTION("""COMPUTED_VALUE"""),1.097)</f>
        <v>1.097</v>
      </c>
      <c r="E11550" s="16">
        <f>IFERROR(__xludf.DUMMYFUNCTION("""COMPUTED_VALUE"""),65.0)</f>
        <v>65</v>
      </c>
      <c r="F11550" s="19" t="str">
        <f>IFERROR(__xludf.DUMMYFUNCTION("""COMPUTED_VALUE"""),"BLUE")</f>
        <v>BLUE</v>
      </c>
      <c r="G11550" s="20" t="str">
        <f>IFERROR(__xludf.DUMMYFUNCTION("""COMPUTED_VALUE"""),"Uncle Sams Cider (04/04/2023)")</f>
        <v>Uncle Sams Cider (04/04/2023)</v>
      </c>
      <c r="H11550" s="19"/>
    </row>
    <row r="11551">
      <c r="A11551" s="9"/>
      <c r="B11551" s="15"/>
      <c r="C11551" s="9">
        <f>IFERROR(__xludf.DUMMYFUNCTION("""COMPUTED_VALUE"""),45022.8505118287)</f>
        <v>45022.85051</v>
      </c>
      <c r="D11551" s="15">
        <f>IFERROR(__xludf.DUMMYFUNCTION("""COMPUTED_VALUE"""),1.099)</f>
        <v>1.099</v>
      </c>
      <c r="E11551" s="16">
        <f>IFERROR(__xludf.DUMMYFUNCTION("""COMPUTED_VALUE"""),65.0)</f>
        <v>65</v>
      </c>
      <c r="F11551" s="19" t="str">
        <f>IFERROR(__xludf.DUMMYFUNCTION("""COMPUTED_VALUE"""),"BLUE")</f>
        <v>BLUE</v>
      </c>
      <c r="G11551" s="20" t="str">
        <f>IFERROR(__xludf.DUMMYFUNCTION("""COMPUTED_VALUE"""),"Uncle Sams Cider (04/04/2023)")</f>
        <v>Uncle Sams Cider (04/04/2023)</v>
      </c>
      <c r="H11551" s="19"/>
    </row>
    <row r="11552">
      <c r="A11552" s="9"/>
      <c r="B11552" s="15"/>
      <c r="C11552" s="9">
        <f>IFERROR(__xludf.DUMMYFUNCTION("""COMPUTED_VALUE"""),45022.8400792013)</f>
        <v>45022.84008</v>
      </c>
      <c r="D11552" s="15">
        <f>IFERROR(__xludf.DUMMYFUNCTION("""COMPUTED_VALUE"""),1.099)</f>
        <v>1.099</v>
      </c>
      <c r="E11552" s="16">
        <f>IFERROR(__xludf.DUMMYFUNCTION("""COMPUTED_VALUE"""),65.0)</f>
        <v>65</v>
      </c>
      <c r="F11552" s="19" t="str">
        <f>IFERROR(__xludf.DUMMYFUNCTION("""COMPUTED_VALUE"""),"BLUE")</f>
        <v>BLUE</v>
      </c>
      <c r="G11552" s="20" t="str">
        <f>IFERROR(__xludf.DUMMYFUNCTION("""COMPUTED_VALUE"""),"Uncle Sams Cider (04/04/2023)")</f>
        <v>Uncle Sams Cider (04/04/2023)</v>
      </c>
      <c r="H11552" s="19"/>
    </row>
    <row r="11553">
      <c r="A11553" s="9"/>
      <c r="B11553" s="15"/>
      <c r="C11553" s="9">
        <f>IFERROR(__xludf.DUMMYFUNCTION("""COMPUTED_VALUE"""),45022.8296565393)</f>
        <v>45022.82966</v>
      </c>
      <c r="D11553" s="15">
        <f>IFERROR(__xludf.DUMMYFUNCTION("""COMPUTED_VALUE"""),1.1)</f>
        <v>1.1</v>
      </c>
      <c r="E11553" s="16">
        <f>IFERROR(__xludf.DUMMYFUNCTION("""COMPUTED_VALUE"""),65.0)</f>
        <v>65</v>
      </c>
      <c r="F11553" s="19" t="str">
        <f>IFERROR(__xludf.DUMMYFUNCTION("""COMPUTED_VALUE"""),"BLUE")</f>
        <v>BLUE</v>
      </c>
      <c r="G11553" s="20" t="str">
        <f>IFERROR(__xludf.DUMMYFUNCTION("""COMPUTED_VALUE"""),"Uncle Sams Cider (04/04/2023)")</f>
        <v>Uncle Sams Cider (04/04/2023)</v>
      </c>
      <c r="H11553" s="19"/>
    </row>
    <row r="11554">
      <c r="A11554" s="9"/>
      <c r="B11554" s="15"/>
      <c r="C11554" s="9">
        <f>IFERROR(__xludf.DUMMYFUNCTION("""COMPUTED_VALUE"""),45022.8192340046)</f>
        <v>45022.81923</v>
      </c>
      <c r="D11554" s="15">
        <f>IFERROR(__xludf.DUMMYFUNCTION("""COMPUTED_VALUE"""),1.099)</f>
        <v>1.099</v>
      </c>
      <c r="E11554" s="16">
        <f>IFERROR(__xludf.DUMMYFUNCTION("""COMPUTED_VALUE"""),65.0)</f>
        <v>65</v>
      </c>
      <c r="F11554" s="19" t="str">
        <f>IFERROR(__xludf.DUMMYFUNCTION("""COMPUTED_VALUE"""),"BLUE")</f>
        <v>BLUE</v>
      </c>
      <c r="G11554" s="20" t="str">
        <f>IFERROR(__xludf.DUMMYFUNCTION("""COMPUTED_VALUE"""),"Uncle Sams Cider (04/04/2023)")</f>
        <v>Uncle Sams Cider (04/04/2023)</v>
      </c>
      <c r="H11554" s="19"/>
    </row>
    <row r="11555">
      <c r="A11555" s="9"/>
      <c r="B11555" s="15"/>
      <c r="C11555" s="9">
        <f>IFERROR(__xludf.DUMMYFUNCTION("""COMPUTED_VALUE"""),45022.8088137615)</f>
        <v>45022.80881</v>
      </c>
      <c r="D11555" s="15">
        <f>IFERROR(__xludf.DUMMYFUNCTION("""COMPUTED_VALUE"""),1.099)</f>
        <v>1.099</v>
      </c>
      <c r="E11555" s="16">
        <f>IFERROR(__xludf.DUMMYFUNCTION("""COMPUTED_VALUE"""),65.0)</f>
        <v>65</v>
      </c>
      <c r="F11555" s="19" t="str">
        <f>IFERROR(__xludf.DUMMYFUNCTION("""COMPUTED_VALUE"""),"BLUE")</f>
        <v>BLUE</v>
      </c>
      <c r="G11555" s="20" t="str">
        <f>IFERROR(__xludf.DUMMYFUNCTION("""COMPUTED_VALUE"""),"Uncle Sams Cider (04/04/2023)")</f>
        <v>Uncle Sams Cider (04/04/2023)</v>
      </c>
      <c r="H11555" s="19"/>
    </row>
    <row r="11556">
      <c r="A11556" s="9"/>
      <c r="B11556" s="15"/>
      <c r="C11556" s="9">
        <f>IFERROR(__xludf.DUMMYFUNCTION("""COMPUTED_VALUE"""),45022.798390949)</f>
        <v>45022.79839</v>
      </c>
      <c r="D11556" s="15">
        <f>IFERROR(__xludf.DUMMYFUNCTION("""COMPUTED_VALUE"""),1.099)</f>
        <v>1.099</v>
      </c>
      <c r="E11556" s="16">
        <f>IFERROR(__xludf.DUMMYFUNCTION("""COMPUTED_VALUE"""),65.0)</f>
        <v>65</v>
      </c>
      <c r="F11556" s="19" t="str">
        <f>IFERROR(__xludf.DUMMYFUNCTION("""COMPUTED_VALUE"""),"BLUE")</f>
        <v>BLUE</v>
      </c>
      <c r="G11556" s="20" t="str">
        <f>IFERROR(__xludf.DUMMYFUNCTION("""COMPUTED_VALUE"""),"Uncle Sams Cider (04/04/2023)")</f>
        <v>Uncle Sams Cider (04/04/2023)</v>
      </c>
      <c r="H11556" s="19"/>
    </row>
    <row r="11557">
      <c r="A11557" s="9"/>
      <c r="B11557" s="15"/>
      <c r="C11557" s="9">
        <f>IFERROR(__xludf.DUMMYFUNCTION("""COMPUTED_VALUE"""),45022.787969375)</f>
        <v>45022.78797</v>
      </c>
      <c r="D11557" s="15">
        <f>IFERROR(__xludf.DUMMYFUNCTION("""COMPUTED_VALUE"""),1.099)</f>
        <v>1.099</v>
      </c>
      <c r="E11557" s="16">
        <f>IFERROR(__xludf.DUMMYFUNCTION("""COMPUTED_VALUE"""),65.0)</f>
        <v>65</v>
      </c>
      <c r="F11557" s="19" t="str">
        <f>IFERROR(__xludf.DUMMYFUNCTION("""COMPUTED_VALUE"""),"BLUE")</f>
        <v>BLUE</v>
      </c>
      <c r="G11557" s="20" t="str">
        <f>IFERROR(__xludf.DUMMYFUNCTION("""COMPUTED_VALUE"""),"Uncle Sams Cider (04/04/2023)")</f>
        <v>Uncle Sams Cider (04/04/2023)</v>
      </c>
      <c r="H11557" s="19"/>
    </row>
    <row r="11558">
      <c r="A11558" s="9"/>
      <c r="B11558" s="15"/>
      <c r="C11558" s="9">
        <f>IFERROR(__xludf.DUMMYFUNCTION("""COMPUTED_VALUE"""),45022.7775495833)</f>
        <v>45022.77755</v>
      </c>
      <c r="D11558" s="15">
        <f>IFERROR(__xludf.DUMMYFUNCTION("""COMPUTED_VALUE"""),1.099)</f>
        <v>1.099</v>
      </c>
      <c r="E11558" s="16">
        <f>IFERROR(__xludf.DUMMYFUNCTION("""COMPUTED_VALUE"""),65.0)</f>
        <v>65</v>
      </c>
      <c r="F11558" s="19" t="str">
        <f>IFERROR(__xludf.DUMMYFUNCTION("""COMPUTED_VALUE"""),"BLUE")</f>
        <v>BLUE</v>
      </c>
      <c r="G11558" s="20" t="str">
        <f>IFERROR(__xludf.DUMMYFUNCTION("""COMPUTED_VALUE"""),"Uncle Sams Cider (04/04/2023)")</f>
        <v>Uncle Sams Cider (04/04/2023)</v>
      </c>
      <c r="H11558" s="19"/>
    </row>
    <row r="11559">
      <c r="A11559" s="9"/>
      <c r="B11559" s="15"/>
      <c r="C11559" s="9">
        <f>IFERROR(__xludf.DUMMYFUNCTION("""COMPUTED_VALUE"""),45022.7671285416)</f>
        <v>45022.76713</v>
      </c>
      <c r="D11559" s="15">
        <f>IFERROR(__xludf.DUMMYFUNCTION("""COMPUTED_VALUE"""),1.099)</f>
        <v>1.099</v>
      </c>
      <c r="E11559" s="16">
        <f>IFERROR(__xludf.DUMMYFUNCTION("""COMPUTED_VALUE"""),65.0)</f>
        <v>65</v>
      </c>
      <c r="F11559" s="19" t="str">
        <f>IFERROR(__xludf.DUMMYFUNCTION("""COMPUTED_VALUE"""),"BLUE")</f>
        <v>BLUE</v>
      </c>
      <c r="G11559" s="20" t="str">
        <f>IFERROR(__xludf.DUMMYFUNCTION("""COMPUTED_VALUE"""),"Uncle Sams Cider (04/04/2023)")</f>
        <v>Uncle Sams Cider (04/04/2023)</v>
      </c>
      <c r="H11559" s="19"/>
    </row>
    <row r="11560">
      <c r="A11560" s="9"/>
      <c r="B11560" s="15"/>
      <c r="C11560" s="9">
        <f>IFERROR(__xludf.DUMMYFUNCTION("""COMPUTED_VALUE"""),45022.7567068865)</f>
        <v>45022.75671</v>
      </c>
      <c r="D11560" s="15">
        <f>IFERROR(__xludf.DUMMYFUNCTION("""COMPUTED_VALUE"""),1.099)</f>
        <v>1.099</v>
      </c>
      <c r="E11560" s="16">
        <f>IFERROR(__xludf.DUMMYFUNCTION("""COMPUTED_VALUE"""),65.0)</f>
        <v>65</v>
      </c>
      <c r="F11560" s="19" t="str">
        <f>IFERROR(__xludf.DUMMYFUNCTION("""COMPUTED_VALUE"""),"BLUE")</f>
        <v>BLUE</v>
      </c>
      <c r="G11560" s="20" t="str">
        <f>IFERROR(__xludf.DUMMYFUNCTION("""COMPUTED_VALUE"""),"Uncle Sams Cider (04/04/2023)")</f>
        <v>Uncle Sams Cider (04/04/2023)</v>
      </c>
      <c r="H11560" s="19"/>
    </row>
    <row r="11561">
      <c r="A11561" s="9"/>
      <c r="B11561" s="15"/>
      <c r="C11561" s="9">
        <f>IFERROR(__xludf.DUMMYFUNCTION("""COMPUTED_VALUE"""),45022.7462859375)</f>
        <v>45022.74629</v>
      </c>
      <c r="D11561" s="15">
        <f>IFERROR(__xludf.DUMMYFUNCTION("""COMPUTED_VALUE"""),1.1)</f>
        <v>1.1</v>
      </c>
      <c r="E11561" s="16">
        <f>IFERROR(__xludf.DUMMYFUNCTION("""COMPUTED_VALUE"""),65.0)</f>
        <v>65</v>
      </c>
      <c r="F11561" s="19" t="str">
        <f>IFERROR(__xludf.DUMMYFUNCTION("""COMPUTED_VALUE"""),"BLUE")</f>
        <v>BLUE</v>
      </c>
      <c r="G11561" s="20" t="str">
        <f>IFERROR(__xludf.DUMMYFUNCTION("""COMPUTED_VALUE"""),"Uncle Sams Cider (04/04/2023)")</f>
        <v>Uncle Sams Cider (04/04/2023)</v>
      </c>
      <c r="H11561" s="19"/>
    </row>
    <row r="11562">
      <c r="A11562" s="9"/>
      <c r="B11562" s="15"/>
      <c r="C11562" s="9">
        <f>IFERROR(__xludf.DUMMYFUNCTION("""COMPUTED_VALUE"""),45022.735865324)</f>
        <v>45022.73587</v>
      </c>
      <c r="D11562" s="15">
        <f>IFERROR(__xludf.DUMMYFUNCTION("""COMPUTED_VALUE"""),1.099)</f>
        <v>1.099</v>
      </c>
      <c r="E11562" s="16">
        <f>IFERROR(__xludf.DUMMYFUNCTION("""COMPUTED_VALUE"""),65.0)</f>
        <v>65</v>
      </c>
      <c r="F11562" s="19" t="str">
        <f>IFERROR(__xludf.DUMMYFUNCTION("""COMPUTED_VALUE"""),"BLUE")</f>
        <v>BLUE</v>
      </c>
      <c r="G11562" s="20" t="str">
        <f>IFERROR(__xludf.DUMMYFUNCTION("""COMPUTED_VALUE"""),"Uncle Sams Cider (04/04/2023)")</f>
        <v>Uncle Sams Cider (04/04/2023)</v>
      </c>
      <c r="H11562" s="19"/>
    </row>
    <row r="11563">
      <c r="A11563" s="9"/>
      <c r="B11563" s="15"/>
      <c r="C11563" s="9">
        <f>IFERROR(__xludf.DUMMYFUNCTION("""COMPUTED_VALUE"""),45022.7253858796)</f>
        <v>45022.72539</v>
      </c>
      <c r="D11563" s="15">
        <f>IFERROR(__xludf.DUMMYFUNCTION("""COMPUTED_VALUE"""),1.1)</f>
        <v>1.1</v>
      </c>
      <c r="E11563" s="16">
        <f>IFERROR(__xludf.DUMMYFUNCTION("""COMPUTED_VALUE"""),65.0)</f>
        <v>65</v>
      </c>
      <c r="F11563" s="19" t="str">
        <f>IFERROR(__xludf.DUMMYFUNCTION("""COMPUTED_VALUE"""),"BLUE")</f>
        <v>BLUE</v>
      </c>
      <c r="G11563" s="20" t="str">
        <f>IFERROR(__xludf.DUMMYFUNCTION("""COMPUTED_VALUE"""),"Uncle Sams Cider (04/04/2023)")</f>
        <v>Uncle Sams Cider (04/04/2023)</v>
      </c>
      <c r="H11563" s="19"/>
    </row>
    <row r="11564">
      <c r="A11564" s="9"/>
      <c r="B11564" s="15"/>
      <c r="C11564" s="9">
        <f>IFERROR(__xludf.DUMMYFUNCTION("""COMPUTED_VALUE"""),45022.7149548611)</f>
        <v>45022.71495</v>
      </c>
      <c r="D11564" s="15">
        <f>IFERROR(__xludf.DUMMYFUNCTION("""COMPUTED_VALUE"""),1.1)</f>
        <v>1.1</v>
      </c>
      <c r="E11564" s="16">
        <f>IFERROR(__xludf.DUMMYFUNCTION("""COMPUTED_VALUE"""),65.0)</f>
        <v>65</v>
      </c>
      <c r="F11564" s="19" t="str">
        <f>IFERROR(__xludf.DUMMYFUNCTION("""COMPUTED_VALUE"""),"BLUE")</f>
        <v>BLUE</v>
      </c>
      <c r="G11564" s="20" t="str">
        <f>IFERROR(__xludf.DUMMYFUNCTION("""COMPUTED_VALUE"""),"Uncle Sams Cider (04/04/2023)")</f>
        <v>Uncle Sams Cider (04/04/2023)</v>
      </c>
      <c r="H11564" s="19"/>
    </row>
    <row r="11565">
      <c r="A11565" s="9"/>
      <c r="B11565" s="15"/>
      <c r="C11565" s="9">
        <f>IFERROR(__xludf.DUMMYFUNCTION("""COMPUTED_VALUE"""),45022.7045348032)</f>
        <v>45022.70453</v>
      </c>
      <c r="D11565" s="15">
        <f>IFERROR(__xludf.DUMMYFUNCTION("""COMPUTED_VALUE"""),1.1)</f>
        <v>1.1</v>
      </c>
      <c r="E11565" s="16">
        <f>IFERROR(__xludf.DUMMYFUNCTION("""COMPUTED_VALUE"""),65.0)</f>
        <v>65</v>
      </c>
      <c r="F11565" s="19" t="str">
        <f>IFERROR(__xludf.DUMMYFUNCTION("""COMPUTED_VALUE"""),"BLUE")</f>
        <v>BLUE</v>
      </c>
      <c r="G11565" s="20" t="str">
        <f>IFERROR(__xludf.DUMMYFUNCTION("""COMPUTED_VALUE"""),"Uncle Sams Cider (04/04/2023)")</f>
        <v>Uncle Sams Cider (04/04/2023)</v>
      </c>
      <c r="H11565" s="19"/>
    </row>
    <row r="11566">
      <c r="A11566" s="9"/>
      <c r="B11566" s="15"/>
      <c r="C11566" s="9">
        <f>IFERROR(__xludf.DUMMYFUNCTION("""COMPUTED_VALUE"""),45022.6941149884)</f>
        <v>45022.69411</v>
      </c>
      <c r="D11566" s="15">
        <f>IFERROR(__xludf.DUMMYFUNCTION("""COMPUTED_VALUE"""),1.099)</f>
        <v>1.099</v>
      </c>
      <c r="E11566" s="16">
        <f>IFERROR(__xludf.DUMMYFUNCTION("""COMPUTED_VALUE"""),65.0)</f>
        <v>65</v>
      </c>
      <c r="F11566" s="19" t="str">
        <f>IFERROR(__xludf.DUMMYFUNCTION("""COMPUTED_VALUE"""),"BLUE")</f>
        <v>BLUE</v>
      </c>
      <c r="G11566" s="20" t="str">
        <f>IFERROR(__xludf.DUMMYFUNCTION("""COMPUTED_VALUE"""),"Uncle Sams Cider (04/04/2023)")</f>
        <v>Uncle Sams Cider (04/04/2023)</v>
      </c>
      <c r="H11566" s="19"/>
    </row>
    <row r="11567">
      <c r="A11567" s="9"/>
      <c r="B11567" s="15"/>
      <c r="C11567" s="9">
        <f>IFERROR(__xludf.DUMMYFUNCTION("""COMPUTED_VALUE"""),45022.6836940277)</f>
        <v>45022.68369</v>
      </c>
      <c r="D11567" s="15">
        <f>IFERROR(__xludf.DUMMYFUNCTION("""COMPUTED_VALUE"""),1.1)</f>
        <v>1.1</v>
      </c>
      <c r="E11567" s="16">
        <f>IFERROR(__xludf.DUMMYFUNCTION("""COMPUTED_VALUE"""),65.0)</f>
        <v>65</v>
      </c>
      <c r="F11567" s="19" t="str">
        <f>IFERROR(__xludf.DUMMYFUNCTION("""COMPUTED_VALUE"""),"BLUE")</f>
        <v>BLUE</v>
      </c>
      <c r="G11567" s="20" t="str">
        <f>IFERROR(__xludf.DUMMYFUNCTION("""COMPUTED_VALUE"""),"Uncle Sams Cider (04/04/2023)")</f>
        <v>Uncle Sams Cider (04/04/2023)</v>
      </c>
      <c r="H11567" s="19"/>
    </row>
    <row r="11568">
      <c r="A11568" s="9"/>
      <c r="B11568" s="15"/>
      <c r="C11568" s="9">
        <f>IFERROR(__xludf.DUMMYFUNCTION("""COMPUTED_VALUE"""),45022.6732736111)</f>
        <v>45022.67327</v>
      </c>
      <c r="D11568" s="15">
        <f>IFERROR(__xludf.DUMMYFUNCTION("""COMPUTED_VALUE"""),1.1)</f>
        <v>1.1</v>
      </c>
      <c r="E11568" s="16">
        <f>IFERROR(__xludf.DUMMYFUNCTION("""COMPUTED_VALUE"""),65.0)</f>
        <v>65</v>
      </c>
      <c r="F11568" s="19" t="str">
        <f>IFERROR(__xludf.DUMMYFUNCTION("""COMPUTED_VALUE"""),"BLUE")</f>
        <v>BLUE</v>
      </c>
      <c r="G11568" s="20" t="str">
        <f>IFERROR(__xludf.DUMMYFUNCTION("""COMPUTED_VALUE"""),"Uncle Sams Cider (04/04/2023)")</f>
        <v>Uncle Sams Cider (04/04/2023)</v>
      </c>
      <c r="H11568" s="19"/>
    </row>
    <row r="11569">
      <c r="A11569" s="9"/>
      <c r="B11569" s="15"/>
      <c r="C11569" s="9">
        <f>IFERROR(__xludf.DUMMYFUNCTION("""COMPUTED_VALUE"""),45022.6628524421)</f>
        <v>45022.66285</v>
      </c>
      <c r="D11569" s="15">
        <f>IFERROR(__xludf.DUMMYFUNCTION("""COMPUTED_VALUE"""),1.1)</f>
        <v>1.1</v>
      </c>
      <c r="E11569" s="16">
        <f>IFERROR(__xludf.DUMMYFUNCTION("""COMPUTED_VALUE"""),65.0)</f>
        <v>65</v>
      </c>
      <c r="F11569" s="19" t="str">
        <f>IFERROR(__xludf.DUMMYFUNCTION("""COMPUTED_VALUE"""),"BLUE")</f>
        <v>BLUE</v>
      </c>
      <c r="G11569" s="20" t="str">
        <f>IFERROR(__xludf.DUMMYFUNCTION("""COMPUTED_VALUE"""),"Uncle Sams Cider (04/04/2023)")</f>
        <v>Uncle Sams Cider (04/04/2023)</v>
      </c>
      <c r="H11569" s="19"/>
    </row>
    <row r="11570">
      <c r="A11570" s="9"/>
      <c r="B11570" s="15"/>
      <c r="C11570" s="9">
        <f>IFERROR(__xludf.DUMMYFUNCTION("""COMPUTED_VALUE"""),45022.6524303472)</f>
        <v>45022.65243</v>
      </c>
      <c r="D11570" s="15">
        <f>IFERROR(__xludf.DUMMYFUNCTION("""COMPUTED_VALUE"""),1.1)</f>
        <v>1.1</v>
      </c>
      <c r="E11570" s="16">
        <f>IFERROR(__xludf.DUMMYFUNCTION("""COMPUTED_VALUE"""),65.0)</f>
        <v>65</v>
      </c>
      <c r="F11570" s="19" t="str">
        <f>IFERROR(__xludf.DUMMYFUNCTION("""COMPUTED_VALUE"""),"BLUE")</f>
        <v>BLUE</v>
      </c>
      <c r="G11570" s="20" t="str">
        <f>IFERROR(__xludf.DUMMYFUNCTION("""COMPUTED_VALUE"""),"Uncle Sams Cider (04/04/2023)")</f>
        <v>Uncle Sams Cider (04/04/2023)</v>
      </c>
      <c r="H11570" s="19"/>
    </row>
    <row r="11571">
      <c r="A11571" s="9"/>
      <c r="B11571" s="15"/>
      <c r="C11571" s="9">
        <f>IFERROR(__xludf.DUMMYFUNCTION("""COMPUTED_VALUE"""),45022.6420085763)</f>
        <v>45022.64201</v>
      </c>
      <c r="D11571" s="15">
        <f>IFERROR(__xludf.DUMMYFUNCTION("""COMPUTED_VALUE"""),1.102)</f>
        <v>1.102</v>
      </c>
      <c r="E11571" s="16">
        <f>IFERROR(__xludf.DUMMYFUNCTION("""COMPUTED_VALUE"""),65.0)</f>
        <v>65</v>
      </c>
      <c r="F11571" s="19" t="str">
        <f>IFERROR(__xludf.DUMMYFUNCTION("""COMPUTED_VALUE"""),"BLUE")</f>
        <v>BLUE</v>
      </c>
      <c r="G11571" s="20" t="str">
        <f>IFERROR(__xludf.DUMMYFUNCTION("""COMPUTED_VALUE"""),"Uncle Sams Cider (04/04/2023)")</f>
        <v>Uncle Sams Cider (04/04/2023)</v>
      </c>
      <c r="H11571" s="19"/>
    </row>
    <row r="11572">
      <c r="A11572" s="9"/>
      <c r="B11572" s="15"/>
      <c r="C11572" s="9">
        <f>IFERROR(__xludf.DUMMYFUNCTION("""COMPUTED_VALUE"""),45022.6315879861)</f>
        <v>45022.63159</v>
      </c>
      <c r="D11572" s="15">
        <f>IFERROR(__xludf.DUMMYFUNCTION("""COMPUTED_VALUE"""),1.101)</f>
        <v>1.101</v>
      </c>
      <c r="E11572" s="16">
        <f>IFERROR(__xludf.DUMMYFUNCTION("""COMPUTED_VALUE"""),65.0)</f>
        <v>65</v>
      </c>
      <c r="F11572" s="19" t="str">
        <f>IFERROR(__xludf.DUMMYFUNCTION("""COMPUTED_VALUE"""),"BLUE")</f>
        <v>BLUE</v>
      </c>
      <c r="G11572" s="20" t="str">
        <f>IFERROR(__xludf.DUMMYFUNCTION("""COMPUTED_VALUE"""),"Uncle Sams Cider (04/04/2023)")</f>
        <v>Uncle Sams Cider (04/04/2023)</v>
      </c>
      <c r="H11572" s="19"/>
    </row>
    <row r="11573">
      <c r="A11573" s="9"/>
      <c r="B11573" s="15"/>
      <c r="C11573" s="9">
        <f>IFERROR(__xludf.DUMMYFUNCTION("""COMPUTED_VALUE"""),45022.621156574)</f>
        <v>45022.62116</v>
      </c>
      <c r="D11573" s="15">
        <f>IFERROR(__xludf.DUMMYFUNCTION("""COMPUTED_VALUE"""),1.101)</f>
        <v>1.101</v>
      </c>
      <c r="E11573" s="16">
        <f>IFERROR(__xludf.DUMMYFUNCTION("""COMPUTED_VALUE"""),65.0)</f>
        <v>65</v>
      </c>
      <c r="F11573" s="19" t="str">
        <f>IFERROR(__xludf.DUMMYFUNCTION("""COMPUTED_VALUE"""),"BLUE")</f>
        <v>BLUE</v>
      </c>
      <c r="G11573" s="20" t="str">
        <f>IFERROR(__xludf.DUMMYFUNCTION("""COMPUTED_VALUE"""),"Uncle Sams Cider (04/04/2023)")</f>
        <v>Uncle Sams Cider (04/04/2023)</v>
      </c>
      <c r="H11573" s="19"/>
    </row>
    <row r="11574">
      <c r="A11574" s="9"/>
      <c r="B11574" s="15"/>
      <c r="C11574" s="9">
        <f>IFERROR(__xludf.DUMMYFUNCTION("""COMPUTED_VALUE"""),45022.6107354861)</f>
        <v>45022.61074</v>
      </c>
      <c r="D11574" s="15">
        <f>IFERROR(__xludf.DUMMYFUNCTION("""COMPUTED_VALUE"""),1.101)</f>
        <v>1.101</v>
      </c>
      <c r="E11574" s="16">
        <f>IFERROR(__xludf.DUMMYFUNCTION("""COMPUTED_VALUE"""),65.0)</f>
        <v>65</v>
      </c>
      <c r="F11574" s="19" t="str">
        <f>IFERROR(__xludf.DUMMYFUNCTION("""COMPUTED_VALUE"""),"BLUE")</f>
        <v>BLUE</v>
      </c>
      <c r="G11574" s="20" t="str">
        <f>IFERROR(__xludf.DUMMYFUNCTION("""COMPUTED_VALUE"""),"Uncle Sams Cider (04/04/2023)")</f>
        <v>Uncle Sams Cider (04/04/2023)</v>
      </c>
      <c r="H11574" s="19"/>
    </row>
    <row r="11575">
      <c r="A11575" s="9"/>
      <c r="B11575" s="15"/>
      <c r="C11575" s="9">
        <f>IFERROR(__xludf.DUMMYFUNCTION("""COMPUTED_VALUE"""),45022.6003143055)</f>
        <v>45022.60031</v>
      </c>
      <c r="D11575" s="15">
        <f>IFERROR(__xludf.DUMMYFUNCTION("""COMPUTED_VALUE"""),1.101)</f>
        <v>1.101</v>
      </c>
      <c r="E11575" s="16">
        <f>IFERROR(__xludf.DUMMYFUNCTION("""COMPUTED_VALUE"""),65.0)</f>
        <v>65</v>
      </c>
      <c r="F11575" s="19" t="str">
        <f>IFERROR(__xludf.DUMMYFUNCTION("""COMPUTED_VALUE"""),"BLUE")</f>
        <v>BLUE</v>
      </c>
      <c r="G11575" s="20" t="str">
        <f>IFERROR(__xludf.DUMMYFUNCTION("""COMPUTED_VALUE"""),"Uncle Sams Cider (04/04/2023)")</f>
        <v>Uncle Sams Cider (04/04/2023)</v>
      </c>
      <c r="H11575" s="19"/>
    </row>
    <row r="11576">
      <c r="A11576" s="9"/>
      <c r="B11576" s="15"/>
      <c r="C11576" s="9">
        <f>IFERROR(__xludf.DUMMYFUNCTION("""COMPUTED_VALUE"""),45022.589894699)</f>
        <v>45022.58989</v>
      </c>
      <c r="D11576" s="15">
        <f>IFERROR(__xludf.DUMMYFUNCTION("""COMPUTED_VALUE"""),1.101)</f>
        <v>1.101</v>
      </c>
      <c r="E11576" s="16">
        <f>IFERROR(__xludf.DUMMYFUNCTION("""COMPUTED_VALUE"""),65.0)</f>
        <v>65</v>
      </c>
      <c r="F11576" s="19" t="str">
        <f>IFERROR(__xludf.DUMMYFUNCTION("""COMPUTED_VALUE"""),"BLUE")</f>
        <v>BLUE</v>
      </c>
      <c r="G11576" s="20" t="str">
        <f>IFERROR(__xludf.DUMMYFUNCTION("""COMPUTED_VALUE"""),"Uncle Sams Cider (04/04/2023)")</f>
        <v>Uncle Sams Cider (04/04/2023)</v>
      </c>
      <c r="H11576" s="19"/>
    </row>
    <row r="11577">
      <c r="A11577" s="9"/>
      <c r="B11577" s="15"/>
      <c r="C11577" s="9">
        <f>IFERROR(__xludf.DUMMYFUNCTION("""COMPUTED_VALUE"""),45022.57947353)</f>
        <v>45022.57947</v>
      </c>
      <c r="D11577" s="15">
        <f>IFERROR(__xludf.DUMMYFUNCTION("""COMPUTED_VALUE"""),1.102)</f>
        <v>1.102</v>
      </c>
      <c r="E11577" s="16">
        <f>IFERROR(__xludf.DUMMYFUNCTION("""COMPUTED_VALUE"""),65.0)</f>
        <v>65</v>
      </c>
      <c r="F11577" s="19" t="str">
        <f>IFERROR(__xludf.DUMMYFUNCTION("""COMPUTED_VALUE"""),"BLUE")</f>
        <v>BLUE</v>
      </c>
      <c r="G11577" s="20" t="str">
        <f>IFERROR(__xludf.DUMMYFUNCTION("""COMPUTED_VALUE"""),"Uncle Sams Cider (04/04/2023)")</f>
        <v>Uncle Sams Cider (04/04/2023)</v>
      </c>
      <c r="H11577" s="19"/>
    </row>
    <row r="11578">
      <c r="A11578" s="9"/>
      <c r="B11578" s="15"/>
      <c r="C11578" s="9">
        <f>IFERROR(__xludf.DUMMYFUNCTION("""COMPUTED_VALUE"""),45022.5690525347)</f>
        <v>45022.56905</v>
      </c>
      <c r="D11578" s="15">
        <f>IFERROR(__xludf.DUMMYFUNCTION("""COMPUTED_VALUE"""),1.102)</f>
        <v>1.102</v>
      </c>
      <c r="E11578" s="16">
        <f>IFERROR(__xludf.DUMMYFUNCTION("""COMPUTED_VALUE"""),65.0)</f>
        <v>65</v>
      </c>
      <c r="F11578" s="19" t="str">
        <f>IFERROR(__xludf.DUMMYFUNCTION("""COMPUTED_VALUE"""),"BLUE")</f>
        <v>BLUE</v>
      </c>
      <c r="G11578" s="20" t="str">
        <f>IFERROR(__xludf.DUMMYFUNCTION("""COMPUTED_VALUE"""),"Uncle Sams Cider (04/04/2023)")</f>
        <v>Uncle Sams Cider (04/04/2023)</v>
      </c>
      <c r="H11578" s="19"/>
    </row>
    <row r="11579">
      <c r="A11579" s="9"/>
      <c r="B11579" s="15"/>
      <c r="C11579" s="9">
        <f>IFERROR(__xludf.DUMMYFUNCTION("""COMPUTED_VALUE"""),45022.558620162)</f>
        <v>45022.55862</v>
      </c>
      <c r="D11579" s="15">
        <f>IFERROR(__xludf.DUMMYFUNCTION("""COMPUTED_VALUE"""),1.101)</f>
        <v>1.101</v>
      </c>
      <c r="E11579" s="16">
        <f>IFERROR(__xludf.DUMMYFUNCTION("""COMPUTED_VALUE"""),65.0)</f>
        <v>65</v>
      </c>
      <c r="F11579" s="19" t="str">
        <f>IFERROR(__xludf.DUMMYFUNCTION("""COMPUTED_VALUE"""),"BLUE")</f>
        <v>BLUE</v>
      </c>
      <c r="G11579" s="20" t="str">
        <f>IFERROR(__xludf.DUMMYFUNCTION("""COMPUTED_VALUE"""),"Uncle Sams Cider (04/04/2023)")</f>
        <v>Uncle Sams Cider (04/04/2023)</v>
      </c>
      <c r="H11579" s="19"/>
    </row>
    <row r="11580">
      <c r="A11580" s="9"/>
      <c r="B11580" s="15"/>
      <c r="C11580" s="9">
        <f>IFERROR(__xludf.DUMMYFUNCTION("""COMPUTED_VALUE"""),45022.5481984143)</f>
        <v>45022.5482</v>
      </c>
      <c r="D11580" s="15">
        <f>IFERROR(__xludf.DUMMYFUNCTION("""COMPUTED_VALUE"""),1.102)</f>
        <v>1.102</v>
      </c>
      <c r="E11580" s="16">
        <f>IFERROR(__xludf.DUMMYFUNCTION("""COMPUTED_VALUE"""),65.0)</f>
        <v>65</v>
      </c>
      <c r="F11580" s="19" t="str">
        <f>IFERROR(__xludf.DUMMYFUNCTION("""COMPUTED_VALUE"""),"BLUE")</f>
        <v>BLUE</v>
      </c>
      <c r="G11580" s="20" t="str">
        <f>IFERROR(__xludf.DUMMYFUNCTION("""COMPUTED_VALUE"""),"Uncle Sams Cider (04/04/2023)")</f>
        <v>Uncle Sams Cider (04/04/2023)</v>
      </c>
      <c r="H11580" s="19"/>
    </row>
    <row r="11581">
      <c r="A11581" s="9"/>
      <c r="B11581" s="15"/>
      <c r="C11581" s="9">
        <f>IFERROR(__xludf.DUMMYFUNCTION("""COMPUTED_VALUE"""),45022.5377657754)</f>
        <v>45022.53777</v>
      </c>
      <c r="D11581" s="15">
        <f>IFERROR(__xludf.DUMMYFUNCTION("""COMPUTED_VALUE"""),1.101)</f>
        <v>1.101</v>
      </c>
      <c r="E11581" s="16">
        <f>IFERROR(__xludf.DUMMYFUNCTION("""COMPUTED_VALUE"""),65.0)</f>
        <v>65</v>
      </c>
      <c r="F11581" s="19" t="str">
        <f>IFERROR(__xludf.DUMMYFUNCTION("""COMPUTED_VALUE"""),"BLUE")</f>
        <v>BLUE</v>
      </c>
      <c r="G11581" s="20" t="str">
        <f>IFERROR(__xludf.DUMMYFUNCTION("""COMPUTED_VALUE"""),"Uncle Sams Cider (04/04/2023)")</f>
        <v>Uncle Sams Cider (04/04/2023)</v>
      </c>
      <c r="H11581" s="19"/>
    </row>
    <row r="11582">
      <c r="A11582" s="9"/>
      <c r="B11582" s="15"/>
      <c r="C11582" s="9">
        <f>IFERROR(__xludf.DUMMYFUNCTION("""COMPUTED_VALUE"""),45022.527342905)</f>
        <v>45022.52734</v>
      </c>
      <c r="D11582" s="15">
        <f>IFERROR(__xludf.DUMMYFUNCTION("""COMPUTED_VALUE"""),1.1)</f>
        <v>1.1</v>
      </c>
      <c r="E11582" s="16">
        <f>IFERROR(__xludf.DUMMYFUNCTION("""COMPUTED_VALUE"""),65.0)</f>
        <v>65</v>
      </c>
      <c r="F11582" s="19" t="str">
        <f>IFERROR(__xludf.DUMMYFUNCTION("""COMPUTED_VALUE"""),"BLUE")</f>
        <v>BLUE</v>
      </c>
      <c r="G11582" s="20" t="str">
        <f>IFERROR(__xludf.DUMMYFUNCTION("""COMPUTED_VALUE"""),"Uncle Sams Cider (04/04/2023)")</f>
        <v>Uncle Sams Cider (04/04/2023)</v>
      </c>
      <c r="H11582" s="19"/>
    </row>
    <row r="11583">
      <c r="A11583" s="9"/>
      <c r="B11583" s="15"/>
      <c r="C11583" s="9">
        <f>IFERROR(__xludf.DUMMYFUNCTION("""COMPUTED_VALUE"""),45022.516924699)</f>
        <v>45022.51692</v>
      </c>
      <c r="D11583" s="15">
        <f>IFERROR(__xludf.DUMMYFUNCTION("""COMPUTED_VALUE"""),1.103)</f>
        <v>1.103</v>
      </c>
      <c r="E11583" s="16">
        <f>IFERROR(__xludf.DUMMYFUNCTION("""COMPUTED_VALUE"""),65.0)</f>
        <v>65</v>
      </c>
      <c r="F11583" s="19" t="str">
        <f>IFERROR(__xludf.DUMMYFUNCTION("""COMPUTED_VALUE"""),"BLUE")</f>
        <v>BLUE</v>
      </c>
      <c r="G11583" s="20" t="str">
        <f>IFERROR(__xludf.DUMMYFUNCTION("""COMPUTED_VALUE"""),"Uncle Sams Cider (04/04/2023)")</f>
        <v>Uncle Sams Cider (04/04/2023)</v>
      </c>
      <c r="H11583" s="19"/>
    </row>
    <row r="11584">
      <c r="A11584" s="9"/>
      <c r="B11584" s="15"/>
      <c r="C11584" s="9">
        <f>IFERROR(__xludf.DUMMYFUNCTION("""COMPUTED_VALUE"""),45022.5065039351)</f>
        <v>45022.5065</v>
      </c>
      <c r="D11584" s="15">
        <f>IFERROR(__xludf.DUMMYFUNCTION("""COMPUTED_VALUE"""),1.102)</f>
        <v>1.102</v>
      </c>
      <c r="E11584" s="16">
        <f>IFERROR(__xludf.DUMMYFUNCTION("""COMPUTED_VALUE"""),65.0)</f>
        <v>65</v>
      </c>
      <c r="F11584" s="19" t="str">
        <f>IFERROR(__xludf.DUMMYFUNCTION("""COMPUTED_VALUE"""),"BLUE")</f>
        <v>BLUE</v>
      </c>
      <c r="G11584" s="20" t="str">
        <f>IFERROR(__xludf.DUMMYFUNCTION("""COMPUTED_VALUE"""),"Uncle Sams Cider (04/04/2023)")</f>
        <v>Uncle Sams Cider (04/04/2023)</v>
      </c>
      <c r="H11584" s="19"/>
    </row>
    <row r="11585">
      <c r="A11585" s="9"/>
      <c r="B11585" s="15"/>
      <c r="C11585" s="9">
        <f>IFERROR(__xludf.DUMMYFUNCTION("""COMPUTED_VALUE"""),45022.496082905)</f>
        <v>45022.49608</v>
      </c>
      <c r="D11585" s="15">
        <f>IFERROR(__xludf.DUMMYFUNCTION("""COMPUTED_VALUE"""),1.102)</f>
        <v>1.102</v>
      </c>
      <c r="E11585" s="16">
        <f>IFERROR(__xludf.DUMMYFUNCTION("""COMPUTED_VALUE"""),65.0)</f>
        <v>65</v>
      </c>
      <c r="F11585" s="19" t="str">
        <f>IFERROR(__xludf.DUMMYFUNCTION("""COMPUTED_VALUE"""),"BLUE")</f>
        <v>BLUE</v>
      </c>
      <c r="G11585" s="20" t="str">
        <f>IFERROR(__xludf.DUMMYFUNCTION("""COMPUTED_VALUE"""),"Uncle Sams Cider (04/04/2023)")</f>
        <v>Uncle Sams Cider (04/04/2023)</v>
      </c>
      <c r="H11585" s="19"/>
    </row>
    <row r="11586">
      <c r="A11586" s="9"/>
      <c r="B11586" s="15"/>
      <c r="C11586" s="9">
        <f>IFERROR(__xludf.DUMMYFUNCTION("""COMPUTED_VALUE"""),45022.4856629051)</f>
        <v>45022.48566</v>
      </c>
      <c r="D11586" s="15">
        <f>IFERROR(__xludf.DUMMYFUNCTION("""COMPUTED_VALUE"""),1.102)</f>
        <v>1.102</v>
      </c>
      <c r="E11586" s="16">
        <f>IFERROR(__xludf.DUMMYFUNCTION("""COMPUTED_VALUE"""),65.0)</f>
        <v>65</v>
      </c>
      <c r="F11586" s="19" t="str">
        <f>IFERROR(__xludf.DUMMYFUNCTION("""COMPUTED_VALUE"""),"BLUE")</f>
        <v>BLUE</v>
      </c>
      <c r="G11586" s="20" t="str">
        <f>IFERROR(__xludf.DUMMYFUNCTION("""COMPUTED_VALUE"""),"Uncle Sams Cider (04/04/2023)")</f>
        <v>Uncle Sams Cider (04/04/2023)</v>
      </c>
      <c r="H11586" s="19"/>
    </row>
    <row r="11587">
      <c r="A11587" s="9"/>
      <c r="B11587" s="15"/>
      <c r="C11587" s="9">
        <f>IFERROR(__xludf.DUMMYFUNCTION("""COMPUTED_VALUE"""),45022.4752421527)</f>
        <v>45022.47524</v>
      </c>
      <c r="D11587" s="15">
        <f>IFERROR(__xludf.DUMMYFUNCTION("""COMPUTED_VALUE"""),1.102)</f>
        <v>1.102</v>
      </c>
      <c r="E11587" s="16">
        <f>IFERROR(__xludf.DUMMYFUNCTION("""COMPUTED_VALUE"""),65.0)</f>
        <v>65</v>
      </c>
      <c r="F11587" s="19" t="str">
        <f>IFERROR(__xludf.DUMMYFUNCTION("""COMPUTED_VALUE"""),"BLUE")</f>
        <v>BLUE</v>
      </c>
      <c r="G11587" s="20" t="str">
        <f>IFERROR(__xludf.DUMMYFUNCTION("""COMPUTED_VALUE"""),"Uncle Sams Cider (04/04/2023)")</f>
        <v>Uncle Sams Cider (04/04/2023)</v>
      </c>
      <c r="H11587" s="19"/>
    </row>
    <row r="11588">
      <c r="A11588" s="9"/>
      <c r="B11588" s="15"/>
      <c r="C11588" s="9">
        <f>IFERROR(__xludf.DUMMYFUNCTION("""COMPUTED_VALUE"""),45022.4648194791)</f>
        <v>45022.46482</v>
      </c>
      <c r="D11588" s="15">
        <f>IFERROR(__xludf.DUMMYFUNCTION("""COMPUTED_VALUE"""),1.102)</f>
        <v>1.102</v>
      </c>
      <c r="E11588" s="16">
        <f>IFERROR(__xludf.DUMMYFUNCTION("""COMPUTED_VALUE"""),65.0)</f>
        <v>65</v>
      </c>
      <c r="F11588" s="19" t="str">
        <f>IFERROR(__xludf.DUMMYFUNCTION("""COMPUTED_VALUE"""),"BLUE")</f>
        <v>BLUE</v>
      </c>
      <c r="G11588" s="20" t="str">
        <f>IFERROR(__xludf.DUMMYFUNCTION("""COMPUTED_VALUE"""),"Uncle Sams Cider (04/04/2023)")</f>
        <v>Uncle Sams Cider (04/04/2023)</v>
      </c>
      <c r="H11588" s="19"/>
    </row>
    <row r="11589">
      <c r="A11589" s="9"/>
      <c r="B11589" s="15"/>
      <c r="C11589" s="9">
        <f>IFERROR(__xludf.DUMMYFUNCTION("""COMPUTED_VALUE"""),45022.4543991435)</f>
        <v>45022.4544</v>
      </c>
      <c r="D11589" s="15">
        <f>IFERROR(__xludf.DUMMYFUNCTION("""COMPUTED_VALUE"""),1.101)</f>
        <v>1.101</v>
      </c>
      <c r="E11589" s="16">
        <f>IFERROR(__xludf.DUMMYFUNCTION("""COMPUTED_VALUE"""),65.0)</f>
        <v>65</v>
      </c>
      <c r="F11589" s="19" t="str">
        <f>IFERROR(__xludf.DUMMYFUNCTION("""COMPUTED_VALUE"""),"BLUE")</f>
        <v>BLUE</v>
      </c>
      <c r="G11589" s="20" t="str">
        <f>IFERROR(__xludf.DUMMYFUNCTION("""COMPUTED_VALUE"""),"Uncle Sams Cider (04/04/2023)")</f>
        <v>Uncle Sams Cider (04/04/2023)</v>
      </c>
      <c r="H11589" s="19"/>
    </row>
    <row r="11590">
      <c r="A11590" s="9"/>
      <c r="B11590" s="15"/>
      <c r="C11590" s="9">
        <f>IFERROR(__xludf.DUMMYFUNCTION("""COMPUTED_VALUE"""),45022.4439793981)</f>
        <v>45022.44398</v>
      </c>
      <c r="D11590" s="15">
        <f>IFERROR(__xludf.DUMMYFUNCTION("""COMPUTED_VALUE"""),1.102)</f>
        <v>1.102</v>
      </c>
      <c r="E11590" s="16">
        <f>IFERROR(__xludf.DUMMYFUNCTION("""COMPUTED_VALUE"""),65.0)</f>
        <v>65</v>
      </c>
      <c r="F11590" s="19" t="str">
        <f>IFERROR(__xludf.DUMMYFUNCTION("""COMPUTED_VALUE"""),"BLUE")</f>
        <v>BLUE</v>
      </c>
      <c r="G11590" s="20" t="str">
        <f>IFERROR(__xludf.DUMMYFUNCTION("""COMPUTED_VALUE"""),"Uncle Sams Cider (04/04/2023)")</f>
        <v>Uncle Sams Cider (04/04/2023)</v>
      </c>
      <c r="H11590" s="19"/>
    </row>
    <row r="11591">
      <c r="A11591" s="9"/>
      <c r="B11591" s="15"/>
      <c r="C11591" s="9">
        <f>IFERROR(__xludf.DUMMYFUNCTION("""COMPUTED_VALUE"""),45022.4335333101)</f>
        <v>45022.43353</v>
      </c>
      <c r="D11591" s="15">
        <f>IFERROR(__xludf.DUMMYFUNCTION("""COMPUTED_VALUE"""),1.102)</f>
        <v>1.102</v>
      </c>
      <c r="E11591" s="16">
        <f>IFERROR(__xludf.DUMMYFUNCTION("""COMPUTED_VALUE"""),65.0)</f>
        <v>65</v>
      </c>
      <c r="F11591" s="19" t="str">
        <f>IFERROR(__xludf.DUMMYFUNCTION("""COMPUTED_VALUE"""),"BLUE")</f>
        <v>BLUE</v>
      </c>
      <c r="G11591" s="20" t="str">
        <f>IFERROR(__xludf.DUMMYFUNCTION("""COMPUTED_VALUE"""),"Uncle Sams Cider (04/04/2023)")</f>
        <v>Uncle Sams Cider (04/04/2023)</v>
      </c>
      <c r="H11591" s="19"/>
    </row>
    <row r="11592">
      <c r="A11592" s="9"/>
      <c r="B11592" s="15"/>
      <c r="C11592" s="9">
        <f>IFERROR(__xludf.DUMMYFUNCTION("""COMPUTED_VALUE"""),45022.4230995717)</f>
        <v>45022.4231</v>
      </c>
      <c r="D11592" s="15">
        <f>IFERROR(__xludf.DUMMYFUNCTION("""COMPUTED_VALUE"""),1.102)</f>
        <v>1.102</v>
      </c>
      <c r="E11592" s="16">
        <f>IFERROR(__xludf.DUMMYFUNCTION("""COMPUTED_VALUE"""),65.0)</f>
        <v>65</v>
      </c>
      <c r="F11592" s="19" t="str">
        <f>IFERROR(__xludf.DUMMYFUNCTION("""COMPUTED_VALUE"""),"BLUE")</f>
        <v>BLUE</v>
      </c>
      <c r="G11592" s="20" t="str">
        <f>IFERROR(__xludf.DUMMYFUNCTION("""COMPUTED_VALUE"""),"Uncle Sams Cider (04/04/2023)")</f>
        <v>Uncle Sams Cider (04/04/2023)</v>
      </c>
      <c r="H11592" s="19"/>
    </row>
    <row r="11593">
      <c r="A11593" s="9"/>
      <c r="B11593" s="15"/>
      <c r="C11593" s="9">
        <f>IFERROR(__xludf.DUMMYFUNCTION("""COMPUTED_VALUE"""),45022.4126679861)</f>
        <v>45022.41267</v>
      </c>
      <c r="D11593" s="15">
        <f>IFERROR(__xludf.DUMMYFUNCTION("""COMPUTED_VALUE"""),1.102)</f>
        <v>1.102</v>
      </c>
      <c r="E11593" s="16">
        <f>IFERROR(__xludf.DUMMYFUNCTION("""COMPUTED_VALUE"""),65.0)</f>
        <v>65</v>
      </c>
      <c r="F11593" s="19" t="str">
        <f>IFERROR(__xludf.DUMMYFUNCTION("""COMPUTED_VALUE"""),"BLUE")</f>
        <v>BLUE</v>
      </c>
      <c r="G11593" s="20" t="str">
        <f>IFERROR(__xludf.DUMMYFUNCTION("""COMPUTED_VALUE"""),"Uncle Sams Cider (04/04/2023)")</f>
        <v>Uncle Sams Cider (04/04/2023)</v>
      </c>
      <c r="H11593" s="19"/>
    </row>
    <row r="11594">
      <c r="A11594" s="9"/>
      <c r="B11594" s="15"/>
      <c r="C11594" s="9">
        <f>IFERROR(__xludf.DUMMYFUNCTION("""COMPUTED_VALUE"""),45022.4022455324)</f>
        <v>45022.40225</v>
      </c>
      <c r="D11594" s="15">
        <f>IFERROR(__xludf.DUMMYFUNCTION("""COMPUTED_VALUE"""),1.102)</f>
        <v>1.102</v>
      </c>
      <c r="E11594" s="16">
        <f>IFERROR(__xludf.DUMMYFUNCTION("""COMPUTED_VALUE"""),65.0)</f>
        <v>65</v>
      </c>
      <c r="F11594" s="19" t="str">
        <f>IFERROR(__xludf.DUMMYFUNCTION("""COMPUTED_VALUE"""),"BLUE")</f>
        <v>BLUE</v>
      </c>
      <c r="G11594" s="20" t="str">
        <f>IFERROR(__xludf.DUMMYFUNCTION("""COMPUTED_VALUE"""),"Uncle Sams Cider (04/04/2023)")</f>
        <v>Uncle Sams Cider (04/04/2023)</v>
      </c>
      <c r="H11594" s="19"/>
    </row>
    <row r="11595">
      <c r="A11595" s="9"/>
      <c r="B11595" s="15"/>
      <c r="C11595" s="9">
        <f>IFERROR(__xludf.DUMMYFUNCTION("""COMPUTED_VALUE"""),45022.391825081)</f>
        <v>45022.39183</v>
      </c>
      <c r="D11595" s="15">
        <f>IFERROR(__xludf.DUMMYFUNCTION("""COMPUTED_VALUE"""),1.103)</f>
        <v>1.103</v>
      </c>
      <c r="E11595" s="16">
        <f>IFERROR(__xludf.DUMMYFUNCTION("""COMPUTED_VALUE"""),65.0)</f>
        <v>65</v>
      </c>
      <c r="F11595" s="19" t="str">
        <f>IFERROR(__xludf.DUMMYFUNCTION("""COMPUTED_VALUE"""),"BLUE")</f>
        <v>BLUE</v>
      </c>
      <c r="G11595" s="20" t="str">
        <f>IFERROR(__xludf.DUMMYFUNCTION("""COMPUTED_VALUE"""),"Uncle Sams Cider (04/04/2023)")</f>
        <v>Uncle Sams Cider (04/04/2023)</v>
      </c>
      <c r="H11595" s="19"/>
    </row>
    <row r="11596">
      <c r="A11596" s="9"/>
      <c r="B11596" s="15"/>
      <c r="C11596" s="9">
        <f>IFERROR(__xludf.DUMMYFUNCTION("""COMPUTED_VALUE"""),45022.3814061226)</f>
        <v>45022.38141</v>
      </c>
      <c r="D11596" s="15">
        <f>IFERROR(__xludf.DUMMYFUNCTION("""COMPUTED_VALUE"""),1.102)</f>
        <v>1.102</v>
      </c>
      <c r="E11596" s="16">
        <f>IFERROR(__xludf.DUMMYFUNCTION("""COMPUTED_VALUE"""),65.0)</f>
        <v>65</v>
      </c>
      <c r="F11596" s="19" t="str">
        <f>IFERROR(__xludf.DUMMYFUNCTION("""COMPUTED_VALUE"""),"BLUE")</f>
        <v>BLUE</v>
      </c>
      <c r="G11596" s="20" t="str">
        <f>IFERROR(__xludf.DUMMYFUNCTION("""COMPUTED_VALUE"""),"Uncle Sams Cider (04/04/2023)")</f>
        <v>Uncle Sams Cider (04/04/2023)</v>
      </c>
      <c r="H11596" s="19"/>
    </row>
    <row r="11597">
      <c r="A11597" s="9"/>
      <c r="B11597" s="15"/>
      <c r="C11597" s="9">
        <f>IFERROR(__xludf.DUMMYFUNCTION("""COMPUTED_VALUE"""),45022.3709843634)</f>
        <v>45022.37098</v>
      </c>
      <c r="D11597" s="15">
        <f>IFERROR(__xludf.DUMMYFUNCTION("""COMPUTED_VALUE"""),1.102)</f>
        <v>1.102</v>
      </c>
      <c r="E11597" s="16">
        <f>IFERROR(__xludf.DUMMYFUNCTION("""COMPUTED_VALUE"""),65.0)</f>
        <v>65</v>
      </c>
      <c r="F11597" s="19" t="str">
        <f>IFERROR(__xludf.DUMMYFUNCTION("""COMPUTED_VALUE"""),"BLUE")</f>
        <v>BLUE</v>
      </c>
      <c r="G11597" s="20" t="str">
        <f>IFERROR(__xludf.DUMMYFUNCTION("""COMPUTED_VALUE"""),"Uncle Sams Cider (04/04/2023)")</f>
        <v>Uncle Sams Cider (04/04/2023)</v>
      </c>
      <c r="H11597" s="19"/>
    </row>
    <row r="11598">
      <c r="A11598" s="9"/>
      <c r="B11598" s="15"/>
      <c r="C11598" s="9">
        <f>IFERROR(__xludf.DUMMYFUNCTION("""COMPUTED_VALUE"""),45022.3605645717)</f>
        <v>45022.36056</v>
      </c>
      <c r="D11598" s="15">
        <f>IFERROR(__xludf.DUMMYFUNCTION("""COMPUTED_VALUE"""),1.103)</f>
        <v>1.103</v>
      </c>
      <c r="E11598" s="16">
        <f>IFERROR(__xludf.DUMMYFUNCTION("""COMPUTED_VALUE"""),65.0)</f>
        <v>65</v>
      </c>
      <c r="F11598" s="19" t="str">
        <f>IFERROR(__xludf.DUMMYFUNCTION("""COMPUTED_VALUE"""),"BLUE")</f>
        <v>BLUE</v>
      </c>
      <c r="G11598" s="20" t="str">
        <f>IFERROR(__xludf.DUMMYFUNCTION("""COMPUTED_VALUE"""),"Uncle Sams Cider (04/04/2023)")</f>
        <v>Uncle Sams Cider (04/04/2023)</v>
      </c>
      <c r="H11598" s="19"/>
    </row>
    <row r="11599">
      <c r="A11599" s="9"/>
      <c r="B11599" s="15"/>
      <c r="C11599" s="9">
        <f>IFERROR(__xludf.DUMMYFUNCTION("""COMPUTED_VALUE"""),45022.3501433217)</f>
        <v>45022.35014</v>
      </c>
      <c r="D11599" s="15">
        <f>IFERROR(__xludf.DUMMYFUNCTION("""COMPUTED_VALUE"""),1.104)</f>
        <v>1.104</v>
      </c>
      <c r="E11599" s="16">
        <f>IFERROR(__xludf.DUMMYFUNCTION("""COMPUTED_VALUE"""),65.0)</f>
        <v>65</v>
      </c>
      <c r="F11599" s="19" t="str">
        <f>IFERROR(__xludf.DUMMYFUNCTION("""COMPUTED_VALUE"""),"BLUE")</f>
        <v>BLUE</v>
      </c>
      <c r="G11599" s="20" t="str">
        <f>IFERROR(__xludf.DUMMYFUNCTION("""COMPUTED_VALUE"""),"Uncle Sams Cider (04/04/2023)")</f>
        <v>Uncle Sams Cider (04/04/2023)</v>
      </c>
      <c r="H11599" s="19"/>
    </row>
    <row r="11600">
      <c r="A11600" s="9"/>
      <c r="B11600" s="15"/>
      <c r="C11600" s="9">
        <f>IFERROR(__xludf.DUMMYFUNCTION("""COMPUTED_VALUE"""),45022.3397107523)</f>
        <v>45022.33971</v>
      </c>
      <c r="D11600" s="15">
        <f>IFERROR(__xludf.DUMMYFUNCTION("""COMPUTED_VALUE"""),1.102)</f>
        <v>1.102</v>
      </c>
      <c r="E11600" s="16">
        <f>IFERROR(__xludf.DUMMYFUNCTION("""COMPUTED_VALUE"""),65.0)</f>
        <v>65</v>
      </c>
      <c r="F11600" s="19" t="str">
        <f>IFERROR(__xludf.DUMMYFUNCTION("""COMPUTED_VALUE"""),"BLUE")</f>
        <v>BLUE</v>
      </c>
      <c r="G11600" s="20" t="str">
        <f>IFERROR(__xludf.DUMMYFUNCTION("""COMPUTED_VALUE"""),"Uncle Sams Cider (04/04/2023)")</f>
        <v>Uncle Sams Cider (04/04/2023)</v>
      </c>
      <c r="H11600" s="19"/>
    </row>
    <row r="11601">
      <c r="A11601" s="9"/>
      <c r="B11601" s="15"/>
      <c r="C11601" s="9">
        <f>IFERROR(__xludf.DUMMYFUNCTION("""COMPUTED_VALUE"""),45022.3292885532)</f>
        <v>45022.32929</v>
      </c>
      <c r="D11601" s="15">
        <f>IFERROR(__xludf.DUMMYFUNCTION("""COMPUTED_VALUE"""),1.102)</f>
        <v>1.102</v>
      </c>
      <c r="E11601" s="16">
        <f>IFERROR(__xludf.DUMMYFUNCTION("""COMPUTED_VALUE"""),65.0)</f>
        <v>65</v>
      </c>
      <c r="F11601" s="19" t="str">
        <f>IFERROR(__xludf.DUMMYFUNCTION("""COMPUTED_VALUE"""),"BLUE")</f>
        <v>BLUE</v>
      </c>
      <c r="G11601" s="20" t="str">
        <f>IFERROR(__xludf.DUMMYFUNCTION("""COMPUTED_VALUE"""),"Uncle Sams Cider (04/04/2023)")</f>
        <v>Uncle Sams Cider (04/04/2023)</v>
      </c>
      <c r="H11601" s="19"/>
    </row>
    <row r="11602">
      <c r="A11602" s="9"/>
      <c r="B11602" s="15"/>
      <c r="C11602" s="9">
        <f>IFERROR(__xludf.DUMMYFUNCTION("""COMPUTED_VALUE"""),45022.3188676273)</f>
        <v>45022.31887</v>
      </c>
      <c r="D11602" s="15">
        <f>IFERROR(__xludf.DUMMYFUNCTION("""COMPUTED_VALUE"""),1.103)</f>
        <v>1.103</v>
      </c>
      <c r="E11602" s="16">
        <f>IFERROR(__xludf.DUMMYFUNCTION("""COMPUTED_VALUE"""),65.0)</f>
        <v>65</v>
      </c>
      <c r="F11602" s="19" t="str">
        <f>IFERROR(__xludf.DUMMYFUNCTION("""COMPUTED_VALUE"""),"BLUE")</f>
        <v>BLUE</v>
      </c>
      <c r="G11602" s="20" t="str">
        <f>IFERROR(__xludf.DUMMYFUNCTION("""COMPUTED_VALUE"""),"Uncle Sams Cider (04/04/2023)")</f>
        <v>Uncle Sams Cider (04/04/2023)</v>
      </c>
      <c r="H11602" s="19"/>
    </row>
    <row r="11603">
      <c r="A11603" s="9"/>
      <c r="B11603" s="15"/>
      <c r="C11603" s="9">
        <f>IFERROR(__xludf.DUMMYFUNCTION("""COMPUTED_VALUE"""),45022.3084472453)</f>
        <v>45022.30845</v>
      </c>
      <c r="D11603" s="15">
        <f>IFERROR(__xludf.DUMMYFUNCTION("""COMPUTED_VALUE"""),1.102)</f>
        <v>1.102</v>
      </c>
      <c r="E11603" s="16">
        <f>IFERROR(__xludf.DUMMYFUNCTION("""COMPUTED_VALUE"""),65.0)</f>
        <v>65</v>
      </c>
      <c r="F11603" s="19" t="str">
        <f>IFERROR(__xludf.DUMMYFUNCTION("""COMPUTED_VALUE"""),"BLUE")</f>
        <v>BLUE</v>
      </c>
      <c r="G11603" s="20" t="str">
        <f>IFERROR(__xludf.DUMMYFUNCTION("""COMPUTED_VALUE"""),"Uncle Sams Cider (04/04/2023)")</f>
        <v>Uncle Sams Cider (04/04/2023)</v>
      </c>
      <c r="H11603" s="19"/>
    </row>
    <row r="11604">
      <c r="A11604" s="9"/>
      <c r="B11604" s="15"/>
      <c r="C11604" s="9">
        <f>IFERROR(__xludf.DUMMYFUNCTION("""COMPUTED_VALUE"""),45022.2980268171)</f>
        <v>45022.29803</v>
      </c>
      <c r="D11604" s="15">
        <f>IFERROR(__xludf.DUMMYFUNCTION("""COMPUTED_VALUE"""),1.103)</f>
        <v>1.103</v>
      </c>
      <c r="E11604" s="16">
        <f>IFERROR(__xludf.DUMMYFUNCTION("""COMPUTED_VALUE"""),65.0)</f>
        <v>65</v>
      </c>
      <c r="F11604" s="19" t="str">
        <f>IFERROR(__xludf.DUMMYFUNCTION("""COMPUTED_VALUE"""),"BLUE")</f>
        <v>BLUE</v>
      </c>
      <c r="G11604" s="20" t="str">
        <f>IFERROR(__xludf.DUMMYFUNCTION("""COMPUTED_VALUE"""),"Uncle Sams Cider (04/04/2023)")</f>
        <v>Uncle Sams Cider (04/04/2023)</v>
      </c>
      <c r="H11604" s="19"/>
    </row>
    <row r="11605">
      <c r="A11605" s="9"/>
      <c r="B11605" s="15"/>
      <c r="C11605" s="9">
        <f>IFERROR(__xludf.DUMMYFUNCTION("""COMPUTED_VALUE"""),45022.287606655)</f>
        <v>45022.28761</v>
      </c>
      <c r="D11605" s="15">
        <f>IFERROR(__xludf.DUMMYFUNCTION("""COMPUTED_VALUE"""),1.104)</f>
        <v>1.104</v>
      </c>
      <c r="E11605" s="16">
        <f>IFERROR(__xludf.DUMMYFUNCTION("""COMPUTED_VALUE"""),65.0)</f>
        <v>65</v>
      </c>
      <c r="F11605" s="19" t="str">
        <f>IFERROR(__xludf.DUMMYFUNCTION("""COMPUTED_VALUE"""),"BLUE")</f>
        <v>BLUE</v>
      </c>
      <c r="G11605" s="20" t="str">
        <f>IFERROR(__xludf.DUMMYFUNCTION("""COMPUTED_VALUE"""),"Uncle Sams Cider (04/04/2023)")</f>
        <v>Uncle Sams Cider (04/04/2023)</v>
      </c>
      <c r="H11605" s="19"/>
    </row>
    <row r="11606">
      <c r="A11606" s="9"/>
      <c r="B11606" s="15"/>
      <c r="C11606" s="9">
        <f>IFERROR(__xludf.DUMMYFUNCTION("""COMPUTED_VALUE"""),45022.2771735301)</f>
        <v>45022.27717</v>
      </c>
      <c r="D11606" s="15">
        <f>IFERROR(__xludf.DUMMYFUNCTION("""COMPUTED_VALUE"""),1.103)</f>
        <v>1.103</v>
      </c>
      <c r="E11606" s="16">
        <f>IFERROR(__xludf.DUMMYFUNCTION("""COMPUTED_VALUE"""),65.0)</f>
        <v>65</v>
      </c>
      <c r="F11606" s="19" t="str">
        <f>IFERROR(__xludf.DUMMYFUNCTION("""COMPUTED_VALUE"""),"BLUE")</f>
        <v>BLUE</v>
      </c>
      <c r="G11606" s="20" t="str">
        <f>IFERROR(__xludf.DUMMYFUNCTION("""COMPUTED_VALUE"""),"Uncle Sams Cider (04/04/2023)")</f>
        <v>Uncle Sams Cider (04/04/2023)</v>
      </c>
      <c r="H11606" s="19"/>
    </row>
    <row r="11607">
      <c r="A11607" s="9"/>
      <c r="B11607" s="15"/>
      <c r="C11607" s="9">
        <f>IFERROR(__xludf.DUMMYFUNCTION("""COMPUTED_VALUE"""),45022.266753368)</f>
        <v>45022.26675</v>
      </c>
      <c r="D11607" s="15">
        <f>IFERROR(__xludf.DUMMYFUNCTION("""COMPUTED_VALUE"""),1.104)</f>
        <v>1.104</v>
      </c>
      <c r="E11607" s="16">
        <f>IFERROR(__xludf.DUMMYFUNCTION("""COMPUTED_VALUE"""),65.0)</f>
        <v>65</v>
      </c>
      <c r="F11607" s="19" t="str">
        <f>IFERROR(__xludf.DUMMYFUNCTION("""COMPUTED_VALUE"""),"BLUE")</f>
        <v>BLUE</v>
      </c>
      <c r="G11607" s="20" t="str">
        <f>IFERROR(__xludf.DUMMYFUNCTION("""COMPUTED_VALUE"""),"Uncle Sams Cider (04/04/2023)")</f>
        <v>Uncle Sams Cider (04/04/2023)</v>
      </c>
      <c r="H11607" s="19"/>
    </row>
    <row r="11608">
      <c r="A11608" s="9"/>
      <c r="B11608" s="15"/>
      <c r="C11608" s="9">
        <f>IFERROR(__xludf.DUMMYFUNCTION("""COMPUTED_VALUE"""),45022.2563320254)</f>
        <v>45022.25633</v>
      </c>
      <c r="D11608" s="15">
        <f>IFERROR(__xludf.DUMMYFUNCTION("""COMPUTED_VALUE"""),1.104)</f>
        <v>1.104</v>
      </c>
      <c r="E11608" s="16">
        <f>IFERROR(__xludf.DUMMYFUNCTION("""COMPUTED_VALUE"""),65.0)</f>
        <v>65</v>
      </c>
      <c r="F11608" s="19" t="str">
        <f>IFERROR(__xludf.DUMMYFUNCTION("""COMPUTED_VALUE"""),"BLUE")</f>
        <v>BLUE</v>
      </c>
      <c r="G11608" s="20" t="str">
        <f>IFERROR(__xludf.DUMMYFUNCTION("""COMPUTED_VALUE"""),"Uncle Sams Cider (04/04/2023)")</f>
        <v>Uncle Sams Cider (04/04/2023)</v>
      </c>
      <c r="H11608" s="19"/>
    </row>
    <row r="11609">
      <c r="A11609" s="9"/>
      <c r="B11609" s="15"/>
      <c r="C11609" s="9">
        <f>IFERROR(__xludf.DUMMYFUNCTION("""COMPUTED_VALUE"""),45022.2459104629)</f>
        <v>45022.24591</v>
      </c>
      <c r="D11609" s="15">
        <f>IFERROR(__xludf.DUMMYFUNCTION("""COMPUTED_VALUE"""),1.105)</f>
        <v>1.105</v>
      </c>
      <c r="E11609" s="16">
        <f>IFERROR(__xludf.DUMMYFUNCTION("""COMPUTED_VALUE"""),65.0)</f>
        <v>65</v>
      </c>
      <c r="F11609" s="19" t="str">
        <f>IFERROR(__xludf.DUMMYFUNCTION("""COMPUTED_VALUE"""),"BLUE")</f>
        <v>BLUE</v>
      </c>
      <c r="G11609" s="20" t="str">
        <f>IFERROR(__xludf.DUMMYFUNCTION("""COMPUTED_VALUE"""),"Uncle Sams Cider (04/04/2023)")</f>
        <v>Uncle Sams Cider (04/04/2023)</v>
      </c>
      <c r="H11609" s="19"/>
    </row>
    <row r="11610">
      <c r="A11610" s="9"/>
      <c r="B11610" s="15"/>
      <c r="C11610" s="9">
        <f>IFERROR(__xludf.DUMMYFUNCTION("""COMPUTED_VALUE"""),45022.2354885648)</f>
        <v>45022.23549</v>
      </c>
      <c r="D11610" s="15">
        <f>IFERROR(__xludf.DUMMYFUNCTION("""COMPUTED_VALUE"""),1.104)</f>
        <v>1.104</v>
      </c>
      <c r="E11610" s="16">
        <f>IFERROR(__xludf.DUMMYFUNCTION("""COMPUTED_VALUE"""),65.0)</f>
        <v>65</v>
      </c>
      <c r="F11610" s="19" t="str">
        <f>IFERROR(__xludf.DUMMYFUNCTION("""COMPUTED_VALUE"""),"BLUE")</f>
        <v>BLUE</v>
      </c>
      <c r="G11610" s="20" t="str">
        <f>IFERROR(__xludf.DUMMYFUNCTION("""COMPUTED_VALUE"""),"Uncle Sams Cider (04/04/2023)")</f>
        <v>Uncle Sams Cider (04/04/2023)</v>
      </c>
      <c r="H11610" s="19"/>
    </row>
    <row r="11611">
      <c r="A11611" s="9"/>
      <c r="B11611" s="15"/>
      <c r="C11611" s="9">
        <f>IFERROR(__xludf.DUMMYFUNCTION("""COMPUTED_VALUE"""),45022.2250678935)</f>
        <v>45022.22507</v>
      </c>
      <c r="D11611" s="15">
        <f>IFERROR(__xludf.DUMMYFUNCTION("""COMPUTED_VALUE"""),1.105)</f>
        <v>1.105</v>
      </c>
      <c r="E11611" s="16">
        <f>IFERROR(__xludf.DUMMYFUNCTION("""COMPUTED_VALUE"""),65.0)</f>
        <v>65</v>
      </c>
      <c r="F11611" s="19" t="str">
        <f>IFERROR(__xludf.DUMMYFUNCTION("""COMPUTED_VALUE"""),"BLUE")</f>
        <v>BLUE</v>
      </c>
      <c r="G11611" s="20" t="str">
        <f>IFERROR(__xludf.DUMMYFUNCTION("""COMPUTED_VALUE"""),"Uncle Sams Cider (04/04/2023)")</f>
        <v>Uncle Sams Cider (04/04/2023)</v>
      </c>
      <c r="H11611" s="19"/>
    </row>
    <row r="11612">
      <c r="A11612" s="9"/>
      <c r="B11612" s="15"/>
      <c r="C11612" s="9">
        <f>IFERROR(__xludf.DUMMYFUNCTION("""COMPUTED_VALUE"""),45022.2146464467)</f>
        <v>45022.21465</v>
      </c>
      <c r="D11612" s="15">
        <f>IFERROR(__xludf.DUMMYFUNCTION("""COMPUTED_VALUE"""),1.106)</f>
        <v>1.106</v>
      </c>
      <c r="E11612" s="16">
        <f>IFERROR(__xludf.DUMMYFUNCTION("""COMPUTED_VALUE"""),65.0)</f>
        <v>65</v>
      </c>
      <c r="F11612" s="19" t="str">
        <f>IFERROR(__xludf.DUMMYFUNCTION("""COMPUTED_VALUE"""),"BLUE")</f>
        <v>BLUE</v>
      </c>
      <c r="G11612" s="20" t="str">
        <f>IFERROR(__xludf.DUMMYFUNCTION("""COMPUTED_VALUE"""),"Uncle Sams Cider (04/04/2023)")</f>
        <v>Uncle Sams Cider (04/04/2023)</v>
      </c>
      <c r="H11612" s="19"/>
    </row>
    <row r="11613">
      <c r="A11613" s="9"/>
      <c r="B11613" s="15"/>
      <c r="C11613" s="9">
        <f>IFERROR(__xludf.DUMMYFUNCTION("""COMPUTED_VALUE"""),45022.2042262615)</f>
        <v>45022.20423</v>
      </c>
      <c r="D11613" s="15">
        <f>IFERROR(__xludf.DUMMYFUNCTION("""COMPUTED_VALUE"""),1.105)</f>
        <v>1.105</v>
      </c>
      <c r="E11613" s="16">
        <f>IFERROR(__xludf.DUMMYFUNCTION("""COMPUTED_VALUE"""),65.0)</f>
        <v>65</v>
      </c>
      <c r="F11613" s="19" t="str">
        <f>IFERROR(__xludf.DUMMYFUNCTION("""COMPUTED_VALUE"""),"BLUE")</f>
        <v>BLUE</v>
      </c>
      <c r="G11613" s="20" t="str">
        <f>IFERROR(__xludf.DUMMYFUNCTION("""COMPUTED_VALUE"""),"Uncle Sams Cider (04/04/2023)")</f>
        <v>Uncle Sams Cider (04/04/2023)</v>
      </c>
      <c r="H11613" s="19"/>
    </row>
    <row r="11614">
      <c r="A11614" s="9"/>
      <c r="B11614" s="15"/>
      <c r="C11614" s="9">
        <f>IFERROR(__xludf.DUMMYFUNCTION("""COMPUTED_VALUE"""),45022.1938077083)</f>
        <v>45022.19381</v>
      </c>
      <c r="D11614" s="15">
        <f>IFERROR(__xludf.DUMMYFUNCTION("""COMPUTED_VALUE"""),1.104)</f>
        <v>1.104</v>
      </c>
      <c r="E11614" s="16">
        <f>IFERROR(__xludf.DUMMYFUNCTION("""COMPUTED_VALUE"""),65.0)</f>
        <v>65</v>
      </c>
      <c r="F11614" s="19" t="str">
        <f>IFERROR(__xludf.DUMMYFUNCTION("""COMPUTED_VALUE"""),"BLUE")</f>
        <v>BLUE</v>
      </c>
      <c r="G11614" s="20" t="str">
        <f>IFERROR(__xludf.DUMMYFUNCTION("""COMPUTED_VALUE"""),"Uncle Sams Cider (04/04/2023)")</f>
        <v>Uncle Sams Cider (04/04/2023)</v>
      </c>
      <c r="H11614" s="19"/>
    </row>
    <row r="11615">
      <c r="A11615" s="9"/>
      <c r="B11615" s="15"/>
      <c r="C11615" s="9">
        <f>IFERROR(__xludf.DUMMYFUNCTION("""COMPUTED_VALUE"""),45022.1833864004)</f>
        <v>45022.18339</v>
      </c>
      <c r="D11615" s="15">
        <f>IFERROR(__xludf.DUMMYFUNCTION("""COMPUTED_VALUE"""),1.105)</f>
        <v>1.105</v>
      </c>
      <c r="E11615" s="16">
        <f>IFERROR(__xludf.DUMMYFUNCTION("""COMPUTED_VALUE"""),65.0)</f>
        <v>65</v>
      </c>
      <c r="F11615" s="19" t="str">
        <f>IFERROR(__xludf.DUMMYFUNCTION("""COMPUTED_VALUE"""),"BLUE")</f>
        <v>BLUE</v>
      </c>
      <c r="G11615" s="20" t="str">
        <f>IFERROR(__xludf.DUMMYFUNCTION("""COMPUTED_VALUE"""),"Uncle Sams Cider (04/04/2023)")</f>
        <v>Uncle Sams Cider (04/04/2023)</v>
      </c>
      <c r="H11615" s="19"/>
    </row>
    <row r="11616">
      <c r="A11616" s="9"/>
      <c r="B11616" s="15"/>
      <c r="C11616" s="9">
        <f>IFERROR(__xludf.DUMMYFUNCTION("""COMPUTED_VALUE"""),45022.1729663078)</f>
        <v>45022.17297</v>
      </c>
      <c r="D11616" s="15">
        <f>IFERROR(__xludf.DUMMYFUNCTION("""COMPUTED_VALUE"""),1.106)</f>
        <v>1.106</v>
      </c>
      <c r="E11616" s="16">
        <f>IFERROR(__xludf.DUMMYFUNCTION("""COMPUTED_VALUE"""),65.0)</f>
        <v>65</v>
      </c>
      <c r="F11616" s="19" t="str">
        <f>IFERROR(__xludf.DUMMYFUNCTION("""COMPUTED_VALUE"""),"BLUE")</f>
        <v>BLUE</v>
      </c>
      <c r="G11616" s="20" t="str">
        <f>IFERROR(__xludf.DUMMYFUNCTION("""COMPUTED_VALUE"""),"Uncle Sams Cider (04/04/2023)")</f>
        <v>Uncle Sams Cider (04/04/2023)</v>
      </c>
      <c r="H11616" s="19"/>
    </row>
    <row r="11617">
      <c r="A11617" s="9"/>
      <c r="B11617" s="15"/>
      <c r="C11617" s="9">
        <f>IFERROR(__xludf.DUMMYFUNCTION("""COMPUTED_VALUE"""),45022.162544537)</f>
        <v>45022.16254</v>
      </c>
      <c r="D11617" s="15">
        <f>IFERROR(__xludf.DUMMYFUNCTION("""COMPUTED_VALUE"""),1.106)</f>
        <v>1.106</v>
      </c>
      <c r="E11617" s="16">
        <f>IFERROR(__xludf.DUMMYFUNCTION("""COMPUTED_VALUE"""),65.0)</f>
        <v>65</v>
      </c>
      <c r="F11617" s="19" t="str">
        <f>IFERROR(__xludf.DUMMYFUNCTION("""COMPUTED_VALUE"""),"BLUE")</f>
        <v>BLUE</v>
      </c>
      <c r="G11617" s="20" t="str">
        <f>IFERROR(__xludf.DUMMYFUNCTION("""COMPUTED_VALUE"""),"Uncle Sams Cider (04/04/2023)")</f>
        <v>Uncle Sams Cider (04/04/2023)</v>
      </c>
      <c r="H11617" s="19"/>
    </row>
    <row r="11618">
      <c r="A11618" s="9"/>
      <c r="B11618" s="15"/>
      <c r="C11618" s="9">
        <f>IFERROR(__xludf.DUMMYFUNCTION("""COMPUTED_VALUE"""),45022.1521243518)</f>
        <v>45022.15212</v>
      </c>
      <c r="D11618" s="15">
        <f>IFERROR(__xludf.DUMMYFUNCTION("""COMPUTED_VALUE"""),1.106)</f>
        <v>1.106</v>
      </c>
      <c r="E11618" s="16">
        <f>IFERROR(__xludf.DUMMYFUNCTION("""COMPUTED_VALUE"""),65.0)</f>
        <v>65</v>
      </c>
      <c r="F11618" s="19" t="str">
        <f>IFERROR(__xludf.DUMMYFUNCTION("""COMPUTED_VALUE"""),"BLUE")</f>
        <v>BLUE</v>
      </c>
      <c r="G11618" s="20" t="str">
        <f>IFERROR(__xludf.DUMMYFUNCTION("""COMPUTED_VALUE"""),"Uncle Sams Cider (04/04/2023)")</f>
        <v>Uncle Sams Cider (04/04/2023)</v>
      </c>
      <c r="H11618" s="19"/>
    </row>
    <row r="11619">
      <c r="A11619" s="9"/>
      <c r="B11619" s="15"/>
      <c r="C11619" s="9">
        <f>IFERROR(__xludf.DUMMYFUNCTION("""COMPUTED_VALUE"""),45022.1417014467)</f>
        <v>45022.1417</v>
      </c>
      <c r="D11619" s="15">
        <f>IFERROR(__xludf.DUMMYFUNCTION("""COMPUTED_VALUE"""),1.106)</f>
        <v>1.106</v>
      </c>
      <c r="E11619" s="16">
        <f>IFERROR(__xludf.DUMMYFUNCTION("""COMPUTED_VALUE"""),65.0)</f>
        <v>65</v>
      </c>
      <c r="F11619" s="19" t="str">
        <f>IFERROR(__xludf.DUMMYFUNCTION("""COMPUTED_VALUE"""),"BLUE")</f>
        <v>BLUE</v>
      </c>
      <c r="G11619" s="20" t="str">
        <f>IFERROR(__xludf.DUMMYFUNCTION("""COMPUTED_VALUE"""),"Uncle Sams Cider (04/04/2023)")</f>
        <v>Uncle Sams Cider (04/04/2023)</v>
      </c>
      <c r="H11619" s="19"/>
    </row>
    <row r="11620">
      <c r="A11620" s="9"/>
      <c r="B11620" s="15"/>
      <c r="C11620" s="9">
        <f>IFERROR(__xludf.DUMMYFUNCTION("""COMPUTED_VALUE"""),45022.1312784953)</f>
        <v>45022.13128</v>
      </c>
      <c r="D11620" s="15">
        <f>IFERROR(__xludf.DUMMYFUNCTION("""COMPUTED_VALUE"""),1.106)</f>
        <v>1.106</v>
      </c>
      <c r="E11620" s="16">
        <f>IFERROR(__xludf.DUMMYFUNCTION("""COMPUTED_VALUE"""),65.0)</f>
        <v>65</v>
      </c>
      <c r="F11620" s="19" t="str">
        <f>IFERROR(__xludf.DUMMYFUNCTION("""COMPUTED_VALUE"""),"BLUE")</f>
        <v>BLUE</v>
      </c>
      <c r="G11620" s="20" t="str">
        <f>IFERROR(__xludf.DUMMYFUNCTION("""COMPUTED_VALUE"""),"Uncle Sams Cider (04/04/2023)")</f>
        <v>Uncle Sams Cider (04/04/2023)</v>
      </c>
      <c r="H11620" s="19"/>
    </row>
    <row r="11621">
      <c r="A11621" s="9"/>
      <c r="B11621" s="15"/>
      <c r="C11621" s="9">
        <f>IFERROR(__xludf.DUMMYFUNCTION("""COMPUTED_VALUE"""),45022.1208460879)</f>
        <v>45022.12085</v>
      </c>
      <c r="D11621" s="15">
        <f>IFERROR(__xludf.DUMMYFUNCTION("""COMPUTED_VALUE"""),1.106)</f>
        <v>1.106</v>
      </c>
      <c r="E11621" s="16">
        <f>IFERROR(__xludf.DUMMYFUNCTION("""COMPUTED_VALUE"""),65.0)</f>
        <v>65</v>
      </c>
      <c r="F11621" s="19" t="str">
        <f>IFERROR(__xludf.DUMMYFUNCTION("""COMPUTED_VALUE"""),"BLUE")</f>
        <v>BLUE</v>
      </c>
      <c r="G11621" s="20" t="str">
        <f>IFERROR(__xludf.DUMMYFUNCTION("""COMPUTED_VALUE"""),"Uncle Sams Cider (04/04/2023)")</f>
        <v>Uncle Sams Cider (04/04/2023)</v>
      </c>
      <c r="H11621" s="19"/>
    </row>
    <row r="11622">
      <c r="A11622" s="9"/>
      <c r="B11622" s="15"/>
      <c r="C11622" s="9">
        <f>IFERROR(__xludf.DUMMYFUNCTION("""COMPUTED_VALUE"""),45022.11042353)</f>
        <v>45022.11042</v>
      </c>
      <c r="D11622" s="15">
        <f>IFERROR(__xludf.DUMMYFUNCTION("""COMPUTED_VALUE"""),1.105)</f>
        <v>1.105</v>
      </c>
      <c r="E11622" s="16">
        <f>IFERROR(__xludf.DUMMYFUNCTION("""COMPUTED_VALUE"""),65.0)</f>
        <v>65</v>
      </c>
      <c r="F11622" s="19" t="str">
        <f>IFERROR(__xludf.DUMMYFUNCTION("""COMPUTED_VALUE"""),"BLUE")</f>
        <v>BLUE</v>
      </c>
      <c r="G11622" s="20" t="str">
        <f>IFERROR(__xludf.DUMMYFUNCTION("""COMPUTED_VALUE"""),"Uncle Sams Cider (04/04/2023)")</f>
        <v>Uncle Sams Cider (04/04/2023)</v>
      </c>
      <c r="H11622" s="19"/>
    </row>
    <row r="11623">
      <c r="A11623" s="9"/>
      <c r="B11623" s="15"/>
      <c r="C11623" s="9">
        <f>IFERROR(__xludf.DUMMYFUNCTION("""COMPUTED_VALUE"""),45022.1000024074)</f>
        <v>45022.1</v>
      </c>
      <c r="D11623" s="15">
        <f>IFERROR(__xludf.DUMMYFUNCTION("""COMPUTED_VALUE"""),1.105)</f>
        <v>1.105</v>
      </c>
      <c r="E11623" s="16">
        <f>IFERROR(__xludf.DUMMYFUNCTION("""COMPUTED_VALUE"""),65.0)</f>
        <v>65</v>
      </c>
      <c r="F11623" s="19" t="str">
        <f>IFERROR(__xludf.DUMMYFUNCTION("""COMPUTED_VALUE"""),"BLUE")</f>
        <v>BLUE</v>
      </c>
      <c r="G11623" s="20" t="str">
        <f>IFERROR(__xludf.DUMMYFUNCTION("""COMPUTED_VALUE"""),"Uncle Sams Cider (04/04/2023)")</f>
        <v>Uncle Sams Cider (04/04/2023)</v>
      </c>
      <c r="H11623" s="19"/>
    </row>
    <row r="11624">
      <c r="A11624" s="9"/>
      <c r="B11624" s="15"/>
      <c r="C11624" s="9">
        <f>IFERROR(__xludf.DUMMYFUNCTION("""COMPUTED_VALUE"""),45022.0895804513)</f>
        <v>45022.08958</v>
      </c>
      <c r="D11624" s="15">
        <f>IFERROR(__xludf.DUMMYFUNCTION("""COMPUTED_VALUE"""),1.106)</f>
        <v>1.106</v>
      </c>
      <c r="E11624" s="16">
        <f>IFERROR(__xludf.DUMMYFUNCTION("""COMPUTED_VALUE"""),65.0)</f>
        <v>65</v>
      </c>
      <c r="F11624" s="19" t="str">
        <f>IFERROR(__xludf.DUMMYFUNCTION("""COMPUTED_VALUE"""),"BLUE")</f>
        <v>BLUE</v>
      </c>
      <c r="G11624" s="20" t="str">
        <f>IFERROR(__xludf.DUMMYFUNCTION("""COMPUTED_VALUE"""),"Uncle Sams Cider (04/04/2023)")</f>
        <v>Uncle Sams Cider (04/04/2023)</v>
      </c>
      <c r="H11624" s="19"/>
    </row>
    <row r="11625">
      <c r="A11625" s="9"/>
      <c r="B11625" s="15"/>
      <c r="C11625" s="9">
        <f>IFERROR(__xludf.DUMMYFUNCTION("""COMPUTED_VALUE"""),45022.0791467476)</f>
        <v>45022.07915</v>
      </c>
      <c r="D11625" s="15">
        <f>IFERROR(__xludf.DUMMYFUNCTION("""COMPUTED_VALUE"""),1.107)</f>
        <v>1.107</v>
      </c>
      <c r="E11625" s="16">
        <f>IFERROR(__xludf.DUMMYFUNCTION("""COMPUTED_VALUE"""),65.0)</f>
        <v>65</v>
      </c>
      <c r="F11625" s="19" t="str">
        <f>IFERROR(__xludf.DUMMYFUNCTION("""COMPUTED_VALUE"""),"BLUE")</f>
        <v>BLUE</v>
      </c>
      <c r="G11625" s="20" t="str">
        <f>IFERROR(__xludf.DUMMYFUNCTION("""COMPUTED_VALUE"""),"Uncle Sams Cider (04/04/2023)")</f>
        <v>Uncle Sams Cider (04/04/2023)</v>
      </c>
      <c r="H11625" s="19"/>
    </row>
    <row r="11626">
      <c r="A11626" s="9"/>
      <c r="B11626" s="15"/>
      <c r="C11626" s="9">
        <f>IFERROR(__xludf.DUMMYFUNCTION("""COMPUTED_VALUE"""),45022.068726493)</f>
        <v>45022.06873</v>
      </c>
      <c r="D11626" s="15">
        <f>IFERROR(__xludf.DUMMYFUNCTION("""COMPUTED_VALUE"""),1.106)</f>
        <v>1.106</v>
      </c>
      <c r="E11626" s="16">
        <f>IFERROR(__xludf.DUMMYFUNCTION("""COMPUTED_VALUE"""),65.0)</f>
        <v>65</v>
      </c>
      <c r="F11626" s="19" t="str">
        <f>IFERROR(__xludf.DUMMYFUNCTION("""COMPUTED_VALUE"""),"BLUE")</f>
        <v>BLUE</v>
      </c>
      <c r="G11626" s="20" t="str">
        <f>IFERROR(__xludf.DUMMYFUNCTION("""COMPUTED_VALUE"""),"Uncle Sams Cider (04/04/2023)")</f>
        <v>Uncle Sams Cider (04/04/2023)</v>
      </c>
      <c r="H11626" s="19"/>
    </row>
    <row r="11627">
      <c r="A11627" s="9"/>
      <c r="B11627" s="15"/>
      <c r="C11627" s="9">
        <f>IFERROR(__xludf.DUMMYFUNCTION("""COMPUTED_VALUE"""),45022.0583061574)</f>
        <v>45022.05831</v>
      </c>
      <c r="D11627" s="15">
        <f>IFERROR(__xludf.DUMMYFUNCTION("""COMPUTED_VALUE"""),1.107)</f>
        <v>1.107</v>
      </c>
      <c r="E11627" s="16">
        <f>IFERROR(__xludf.DUMMYFUNCTION("""COMPUTED_VALUE"""),65.0)</f>
        <v>65</v>
      </c>
      <c r="F11627" s="19" t="str">
        <f>IFERROR(__xludf.DUMMYFUNCTION("""COMPUTED_VALUE"""),"BLUE")</f>
        <v>BLUE</v>
      </c>
      <c r="G11627" s="20" t="str">
        <f>IFERROR(__xludf.DUMMYFUNCTION("""COMPUTED_VALUE"""),"Uncle Sams Cider (04/04/2023)")</f>
        <v>Uncle Sams Cider (04/04/2023)</v>
      </c>
      <c r="H11627" s="19"/>
    </row>
    <row r="11628">
      <c r="A11628" s="9"/>
      <c r="B11628" s="15"/>
      <c r="C11628" s="9">
        <f>IFERROR(__xludf.DUMMYFUNCTION("""COMPUTED_VALUE"""),45022.0478831713)</f>
        <v>45022.04788</v>
      </c>
      <c r="D11628" s="15">
        <f>IFERROR(__xludf.DUMMYFUNCTION("""COMPUTED_VALUE"""),1.106)</f>
        <v>1.106</v>
      </c>
      <c r="E11628" s="16">
        <f>IFERROR(__xludf.DUMMYFUNCTION("""COMPUTED_VALUE"""),65.0)</f>
        <v>65</v>
      </c>
      <c r="F11628" s="19" t="str">
        <f>IFERROR(__xludf.DUMMYFUNCTION("""COMPUTED_VALUE"""),"BLUE")</f>
        <v>BLUE</v>
      </c>
      <c r="G11628" s="20" t="str">
        <f>IFERROR(__xludf.DUMMYFUNCTION("""COMPUTED_VALUE"""),"Uncle Sams Cider (04/04/2023)")</f>
        <v>Uncle Sams Cider (04/04/2023)</v>
      </c>
      <c r="H11628" s="19"/>
    </row>
    <row r="11629">
      <c r="A11629" s="9"/>
      <c r="B11629" s="15"/>
      <c r="C11629" s="9">
        <f>IFERROR(__xludf.DUMMYFUNCTION("""COMPUTED_VALUE"""),45022.037461655)</f>
        <v>45022.03746</v>
      </c>
      <c r="D11629" s="15">
        <f>IFERROR(__xludf.DUMMYFUNCTION("""COMPUTED_VALUE"""),1.107)</f>
        <v>1.107</v>
      </c>
      <c r="E11629" s="16">
        <f>IFERROR(__xludf.DUMMYFUNCTION("""COMPUTED_VALUE"""),65.0)</f>
        <v>65</v>
      </c>
      <c r="F11629" s="19" t="str">
        <f>IFERROR(__xludf.DUMMYFUNCTION("""COMPUTED_VALUE"""),"BLUE")</f>
        <v>BLUE</v>
      </c>
      <c r="G11629" s="20" t="str">
        <f>IFERROR(__xludf.DUMMYFUNCTION("""COMPUTED_VALUE"""),"Uncle Sams Cider (04/04/2023)")</f>
        <v>Uncle Sams Cider (04/04/2023)</v>
      </c>
      <c r="H11629" s="19"/>
    </row>
    <row r="11630">
      <c r="A11630" s="9"/>
      <c r="B11630" s="15"/>
      <c r="C11630" s="9">
        <f>IFERROR(__xludf.DUMMYFUNCTION("""COMPUTED_VALUE"""),45022.0270408564)</f>
        <v>45022.02704</v>
      </c>
      <c r="D11630" s="15">
        <f>IFERROR(__xludf.DUMMYFUNCTION("""COMPUTED_VALUE"""),1.107)</f>
        <v>1.107</v>
      </c>
      <c r="E11630" s="16">
        <f>IFERROR(__xludf.DUMMYFUNCTION("""COMPUTED_VALUE"""),65.0)</f>
        <v>65</v>
      </c>
      <c r="F11630" s="19" t="str">
        <f>IFERROR(__xludf.DUMMYFUNCTION("""COMPUTED_VALUE"""),"BLUE")</f>
        <v>BLUE</v>
      </c>
      <c r="G11630" s="20" t="str">
        <f>IFERROR(__xludf.DUMMYFUNCTION("""COMPUTED_VALUE"""),"Uncle Sams Cider (04/04/2023)")</f>
        <v>Uncle Sams Cider (04/04/2023)</v>
      </c>
      <c r="H11630" s="19"/>
    </row>
    <row r="11631">
      <c r="A11631" s="9"/>
      <c r="B11631" s="15"/>
      <c r="C11631" s="9">
        <f>IFERROR(__xludf.DUMMYFUNCTION("""COMPUTED_VALUE"""),45022.0166080902)</f>
        <v>45022.01661</v>
      </c>
      <c r="D11631" s="15">
        <f>IFERROR(__xludf.DUMMYFUNCTION("""COMPUTED_VALUE"""),1.106)</f>
        <v>1.106</v>
      </c>
      <c r="E11631" s="16">
        <f>IFERROR(__xludf.DUMMYFUNCTION("""COMPUTED_VALUE"""),64.0)</f>
        <v>64</v>
      </c>
      <c r="F11631" s="19" t="str">
        <f>IFERROR(__xludf.DUMMYFUNCTION("""COMPUTED_VALUE"""),"BLUE")</f>
        <v>BLUE</v>
      </c>
      <c r="G11631" s="20" t="str">
        <f>IFERROR(__xludf.DUMMYFUNCTION("""COMPUTED_VALUE"""),"Uncle Sams Cider (04/04/2023)")</f>
        <v>Uncle Sams Cider (04/04/2023)</v>
      </c>
      <c r="H11631" s="19"/>
    </row>
    <row r="11632">
      <c r="A11632" s="9"/>
      <c r="B11632" s="15"/>
      <c r="C11632" s="9">
        <f>IFERROR(__xludf.DUMMYFUNCTION("""COMPUTED_VALUE"""),45022.006185706)</f>
        <v>45022.00619</v>
      </c>
      <c r="D11632" s="15">
        <f>IFERROR(__xludf.DUMMYFUNCTION("""COMPUTED_VALUE"""),1.107)</f>
        <v>1.107</v>
      </c>
      <c r="E11632" s="16">
        <f>IFERROR(__xludf.DUMMYFUNCTION("""COMPUTED_VALUE"""),64.0)</f>
        <v>64</v>
      </c>
      <c r="F11632" s="19" t="str">
        <f>IFERROR(__xludf.DUMMYFUNCTION("""COMPUTED_VALUE"""),"BLUE")</f>
        <v>BLUE</v>
      </c>
      <c r="G11632" s="20" t="str">
        <f>IFERROR(__xludf.DUMMYFUNCTION("""COMPUTED_VALUE"""),"Uncle Sams Cider (04/04/2023)")</f>
        <v>Uncle Sams Cider (04/04/2023)</v>
      </c>
      <c r="H11632" s="19"/>
    </row>
    <row r="11633">
      <c r="A11633" s="9"/>
      <c r="B11633" s="15"/>
      <c r="C11633" s="9">
        <f>IFERROR(__xludf.DUMMYFUNCTION("""COMPUTED_VALUE"""),45021.9957644907)</f>
        <v>45021.99576</v>
      </c>
      <c r="D11633" s="15">
        <f>IFERROR(__xludf.DUMMYFUNCTION("""COMPUTED_VALUE"""),1.107)</f>
        <v>1.107</v>
      </c>
      <c r="E11633" s="16">
        <f>IFERROR(__xludf.DUMMYFUNCTION("""COMPUTED_VALUE"""),64.0)</f>
        <v>64</v>
      </c>
      <c r="F11633" s="19" t="str">
        <f>IFERROR(__xludf.DUMMYFUNCTION("""COMPUTED_VALUE"""),"BLUE")</f>
        <v>BLUE</v>
      </c>
      <c r="G11633" s="20" t="str">
        <f>IFERROR(__xludf.DUMMYFUNCTION("""COMPUTED_VALUE"""),"Uncle Sams Cider (04/04/2023)")</f>
        <v>Uncle Sams Cider (04/04/2023)</v>
      </c>
      <c r="H11633" s="19"/>
    </row>
    <row r="11634">
      <c r="A11634" s="9"/>
      <c r="B11634" s="15"/>
      <c r="C11634" s="9">
        <f>IFERROR(__xludf.DUMMYFUNCTION("""COMPUTED_VALUE"""),45021.9853432175)</f>
        <v>45021.98534</v>
      </c>
      <c r="D11634" s="15">
        <f>IFERROR(__xludf.DUMMYFUNCTION("""COMPUTED_VALUE"""),1.107)</f>
        <v>1.107</v>
      </c>
      <c r="E11634" s="16">
        <f>IFERROR(__xludf.DUMMYFUNCTION("""COMPUTED_VALUE"""),64.0)</f>
        <v>64</v>
      </c>
      <c r="F11634" s="19" t="str">
        <f>IFERROR(__xludf.DUMMYFUNCTION("""COMPUTED_VALUE"""),"BLUE")</f>
        <v>BLUE</v>
      </c>
      <c r="G11634" s="20" t="str">
        <f>IFERROR(__xludf.DUMMYFUNCTION("""COMPUTED_VALUE"""),"Uncle Sams Cider (04/04/2023)")</f>
        <v>Uncle Sams Cider (04/04/2023)</v>
      </c>
      <c r="H11634" s="19"/>
    </row>
    <row r="11635">
      <c r="A11635" s="9"/>
      <c r="B11635" s="15"/>
      <c r="C11635" s="9">
        <f>IFERROR(__xludf.DUMMYFUNCTION("""COMPUTED_VALUE"""),45021.9749207523)</f>
        <v>45021.97492</v>
      </c>
      <c r="D11635" s="15">
        <f>IFERROR(__xludf.DUMMYFUNCTION("""COMPUTED_VALUE"""),1.107)</f>
        <v>1.107</v>
      </c>
      <c r="E11635" s="16">
        <f>IFERROR(__xludf.DUMMYFUNCTION("""COMPUTED_VALUE"""),65.0)</f>
        <v>65</v>
      </c>
      <c r="F11635" s="19" t="str">
        <f>IFERROR(__xludf.DUMMYFUNCTION("""COMPUTED_VALUE"""),"BLUE")</f>
        <v>BLUE</v>
      </c>
      <c r="G11635" s="20" t="str">
        <f>IFERROR(__xludf.DUMMYFUNCTION("""COMPUTED_VALUE"""),"Uncle Sams Cider (04/04/2023)")</f>
        <v>Uncle Sams Cider (04/04/2023)</v>
      </c>
      <c r="H11635" s="19"/>
    </row>
    <row r="11636">
      <c r="A11636" s="9"/>
      <c r="B11636" s="15"/>
      <c r="C11636" s="9">
        <f>IFERROR(__xludf.DUMMYFUNCTION("""COMPUTED_VALUE"""),45021.964497824)</f>
        <v>45021.9645</v>
      </c>
      <c r="D11636" s="15">
        <f>IFERROR(__xludf.DUMMYFUNCTION("""COMPUTED_VALUE"""),1.108)</f>
        <v>1.108</v>
      </c>
      <c r="E11636" s="16">
        <f>IFERROR(__xludf.DUMMYFUNCTION("""COMPUTED_VALUE"""),64.0)</f>
        <v>64</v>
      </c>
      <c r="F11636" s="19" t="str">
        <f>IFERROR(__xludf.DUMMYFUNCTION("""COMPUTED_VALUE"""),"BLUE")</f>
        <v>BLUE</v>
      </c>
      <c r="G11636" s="20" t="str">
        <f>IFERROR(__xludf.DUMMYFUNCTION("""COMPUTED_VALUE"""),"Uncle Sams Cider (04/04/2023)")</f>
        <v>Uncle Sams Cider (04/04/2023)</v>
      </c>
      <c r="H11636" s="19"/>
    </row>
    <row r="11637">
      <c r="A11637" s="9"/>
      <c r="B11637" s="15"/>
      <c r="C11637" s="9">
        <f>IFERROR(__xludf.DUMMYFUNCTION("""COMPUTED_VALUE"""),45021.9540668981)</f>
        <v>45021.95407</v>
      </c>
      <c r="D11637" s="15">
        <f>IFERROR(__xludf.DUMMYFUNCTION("""COMPUTED_VALUE"""),1.108)</f>
        <v>1.108</v>
      </c>
      <c r="E11637" s="16">
        <f>IFERROR(__xludf.DUMMYFUNCTION("""COMPUTED_VALUE"""),64.0)</f>
        <v>64</v>
      </c>
      <c r="F11637" s="19" t="str">
        <f>IFERROR(__xludf.DUMMYFUNCTION("""COMPUTED_VALUE"""),"BLUE")</f>
        <v>BLUE</v>
      </c>
      <c r="G11637" s="20" t="str">
        <f>IFERROR(__xludf.DUMMYFUNCTION("""COMPUTED_VALUE"""),"Uncle Sams Cider (04/04/2023)")</f>
        <v>Uncle Sams Cider (04/04/2023)</v>
      </c>
      <c r="H11637" s="19"/>
    </row>
    <row r="11638">
      <c r="A11638" s="9"/>
      <c r="B11638" s="15"/>
      <c r="C11638" s="9">
        <f>IFERROR(__xludf.DUMMYFUNCTION("""COMPUTED_VALUE"""),45021.943645787)</f>
        <v>45021.94365</v>
      </c>
      <c r="D11638" s="15">
        <f>IFERROR(__xludf.DUMMYFUNCTION("""COMPUTED_VALUE"""),1.108)</f>
        <v>1.108</v>
      </c>
      <c r="E11638" s="16">
        <f>IFERROR(__xludf.DUMMYFUNCTION("""COMPUTED_VALUE"""),65.0)</f>
        <v>65</v>
      </c>
      <c r="F11638" s="19" t="str">
        <f>IFERROR(__xludf.DUMMYFUNCTION("""COMPUTED_VALUE"""),"BLUE")</f>
        <v>BLUE</v>
      </c>
      <c r="G11638" s="20" t="str">
        <f>IFERROR(__xludf.DUMMYFUNCTION("""COMPUTED_VALUE"""),"Uncle Sams Cider (04/04/2023)")</f>
        <v>Uncle Sams Cider (04/04/2023)</v>
      </c>
      <c r="H11638" s="19"/>
    </row>
    <row r="11639">
      <c r="A11639" s="9"/>
      <c r="B11639" s="15"/>
      <c r="C11639" s="9">
        <f>IFERROR(__xludf.DUMMYFUNCTION("""COMPUTED_VALUE"""),45021.9332239814)</f>
        <v>45021.93322</v>
      </c>
      <c r="D11639" s="15">
        <f>IFERROR(__xludf.DUMMYFUNCTION("""COMPUTED_VALUE"""),1.108)</f>
        <v>1.108</v>
      </c>
      <c r="E11639" s="16">
        <f>IFERROR(__xludf.DUMMYFUNCTION("""COMPUTED_VALUE"""),64.0)</f>
        <v>64</v>
      </c>
      <c r="F11639" s="19" t="str">
        <f>IFERROR(__xludf.DUMMYFUNCTION("""COMPUTED_VALUE"""),"BLUE")</f>
        <v>BLUE</v>
      </c>
      <c r="G11639" s="20" t="str">
        <f>IFERROR(__xludf.DUMMYFUNCTION("""COMPUTED_VALUE"""),"Uncle Sams Cider (04/04/2023)")</f>
        <v>Uncle Sams Cider (04/04/2023)</v>
      </c>
      <c r="H11639" s="19"/>
    </row>
    <row r="11640">
      <c r="A11640" s="9"/>
      <c r="B11640" s="15"/>
      <c r="C11640" s="9">
        <f>IFERROR(__xludf.DUMMYFUNCTION("""COMPUTED_VALUE"""),45021.9228023032)</f>
        <v>45021.9228</v>
      </c>
      <c r="D11640" s="15">
        <f>IFERROR(__xludf.DUMMYFUNCTION("""COMPUTED_VALUE"""),1.108)</f>
        <v>1.108</v>
      </c>
      <c r="E11640" s="16">
        <f>IFERROR(__xludf.DUMMYFUNCTION("""COMPUTED_VALUE"""),64.0)</f>
        <v>64</v>
      </c>
      <c r="F11640" s="19" t="str">
        <f>IFERROR(__xludf.DUMMYFUNCTION("""COMPUTED_VALUE"""),"BLUE")</f>
        <v>BLUE</v>
      </c>
      <c r="G11640" s="20" t="str">
        <f>IFERROR(__xludf.DUMMYFUNCTION("""COMPUTED_VALUE"""),"Uncle Sams Cider (04/04/2023)")</f>
        <v>Uncle Sams Cider (04/04/2023)</v>
      </c>
      <c r="H11640" s="19"/>
    </row>
    <row r="11641">
      <c r="A11641" s="9"/>
      <c r="B11641" s="15"/>
      <c r="C11641" s="9">
        <f>IFERROR(__xludf.DUMMYFUNCTION("""COMPUTED_VALUE"""),45021.9123811921)</f>
        <v>45021.91238</v>
      </c>
      <c r="D11641" s="15">
        <f>IFERROR(__xludf.DUMMYFUNCTION("""COMPUTED_VALUE"""),1.108)</f>
        <v>1.108</v>
      </c>
      <c r="E11641" s="16">
        <f>IFERROR(__xludf.DUMMYFUNCTION("""COMPUTED_VALUE"""),64.0)</f>
        <v>64</v>
      </c>
      <c r="F11641" s="19" t="str">
        <f>IFERROR(__xludf.DUMMYFUNCTION("""COMPUTED_VALUE"""),"BLUE")</f>
        <v>BLUE</v>
      </c>
      <c r="G11641" s="20" t="str">
        <f>IFERROR(__xludf.DUMMYFUNCTION("""COMPUTED_VALUE"""),"Uncle Sams Cider (04/04/2023)")</f>
        <v>Uncle Sams Cider (04/04/2023)</v>
      </c>
      <c r="H11641" s="19"/>
    </row>
    <row r="11642">
      <c r="A11642" s="9"/>
      <c r="B11642" s="15"/>
      <c r="C11642" s="9">
        <f>IFERROR(__xludf.DUMMYFUNCTION("""COMPUTED_VALUE"""),45021.9019579513)</f>
        <v>45021.90196</v>
      </c>
      <c r="D11642" s="15">
        <f>IFERROR(__xludf.DUMMYFUNCTION("""COMPUTED_VALUE"""),1.109)</f>
        <v>1.109</v>
      </c>
      <c r="E11642" s="16">
        <f>IFERROR(__xludf.DUMMYFUNCTION("""COMPUTED_VALUE"""),64.0)</f>
        <v>64</v>
      </c>
      <c r="F11642" s="19" t="str">
        <f>IFERROR(__xludf.DUMMYFUNCTION("""COMPUTED_VALUE"""),"BLUE")</f>
        <v>BLUE</v>
      </c>
      <c r="G11642" s="20" t="str">
        <f>IFERROR(__xludf.DUMMYFUNCTION("""COMPUTED_VALUE"""),"Uncle Sams Cider (04/04/2023)")</f>
        <v>Uncle Sams Cider (04/04/2023)</v>
      </c>
      <c r="H11642" s="19"/>
    </row>
    <row r="11643">
      <c r="A11643" s="9"/>
      <c r="B11643" s="15"/>
      <c r="C11643" s="9">
        <f>IFERROR(__xludf.DUMMYFUNCTION("""COMPUTED_VALUE"""),45021.8915350578)</f>
        <v>45021.89154</v>
      </c>
      <c r="D11643" s="15">
        <f>IFERROR(__xludf.DUMMYFUNCTION("""COMPUTED_VALUE"""),1.108)</f>
        <v>1.108</v>
      </c>
      <c r="E11643" s="16">
        <f>IFERROR(__xludf.DUMMYFUNCTION("""COMPUTED_VALUE"""),64.0)</f>
        <v>64</v>
      </c>
      <c r="F11643" s="19" t="str">
        <f>IFERROR(__xludf.DUMMYFUNCTION("""COMPUTED_VALUE"""),"BLUE")</f>
        <v>BLUE</v>
      </c>
      <c r="G11643" s="20" t="str">
        <f>IFERROR(__xludf.DUMMYFUNCTION("""COMPUTED_VALUE"""),"Uncle Sams Cider (04/04/2023)")</f>
        <v>Uncle Sams Cider (04/04/2023)</v>
      </c>
      <c r="H11643" s="19"/>
    </row>
    <row r="11644">
      <c r="A11644" s="9"/>
      <c r="B11644" s="15"/>
      <c r="C11644" s="9">
        <f>IFERROR(__xludf.DUMMYFUNCTION("""COMPUTED_VALUE"""),45021.8811018402)</f>
        <v>45021.8811</v>
      </c>
      <c r="D11644" s="15">
        <f>IFERROR(__xludf.DUMMYFUNCTION("""COMPUTED_VALUE"""),1.109)</f>
        <v>1.109</v>
      </c>
      <c r="E11644" s="16">
        <f>IFERROR(__xludf.DUMMYFUNCTION("""COMPUTED_VALUE"""),64.0)</f>
        <v>64</v>
      </c>
      <c r="F11644" s="19" t="str">
        <f>IFERROR(__xludf.DUMMYFUNCTION("""COMPUTED_VALUE"""),"BLUE")</f>
        <v>BLUE</v>
      </c>
      <c r="G11644" s="20" t="str">
        <f>IFERROR(__xludf.DUMMYFUNCTION("""COMPUTED_VALUE"""),"Uncle Sams Cider (04/04/2023)")</f>
        <v>Uncle Sams Cider (04/04/2023)</v>
      </c>
      <c r="H11644" s="19"/>
    </row>
    <row r="11645">
      <c r="A11645" s="9"/>
      <c r="B11645" s="15"/>
      <c r="C11645" s="9">
        <f>IFERROR(__xludf.DUMMYFUNCTION("""COMPUTED_VALUE"""),45021.8706698495)</f>
        <v>45021.87067</v>
      </c>
      <c r="D11645" s="15">
        <f>IFERROR(__xludf.DUMMYFUNCTION("""COMPUTED_VALUE"""),1.109)</f>
        <v>1.109</v>
      </c>
      <c r="E11645" s="16">
        <f>IFERROR(__xludf.DUMMYFUNCTION("""COMPUTED_VALUE"""),64.0)</f>
        <v>64</v>
      </c>
      <c r="F11645" s="19" t="str">
        <f>IFERROR(__xludf.DUMMYFUNCTION("""COMPUTED_VALUE"""),"BLUE")</f>
        <v>BLUE</v>
      </c>
      <c r="G11645" s="20" t="str">
        <f>IFERROR(__xludf.DUMMYFUNCTION("""COMPUTED_VALUE"""),"Uncle Sams Cider (04/04/2023)")</f>
        <v>Uncle Sams Cider (04/04/2023)</v>
      </c>
      <c r="H11645" s="19"/>
    </row>
    <row r="11646">
      <c r="A11646" s="9"/>
      <c r="B11646" s="15"/>
      <c r="C11646" s="9">
        <f>IFERROR(__xludf.DUMMYFUNCTION("""COMPUTED_VALUE"""),45021.8602503009)</f>
        <v>45021.86025</v>
      </c>
      <c r="D11646" s="15">
        <f>IFERROR(__xludf.DUMMYFUNCTION("""COMPUTED_VALUE"""),1.109)</f>
        <v>1.109</v>
      </c>
      <c r="E11646" s="16">
        <f>IFERROR(__xludf.DUMMYFUNCTION("""COMPUTED_VALUE"""),64.0)</f>
        <v>64</v>
      </c>
      <c r="F11646" s="19" t="str">
        <f>IFERROR(__xludf.DUMMYFUNCTION("""COMPUTED_VALUE"""),"BLUE")</f>
        <v>BLUE</v>
      </c>
      <c r="G11646" s="20" t="str">
        <f>IFERROR(__xludf.DUMMYFUNCTION("""COMPUTED_VALUE"""),"Uncle Sams Cider (04/04/2023)")</f>
        <v>Uncle Sams Cider (04/04/2023)</v>
      </c>
      <c r="H11646" s="19"/>
    </row>
    <row r="11647">
      <c r="A11647" s="9"/>
      <c r="B11647" s="15"/>
      <c r="C11647" s="9">
        <f>IFERROR(__xludf.DUMMYFUNCTION("""COMPUTED_VALUE"""),45021.8498285879)</f>
        <v>45021.84983</v>
      </c>
      <c r="D11647" s="15">
        <f>IFERROR(__xludf.DUMMYFUNCTION("""COMPUTED_VALUE"""),1.109)</f>
        <v>1.109</v>
      </c>
      <c r="E11647" s="16">
        <f>IFERROR(__xludf.DUMMYFUNCTION("""COMPUTED_VALUE"""),64.0)</f>
        <v>64</v>
      </c>
      <c r="F11647" s="19" t="str">
        <f>IFERROR(__xludf.DUMMYFUNCTION("""COMPUTED_VALUE"""),"BLUE")</f>
        <v>BLUE</v>
      </c>
      <c r="G11647" s="20" t="str">
        <f>IFERROR(__xludf.DUMMYFUNCTION("""COMPUTED_VALUE"""),"Uncle Sams Cider (04/04/2023)")</f>
        <v>Uncle Sams Cider (04/04/2023)</v>
      </c>
      <c r="H11647" s="19"/>
    </row>
    <row r="11648">
      <c r="A11648" s="9"/>
      <c r="B11648" s="15"/>
      <c r="C11648" s="9">
        <f>IFERROR(__xludf.DUMMYFUNCTION("""COMPUTED_VALUE"""),45021.8394067939)</f>
        <v>45021.83941</v>
      </c>
      <c r="D11648" s="15">
        <f>IFERROR(__xludf.DUMMYFUNCTION("""COMPUTED_VALUE"""),1.109)</f>
        <v>1.109</v>
      </c>
      <c r="E11648" s="16">
        <f>IFERROR(__xludf.DUMMYFUNCTION("""COMPUTED_VALUE"""),64.0)</f>
        <v>64</v>
      </c>
      <c r="F11648" s="19" t="str">
        <f>IFERROR(__xludf.DUMMYFUNCTION("""COMPUTED_VALUE"""),"BLUE")</f>
        <v>BLUE</v>
      </c>
      <c r="G11648" s="20" t="str">
        <f>IFERROR(__xludf.DUMMYFUNCTION("""COMPUTED_VALUE"""),"Uncle Sams Cider (04/04/2023)")</f>
        <v>Uncle Sams Cider (04/04/2023)</v>
      </c>
      <c r="H11648" s="19"/>
    </row>
    <row r="11649">
      <c r="A11649" s="9"/>
      <c r="B11649" s="15"/>
      <c r="C11649" s="9">
        <f>IFERROR(__xludf.DUMMYFUNCTION("""COMPUTED_VALUE"""),45021.8289862384)</f>
        <v>45021.82899</v>
      </c>
      <c r="D11649" s="15">
        <f>IFERROR(__xludf.DUMMYFUNCTION("""COMPUTED_VALUE"""),1.109)</f>
        <v>1.109</v>
      </c>
      <c r="E11649" s="16">
        <f>IFERROR(__xludf.DUMMYFUNCTION("""COMPUTED_VALUE"""),64.0)</f>
        <v>64</v>
      </c>
      <c r="F11649" s="19" t="str">
        <f>IFERROR(__xludf.DUMMYFUNCTION("""COMPUTED_VALUE"""),"BLUE")</f>
        <v>BLUE</v>
      </c>
      <c r="G11649" s="20" t="str">
        <f>IFERROR(__xludf.DUMMYFUNCTION("""COMPUTED_VALUE"""),"Uncle Sams Cider (04/04/2023)")</f>
        <v>Uncle Sams Cider (04/04/2023)</v>
      </c>
      <c r="H11649" s="19"/>
    </row>
    <row r="11650">
      <c r="A11650" s="9"/>
      <c r="B11650" s="15"/>
      <c r="C11650" s="9">
        <f>IFERROR(__xludf.DUMMYFUNCTION("""COMPUTED_VALUE"""),45021.8185654861)</f>
        <v>45021.81857</v>
      </c>
      <c r="D11650" s="15">
        <f>IFERROR(__xludf.DUMMYFUNCTION("""COMPUTED_VALUE"""),1.109)</f>
        <v>1.109</v>
      </c>
      <c r="E11650" s="16">
        <f>IFERROR(__xludf.DUMMYFUNCTION("""COMPUTED_VALUE"""),64.0)</f>
        <v>64</v>
      </c>
      <c r="F11650" s="19" t="str">
        <f>IFERROR(__xludf.DUMMYFUNCTION("""COMPUTED_VALUE"""),"BLUE")</f>
        <v>BLUE</v>
      </c>
      <c r="G11650" s="20" t="str">
        <f>IFERROR(__xludf.DUMMYFUNCTION("""COMPUTED_VALUE"""),"Uncle Sams Cider (04/04/2023)")</f>
        <v>Uncle Sams Cider (04/04/2023)</v>
      </c>
      <c r="H11650" s="19"/>
    </row>
    <row r="11651">
      <c r="A11651" s="9"/>
      <c r="B11651" s="15"/>
      <c r="C11651" s="9">
        <f>IFERROR(__xludf.DUMMYFUNCTION("""COMPUTED_VALUE"""),45021.8081429398)</f>
        <v>45021.80814</v>
      </c>
      <c r="D11651" s="15">
        <f>IFERROR(__xludf.DUMMYFUNCTION("""COMPUTED_VALUE"""),1.108)</f>
        <v>1.108</v>
      </c>
      <c r="E11651" s="16">
        <f>IFERROR(__xludf.DUMMYFUNCTION("""COMPUTED_VALUE"""),64.0)</f>
        <v>64</v>
      </c>
      <c r="F11651" s="19" t="str">
        <f>IFERROR(__xludf.DUMMYFUNCTION("""COMPUTED_VALUE"""),"BLUE")</f>
        <v>BLUE</v>
      </c>
      <c r="G11651" s="20" t="str">
        <f>IFERROR(__xludf.DUMMYFUNCTION("""COMPUTED_VALUE"""),"Uncle Sams Cider (04/04/2023)")</f>
        <v>Uncle Sams Cider (04/04/2023)</v>
      </c>
      <c r="H11651" s="19"/>
    </row>
    <row r="11652">
      <c r="A11652" s="9"/>
      <c r="B11652" s="15"/>
      <c r="C11652" s="9">
        <f>IFERROR(__xludf.DUMMYFUNCTION("""COMPUTED_VALUE"""),45021.7977009722)</f>
        <v>45021.7977</v>
      </c>
      <c r="D11652" s="15">
        <f>IFERROR(__xludf.DUMMYFUNCTION("""COMPUTED_VALUE"""),1.108)</f>
        <v>1.108</v>
      </c>
      <c r="E11652" s="16">
        <f>IFERROR(__xludf.DUMMYFUNCTION("""COMPUTED_VALUE"""),64.0)</f>
        <v>64</v>
      </c>
      <c r="F11652" s="19" t="str">
        <f>IFERROR(__xludf.DUMMYFUNCTION("""COMPUTED_VALUE"""),"BLUE")</f>
        <v>BLUE</v>
      </c>
      <c r="G11652" s="20" t="str">
        <f>IFERROR(__xludf.DUMMYFUNCTION("""COMPUTED_VALUE"""),"Uncle Sams Cider (04/04/2023)")</f>
        <v>Uncle Sams Cider (04/04/2023)</v>
      </c>
      <c r="H11652" s="19"/>
    </row>
    <row r="11653">
      <c r="A11653" s="9"/>
      <c r="B11653" s="15"/>
      <c r="C11653" s="9">
        <f>IFERROR(__xludf.DUMMYFUNCTION("""COMPUTED_VALUE"""),45021.7872815393)</f>
        <v>45021.78728</v>
      </c>
      <c r="D11653" s="15">
        <f>IFERROR(__xludf.DUMMYFUNCTION("""COMPUTED_VALUE"""),1.109)</f>
        <v>1.109</v>
      </c>
      <c r="E11653" s="16">
        <f>IFERROR(__xludf.DUMMYFUNCTION("""COMPUTED_VALUE"""),64.0)</f>
        <v>64</v>
      </c>
      <c r="F11653" s="19" t="str">
        <f>IFERROR(__xludf.DUMMYFUNCTION("""COMPUTED_VALUE"""),"BLUE")</f>
        <v>BLUE</v>
      </c>
      <c r="G11653" s="20" t="str">
        <f>IFERROR(__xludf.DUMMYFUNCTION("""COMPUTED_VALUE"""),"Uncle Sams Cider (04/04/2023)")</f>
        <v>Uncle Sams Cider (04/04/2023)</v>
      </c>
      <c r="H11653" s="19"/>
    </row>
    <row r="11654">
      <c r="A11654" s="9"/>
      <c r="B11654" s="15"/>
      <c r="C11654" s="9">
        <f>IFERROR(__xludf.DUMMYFUNCTION("""COMPUTED_VALUE"""),45021.7768610995)</f>
        <v>45021.77686</v>
      </c>
      <c r="D11654" s="15">
        <f>IFERROR(__xludf.DUMMYFUNCTION("""COMPUTED_VALUE"""),1.108)</f>
        <v>1.108</v>
      </c>
      <c r="E11654" s="16">
        <f>IFERROR(__xludf.DUMMYFUNCTION("""COMPUTED_VALUE"""),64.0)</f>
        <v>64</v>
      </c>
      <c r="F11654" s="19" t="str">
        <f>IFERROR(__xludf.DUMMYFUNCTION("""COMPUTED_VALUE"""),"BLUE")</f>
        <v>BLUE</v>
      </c>
      <c r="G11654" s="20" t="str">
        <f>IFERROR(__xludf.DUMMYFUNCTION("""COMPUTED_VALUE"""),"Uncle Sams Cider (04/04/2023)")</f>
        <v>Uncle Sams Cider (04/04/2023)</v>
      </c>
      <c r="H11654" s="19"/>
    </row>
    <row r="11655">
      <c r="A11655" s="9"/>
      <c r="B11655" s="15"/>
      <c r="C11655" s="9">
        <f>IFERROR(__xludf.DUMMYFUNCTION("""COMPUTED_VALUE"""),45021.7664392129)</f>
        <v>45021.76644</v>
      </c>
      <c r="D11655" s="15">
        <f>IFERROR(__xludf.DUMMYFUNCTION("""COMPUTED_VALUE"""),1.109)</f>
        <v>1.109</v>
      </c>
      <c r="E11655" s="16">
        <f>IFERROR(__xludf.DUMMYFUNCTION("""COMPUTED_VALUE"""),64.0)</f>
        <v>64</v>
      </c>
      <c r="F11655" s="19" t="str">
        <f>IFERROR(__xludf.DUMMYFUNCTION("""COMPUTED_VALUE"""),"BLUE")</f>
        <v>BLUE</v>
      </c>
      <c r="G11655" s="20" t="str">
        <f>IFERROR(__xludf.DUMMYFUNCTION("""COMPUTED_VALUE"""),"Uncle Sams Cider (04/04/2023)")</f>
        <v>Uncle Sams Cider (04/04/2023)</v>
      </c>
      <c r="H11655" s="19"/>
    </row>
    <row r="11656">
      <c r="A11656" s="9"/>
      <c r="B11656" s="15"/>
      <c r="C11656" s="9">
        <f>IFERROR(__xludf.DUMMYFUNCTION("""COMPUTED_VALUE"""),45021.7560168402)</f>
        <v>45021.75602</v>
      </c>
      <c r="D11656" s="15">
        <f>IFERROR(__xludf.DUMMYFUNCTION("""COMPUTED_VALUE"""),1.109)</f>
        <v>1.109</v>
      </c>
      <c r="E11656" s="16">
        <f>IFERROR(__xludf.DUMMYFUNCTION("""COMPUTED_VALUE"""),64.0)</f>
        <v>64</v>
      </c>
      <c r="F11656" s="19" t="str">
        <f>IFERROR(__xludf.DUMMYFUNCTION("""COMPUTED_VALUE"""),"BLUE")</f>
        <v>BLUE</v>
      </c>
      <c r="G11656" s="20" t="str">
        <f>IFERROR(__xludf.DUMMYFUNCTION("""COMPUTED_VALUE"""),"Uncle Sams Cider (04/04/2023)")</f>
        <v>Uncle Sams Cider (04/04/2023)</v>
      </c>
      <c r="H11656" s="19"/>
    </row>
    <row r="11657">
      <c r="A11657" s="9"/>
      <c r="B11657" s="15"/>
      <c r="C11657" s="9">
        <f>IFERROR(__xludf.DUMMYFUNCTION("""COMPUTED_VALUE"""),45021.7455954166)</f>
        <v>45021.7456</v>
      </c>
      <c r="D11657" s="15">
        <f>IFERROR(__xludf.DUMMYFUNCTION("""COMPUTED_VALUE"""),1.109)</f>
        <v>1.109</v>
      </c>
      <c r="E11657" s="16">
        <f>IFERROR(__xludf.DUMMYFUNCTION("""COMPUTED_VALUE"""),64.0)</f>
        <v>64</v>
      </c>
      <c r="F11657" s="19" t="str">
        <f>IFERROR(__xludf.DUMMYFUNCTION("""COMPUTED_VALUE"""),"BLUE")</f>
        <v>BLUE</v>
      </c>
      <c r="G11657" s="20" t="str">
        <f>IFERROR(__xludf.DUMMYFUNCTION("""COMPUTED_VALUE"""),"Uncle Sams Cider (04/04/2023)")</f>
        <v>Uncle Sams Cider (04/04/2023)</v>
      </c>
      <c r="H11657" s="19"/>
    </row>
    <row r="11658">
      <c r="A11658" s="9"/>
      <c r="B11658" s="15"/>
      <c r="C11658" s="9">
        <f>IFERROR(__xludf.DUMMYFUNCTION("""COMPUTED_VALUE"""),45021.7351675926)</f>
        <v>45021.73517</v>
      </c>
      <c r="D11658" s="15">
        <f>IFERROR(__xludf.DUMMYFUNCTION("""COMPUTED_VALUE"""),1.109)</f>
        <v>1.109</v>
      </c>
      <c r="E11658" s="16">
        <f>IFERROR(__xludf.DUMMYFUNCTION("""COMPUTED_VALUE"""),64.0)</f>
        <v>64</v>
      </c>
      <c r="F11658" s="19" t="str">
        <f>IFERROR(__xludf.DUMMYFUNCTION("""COMPUTED_VALUE"""),"BLUE")</f>
        <v>BLUE</v>
      </c>
      <c r="G11658" s="20" t="str">
        <f>IFERROR(__xludf.DUMMYFUNCTION("""COMPUTED_VALUE"""),"Uncle Sams Cider (04/04/2023)")</f>
        <v>Uncle Sams Cider (04/04/2023)</v>
      </c>
      <c r="H11658" s="19"/>
    </row>
    <row r="11659">
      <c r="A11659" s="9"/>
      <c r="B11659" s="15"/>
      <c r="C11659" s="9">
        <f>IFERROR(__xludf.DUMMYFUNCTION("""COMPUTED_VALUE"""),45021.7277315972)</f>
        <v>45021.72773</v>
      </c>
      <c r="D11659" s="15">
        <f>IFERROR(__xludf.DUMMYFUNCTION("""COMPUTED_VALUE"""),1.108)</f>
        <v>1.108</v>
      </c>
      <c r="E11659" s="16">
        <f>IFERROR(__xludf.DUMMYFUNCTION("""COMPUTED_VALUE"""),64.0)</f>
        <v>64</v>
      </c>
      <c r="F11659" s="19" t="str">
        <f>IFERROR(__xludf.DUMMYFUNCTION("""COMPUTED_VALUE"""),"BLUE")</f>
        <v>BLUE</v>
      </c>
      <c r="G11659" s="20" t="str">
        <f>IFERROR(__xludf.DUMMYFUNCTION("""COMPUTED_VALUE"""),"Uncle Sams Cider (04/04/2023)")</f>
        <v>Uncle Sams Cider (04/04/2023)</v>
      </c>
      <c r="H11659" s="19"/>
    </row>
    <row r="11660">
      <c r="A11660" s="9"/>
      <c r="B11660" s="15"/>
      <c r="C11660" s="9">
        <f>IFERROR(__xludf.DUMMYFUNCTION("""COMPUTED_VALUE"""),45021.7255446412)</f>
        <v>45021.72554</v>
      </c>
      <c r="D11660" s="15">
        <f>IFERROR(__xludf.DUMMYFUNCTION("""COMPUTED_VALUE"""),1.109)</f>
        <v>1.109</v>
      </c>
      <c r="E11660" s="16">
        <f>IFERROR(__xludf.DUMMYFUNCTION("""COMPUTED_VALUE"""),64.0)</f>
        <v>64</v>
      </c>
      <c r="F11660" s="19" t="str">
        <f>IFERROR(__xludf.DUMMYFUNCTION("""COMPUTED_VALUE"""),"BLUE")</f>
        <v>BLUE</v>
      </c>
      <c r="G11660" s="20" t="str">
        <f>IFERROR(__xludf.DUMMYFUNCTION("""COMPUTED_VALUE"""),"Uncle Sams Cider (04/04/2023)")</f>
        <v>Uncle Sams Cider (04/04/2023)</v>
      </c>
      <c r="H11660" s="19"/>
    </row>
    <row r="11661">
      <c r="A11661" s="9"/>
      <c r="B11661" s="15"/>
      <c r="C11661" s="9">
        <f>IFERROR(__xludf.DUMMYFUNCTION("""COMPUTED_VALUE"""),45021.7151230555)</f>
        <v>45021.71512</v>
      </c>
      <c r="D11661" s="15">
        <f>IFERROR(__xludf.DUMMYFUNCTION("""COMPUTED_VALUE"""),1.109)</f>
        <v>1.109</v>
      </c>
      <c r="E11661" s="16">
        <f>IFERROR(__xludf.DUMMYFUNCTION("""COMPUTED_VALUE"""),64.0)</f>
        <v>64</v>
      </c>
      <c r="F11661" s="19" t="str">
        <f>IFERROR(__xludf.DUMMYFUNCTION("""COMPUTED_VALUE"""),"BLUE")</f>
        <v>BLUE</v>
      </c>
      <c r="G11661" s="20" t="str">
        <f>IFERROR(__xludf.DUMMYFUNCTION("""COMPUTED_VALUE"""),"Uncle Sams Cider (04/04/2023)")</f>
        <v>Uncle Sams Cider (04/04/2023)</v>
      </c>
      <c r="H11661" s="19"/>
    </row>
    <row r="11662">
      <c r="A11662" s="9"/>
      <c r="B11662" s="15"/>
      <c r="C11662" s="9">
        <f>IFERROR(__xludf.DUMMYFUNCTION("""COMPUTED_VALUE"""),45021.7046787037)</f>
        <v>45021.70468</v>
      </c>
      <c r="D11662" s="15">
        <f>IFERROR(__xludf.DUMMYFUNCTION("""COMPUTED_VALUE"""),1.109)</f>
        <v>1.109</v>
      </c>
      <c r="E11662" s="16">
        <f>IFERROR(__xludf.DUMMYFUNCTION("""COMPUTED_VALUE"""),64.0)</f>
        <v>64</v>
      </c>
      <c r="F11662" s="19" t="str">
        <f>IFERROR(__xludf.DUMMYFUNCTION("""COMPUTED_VALUE"""),"BLUE")</f>
        <v>BLUE</v>
      </c>
      <c r="G11662" s="20" t="str">
        <f>IFERROR(__xludf.DUMMYFUNCTION("""COMPUTED_VALUE"""),"Uncle Sams Cider (04/04/2023)")</f>
        <v>Uncle Sams Cider (04/04/2023)</v>
      </c>
      <c r="H11662" s="19"/>
    </row>
    <row r="11663">
      <c r="A11663" s="9"/>
      <c r="B11663" s="15"/>
      <c r="C11663" s="9">
        <f>IFERROR(__xludf.DUMMYFUNCTION("""COMPUTED_VALUE"""),45021.6942574421)</f>
        <v>45021.69426</v>
      </c>
      <c r="D11663" s="15">
        <f>IFERROR(__xludf.DUMMYFUNCTION("""COMPUTED_VALUE"""),1.109)</f>
        <v>1.109</v>
      </c>
      <c r="E11663" s="16">
        <f>IFERROR(__xludf.DUMMYFUNCTION("""COMPUTED_VALUE"""),64.0)</f>
        <v>64</v>
      </c>
      <c r="F11663" s="19" t="str">
        <f>IFERROR(__xludf.DUMMYFUNCTION("""COMPUTED_VALUE"""),"BLUE")</f>
        <v>BLUE</v>
      </c>
      <c r="G11663" s="20" t="str">
        <f>IFERROR(__xludf.DUMMYFUNCTION("""COMPUTED_VALUE"""),"Uncle Sams Cider (04/04/2023)")</f>
        <v>Uncle Sams Cider (04/04/2023)</v>
      </c>
      <c r="H11663" s="19"/>
    </row>
    <row r="11664">
      <c r="A11664" s="9"/>
      <c r="B11664" s="15"/>
      <c r="C11664" s="9">
        <f>IFERROR(__xludf.DUMMYFUNCTION("""COMPUTED_VALUE"""),45021.683835324)</f>
        <v>45021.68384</v>
      </c>
      <c r="D11664" s="15">
        <f>IFERROR(__xludf.DUMMYFUNCTION("""COMPUTED_VALUE"""),1.109)</f>
        <v>1.109</v>
      </c>
      <c r="E11664" s="16">
        <f>IFERROR(__xludf.DUMMYFUNCTION("""COMPUTED_VALUE"""),64.0)</f>
        <v>64</v>
      </c>
      <c r="F11664" s="19" t="str">
        <f>IFERROR(__xludf.DUMMYFUNCTION("""COMPUTED_VALUE"""),"BLUE")</f>
        <v>BLUE</v>
      </c>
      <c r="G11664" s="20" t="str">
        <f>IFERROR(__xludf.DUMMYFUNCTION("""COMPUTED_VALUE"""),"Uncle Sams Cider (04/04/2023)")</f>
        <v>Uncle Sams Cider (04/04/2023)</v>
      </c>
      <c r="H11664" s="19"/>
    </row>
    <row r="11665">
      <c r="A11665" s="9"/>
      <c r="B11665" s="15"/>
      <c r="C11665" s="9">
        <f>IFERROR(__xludf.DUMMYFUNCTION("""COMPUTED_VALUE"""),45021.6734135995)</f>
        <v>45021.67341</v>
      </c>
      <c r="D11665" s="15">
        <f>IFERROR(__xludf.DUMMYFUNCTION("""COMPUTED_VALUE"""),1.109)</f>
        <v>1.109</v>
      </c>
      <c r="E11665" s="16">
        <f>IFERROR(__xludf.DUMMYFUNCTION("""COMPUTED_VALUE"""),64.0)</f>
        <v>64</v>
      </c>
      <c r="F11665" s="19" t="str">
        <f>IFERROR(__xludf.DUMMYFUNCTION("""COMPUTED_VALUE"""),"BLUE")</f>
        <v>BLUE</v>
      </c>
      <c r="G11665" s="20" t="str">
        <f>IFERROR(__xludf.DUMMYFUNCTION("""COMPUTED_VALUE"""),"Uncle Sams Cider (04/04/2023)")</f>
        <v>Uncle Sams Cider (04/04/2023)</v>
      </c>
      <c r="H11665" s="19"/>
    </row>
    <row r="11666">
      <c r="A11666" s="9"/>
      <c r="B11666" s="15"/>
      <c r="C11666" s="9">
        <f>IFERROR(__xludf.DUMMYFUNCTION("""COMPUTED_VALUE"""),45021.6629935995)</f>
        <v>45021.66299</v>
      </c>
      <c r="D11666" s="15">
        <f>IFERROR(__xludf.DUMMYFUNCTION("""COMPUTED_VALUE"""),1.109)</f>
        <v>1.109</v>
      </c>
      <c r="E11666" s="16">
        <f>IFERROR(__xludf.DUMMYFUNCTION("""COMPUTED_VALUE"""),64.0)</f>
        <v>64</v>
      </c>
      <c r="F11666" s="19" t="str">
        <f>IFERROR(__xludf.DUMMYFUNCTION("""COMPUTED_VALUE"""),"BLUE")</f>
        <v>BLUE</v>
      </c>
      <c r="G11666" s="20" t="str">
        <f>IFERROR(__xludf.DUMMYFUNCTION("""COMPUTED_VALUE"""),"Uncle Sams Cider (04/04/2023)")</f>
        <v>Uncle Sams Cider (04/04/2023)</v>
      </c>
      <c r="H11666" s="19"/>
    </row>
    <row r="11667">
      <c r="A11667" s="9"/>
      <c r="B11667" s="15"/>
      <c r="C11667" s="9">
        <f>IFERROR(__xludf.DUMMYFUNCTION("""COMPUTED_VALUE"""),45021.6525717245)</f>
        <v>45021.65257</v>
      </c>
      <c r="D11667" s="15">
        <f>IFERROR(__xludf.DUMMYFUNCTION("""COMPUTED_VALUE"""),1.109)</f>
        <v>1.109</v>
      </c>
      <c r="E11667" s="16">
        <f>IFERROR(__xludf.DUMMYFUNCTION("""COMPUTED_VALUE"""),64.0)</f>
        <v>64</v>
      </c>
      <c r="F11667" s="19" t="str">
        <f>IFERROR(__xludf.DUMMYFUNCTION("""COMPUTED_VALUE"""),"BLUE")</f>
        <v>BLUE</v>
      </c>
      <c r="G11667" s="20" t="str">
        <f>IFERROR(__xludf.DUMMYFUNCTION("""COMPUTED_VALUE"""),"Uncle Sams Cider (04/04/2023)")</f>
        <v>Uncle Sams Cider (04/04/2023)</v>
      </c>
      <c r="H11667" s="19"/>
    </row>
    <row r="11668">
      <c r="A11668" s="9"/>
      <c r="B11668" s="15"/>
      <c r="C11668" s="9">
        <f>IFERROR(__xludf.DUMMYFUNCTION("""COMPUTED_VALUE"""),45021.6421516898)</f>
        <v>45021.64215</v>
      </c>
      <c r="D11668" s="15">
        <f>IFERROR(__xludf.DUMMYFUNCTION("""COMPUTED_VALUE"""),1.11)</f>
        <v>1.11</v>
      </c>
      <c r="E11668" s="16">
        <f>IFERROR(__xludf.DUMMYFUNCTION("""COMPUTED_VALUE"""),64.0)</f>
        <v>64</v>
      </c>
      <c r="F11668" s="19" t="str">
        <f>IFERROR(__xludf.DUMMYFUNCTION("""COMPUTED_VALUE"""),"BLUE")</f>
        <v>BLUE</v>
      </c>
      <c r="G11668" s="20" t="str">
        <f>IFERROR(__xludf.DUMMYFUNCTION("""COMPUTED_VALUE"""),"Uncle Sams Cider (04/04/2023)")</f>
        <v>Uncle Sams Cider (04/04/2023)</v>
      </c>
      <c r="H11668" s="19"/>
    </row>
    <row r="11669">
      <c r="A11669" s="9"/>
      <c r="B11669" s="15"/>
      <c r="C11669" s="9">
        <f>IFERROR(__xludf.DUMMYFUNCTION("""COMPUTED_VALUE"""),45021.6317194791)</f>
        <v>45021.63172</v>
      </c>
      <c r="D11669" s="15">
        <f>IFERROR(__xludf.DUMMYFUNCTION("""COMPUTED_VALUE"""),1.11)</f>
        <v>1.11</v>
      </c>
      <c r="E11669" s="16">
        <f>IFERROR(__xludf.DUMMYFUNCTION("""COMPUTED_VALUE"""),64.0)</f>
        <v>64</v>
      </c>
      <c r="F11669" s="19" t="str">
        <f>IFERROR(__xludf.DUMMYFUNCTION("""COMPUTED_VALUE"""),"BLUE")</f>
        <v>BLUE</v>
      </c>
      <c r="G11669" s="20" t="str">
        <f>IFERROR(__xludf.DUMMYFUNCTION("""COMPUTED_VALUE"""),"Uncle Sams Cider (04/04/2023)")</f>
        <v>Uncle Sams Cider (04/04/2023)</v>
      </c>
      <c r="H11669" s="19"/>
    </row>
    <row r="11670">
      <c r="A11670" s="9"/>
      <c r="B11670" s="15"/>
      <c r="C11670" s="9">
        <f>IFERROR(__xludf.DUMMYFUNCTION("""COMPUTED_VALUE"""),45021.6212979166)</f>
        <v>45021.6213</v>
      </c>
      <c r="D11670" s="15">
        <f>IFERROR(__xludf.DUMMYFUNCTION("""COMPUTED_VALUE"""),1.109)</f>
        <v>1.109</v>
      </c>
      <c r="E11670" s="16">
        <f>IFERROR(__xludf.DUMMYFUNCTION("""COMPUTED_VALUE"""),64.0)</f>
        <v>64</v>
      </c>
      <c r="F11670" s="19" t="str">
        <f>IFERROR(__xludf.DUMMYFUNCTION("""COMPUTED_VALUE"""),"BLUE")</f>
        <v>BLUE</v>
      </c>
      <c r="G11670" s="20" t="str">
        <f>IFERROR(__xludf.DUMMYFUNCTION("""COMPUTED_VALUE"""),"Uncle Sams Cider (04/04/2023)")</f>
        <v>Uncle Sams Cider (04/04/2023)</v>
      </c>
      <c r="H11670" s="19"/>
    </row>
    <row r="11671">
      <c r="A11671" s="9"/>
      <c r="B11671" s="15"/>
      <c r="C11671" s="9">
        <f>IFERROR(__xludf.DUMMYFUNCTION("""COMPUTED_VALUE"""),45021.6108763657)</f>
        <v>45021.61088</v>
      </c>
      <c r="D11671" s="15">
        <f>IFERROR(__xludf.DUMMYFUNCTION("""COMPUTED_VALUE"""),1.11)</f>
        <v>1.11</v>
      </c>
      <c r="E11671" s="16">
        <f>IFERROR(__xludf.DUMMYFUNCTION("""COMPUTED_VALUE"""),64.0)</f>
        <v>64</v>
      </c>
      <c r="F11671" s="19" t="str">
        <f>IFERROR(__xludf.DUMMYFUNCTION("""COMPUTED_VALUE"""),"BLUE")</f>
        <v>BLUE</v>
      </c>
      <c r="G11671" s="20" t="str">
        <f>IFERROR(__xludf.DUMMYFUNCTION("""COMPUTED_VALUE"""),"Uncle Sams Cider (04/04/2023)")</f>
        <v>Uncle Sams Cider (04/04/2023)</v>
      </c>
      <c r="H11671" s="19"/>
    </row>
    <row r="11672">
      <c r="A11672" s="9"/>
      <c r="B11672" s="15"/>
      <c r="C11672" s="9">
        <f>IFERROR(__xludf.DUMMYFUNCTION("""COMPUTED_VALUE"""),45021.6004426273)</f>
        <v>45021.60044</v>
      </c>
      <c r="D11672" s="15">
        <f>IFERROR(__xludf.DUMMYFUNCTION("""COMPUTED_VALUE"""),1.11)</f>
        <v>1.11</v>
      </c>
      <c r="E11672" s="16">
        <f>IFERROR(__xludf.DUMMYFUNCTION("""COMPUTED_VALUE"""),64.0)</f>
        <v>64</v>
      </c>
      <c r="F11672" s="19" t="str">
        <f>IFERROR(__xludf.DUMMYFUNCTION("""COMPUTED_VALUE"""),"BLUE")</f>
        <v>BLUE</v>
      </c>
      <c r="G11672" s="20" t="str">
        <f>IFERROR(__xludf.DUMMYFUNCTION("""COMPUTED_VALUE"""),"Uncle Sams Cider (04/04/2023)")</f>
        <v>Uncle Sams Cider (04/04/2023)</v>
      </c>
      <c r="H11672" s="19"/>
    </row>
    <row r="11673">
      <c r="A11673" s="9"/>
      <c r="B11673" s="15"/>
      <c r="C11673" s="9">
        <f>IFERROR(__xludf.DUMMYFUNCTION("""COMPUTED_VALUE"""),45021.590019618)</f>
        <v>45021.59002</v>
      </c>
      <c r="D11673" s="15">
        <f>IFERROR(__xludf.DUMMYFUNCTION("""COMPUTED_VALUE"""),1.11)</f>
        <v>1.11</v>
      </c>
      <c r="E11673" s="16">
        <f>IFERROR(__xludf.DUMMYFUNCTION("""COMPUTED_VALUE"""),64.0)</f>
        <v>64</v>
      </c>
      <c r="F11673" s="19" t="str">
        <f>IFERROR(__xludf.DUMMYFUNCTION("""COMPUTED_VALUE"""),"BLUE")</f>
        <v>BLUE</v>
      </c>
      <c r="G11673" s="20" t="str">
        <f>IFERROR(__xludf.DUMMYFUNCTION("""COMPUTED_VALUE"""),"Uncle Sams Cider (04/04/2023)")</f>
        <v>Uncle Sams Cider (04/04/2023)</v>
      </c>
      <c r="H11673" s="19"/>
    </row>
    <row r="11674">
      <c r="A11674" s="9"/>
      <c r="B11674" s="15"/>
      <c r="C11674" s="9">
        <f>IFERROR(__xludf.DUMMYFUNCTION("""COMPUTED_VALUE"""),45021.5795994791)</f>
        <v>45021.5796</v>
      </c>
      <c r="D11674" s="15">
        <f>IFERROR(__xludf.DUMMYFUNCTION("""COMPUTED_VALUE"""),1.11)</f>
        <v>1.11</v>
      </c>
      <c r="E11674" s="16">
        <f>IFERROR(__xludf.DUMMYFUNCTION("""COMPUTED_VALUE"""),64.0)</f>
        <v>64</v>
      </c>
      <c r="F11674" s="19" t="str">
        <f>IFERROR(__xludf.DUMMYFUNCTION("""COMPUTED_VALUE"""),"BLUE")</f>
        <v>BLUE</v>
      </c>
      <c r="G11674" s="20" t="str">
        <f>IFERROR(__xludf.DUMMYFUNCTION("""COMPUTED_VALUE"""),"Uncle Sams Cider (04/04/2023)")</f>
        <v>Uncle Sams Cider (04/04/2023)</v>
      </c>
      <c r="H11674" s="19"/>
    </row>
    <row r="11675">
      <c r="A11675" s="9"/>
      <c r="B11675" s="15"/>
      <c r="C11675" s="9">
        <f>IFERROR(__xludf.DUMMYFUNCTION("""COMPUTED_VALUE"""),45021.5691780787)</f>
        <v>45021.56918</v>
      </c>
      <c r="D11675" s="15">
        <f>IFERROR(__xludf.DUMMYFUNCTION("""COMPUTED_VALUE"""),1.111)</f>
        <v>1.111</v>
      </c>
      <c r="E11675" s="16">
        <f>IFERROR(__xludf.DUMMYFUNCTION("""COMPUTED_VALUE"""),64.0)</f>
        <v>64</v>
      </c>
      <c r="F11675" s="19" t="str">
        <f>IFERROR(__xludf.DUMMYFUNCTION("""COMPUTED_VALUE"""),"BLUE")</f>
        <v>BLUE</v>
      </c>
      <c r="G11675" s="20" t="str">
        <f>IFERROR(__xludf.DUMMYFUNCTION("""COMPUTED_VALUE"""),"Uncle Sams Cider (04/04/2023)")</f>
        <v>Uncle Sams Cider (04/04/2023)</v>
      </c>
      <c r="H11675" s="19"/>
    </row>
    <row r="11676">
      <c r="A11676" s="9"/>
      <c r="B11676" s="15"/>
      <c r="C11676" s="9">
        <f>IFERROR(__xludf.DUMMYFUNCTION("""COMPUTED_VALUE"""),45021.558756331)</f>
        <v>45021.55876</v>
      </c>
      <c r="D11676" s="15">
        <f>IFERROR(__xludf.DUMMYFUNCTION("""COMPUTED_VALUE"""),1.112)</f>
        <v>1.112</v>
      </c>
      <c r="E11676" s="16">
        <f>IFERROR(__xludf.DUMMYFUNCTION("""COMPUTED_VALUE"""),63.0)</f>
        <v>63</v>
      </c>
      <c r="F11676" s="19" t="str">
        <f>IFERROR(__xludf.DUMMYFUNCTION("""COMPUTED_VALUE"""),"BLUE")</f>
        <v>BLUE</v>
      </c>
      <c r="G11676" s="20" t="str">
        <f>IFERROR(__xludf.DUMMYFUNCTION("""COMPUTED_VALUE"""),"Uncle Sams Cider (04/04/2023)")</f>
        <v>Uncle Sams Cider (04/04/2023)</v>
      </c>
      <c r="H11676" s="19"/>
    </row>
    <row r="11677">
      <c r="A11677" s="9"/>
      <c r="B11677" s="15"/>
      <c r="C11677" s="9">
        <f>IFERROR(__xludf.DUMMYFUNCTION("""COMPUTED_VALUE"""),45021.5483337847)</f>
        <v>45021.54833</v>
      </c>
      <c r="D11677" s="15">
        <f>IFERROR(__xludf.DUMMYFUNCTION("""COMPUTED_VALUE"""),1.111)</f>
        <v>1.111</v>
      </c>
      <c r="E11677" s="16">
        <f>IFERROR(__xludf.DUMMYFUNCTION("""COMPUTED_VALUE"""),64.0)</f>
        <v>64</v>
      </c>
      <c r="F11677" s="19" t="str">
        <f>IFERROR(__xludf.DUMMYFUNCTION("""COMPUTED_VALUE"""),"BLUE")</f>
        <v>BLUE</v>
      </c>
      <c r="G11677" s="20" t="str">
        <f>IFERROR(__xludf.DUMMYFUNCTION("""COMPUTED_VALUE"""),"Uncle Sams Cider (04/04/2023)")</f>
        <v>Uncle Sams Cider (04/04/2023)</v>
      </c>
      <c r="H11677" s="19"/>
    </row>
    <row r="11678">
      <c r="A11678" s="9"/>
      <c r="B11678" s="15"/>
      <c r="C11678" s="9">
        <f>IFERROR(__xludf.DUMMYFUNCTION("""COMPUTED_VALUE"""),45021.5379127314)</f>
        <v>45021.53791</v>
      </c>
      <c r="D11678" s="15">
        <f>IFERROR(__xludf.DUMMYFUNCTION("""COMPUTED_VALUE"""),1.112)</f>
        <v>1.112</v>
      </c>
      <c r="E11678" s="16">
        <f>IFERROR(__xludf.DUMMYFUNCTION("""COMPUTED_VALUE"""),64.0)</f>
        <v>64</v>
      </c>
      <c r="F11678" s="19" t="str">
        <f>IFERROR(__xludf.DUMMYFUNCTION("""COMPUTED_VALUE"""),"BLUE")</f>
        <v>BLUE</v>
      </c>
      <c r="G11678" s="20" t="str">
        <f>IFERROR(__xludf.DUMMYFUNCTION("""COMPUTED_VALUE"""),"Uncle Sams Cider (04/04/2023)")</f>
        <v>Uncle Sams Cider (04/04/2023)</v>
      </c>
      <c r="H11678" s="19"/>
    </row>
    <row r="11679">
      <c r="A11679" s="9"/>
      <c r="B11679" s="15"/>
      <c r="C11679" s="9">
        <f>IFERROR(__xludf.DUMMYFUNCTION("""COMPUTED_VALUE"""),45021.5274791435)</f>
        <v>45021.52748</v>
      </c>
      <c r="D11679" s="15">
        <f>IFERROR(__xludf.DUMMYFUNCTION("""COMPUTED_VALUE"""),1.112)</f>
        <v>1.112</v>
      </c>
      <c r="E11679" s="16">
        <f>IFERROR(__xludf.DUMMYFUNCTION("""COMPUTED_VALUE"""),64.0)</f>
        <v>64</v>
      </c>
      <c r="F11679" s="19" t="str">
        <f>IFERROR(__xludf.DUMMYFUNCTION("""COMPUTED_VALUE"""),"BLUE")</f>
        <v>BLUE</v>
      </c>
      <c r="G11679" s="20" t="str">
        <f>IFERROR(__xludf.DUMMYFUNCTION("""COMPUTED_VALUE"""),"Uncle Sams Cider (04/04/2023)")</f>
        <v>Uncle Sams Cider (04/04/2023)</v>
      </c>
      <c r="H11679" s="19"/>
    </row>
    <row r="11680">
      <c r="A11680" s="9"/>
      <c r="B11680" s="15"/>
      <c r="C11680" s="9">
        <f>IFERROR(__xludf.DUMMYFUNCTION("""COMPUTED_VALUE"""),45021.5170459375)</f>
        <v>45021.51705</v>
      </c>
      <c r="D11680" s="15">
        <f>IFERROR(__xludf.DUMMYFUNCTION("""COMPUTED_VALUE"""),1.114)</f>
        <v>1.114</v>
      </c>
      <c r="E11680" s="16">
        <f>IFERROR(__xludf.DUMMYFUNCTION("""COMPUTED_VALUE"""),64.0)</f>
        <v>64</v>
      </c>
      <c r="F11680" s="19" t="str">
        <f>IFERROR(__xludf.DUMMYFUNCTION("""COMPUTED_VALUE"""),"BLUE")</f>
        <v>BLUE</v>
      </c>
      <c r="G11680" s="20" t="str">
        <f>IFERROR(__xludf.DUMMYFUNCTION("""COMPUTED_VALUE"""),"Uncle Sams Cider (04/04/2023)")</f>
        <v>Uncle Sams Cider (04/04/2023)</v>
      </c>
      <c r="H11680" s="19"/>
    </row>
    <row r="11681">
      <c r="A11681" s="9"/>
      <c r="B11681" s="15"/>
      <c r="C11681" s="9">
        <f>IFERROR(__xludf.DUMMYFUNCTION("""COMPUTED_VALUE"""),45021.5066231481)</f>
        <v>45021.50662</v>
      </c>
      <c r="D11681" s="15">
        <f>IFERROR(__xludf.DUMMYFUNCTION("""COMPUTED_VALUE"""),1.114)</f>
        <v>1.114</v>
      </c>
      <c r="E11681" s="16">
        <f>IFERROR(__xludf.DUMMYFUNCTION("""COMPUTED_VALUE"""),64.0)</f>
        <v>64</v>
      </c>
      <c r="F11681" s="19" t="str">
        <f>IFERROR(__xludf.DUMMYFUNCTION("""COMPUTED_VALUE"""),"BLUE")</f>
        <v>BLUE</v>
      </c>
      <c r="G11681" s="20" t="str">
        <f>IFERROR(__xludf.DUMMYFUNCTION("""COMPUTED_VALUE"""),"Uncle Sams Cider (04/04/2023)")</f>
        <v>Uncle Sams Cider (04/04/2023)</v>
      </c>
      <c r="H11681" s="19"/>
    </row>
    <row r="11682">
      <c r="A11682" s="9"/>
      <c r="B11682" s="15"/>
      <c r="C11682" s="9">
        <f>IFERROR(__xludf.DUMMYFUNCTION("""COMPUTED_VALUE"""),45021.4962027314)</f>
        <v>45021.4962</v>
      </c>
      <c r="D11682" s="15">
        <f>IFERROR(__xludf.DUMMYFUNCTION("""COMPUTED_VALUE"""),1.114)</f>
        <v>1.114</v>
      </c>
      <c r="E11682" s="16">
        <f>IFERROR(__xludf.DUMMYFUNCTION("""COMPUTED_VALUE"""),64.0)</f>
        <v>64</v>
      </c>
      <c r="F11682" s="19" t="str">
        <f>IFERROR(__xludf.DUMMYFUNCTION("""COMPUTED_VALUE"""),"BLUE")</f>
        <v>BLUE</v>
      </c>
      <c r="G11682" s="20" t="str">
        <f>IFERROR(__xludf.DUMMYFUNCTION("""COMPUTED_VALUE"""),"Uncle Sams Cider (04/04/2023)")</f>
        <v>Uncle Sams Cider (04/04/2023)</v>
      </c>
      <c r="H11682" s="19"/>
    </row>
    <row r="11683">
      <c r="A11683" s="9"/>
      <c r="B11683" s="15"/>
      <c r="C11683" s="9">
        <f>IFERROR(__xludf.DUMMYFUNCTION("""COMPUTED_VALUE"""),45021.4857802662)</f>
        <v>45021.48578</v>
      </c>
      <c r="D11683" s="15">
        <f>IFERROR(__xludf.DUMMYFUNCTION("""COMPUTED_VALUE"""),1.115)</f>
        <v>1.115</v>
      </c>
      <c r="E11683" s="16">
        <f>IFERROR(__xludf.DUMMYFUNCTION("""COMPUTED_VALUE"""),64.0)</f>
        <v>64</v>
      </c>
      <c r="F11683" s="19" t="str">
        <f>IFERROR(__xludf.DUMMYFUNCTION("""COMPUTED_VALUE"""),"BLUE")</f>
        <v>BLUE</v>
      </c>
      <c r="G11683" s="20" t="str">
        <f>IFERROR(__xludf.DUMMYFUNCTION("""COMPUTED_VALUE"""),"Uncle Sams Cider (04/04/2023)")</f>
        <v>Uncle Sams Cider (04/04/2023)</v>
      </c>
      <c r="H11683" s="19"/>
    </row>
    <row r="11684">
      <c r="A11684" s="9"/>
      <c r="B11684" s="15"/>
      <c r="C11684" s="9">
        <f>IFERROR(__xludf.DUMMYFUNCTION("""COMPUTED_VALUE"""),45021.4753587384)</f>
        <v>45021.47536</v>
      </c>
      <c r="D11684" s="15">
        <f>IFERROR(__xludf.DUMMYFUNCTION("""COMPUTED_VALUE"""),1.115)</f>
        <v>1.115</v>
      </c>
      <c r="E11684" s="16">
        <f>IFERROR(__xludf.DUMMYFUNCTION("""COMPUTED_VALUE"""),64.0)</f>
        <v>64</v>
      </c>
      <c r="F11684" s="19" t="str">
        <f>IFERROR(__xludf.DUMMYFUNCTION("""COMPUTED_VALUE"""),"BLUE")</f>
        <v>BLUE</v>
      </c>
      <c r="G11684" s="20" t="str">
        <f>IFERROR(__xludf.DUMMYFUNCTION("""COMPUTED_VALUE"""),"Uncle Sams Cider (04/04/2023)")</f>
        <v>Uncle Sams Cider (04/04/2023)</v>
      </c>
      <c r="H11684" s="19"/>
    </row>
    <row r="11685">
      <c r="A11685" s="9"/>
      <c r="B11685" s="15"/>
      <c r="C11685" s="9">
        <f>IFERROR(__xludf.DUMMYFUNCTION("""COMPUTED_VALUE"""),45021.4649144675)</f>
        <v>45021.46491</v>
      </c>
      <c r="D11685" s="15">
        <f>IFERROR(__xludf.DUMMYFUNCTION("""COMPUTED_VALUE"""),1.115)</f>
        <v>1.115</v>
      </c>
      <c r="E11685" s="16">
        <f>IFERROR(__xludf.DUMMYFUNCTION("""COMPUTED_VALUE"""),64.0)</f>
        <v>64</v>
      </c>
      <c r="F11685" s="19" t="str">
        <f>IFERROR(__xludf.DUMMYFUNCTION("""COMPUTED_VALUE"""),"BLUE")</f>
        <v>BLUE</v>
      </c>
      <c r="G11685" s="20" t="str">
        <f>IFERROR(__xludf.DUMMYFUNCTION("""COMPUTED_VALUE"""),"Uncle Sams Cider (04/04/2023)")</f>
        <v>Uncle Sams Cider (04/04/2023)</v>
      </c>
      <c r="H11685" s="19"/>
    </row>
    <row r="11686">
      <c r="A11686" s="9"/>
      <c r="B11686" s="15"/>
      <c r="C11686" s="9">
        <f>IFERROR(__xludf.DUMMYFUNCTION("""COMPUTED_VALUE"""),45021.4544816898)</f>
        <v>45021.45448</v>
      </c>
      <c r="D11686" s="15">
        <f>IFERROR(__xludf.DUMMYFUNCTION("""COMPUTED_VALUE"""),1.116)</f>
        <v>1.116</v>
      </c>
      <c r="E11686" s="16">
        <f>IFERROR(__xludf.DUMMYFUNCTION("""COMPUTED_VALUE"""),64.0)</f>
        <v>64</v>
      </c>
      <c r="F11686" s="19" t="str">
        <f>IFERROR(__xludf.DUMMYFUNCTION("""COMPUTED_VALUE"""),"BLUE")</f>
        <v>BLUE</v>
      </c>
      <c r="G11686" s="20" t="str">
        <f>IFERROR(__xludf.DUMMYFUNCTION("""COMPUTED_VALUE"""),"Uncle Sams Cider (04/04/2023)")</f>
        <v>Uncle Sams Cider (04/04/2023)</v>
      </c>
      <c r="H11686" s="19"/>
    </row>
    <row r="11687">
      <c r="A11687" s="9"/>
      <c r="B11687" s="15"/>
      <c r="C11687" s="9">
        <f>IFERROR(__xludf.DUMMYFUNCTION("""COMPUTED_VALUE"""),45021.4440630671)</f>
        <v>45021.44406</v>
      </c>
      <c r="D11687" s="15">
        <f>IFERROR(__xludf.DUMMYFUNCTION("""COMPUTED_VALUE"""),1.116)</f>
        <v>1.116</v>
      </c>
      <c r="E11687" s="16">
        <f>IFERROR(__xludf.DUMMYFUNCTION("""COMPUTED_VALUE"""),65.0)</f>
        <v>65</v>
      </c>
      <c r="F11687" s="19" t="str">
        <f>IFERROR(__xludf.DUMMYFUNCTION("""COMPUTED_VALUE"""),"BLUE")</f>
        <v>BLUE</v>
      </c>
      <c r="G11687" s="20" t="str">
        <f>IFERROR(__xludf.DUMMYFUNCTION("""COMPUTED_VALUE"""),"Uncle Sams Cider (04/04/2023)")</f>
        <v>Uncle Sams Cider (04/04/2023)</v>
      </c>
      <c r="H11687" s="19"/>
    </row>
    <row r="11688">
      <c r="A11688" s="9"/>
      <c r="B11688" s="15"/>
      <c r="C11688" s="9">
        <f>IFERROR(__xludf.DUMMYFUNCTION("""COMPUTED_VALUE"""),45021.4336404398)</f>
        <v>45021.43364</v>
      </c>
      <c r="D11688" s="15">
        <f>IFERROR(__xludf.DUMMYFUNCTION("""COMPUTED_VALUE"""),1.117)</f>
        <v>1.117</v>
      </c>
      <c r="E11688" s="16">
        <f>IFERROR(__xludf.DUMMYFUNCTION("""COMPUTED_VALUE"""),65.0)</f>
        <v>65</v>
      </c>
      <c r="F11688" s="19" t="str">
        <f>IFERROR(__xludf.DUMMYFUNCTION("""COMPUTED_VALUE"""),"BLUE")</f>
        <v>BLUE</v>
      </c>
      <c r="G11688" s="20" t="str">
        <f>IFERROR(__xludf.DUMMYFUNCTION("""COMPUTED_VALUE"""),"Uncle Sams Cider (04/04/2023)")</f>
        <v>Uncle Sams Cider (04/04/2023)</v>
      </c>
      <c r="H11688" s="19"/>
    </row>
    <row r="11689">
      <c r="A11689" s="9"/>
      <c r="B11689" s="15"/>
      <c r="C11689" s="9">
        <f>IFERROR(__xludf.DUMMYFUNCTION("""COMPUTED_VALUE"""),45021.4232184027)</f>
        <v>45021.42322</v>
      </c>
      <c r="D11689" s="15">
        <f>IFERROR(__xludf.DUMMYFUNCTION("""COMPUTED_VALUE"""),1.117)</f>
        <v>1.117</v>
      </c>
      <c r="E11689" s="16">
        <f>IFERROR(__xludf.DUMMYFUNCTION("""COMPUTED_VALUE"""),65.0)</f>
        <v>65</v>
      </c>
      <c r="F11689" s="19" t="str">
        <f>IFERROR(__xludf.DUMMYFUNCTION("""COMPUTED_VALUE"""),"BLUE")</f>
        <v>BLUE</v>
      </c>
      <c r="G11689" s="20" t="str">
        <f>IFERROR(__xludf.DUMMYFUNCTION("""COMPUTED_VALUE"""),"Uncle Sams Cider (04/04/2023)")</f>
        <v>Uncle Sams Cider (04/04/2023)</v>
      </c>
      <c r="H11689" s="19"/>
    </row>
    <row r="11690">
      <c r="A11690" s="9"/>
      <c r="B11690" s="15"/>
      <c r="C11690" s="9">
        <f>IFERROR(__xludf.DUMMYFUNCTION("""COMPUTED_VALUE"""),45021.4127974189)</f>
        <v>45021.4128</v>
      </c>
      <c r="D11690" s="15">
        <f>IFERROR(__xludf.DUMMYFUNCTION("""COMPUTED_VALUE"""),1.116)</f>
        <v>1.116</v>
      </c>
      <c r="E11690" s="16">
        <f>IFERROR(__xludf.DUMMYFUNCTION("""COMPUTED_VALUE"""),65.0)</f>
        <v>65</v>
      </c>
      <c r="F11690" s="19" t="str">
        <f>IFERROR(__xludf.DUMMYFUNCTION("""COMPUTED_VALUE"""),"BLUE")</f>
        <v>BLUE</v>
      </c>
      <c r="G11690" s="20" t="str">
        <f>IFERROR(__xludf.DUMMYFUNCTION("""COMPUTED_VALUE"""),"Uncle Sams Cider (04/04/2023)")</f>
        <v>Uncle Sams Cider (04/04/2023)</v>
      </c>
      <c r="H11690" s="19"/>
    </row>
    <row r="11691">
      <c r="A11691" s="9"/>
      <c r="B11691" s="15"/>
      <c r="C11691" s="9">
        <f>IFERROR(__xludf.DUMMYFUNCTION("""COMPUTED_VALUE"""),45021.4023648032)</f>
        <v>45021.40236</v>
      </c>
      <c r="D11691" s="15">
        <f>IFERROR(__xludf.DUMMYFUNCTION("""COMPUTED_VALUE"""),1.115)</f>
        <v>1.115</v>
      </c>
      <c r="E11691" s="16">
        <f>IFERROR(__xludf.DUMMYFUNCTION("""COMPUTED_VALUE"""),65.0)</f>
        <v>65</v>
      </c>
      <c r="F11691" s="19" t="str">
        <f>IFERROR(__xludf.DUMMYFUNCTION("""COMPUTED_VALUE"""),"BLUE")</f>
        <v>BLUE</v>
      </c>
      <c r="G11691" s="20" t="str">
        <f>IFERROR(__xludf.DUMMYFUNCTION("""COMPUTED_VALUE"""),"Uncle Sams Cider (04/04/2023)")</f>
        <v>Uncle Sams Cider (04/04/2023)</v>
      </c>
      <c r="H11691" s="19"/>
    </row>
    <row r="11692">
      <c r="A11692" s="9"/>
      <c r="B11692" s="15"/>
      <c r="C11692" s="9">
        <f>IFERROR(__xludf.DUMMYFUNCTION("""COMPUTED_VALUE"""),45021.3919437963)</f>
        <v>45021.39194</v>
      </c>
      <c r="D11692" s="15">
        <f>IFERROR(__xludf.DUMMYFUNCTION("""COMPUTED_VALUE"""),1.115)</f>
        <v>1.115</v>
      </c>
      <c r="E11692" s="16">
        <f>IFERROR(__xludf.DUMMYFUNCTION("""COMPUTED_VALUE"""),65.0)</f>
        <v>65</v>
      </c>
      <c r="F11692" s="19" t="str">
        <f>IFERROR(__xludf.DUMMYFUNCTION("""COMPUTED_VALUE"""),"BLUE")</f>
        <v>BLUE</v>
      </c>
      <c r="G11692" s="20" t="str">
        <f>IFERROR(__xludf.DUMMYFUNCTION("""COMPUTED_VALUE"""),"Uncle Sams Cider (04/04/2023)")</f>
        <v>Uncle Sams Cider (04/04/2023)</v>
      </c>
      <c r="H11692" s="19"/>
    </row>
    <row r="11693">
      <c r="A11693" s="9"/>
      <c r="B11693" s="15"/>
      <c r="C11693" s="9">
        <f>IFERROR(__xludf.DUMMYFUNCTION("""COMPUTED_VALUE"""),45021.3815227083)</f>
        <v>45021.38152</v>
      </c>
      <c r="D11693" s="15">
        <f>IFERROR(__xludf.DUMMYFUNCTION("""COMPUTED_VALUE"""),1.115)</f>
        <v>1.115</v>
      </c>
      <c r="E11693" s="16">
        <f>IFERROR(__xludf.DUMMYFUNCTION("""COMPUTED_VALUE"""),65.0)</f>
        <v>65</v>
      </c>
      <c r="F11693" s="19" t="str">
        <f>IFERROR(__xludf.DUMMYFUNCTION("""COMPUTED_VALUE"""),"BLUE")</f>
        <v>BLUE</v>
      </c>
      <c r="G11693" s="20" t="str">
        <f>IFERROR(__xludf.DUMMYFUNCTION("""COMPUTED_VALUE"""),"Uncle Sams Cider (04/04/2023)")</f>
        <v>Uncle Sams Cider (04/04/2023)</v>
      </c>
      <c r="H11693" s="19"/>
    </row>
    <row r="11694">
      <c r="A11694" s="9"/>
      <c r="B11694" s="15"/>
      <c r="C11694" s="9">
        <f>IFERROR(__xludf.DUMMYFUNCTION("""COMPUTED_VALUE"""),45021.3711029745)</f>
        <v>45021.3711</v>
      </c>
      <c r="D11694" s="15">
        <f>IFERROR(__xludf.DUMMYFUNCTION("""COMPUTED_VALUE"""),1.114)</f>
        <v>1.114</v>
      </c>
      <c r="E11694" s="16">
        <f>IFERROR(__xludf.DUMMYFUNCTION("""COMPUTED_VALUE"""),65.0)</f>
        <v>65</v>
      </c>
      <c r="F11694" s="19" t="str">
        <f>IFERROR(__xludf.DUMMYFUNCTION("""COMPUTED_VALUE"""),"BLUE")</f>
        <v>BLUE</v>
      </c>
      <c r="G11694" s="20" t="str">
        <f>IFERROR(__xludf.DUMMYFUNCTION("""COMPUTED_VALUE"""),"Uncle Sams Cider (04/04/2023)")</f>
        <v>Uncle Sams Cider (04/04/2023)</v>
      </c>
      <c r="H11694" s="19"/>
    </row>
    <row r="11695">
      <c r="A11695" s="9"/>
      <c r="B11695" s="15"/>
      <c r="C11695" s="9">
        <f>IFERROR(__xludf.DUMMYFUNCTION("""COMPUTED_VALUE"""),45021.3606806713)</f>
        <v>45021.36068</v>
      </c>
      <c r="D11695" s="15">
        <f>IFERROR(__xludf.DUMMYFUNCTION("""COMPUTED_VALUE"""),1.114)</f>
        <v>1.114</v>
      </c>
      <c r="E11695" s="16">
        <f>IFERROR(__xludf.DUMMYFUNCTION("""COMPUTED_VALUE"""),65.0)</f>
        <v>65</v>
      </c>
      <c r="F11695" s="19" t="str">
        <f>IFERROR(__xludf.DUMMYFUNCTION("""COMPUTED_VALUE"""),"BLUE")</f>
        <v>BLUE</v>
      </c>
      <c r="G11695" s="20" t="str">
        <f>IFERROR(__xludf.DUMMYFUNCTION("""COMPUTED_VALUE"""),"Uncle Sams Cider (04/04/2023)")</f>
        <v>Uncle Sams Cider (04/04/2023)</v>
      </c>
      <c r="H11695" s="19"/>
    </row>
    <row r="11696">
      <c r="A11696" s="9"/>
      <c r="B11696" s="15"/>
      <c r="C11696" s="9">
        <f>IFERROR(__xludf.DUMMYFUNCTION("""COMPUTED_VALUE"""),45021.3502480439)</f>
        <v>45021.35025</v>
      </c>
      <c r="D11696" s="15">
        <f>IFERROR(__xludf.DUMMYFUNCTION("""COMPUTED_VALUE"""),1.114)</f>
        <v>1.114</v>
      </c>
      <c r="E11696" s="16">
        <f>IFERROR(__xludf.DUMMYFUNCTION("""COMPUTED_VALUE"""),65.0)</f>
        <v>65</v>
      </c>
      <c r="F11696" s="19" t="str">
        <f>IFERROR(__xludf.DUMMYFUNCTION("""COMPUTED_VALUE"""),"BLUE")</f>
        <v>BLUE</v>
      </c>
      <c r="G11696" s="20" t="str">
        <f>IFERROR(__xludf.DUMMYFUNCTION("""COMPUTED_VALUE"""),"Uncle Sams Cider (04/04/2023)")</f>
        <v>Uncle Sams Cider (04/04/2023)</v>
      </c>
      <c r="H11696" s="19"/>
    </row>
    <row r="11697">
      <c r="A11697" s="9"/>
      <c r="B11697" s="15"/>
      <c r="C11697" s="9">
        <f>IFERROR(__xludf.DUMMYFUNCTION("""COMPUTED_VALUE"""),45021.3398277083)</f>
        <v>45021.33983</v>
      </c>
      <c r="D11697" s="15">
        <f>IFERROR(__xludf.DUMMYFUNCTION("""COMPUTED_VALUE"""),1.113)</f>
        <v>1.113</v>
      </c>
      <c r="E11697" s="16">
        <f>IFERROR(__xludf.DUMMYFUNCTION("""COMPUTED_VALUE"""),65.0)</f>
        <v>65</v>
      </c>
      <c r="F11697" s="19" t="str">
        <f>IFERROR(__xludf.DUMMYFUNCTION("""COMPUTED_VALUE"""),"BLUE")</f>
        <v>BLUE</v>
      </c>
      <c r="G11697" s="20" t="str">
        <f>IFERROR(__xludf.DUMMYFUNCTION("""COMPUTED_VALUE"""),"Uncle Sams Cider (04/04/2023)")</f>
        <v>Uncle Sams Cider (04/04/2023)</v>
      </c>
      <c r="H11697" s="19"/>
    </row>
    <row r="11698">
      <c r="A11698" s="9"/>
      <c r="B11698" s="15"/>
      <c r="C11698" s="9">
        <f>IFERROR(__xludf.DUMMYFUNCTION("""COMPUTED_VALUE"""),45021.3294067245)</f>
        <v>45021.32941</v>
      </c>
      <c r="D11698" s="15">
        <f>IFERROR(__xludf.DUMMYFUNCTION("""COMPUTED_VALUE"""),1.113)</f>
        <v>1.113</v>
      </c>
      <c r="E11698" s="16">
        <f>IFERROR(__xludf.DUMMYFUNCTION("""COMPUTED_VALUE"""),65.0)</f>
        <v>65</v>
      </c>
      <c r="F11698" s="19" t="str">
        <f>IFERROR(__xludf.DUMMYFUNCTION("""COMPUTED_VALUE"""),"BLUE")</f>
        <v>BLUE</v>
      </c>
      <c r="G11698" s="20" t="str">
        <f>IFERROR(__xludf.DUMMYFUNCTION("""COMPUTED_VALUE"""),"Uncle Sams Cider (04/04/2023)")</f>
        <v>Uncle Sams Cider (04/04/2023)</v>
      </c>
      <c r="H11698" s="19"/>
    </row>
    <row r="11699">
      <c r="A11699" s="9"/>
      <c r="B11699" s="15"/>
      <c r="C11699" s="9">
        <f>IFERROR(__xludf.DUMMYFUNCTION("""COMPUTED_VALUE"""),45021.3189849074)</f>
        <v>45021.31898</v>
      </c>
      <c r="D11699" s="15">
        <f>IFERROR(__xludf.DUMMYFUNCTION("""COMPUTED_VALUE"""),1.113)</f>
        <v>1.113</v>
      </c>
      <c r="E11699" s="16">
        <f>IFERROR(__xludf.DUMMYFUNCTION("""COMPUTED_VALUE"""),65.0)</f>
        <v>65</v>
      </c>
      <c r="F11699" s="19" t="str">
        <f>IFERROR(__xludf.DUMMYFUNCTION("""COMPUTED_VALUE"""),"BLUE")</f>
        <v>BLUE</v>
      </c>
      <c r="G11699" s="20" t="str">
        <f>IFERROR(__xludf.DUMMYFUNCTION("""COMPUTED_VALUE"""),"Uncle Sams Cider (04/04/2023)")</f>
        <v>Uncle Sams Cider (04/04/2023)</v>
      </c>
      <c r="H11699" s="19"/>
    </row>
    <row r="11700">
      <c r="A11700" s="9"/>
      <c r="B11700" s="15"/>
      <c r="C11700" s="9">
        <f>IFERROR(__xludf.DUMMYFUNCTION("""COMPUTED_VALUE"""),45021.3085641666)</f>
        <v>45021.30856</v>
      </c>
      <c r="D11700" s="15">
        <f>IFERROR(__xludf.DUMMYFUNCTION("""COMPUTED_VALUE"""),1.113)</f>
        <v>1.113</v>
      </c>
      <c r="E11700" s="16">
        <f>IFERROR(__xludf.DUMMYFUNCTION("""COMPUTED_VALUE"""),65.0)</f>
        <v>65</v>
      </c>
      <c r="F11700" s="19" t="str">
        <f>IFERROR(__xludf.DUMMYFUNCTION("""COMPUTED_VALUE"""),"BLUE")</f>
        <v>BLUE</v>
      </c>
      <c r="G11700" s="20" t="str">
        <f>IFERROR(__xludf.DUMMYFUNCTION("""COMPUTED_VALUE"""),"Uncle Sams Cider (04/04/2023)")</f>
        <v>Uncle Sams Cider (04/04/2023)</v>
      </c>
      <c r="H11700" s="19"/>
    </row>
    <row r="11701">
      <c r="A11701" s="9"/>
      <c r="B11701" s="15"/>
      <c r="C11701" s="9">
        <f>IFERROR(__xludf.DUMMYFUNCTION("""COMPUTED_VALUE"""),45021.2981074884)</f>
        <v>45021.29811</v>
      </c>
      <c r="D11701" s="15">
        <f>IFERROR(__xludf.DUMMYFUNCTION("""COMPUTED_VALUE"""),1.113)</f>
        <v>1.113</v>
      </c>
      <c r="E11701" s="16">
        <f>IFERROR(__xludf.DUMMYFUNCTION("""COMPUTED_VALUE"""),65.0)</f>
        <v>65</v>
      </c>
      <c r="F11701" s="19" t="str">
        <f>IFERROR(__xludf.DUMMYFUNCTION("""COMPUTED_VALUE"""),"BLUE")</f>
        <v>BLUE</v>
      </c>
      <c r="G11701" s="20" t="str">
        <f>IFERROR(__xludf.DUMMYFUNCTION("""COMPUTED_VALUE"""),"Uncle Sams Cider (04/04/2023)")</f>
        <v>Uncle Sams Cider (04/04/2023)</v>
      </c>
      <c r="H11701" s="19"/>
    </row>
    <row r="11702">
      <c r="A11702" s="9"/>
      <c r="B11702" s="15"/>
      <c r="C11702" s="9">
        <f>IFERROR(__xludf.DUMMYFUNCTION("""COMPUTED_VALUE"""),45021.2876731365)</f>
        <v>45021.28767</v>
      </c>
      <c r="D11702" s="15">
        <f>IFERROR(__xludf.DUMMYFUNCTION("""COMPUTED_VALUE"""),1.113)</f>
        <v>1.113</v>
      </c>
      <c r="E11702" s="16">
        <f>IFERROR(__xludf.DUMMYFUNCTION("""COMPUTED_VALUE"""),65.0)</f>
        <v>65</v>
      </c>
      <c r="F11702" s="19" t="str">
        <f>IFERROR(__xludf.DUMMYFUNCTION("""COMPUTED_VALUE"""),"BLUE")</f>
        <v>BLUE</v>
      </c>
      <c r="G11702" s="20" t="str">
        <f>IFERROR(__xludf.DUMMYFUNCTION("""COMPUTED_VALUE"""),"Uncle Sams Cider (04/04/2023)")</f>
        <v>Uncle Sams Cider (04/04/2023)</v>
      </c>
      <c r="H11702" s="19"/>
    </row>
    <row r="11703">
      <c r="A11703" s="9"/>
      <c r="B11703" s="15"/>
      <c r="C11703" s="9">
        <f>IFERROR(__xludf.DUMMYFUNCTION("""COMPUTED_VALUE"""),45021.277253449)</f>
        <v>45021.27725</v>
      </c>
      <c r="D11703" s="15">
        <f>IFERROR(__xludf.DUMMYFUNCTION("""COMPUTED_VALUE"""),1.113)</f>
        <v>1.113</v>
      </c>
      <c r="E11703" s="16">
        <f>IFERROR(__xludf.DUMMYFUNCTION("""COMPUTED_VALUE"""),65.0)</f>
        <v>65</v>
      </c>
      <c r="F11703" s="19" t="str">
        <f>IFERROR(__xludf.DUMMYFUNCTION("""COMPUTED_VALUE"""),"BLUE")</f>
        <v>BLUE</v>
      </c>
      <c r="G11703" s="20" t="str">
        <f>IFERROR(__xludf.DUMMYFUNCTION("""COMPUTED_VALUE"""),"Uncle Sams Cider (04/04/2023)")</f>
        <v>Uncle Sams Cider (04/04/2023)</v>
      </c>
      <c r="H11703" s="19"/>
    </row>
    <row r="11704">
      <c r="A11704" s="9"/>
      <c r="B11704" s="15"/>
      <c r="C11704" s="9">
        <f>IFERROR(__xludf.DUMMYFUNCTION("""COMPUTED_VALUE"""),45021.2668333333)</f>
        <v>45021.26683</v>
      </c>
      <c r="D11704" s="15">
        <f>IFERROR(__xludf.DUMMYFUNCTION("""COMPUTED_VALUE"""),1.113)</f>
        <v>1.113</v>
      </c>
      <c r="E11704" s="16">
        <f>IFERROR(__xludf.DUMMYFUNCTION("""COMPUTED_VALUE"""),65.0)</f>
        <v>65</v>
      </c>
      <c r="F11704" s="19" t="str">
        <f>IFERROR(__xludf.DUMMYFUNCTION("""COMPUTED_VALUE"""),"BLUE")</f>
        <v>BLUE</v>
      </c>
      <c r="G11704" s="20" t="str">
        <f>IFERROR(__xludf.DUMMYFUNCTION("""COMPUTED_VALUE"""),"Uncle Sams Cider (04/04/2023)")</f>
        <v>Uncle Sams Cider (04/04/2023)</v>
      </c>
      <c r="H11704" s="19"/>
    </row>
    <row r="11705">
      <c r="A11705" s="9"/>
      <c r="B11705" s="15"/>
      <c r="C11705" s="9">
        <f>IFERROR(__xludf.DUMMYFUNCTION("""COMPUTED_VALUE"""),45021.2564128125)</f>
        <v>45021.25641</v>
      </c>
      <c r="D11705" s="15">
        <f>IFERROR(__xludf.DUMMYFUNCTION("""COMPUTED_VALUE"""),1.113)</f>
        <v>1.113</v>
      </c>
      <c r="E11705" s="16">
        <f>IFERROR(__xludf.DUMMYFUNCTION("""COMPUTED_VALUE"""),65.0)</f>
        <v>65</v>
      </c>
      <c r="F11705" s="19" t="str">
        <f>IFERROR(__xludf.DUMMYFUNCTION("""COMPUTED_VALUE"""),"BLUE")</f>
        <v>BLUE</v>
      </c>
      <c r="G11705" s="20" t="str">
        <f>IFERROR(__xludf.DUMMYFUNCTION("""COMPUTED_VALUE"""),"Uncle Sams Cider (04/04/2023)")</f>
        <v>Uncle Sams Cider (04/04/2023)</v>
      </c>
      <c r="H11705" s="19"/>
    </row>
    <row r="11706">
      <c r="A11706" s="9"/>
      <c r="B11706" s="15"/>
      <c r="C11706" s="9">
        <f>IFERROR(__xludf.DUMMYFUNCTION("""COMPUTED_VALUE"""),45021.2459904051)</f>
        <v>45021.24599</v>
      </c>
      <c r="D11706" s="15">
        <f>IFERROR(__xludf.DUMMYFUNCTION("""COMPUTED_VALUE"""),1.113)</f>
        <v>1.113</v>
      </c>
      <c r="E11706" s="16">
        <f>IFERROR(__xludf.DUMMYFUNCTION("""COMPUTED_VALUE"""),65.0)</f>
        <v>65</v>
      </c>
      <c r="F11706" s="19" t="str">
        <f>IFERROR(__xludf.DUMMYFUNCTION("""COMPUTED_VALUE"""),"BLUE")</f>
        <v>BLUE</v>
      </c>
      <c r="G11706" s="20" t="str">
        <f>IFERROR(__xludf.DUMMYFUNCTION("""COMPUTED_VALUE"""),"Uncle Sams Cider (04/04/2023)")</f>
        <v>Uncle Sams Cider (04/04/2023)</v>
      </c>
      <c r="H11706" s="19"/>
    </row>
    <row r="11707">
      <c r="A11707" s="9"/>
      <c r="B11707" s="15"/>
      <c r="C11707" s="9">
        <f>IFERROR(__xludf.DUMMYFUNCTION("""COMPUTED_VALUE"""),45021.2355583796)</f>
        <v>45021.23556</v>
      </c>
      <c r="D11707" s="15">
        <f>IFERROR(__xludf.DUMMYFUNCTION("""COMPUTED_VALUE"""),1.113)</f>
        <v>1.113</v>
      </c>
      <c r="E11707" s="16">
        <f>IFERROR(__xludf.DUMMYFUNCTION("""COMPUTED_VALUE"""),65.0)</f>
        <v>65</v>
      </c>
      <c r="F11707" s="19" t="str">
        <f>IFERROR(__xludf.DUMMYFUNCTION("""COMPUTED_VALUE"""),"BLUE")</f>
        <v>BLUE</v>
      </c>
      <c r="G11707" s="20" t="str">
        <f>IFERROR(__xludf.DUMMYFUNCTION("""COMPUTED_VALUE"""),"Uncle Sams Cider (04/04/2023)")</f>
        <v>Uncle Sams Cider (04/04/2023)</v>
      </c>
      <c r="H11707" s="19"/>
    </row>
    <row r="11708">
      <c r="A11708" s="9"/>
      <c r="B11708" s="15"/>
      <c r="C11708" s="9">
        <f>IFERROR(__xludf.DUMMYFUNCTION("""COMPUTED_VALUE"""),45021.2251361921)</f>
        <v>45021.22514</v>
      </c>
      <c r="D11708" s="15">
        <f>IFERROR(__xludf.DUMMYFUNCTION("""COMPUTED_VALUE"""),1.114)</f>
        <v>1.114</v>
      </c>
      <c r="E11708" s="16">
        <f>IFERROR(__xludf.DUMMYFUNCTION("""COMPUTED_VALUE"""),65.0)</f>
        <v>65</v>
      </c>
      <c r="F11708" s="19" t="str">
        <f>IFERROR(__xludf.DUMMYFUNCTION("""COMPUTED_VALUE"""),"BLUE")</f>
        <v>BLUE</v>
      </c>
      <c r="G11708" s="20" t="str">
        <f>IFERROR(__xludf.DUMMYFUNCTION("""COMPUTED_VALUE"""),"Uncle Sams Cider (04/04/2023)")</f>
        <v>Uncle Sams Cider (04/04/2023)</v>
      </c>
      <c r="H11708" s="19"/>
    </row>
    <row r="11709">
      <c r="A11709" s="9"/>
      <c r="B11709" s="15"/>
      <c r="C11709" s="9">
        <f>IFERROR(__xludf.DUMMYFUNCTION("""COMPUTED_VALUE"""),45021.2147149074)</f>
        <v>45021.21471</v>
      </c>
      <c r="D11709" s="15">
        <f>IFERROR(__xludf.DUMMYFUNCTION("""COMPUTED_VALUE"""),1.113)</f>
        <v>1.113</v>
      </c>
      <c r="E11709" s="16">
        <f>IFERROR(__xludf.DUMMYFUNCTION("""COMPUTED_VALUE"""),66.0)</f>
        <v>66</v>
      </c>
      <c r="F11709" s="19" t="str">
        <f>IFERROR(__xludf.DUMMYFUNCTION("""COMPUTED_VALUE"""),"BLUE")</f>
        <v>BLUE</v>
      </c>
      <c r="G11709" s="20" t="str">
        <f>IFERROR(__xludf.DUMMYFUNCTION("""COMPUTED_VALUE"""),"Uncle Sams Cider (04/04/2023)")</f>
        <v>Uncle Sams Cider (04/04/2023)</v>
      </c>
      <c r="H11709" s="19"/>
    </row>
    <row r="11710">
      <c r="A11710" s="9"/>
      <c r="B11710" s="15"/>
      <c r="C11710" s="9">
        <f>IFERROR(__xludf.DUMMYFUNCTION("""COMPUTED_VALUE"""),45021.2042948842)</f>
        <v>45021.20429</v>
      </c>
      <c r="D11710" s="15">
        <f>IFERROR(__xludf.DUMMYFUNCTION("""COMPUTED_VALUE"""),1.114)</f>
        <v>1.114</v>
      </c>
      <c r="E11710" s="16">
        <f>IFERROR(__xludf.DUMMYFUNCTION("""COMPUTED_VALUE"""),66.0)</f>
        <v>66</v>
      </c>
      <c r="F11710" s="19" t="str">
        <f>IFERROR(__xludf.DUMMYFUNCTION("""COMPUTED_VALUE"""),"BLUE")</f>
        <v>BLUE</v>
      </c>
      <c r="G11710" s="20" t="str">
        <f>IFERROR(__xludf.DUMMYFUNCTION("""COMPUTED_VALUE"""),"Uncle Sams Cider (04/04/2023)")</f>
        <v>Uncle Sams Cider (04/04/2023)</v>
      </c>
      <c r="H11710" s="19"/>
    </row>
    <row r="11711">
      <c r="A11711" s="9"/>
      <c r="B11711" s="15"/>
      <c r="C11711" s="9">
        <f>IFERROR(__xludf.DUMMYFUNCTION("""COMPUTED_VALUE"""),45021.1938730902)</f>
        <v>45021.19387</v>
      </c>
      <c r="D11711" s="15">
        <f>IFERROR(__xludf.DUMMYFUNCTION("""COMPUTED_VALUE"""),1.114)</f>
        <v>1.114</v>
      </c>
      <c r="E11711" s="16">
        <f>IFERROR(__xludf.DUMMYFUNCTION("""COMPUTED_VALUE"""),66.0)</f>
        <v>66</v>
      </c>
      <c r="F11711" s="19" t="str">
        <f>IFERROR(__xludf.DUMMYFUNCTION("""COMPUTED_VALUE"""),"BLUE")</f>
        <v>BLUE</v>
      </c>
      <c r="G11711" s="20" t="str">
        <f>IFERROR(__xludf.DUMMYFUNCTION("""COMPUTED_VALUE"""),"Uncle Sams Cider (04/04/2023)")</f>
        <v>Uncle Sams Cider (04/04/2023)</v>
      </c>
      <c r="H11711" s="19"/>
    </row>
    <row r="11712">
      <c r="A11712" s="9"/>
      <c r="B11712" s="15"/>
      <c r="C11712" s="9">
        <f>IFERROR(__xludf.DUMMYFUNCTION("""COMPUTED_VALUE"""),45021.1834502546)</f>
        <v>45021.18345</v>
      </c>
      <c r="D11712" s="15">
        <f>IFERROR(__xludf.DUMMYFUNCTION("""COMPUTED_VALUE"""),1.115)</f>
        <v>1.115</v>
      </c>
      <c r="E11712" s="16">
        <f>IFERROR(__xludf.DUMMYFUNCTION("""COMPUTED_VALUE"""),66.0)</f>
        <v>66</v>
      </c>
      <c r="F11712" s="19" t="str">
        <f>IFERROR(__xludf.DUMMYFUNCTION("""COMPUTED_VALUE"""),"BLUE")</f>
        <v>BLUE</v>
      </c>
      <c r="G11712" s="20" t="str">
        <f>IFERROR(__xludf.DUMMYFUNCTION("""COMPUTED_VALUE"""),"Uncle Sams Cider (04/04/2023)")</f>
        <v>Uncle Sams Cider (04/04/2023)</v>
      </c>
      <c r="H11712" s="19"/>
    </row>
    <row r="11713">
      <c r="A11713" s="9"/>
      <c r="B11713" s="15"/>
      <c r="C11713" s="9">
        <f>IFERROR(__xludf.DUMMYFUNCTION("""COMPUTED_VALUE"""),45021.1730318287)</f>
        <v>45021.17303</v>
      </c>
      <c r="D11713" s="15">
        <f>IFERROR(__xludf.DUMMYFUNCTION("""COMPUTED_VALUE"""),1.114)</f>
        <v>1.114</v>
      </c>
      <c r="E11713" s="16">
        <f>IFERROR(__xludf.DUMMYFUNCTION("""COMPUTED_VALUE"""),66.0)</f>
        <v>66</v>
      </c>
      <c r="F11713" s="19" t="str">
        <f>IFERROR(__xludf.DUMMYFUNCTION("""COMPUTED_VALUE"""),"BLUE")</f>
        <v>BLUE</v>
      </c>
      <c r="G11713" s="20" t="str">
        <f>IFERROR(__xludf.DUMMYFUNCTION("""COMPUTED_VALUE"""),"Uncle Sams Cider (04/04/2023)")</f>
        <v>Uncle Sams Cider (04/04/2023)</v>
      </c>
      <c r="H11713" s="19"/>
    </row>
    <row r="11714">
      <c r="A11714" s="9"/>
      <c r="B11714" s="15"/>
      <c r="C11714" s="9">
        <f>IFERROR(__xludf.DUMMYFUNCTION("""COMPUTED_VALUE"""),45021.1625777314)</f>
        <v>45021.16258</v>
      </c>
      <c r="D11714" s="15">
        <f>IFERROR(__xludf.DUMMYFUNCTION("""COMPUTED_VALUE"""),1.115)</f>
        <v>1.115</v>
      </c>
      <c r="E11714" s="16">
        <f>IFERROR(__xludf.DUMMYFUNCTION("""COMPUTED_VALUE"""),66.0)</f>
        <v>66</v>
      </c>
      <c r="F11714" s="19" t="str">
        <f>IFERROR(__xludf.DUMMYFUNCTION("""COMPUTED_VALUE"""),"BLUE")</f>
        <v>BLUE</v>
      </c>
      <c r="G11714" s="20" t="str">
        <f>IFERROR(__xludf.DUMMYFUNCTION("""COMPUTED_VALUE"""),"Uncle Sams Cider (04/04/2023)")</f>
        <v>Uncle Sams Cider (04/04/2023)</v>
      </c>
      <c r="H11714" s="19"/>
    </row>
    <row r="11715">
      <c r="A11715" s="9"/>
      <c r="B11715" s="15"/>
      <c r="C11715" s="9">
        <f>IFERROR(__xludf.DUMMYFUNCTION("""COMPUTED_VALUE"""),45021.1521549537)</f>
        <v>45021.15215</v>
      </c>
      <c r="D11715" s="15">
        <f>IFERROR(__xludf.DUMMYFUNCTION("""COMPUTED_VALUE"""),1.114)</f>
        <v>1.114</v>
      </c>
      <c r="E11715" s="16">
        <f>IFERROR(__xludf.DUMMYFUNCTION("""COMPUTED_VALUE"""),66.0)</f>
        <v>66</v>
      </c>
      <c r="F11715" s="19" t="str">
        <f>IFERROR(__xludf.DUMMYFUNCTION("""COMPUTED_VALUE"""),"BLUE")</f>
        <v>BLUE</v>
      </c>
      <c r="G11715" s="20" t="str">
        <f>IFERROR(__xludf.DUMMYFUNCTION("""COMPUTED_VALUE"""),"Uncle Sams Cider (04/04/2023)")</f>
        <v>Uncle Sams Cider (04/04/2023)</v>
      </c>
      <c r="H11715" s="19"/>
    </row>
    <row r="11716">
      <c r="A11716" s="9"/>
      <c r="B11716" s="15"/>
      <c r="C11716" s="9">
        <f>IFERROR(__xludf.DUMMYFUNCTION("""COMPUTED_VALUE"""),45021.1417320601)</f>
        <v>45021.14173</v>
      </c>
      <c r="D11716" s="15">
        <f>IFERROR(__xludf.DUMMYFUNCTION("""COMPUTED_VALUE"""),1.114)</f>
        <v>1.114</v>
      </c>
      <c r="E11716" s="16">
        <f>IFERROR(__xludf.DUMMYFUNCTION("""COMPUTED_VALUE"""),66.0)</f>
        <v>66</v>
      </c>
      <c r="F11716" s="19" t="str">
        <f>IFERROR(__xludf.DUMMYFUNCTION("""COMPUTED_VALUE"""),"BLUE")</f>
        <v>BLUE</v>
      </c>
      <c r="G11716" s="20" t="str">
        <f>IFERROR(__xludf.DUMMYFUNCTION("""COMPUTED_VALUE"""),"Uncle Sams Cider (04/04/2023)")</f>
        <v>Uncle Sams Cider (04/04/2023)</v>
      </c>
      <c r="H11716" s="19"/>
    </row>
    <row r="11717">
      <c r="A11717" s="9"/>
      <c r="B11717" s="15"/>
      <c r="C11717" s="9">
        <f>IFERROR(__xludf.DUMMYFUNCTION("""COMPUTED_VALUE"""),45021.1313113425)</f>
        <v>45021.13131</v>
      </c>
      <c r="D11717" s="15">
        <f>IFERROR(__xludf.DUMMYFUNCTION("""COMPUTED_VALUE"""),1.114)</f>
        <v>1.114</v>
      </c>
      <c r="E11717" s="16">
        <f>IFERROR(__xludf.DUMMYFUNCTION("""COMPUTED_VALUE"""),66.0)</f>
        <v>66</v>
      </c>
      <c r="F11717" s="19" t="str">
        <f>IFERROR(__xludf.DUMMYFUNCTION("""COMPUTED_VALUE"""),"BLUE")</f>
        <v>BLUE</v>
      </c>
      <c r="G11717" s="20" t="str">
        <f>IFERROR(__xludf.DUMMYFUNCTION("""COMPUTED_VALUE"""),"Uncle Sams Cider (04/04/2023)")</f>
        <v>Uncle Sams Cider (04/04/2023)</v>
      </c>
      <c r="H11717" s="19"/>
    </row>
    <row r="11718">
      <c r="A11718" s="9"/>
      <c r="B11718" s="15"/>
      <c r="C11718" s="9">
        <f>IFERROR(__xludf.DUMMYFUNCTION("""COMPUTED_VALUE"""),45021.1208784259)</f>
        <v>45021.12088</v>
      </c>
      <c r="D11718" s="15">
        <f>IFERROR(__xludf.DUMMYFUNCTION("""COMPUTED_VALUE"""),1.114)</f>
        <v>1.114</v>
      </c>
      <c r="E11718" s="16">
        <f>IFERROR(__xludf.DUMMYFUNCTION("""COMPUTED_VALUE"""),65.0)</f>
        <v>65</v>
      </c>
      <c r="F11718" s="19" t="str">
        <f>IFERROR(__xludf.DUMMYFUNCTION("""COMPUTED_VALUE"""),"BLUE")</f>
        <v>BLUE</v>
      </c>
      <c r="G11718" s="20" t="str">
        <f>IFERROR(__xludf.DUMMYFUNCTION("""COMPUTED_VALUE"""),"Uncle Sams Cider (04/04/2023)")</f>
        <v>Uncle Sams Cider (04/04/2023)</v>
      </c>
      <c r="H11718" s="19"/>
    </row>
    <row r="11719">
      <c r="A11719" s="9"/>
      <c r="B11719" s="15"/>
      <c r="C11719" s="9">
        <f>IFERROR(__xludf.DUMMYFUNCTION("""COMPUTED_VALUE"""),45021.1104580439)</f>
        <v>45021.11046</v>
      </c>
      <c r="D11719" s="15">
        <f>IFERROR(__xludf.DUMMYFUNCTION("""COMPUTED_VALUE"""),1.114)</f>
        <v>1.114</v>
      </c>
      <c r="E11719" s="16">
        <f>IFERROR(__xludf.DUMMYFUNCTION("""COMPUTED_VALUE"""),64.0)</f>
        <v>64</v>
      </c>
      <c r="F11719" s="19" t="str">
        <f>IFERROR(__xludf.DUMMYFUNCTION("""COMPUTED_VALUE"""),"BLUE")</f>
        <v>BLUE</v>
      </c>
      <c r="G11719" s="20" t="str">
        <f>IFERROR(__xludf.DUMMYFUNCTION("""COMPUTED_VALUE"""),"Uncle Sams Cider (04/04/2023)")</f>
        <v>Uncle Sams Cider (04/04/2023)</v>
      </c>
      <c r="H11719" s="19"/>
    </row>
    <row r="11720">
      <c r="A11720" s="9"/>
      <c r="B11720" s="15"/>
      <c r="C11720" s="9">
        <f>IFERROR(__xludf.DUMMYFUNCTION("""COMPUTED_VALUE"""),45021.1000384953)</f>
        <v>45021.10004</v>
      </c>
      <c r="D11720" s="15">
        <f>IFERROR(__xludf.DUMMYFUNCTION("""COMPUTED_VALUE"""),1.114)</f>
        <v>1.114</v>
      </c>
      <c r="E11720" s="16">
        <f>IFERROR(__xludf.DUMMYFUNCTION("""COMPUTED_VALUE"""),64.0)</f>
        <v>64</v>
      </c>
      <c r="F11720" s="19" t="str">
        <f>IFERROR(__xludf.DUMMYFUNCTION("""COMPUTED_VALUE"""),"BLUE")</f>
        <v>BLUE</v>
      </c>
      <c r="G11720" s="20" t="str">
        <f>IFERROR(__xludf.DUMMYFUNCTION("""COMPUTED_VALUE"""),"Uncle Sams Cider (04/04/2023)")</f>
        <v>Uncle Sams Cider (04/04/2023)</v>
      </c>
      <c r="H11720" s="19"/>
    </row>
    <row r="11721">
      <c r="A11721" s="9"/>
      <c r="B11721" s="15"/>
      <c r="C11721" s="9">
        <f>IFERROR(__xludf.DUMMYFUNCTION("""COMPUTED_VALUE"""),45021.0896179861)</f>
        <v>45021.08962</v>
      </c>
      <c r="D11721" s="15">
        <f>IFERROR(__xludf.DUMMYFUNCTION("""COMPUTED_VALUE"""),1.115)</f>
        <v>1.115</v>
      </c>
      <c r="E11721" s="16">
        <f>IFERROR(__xludf.DUMMYFUNCTION("""COMPUTED_VALUE"""),66.0)</f>
        <v>66</v>
      </c>
      <c r="F11721" s="19" t="str">
        <f>IFERROR(__xludf.DUMMYFUNCTION("""COMPUTED_VALUE"""),"BLUE")</f>
        <v>BLUE</v>
      </c>
      <c r="G11721" s="20" t="str">
        <f>IFERROR(__xludf.DUMMYFUNCTION("""COMPUTED_VALUE"""),"Uncle Sams Cider (04/04/2023)")</f>
        <v>Uncle Sams Cider (04/04/2023)</v>
      </c>
      <c r="H11721" s="19"/>
    </row>
    <row r="11722">
      <c r="A11722" s="9"/>
      <c r="B11722" s="15"/>
      <c r="C11722" s="9">
        <f>IFERROR(__xludf.DUMMYFUNCTION("""COMPUTED_VALUE"""),45021.0791860648)</f>
        <v>45021.07919</v>
      </c>
      <c r="D11722" s="15">
        <f>IFERROR(__xludf.DUMMYFUNCTION("""COMPUTED_VALUE"""),1.114)</f>
        <v>1.114</v>
      </c>
      <c r="E11722" s="16">
        <f>IFERROR(__xludf.DUMMYFUNCTION("""COMPUTED_VALUE"""),67.0)</f>
        <v>67</v>
      </c>
      <c r="F11722" s="19" t="str">
        <f>IFERROR(__xludf.DUMMYFUNCTION("""COMPUTED_VALUE"""),"BLUE")</f>
        <v>BLUE</v>
      </c>
      <c r="G11722" s="20" t="str">
        <f>IFERROR(__xludf.DUMMYFUNCTION("""COMPUTED_VALUE"""),"Uncle Sams Cider (04/04/2023)")</f>
        <v>Uncle Sams Cider (04/04/2023)</v>
      </c>
      <c r="H11722" s="19"/>
    </row>
    <row r="11723">
      <c r="A11723" s="9"/>
      <c r="B11723" s="15"/>
      <c r="C11723" s="9">
        <f>IFERROR(__xludf.DUMMYFUNCTION("""COMPUTED_VALUE"""),45021.0687655671)</f>
        <v>45021.06877</v>
      </c>
      <c r="D11723" s="15">
        <f>IFERROR(__xludf.DUMMYFUNCTION("""COMPUTED_VALUE"""),1.115)</f>
        <v>1.115</v>
      </c>
      <c r="E11723" s="16">
        <f>IFERROR(__xludf.DUMMYFUNCTION("""COMPUTED_VALUE"""),68.0)</f>
        <v>68</v>
      </c>
      <c r="F11723" s="19" t="str">
        <f>IFERROR(__xludf.DUMMYFUNCTION("""COMPUTED_VALUE"""),"BLUE")</f>
        <v>BLUE</v>
      </c>
      <c r="G11723" s="20" t="str">
        <f>IFERROR(__xludf.DUMMYFUNCTION("""COMPUTED_VALUE"""),"Uncle Sams Cider (04/04/2023)")</f>
        <v>Uncle Sams Cider (04/04/2023)</v>
      </c>
      <c r="H11723" s="19"/>
    </row>
    <row r="11724">
      <c r="A11724" s="9"/>
      <c r="B11724" s="15"/>
      <c r="C11724" s="9">
        <f>IFERROR(__xludf.DUMMYFUNCTION("""COMPUTED_VALUE"""),45021.0583439236)</f>
        <v>45021.05834</v>
      </c>
      <c r="D11724" s="15">
        <f>IFERROR(__xludf.DUMMYFUNCTION("""COMPUTED_VALUE"""),1.115)</f>
        <v>1.115</v>
      </c>
      <c r="E11724" s="16">
        <f>IFERROR(__xludf.DUMMYFUNCTION("""COMPUTED_VALUE"""),69.0)</f>
        <v>69</v>
      </c>
      <c r="F11724" s="19" t="str">
        <f>IFERROR(__xludf.DUMMYFUNCTION("""COMPUTED_VALUE"""),"BLUE")</f>
        <v>BLUE</v>
      </c>
      <c r="G11724" s="20" t="str">
        <f>IFERROR(__xludf.DUMMYFUNCTION("""COMPUTED_VALUE"""),"Uncle Sams Cider (04/04/2023)")</f>
        <v>Uncle Sams Cider (04/04/2023)</v>
      </c>
      <c r="H11724" s="19"/>
    </row>
    <row r="11725">
      <c r="A11725" s="9"/>
      <c r="B11725" s="15"/>
      <c r="C11725" s="9">
        <f>IFERROR(__xludf.DUMMYFUNCTION("""COMPUTED_VALUE"""),45021.0479124652)</f>
        <v>45021.04791</v>
      </c>
      <c r="D11725" s="15">
        <f>IFERROR(__xludf.DUMMYFUNCTION("""COMPUTED_VALUE"""),1.116)</f>
        <v>1.116</v>
      </c>
      <c r="E11725" s="16">
        <f>IFERROR(__xludf.DUMMYFUNCTION("""COMPUTED_VALUE"""),71.0)</f>
        <v>71</v>
      </c>
      <c r="F11725" s="19" t="str">
        <f>IFERROR(__xludf.DUMMYFUNCTION("""COMPUTED_VALUE"""),"BLUE")</f>
        <v>BLUE</v>
      </c>
      <c r="G11725" s="20" t="str">
        <f>IFERROR(__xludf.DUMMYFUNCTION("""COMPUTED_VALUE"""),"Uncle Sams Cider (04/04/2023)")</f>
        <v>Uncle Sams Cider (04/04/2023)</v>
      </c>
      <c r="H11725" s="19"/>
    </row>
    <row r="11726">
      <c r="A11726" s="9"/>
      <c r="B11726" s="15"/>
      <c r="C11726" s="9">
        <f>IFERROR(__xludf.DUMMYFUNCTION("""COMPUTED_VALUE"""),45021.0374903588)</f>
        <v>45021.03749</v>
      </c>
      <c r="D11726" s="15">
        <f>IFERROR(__xludf.DUMMYFUNCTION("""COMPUTED_VALUE"""),1.115)</f>
        <v>1.115</v>
      </c>
      <c r="E11726" s="16">
        <f>IFERROR(__xludf.DUMMYFUNCTION("""COMPUTED_VALUE"""),72.0)</f>
        <v>72</v>
      </c>
      <c r="F11726" s="19" t="str">
        <f>IFERROR(__xludf.DUMMYFUNCTION("""COMPUTED_VALUE"""),"BLUE")</f>
        <v>BLUE</v>
      </c>
      <c r="G11726" s="20" t="str">
        <f>IFERROR(__xludf.DUMMYFUNCTION("""COMPUTED_VALUE"""),"Uncle Sams Cider (04/04/2023)")</f>
        <v>Uncle Sams Cider (04/04/2023)</v>
      </c>
      <c r="H11726" s="19"/>
    </row>
    <row r="11727">
      <c r="A11727" s="9"/>
      <c r="B11727" s="15"/>
      <c r="C11727" s="9">
        <f>IFERROR(__xludf.DUMMYFUNCTION("""COMPUTED_VALUE"""),45021.0270694444)</f>
        <v>45021.02707</v>
      </c>
      <c r="D11727" s="15">
        <f>IFERROR(__xludf.DUMMYFUNCTION("""COMPUTED_VALUE"""),1.115)</f>
        <v>1.115</v>
      </c>
      <c r="E11727" s="16">
        <f>IFERROR(__xludf.DUMMYFUNCTION("""COMPUTED_VALUE"""),73.0)</f>
        <v>73</v>
      </c>
      <c r="F11727" s="19" t="str">
        <f>IFERROR(__xludf.DUMMYFUNCTION("""COMPUTED_VALUE"""),"BLUE")</f>
        <v>BLUE</v>
      </c>
      <c r="G11727" s="20" t="str">
        <f>IFERROR(__xludf.DUMMYFUNCTION("""COMPUTED_VALUE"""),"Uncle Sams Cider (04/04/2023)")</f>
        <v>Uncle Sams Cider (04/04/2023)</v>
      </c>
      <c r="H11727" s="19"/>
    </row>
    <row r="11728">
      <c r="A11728" s="9"/>
      <c r="B11728" s="15"/>
      <c r="C11728" s="9">
        <f>IFERROR(__xludf.DUMMYFUNCTION("""COMPUTED_VALUE"""),45021.0166466898)</f>
        <v>45021.01665</v>
      </c>
      <c r="D11728" s="15">
        <f>IFERROR(__xludf.DUMMYFUNCTION("""COMPUTED_VALUE"""),1.115)</f>
        <v>1.115</v>
      </c>
      <c r="E11728" s="16">
        <f>IFERROR(__xludf.DUMMYFUNCTION("""COMPUTED_VALUE"""),74.0)</f>
        <v>74</v>
      </c>
      <c r="F11728" s="19" t="str">
        <f>IFERROR(__xludf.DUMMYFUNCTION("""COMPUTED_VALUE"""),"BLUE")</f>
        <v>BLUE</v>
      </c>
      <c r="G11728" s="20" t="str">
        <f>IFERROR(__xludf.DUMMYFUNCTION("""COMPUTED_VALUE"""),"Uncle Sams Cider (04/04/2023)")</f>
        <v>Uncle Sams Cider (04/04/2023)</v>
      </c>
      <c r="H11728" s="19"/>
    </row>
    <row r="11729">
      <c r="A11729" s="9"/>
      <c r="B11729" s="15"/>
      <c r="C11729" s="9">
        <f>IFERROR(__xludf.DUMMYFUNCTION("""COMPUTED_VALUE"""),45021.0062125926)</f>
        <v>45021.00621</v>
      </c>
      <c r="D11729" s="15">
        <f>IFERROR(__xludf.DUMMYFUNCTION("""COMPUTED_VALUE"""),1.115)</f>
        <v>1.115</v>
      </c>
      <c r="E11729" s="16">
        <f>IFERROR(__xludf.DUMMYFUNCTION("""COMPUTED_VALUE"""),75.0)</f>
        <v>75</v>
      </c>
      <c r="F11729" s="19" t="str">
        <f>IFERROR(__xludf.DUMMYFUNCTION("""COMPUTED_VALUE"""),"BLUE")</f>
        <v>BLUE</v>
      </c>
      <c r="G11729" s="20" t="str">
        <f>IFERROR(__xludf.DUMMYFUNCTION("""COMPUTED_VALUE"""),"Uncle Sams Cider (04/04/2023)")</f>
        <v>Uncle Sams Cider (04/04/2023)</v>
      </c>
      <c r="H11729" s="19"/>
    </row>
    <row r="11730">
      <c r="A11730" s="9"/>
      <c r="B11730" s="15"/>
      <c r="C11730" s="9">
        <f>IFERROR(__xludf.DUMMYFUNCTION("""COMPUTED_VALUE"""),45020.9957915046)</f>
        <v>45020.99579</v>
      </c>
      <c r="D11730" s="15">
        <f>IFERROR(__xludf.DUMMYFUNCTION("""COMPUTED_VALUE"""),1.115)</f>
        <v>1.115</v>
      </c>
      <c r="E11730" s="16">
        <f>IFERROR(__xludf.DUMMYFUNCTION("""COMPUTED_VALUE"""),77.0)</f>
        <v>77</v>
      </c>
      <c r="F11730" s="19" t="str">
        <f>IFERROR(__xludf.DUMMYFUNCTION("""COMPUTED_VALUE"""),"BLUE")</f>
        <v>BLUE</v>
      </c>
      <c r="G11730" s="20" t="str">
        <f>IFERROR(__xludf.DUMMYFUNCTION("""COMPUTED_VALUE"""),"Uncle Sams Cider (04/04/2023)")</f>
        <v>Uncle Sams Cider (04/04/2023)</v>
      </c>
      <c r="H11730" s="19"/>
    </row>
    <row r="11731">
      <c r="A11731" s="9"/>
      <c r="B11731" s="15"/>
      <c r="C11731" s="9">
        <f>IFERROR(__xludf.DUMMYFUNCTION("""COMPUTED_VALUE"""),45020.9853698379)</f>
        <v>45020.98537</v>
      </c>
      <c r="D11731" s="15">
        <f>IFERROR(__xludf.DUMMYFUNCTION("""COMPUTED_VALUE"""),1.114)</f>
        <v>1.114</v>
      </c>
      <c r="E11731" s="16">
        <f>IFERROR(__xludf.DUMMYFUNCTION("""COMPUTED_VALUE"""),78.0)</f>
        <v>78</v>
      </c>
      <c r="F11731" s="19" t="str">
        <f>IFERROR(__xludf.DUMMYFUNCTION("""COMPUTED_VALUE"""),"BLUE")</f>
        <v>BLUE</v>
      </c>
      <c r="G11731" s="20" t="str">
        <f>IFERROR(__xludf.DUMMYFUNCTION("""COMPUTED_VALUE"""),"Uncle Sams Cider (04/04/2023)")</f>
        <v>Uncle Sams Cider (04/04/2023)</v>
      </c>
      <c r="H11731" s="19"/>
    </row>
    <row r="11732">
      <c r="A11732" s="9"/>
      <c r="B11732" s="15"/>
      <c r="C11732" s="9">
        <f>IFERROR(__xludf.DUMMYFUNCTION("""COMPUTED_VALUE"""),45020.9749375231)</f>
        <v>45020.97494</v>
      </c>
      <c r="D11732" s="15">
        <f>IFERROR(__xludf.DUMMYFUNCTION("""COMPUTED_VALUE"""),1.114)</f>
        <v>1.114</v>
      </c>
      <c r="E11732" s="16">
        <f>IFERROR(__xludf.DUMMYFUNCTION("""COMPUTED_VALUE"""),79.0)</f>
        <v>79</v>
      </c>
      <c r="F11732" s="19" t="str">
        <f>IFERROR(__xludf.DUMMYFUNCTION("""COMPUTED_VALUE"""),"BLUE")</f>
        <v>BLUE</v>
      </c>
      <c r="G11732" s="20" t="str">
        <f>IFERROR(__xludf.DUMMYFUNCTION("""COMPUTED_VALUE"""),"Uncle Sams Cider (04/04/2023)")</f>
        <v>Uncle Sams Cider (04/04/2023)</v>
      </c>
      <c r="H11732" s="19"/>
    </row>
    <row r="11733">
      <c r="A11733" s="9"/>
      <c r="B11733" s="15"/>
      <c r="C11733" s="9">
        <f>IFERROR(__xludf.DUMMYFUNCTION("""COMPUTED_VALUE"""),45020.9645065972)</f>
        <v>45020.96451</v>
      </c>
      <c r="D11733" s="15">
        <f>IFERROR(__xludf.DUMMYFUNCTION("""COMPUTED_VALUE"""),1.114)</f>
        <v>1.114</v>
      </c>
      <c r="E11733" s="16">
        <f>IFERROR(__xludf.DUMMYFUNCTION("""COMPUTED_VALUE"""),81.0)</f>
        <v>81</v>
      </c>
      <c r="F11733" s="19" t="str">
        <f>IFERROR(__xludf.DUMMYFUNCTION("""COMPUTED_VALUE"""),"BLUE")</f>
        <v>BLUE</v>
      </c>
      <c r="G11733" s="20" t="str">
        <f>IFERROR(__xludf.DUMMYFUNCTION("""COMPUTED_VALUE"""),"Uncle Sams Cider (04/04/2023)")</f>
        <v>Uncle Sams Cider (04/04/2023)</v>
      </c>
      <c r="H11733" s="19"/>
    </row>
    <row r="11734">
      <c r="A11734" s="9"/>
      <c r="B11734" s="15"/>
      <c r="C11734" s="9">
        <f>IFERROR(__xludf.DUMMYFUNCTION("""COMPUTED_VALUE"""),45020.9540736805)</f>
        <v>45020.95407</v>
      </c>
      <c r="D11734" s="15">
        <f>IFERROR(__xludf.DUMMYFUNCTION("""COMPUTED_VALUE"""),1.113)</f>
        <v>1.113</v>
      </c>
      <c r="E11734" s="16">
        <f>IFERROR(__xludf.DUMMYFUNCTION("""COMPUTED_VALUE"""),82.0)</f>
        <v>82</v>
      </c>
      <c r="F11734" s="19" t="str">
        <f>IFERROR(__xludf.DUMMYFUNCTION("""COMPUTED_VALUE"""),"BLUE")</f>
        <v>BLUE</v>
      </c>
      <c r="G11734" s="20" t="str">
        <f>IFERROR(__xludf.DUMMYFUNCTION("""COMPUTED_VALUE"""),"Uncle Sams Cider (04/04/2023)")</f>
        <v>Uncle Sams Cider (04/04/2023)</v>
      </c>
      <c r="H11734" s="19"/>
    </row>
    <row r="11735">
      <c r="A11735" s="9"/>
      <c r="B11735" s="15"/>
      <c r="C11735" s="9">
        <f>IFERROR(__xludf.DUMMYFUNCTION("""COMPUTED_VALUE"""),45020.9436515856)</f>
        <v>45020.94365</v>
      </c>
      <c r="D11735" s="15">
        <f>IFERROR(__xludf.DUMMYFUNCTION("""COMPUTED_VALUE"""),1.113)</f>
        <v>1.113</v>
      </c>
      <c r="E11735" s="16">
        <f>IFERROR(__xludf.DUMMYFUNCTION("""COMPUTED_VALUE"""),83.0)</f>
        <v>83</v>
      </c>
      <c r="F11735" s="19" t="str">
        <f>IFERROR(__xludf.DUMMYFUNCTION("""COMPUTED_VALUE"""),"BLUE")</f>
        <v>BLUE</v>
      </c>
      <c r="G11735" s="20" t="str">
        <f>IFERROR(__xludf.DUMMYFUNCTION("""COMPUTED_VALUE"""),"Uncle Sams Cider (04/04/2023)")</f>
        <v>Uncle Sams Cider (04/04/2023)</v>
      </c>
      <c r="H11735" s="19"/>
    </row>
    <row r="11736">
      <c r="A11736" s="9"/>
      <c r="B11736" s="15"/>
      <c r="C11736" s="9">
        <f>IFERROR(__xludf.DUMMYFUNCTION("""COMPUTED_VALUE"""),45020.9332300463)</f>
        <v>45020.93323</v>
      </c>
      <c r="D11736" s="15">
        <f>IFERROR(__xludf.DUMMYFUNCTION("""COMPUTED_VALUE"""),1.113)</f>
        <v>1.113</v>
      </c>
      <c r="E11736" s="16">
        <f>IFERROR(__xludf.DUMMYFUNCTION("""COMPUTED_VALUE"""),85.0)</f>
        <v>85</v>
      </c>
      <c r="F11736" s="19" t="str">
        <f>IFERROR(__xludf.DUMMYFUNCTION("""COMPUTED_VALUE"""),"BLUE")</f>
        <v>BLUE</v>
      </c>
      <c r="G11736" s="20" t="str">
        <f>IFERROR(__xludf.DUMMYFUNCTION("""COMPUTED_VALUE"""),"Uncle Sams Cider (04/04/2023)")</f>
        <v>Uncle Sams Cider (04/04/2023)</v>
      </c>
      <c r="H11736" s="19"/>
    </row>
    <row r="11737">
      <c r="A11737" s="9"/>
      <c r="B11737" s="15"/>
      <c r="C11737" s="9">
        <f>IFERROR(__xludf.DUMMYFUNCTION("""COMPUTED_VALUE"""),45020.9228089583)</f>
        <v>45020.92281</v>
      </c>
      <c r="D11737" s="15">
        <f>IFERROR(__xludf.DUMMYFUNCTION("""COMPUTED_VALUE"""),1.112)</f>
        <v>1.112</v>
      </c>
      <c r="E11737" s="16">
        <f>IFERROR(__xludf.DUMMYFUNCTION("""COMPUTED_VALUE"""),87.0)</f>
        <v>87</v>
      </c>
      <c r="F11737" s="19" t="str">
        <f>IFERROR(__xludf.DUMMYFUNCTION("""COMPUTED_VALUE"""),"BLUE")</f>
        <v>BLUE</v>
      </c>
      <c r="G11737" s="20" t="str">
        <f>IFERROR(__xludf.DUMMYFUNCTION("""COMPUTED_VALUE"""),"Uncle Sams Cider (04/04/2023)")</f>
        <v>Uncle Sams Cider (04/04/2023)</v>
      </c>
      <c r="H11737" s="19"/>
    </row>
    <row r="11738">
      <c r="A11738" s="9"/>
      <c r="B11738" s="15"/>
      <c r="C11738" s="9">
        <f>IFERROR(__xludf.DUMMYFUNCTION("""COMPUTED_VALUE"""),45020.9200406713)</f>
        <v>45020.92004</v>
      </c>
      <c r="D11738" s="15">
        <f>IFERROR(__xludf.DUMMYFUNCTION("""COMPUTED_VALUE"""),1.112)</f>
        <v>1.112</v>
      </c>
      <c r="E11738" s="16">
        <f>IFERROR(__xludf.DUMMYFUNCTION("""COMPUTED_VALUE"""),87.0)</f>
        <v>87</v>
      </c>
      <c r="F11738" s="19" t="str">
        <f>IFERROR(__xludf.DUMMYFUNCTION("""COMPUTED_VALUE"""),"BLUE")</f>
        <v>BLUE</v>
      </c>
      <c r="G11738" s="20" t="str">
        <f>IFERROR(__xludf.DUMMYFUNCTION("""COMPUTED_VALUE"""),"Uncle Sams Cider (04/04/2023)")</f>
        <v>Uncle Sams Cider (04/04/2023)</v>
      </c>
      <c r="H11738" s="19"/>
    </row>
    <row r="11739">
      <c r="A11739" s="9"/>
      <c r="B11739" s="15"/>
      <c r="C11739" s="9">
        <f>IFERROR(__xludf.DUMMYFUNCTION("""COMPUTED_VALUE"""),45020.9199940972)</f>
        <v>45020.91999</v>
      </c>
      <c r="D11739" s="15">
        <f>IFERROR(__xludf.DUMMYFUNCTION("""COMPUTED_VALUE"""),1.111)</f>
        <v>1.111</v>
      </c>
      <c r="E11739" s="16">
        <f>IFERROR(__xludf.DUMMYFUNCTION("""COMPUTED_VALUE"""),87.0)</f>
        <v>87</v>
      </c>
      <c r="F11739" s="19" t="str">
        <f>IFERROR(__xludf.DUMMYFUNCTION("""COMPUTED_VALUE"""),"BLUE")</f>
        <v>BLUE</v>
      </c>
      <c r="G11739" s="20" t="str">
        <f>IFERROR(__xludf.DUMMYFUNCTION("""COMPUTED_VALUE"""),"Uncle Sams Cider (04/04/2023)")</f>
        <v>Uncle Sams Cider (04/04/2023)</v>
      </c>
      <c r="H11739" s="19" t="str">
        <f>IFERROR(__xludf.DUMMYFUNCTION("""COMPUTED_VALUE"""),"ken@bellock.net")</f>
        <v>ken@bellock.net</v>
      </c>
    </row>
    <row r="11740">
      <c r="A11740" s="9"/>
      <c r="B11740" s="15"/>
      <c r="C11740" s="9">
        <f>IFERROR(__xludf.DUMMYFUNCTION("""COMPUTED_VALUE"""),45020.9198312847)</f>
        <v>45020.91983</v>
      </c>
      <c r="D11740" s="15">
        <f>IFERROR(__xludf.DUMMYFUNCTION("""COMPUTED_VALUE"""),1.111)</f>
        <v>1.111</v>
      </c>
      <c r="E11740" s="16">
        <f>IFERROR(__xludf.DUMMYFUNCTION("""COMPUTED_VALUE"""),87.0)</f>
        <v>87</v>
      </c>
      <c r="F11740" s="19" t="str">
        <f>IFERROR(__xludf.DUMMYFUNCTION("""COMPUTED_VALUE"""),"BLUE")</f>
        <v>BLUE</v>
      </c>
      <c r="G11740" s="20" t="str">
        <f>IFERROR(__xludf.DUMMYFUNCTION("""COMPUTED_VALUE"""),"Uncle Sams Cider (04/04/2023)")</f>
        <v>Uncle Sams Cider (04/04/2023)</v>
      </c>
      <c r="H11740" s="19"/>
    </row>
    <row r="11741">
      <c r="A11741" s="9"/>
      <c r="B11741" s="15"/>
      <c r="C11741" s="9"/>
      <c r="D11741" s="15"/>
      <c r="E11741" s="16"/>
      <c r="F11741" s="19"/>
      <c r="G11741" s="20"/>
      <c r="H11741" s="19"/>
    </row>
    <row r="11742">
      <c r="A11742" s="9"/>
      <c r="B11742" s="15"/>
      <c r="C11742" s="9"/>
      <c r="D11742" s="15"/>
      <c r="E11742" s="16"/>
      <c r="F11742" s="19"/>
      <c r="G11742" s="20"/>
      <c r="H11742" s="19"/>
    </row>
    <row r="11743">
      <c r="A11743" s="9"/>
      <c r="B11743" s="15"/>
      <c r="C11743" s="9"/>
      <c r="D11743" s="15"/>
      <c r="E11743" s="16"/>
      <c r="F11743" s="19"/>
      <c r="G11743" s="20"/>
      <c r="H11743" s="19"/>
    </row>
    <row r="11744">
      <c r="A11744" s="9"/>
      <c r="B11744" s="15"/>
      <c r="C11744" s="9"/>
      <c r="D11744" s="15"/>
      <c r="E11744" s="16"/>
      <c r="F11744" s="19"/>
      <c r="G11744" s="20"/>
      <c r="H11744" s="19"/>
    </row>
    <row r="11745">
      <c r="A11745" s="9"/>
      <c r="B11745" s="15"/>
      <c r="C11745" s="9"/>
      <c r="D11745" s="15"/>
      <c r="E11745" s="16"/>
      <c r="F11745" s="19"/>
      <c r="G11745" s="20"/>
      <c r="H11745" s="19"/>
    </row>
    <row r="11746">
      <c r="A11746" s="9"/>
      <c r="B11746" s="15"/>
      <c r="C11746" s="9"/>
      <c r="D11746" s="15"/>
      <c r="E11746" s="16"/>
      <c r="F11746" s="19"/>
      <c r="G11746" s="20"/>
      <c r="H11746" s="19"/>
    </row>
    <row r="11747">
      <c r="A11747" s="9"/>
      <c r="B11747" s="15"/>
      <c r="C11747" s="9"/>
      <c r="D11747" s="15"/>
      <c r="E11747" s="16"/>
      <c r="F11747" s="19"/>
      <c r="G11747" s="20"/>
      <c r="H11747" s="19"/>
    </row>
    <row r="11748">
      <c r="A11748" s="9"/>
      <c r="B11748" s="15"/>
      <c r="C11748" s="9"/>
      <c r="D11748" s="15"/>
      <c r="E11748" s="16"/>
      <c r="F11748" s="19"/>
      <c r="G11748" s="20"/>
      <c r="H11748" s="19"/>
    </row>
    <row r="11749">
      <c r="A11749" s="9"/>
      <c r="B11749" s="15"/>
      <c r="C11749" s="9"/>
      <c r="D11749" s="15"/>
      <c r="E11749" s="16"/>
      <c r="F11749" s="19"/>
      <c r="G11749" s="20"/>
      <c r="H11749" s="19"/>
    </row>
    <row r="11750">
      <c r="A11750" s="9"/>
      <c r="B11750" s="15"/>
      <c r="C11750" s="9"/>
      <c r="D11750" s="15"/>
      <c r="E11750" s="16"/>
      <c r="F11750" s="19"/>
      <c r="G11750" s="20"/>
      <c r="H11750" s="19"/>
    </row>
    <row r="11751">
      <c r="A11751" s="9"/>
      <c r="B11751" s="15"/>
      <c r="C11751" s="9"/>
      <c r="D11751" s="15"/>
      <c r="E11751" s="16"/>
      <c r="F11751" s="19"/>
      <c r="G11751" s="20"/>
      <c r="H11751" s="19"/>
    </row>
    <row r="11752">
      <c r="A11752" s="9"/>
      <c r="B11752" s="15"/>
      <c r="C11752" s="9"/>
      <c r="D11752" s="15"/>
      <c r="E11752" s="16"/>
      <c r="F11752" s="19"/>
      <c r="G11752" s="20"/>
      <c r="H11752" s="19"/>
    </row>
    <row r="11753">
      <c r="A11753" s="9"/>
      <c r="B11753" s="15"/>
      <c r="C11753" s="9"/>
      <c r="D11753" s="15"/>
      <c r="E11753" s="16"/>
      <c r="F11753" s="19"/>
      <c r="G11753" s="20"/>
      <c r="H11753" s="19"/>
    </row>
    <row r="11754">
      <c r="A11754" s="9"/>
      <c r="B11754" s="15"/>
      <c r="C11754" s="9"/>
      <c r="D11754" s="15"/>
      <c r="E11754" s="16"/>
      <c r="F11754" s="19"/>
      <c r="G11754" s="20"/>
      <c r="H11754" s="19"/>
    </row>
    <row r="11755">
      <c r="A11755" s="9"/>
      <c r="B11755" s="15"/>
      <c r="C11755" s="9"/>
      <c r="D11755" s="15"/>
      <c r="E11755" s="16"/>
      <c r="F11755" s="19"/>
      <c r="G11755" s="20"/>
      <c r="H11755" s="19"/>
    </row>
    <row r="11756">
      <c r="A11756" s="9"/>
      <c r="B11756" s="15"/>
      <c r="C11756" s="9"/>
      <c r="D11756" s="15"/>
      <c r="E11756" s="16"/>
      <c r="F11756" s="19"/>
      <c r="G11756" s="20"/>
      <c r="H11756" s="19"/>
    </row>
    <row r="11757">
      <c r="A11757" s="9"/>
      <c r="B11757" s="15"/>
      <c r="C11757" s="9"/>
      <c r="D11757" s="15"/>
      <c r="E11757" s="16"/>
      <c r="F11757" s="19"/>
      <c r="G11757" s="20"/>
      <c r="H11757" s="19"/>
    </row>
    <row r="11758">
      <c r="A11758" s="9"/>
      <c r="B11758" s="15"/>
      <c r="C11758" s="9"/>
      <c r="D11758" s="15"/>
      <c r="E11758" s="16"/>
      <c r="F11758" s="19"/>
      <c r="G11758" s="20"/>
      <c r="H11758" s="19"/>
    </row>
    <row r="11759">
      <c r="A11759" s="9"/>
      <c r="B11759" s="15"/>
      <c r="C11759" s="9"/>
      <c r="D11759" s="15"/>
      <c r="E11759" s="16"/>
      <c r="F11759" s="19"/>
      <c r="G11759" s="20"/>
      <c r="H11759" s="19"/>
    </row>
    <row r="11760">
      <c r="A11760" s="9"/>
      <c r="B11760" s="15"/>
      <c r="C11760" s="9"/>
      <c r="D11760" s="15"/>
      <c r="E11760" s="16"/>
      <c r="F11760" s="19"/>
      <c r="G11760" s="20"/>
      <c r="H11760" s="19"/>
    </row>
    <row r="11761">
      <c r="A11761" s="9"/>
      <c r="B11761" s="15"/>
      <c r="C11761" s="9"/>
      <c r="D11761" s="15"/>
      <c r="E11761" s="16"/>
      <c r="F11761" s="19"/>
      <c r="G11761" s="20"/>
      <c r="H11761" s="19"/>
    </row>
    <row r="11762">
      <c r="A11762" s="9"/>
      <c r="B11762" s="15"/>
      <c r="C11762" s="9"/>
      <c r="D11762" s="15"/>
      <c r="E11762" s="16"/>
      <c r="F11762" s="19"/>
      <c r="G11762" s="20"/>
      <c r="H11762" s="19"/>
    </row>
    <row r="11763">
      <c r="A11763" s="9"/>
      <c r="B11763" s="15"/>
      <c r="C11763" s="9"/>
      <c r="D11763" s="15"/>
      <c r="E11763" s="16"/>
      <c r="F11763" s="19"/>
      <c r="G11763" s="20"/>
      <c r="H11763" s="19"/>
    </row>
    <row r="11764">
      <c r="A11764" s="9"/>
      <c r="B11764" s="15"/>
      <c r="C11764" s="9"/>
      <c r="D11764" s="15"/>
      <c r="E11764" s="16"/>
      <c r="F11764" s="19"/>
      <c r="G11764" s="20"/>
      <c r="H11764" s="19"/>
    </row>
    <row r="11765">
      <c r="A11765" s="9"/>
      <c r="B11765" s="15"/>
      <c r="C11765" s="9"/>
      <c r="D11765" s="15"/>
      <c r="E11765" s="16"/>
      <c r="F11765" s="19"/>
      <c r="G11765" s="20"/>
      <c r="H11765" s="19"/>
    </row>
    <row r="11766">
      <c r="A11766" s="9"/>
      <c r="B11766" s="15"/>
      <c r="C11766" s="9"/>
      <c r="D11766" s="15"/>
      <c r="E11766" s="16"/>
      <c r="F11766" s="19"/>
      <c r="G11766" s="20"/>
      <c r="H11766" s="19"/>
    </row>
    <row r="11767">
      <c r="A11767" s="9"/>
      <c r="B11767" s="15"/>
      <c r="C11767" s="9"/>
      <c r="D11767" s="15"/>
      <c r="E11767" s="16"/>
      <c r="F11767" s="19"/>
      <c r="G11767" s="20"/>
      <c r="H11767" s="19"/>
    </row>
    <row r="11768">
      <c r="A11768" s="9"/>
      <c r="B11768" s="15"/>
      <c r="C11768" s="9"/>
      <c r="D11768" s="15"/>
      <c r="E11768" s="16"/>
      <c r="F11768" s="19"/>
      <c r="G11768" s="20"/>
      <c r="H11768" s="19"/>
    </row>
    <row r="11769">
      <c r="A11769" s="9"/>
      <c r="B11769" s="15"/>
      <c r="C11769" s="9"/>
      <c r="D11769" s="15"/>
      <c r="E11769" s="16"/>
      <c r="F11769" s="19"/>
      <c r="G11769" s="20"/>
      <c r="H11769" s="19"/>
    </row>
    <row r="11770">
      <c r="A11770" s="9"/>
      <c r="B11770" s="15"/>
      <c r="C11770" s="9"/>
      <c r="D11770" s="15"/>
      <c r="E11770" s="16"/>
      <c r="F11770" s="19"/>
      <c r="G11770" s="20"/>
      <c r="H11770" s="19"/>
    </row>
    <row r="11771">
      <c r="A11771" s="9"/>
      <c r="B11771" s="15"/>
      <c r="C11771" s="9"/>
      <c r="D11771" s="15"/>
      <c r="E11771" s="16"/>
      <c r="F11771" s="19"/>
      <c r="G11771" s="20"/>
      <c r="H11771" s="19"/>
    </row>
    <row r="11772">
      <c r="A11772" s="9"/>
      <c r="B11772" s="15"/>
      <c r="C11772" s="9"/>
      <c r="D11772" s="15"/>
      <c r="E11772" s="16"/>
      <c r="F11772" s="19"/>
      <c r="G11772" s="20"/>
      <c r="H11772" s="19"/>
    </row>
    <row r="11773">
      <c r="A11773" s="9"/>
      <c r="B11773" s="15"/>
      <c r="C11773" s="9"/>
      <c r="D11773" s="15"/>
      <c r="E11773" s="16"/>
      <c r="F11773" s="19"/>
      <c r="G11773" s="20"/>
      <c r="H11773" s="19"/>
    </row>
    <row r="11774">
      <c r="A11774" s="9"/>
      <c r="B11774" s="15"/>
      <c r="C11774" s="9"/>
      <c r="D11774" s="15"/>
      <c r="E11774" s="16"/>
      <c r="F11774" s="19"/>
      <c r="G11774" s="20"/>
      <c r="H11774" s="19"/>
    </row>
    <row r="11775">
      <c r="A11775" s="9"/>
      <c r="B11775" s="15"/>
      <c r="C11775" s="9"/>
      <c r="D11775" s="15"/>
      <c r="E11775" s="16"/>
      <c r="F11775" s="19"/>
      <c r="G11775" s="20"/>
      <c r="H11775" s="19"/>
    </row>
    <row r="11776">
      <c r="A11776" s="9"/>
      <c r="B11776" s="15"/>
      <c r="C11776" s="9"/>
      <c r="D11776" s="15"/>
      <c r="E11776" s="16"/>
      <c r="F11776" s="19"/>
      <c r="G11776" s="20"/>
      <c r="H11776" s="19"/>
    </row>
    <row r="11777">
      <c r="A11777" s="9"/>
      <c r="B11777" s="15"/>
      <c r="C11777" s="9"/>
      <c r="D11777" s="15"/>
      <c r="E11777" s="16"/>
      <c r="F11777" s="19"/>
      <c r="G11777" s="20"/>
      <c r="H11777" s="19"/>
    </row>
    <row r="11778">
      <c r="A11778" s="9"/>
      <c r="B11778" s="15"/>
      <c r="C11778" s="9"/>
      <c r="D11778" s="15"/>
      <c r="E11778" s="16"/>
      <c r="F11778" s="19"/>
      <c r="G11778" s="20"/>
      <c r="H11778" s="19"/>
    </row>
    <row r="11779">
      <c r="A11779" s="9"/>
      <c r="B11779" s="15"/>
      <c r="C11779" s="9"/>
      <c r="D11779" s="15"/>
      <c r="E11779" s="16"/>
      <c r="F11779" s="19"/>
      <c r="G11779" s="20"/>
      <c r="H11779" s="19"/>
    </row>
    <row r="11780">
      <c r="A11780" s="9"/>
      <c r="B11780" s="15"/>
      <c r="C11780" s="9"/>
      <c r="D11780" s="15"/>
      <c r="E11780" s="16"/>
      <c r="F11780" s="19"/>
      <c r="G11780" s="20"/>
      <c r="H11780" s="19"/>
    </row>
    <row r="11781">
      <c r="A11781" s="9"/>
      <c r="B11781" s="15"/>
      <c r="C11781" s="9"/>
      <c r="D11781" s="15"/>
      <c r="E11781" s="16"/>
      <c r="F11781" s="19"/>
      <c r="G11781" s="20"/>
      <c r="H11781" s="19"/>
    </row>
    <row r="11782">
      <c r="A11782" s="9"/>
      <c r="B11782" s="15"/>
      <c r="C11782" s="9"/>
      <c r="D11782" s="15"/>
      <c r="E11782" s="16"/>
      <c r="F11782" s="19"/>
      <c r="G11782" s="20"/>
      <c r="H11782" s="19"/>
    </row>
    <row r="11783">
      <c r="A11783" s="9"/>
      <c r="B11783" s="15"/>
      <c r="C11783" s="9"/>
      <c r="D11783" s="15"/>
      <c r="E11783" s="16"/>
      <c r="F11783" s="19"/>
      <c r="G11783" s="20"/>
      <c r="H11783" s="19"/>
    </row>
    <row r="11784">
      <c r="A11784" s="9"/>
      <c r="B11784" s="15"/>
      <c r="C11784" s="9"/>
      <c r="D11784" s="15"/>
      <c r="E11784" s="16"/>
      <c r="F11784" s="19"/>
      <c r="G11784" s="20"/>
      <c r="H11784" s="19"/>
    </row>
    <row r="11785">
      <c r="A11785" s="9"/>
      <c r="B11785" s="15"/>
      <c r="C11785" s="9"/>
      <c r="D11785" s="15"/>
      <c r="E11785" s="16"/>
      <c r="F11785" s="19"/>
      <c r="G11785" s="20"/>
      <c r="H11785" s="19"/>
    </row>
    <row r="11786">
      <c r="A11786" s="9"/>
      <c r="B11786" s="15"/>
      <c r="C11786" s="9"/>
      <c r="D11786" s="15"/>
      <c r="E11786" s="16"/>
      <c r="F11786" s="19"/>
      <c r="G11786" s="20"/>
      <c r="H11786" s="19"/>
    </row>
    <row r="11787">
      <c r="A11787" s="9"/>
      <c r="B11787" s="15"/>
      <c r="C11787" s="9"/>
      <c r="D11787" s="15"/>
      <c r="E11787" s="16"/>
      <c r="F11787" s="19"/>
      <c r="G11787" s="20"/>
      <c r="H11787" s="19"/>
    </row>
    <row r="11788">
      <c r="A11788" s="9"/>
      <c r="B11788" s="15"/>
      <c r="C11788" s="9"/>
      <c r="D11788" s="15"/>
      <c r="E11788" s="16"/>
      <c r="F11788" s="19"/>
      <c r="G11788" s="20"/>
      <c r="H11788" s="19"/>
    </row>
    <row r="11789">
      <c r="A11789" s="9"/>
      <c r="B11789" s="15"/>
      <c r="C11789" s="9"/>
      <c r="D11789" s="15"/>
      <c r="E11789" s="16"/>
      <c r="F11789" s="19"/>
      <c r="G11789" s="20"/>
      <c r="H11789" s="19"/>
    </row>
    <row r="11790">
      <c r="A11790" s="9"/>
      <c r="B11790" s="15"/>
      <c r="C11790" s="9"/>
      <c r="D11790" s="15"/>
      <c r="E11790" s="16"/>
      <c r="F11790" s="19"/>
      <c r="G11790" s="20"/>
      <c r="H11790" s="19"/>
    </row>
    <row r="11791">
      <c r="A11791" s="9"/>
      <c r="B11791" s="15"/>
      <c r="C11791" s="9"/>
      <c r="D11791" s="15"/>
      <c r="E11791" s="16"/>
      <c r="F11791" s="19"/>
      <c r="G11791" s="20"/>
      <c r="H11791" s="19"/>
    </row>
    <row r="11792">
      <c r="A11792" s="9"/>
      <c r="B11792" s="15"/>
      <c r="C11792" s="9"/>
      <c r="D11792" s="15"/>
      <c r="E11792" s="16"/>
      <c r="F11792" s="19"/>
      <c r="G11792" s="20"/>
      <c r="H11792" s="19"/>
    </row>
    <row r="11793">
      <c r="A11793" s="9"/>
      <c r="B11793" s="15"/>
      <c r="C11793" s="9"/>
      <c r="D11793" s="15"/>
      <c r="E11793" s="16"/>
      <c r="F11793" s="19"/>
      <c r="G11793" s="20"/>
      <c r="H11793" s="19"/>
    </row>
    <row r="11794">
      <c r="A11794" s="9"/>
      <c r="B11794" s="15"/>
      <c r="C11794" s="9"/>
      <c r="D11794" s="15"/>
      <c r="E11794" s="16"/>
      <c r="F11794" s="19"/>
      <c r="G11794" s="20"/>
      <c r="H11794" s="19"/>
    </row>
    <row r="11795">
      <c r="A11795" s="9"/>
      <c r="B11795" s="15"/>
      <c r="C11795" s="9"/>
      <c r="D11795" s="15"/>
      <c r="E11795" s="16"/>
      <c r="F11795" s="19"/>
      <c r="G11795" s="20"/>
      <c r="H11795" s="19"/>
    </row>
    <row r="11796">
      <c r="A11796" s="9"/>
      <c r="B11796" s="15"/>
      <c r="C11796" s="9"/>
      <c r="D11796" s="15"/>
      <c r="E11796" s="16"/>
      <c r="F11796" s="19"/>
      <c r="G11796" s="20"/>
      <c r="H11796" s="19"/>
    </row>
    <row r="11797">
      <c r="A11797" s="9"/>
      <c r="B11797" s="15"/>
      <c r="C11797" s="9"/>
      <c r="D11797" s="15"/>
      <c r="E11797" s="16"/>
      <c r="F11797" s="19"/>
      <c r="G11797" s="20"/>
      <c r="H11797" s="19"/>
    </row>
    <row r="11798">
      <c r="A11798" s="9"/>
      <c r="B11798" s="15"/>
      <c r="C11798" s="9"/>
      <c r="D11798" s="15"/>
      <c r="E11798" s="16"/>
      <c r="F11798" s="19"/>
      <c r="G11798" s="20"/>
      <c r="H11798" s="19"/>
    </row>
    <row r="11799">
      <c r="A11799" s="9"/>
      <c r="B11799" s="15"/>
      <c r="C11799" s="9"/>
      <c r="D11799" s="15"/>
      <c r="E11799" s="16"/>
      <c r="F11799" s="19"/>
      <c r="G11799" s="20"/>
      <c r="H11799" s="19"/>
    </row>
    <row r="11800">
      <c r="A11800" s="9"/>
      <c r="B11800" s="15"/>
      <c r="C11800" s="9"/>
      <c r="D11800" s="15"/>
      <c r="E11800" s="16"/>
      <c r="F11800" s="19"/>
      <c r="G11800" s="20"/>
      <c r="H11800" s="19"/>
    </row>
    <row r="11801">
      <c r="A11801" s="9"/>
      <c r="B11801" s="15"/>
      <c r="C11801" s="9"/>
      <c r="D11801" s="15"/>
      <c r="E11801" s="16"/>
      <c r="F11801" s="19"/>
      <c r="G11801" s="20"/>
      <c r="H11801" s="19"/>
    </row>
    <row r="11802">
      <c r="A11802" s="9"/>
      <c r="B11802" s="15"/>
      <c r="C11802" s="9"/>
      <c r="D11802" s="15"/>
      <c r="E11802" s="16"/>
      <c r="F11802" s="19"/>
      <c r="G11802" s="20"/>
      <c r="H11802" s="19"/>
    </row>
    <row r="11803">
      <c r="A11803" s="9"/>
      <c r="B11803" s="15"/>
      <c r="C11803" s="9"/>
      <c r="D11803" s="15"/>
      <c r="E11803" s="16"/>
      <c r="F11803" s="19"/>
      <c r="G11803" s="20"/>
      <c r="H11803" s="19"/>
    </row>
    <row r="11804">
      <c r="A11804" s="9"/>
      <c r="B11804" s="15"/>
      <c r="C11804" s="9"/>
      <c r="D11804" s="15"/>
      <c r="E11804" s="16"/>
      <c r="F11804" s="19"/>
      <c r="G11804" s="20"/>
      <c r="H11804" s="19"/>
    </row>
    <row r="11805">
      <c r="A11805" s="9"/>
      <c r="B11805" s="15"/>
      <c r="C11805" s="9"/>
      <c r="D11805" s="15"/>
      <c r="E11805" s="16"/>
      <c r="F11805" s="19"/>
      <c r="G11805" s="20"/>
      <c r="H11805" s="19"/>
    </row>
    <row r="11806">
      <c r="A11806" s="9"/>
      <c r="B11806" s="15"/>
      <c r="C11806" s="9"/>
      <c r="D11806" s="15"/>
      <c r="E11806" s="16"/>
      <c r="F11806" s="19"/>
      <c r="G11806" s="20"/>
      <c r="H11806" s="19"/>
    </row>
    <row r="11807">
      <c r="A11807" s="9"/>
      <c r="B11807" s="15"/>
      <c r="C11807" s="9"/>
      <c r="D11807" s="15"/>
      <c r="E11807" s="16"/>
      <c r="F11807" s="19"/>
      <c r="G11807" s="20"/>
      <c r="H11807" s="19"/>
    </row>
    <row r="11808">
      <c r="A11808" s="9"/>
      <c r="B11808" s="15"/>
      <c r="C11808" s="9"/>
      <c r="D11808" s="15"/>
      <c r="E11808" s="16"/>
      <c r="F11808" s="19"/>
      <c r="G11808" s="20"/>
      <c r="H11808" s="19"/>
    </row>
    <row r="11809">
      <c r="A11809" s="9"/>
      <c r="B11809" s="15"/>
      <c r="C11809" s="9"/>
      <c r="D11809" s="15"/>
      <c r="E11809" s="16"/>
      <c r="F11809" s="19"/>
      <c r="G11809" s="20"/>
      <c r="H11809" s="19"/>
    </row>
    <row r="11810">
      <c r="A11810" s="9"/>
      <c r="B11810" s="15"/>
      <c r="C11810" s="9"/>
      <c r="D11810" s="15"/>
      <c r="E11810" s="16"/>
      <c r="F11810" s="19"/>
      <c r="G11810" s="20"/>
      <c r="H11810" s="19"/>
    </row>
    <row r="11811">
      <c r="A11811" s="9"/>
      <c r="B11811" s="15"/>
      <c r="C11811" s="9"/>
      <c r="D11811" s="15"/>
      <c r="E11811" s="16"/>
      <c r="F11811" s="19"/>
      <c r="G11811" s="20"/>
      <c r="H11811" s="19"/>
    </row>
    <row r="11812">
      <c r="A11812" s="9"/>
      <c r="B11812" s="15"/>
      <c r="C11812" s="9"/>
      <c r="D11812" s="15"/>
      <c r="E11812" s="16"/>
      <c r="F11812" s="19"/>
      <c r="G11812" s="20"/>
      <c r="H11812" s="19"/>
    </row>
    <row r="11813">
      <c r="A11813" s="9"/>
      <c r="B11813" s="15"/>
      <c r="C11813" s="9"/>
      <c r="D11813" s="15"/>
      <c r="E11813" s="16"/>
      <c r="F11813" s="19"/>
      <c r="G11813" s="20"/>
      <c r="H11813" s="19"/>
    </row>
    <row r="11814">
      <c r="A11814" s="9"/>
      <c r="B11814" s="15"/>
      <c r="C11814" s="9"/>
      <c r="D11814" s="15"/>
      <c r="E11814" s="16"/>
      <c r="F11814" s="19"/>
      <c r="G11814" s="20"/>
      <c r="H11814" s="19"/>
    </row>
    <row r="11815">
      <c r="A11815" s="9"/>
      <c r="B11815" s="15"/>
      <c r="C11815" s="9"/>
      <c r="D11815" s="15"/>
      <c r="E11815" s="16"/>
      <c r="F11815" s="19"/>
      <c r="G11815" s="20"/>
      <c r="H11815" s="19"/>
    </row>
    <row r="11816">
      <c r="A11816" s="9"/>
      <c r="B11816" s="15"/>
      <c r="C11816" s="9"/>
      <c r="D11816" s="15"/>
      <c r="E11816" s="16"/>
      <c r="F11816" s="19"/>
      <c r="G11816" s="20"/>
      <c r="H11816" s="19"/>
    </row>
    <row r="11817">
      <c r="A11817" s="9"/>
      <c r="B11817" s="15"/>
      <c r="C11817" s="9"/>
      <c r="D11817" s="15"/>
      <c r="E11817" s="16"/>
      <c r="F11817" s="19"/>
      <c r="G11817" s="20"/>
      <c r="H11817" s="19"/>
    </row>
    <row r="11818">
      <c r="A11818" s="9"/>
      <c r="B11818" s="15"/>
      <c r="C11818" s="9"/>
      <c r="D11818" s="15"/>
      <c r="E11818" s="16"/>
      <c r="F11818" s="19"/>
      <c r="G11818" s="20"/>
      <c r="H11818" s="19"/>
    </row>
    <row r="11819">
      <c r="A11819" s="9"/>
      <c r="B11819" s="15"/>
      <c r="C11819" s="9"/>
      <c r="D11819" s="15"/>
      <c r="E11819" s="16"/>
      <c r="F11819" s="19"/>
      <c r="G11819" s="20"/>
      <c r="H11819" s="19"/>
    </row>
    <row r="11820">
      <c r="A11820" s="9"/>
      <c r="B11820" s="15"/>
      <c r="C11820" s="9"/>
      <c r="D11820" s="15"/>
      <c r="E11820" s="16"/>
      <c r="F11820" s="19"/>
      <c r="G11820" s="20"/>
      <c r="H11820" s="19"/>
    </row>
    <row r="11821">
      <c r="A11821" s="9"/>
      <c r="B11821" s="15"/>
      <c r="C11821" s="9"/>
      <c r="D11821" s="15"/>
      <c r="E11821" s="16"/>
      <c r="F11821" s="19"/>
      <c r="G11821" s="20"/>
      <c r="H11821" s="19"/>
    </row>
    <row r="11822">
      <c r="A11822" s="9"/>
      <c r="B11822" s="15"/>
      <c r="C11822" s="9"/>
      <c r="D11822" s="15"/>
      <c r="E11822" s="16"/>
      <c r="F11822" s="19"/>
      <c r="G11822" s="20"/>
      <c r="H11822" s="19"/>
    </row>
    <row r="11823">
      <c r="A11823" s="9"/>
      <c r="B11823" s="15"/>
      <c r="C11823" s="9"/>
      <c r="D11823" s="15"/>
      <c r="E11823" s="16"/>
      <c r="F11823" s="19"/>
      <c r="G11823" s="20"/>
      <c r="H11823" s="19"/>
    </row>
    <row r="11824">
      <c r="A11824" s="9"/>
      <c r="B11824" s="15"/>
      <c r="C11824" s="9"/>
      <c r="D11824" s="15"/>
      <c r="E11824" s="16"/>
      <c r="F11824" s="19"/>
      <c r="G11824" s="20"/>
      <c r="H11824" s="19"/>
    </row>
    <row r="11825">
      <c r="A11825" s="9"/>
      <c r="B11825" s="15"/>
      <c r="C11825" s="9"/>
      <c r="D11825" s="15"/>
      <c r="E11825" s="16"/>
      <c r="F11825" s="19"/>
      <c r="G11825" s="20"/>
      <c r="H11825" s="19"/>
    </row>
    <row r="11826">
      <c r="A11826" s="9"/>
      <c r="B11826" s="15"/>
      <c r="C11826" s="9"/>
      <c r="D11826" s="15"/>
      <c r="E11826" s="16"/>
      <c r="F11826" s="19"/>
      <c r="G11826" s="20"/>
      <c r="H11826" s="19"/>
    </row>
    <row r="11827">
      <c r="A11827" s="9"/>
      <c r="B11827" s="15"/>
      <c r="C11827" s="9"/>
      <c r="D11827" s="15"/>
      <c r="E11827" s="16"/>
      <c r="F11827" s="19"/>
      <c r="G11827" s="20"/>
      <c r="H11827" s="19"/>
    </row>
    <row r="11828">
      <c r="A11828" s="9"/>
      <c r="B11828" s="15"/>
      <c r="C11828" s="9"/>
      <c r="D11828" s="15"/>
      <c r="E11828" s="16"/>
      <c r="F11828" s="19"/>
      <c r="G11828" s="20"/>
      <c r="H11828" s="19"/>
    </row>
    <row r="11829">
      <c r="A11829" s="9"/>
      <c r="B11829" s="15"/>
      <c r="C11829" s="9"/>
      <c r="D11829" s="15"/>
      <c r="E11829" s="16"/>
      <c r="F11829" s="19"/>
      <c r="G11829" s="20"/>
      <c r="H11829" s="19"/>
    </row>
    <row r="11830">
      <c r="A11830" s="9"/>
      <c r="B11830" s="15"/>
      <c r="C11830" s="9"/>
      <c r="D11830" s="15"/>
      <c r="E11830" s="16"/>
      <c r="F11830" s="19"/>
      <c r="G11830" s="20"/>
      <c r="H11830" s="19"/>
    </row>
    <row r="11831">
      <c r="A11831" s="9"/>
      <c r="B11831" s="15"/>
      <c r="C11831" s="9"/>
      <c r="D11831" s="15"/>
      <c r="E11831" s="16"/>
      <c r="F11831" s="19"/>
      <c r="G11831" s="20"/>
      <c r="H11831" s="19"/>
    </row>
    <row r="11832">
      <c r="A11832" s="9"/>
      <c r="B11832" s="15"/>
      <c r="C11832" s="9"/>
      <c r="D11832" s="15"/>
      <c r="E11832" s="16"/>
      <c r="F11832" s="19"/>
      <c r="G11832" s="20"/>
      <c r="H11832" s="19"/>
    </row>
    <row r="11833">
      <c r="A11833" s="9"/>
      <c r="B11833" s="15"/>
      <c r="C11833" s="9"/>
      <c r="D11833" s="15"/>
      <c r="E11833" s="16"/>
      <c r="F11833" s="19"/>
      <c r="G11833" s="20"/>
      <c r="H11833" s="19"/>
    </row>
    <row r="11834">
      <c r="A11834" s="9"/>
      <c r="B11834" s="15"/>
      <c r="C11834" s="9"/>
      <c r="D11834" s="15"/>
      <c r="E11834" s="16"/>
      <c r="F11834" s="19"/>
      <c r="G11834" s="20"/>
      <c r="H11834" s="19"/>
    </row>
    <row r="11835">
      <c r="A11835" s="9"/>
      <c r="B11835" s="15"/>
      <c r="C11835" s="9"/>
      <c r="D11835" s="15"/>
      <c r="E11835" s="16"/>
      <c r="F11835" s="19"/>
      <c r="G11835" s="20"/>
      <c r="H11835" s="19"/>
    </row>
    <row r="11836">
      <c r="A11836" s="9"/>
      <c r="B11836" s="15"/>
      <c r="C11836" s="9"/>
      <c r="D11836" s="15"/>
      <c r="E11836" s="16"/>
      <c r="F11836" s="19"/>
      <c r="G11836" s="20"/>
      <c r="H11836" s="19"/>
    </row>
    <row r="11837">
      <c r="A11837" s="9"/>
      <c r="B11837" s="15"/>
      <c r="C11837" s="9"/>
      <c r="D11837" s="15"/>
      <c r="E11837" s="16"/>
      <c r="F11837" s="19"/>
      <c r="G11837" s="20"/>
      <c r="H11837" s="19"/>
    </row>
    <row r="11838">
      <c r="A11838" s="9"/>
      <c r="B11838" s="15"/>
      <c r="C11838" s="9"/>
      <c r="D11838" s="15"/>
      <c r="E11838" s="16"/>
      <c r="F11838" s="19"/>
      <c r="G11838" s="20"/>
      <c r="H11838" s="19"/>
    </row>
    <row r="11839">
      <c r="A11839" s="9"/>
      <c r="B11839" s="15"/>
      <c r="C11839" s="9"/>
      <c r="D11839" s="15"/>
      <c r="E11839" s="16"/>
      <c r="F11839" s="19"/>
      <c r="G11839" s="20"/>
      <c r="H11839" s="19"/>
    </row>
    <row r="11840">
      <c r="A11840" s="9"/>
      <c r="B11840" s="15"/>
      <c r="C11840" s="9"/>
      <c r="D11840" s="15"/>
      <c r="E11840" s="16"/>
      <c r="F11840" s="19"/>
      <c r="G11840" s="20"/>
      <c r="H11840" s="19"/>
    </row>
    <row r="11841">
      <c r="A11841" s="9"/>
      <c r="B11841" s="15"/>
      <c r="C11841" s="9"/>
      <c r="D11841" s="15"/>
      <c r="E11841" s="16"/>
      <c r="F11841" s="19"/>
      <c r="G11841" s="20"/>
      <c r="H11841" s="19"/>
    </row>
    <row r="11842">
      <c r="A11842" s="9"/>
      <c r="B11842" s="15"/>
      <c r="C11842" s="9"/>
      <c r="D11842" s="15"/>
      <c r="E11842" s="16"/>
      <c r="F11842" s="19"/>
      <c r="G11842" s="20"/>
      <c r="H11842" s="19"/>
    </row>
    <row r="11843">
      <c r="A11843" s="9"/>
      <c r="B11843" s="15"/>
      <c r="C11843" s="9"/>
      <c r="D11843" s="15"/>
      <c r="E11843" s="16"/>
      <c r="F11843" s="19"/>
      <c r="G11843" s="20"/>
      <c r="H11843" s="19"/>
    </row>
    <row r="11844">
      <c r="A11844" s="9"/>
      <c r="B11844" s="15"/>
      <c r="C11844" s="9"/>
      <c r="D11844" s="15"/>
      <c r="E11844" s="16"/>
      <c r="F11844" s="19"/>
      <c r="G11844" s="20"/>
      <c r="H11844" s="19"/>
    </row>
    <row r="11845">
      <c r="A11845" s="9"/>
      <c r="B11845" s="15"/>
      <c r="C11845" s="9"/>
      <c r="D11845" s="15"/>
      <c r="E11845" s="16"/>
      <c r="F11845" s="19"/>
      <c r="G11845" s="20"/>
      <c r="H11845" s="19"/>
    </row>
    <row r="11846">
      <c r="A11846" s="9"/>
      <c r="B11846" s="15"/>
      <c r="C11846" s="9"/>
      <c r="D11846" s="15"/>
      <c r="E11846" s="16"/>
      <c r="F11846" s="19"/>
      <c r="G11846" s="20"/>
      <c r="H11846" s="19"/>
    </row>
    <row r="11847">
      <c r="A11847" s="9"/>
      <c r="B11847" s="15"/>
      <c r="C11847" s="9"/>
      <c r="D11847" s="15"/>
      <c r="E11847" s="16"/>
      <c r="F11847" s="19"/>
      <c r="G11847" s="20"/>
      <c r="H11847" s="19"/>
    </row>
    <row r="11848">
      <c r="A11848" s="9"/>
      <c r="B11848" s="15"/>
      <c r="C11848" s="9"/>
      <c r="D11848" s="15"/>
      <c r="E11848" s="16"/>
      <c r="F11848" s="19"/>
      <c r="G11848" s="20"/>
      <c r="H11848" s="19"/>
    </row>
    <row r="11849">
      <c r="A11849" s="9"/>
      <c r="B11849" s="15"/>
      <c r="C11849" s="9"/>
      <c r="D11849" s="15"/>
      <c r="E11849" s="16"/>
      <c r="F11849" s="19"/>
      <c r="G11849" s="20"/>
      <c r="H11849" s="19"/>
    </row>
    <row r="11850">
      <c r="A11850" s="9"/>
      <c r="B11850" s="15"/>
      <c r="C11850" s="9"/>
      <c r="D11850" s="15"/>
      <c r="E11850" s="16"/>
      <c r="F11850" s="19"/>
      <c r="G11850" s="20"/>
      <c r="H11850" s="19"/>
    </row>
    <row r="11851">
      <c r="A11851" s="9"/>
      <c r="B11851" s="15"/>
      <c r="C11851" s="9"/>
      <c r="D11851" s="15"/>
      <c r="E11851" s="16"/>
      <c r="F11851" s="19"/>
      <c r="G11851" s="20"/>
      <c r="H11851" s="19"/>
    </row>
    <row r="11852">
      <c r="A11852" s="9"/>
      <c r="B11852" s="15"/>
      <c r="C11852" s="9"/>
      <c r="D11852" s="15"/>
      <c r="E11852" s="16"/>
      <c r="F11852" s="19"/>
      <c r="G11852" s="20"/>
      <c r="H11852" s="19"/>
    </row>
    <row r="11853">
      <c r="A11853" s="9"/>
      <c r="B11853" s="15"/>
      <c r="C11853" s="9"/>
      <c r="D11853" s="15"/>
      <c r="E11853" s="16"/>
      <c r="F11853" s="19"/>
      <c r="G11853" s="20"/>
      <c r="H11853" s="19"/>
    </row>
    <row r="11854">
      <c r="A11854" s="9"/>
      <c r="B11854" s="15"/>
      <c r="C11854" s="9"/>
      <c r="D11854" s="15"/>
      <c r="E11854" s="16"/>
      <c r="F11854" s="19"/>
      <c r="G11854" s="20"/>
      <c r="H11854" s="19"/>
    </row>
    <row r="11855">
      <c r="A11855" s="9"/>
      <c r="B11855" s="15"/>
      <c r="C11855" s="9"/>
      <c r="D11855" s="15"/>
      <c r="E11855" s="16"/>
      <c r="F11855" s="19"/>
      <c r="G11855" s="20"/>
      <c r="H11855" s="19"/>
    </row>
    <row r="11856">
      <c r="A11856" s="9"/>
      <c r="B11856" s="15"/>
      <c r="C11856" s="9"/>
      <c r="D11856" s="15"/>
      <c r="E11856" s="16"/>
      <c r="F11856" s="19"/>
      <c r="G11856" s="20"/>
      <c r="H11856" s="19"/>
    </row>
    <row r="11857">
      <c r="A11857" s="9"/>
      <c r="B11857" s="15"/>
      <c r="C11857" s="9"/>
      <c r="D11857" s="15"/>
      <c r="E11857" s="16"/>
      <c r="F11857" s="19"/>
      <c r="G11857" s="20"/>
      <c r="H11857" s="19"/>
    </row>
    <row r="11858">
      <c r="A11858" s="9"/>
      <c r="B11858" s="15"/>
      <c r="C11858" s="9"/>
      <c r="D11858" s="15"/>
      <c r="E11858" s="16"/>
      <c r="F11858" s="19"/>
      <c r="G11858" s="20"/>
      <c r="H11858" s="19"/>
    </row>
    <row r="11859">
      <c r="A11859" s="9"/>
      <c r="B11859" s="15"/>
      <c r="C11859" s="9"/>
      <c r="D11859" s="15"/>
      <c r="E11859" s="16"/>
      <c r="F11859" s="19"/>
      <c r="G11859" s="20"/>
      <c r="H11859" s="19"/>
    </row>
    <row r="11860">
      <c r="A11860" s="9"/>
      <c r="B11860" s="15"/>
      <c r="C11860" s="9"/>
      <c r="D11860" s="15"/>
      <c r="E11860" s="16"/>
      <c r="F11860" s="19"/>
      <c r="G11860" s="20"/>
      <c r="H11860" s="19"/>
    </row>
    <row r="11861">
      <c r="A11861" s="9"/>
      <c r="B11861" s="15"/>
      <c r="C11861" s="9"/>
      <c r="D11861" s="15"/>
      <c r="E11861" s="16"/>
      <c r="F11861" s="19"/>
      <c r="G11861" s="20"/>
      <c r="H11861" s="19"/>
    </row>
    <row r="11862">
      <c r="A11862" s="9"/>
      <c r="B11862" s="15"/>
      <c r="C11862" s="9"/>
      <c r="D11862" s="15"/>
      <c r="E11862" s="16"/>
      <c r="F11862" s="19"/>
      <c r="G11862" s="20"/>
      <c r="H11862" s="19"/>
    </row>
    <row r="11863">
      <c r="A11863" s="9"/>
      <c r="B11863" s="15"/>
      <c r="C11863" s="9"/>
      <c r="D11863" s="15"/>
      <c r="E11863" s="16"/>
      <c r="F11863" s="19"/>
      <c r="G11863" s="20"/>
      <c r="H11863" s="19"/>
    </row>
    <row r="11864">
      <c r="A11864" s="9"/>
      <c r="B11864" s="15"/>
      <c r="C11864" s="9"/>
      <c r="D11864" s="15"/>
      <c r="E11864" s="16"/>
      <c r="F11864" s="19"/>
      <c r="G11864" s="20"/>
      <c r="H11864" s="19"/>
    </row>
    <row r="11865">
      <c r="A11865" s="9"/>
      <c r="B11865" s="15"/>
      <c r="C11865" s="9"/>
      <c r="D11865" s="15"/>
      <c r="E11865" s="16"/>
      <c r="F11865" s="19"/>
      <c r="G11865" s="20"/>
      <c r="H11865" s="19"/>
    </row>
    <row r="11866">
      <c r="A11866" s="9"/>
      <c r="B11866" s="15"/>
      <c r="C11866" s="9"/>
      <c r="D11866" s="15"/>
      <c r="E11866" s="16"/>
      <c r="F11866" s="19"/>
      <c r="G11866" s="20"/>
      <c r="H11866" s="19"/>
    </row>
    <row r="11867">
      <c r="A11867" s="9"/>
      <c r="B11867" s="15"/>
      <c r="C11867" s="9"/>
      <c r="D11867" s="15"/>
      <c r="E11867" s="16"/>
      <c r="F11867" s="19"/>
      <c r="G11867" s="20"/>
      <c r="H11867" s="19"/>
    </row>
    <row r="11868">
      <c r="A11868" s="9"/>
      <c r="B11868" s="15"/>
      <c r="C11868" s="9"/>
      <c r="D11868" s="15"/>
      <c r="E11868" s="16"/>
      <c r="F11868" s="19"/>
      <c r="G11868" s="20"/>
      <c r="H11868" s="19"/>
    </row>
    <row r="11869">
      <c r="A11869" s="9"/>
      <c r="B11869" s="15"/>
      <c r="C11869" s="9"/>
      <c r="D11869" s="15"/>
      <c r="E11869" s="16"/>
      <c r="F11869" s="19"/>
      <c r="G11869" s="20"/>
      <c r="H11869" s="19"/>
    </row>
    <row r="11870">
      <c r="A11870" s="9"/>
      <c r="B11870" s="15"/>
      <c r="C11870" s="9"/>
      <c r="D11870" s="15"/>
      <c r="E11870" s="16"/>
      <c r="F11870" s="19"/>
      <c r="G11870" s="20"/>
      <c r="H11870" s="19"/>
    </row>
    <row r="11871">
      <c r="A11871" s="9"/>
      <c r="B11871" s="15"/>
      <c r="C11871" s="9"/>
      <c r="D11871" s="15"/>
      <c r="E11871" s="16"/>
      <c r="F11871" s="19"/>
      <c r="G11871" s="20"/>
      <c r="H11871" s="19"/>
    </row>
    <row r="11872">
      <c r="A11872" s="9"/>
      <c r="B11872" s="15"/>
      <c r="C11872" s="9"/>
      <c r="D11872" s="15"/>
      <c r="E11872" s="16"/>
      <c r="F11872" s="19"/>
      <c r="G11872" s="20"/>
      <c r="H11872" s="19"/>
    </row>
    <row r="11873">
      <c r="A11873" s="9"/>
      <c r="B11873" s="15"/>
      <c r="C11873" s="9"/>
      <c r="D11873" s="15"/>
      <c r="E11873" s="16"/>
      <c r="F11873" s="19"/>
      <c r="G11873" s="20"/>
      <c r="H11873" s="19"/>
    </row>
    <row r="11874">
      <c r="A11874" s="9"/>
      <c r="B11874" s="15"/>
      <c r="C11874" s="9"/>
      <c r="D11874" s="15"/>
      <c r="E11874" s="16"/>
      <c r="F11874" s="19"/>
      <c r="G11874" s="20"/>
      <c r="H11874" s="19"/>
    </row>
    <row r="11875">
      <c r="A11875" s="9"/>
      <c r="B11875" s="15"/>
      <c r="C11875" s="9"/>
      <c r="D11875" s="15"/>
      <c r="E11875" s="16"/>
      <c r="F11875" s="19"/>
      <c r="G11875" s="20"/>
      <c r="H11875" s="19"/>
    </row>
    <row r="11876">
      <c r="A11876" s="9"/>
      <c r="B11876" s="15"/>
      <c r="C11876" s="9"/>
      <c r="D11876" s="15"/>
      <c r="E11876" s="16"/>
      <c r="F11876" s="19"/>
      <c r="G11876" s="20"/>
      <c r="H11876" s="19"/>
    </row>
    <row r="11877">
      <c r="A11877" s="9"/>
      <c r="B11877" s="15"/>
      <c r="C11877" s="9"/>
      <c r="D11877" s="15"/>
      <c r="E11877" s="16"/>
      <c r="F11877" s="19"/>
      <c r="G11877" s="20"/>
      <c r="H11877" s="19"/>
    </row>
    <row r="11878">
      <c r="A11878" s="9"/>
      <c r="B11878" s="15"/>
      <c r="C11878" s="9"/>
      <c r="D11878" s="15"/>
      <c r="E11878" s="16"/>
      <c r="F11878" s="19"/>
      <c r="G11878" s="20"/>
      <c r="H11878" s="19"/>
    </row>
    <row r="11879">
      <c r="A11879" s="9"/>
      <c r="B11879" s="15"/>
      <c r="C11879" s="9"/>
      <c r="D11879" s="15"/>
      <c r="E11879" s="16"/>
      <c r="F11879" s="19"/>
      <c r="G11879" s="20"/>
      <c r="H11879" s="19"/>
    </row>
    <row r="11880">
      <c r="A11880" s="9"/>
      <c r="B11880" s="15"/>
      <c r="C11880" s="9"/>
      <c r="D11880" s="15"/>
      <c r="E11880" s="16"/>
      <c r="F11880" s="19"/>
      <c r="G11880" s="20"/>
      <c r="H11880" s="19"/>
    </row>
    <row r="11881">
      <c r="A11881" s="9"/>
      <c r="B11881" s="15"/>
      <c r="C11881" s="9"/>
      <c r="D11881" s="15"/>
      <c r="E11881" s="16"/>
      <c r="F11881" s="19"/>
      <c r="G11881" s="20"/>
      <c r="H11881" s="19"/>
    </row>
    <row r="11882">
      <c r="A11882" s="9"/>
      <c r="B11882" s="15"/>
      <c r="C11882" s="9"/>
      <c r="D11882" s="15"/>
      <c r="E11882" s="16"/>
      <c r="F11882" s="19"/>
      <c r="G11882" s="20"/>
      <c r="H11882" s="19"/>
    </row>
    <row r="11883">
      <c r="A11883" s="9"/>
      <c r="B11883" s="15"/>
      <c r="C11883" s="9"/>
      <c r="D11883" s="15"/>
      <c r="E11883" s="16"/>
      <c r="F11883" s="19"/>
      <c r="G11883" s="20"/>
      <c r="H11883" s="19"/>
    </row>
    <row r="11884">
      <c r="A11884" s="9"/>
      <c r="B11884" s="15"/>
      <c r="C11884" s="9"/>
      <c r="D11884" s="15"/>
      <c r="E11884" s="16"/>
      <c r="F11884" s="19"/>
      <c r="G11884" s="20"/>
      <c r="H11884" s="19"/>
    </row>
    <row r="11885">
      <c r="A11885" s="9"/>
      <c r="B11885" s="15"/>
      <c r="C11885" s="9"/>
      <c r="D11885" s="15"/>
      <c r="E11885" s="16"/>
      <c r="F11885" s="19"/>
      <c r="G11885" s="20"/>
      <c r="H11885" s="19"/>
    </row>
    <row r="11886">
      <c r="A11886" s="9"/>
      <c r="B11886" s="15"/>
      <c r="C11886" s="9"/>
      <c r="D11886" s="15"/>
      <c r="E11886" s="16"/>
      <c r="F11886" s="19"/>
      <c r="G11886" s="20"/>
      <c r="H11886" s="19"/>
    </row>
    <row r="11887">
      <c r="A11887" s="9"/>
      <c r="B11887" s="15"/>
      <c r="C11887" s="9"/>
      <c r="D11887" s="15"/>
      <c r="E11887" s="16"/>
      <c r="F11887" s="19"/>
      <c r="G11887" s="20"/>
      <c r="H11887" s="19"/>
    </row>
    <row r="11888">
      <c r="A11888" s="9"/>
      <c r="B11888" s="15"/>
      <c r="C11888" s="9"/>
      <c r="D11888" s="15"/>
      <c r="E11888" s="16"/>
      <c r="F11888" s="19"/>
      <c r="G11888" s="20"/>
      <c r="H11888" s="19"/>
    </row>
    <row r="11889">
      <c r="A11889" s="9"/>
      <c r="B11889" s="15"/>
      <c r="C11889" s="9"/>
      <c r="D11889" s="15"/>
      <c r="E11889" s="16"/>
      <c r="F11889" s="19"/>
      <c r="G11889" s="20"/>
      <c r="H11889" s="19"/>
    </row>
    <row r="11890">
      <c r="A11890" s="9"/>
      <c r="B11890" s="15"/>
      <c r="C11890" s="9"/>
      <c r="D11890" s="15"/>
      <c r="E11890" s="16"/>
      <c r="F11890" s="19"/>
      <c r="G11890" s="20"/>
      <c r="H11890" s="19"/>
    </row>
    <row r="11891">
      <c r="A11891" s="9"/>
      <c r="B11891" s="15"/>
      <c r="C11891" s="9"/>
      <c r="D11891" s="15"/>
      <c r="E11891" s="16"/>
      <c r="F11891" s="19"/>
      <c r="G11891" s="20"/>
      <c r="H11891" s="19"/>
    </row>
    <row r="11892">
      <c r="A11892" s="9"/>
      <c r="B11892" s="15"/>
      <c r="C11892" s="9"/>
      <c r="D11892" s="15"/>
      <c r="E11892" s="16"/>
      <c r="F11892" s="19"/>
      <c r="G11892" s="20"/>
      <c r="H11892" s="19"/>
    </row>
    <row r="11893">
      <c r="A11893" s="9"/>
      <c r="B11893" s="15"/>
      <c r="C11893" s="9"/>
      <c r="D11893" s="15"/>
      <c r="E11893" s="16"/>
      <c r="F11893" s="19"/>
      <c r="G11893" s="20"/>
      <c r="H11893" s="19"/>
    </row>
    <row r="11894">
      <c r="A11894" s="9"/>
      <c r="B11894" s="15"/>
      <c r="C11894" s="9"/>
      <c r="D11894" s="15"/>
      <c r="E11894" s="16"/>
      <c r="F11894" s="19"/>
      <c r="G11894" s="20"/>
      <c r="H11894" s="19"/>
    </row>
    <row r="11895">
      <c r="A11895" s="9"/>
      <c r="B11895" s="15"/>
      <c r="C11895" s="9"/>
      <c r="D11895" s="15"/>
      <c r="E11895" s="16"/>
      <c r="F11895" s="19"/>
      <c r="G11895" s="20"/>
      <c r="H11895" s="19"/>
    </row>
    <row r="11896">
      <c r="A11896" s="9"/>
      <c r="B11896" s="15"/>
      <c r="C11896" s="9"/>
      <c r="D11896" s="15"/>
      <c r="E11896" s="16"/>
      <c r="F11896" s="19"/>
      <c r="G11896" s="20"/>
      <c r="H11896" s="19"/>
    </row>
    <row r="11897">
      <c r="A11897" s="9"/>
      <c r="B11897" s="15"/>
      <c r="C11897" s="9"/>
      <c r="D11897" s="15"/>
      <c r="E11897" s="16"/>
      <c r="F11897" s="19"/>
      <c r="G11897" s="20"/>
      <c r="H11897" s="19"/>
    </row>
    <row r="11898">
      <c r="A11898" s="9"/>
      <c r="B11898" s="15"/>
      <c r="C11898" s="9"/>
      <c r="D11898" s="15"/>
      <c r="E11898" s="16"/>
      <c r="F11898" s="19"/>
      <c r="G11898" s="20"/>
      <c r="H11898" s="19"/>
    </row>
    <row r="11899">
      <c r="A11899" s="9"/>
      <c r="B11899" s="15"/>
      <c r="C11899" s="9"/>
      <c r="D11899" s="15"/>
      <c r="E11899" s="16"/>
      <c r="F11899" s="19"/>
      <c r="G11899" s="20"/>
      <c r="H11899" s="19"/>
    </row>
    <row r="11900">
      <c r="A11900" s="9"/>
      <c r="B11900" s="15"/>
      <c r="C11900" s="9"/>
      <c r="D11900" s="15"/>
      <c r="E11900" s="16"/>
      <c r="F11900" s="19"/>
      <c r="G11900" s="20"/>
      <c r="H11900" s="19"/>
    </row>
    <row r="11901">
      <c r="A11901" s="9"/>
      <c r="B11901" s="15"/>
      <c r="C11901" s="9"/>
      <c r="D11901" s="15"/>
      <c r="E11901" s="16"/>
      <c r="F11901" s="19"/>
      <c r="G11901" s="20"/>
      <c r="H11901" s="19"/>
    </row>
    <row r="11902">
      <c r="A11902" s="9"/>
      <c r="B11902" s="15"/>
      <c r="C11902" s="9"/>
      <c r="D11902" s="15"/>
      <c r="E11902" s="16"/>
      <c r="F11902" s="19"/>
      <c r="G11902" s="20"/>
      <c r="H11902" s="19"/>
    </row>
    <row r="11903">
      <c r="A11903" s="9"/>
      <c r="B11903" s="15"/>
      <c r="C11903" s="9"/>
      <c r="D11903" s="15"/>
      <c r="E11903" s="16"/>
      <c r="F11903" s="19"/>
      <c r="G11903" s="20"/>
      <c r="H11903" s="19"/>
    </row>
    <row r="11904">
      <c r="A11904" s="9"/>
      <c r="B11904" s="15"/>
      <c r="C11904" s="9"/>
      <c r="D11904" s="15"/>
      <c r="E11904" s="16"/>
      <c r="F11904" s="19"/>
      <c r="G11904" s="20"/>
      <c r="H11904" s="19"/>
    </row>
    <row r="11905">
      <c r="A11905" s="9"/>
      <c r="B11905" s="15"/>
      <c r="C11905" s="9"/>
      <c r="D11905" s="15"/>
      <c r="E11905" s="16"/>
      <c r="F11905" s="19"/>
      <c r="G11905" s="20"/>
      <c r="H11905" s="19"/>
    </row>
    <row r="11906">
      <c r="A11906" s="9"/>
      <c r="B11906" s="15"/>
      <c r="C11906" s="9"/>
      <c r="D11906" s="15"/>
      <c r="E11906" s="16"/>
      <c r="F11906" s="19"/>
      <c r="G11906" s="20"/>
      <c r="H11906" s="19"/>
    </row>
    <row r="11907">
      <c r="A11907" s="9"/>
      <c r="B11907" s="15"/>
      <c r="C11907" s="9"/>
      <c r="D11907" s="15"/>
      <c r="E11907" s="16"/>
      <c r="F11907" s="19"/>
      <c r="G11907" s="20"/>
      <c r="H11907" s="19"/>
    </row>
    <row r="11908">
      <c r="A11908" s="9"/>
      <c r="B11908" s="15"/>
      <c r="C11908" s="9"/>
      <c r="D11908" s="15"/>
      <c r="E11908" s="16"/>
      <c r="F11908" s="19"/>
      <c r="G11908" s="20"/>
      <c r="H11908" s="19"/>
    </row>
    <row r="11909">
      <c r="A11909" s="9"/>
      <c r="B11909" s="15"/>
      <c r="C11909" s="9"/>
      <c r="D11909" s="15"/>
      <c r="E11909" s="16"/>
      <c r="F11909" s="19"/>
      <c r="G11909" s="20"/>
      <c r="H11909" s="19"/>
    </row>
    <row r="11910">
      <c r="A11910" s="9"/>
      <c r="B11910" s="15"/>
      <c r="C11910" s="9"/>
      <c r="D11910" s="15"/>
      <c r="E11910" s="16"/>
      <c r="F11910" s="19"/>
      <c r="G11910" s="20"/>
      <c r="H11910" s="19"/>
    </row>
    <row r="11911">
      <c r="A11911" s="9"/>
      <c r="B11911" s="15"/>
      <c r="C11911" s="9"/>
      <c r="D11911" s="15"/>
      <c r="E11911" s="16"/>
      <c r="F11911" s="19"/>
      <c r="G11911" s="20"/>
      <c r="H11911" s="19"/>
    </row>
    <row r="11912">
      <c r="A11912" s="9"/>
      <c r="B11912" s="15"/>
      <c r="C11912" s="9"/>
      <c r="D11912" s="15"/>
      <c r="E11912" s="16"/>
      <c r="F11912" s="19"/>
      <c r="G11912" s="20"/>
      <c r="H11912" s="19"/>
    </row>
    <row r="11913">
      <c r="A11913" s="9"/>
      <c r="B11913" s="15"/>
      <c r="C11913" s="9"/>
      <c r="D11913" s="15"/>
      <c r="E11913" s="16"/>
      <c r="F11913" s="19"/>
      <c r="G11913" s="20"/>
      <c r="H11913" s="19"/>
    </row>
    <row r="11914">
      <c r="A11914" s="9"/>
      <c r="B11914" s="15"/>
      <c r="C11914" s="9"/>
      <c r="D11914" s="15"/>
      <c r="E11914" s="16"/>
      <c r="F11914" s="19"/>
      <c r="G11914" s="20"/>
      <c r="H11914" s="19"/>
    </row>
    <row r="11915">
      <c r="A11915" s="9"/>
      <c r="B11915" s="15"/>
      <c r="C11915" s="9"/>
      <c r="D11915" s="15"/>
      <c r="E11915" s="16"/>
      <c r="F11915" s="19"/>
      <c r="G11915" s="20"/>
      <c r="H11915" s="19"/>
    </row>
    <row r="11916">
      <c r="A11916" s="9"/>
      <c r="B11916" s="15"/>
      <c r="C11916" s="9"/>
      <c r="D11916" s="15"/>
      <c r="E11916" s="16"/>
      <c r="F11916" s="19"/>
      <c r="G11916" s="20"/>
      <c r="H11916" s="19"/>
    </row>
    <row r="11917">
      <c r="A11917" s="9"/>
      <c r="B11917" s="15"/>
      <c r="C11917" s="9"/>
      <c r="D11917" s="15"/>
      <c r="E11917" s="16"/>
      <c r="F11917" s="19"/>
      <c r="G11917" s="20"/>
      <c r="H11917" s="19"/>
    </row>
    <row r="11918">
      <c r="A11918" s="9"/>
      <c r="B11918" s="15"/>
      <c r="C11918" s="9"/>
      <c r="D11918" s="15"/>
      <c r="E11918" s="16"/>
      <c r="F11918" s="19"/>
      <c r="G11918" s="20"/>
      <c r="H11918" s="19"/>
    </row>
    <row r="11919">
      <c r="A11919" s="9"/>
      <c r="B11919" s="15"/>
      <c r="C11919" s="9"/>
      <c r="D11919" s="15"/>
      <c r="E11919" s="16"/>
      <c r="F11919" s="19"/>
      <c r="G11919" s="20"/>
      <c r="H11919" s="19"/>
    </row>
    <row r="11920">
      <c r="A11920" s="9"/>
      <c r="B11920" s="15"/>
      <c r="C11920" s="9"/>
      <c r="D11920" s="15"/>
      <c r="E11920" s="16"/>
      <c r="F11920" s="19"/>
      <c r="G11920" s="20"/>
      <c r="H11920" s="19"/>
    </row>
    <row r="11921">
      <c r="A11921" s="9"/>
      <c r="B11921" s="15"/>
      <c r="C11921" s="9"/>
      <c r="D11921" s="15"/>
      <c r="E11921" s="16"/>
      <c r="F11921" s="19"/>
      <c r="G11921" s="20"/>
      <c r="H11921" s="19"/>
    </row>
    <row r="11922">
      <c r="A11922" s="9"/>
      <c r="B11922" s="15"/>
      <c r="C11922" s="9"/>
      <c r="D11922" s="15"/>
      <c r="E11922" s="16"/>
      <c r="F11922" s="19"/>
      <c r="G11922" s="20"/>
      <c r="H11922" s="19"/>
    </row>
    <row r="11923">
      <c r="A11923" s="9"/>
      <c r="B11923" s="15"/>
      <c r="C11923" s="9"/>
      <c r="D11923" s="15"/>
      <c r="E11923" s="16"/>
      <c r="F11923" s="19"/>
      <c r="G11923" s="20"/>
      <c r="H11923" s="19"/>
    </row>
    <row r="11924">
      <c r="A11924" s="9"/>
      <c r="B11924" s="15"/>
      <c r="C11924" s="9"/>
      <c r="D11924" s="15"/>
      <c r="E11924" s="16"/>
      <c r="F11924" s="19"/>
      <c r="G11924" s="20"/>
      <c r="H11924" s="19"/>
    </row>
    <row r="11925">
      <c r="A11925" s="9"/>
      <c r="B11925" s="15"/>
      <c r="C11925" s="9"/>
      <c r="D11925" s="15"/>
      <c r="E11925" s="16"/>
      <c r="F11925" s="19"/>
      <c r="G11925" s="20"/>
      <c r="H11925" s="19"/>
    </row>
    <row r="11926">
      <c r="A11926" s="9"/>
      <c r="B11926" s="15"/>
      <c r="C11926" s="9"/>
      <c r="D11926" s="15"/>
      <c r="E11926" s="16"/>
      <c r="F11926" s="19"/>
      <c r="G11926" s="20"/>
      <c r="H11926" s="19"/>
    </row>
    <row r="11927">
      <c r="A11927" s="9"/>
      <c r="B11927" s="15"/>
      <c r="C11927" s="9"/>
      <c r="D11927" s="15"/>
      <c r="E11927" s="16"/>
      <c r="F11927" s="19"/>
      <c r="G11927" s="20"/>
      <c r="H11927" s="19"/>
    </row>
    <row r="11928">
      <c r="A11928" s="9"/>
      <c r="B11928" s="15"/>
      <c r="C11928" s="9"/>
      <c r="D11928" s="15"/>
      <c r="E11928" s="16"/>
      <c r="F11928" s="19"/>
      <c r="G11928" s="20"/>
      <c r="H11928" s="19"/>
    </row>
    <row r="11929">
      <c r="A11929" s="9"/>
      <c r="B11929" s="15"/>
      <c r="C11929" s="9"/>
      <c r="D11929" s="15"/>
      <c r="E11929" s="16"/>
      <c r="F11929" s="19"/>
      <c r="G11929" s="20"/>
      <c r="H11929" s="19"/>
    </row>
    <row r="11930">
      <c r="A11930" s="9"/>
      <c r="B11930" s="15"/>
      <c r="C11930" s="9"/>
      <c r="D11930" s="15"/>
      <c r="E11930" s="16"/>
      <c r="F11930" s="19"/>
      <c r="G11930" s="20"/>
      <c r="H11930" s="19"/>
    </row>
    <row r="11931">
      <c r="A11931" s="9"/>
      <c r="B11931" s="15"/>
      <c r="C11931" s="9"/>
      <c r="D11931" s="15"/>
      <c r="E11931" s="16"/>
      <c r="F11931" s="19"/>
      <c r="G11931" s="20"/>
      <c r="H11931" s="19"/>
    </row>
    <row r="11932">
      <c r="A11932" s="9"/>
      <c r="B11932" s="15"/>
      <c r="C11932" s="9"/>
      <c r="D11932" s="15"/>
      <c r="E11932" s="16"/>
      <c r="F11932" s="19"/>
      <c r="G11932" s="20"/>
      <c r="H11932" s="19"/>
    </row>
    <row r="11933">
      <c r="A11933" s="9"/>
      <c r="B11933" s="15"/>
      <c r="C11933" s="9"/>
      <c r="D11933" s="15"/>
      <c r="E11933" s="16"/>
      <c r="F11933" s="19"/>
      <c r="G11933" s="20"/>
      <c r="H11933" s="19"/>
    </row>
    <row r="11934">
      <c r="A11934" s="9"/>
      <c r="B11934" s="15"/>
      <c r="C11934" s="9"/>
      <c r="D11934" s="15"/>
      <c r="E11934" s="16"/>
      <c r="F11934" s="19"/>
      <c r="G11934" s="20"/>
      <c r="H11934" s="19"/>
    </row>
    <row r="11935">
      <c r="A11935" s="9"/>
      <c r="B11935" s="15"/>
      <c r="C11935" s="9"/>
      <c r="D11935" s="15"/>
      <c r="E11935" s="16"/>
      <c r="F11935" s="19"/>
      <c r="G11935" s="20"/>
      <c r="H11935" s="19"/>
    </row>
    <row r="11936">
      <c r="A11936" s="9"/>
      <c r="B11936" s="15"/>
      <c r="C11936" s="9"/>
      <c r="D11936" s="15"/>
      <c r="E11936" s="16"/>
      <c r="F11936" s="19"/>
      <c r="G11936" s="20"/>
      <c r="H11936" s="19"/>
    </row>
    <row r="11937">
      <c r="A11937" s="9"/>
      <c r="B11937" s="15"/>
      <c r="C11937" s="9"/>
      <c r="D11937" s="15"/>
      <c r="E11937" s="16"/>
      <c r="F11937" s="19"/>
      <c r="G11937" s="20"/>
      <c r="H11937" s="19"/>
    </row>
    <row r="11938">
      <c r="A11938" s="9"/>
      <c r="B11938" s="15"/>
      <c r="C11938" s="9"/>
      <c r="D11938" s="15"/>
      <c r="E11938" s="16"/>
      <c r="F11938" s="19"/>
      <c r="G11938" s="20"/>
      <c r="H11938" s="19"/>
    </row>
    <row r="11939">
      <c r="A11939" s="9"/>
      <c r="B11939" s="15"/>
      <c r="C11939" s="9"/>
      <c r="D11939" s="15"/>
      <c r="E11939" s="16"/>
      <c r="F11939" s="19"/>
      <c r="G11939" s="20"/>
      <c r="H11939" s="19"/>
    </row>
    <row r="11940">
      <c r="A11940" s="9"/>
      <c r="B11940" s="15"/>
      <c r="C11940" s="9"/>
      <c r="D11940" s="15"/>
      <c r="E11940" s="16"/>
      <c r="F11940" s="19"/>
      <c r="G11940" s="20"/>
      <c r="H11940" s="19"/>
    </row>
    <row r="11941">
      <c r="A11941" s="9"/>
      <c r="B11941" s="15"/>
      <c r="C11941" s="9"/>
      <c r="D11941" s="15"/>
      <c r="E11941" s="16"/>
      <c r="F11941" s="19"/>
      <c r="G11941" s="20"/>
      <c r="H11941" s="19"/>
    </row>
    <row r="11942">
      <c r="A11942" s="9"/>
      <c r="B11942" s="15"/>
      <c r="C11942" s="9"/>
      <c r="D11942" s="15"/>
      <c r="E11942" s="16"/>
      <c r="F11942" s="19"/>
      <c r="G11942" s="20"/>
      <c r="H11942" s="19"/>
    </row>
    <row r="11943">
      <c r="A11943" s="9"/>
      <c r="B11943" s="15"/>
      <c r="C11943" s="9"/>
      <c r="D11943" s="15"/>
      <c r="E11943" s="16"/>
      <c r="F11943" s="19"/>
      <c r="G11943" s="20"/>
      <c r="H11943" s="19"/>
    </row>
    <row r="11944">
      <c r="A11944" s="9"/>
      <c r="B11944" s="15"/>
      <c r="C11944" s="9"/>
      <c r="D11944" s="15"/>
      <c r="E11944" s="16"/>
      <c r="F11944" s="19"/>
      <c r="G11944" s="20"/>
      <c r="H11944" s="19"/>
    </row>
    <row r="11945">
      <c r="A11945" s="9"/>
      <c r="B11945" s="15"/>
      <c r="C11945" s="9"/>
      <c r="D11945" s="15"/>
      <c r="E11945" s="16"/>
      <c r="F11945" s="19"/>
      <c r="G11945" s="20"/>
      <c r="H11945" s="19"/>
    </row>
    <row r="11946">
      <c r="A11946" s="9"/>
      <c r="B11946" s="15"/>
      <c r="C11946" s="9"/>
      <c r="D11946" s="15"/>
      <c r="E11946" s="16"/>
      <c r="F11946" s="19"/>
      <c r="G11946" s="20"/>
      <c r="H11946" s="19"/>
    </row>
    <row r="11947">
      <c r="A11947" s="9"/>
      <c r="B11947" s="15"/>
      <c r="C11947" s="9"/>
      <c r="D11947" s="15"/>
      <c r="E11947" s="16"/>
      <c r="F11947" s="19"/>
      <c r="G11947" s="20"/>
      <c r="H11947" s="19"/>
    </row>
    <row r="11948">
      <c r="A11948" s="9"/>
      <c r="B11948" s="15"/>
      <c r="C11948" s="9"/>
      <c r="D11948" s="15"/>
      <c r="E11948" s="16"/>
      <c r="F11948" s="19"/>
      <c r="G11948" s="20"/>
      <c r="H11948" s="19"/>
    </row>
    <row r="11949">
      <c r="A11949" s="9"/>
      <c r="B11949" s="15"/>
      <c r="C11949" s="9"/>
      <c r="D11949" s="15"/>
      <c r="E11949" s="16"/>
      <c r="F11949" s="19"/>
      <c r="G11949" s="20"/>
      <c r="H11949" s="19"/>
    </row>
    <row r="11950">
      <c r="A11950" s="9"/>
      <c r="B11950" s="15"/>
      <c r="C11950" s="9"/>
      <c r="D11950" s="15"/>
      <c r="E11950" s="16"/>
      <c r="F11950" s="19"/>
      <c r="G11950" s="20"/>
      <c r="H11950" s="19"/>
    </row>
    <row r="11951">
      <c r="A11951" s="9"/>
      <c r="B11951" s="15"/>
      <c r="C11951" s="9"/>
      <c r="D11951" s="15"/>
      <c r="E11951" s="16"/>
      <c r="F11951" s="19"/>
      <c r="G11951" s="20"/>
      <c r="H11951" s="19"/>
    </row>
    <row r="11952">
      <c r="A11952" s="9"/>
      <c r="B11952" s="15"/>
      <c r="C11952" s="9"/>
      <c r="D11952" s="15"/>
      <c r="E11952" s="16"/>
      <c r="F11952" s="19"/>
      <c r="G11952" s="20"/>
      <c r="H11952" s="19"/>
    </row>
    <row r="11953">
      <c r="A11953" s="9"/>
      <c r="B11953" s="15"/>
      <c r="C11953" s="9"/>
      <c r="D11953" s="15"/>
      <c r="E11953" s="16"/>
      <c r="F11953" s="19"/>
      <c r="G11953" s="20"/>
      <c r="H11953" s="19"/>
    </row>
    <row r="11954">
      <c r="A11954" s="9"/>
      <c r="B11954" s="15"/>
      <c r="C11954" s="9"/>
      <c r="D11954" s="15"/>
      <c r="E11954" s="16"/>
      <c r="F11954" s="19"/>
      <c r="G11954" s="20"/>
      <c r="H11954" s="19"/>
    </row>
    <row r="11955">
      <c r="A11955" s="9"/>
      <c r="B11955" s="15"/>
      <c r="C11955" s="9"/>
      <c r="D11955" s="15"/>
      <c r="E11955" s="16"/>
      <c r="F11955" s="19"/>
      <c r="G11955" s="20"/>
      <c r="H11955" s="19"/>
    </row>
    <row r="11956">
      <c r="A11956" s="9"/>
      <c r="B11956" s="15"/>
      <c r="C11956" s="9"/>
      <c r="D11956" s="15"/>
      <c r="E11956" s="16"/>
      <c r="F11956" s="19"/>
      <c r="G11956" s="20"/>
      <c r="H11956" s="19"/>
    </row>
    <row r="11957">
      <c r="A11957" s="9"/>
      <c r="B11957" s="15"/>
      <c r="C11957" s="9"/>
      <c r="D11957" s="15"/>
      <c r="E11957" s="16"/>
      <c r="F11957" s="19"/>
      <c r="G11957" s="20"/>
      <c r="H11957" s="19"/>
    </row>
    <row r="11958">
      <c r="A11958" s="9"/>
      <c r="B11958" s="15"/>
      <c r="C11958" s="9"/>
      <c r="D11958" s="15"/>
      <c r="E11958" s="16"/>
      <c r="F11958" s="19"/>
      <c r="G11958" s="20"/>
      <c r="H11958" s="19"/>
    </row>
    <row r="11959">
      <c r="A11959" s="9"/>
      <c r="B11959" s="15"/>
      <c r="C11959" s="9"/>
      <c r="D11959" s="15"/>
      <c r="E11959" s="16"/>
      <c r="F11959" s="19"/>
      <c r="G11959" s="20"/>
      <c r="H11959" s="19"/>
    </row>
    <row r="11960">
      <c r="A11960" s="9"/>
      <c r="B11960" s="15"/>
      <c r="C11960" s="9"/>
      <c r="D11960" s="15"/>
      <c r="E11960" s="16"/>
      <c r="F11960" s="19"/>
      <c r="G11960" s="20"/>
      <c r="H11960" s="19"/>
    </row>
    <row r="11961">
      <c r="A11961" s="9"/>
      <c r="B11961" s="15"/>
      <c r="C11961" s="9"/>
      <c r="D11961" s="15"/>
      <c r="E11961" s="16"/>
      <c r="F11961" s="19"/>
      <c r="G11961" s="20"/>
      <c r="H11961" s="19"/>
    </row>
    <row r="11962">
      <c r="A11962" s="9"/>
      <c r="B11962" s="15"/>
      <c r="C11962" s="9"/>
      <c r="D11962" s="15"/>
      <c r="E11962" s="16"/>
      <c r="F11962" s="19"/>
      <c r="G11962" s="20"/>
      <c r="H11962" s="19"/>
    </row>
    <row r="11963">
      <c r="A11963" s="9"/>
      <c r="B11963" s="15"/>
      <c r="C11963" s="9"/>
      <c r="D11963" s="15"/>
      <c r="E11963" s="16"/>
      <c r="F11963" s="19"/>
      <c r="G11963" s="20"/>
      <c r="H11963" s="19"/>
    </row>
    <row r="11964">
      <c r="A11964" s="9"/>
      <c r="B11964" s="15"/>
      <c r="C11964" s="9"/>
      <c r="D11964" s="15"/>
      <c r="E11964" s="16"/>
      <c r="F11964" s="19"/>
      <c r="G11964" s="20"/>
      <c r="H11964" s="19"/>
    </row>
    <row r="11965">
      <c r="A11965" s="9"/>
      <c r="B11965" s="15"/>
      <c r="C11965" s="9"/>
      <c r="D11965" s="15"/>
      <c r="E11965" s="16"/>
      <c r="F11965" s="19"/>
      <c r="G11965" s="20"/>
      <c r="H11965" s="19"/>
    </row>
    <row r="11966">
      <c r="A11966" s="9"/>
      <c r="B11966" s="15"/>
      <c r="C11966" s="9"/>
      <c r="D11966" s="15"/>
      <c r="E11966" s="16"/>
      <c r="F11966" s="19"/>
      <c r="G11966" s="20"/>
      <c r="H11966" s="19"/>
    </row>
    <row r="11967">
      <c r="A11967" s="9"/>
      <c r="B11967" s="15"/>
      <c r="C11967" s="9"/>
      <c r="D11967" s="15"/>
      <c r="E11967" s="16"/>
      <c r="F11967" s="19"/>
      <c r="G11967" s="20"/>
      <c r="H11967" s="19"/>
    </row>
    <row r="11968">
      <c r="A11968" s="9"/>
      <c r="B11968" s="15"/>
      <c r="C11968" s="9"/>
      <c r="D11968" s="15"/>
      <c r="E11968" s="16"/>
      <c r="F11968" s="19"/>
      <c r="G11968" s="20"/>
      <c r="H11968" s="19"/>
    </row>
    <row r="11969">
      <c r="A11969" s="9"/>
      <c r="B11969" s="15"/>
      <c r="C11969" s="9"/>
      <c r="D11969" s="15"/>
      <c r="E11969" s="16"/>
      <c r="F11969" s="19"/>
      <c r="G11969" s="20"/>
      <c r="H11969" s="19"/>
    </row>
    <row r="11970">
      <c r="A11970" s="9"/>
      <c r="B11970" s="15"/>
      <c r="C11970" s="9"/>
      <c r="D11970" s="15"/>
      <c r="E11970" s="16"/>
      <c r="F11970" s="19"/>
      <c r="G11970" s="20"/>
      <c r="H11970" s="19"/>
    </row>
    <row r="11971">
      <c r="A11971" s="9"/>
      <c r="B11971" s="15"/>
      <c r="C11971" s="9"/>
      <c r="D11971" s="15"/>
      <c r="E11971" s="16"/>
      <c r="F11971" s="19"/>
      <c r="G11971" s="20"/>
      <c r="H11971" s="19"/>
    </row>
    <row r="11972">
      <c r="A11972" s="9"/>
      <c r="B11972" s="15"/>
      <c r="C11972" s="9"/>
      <c r="D11972" s="15"/>
      <c r="E11972" s="16"/>
      <c r="F11972" s="19"/>
      <c r="G11972" s="20"/>
      <c r="H11972" s="19"/>
    </row>
    <row r="11973">
      <c r="A11973" s="9"/>
      <c r="B11973" s="15"/>
      <c r="C11973" s="9"/>
      <c r="D11973" s="15"/>
      <c r="E11973" s="16"/>
      <c r="F11973" s="19"/>
      <c r="G11973" s="20"/>
      <c r="H11973" s="19"/>
    </row>
    <row r="11974">
      <c r="A11974" s="9"/>
      <c r="B11974" s="15"/>
      <c r="C11974" s="9"/>
      <c r="D11974" s="15"/>
      <c r="E11974" s="16"/>
      <c r="F11974" s="19"/>
      <c r="G11974" s="20"/>
      <c r="H11974" s="19"/>
    </row>
    <row r="11975">
      <c r="A11975" s="9"/>
      <c r="B11975" s="15"/>
      <c r="C11975" s="9"/>
      <c r="D11975" s="15"/>
      <c r="E11975" s="16"/>
      <c r="F11975" s="19"/>
      <c r="G11975" s="20"/>
      <c r="H11975" s="19"/>
    </row>
    <row r="11976">
      <c r="A11976" s="9"/>
      <c r="B11976" s="15"/>
      <c r="C11976" s="9"/>
      <c r="D11976" s="15"/>
      <c r="E11976" s="16"/>
      <c r="F11976" s="19"/>
      <c r="G11976" s="20"/>
      <c r="H11976" s="19"/>
    </row>
    <row r="11977">
      <c r="A11977" s="9"/>
      <c r="B11977" s="15"/>
      <c r="C11977" s="9"/>
      <c r="D11977" s="15"/>
      <c r="E11977" s="16"/>
      <c r="F11977" s="19"/>
      <c r="G11977" s="20"/>
      <c r="H11977" s="19"/>
    </row>
    <row r="11978">
      <c r="A11978" s="9"/>
      <c r="B11978" s="15"/>
      <c r="C11978" s="9"/>
      <c r="D11978" s="15"/>
      <c r="E11978" s="16"/>
      <c r="F11978" s="19"/>
      <c r="G11978" s="20"/>
      <c r="H11978" s="19"/>
    </row>
    <row r="11979">
      <c r="A11979" s="9"/>
      <c r="B11979" s="15"/>
      <c r="C11979" s="9"/>
      <c r="D11979" s="15"/>
      <c r="E11979" s="16"/>
      <c r="F11979" s="19"/>
      <c r="G11979" s="20"/>
      <c r="H11979" s="19"/>
    </row>
    <row r="11980">
      <c r="A11980" s="9"/>
      <c r="B11980" s="15"/>
      <c r="C11980" s="9"/>
      <c r="D11980" s="15"/>
      <c r="E11980" s="16"/>
      <c r="F11980" s="19"/>
      <c r="G11980" s="20"/>
      <c r="H11980" s="19"/>
    </row>
    <row r="11981">
      <c r="A11981" s="9"/>
      <c r="B11981" s="15"/>
      <c r="C11981" s="9"/>
      <c r="D11981" s="15"/>
      <c r="E11981" s="16"/>
      <c r="F11981" s="19"/>
      <c r="G11981" s="20"/>
      <c r="H11981" s="19"/>
    </row>
    <row r="11982">
      <c r="A11982" s="9"/>
      <c r="B11982" s="15"/>
      <c r="C11982" s="9"/>
      <c r="D11982" s="15"/>
      <c r="E11982" s="16"/>
      <c r="F11982" s="19"/>
      <c r="G11982" s="20"/>
      <c r="H11982" s="19"/>
    </row>
  </sheetData>
  <dataValidations>
    <dataValidation type="list" allowBlank="1" showErrorMessage="1" sqref="B5">
      <formula1>"Celsius,Fahrenheit"</formula1>
    </dataValidation>
    <dataValidation type="list" allowBlank="1" showErrorMessage="1" sqref="B6">
      <formula1>"SG,Plato"</formula1>
    </dataValidation>
    <dataValidation type="list" allowBlank="1" sqref="B4">
      <formula1>"all,last 7 days,last 3 days,last 2 days,last 1 day,last .5 days"</formula1>
    </dataValidation>
    <dataValidation type="list" allowBlank="1" sqref="A22">
      <formula1>"Standard Method ABV:,Alternate Method ABV:,UK HMRC Method ABV:,Wine Method ABV:"</formula1>
    </dataValidation>
  </dataValidations>
  <drawing r:id="rId2"/>
  <legacyDrawing r:id="rId3"/>
  <extLst>
    <ext uri="{05C60535-1F16-4fd2-B633-F4F36F0B64E0}">
      <x14:sparklineGroups>
        <x14:sparklineGroup displayEmptyCellsAs="gap" rightToLeft="1">
          <x14:colorSeries rgb="FF000000"/>
          <x14:sparklines>
            <x14:sparkline>
              <xm:f>Report!D:D</xm:f>
              <xm:sqref>B7</xm:sqref>
            </x14:sparkline>
          </x14:sparklines>
        </x14:sparklineGroup>
        <x14:sparklineGroup displayEmptyCellsAs="gap" rightToLeft="1">
          <x14:colorSeries rgb="FFFF0000"/>
          <x14:sparklines>
            <x14:sparkline>
              <xm:f>Report!E:E</xm:f>
              <xm:sqref>B14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0.25"/>
    <col customWidth="1" min="3" max="3" width="4.88"/>
    <col customWidth="1" min="4" max="4" width="5.25"/>
    <col customWidth="1" min="5" max="5" width="7.88"/>
    <col customWidth="1" min="6" max="6" width="15.88"/>
    <col customWidth="1" min="7" max="7" width="17.25"/>
  </cols>
  <sheetData>
    <row r="1">
      <c r="A1" s="46" t="s">
        <v>19</v>
      </c>
      <c r="B1" s="47" t="s">
        <v>20</v>
      </c>
      <c r="C1" s="48" t="s">
        <v>8</v>
      </c>
      <c r="D1" s="48" t="s">
        <v>21</v>
      </c>
      <c r="E1" s="48" t="s">
        <v>22</v>
      </c>
      <c r="F1" s="48" t="s">
        <v>23</v>
      </c>
      <c r="G1" s="48" t="s">
        <v>24</v>
      </c>
    </row>
    <row r="2">
      <c r="A2" s="49">
        <v>45020.7949650463</v>
      </c>
      <c r="B2" s="50">
        <v>45020.9198312847</v>
      </c>
      <c r="C2" s="51">
        <v>1.111</v>
      </c>
      <c r="D2" s="51">
        <v>87.0</v>
      </c>
      <c r="E2" s="52" t="s">
        <v>25</v>
      </c>
      <c r="F2" s="52" t="s">
        <v>26</v>
      </c>
      <c r="G2" s="53"/>
    </row>
    <row r="3">
      <c r="A3" s="49">
        <v>45020.79500907408</v>
      </c>
      <c r="B3" s="50">
        <v>45020.9199940972</v>
      </c>
      <c r="C3" s="51">
        <v>1.111</v>
      </c>
      <c r="D3" s="51">
        <v>87.0</v>
      </c>
      <c r="E3" s="52" t="s">
        <v>25</v>
      </c>
      <c r="F3" s="52" t="s">
        <v>26</v>
      </c>
      <c r="G3" s="54" t="s">
        <v>27</v>
      </c>
    </row>
    <row r="4">
      <c r="A4" s="49">
        <v>45020.7950796875</v>
      </c>
      <c r="B4" s="50">
        <v>45020.9200406713</v>
      </c>
      <c r="C4" s="51">
        <v>1.112</v>
      </c>
      <c r="D4" s="51">
        <v>87.0</v>
      </c>
      <c r="E4" s="52" t="s">
        <v>25</v>
      </c>
      <c r="F4" s="52" t="s">
        <v>26</v>
      </c>
      <c r="G4" s="54"/>
    </row>
    <row r="5">
      <c r="A5" s="49">
        <v>45020.79782893519</v>
      </c>
      <c r="B5" s="50">
        <v>45020.9228089583</v>
      </c>
      <c r="C5" s="51">
        <v>1.112</v>
      </c>
      <c r="D5" s="51">
        <v>87.0</v>
      </c>
      <c r="E5" s="52" t="s">
        <v>25</v>
      </c>
      <c r="F5" s="52" t="s">
        <v>26</v>
      </c>
      <c r="G5" s="54"/>
    </row>
    <row r="6">
      <c r="A6" s="49">
        <v>45020.80825918981</v>
      </c>
      <c r="B6" s="50">
        <v>45020.9332300463</v>
      </c>
      <c r="C6" s="51">
        <v>1.113</v>
      </c>
      <c r="D6" s="51">
        <v>85.0</v>
      </c>
      <c r="E6" s="52" t="s">
        <v>25</v>
      </c>
      <c r="F6" s="52" t="s">
        <v>26</v>
      </c>
      <c r="G6" s="54"/>
    </row>
    <row r="7">
      <c r="A7" s="49">
        <v>45020.818676423616</v>
      </c>
      <c r="B7" s="50">
        <v>45020.9436515856</v>
      </c>
      <c r="C7" s="51">
        <v>1.113</v>
      </c>
      <c r="D7" s="51">
        <v>83.0</v>
      </c>
      <c r="E7" s="52" t="s">
        <v>25</v>
      </c>
      <c r="F7" s="52" t="s">
        <v>26</v>
      </c>
      <c r="G7" s="54"/>
    </row>
    <row r="8">
      <c r="A8" s="49">
        <v>45020.82909490741</v>
      </c>
      <c r="B8" s="50">
        <v>45020.9540736805</v>
      </c>
      <c r="C8" s="51">
        <v>1.113</v>
      </c>
      <c r="D8" s="51">
        <v>82.0</v>
      </c>
      <c r="E8" s="52" t="s">
        <v>25</v>
      </c>
      <c r="F8" s="52" t="s">
        <v>26</v>
      </c>
      <c r="G8" s="54"/>
    </row>
    <row r="9">
      <c r="A9" s="49">
        <v>45020.83952525463</v>
      </c>
      <c r="B9" s="50">
        <v>45020.9645065972</v>
      </c>
      <c r="C9" s="51">
        <v>1.114</v>
      </c>
      <c r="D9" s="51">
        <v>81.0</v>
      </c>
      <c r="E9" s="52" t="s">
        <v>25</v>
      </c>
      <c r="F9" s="52" t="s">
        <v>26</v>
      </c>
      <c r="G9" s="54"/>
    </row>
    <row r="10">
      <c r="A10" s="49">
        <v>45020.849961643515</v>
      </c>
      <c r="B10" s="50">
        <v>45020.9749375231</v>
      </c>
      <c r="C10" s="51">
        <v>1.114</v>
      </c>
      <c r="D10" s="51">
        <v>79.0</v>
      </c>
      <c r="E10" s="52" t="s">
        <v>25</v>
      </c>
      <c r="F10" s="52" t="s">
        <v>26</v>
      </c>
      <c r="G10" s="54"/>
    </row>
    <row r="11">
      <c r="A11" s="49">
        <v>45020.86038908565</v>
      </c>
      <c r="B11" s="50">
        <v>45020.9853698379</v>
      </c>
      <c r="C11" s="51">
        <v>1.114</v>
      </c>
      <c r="D11" s="51">
        <v>78.0</v>
      </c>
      <c r="E11" s="52" t="s">
        <v>25</v>
      </c>
      <c r="F11" s="52" t="s">
        <v>26</v>
      </c>
      <c r="G11" s="54"/>
    </row>
    <row r="12">
      <c r="A12" s="49">
        <v>45020.87081478009</v>
      </c>
      <c r="B12" s="50">
        <v>45020.9957915046</v>
      </c>
      <c r="C12" s="51">
        <v>1.115</v>
      </c>
      <c r="D12" s="51">
        <v>77.0</v>
      </c>
      <c r="E12" s="52" t="s">
        <v>25</v>
      </c>
      <c r="F12" s="52" t="s">
        <v>26</v>
      </c>
      <c r="G12" s="54"/>
    </row>
    <row r="13">
      <c r="A13" s="49">
        <v>45020.88123303241</v>
      </c>
      <c r="B13" s="50">
        <v>45021.0062125926</v>
      </c>
      <c r="C13" s="51">
        <v>1.115</v>
      </c>
      <c r="D13" s="51">
        <v>75.0</v>
      </c>
      <c r="E13" s="52" t="s">
        <v>25</v>
      </c>
      <c r="F13" s="52" t="s">
        <v>26</v>
      </c>
      <c r="G13" s="54"/>
    </row>
    <row r="14">
      <c r="A14" s="49">
        <v>45020.89167114583</v>
      </c>
      <c r="B14" s="50">
        <v>45021.0166466898</v>
      </c>
      <c r="C14" s="51">
        <v>1.115</v>
      </c>
      <c r="D14" s="51">
        <v>74.0</v>
      </c>
      <c r="E14" s="52" t="s">
        <v>25</v>
      </c>
      <c r="F14" s="52" t="s">
        <v>26</v>
      </c>
      <c r="G14" s="54"/>
    </row>
    <row r="15">
      <c r="A15" s="49">
        <v>45020.90209684028</v>
      </c>
      <c r="B15" s="50">
        <v>45021.0270694444</v>
      </c>
      <c r="C15" s="51">
        <v>1.115</v>
      </c>
      <c r="D15" s="51">
        <v>73.0</v>
      </c>
      <c r="E15" s="52" t="s">
        <v>25</v>
      </c>
      <c r="F15" s="52" t="s">
        <v>26</v>
      </c>
      <c r="G15" s="54"/>
    </row>
    <row r="16">
      <c r="A16" s="49">
        <v>45020.91251502315</v>
      </c>
      <c r="B16" s="50">
        <v>45021.0374903588</v>
      </c>
      <c r="C16" s="51">
        <v>1.115</v>
      </c>
      <c r="D16" s="51">
        <v>72.0</v>
      </c>
      <c r="E16" s="52" t="s">
        <v>25</v>
      </c>
      <c r="F16" s="52" t="s">
        <v>26</v>
      </c>
      <c r="G16" s="54"/>
    </row>
    <row r="17">
      <c r="A17" s="49">
        <v>45020.92292841435</v>
      </c>
      <c r="B17" s="50">
        <v>45021.0479124652</v>
      </c>
      <c r="C17" s="51">
        <v>1.116</v>
      </c>
      <c r="D17" s="51">
        <v>71.0</v>
      </c>
      <c r="E17" s="52" t="s">
        <v>25</v>
      </c>
      <c r="F17" s="52" t="s">
        <v>26</v>
      </c>
      <c r="G17" s="54"/>
    </row>
    <row r="18">
      <c r="A18" s="49">
        <v>45020.933368831014</v>
      </c>
      <c r="B18" s="50">
        <v>45021.0583439236</v>
      </c>
      <c r="C18" s="51">
        <v>1.115</v>
      </c>
      <c r="D18" s="51">
        <v>69.0</v>
      </c>
      <c r="E18" s="52" t="s">
        <v>25</v>
      </c>
      <c r="F18" s="52" t="s">
        <v>26</v>
      </c>
      <c r="G18" s="54"/>
    </row>
    <row r="19">
      <c r="A19" s="49">
        <v>45020.94378721065</v>
      </c>
      <c r="B19" s="50">
        <v>45021.0687655671</v>
      </c>
      <c r="C19" s="51">
        <v>1.115</v>
      </c>
      <c r="D19" s="51">
        <v>68.0</v>
      </c>
      <c r="E19" s="52" t="s">
        <v>25</v>
      </c>
      <c r="F19" s="52" t="s">
        <v>26</v>
      </c>
      <c r="G19" s="54"/>
    </row>
    <row r="20">
      <c r="A20" s="49">
        <v>45020.95420813657</v>
      </c>
      <c r="B20" s="50">
        <v>45021.0791860648</v>
      </c>
      <c r="C20" s="51">
        <v>1.114</v>
      </c>
      <c r="D20" s="51">
        <v>67.0</v>
      </c>
      <c r="E20" s="52" t="s">
        <v>25</v>
      </c>
      <c r="F20" s="52" t="s">
        <v>26</v>
      </c>
      <c r="G20" s="54"/>
    </row>
    <row r="21">
      <c r="A21" s="49">
        <v>45020.964651574075</v>
      </c>
      <c r="B21" s="50">
        <v>45021.0896179861</v>
      </c>
      <c r="C21" s="51">
        <v>1.115</v>
      </c>
      <c r="D21" s="51">
        <v>66.0</v>
      </c>
      <c r="E21" s="52" t="s">
        <v>25</v>
      </c>
      <c r="F21" s="52" t="s">
        <v>26</v>
      </c>
      <c r="G21" s="54"/>
    </row>
    <row r="22">
      <c r="A22" s="49">
        <v>45020.97506650463</v>
      </c>
      <c r="B22" s="50">
        <v>45021.1000384953</v>
      </c>
      <c r="C22" s="51">
        <v>1.114</v>
      </c>
      <c r="D22" s="51">
        <v>64.0</v>
      </c>
      <c r="E22" s="52" t="s">
        <v>25</v>
      </c>
      <c r="F22" s="52" t="s">
        <v>26</v>
      </c>
      <c r="G22" s="54"/>
    </row>
    <row r="23">
      <c r="A23" s="49">
        <v>45020.985488182865</v>
      </c>
      <c r="B23" s="50">
        <v>45021.1104580439</v>
      </c>
      <c r="C23" s="51">
        <v>1.114</v>
      </c>
      <c r="D23" s="51">
        <v>64.0</v>
      </c>
      <c r="E23" s="52" t="s">
        <v>25</v>
      </c>
      <c r="F23" s="52" t="s">
        <v>26</v>
      </c>
      <c r="G23" s="54"/>
    </row>
    <row r="24">
      <c r="A24" s="49">
        <v>45020.99590270834</v>
      </c>
      <c r="B24" s="50">
        <v>45021.1208784259</v>
      </c>
      <c r="C24" s="51">
        <v>1.114</v>
      </c>
      <c r="D24" s="51">
        <v>65.0</v>
      </c>
      <c r="E24" s="52" t="s">
        <v>25</v>
      </c>
      <c r="F24" s="52" t="s">
        <v>26</v>
      </c>
      <c r="G24" s="54"/>
    </row>
    <row r="25">
      <c r="A25" s="49">
        <v>45021.00633668981</v>
      </c>
      <c r="B25" s="50">
        <v>45021.1313113425</v>
      </c>
      <c r="C25" s="51">
        <v>1.114</v>
      </c>
      <c r="D25" s="51">
        <v>66.0</v>
      </c>
      <c r="E25" s="52" t="s">
        <v>25</v>
      </c>
      <c r="F25" s="52" t="s">
        <v>26</v>
      </c>
      <c r="G25" s="54"/>
    </row>
    <row r="26">
      <c r="A26" s="49">
        <v>45021.0167550926</v>
      </c>
      <c r="B26" s="50">
        <v>45021.1417320601</v>
      </c>
      <c r="C26" s="51">
        <v>1.114</v>
      </c>
      <c r="D26" s="51">
        <v>66.0</v>
      </c>
      <c r="E26" s="52" t="s">
        <v>25</v>
      </c>
      <c r="F26" s="52" t="s">
        <v>26</v>
      </c>
      <c r="G26" s="54"/>
    </row>
    <row r="27">
      <c r="A27" s="49">
        <v>45021.02718142361</v>
      </c>
      <c r="B27" s="50">
        <v>45021.1521549537</v>
      </c>
      <c r="C27" s="51">
        <v>1.114</v>
      </c>
      <c r="D27" s="51">
        <v>66.0</v>
      </c>
      <c r="E27" s="52" t="s">
        <v>25</v>
      </c>
      <c r="F27" s="52" t="s">
        <v>26</v>
      </c>
      <c r="G27" s="54"/>
    </row>
    <row r="28">
      <c r="A28" s="49">
        <v>45021.03760096065</v>
      </c>
      <c r="B28" s="50">
        <v>45021.1625777314</v>
      </c>
      <c r="C28" s="51">
        <v>1.115</v>
      </c>
      <c r="D28" s="51">
        <v>66.0</v>
      </c>
      <c r="E28" s="52" t="s">
        <v>25</v>
      </c>
      <c r="F28" s="52" t="s">
        <v>26</v>
      </c>
      <c r="G28" s="54"/>
    </row>
    <row r="29">
      <c r="A29" s="49">
        <v>45021.048064375005</v>
      </c>
      <c r="B29" s="50">
        <v>45021.1730318287</v>
      </c>
      <c r="C29" s="51">
        <v>1.114</v>
      </c>
      <c r="D29" s="51">
        <v>66.0</v>
      </c>
      <c r="E29" s="52" t="s">
        <v>25</v>
      </c>
      <c r="F29" s="52" t="s">
        <v>26</v>
      </c>
      <c r="G29" s="54"/>
    </row>
    <row r="30">
      <c r="A30" s="49">
        <v>45021.05848043981</v>
      </c>
      <c r="B30" s="50">
        <v>45021.1834502546</v>
      </c>
      <c r="C30" s="51">
        <v>1.115</v>
      </c>
      <c r="D30" s="51">
        <v>66.0</v>
      </c>
      <c r="E30" s="52" t="s">
        <v>25</v>
      </c>
      <c r="F30" s="52" t="s">
        <v>26</v>
      </c>
      <c r="G30" s="54"/>
    </row>
    <row r="31">
      <c r="A31" s="49">
        <v>45021.068898275465</v>
      </c>
      <c r="B31" s="50">
        <v>45021.1938730902</v>
      </c>
      <c r="C31" s="51">
        <v>1.114</v>
      </c>
      <c r="D31" s="51">
        <v>66.0</v>
      </c>
      <c r="E31" s="52" t="s">
        <v>25</v>
      </c>
      <c r="F31" s="52" t="s">
        <v>26</v>
      </c>
      <c r="G31" s="54"/>
    </row>
    <row r="32">
      <c r="A32" s="49">
        <v>45021.07931940972</v>
      </c>
      <c r="B32" s="50">
        <v>45021.2042948842</v>
      </c>
      <c r="C32" s="51">
        <v>1.114</v>
      </c>
      <c r="D32" s="51">
        <v>66.0</v>
      </c>
      <c r="E32" s="52" t="s">
        <v>25</v>
      </c>
      <c r="F32" s="52" t="s">
        <v>26</v>
      </c>
      <c r="G32" s="54"/>
    </row>
    <row r="33">
      <c r="A33" s="49">
        <v>45021.089744467594</v>
      </c>
      <c r="B33" s="50">
        <v>45021.2147149074</v>
      </c>
      <c r="C33" s="51">
        <v>1.113</v>
      </c>
      <c r="D33" s="51">
        <v>66.0</v>
      </c>
      <c r="E33" s="52" t="s">
        <v>25</v>
      </c>
      <c r="F33" s="52" t="s">
        <v>26</v>
      </c>
      <c r="G33" s="54"/>
    </row>
    <row r="34">
      <c r="A34" s="49">
        <v>45021.10015921296</v>
      </c>
      <c r="B34" s="50">
        <v>45021.2251361921</v>
      </c>
      <c r="C34" s="51">
        <v>1.114</v>
      </c>
      <c r="D34" s="51">
        <v>65.0</v>
      </c>
      <c r="E34" s="52" t="s">
        <v>25</v>
      </c>
      <c r="F34" s="52" t="s">
        <v>26</v>
      </c>
      <c r="G34" s="54"/>
    </row>
    <row r="35">
      <c r="A35" s="49">
        <v>45021.11057671296</v>
      </c>
      <c r="B35" s="50">
        <v>45021.2355583796</v>
      </c>
      <c r="C35" s="51">
        <v>1.113</v>
      </c>
      <c r="D35" s="51">
        <v>65.0</v>
      </c>
      <c r="E35" s="52" t="s">
        <v>25</v>
      </c>
      <c r="F35" s="52" t="s">
        <v>26</v>
      </c>
      <c r="G35" s="54"/>
    </row>
    <row r="36">
      <c r="A36" s="49">
        <v>45021.1210087963</v>
      </c>
      <c r="B36" s="50">
        <v>45021.2459904051</v>
      </c>
      <c r="C36" s="51">
        <v>1.113</v>
      </c>
      <c r="D36" s="51">
        <v>65.0</v>
      </c>
      <c r="E36" s="52" t="s">
        <v>25</v>
      </c>
      <c r="F36" s="52" t="s">
        <v>26</v>
      </c>
      <c r="G36" s="54"/>
    </row>
    <row r="37">
      <c r="A37" s="49">
        <v>45021.131440717596</v>
      </c>
      <c r="B37" s="50">
        <v>45021.2564128125</v>
      </c>
      <c r="C37" s="51">
        <v>1.113</v>
      </c>
      <c r="D37" s="51">
        <v>65.0</v>
      </c>
      <c r="E37" s="52" t="s">
        <v>25</v>
      </c>
      <c r="F37" s="52" t="s">
        <v>26</v>
      </c>
      <c r="G37" s="54"/>
    </row>
    <row r="38">
      <c r="A38" s="49">
        <v>45021.14185895833</v>
      </c>
      <c r="B38" s="50">
        <v>45021.2668333333</v>
      </c>
      <c r="C38" s="51">
        <v>1.113</v>
      </c>
      <c r="D38" s="51">
        <v>65.0</v>
      </c>
      <c r="E38" s="52" t="s">
        <v>25</v>
      </c>
      <c r="F38" s="52" t="s">
        <v>26</v>
      </c>
      <c r="G38" s="54"/>
    </row>
    <row r="39">
      <c r="A39" s="49">
        <v>45021.15228241898</v>
      </c>
      <c r="B39" s="50">
        <v>45021.277253449</v>
      </c>
      <c r="C39" s="51">
        <v>1.113</v>
      </c>
      <c r="D39" s="51">
        <v>65.0</v>
      </c>
      <c r="E39" s="52" t="s">
        <v>25</v>
      </c>
      <c r="F39" s="52" t="s">
        <v>26</v>
      </c>
      <c r="G39" s="54"/>
    </row>
    <row r="40">
      <c r="A40" s="49">
        <v>45021.16270349537</v>
      </c>
      <c r="B40" s="50">
        <v>45021.2876731365</v>
      </c>
      <c r="C40" s="51">
        <v>1.113</v>
      </c>
      <c r="D40" s="51">
        <v>65.0</v>
      </c>
      <c r="E40" s="52" t="s">
        <v>25</v>
      </c>
      <c r="F40" s="52" t="s">
        <v>26</v>
      </c>
      <c r="G40" s="54"/>
    </row>
    <row r="41">
      <c r="A41" s="49">
        <v>45021.1731315625</v>
      </c>
      <c r="B41" s="50">
        <v>45021.2981074884</v>
      </c>
      <c r="C41" s="51">
        <v>1.113</v>
      </c>
      <c r="D41" s="51">
        <v>65.0</v>
      </c>
      <c r="E41" s="52" t="s">
        <v>25</v>
      </c>
      <c r="F41" s="52" t="s">
        <v>26</v>
      </c>
      <c r="G41" s="54"/>
    </row>
    <row r="42">
      <c r="A42" s="49">
        <v>45021.184519525465</v>
      </c>
      <c r="B42" s="50">
        <v>45021.3085641666</v>
      </c>
      <c r="C42" s="51">
        <v>1.113</v>
      </c>
      <c r="D42" s="51">
        <v>65.0</v>
      </c>
      <c r="E42" s="52" t="s">
        <v>25</v>
      </c>
      <c r="F42" s="52" t="s">
        <v>26</v>
      </c>
      <c r="G42" s="54"/>
    </row>
    <row r="43">
      <c r="A43" s="49">
        <v>45021.19400821759</v>
      </c>
      <c r="B43" s="50">
        <v>45021.3189849074</v>
      </c>
      <c r="C43" s="51">
        <v>1.113</v>
      </c>
      <c r="D43" s="51">
        <v>65.0</v>
      </c>
      <c r="E43" s="52" t="s">
        <v>25</v>
      </c>
      <c r="F43" s="52" t="s">
        <v>26</v>
      </c>
      <c r="G43" s="54"/>
    </row>
    <row r="44">
      <c r="A44" s="49">
        <v>45021.20443383102</v>
      </c>
      <c r="B44" s="50">
        <v>45021.3294067245</v>
      </c>
      <c r="C44" s="51">
        <v>1.113</v>
      </c>
      <c r="D44" s="51">
        <v>65.0</v>
      </c>
      <c r="E44" s="52" t="s">
        <v>25</v>
      </c>
      <c r="F44" s="52" t="s">
        <v>26</v>
      </c>
      <c r="G44" s="54"/>
    </row>
    <row r="45">
      <c r="A45" s="49">
        <v>45021.21486137732</v>
      </c>
      <c r="B45" s="50">
        <v>45021.3398277083</v>
      </c>
      <c r="C45" s="51">
        <v>1.113</v>
      </c>
      <c r="D45" s="51">
        <v>65.0</v>
      </c>
      <c r="E45" s="52" t="s">
        <v>25</v>
      </c>
      <c r="F45" s="52" t="s">
        <v>26</v>
      </c>
      <c r="G45" s="54"/>
    </row>
    <row r="46">
      <c r="A46" s="49">
        <v>45021.22527322917</v>
      </c>
      <c r="B46" s="50">
        <v>45021.3502480439</v>
      </c>
      <c r="C46" s="51">
        <v>1.114</v>
      </c>
      <c r="D46" s="51">
        <v>65.0</v>
      </c>
      <c r="E46" s="52" t="s">
        <v>25</v>
      </c>
      <c r="F46" s="52" t="s">
        <v>26</v>
      </c>
      <c r="G46" s="54"/>
    </row>
    <row r="47">
      <c r="A47" s="49">
        <v>45021.2357059375</v>
      </c>
      <c r="B47" s="50">
        <v>45021.3606806713</v>
      </c>
      <c r="C47" s="51">
        <v>1.114</v>
      </c>
      <c r="D47" s="51">
        <v>65.0</v>
      </c>
      <c r="E47" s="52" t="s">
        <v>25</v>
      </c>
      <c r="F47" s="52" t="s">
        <v>26</v>
      </c>
      <c r="G47" s="54"/>
    </row>
    <row r="48">
      <c r="A48" s="49">
        <v>45021.24613251157</v>
      </c>
      <c r="B48" s="50">
        <v>45021.3711029745</v>
      </c>
      <c r="C48" s="51">
        <v>1.114</v>
      </c>
      <c r="D48" s="51">
        <v>65.0</v>
      </c>
      <c r="E48" s="52" t="s">
        <v>25</v>
      </c>
      <c r="F48" s="52" t="s">
        <v>26</v>
      </c>
      <c r="G48" s="54"/>
    </row>
    <row r="49">
      <c r="A49" s="49">
        <v>45021.256549791666</v>
      </c>
      <c r="B49" s="50">
        <v>45021.3815227083</v>
      </c>
      <c r="C49" s="51">
        <v>1.115</v>
      </c>
      <c r="D49" s="51">
        <v>65.0</v>
      </c>
      <c r="E49" s="52" t="s">
        <v>25</v>
      </c>
      <c r="F49" s="52" t="s">
        <v>26</v>
      </c>
      <c r="G49" s="54"/>
    </row>
    <row r="50">
      <c r="A50" s="49">
        <v>45021.266975763894</v>
      </c>
      <c r="B50" s="50">
        <v>45021.3919437963</v>
      </c>
      <c r="C50" s="51">
        <v>1.115</v>
      </c>
      <c r="D50" s="51">
        <v>65.0</v>
      </c>
      <c r="E50" s="52" t="s">
        <v>25</v>
      </c>
      <c r="F50" s="52" t="s">
        <v>26</v>
      </c>
      <c r="G50" s="54"/>
    </row>
    <row r="51">
      <c r="A51" s="49">
        <v>45021.277396122685</v>
      </c>
      <c r="B51" s="50">
        <v>45021.4023648032</v>
      </c>
      <c r="C51" s="51">
        <v>1.115</v>
      </c>
      <c r="D51" s="51">
        <v>65.0</v>
      </c>
      <c r="E51" s="52" t="s">
        <v>25</v>
      </c>
      <c r="F51" s="52" t="s">
        <v>26</v>
      </c>
      <c r="G51" s="54"/>
    </row>
    <row r="52">
      <c r="A52" s="49">
        <v>45021.287820972226</v>
      </c>
      <c r="B52" s="50">
        <v>45021.4127974189</v>
      </c>
      <c r="C52" s="51">
        <v>1.116</v>
      </c>
      <c r="D52" s="51">
        <v>65.0</v>
      </c>
      <c r="E52" s="52" t="s">
        <v>25</v>
      </c>
      <c r="F52" s="52" t="s">
        <v>26</v>
      </c>
      <c r="G52" s="54"/>
    </row>
    <row r="53">
      <c r="A53" s="49">
        <v>45021.298249768515</v>
      </c>
      <c r="B53" s="50">
        <v>45021.4232184027</v>
      </c>
      <c r="C53" s="51">
        <v>1.117</v>
      </c>
      <c r="D53" s="51">
        <v>65.0</v>
      </c>
      <c r="E53" s="52" t="s">
        <v>25</v>
      </c>
      <c r="F53" s="52" t="s">
        <v>26</v>
      </c>
      <c r="G53" s="54"/>
    </row>
    <row r="54">
      <c r="A54" s="49">
        <v>45021.308666956014</v>
      </c>
      <c r="B54" s="50">
        <v>45021.4336404398</v>
      </c>
      <c r="C54" s="51">
        <v>1.117</v>
      </c>
      <c r="D54" s="51">
        <v>65.0</v>
      </c>
      <c r="E54" s="52" t="s">
        <v>25</v>
      </c>
      <c r="F54" s="52" t="s">
        <v>26</v>
      </c>
      <c r="G54" s="54"/>
    </row>
    <row r="55">
      <c r="A55" s="49">
        <v>45021.319091620375</v>
      </c>
      <c r="B55" s="50">
        <v>45021.4440630671</v>
      </c>
      <c r="C55" s="51">
        <v>1.116</v>
      </c>
      <c r="D55" s="51">
        <v>65.0</v>
      </c>
      <c r="E55" s="52" t="s">
        <v>25</v>
      </c>
      <c r="F55" s="52" t="s">
        <v>26</v>
      </c>
      <c r="G55" s="54"/>
    </row>
    <row r="56">
      <c r="A56" s="49">
        <v>45021.32951840278</v>
      </c>
      <c r="B56" s="50">
        <v>45021.4544816898</v>
      </c>
      <c r="C56" s="51">
        <v>1.116</v>
      </c>
      <c r="D56" s="51">
        <v>64.0</v>
      </c>
      <c r="E56" s="52" t="s">
        <v>25</v>
      </c>
      <c r="F56" s="52" t="s">
        <v>26</v>
      </c>
      <c r="G56" s="54"/>
    </row>
    <row r="57">
      <c r="A57" s="49">
        <v>45021.33993662037</v>
      </c>
      <c r="B57" s="50">
        <v>45021.4649144675</v>
      </c>
      <c r="C57" s="51">
        <v>1.115</v>
      </c>
      <c r="D57" s="51">
        <v>64.0</v>
      </c>
      <c r="E57" s="52" t="s">
        <v>25</v>
      </c>
      <c r="F57" s="52" t="s">
        <v>26</v>
      </c>
      <c r="G57" s="54"/>
    </row>
    <row r="58">
      <c r="A58" s="49">
        <v>45021.350387997685</v>
      </c>
      <c r="B58" s="50">
        <v>45021.4753587384</v>
      </c>
      <c r="C58" s="51">
        <v>1.115</v>
      </c>
      <c r="D58" s="51">
        <v>64.0</v>
      </c>
      <c r="E58" s="52" t="s">
        <v>25</v>
      </c>
      <c r="F58" s="52" t="s">
        <v>26</v>
      </c>
      <c r="G58" s="54"/>
    </row>
    <row r="59">
      <c r="A59" s="49">
        <v>45021.3608122338</v>
      </c>
      <c r="B59" s="50">
        <v>45021.4857802662</v>
      </c>
      <c r="C59" s="51">
        <v>1.115</v>
      </c>
      <c r="D59" s="51">
        <v>64.0</v>
      </c>
      <c r="E59" s="52" t="s">
        <v>25</v>
      </c>
      <c r="F59" s="52" t="s">
        <v>26</v>
      </c>
      <c r="G59" s="54"/>
    </row>
    <row r="60">
      <c r="A60" s="49">
        <v>45021.371233032405</v>
      </c>
      <c r="B60" s="50">
        <v>45021.4962027314</v>
      </c>
      <c r="C60" s="51">
        <v>1.114</v>
      </c>
      <c r="D60" s="51">
        <v>64.0</v>
      </c>
      <c r="E60" s="52" t="s">
        <v>25</v>
      </c>
      <c r="F60" s="52" t="s">
        <v>26</v>
      </c>
      <c r="G60" s="54"/>
    </row>
    <row r="61">
      <c r="A61" s="49">
        <v>45021.38165136574</v>
      </c>
      <c r="B61" s="50">
        <v>45021.5066231481</v>
      </c>
      <c r="C61" s="51">
        <v>1.114</v>
      </c>
      <c r="D61" s="51">
        <v>64.0</v>
      </c>
      <c r="E61" s="52" t="s">
        <v>25</v>
      </c>
      <c r="F61" s="52" t="s">
        <v>26</v>
      </c>
      <c r="G61" s="54"/>
    </row>
    <row r="62">
      <c r="A62" s="49">
        <v>45021.39206871528</v>
      </c>
      <c r="B62" s="50">
        <v>45021.5170459375</v>
      </c>
      <c r="C62" s="51">
        <v>1.114</v>
      </c>
      <c r="D62" s="51">
        <v>64.0</v>
      </c>
      <c r="E62" s="52" t="s">
        <v>25</v>
      </c>
      <c r="F62" s="52" t="s">
        <v>26</v>
      </c>
      <c r="G62" s="54"/>
    </row>
    <row r="63">
      <c r="A63" s="49">
        <v>45021.40250188657</v>
      </c>
      <c r="B63" s="50">
        <v>45021.5274791435</v>
      </c>
      <c r="C63" s="51">
        <v>1.112</v>
      </c>
      <c r="D63" s="51">
        <v>64.0</v>
      </c>
      <c r="E63" s="52" t="s">
        <v>25</v>
      </c>
      <c r="F63" s="52" t="s">
        <v>26</v>
      </c>
      <c r="G63" s="54"/>
    </row>
    <row r="64">
      <c r="A64" s="49">
        <v>45021.41294017361</v>
      </c>
      <c r="B64" s="50">
        <v>45021.5379127314</v>
      </c>
      <c r="C64" s="51">
        <v>1.112</v>
      </c>
      <c r="D64" s="51">
        <v>64.0</v>
      </c>
      <c r="E64" s="52" t="s">
        <v>25</v>
      </c>
      <c r="F64" s="52" t="s">
        <v>26</v>
      </c>
      <c r="G64" s="54"/>
    </row>
    <row r="65">
      <c r="A65" s="49">
        <v>45021.423358831016</v>
      </c>
      <c r="B65" s="50">
        <v>45021.5483337847</v>
      </c>
      <c r="C65" s="51">
        <v>1.111</v>
      </c>
      <c r="D65" s="51">
        <v>64.0</v>
      </c>
      <c r="E65" s="52" t="s">
        <v>25</v>
      </c>
      <c r="F65" s="52" t="s">
        <v>26</v>
      </c>
      <c r="G65" s="54"/>
    </row>
    <row r="66">
      <c r="A66" s="49">
        <v>45021.43377694444</v>
      </c>
      <c r="B66" s="50">
        <v>45021.558756331</v>
      </c>
      <c r="C66" s="51">
        <v>1.112</v>
      </c>
      <c r="D66" s="51">
        <v>63.0</v>
      </c>
      <c r="E66" s="52" t="s">
        <v>25</v>
      </c>
      <c r="F66" s="52" t="s">
        <v>26</v>
      </c>
      <c r="G66" s="54"/>
    </row>
    <row r="67">
      <c r="A67" s="49">
        <v>45021.44420353009</v>
      </c>
      <c r="B67" s="50">
        <v>45021.5691780787</v>
      </c>
      <c r="C67" s="51">
        <v>1.111</v>
      </c>
      <c r="D67" s="51">
        <v>64.0</v>
      </c>
      <c r="E67" s="52" t="s">
        <v>25</v>
      </c>
      <c r="F67" s="52" t="s">
        <v>26</v>
      </c>
      <c r="G67" s="54"/>
    </row>
    <row r="68">
      <c r="A68" s="49">
        <v>45021.45462041667</v>
      </c>
      <c r="B68" s="50">
        <v>45021.5795994791</v>
      </c>
      <c r="C68" s="51">
        <v>1.11</v>
      </c>
      <c r="D68" s="51">
        <v>64.0</v>
      </c>
      <c r="E68" s="52" t="s">
        <v>25</v>
      </c>
      <c r="F68" s="52" t="s">
        <v>26</v>
      </c>
      <c r="G68" s="54"/>
    </row>
    <row r="69">
      <c r="A69" s="49">
        <v>45021.46505560185</v>
      </c>
      <c r="B69" s="50">
        <v>45021.590019618</v>
      </c>
      <c r="C69" s="51">
        <v>1.11</v>
      </c>
      <c r="D69" s="51">
        <v>64.0</v>
      </c>
      <c r="E69" s="52" t="s">
        <v>25</v>
      </c>
      <c r="F69" s="52" t="s">
        <v>26</v>
      </c>
      <c r="G69" s="54"/>
    </row>
    <row r="70">
      <c r="A70" s="49">
        <v>45021.475466539356</v>
      </c>
      <c r="B70" s="50">
        <v>45021.6004426273</v>
      </c>
      <c r="C70" s="51">
        <v>1.11</v>
      </c>
      <c r="D70" s="51">
        <v>64.0</v>
      </c>
      <c r="E70" s="52" t="s">
        <v>25</v>
      </c>
      <c r="F70" s="52" t="s">
        <v>26</v>
      </c>
      <c r="G70" s="54"/>
    </row>
    <row r="71">
      <c r="A71" s="49">
        <v>45021.48590501158</v>
      </c>
      <c r="B71" s="50">
        <v>45021.6108763657</v>
      </c>
      <c r="C71" s="51">
        <v>1.11</v>
      </c>
      <c r="D71" s="51">
        <v>64.0</v>
      </c>
      <c r="E71" s="52" t="s">
        <v>25</v>
      </c>
      <c r="F71" s="52" t="s">
        <v>26</v>
      </c>
      <c r="G71" s="54"/>
    </row>
    <row r="72">
      <c r="A72" s="49">
        <v>45021.496326886576</v>
      </c>
      <c r="B72" s="50">
        <v>45021.6212979166</v>
      </c>
      <c r="C72" s="51">
        <v>1.109</v>
      </c>
      <c r="D72" s="51">
        <v>64.0</v>
      </c>
      <c r="E72" s="52" t="s">
        <v>25</v>
      </c>
      <c r="F72" s="52" t="s">
        <v>26</v>
      </c>
      <c r="G72" s="54"/>
    </row>
    <row r="73">
      <c r="A73" s="49">
        <v>45021.50675053241</v>
      </c>
      <c r="B73" s="50">
        <v>45021.6317194791</v>
      </c>
      <c r="C73" s="51">
        <v>1.11</v>
      </c>
      <c r="D73" s="51">
        <v>64.0</v>
      </c>
      <c r="E73" s="52" t="s">
        <v>25</v>
      </c>
      <c r="F73" s="52" t="s">
        <v>26</v>
      </c>
      <c r="G73" s="54"/>
    </row>
    <row r="74">
      <c r="A74" s="49">
        <v>45021.51717694444</v>
      </c>
      <c r="B74" s="50">
        <v>45021.6421516898</v>
      </c>
      <c r="C74" s="51">
        <v>1.11</v>
      </c>
      <c r="D74" s="51">
        <v>64.0</v>
      </c>
      <c r="E74" s="52" t="s">
        <v>25</v>
      </c>
      <c r="F74" s="52" t="s">
        <v>26</v>
      </c>
      <c r="G74" s="54"/>
    </row>
    <row r="75">
      <c r="A75" s="49">
        <v>45021.527595277774</v>
      </c>
      <c r="B75" s="50">
        <v>45021.6525717245</v>
      </c>
      <c r="C75" s="51">
        <v>1.109</v>
      </c>
      <c r="D75" s="51">
        <v>64.0</v>
      </c>
      <c r="E75" s="52" t="s">
        <v>25</v>
      </c>
      <c r="F75" s="52" t="s">
        <v>26</v>
      </c>
      <c r="G75" s="54"/>
    </row>
    <row r="76">
      <c r="A76" s="49">
        <v>45021.53802186342</v>
      </c>
      <c r="B76" s="50">
        <v>45021.6629935995</v>
      </c>
      <c r="C76" s="51">
        <v>1.109</v>
      </c>
      <c r="D76" s="51">
        <v>64.0</v>
      </c>
      <c r="E76" s="52" t="s">
        <v>25</v>
      </c>
      <c r="F76" s="52" t="s">
        <v>26</v>
      </c>
      <c r="G76" s="54"/>
    </row>
    <row r="77">
      <c r="A77" s="49">
        <v>45021.54843650463</v>
      </c>
      <c r="B77" s="50">
        <v>45021.6734135995</v>
      </c>
      <c r="C77" s="51">
        <v>1.109</v>
      </c>
      <c r="D77" s="51">
        <v>64.0</v>
      </c>
      <c r="E77" s="52" t="s">
        <v>25</v>
      </c>
      <c r="F77" s="52" t="s">
        <v>26</v>
      </c>
      <c r="G77" s="54"/>
    </row>
    <row r="78">
      <c r="A78" s="49">
        <v>45021.55886572917</v>
      </c>
      <c r="B78" s="50">
        <v>45021.683835324</v>
      </c>
      <c r="C78" s="51">
        <v>1.109</v>
      </c>
      <c r="D78" s="51">
        <v>64.0</v>
      </c>
      <c r="E78" s="52" t="s">
        <v>25</v>
      </c>
      <c r="F78" s="52" t="s">
        <v>26</v>
      </c>
      <c r="G78" s="54"/>
    </row>
    <row r="79">
      <c r="A79" s="49">
        <v>45021.5692829051</v>
      </c>
      <c r="B79" s="50">
        <v>45021.6942574421</v>
      </c>
      <c r="C79" s="51">
        <v>1.109</v>
      </c>
      <c r="D79" s="51">
        <v>64.0</v>
      </c>
      <c r="E79" s="52" t="s">
        <v>25</v>
      </c>
      <c r="F79" s="52" t="s">
        <v>26</v>
      </c>
      <c r="G79" s="54"/>
    </row>
    <row r="80">
      <c r="A80" s="49">
        <v>45021.579708206016</v>
      </c>
      <c r="B80" s="50">
        <v>45021.7046787037</v>
      </c>
      <c r="C80" s="51">
        <v>1.109</v>
      </c>
      <c r="D80" s="51">
        <v>64.0</v>
      </c>
      <c r="E80" s="52" t="s">
        <v>25</v>
      </c>
      <c r="F80" s="52" t="s">
        <v>26</v>
      </c>
      <c r="G80" s="54"/>
    </row>
    <row r="81">
      <c r="A81" s="49">
        <v>45021.590145486116</v>
      </c>
      <c r="B81" s="50">
        <v>45021.7151230555</v>
      </c>
      <c r="C81" s="51">
        <v>1.109</v>
      </c>
      <c r="D81" s="51">
        <v>64.0</v>
      </c>
      <c r="E81" s="52" t="s">
        <v>25</v>
      </c>
      <c r="F81" s="52" t="s">
        <v>26</v>
      </c>
      <c r="G81" s="54"/>
    </row>
    <row r="82">
      <c r="A82" s="49">
        <v>45021.600574247685</v>
      </c>
      <c r="B82" s="50">
        <v>45021.7255446412</v>
      </c>
      <c r="C82" s="51">
        <v>1.109</v>
      </c>
      <c r="D82" s="51">
        <v>64.0</v>
      </c>
      <c r="E82" s="52" t="s">
        <v>25</v>
      </c>
      <c r="F82" s="52" t="s">
        <v>26</v>
      </c>
      <c r="G82" s="54"/>
    </row>
    <row r="83">
      <c r="A83" s="49">
        <v>45021.6095315162</v>
      </c>
      <c r="B83" s="50">
        <v>45021.7277315972</v>
      </c>
      <c r="C83" s="51">
        <v>1.108</v>
      </c>
      <c r="D83" s="51">
        <v>64.0</v>
      </c>
      <c r="E83" s="52" t="s">
        <v>25</v>
      </c>
      <c r="F83" s="52" t="s">
        <v>26</v>
      </c>
      <c r="G83" s="54"/>
    </row>
    <row r="84">
      <c r="A84" s="49">
        <v>45021.61267184028</v>
      </c>
      <c r="B84" s="50">
        <v>45021.7351675926</v>
      </c>
      <c r="C84" s="51">
        <v>1.109</v>
      </c>
      <c r="D84" s="51">
        <v>64.0</v>
      </c>
      <c r="E84" s="52" t="s">
        <v>25</v>
      </c>
      <c r="F84" s="52" t="s">
        <v>26</v>
      </c>
      <c r="G84" s="54"/>
    </row>
    <row r="85">
      <c r="A85" s="49">
        <v>45021.62067270833</v>
      </c>
      <c r="B85" s="50">
        <v>45021.7455954166</v>
      </c>
      <c r="C85" s="51">
        <v>1.109</v>
      </c>
      <c r="D85" s="51">
        <v>64.0</v>
      </c>
      <c r="E85" s="52" t="s">
        <v>25</v>
      </c>
      <c r="F85" s="52" t="s">
        <v>26</v>
      </c>
      <c r="G85" s="54"/>
    </row>
    <row r="86">
      <c r="A86" s="49">
        <v>45021.6310862963</v>
      </c>
      <c r="B86" s="50">
        <v>45021.7560168402</v>
      </c>
      <c r="C86" s="51">
        <v>1.109</v>
      </c>
      <c r="D86" s="51">
        <v>64.0</v>
      </c>
      <c r="E86" s="52" t="s">
        <v>25</v>
      </c>
      <c r="F86" s="52" t="s">
        <v>26</v>
      </c>
      <c r="G86" s="54"/>
    </row>
    <row r="87">
      <c r="A87" s="49">
        <v>45021.64151577547</v>
      </c>
      <c r="B87" s="50">
        <v>45021.7664392129</v>
      </c>
      <c r="C87" s="51">
        <v>1.109</v>
      </c>
      <c r="D87" s="51">
        <v>64.0</v>
      </c>
      <c r="E87" s="52" t="s">
        <v>25</v>
      </c>
      <c r="F87" s="52" t="s">
        <v>26</v>
      </c>
      <c r="G87" s="54"/>
    </row>
    <row r="88">
      <c r="A88" s="49">
        <v>45021.65192564815</v>
      </c>
      <c r="B88" s="50">
        <v>45021.7768610995</v>
      </c>
      <c r="C88" s="51">
        <v>1.108</v>
      </c>
      <c r="D88" s="51">
        <v>64.0</v>
      </c>
      <c r="E88" s="52" t="s">
        <v>25</v>
      </c>
      <c r="F88" s="52" t="s">
        <v>26</v>
      </c>
      <c r="G88" s="54"/>
    </row>
    <row r="89">
      <c r="A89" s="49">
        <v>45021.6623544676</v>
      </c>
      <c r="B89" s="50">
        <v>45021.7872815393</v>
      </c>
      <c r="C89" s="51">
        <v>1.109</v>
      </c>
      <c r="D89" s="51">
        <v>64.0</v>
      </c>
      <c r="E89" s="52" t="s">
        <v>25</v>
      </c>
      <c r="F89" s="52" t="s">
        <v>26</v>
      </c>
      <c r="G89" s="54"/>
    </row>
    <row r="90">
      <c r="A90" s="49">
        <v>45021.67276783565</v>
      </c>
      <c r="B90" s="50">
        <v>45021.7977009722</v>
      </c>
      <c r="C90" s="51">
        <v>1.108</v>
      </c>
      <c r="D90" s="51">
        <v>64.0</v>
      </c>
      <c r="E90" s="52" t="s">
        <v>25</v>
      </c>
      <c r="F90" s="52" t="s">
        <v>26</v>
      </c>
      <c r="G90" s="54"/>
    </row>
    <row r="91">
      <c r="A91" s="49">
        <v>45021.683207361115</v>
      </c>
      <c r="B91" s="50">
        <v>45021.8081429398</v>
      </c>
      <c r="C91" s="51">
        <v>1.108</v>
      </c>
      <c r="D91" s="51">
        <v>64.0</v>
      </c>
      <c r="E91" s="52" t="s">
        <v>25</v>
      </c>
      <c r="F91" s="52" t="s">
        <v>26</v>
      </c>
      <c r="G91" s="54"/>
    </row>
    <row r="92">
      <c r="A92" s="49">
        <v>45021.69362337963</v>
      </c>
      <c r="B92" s="50">
        <v>45021.8185654861</v>
      </c>
      <c r="C92" s="51">
        <v>1.109</v>
      </c>
      <c r="D92" s="51">
        <v>64.0</v>
      </c>
      <c r="E92" s="52" t="s">
        <v>25</v>
      </c>
      <c r="F92" s="52" t="s">
        <v>26</v>
      </c>
      <c r="G92" s="54"/>
    </row>
    <row r="93">
      <c r="A93" s="49">
        <v>45021.70405241898</v>
      </c>
      <c r="B93" s="50">
        <v>45021.8289862384</v>
      </c>
      <c r="C93" s="51">
        <v>1.109</v>
      </c>
      <c r="D93" s="51">
        <v>64.0</v>
      </c>
      <c r="E93" s="52" t="s">
        <v>25</v>
      </c>
      <c r="F93" s="52" t="s">
        <v>26</v>
      </c>
      <c r="G93" s="54"/>
    </row>
    <row r="94">
      <c r="A94" s="49">
        <v>45021.71447810185</v>
      </c>
      <c r="B94" s="50">
        <v>45021.8394067939</v>
      </c>
      <c r="C94" s="51">
        <v>1.109</v>
      </c>
      <c r="D94" s="51">
        <v>64.0</v>
      </c>
      <c r="E94" s="52" t="s">
        <v>25</v>
      </c>
      <c r="F94" s="52" t="s">
        <v>26</v>
      </c>
      <c r="G94" s="54"/>
    </row>
    <row r="95">
      <c r="A95" s="49">
        <v>45021.72488883101</v>
      </c>
      <c r="B95" s="50">
        <v>45021.8498285879</v>
      </c>
      <c r="C95" s="51">
        <v>1.109</v>
      </c>
      <c r="D95" s="51">
        <v>64.0</v>
      </c>
      <c r="E95" s="52" t="s">
        <v>25</v>
      </c>
      <c r="F95" s="52" t="s">
        <v>26</v>
      </c>
      <c r="G95" s="54"/>
    </row>
    <row r="96">
      <c r="A96" s="49">
        <v>45021.735319907406</v>
      </c>
      <c r="B96" s="50">
        <v>45021.8602503009</v>
      </c>
      <c r="C96" s="51">
        <v>1.109</v>
      </c>
      <c r="D96" s="51">
        <v>64.0</v>
      </c>
      <c r="E96" s="52" t="s">
        <v>25</v>
      </c>
      <c r="F96" s="52" t="s">
        <v>26</v>
      </c>
      <c r="G96" s="54"/>
    </row>
    <row r="97">
      <c r="A97" s="49">
        <v>45021.74574091435</v>
      </c>
      <c r="B97" s="50">
        <v>45021.8706698495</v>
      </c>
      <c r="C97" s="51">
        <v>1.109</v>
      </c>
      <c r="D97" s="51">
        <v>64.0</v>
      </c>
      <c r="E97" s="52" t="s">
        <v>25</v>
      </c>
      <c r="F97" s="52" t="s">
        <v>26</v>
      </c>
      <c r="G97" s="54"/>
    </row>
    <row r="98">
      <c r="A98" s="49">
        <v>45021.756150497684</v>
      </c>
      <c r="B98" s="50">
        <v>45021.8811018402</v>
      </c>
      <c r="C98" s="51">
        <v>1.109</v>
      </c>
      <c r="D98" s="51">
        <v>64.0</v>
      </c>
      <c r="E98" s="52" t="s">
        <v>25</v>
      </c>
      <c r="F98" s="52" t="s">
        <v>26</v>
      </c>
      <c r="G98" s="54"/>
    </row>
    <row r="99">
      <c r="A99" s="49">
        <v>45021.76658971065</v>
      </c>
      <c r="B99" s="50">
        <v>45021.8915350578</v>
      </c>
      <c r="C99" s="51">
        <v>1.108</v>
      </c>
      <c r="D99" s="51">
        <v>64.0</v>
      </c>
      <c r="E99" s="52" t="s">
        <v>25</v>
      </c>
      <c r="F99" s="52" t="s">
        <v>26</v>
      </c>
      <c r="G99" s="54"/>
    </row>
    <row r="100">
      <c r="A100" s="49">
        <v>45021.777006261575</v>
      </c>
      <c r="B100" s="50">
        <v>45021.9019579513</v>
      </c>
      <c r="C100" s="51">
        <v>1.109</v>
      </c>
      <c r="D100" s="51">
        <v>64.0</v>
      </c>
      <c r="E100" s="52" t="s">
        <v>25</v>
      </c>
      <c r="F100" s="52" t="s">
        <v>26</v>
      </c>
      <c r="G100" s="54"/>
    </row>
    <row r="101">
      <c r="A101" s="49">
        <v>45021.78744454861</v>
      </c>
      <c r="B101" s="50">
        <v>45021.9123811921</v>
      </c>
      <c r="C101" s="51">
        <v>1.108</v>
      </c>
      <c r="D101" s="51">
        <v>64.0</v>
      </c>
      <c r="E101" s="52" t="s">
        <v>25</v>
      </c>
      <c r="F101" s="52" t="s">
        <v>26</v>
      </c>
      <c r="G101" s="54"/>
    </row>
    <row r="102">
      <c r="A102" s="49">
        <v>45021.79786409722</v>
      </c>
      <c r="B102" s="50">
        <v>45021.9228023032</v>
      </c>
      <c r="C102" s="51">
        <v>1.108</v>
      </c>
      <c r="D102" s="51">
        <v>64.0</v>
      </c>
      <c r="E102" s="52" t="s">
        <v>25</v>
      </c>
      <c r="F102" s="52" t="s">
        <v>26</v>
      </c>
      <c r="G102" s="54"/>
    </row>
    <row r="103">
      <c r="A103" s="49">
        <v>45021.80828953703</v>
      </c>
      <c r="B103" s="50">
        <v>45021.9332239814</v>
      </c>
      <c r="C103" s="51">
        <v>1.108</v>
      </c>
      <c r="D103" s="51">
        <v>64.0</v>
      </c>
      <c r="E103" s="52" t="s">
        <v>25</v>
      </c>
      <c r="F103" s="52" t="s">
        <v>26</v>
      </c>
      <c r="G103" s="54"/>
    </row>
    <row r="104">
      <c r="A104" s="49">
        <v>45021.81870819445</v>
      </c>
      <c r="B104" s="50">
        <v>45021.943645787</v>
      </c>
      <c r="C104" s="51">
        <v>1.108</v>
      </c>
      <c r="D104" s="51">
        <v>65.0</v>
      </c>
      <c r="E104" s="52" t="s">
        <v>25</v>
      </c>
      <c r="F104" s="52" t="s">
        <v>26</v>
      </c>
      <c r="G104" s="54"/>
    </row>
    <row r="105">
      <c r="A105" s="49">
        <v>45021.82912685185</v>
      </c>
      <c r="B105" s="50">
        <v>45021.9540668981</v>
      </c>
      <c r="C105" s="51">
        <v>1.108</v>
      </c>
      <c r="D105" s="51">
        <v>64.0</v>
      </c>
      <c r="E105" s="52" t="s">
        <v>25</v>
      </c>
      <c r="F105" s="52" t="s">
        <v>26</v>
      </c>
      <c r="G105" s="54"/>
    </row>
    <row r="106">
      <c r="A106" s="49">
        <v>45021.83955039352</v>
      </c>
      <c r="B106" s="50">
        <v>45021.964497824</v>
      </c>
      <c r="C106" s="51">
        <v>1.108</v>
      </c>
      <c r="D106" s="51">
        <v>64.0</v>
      </c>
      <c r="E106" s="52" t="s">
        <v>25</v>
      </c>
      <c r="F106" s="52" t="s">
        <v>26</v>
      </c>
      <c r="G106" s="54"/>
    </row>
    <row r="107">
      <c r="A107" s="49">
        <v>45021.8499665625</v>
      </c>
      <c r="B107" s="50">
        <v>45021.9749207523</v>
      </c>
      <c r="C107" s="51">
        <v>1.107</v>
      </c>
      <c r="D107" s="51">
        <v>65.0</v>
      </c>
      <c r="E107" s="52" t="s">
        <v>25</v>
      </c>
      <c r="F107" s="52" t="s">
        <v>26</v>
      </c>
      <c r="G107" s="54"/>
    </row>
    <row r="108">
      <c r="A108" s="49">
        <v>45021.86039181713</v>
      </c>
      <c r="B108" s="50">
        <v>45021.9853432175</v>
      </c>
      <c r="C108" s="51">
        <v>1.107</v>
      </c>
      <c r="D108" s="51">
        <v>64.0</v>
      </c>
      <c r="E108" s="52" t="s">
        <v>25</v>
      </c>
      <c r="F108" s="52" t="s">
        <v>26</v>
      </c>
      <c r="G108" s="54"/>
    </row>
    <row r="109">
      <c r="A109" s="49">
        <v>45021.8708305787</v>
      </c>
      <c r="B109" s="50">
        <v>45021.9957644907</v>
      </c>
      <c r="C109" s="51">
        <v>1.107</v>
      </c>
      <c r="D109" s="51">
        <v>64.0</v>
      </c>
      <c r="E109" s="52" t="s">
        <v>25</v>
      </c>
      <c r="F109" s="52" t="s">
        <v>26</v>
      </c>
      <c r="G109" s="54"/>
    </row>
    <row r="110">
      <c r="A110" s="49">
        <v>45021.88125607639</v>
      </c>
      <c r="B110" s="50">
        <v>45022.006185706</v>
      </c>
      <c r="C110" s="51">
        <v>1.107</v>
      </c>
      <c r="D110" s="51">
        <v>64.0</v>
      </c>
      <c r="E110" s="52" t="s">
        <v>25</v>
      </c>
      <c r="F110" s="52" t="s">
        <v>26</v>
      </c>
      <c r="G110" s="54"/>
    </row>
    <row r="111">
      <c r="A111" s="49">
        <v>45021.89162792824</v>
      </c>
      <c r="B111" s="50">
        <v>45022.0166080902</v>
      </c>
      <c r="C111" s="51">
        <v>1.106</v>
      </c>
      <c r="D111" s="51">
        <v>64.0</v>
      </c>
      <c r="E111" s="52" t="s">
        <v>25</v>
      </c>
      <c r="F111" s="52" t="s">
        <v>26</v>
      </c>
      <c r="G111" s="54"/>
    </row>
    <row r="112">
      <c r="A112" s="49">
        <v>45021.902127650465</v>
      </c>
      <c r="B112" s="50">
        <v>45022.0270408564</v>
      </c>
      <c r="C112" s="51">
        <v>1.107</v>
      </c>
      <c r="D112" s="51">
        <v>65.0</v>
      </c>
      <c r="E112" s="52" t="s">
        <v>25</v>
      </c>
      <c r="F112" s="52" t="s">
        <v>26</v>
      </c>
      <c r="G112" s="54"/>
    </row>
    <row r="113">
      <c r="A113" s="49">
        <v>45021.91254931713</v>
      </c>
      <c r="B113" s="50">
        <v>45022.037461655</v>
      </c>
      <c r="C113" s="51">
        <v>1.107</v>
      </c>
      <c r="D113" s="51">
        <v>65.0</v>
      </c>
      <c r="E113" s="52" t="s">
        <v>25</v>
      </c>
      <c r="F113" s="52" t="s">
        <v>26</v>
      </c>
      <c r="G113" s="54"/>
    </row>
    <row r="114">
      <c r="A114" s="49">
        <v>45021.922908368055</v>
      </c>
      <c r="B114" s="50">
        <v>45022.0478831713</v>
      </c>
      <c r="C114" s="51">
        <v>1.106</v>
      </c>
      <c r="D114" s="51">
        <v>65.0</v>
      </c>
      <c r="E114" s="52" t="s">
        <v>25</v>
      </c>
      <c r="F114" s="52" t="s">
        <v>26</v>
      </c>
      <c r="G114" s="54"/>
    </row>
    <row r="115">
      <c r="A115" s="49">
        <v>45021.93339494213</v>
      </c>
      <c r="B115" s="50">
        <v>45022.0583061574</v>
      </c>
      <c r="C115" s="51">
        <v>1.107</v>
      </c>
      <c r="D115" s="51">
        <v>65.0</v>
      </c>
      <c r="E115" s="52" t="s">
        <v>25</v>
      </c>
      <c r="F115" s="52" t="s">
        <v>26</v>
      </c>
      <c r="G115" s="54"/>
    </row>
    <row r="116">
      <c r="A116" s="49">
        <v>45021.94375958333</v>
      </c>
      <c r="B116" s="50">
        <v>45022.068726493</v>
      </c>
      <c r="C116" s="51">
        <v>1.106</v>
      </c>
      <c r="D116" s="51">
        <v>65.0</v>
      </c>
      <c r="E116" s="52" t="s">
        <v>25</v>
      </c>
      <c r="F116" s="52" t="s">
        <v>26</v>
      </c>
      <c r="G116" s="54"/>
    </row>
    <row r="117">
      <c r="A117" s="49">
        <v>45021.954170694444</v>
      </c>
      <c r="B117" s="50">
        <v>45022.0791467476</v>
      </c>
      <c r="C117" s="51">
        <v>1.107</v>
      </c>
      <c r="D117" s="51">
        <v>65.0</v>
      </c>
      <c r="E117" s="52" t="s">
        <v>25</v>
      </c>
      <c r="F117" s="52" t="s">
        <v>26</v>
      </c>
      <c r="G117" s="54"/>
    </row>
    <row r="118">
      <c r="A118" s="49">
        <v>45021.964654201394</v>
      </c>
      <c r="B118" s="50">
        <v>45022.0895804513</v>
      </c>
      <c r="C118" s="51">
        <v>1.106</v>
      </c>
      <c r="D118" s="51">
        <v>65.0</v>
      </c>
      <c r="E118" s="52" t="s">
        <v>25</v>
      </c>
      <c r="F118" s="52" t="s">
        <v>26</v>
      </c>
      <c r="G118" s="54"/>
    </row>
    <row r="119">
      <c r="A119" s="49">
        <v>45021.97508266204</v>
      </c>
      <c r="B119" s="50">
        <v>45022.1000024074</v>
      </c>
      <c r="C119" s="51">
        <v>1.105</v>
      </c>
      <c r="D119" s="51">
        <v>65.0</v>
      </c>
      <c r="E119" s="52" t="s">
        <v>25</v>
      </c>
      <c r="F119" s="52" t="s">
        <v>26</v>
      </c>
      <c r="G119" s="54"/>
    </row>
    <row r="120">
      <c r="A120" s="49">
        <v>45021.98549773148</v>
      </c>
      <c r="B120" s="50">
        <v>45022.11042353</v>
      </c>
      <c r="C120" s="51">
        <v>1.105</v>
      </c>
      <c r="D120" s="51">
        <v>65.0</v>
      </c>
      <c r="E120" s="52" t="s">
        <v>25</v>
      </c>
      <c r="F120" s="52" t="s">
        <v>26</v>
      </c>
      <c r="G120" s="54"/>
    </row>
    <row r="121">
      <c r="A121" s="49">
        <v>45021.99592347222</v>
      </c>
      <c r="B121" s="50">
        <v>45022.1208460879</v>
      </c>
      <c r="C121" s="51">
        <v>1.106</v>
      </c>
      <c r="D121" s="51">
        <v>65.0</v>
      </c>
      <c r="E121" s="52" t="s">
        <v>25</v>
      </c>
      <c r="F121" s="52" t="s">
        <v>26</v>
      </c>
      <c r="G121" s="54"/>
    </row>
    <row r="122">
      <c r="A122" s="49">
        <v>45022.00634384259</v>
      </c>
      <c r="B122" s="50">
        <v>45022.1312784953</v>
      </c>
      <c r="C122" s="51">
        <v>1.106</v>
      </c>
      <c r="D122" s="51">
        <v>65.0</v>
      </c>
      <c r="E122" s="52" t="s">
        <v>25</v>
      </c>
      <c r="F122" s="52" t="s">
        <v>26</v>
      </c>
      <c r="G122" s="54"/>
    </row>
    <row r="123">
      <c r="A123" s="49">
        <v>45022.016791250004</v>
      </c>
      <c r="B123" s="50">
        <v>45022.1417014467</v>
      </c>
      <c r="C123" s="51">
        <v>1.106</v>
      </c>
      <c r="D123" s="51">
        <v>65.0</v>
      </c>
      <c r="E123" s="52" t="s">
        <v>25</v>
      </c>
      <c r="F123" s="52" t="s">
        <v>26</v>
      </c>
      <c r="G123" s="54"/>
    </row>
    <row r="124">
      <c r="A124" s="49">
        <v>45022.02720013889</v>
      </c>
      <c r="B124" s="50">
        <v>45022.1521243518</v>
      </c>
      <c r="C124" s="51">
        <v>1.106</v>
      </c>
      <c r="D124" s="51">
        <v>65.0</v>
      </c>
      <c r="E124" s="52" t="s">
        <v>25</v>
      </c>
      <c r="F124" s="52" t="s">
        <v>26</v>
      </c>
      <c r="G124" s="54"/>
    </row>
    <row r="125">
      <c r="A125" s="49">
        <v>45022.0376340625</v>
      </c>
      <c r="B125" s="50">
        <v>45022.162544537</v>
      </c>
      <c r="C125" s="51">
        <v>1.106</v>
      </c>
      <c r="D125" s="51">
        <v>65.0</v>
      </c>
      <c r="E125" s="52" t="s">
        <v>25</v>
      </c>
      <c r="F125" s="52" t="s">
        <v>26</v>
      </c>
      <c r="G125" s="54"/>
    </row>
    <row r="126">
      <c r="A126" s="49">
        <v>45022.048053402774</v>
      </c>
      <c r="B126" s="50">
        <v>45022.1729663078</v>
      </c>
      <c r="C126" s="51">
        <v>1.106</v>
      </c>
      <c r="D126" s="51">
        <v>65.0</v>
      </c>
      <c r="E126" s="52" t="s">
        <v>25</v>
      </c>
      <c r="F126" s="52" t="s">
        <v>26</v>
      </c>
      <c r="G126" s="54"/>
    </row>
    <row r="127">
      <c r="A127" s="49">
        <v>45022.0584033912</v>
      </c>
      <c r="B127" s="50">
        <v>45022.1833864004</v>
      </c>
      <c r="C127" s="51">
        <v>1.105</v>
      </c>
      <c r="D127" s="51">
        <v>65.0</v>
      </c>
      <c r="E127" s="52" t="s">
        <v>25</v>
      </c>
      <c r="F127" s="52" t="s">
        <v>26</v>
      </c>
      <c r="G127" s="54"/>
    </row>
    <row r="128">
      <c r="A128" s="49">
        <v>45022.068836875</v>
      </c>
      <c r="B128" s="50">
        <v>45022.1938077083</v>
      </c>
      <c r="C128" s="51">
        <v>1.104</v>
      </c>
      <c r="D128" s="51">
        <v>65.0</v>
      </c>
      <c r="E128" s="52" t="s">
        <v>25</v>
      </c>
      <c r="F128" s="52" t="s">
        <v>26</v>
      </c>
      <c r="G128" s="54"/>
    </row>
    <row r="129">
      <c r="A129" s="49">
        <v>45022.079259791666</v>
      </c>
      <c r="B129" s="50">
        <v>45022.2042262615</v>
      </c>
      <c r="C129" s="51">
        <v>1.105</v>
      </c>
      <c r="D129" s="51">
        <v>65.0</v>
      </c>
      <c r="E129" s="52" t="s">
        <v>25</v>
      </c>
      <c r="F129" s="52" t="s">
        <v>26</v>
      </c>
      <c r="G129" s="54"/>
    </row>
    <row r="130">
      <c r="A130" s="49">
        <v>45022.089679467594</v>
      </c>
      <c r="B130" s="50">
        <v>45022.2146464467</v>
      </c>
      <c r="C130" s="51">
        <v>1.106</v>
      </c>
      <c r="D130" s="51">
        <v>65.0</v>
      </c>
      <c r="E130" s="52" t="s">
        <v>25</v>
      </c>
      <c r="F130" s="52" t="s">
        <v>26</v>
      </c>
      <c r="G130" s="54"/>
    </row>
    <row r="131">
      <c r="A131" s="49">
        <v>45022.10009440972</v>
      </c>
      <c r="B131" s="50">
        <v>45022.2250678935</v>
      </c>
      <c r="C131" s="51">
        <v>1.105</v>
      </c>
      <c r="D131" s="51">
        <v>65.0</v>
      </c>
      <c r="E131" s="52" t="s">
        <v>25</v>
      </c>
      <c r="F131" s="52" t="s">
        <v>26</v>
      </c>
      <c r="G131" s="54"/>
    </row>
    <row r="132">
      <c r="A132" s="49">
        <v>45022.11051545139</v>
      </c>
      <c r="B132" s="50">
        <v>45022.2354885648</v>
      </c>
      <c r="C132" s="51">
        <v>1.104</v>
      </c>
      <c r="D132" s="51">
        <v>65.0</v>
      </c>
      <c r="E132" s="52" t="s">
        <v>25</v>
      </c>
      <c r="F132" s="52" t="s">
        <v>26</v>
      </c>
      <c r="G132" s="54"/>
    </row>
    <row r="133">
      <c r="A133" s="49">
        <v>45022.120930798614</v>
      </c>
      <c r="B133" s="50">
        <v>45022.2459104629</v>
      </c>
      <c r="C133" s="51">
        <v>1.105</v>
      </c>
      <c r="D133" s="51">
        <v>65.0</v>
      </c>
      <c r="E133" s="52" t="s">
        <v>25</v>
      </c>
      <c r="F133" s="52" t="s">
        <v>26</v>
      </c>
      <c r="G133" s="54"/>
    </row>
    <row r="134">
      <c r="A134" s="49">
        <v>45022.13136408565</v>
      </c>
      <c r="B134" s="50">
        <v>45022.2563320254</v>
      </c>
      <c r="C134" s="51">
        <v>1.104</v>
      </c>
      <c r="D134" s="51">
        <v>65.0</v>
      </c>
      <c r="E134" s="52" t="s">
        <v>25</v>
      </c>
      <c r="F134" s="52" t="s">
        <v>26</v>
      </c>
      <c r="G134" s="54"/>
    </row>
    <row r="135">
      <c r="A135" s="49">
        <v>45022.141782280094</v>
      </c>
      <c r="B135" s="50">
        <v>45022.266753368</v>
      </c>
      <c r="C135" s="51">
        <v>1.104</v>
      </c>
      <c r="D135" s="51">
        <v>65.0</v>
      </c>
      <c r="E135" s="52" t="s">
        <v>25</v>
      </c>
      <c r="F135" s="52" t="s">
        <v>26</v>
      </c>
      <c r="G135" s="54"/>
    </row>
    <row r="136">
      <c r="A136" s="49">
        <v>45022.15219090278</v>
      </c>
      <c r="B136" s="50">
        <v>45022.2771735301</v>
      </c>
      <c r="C136" s="51">
        <v>1.103</v>
      </c>
      <c r="D136" s="51">
        <v>65.0</v>
      </c>
      <c r="E136" s="52" t="s">
        <v>25</v>
      </c>
      <c r="F136" s="52" t="s">
        <v>26</v>
      </c>
      <c r="G136" s="54"/>
    </row>
    <row r="137">
      <c r="A137" s="49">
        <v>45022.16263148148</v>
      </c>
      <c r="B137" s="50">
        <v>45022.287606655</v>
      </c>
      <c r="C137" s="51">
        <v>1.104</v>
      </c>
      <c r="D137" s="51">
        <v>65.0</v>
      </c>
      <c r="E137" s="52" t="s">
        <v>25</v>
      </c>
      <c r="F137" s="52" t="s">
        <v>26</v>
      </c>
      <c r="G137" s="54"/>
    </row>
    <row r="138">
      <c r="A138" s="49">
        <v>45022.17305075232</v>
      </c>
      <c r="B138" s="50">
        <v>45022.2980268171</v>
      </c>
      <c r="C138" s="51">
        <v>1.103</v>
      </c>
      <c r="D138" s="51">
        <v>65.0</v>
      </c>
      <c r="E138" s="52" t="s">
        <v>25</v>
      </c>
      <c r="F138" s="52" t="s">
        <v>26</v>
      </c>
      <c r="G138" s="54"/>
    </row>
    <row r="139">
      <c r="A139" s="49">
        <v>45022.18347668981</v>
      </c>
      <c r="B139" s="50">
        <v>45022.3084472453</v>
      </c>
      <c r="C139" s="51">
        <v>1.102</v>
      </c>
      <c r="D139" s="51">
        <v>65.0</v>
      </c>
      <c r="E139" s="52" t="s">
        <v>25</v>
      </c>
      <c r="F139" s="52" t="s">
        <v>26</v>
      </c>
      <c r="G139" s="54"/>
    </row>
    <row r="140">
      <c r="A140" s="49">
        <v>45022.19389847222</v>
      </c>
      <c r="B140" s="50">
        <v>45022.3188676273</v>
      </c>
      <c r="C140" s="51">
        <v>1.103</v>
      </c>
      <c r="D140" s="51">
        <v>65.0</v>
      </c>
      <c r="E140" s="52" t="s">
        <v>25</v>
      </c>
      <c r="F140" s="52" t="s">
        <v>26</v>
      </c>
      <c r="G140" s="54"/>
    </row>
    <row r="141">
      <c r="A141" s="49">
        <v>45022.2043085301</v>
      </c>
      <c r="B141" s="50">
        <v>45022.3292885532</v>
      </c>
      <c r="C141" s="51">
        <v>1.102</v>
      </c>
      <c r="D141" s="51">
        <v>65.0</v>
      </c>
      <c r="E141" s="52" t="s">
        <v>25</v>
      </c>
      <c r="F141" s="52" t="s">
        <v>26</v>
      </c>
      <c r="G141" s="54"/>
    </row>
    <row r="142">
      <c r="A142" s="49">
        <v>45022.214740138894</v>
      </c>
      <c r="B142" s="50">
        <v>45022.3397107523</v>
      </c>
      <c r="C142" s="51">
        <v>1.102</v>
      </c>
      <c r="D142" s="51">
        <v>65.0</v>
      </c>
      <c r="E142" s="52" t="s">
        <v>25</v>
      </c>
      <c r="F142" s="52" t="s">
        <v>26</v>
      </c>
      <c r="G142" s="54"/>
    </row>
    <row r="143">
      <c r="A143" s="49">
        <v>45022.2251712037</v>
      </c>
      <c r="B143" s="50">
        <v>45022.3501433217</v>
      </c>
      <c r="C143" s="51">
        <v>1.104</v>
      </c>
      <c r="D143" s="51">
        <v>65.0</v>
      </c>
      <c r="E143" s="52" t="s">
        <v>25</v>
      </c>
      <c r="F143" s="52" t="s">
        <v>26</v>
      </c>
      <c r="G143" s="54"/>
    </row>
    <row r="144">
      <c r="A144" s="49">
        <v>45022.2356018287</v>
      </c>
      <c r="B144" s="50">
        <v>45022.3605645717</v>
      </c>
      <c r="C144" s="51">
        <v>1.103</v>
      </c>
      <c r="D144" s="51">
        <v>65.0</v>
      </c>
      <c r="E144" s="52" t="s">
        <v>25</v>
      </c>
      <c r="F144" s="52" t="s">
        <v>26</v>
      </c>
      <c r="G144" s="54"/>
    </row>
    <row r="145">
      <c r="A145" s="49">
        <v>45022.24600943287</v>
      </c>
      <c r="B145" s="50">
        <v>45022.3709843634</v>
      </c>
      <c r="C145" s="51">
        <v>1.102</v>
      </c>
      <c r="D145" s="51">
        <v>65.0</v>
      </c>
      <c r="E145" s="52" t="s">
        <v>25</v>
      </c>
      <c r="F145" s="52" t="s">
        <v>26</v>
      </c>
      <c r="G145" s="54"/>
    </row>
    <row r="146">
      <c r="A146" s="49">
        <v>45022.256425127314</v>
      </c>
      <c r="B146" s="50">
        <v>45022.3814061226</v>
      </c>
      <c r="C146" s="51">
        <v>1.102</v>
      </c>
      <c r="D146" s="51">
        <v>65.0</v>
      </c>
      <c r="E146" s="52" t="s">
        <v>25</v>
      </c>
      <c r="F146" s="52" t="s">
        <v>26</v>
      </c>
      <c r="G146" s="54"/>
    </row>
    <row r="147">
      <c r="A147" s="49">
        <v>45022.26685380787</v>
      </c>
      <c r="B147" s="50">
        <v>45022.391825081</v>
      </c>
      <c r="C147" s="51">
        <v>1.103</v>
      </c>
      <c r="D147" s="51">
        <v>65.0</v>
      </c>
      <c r="E147" s="52" t="s">
        <v>25</v>
      </c>
      <c r="F147" s="52" t="s">
        <v>26</v>
      </c>
      <c r="G147" s="54"/>
    </row>
    <row r="148">
      <c r="A148" s="49">
        <v>45022.277277546294</v>
      </c>
      <c r="B148" s="50">
        <v>45022.4022455324</v>
      </c>
      <c r="C148" s="51">
        <v>1.102</v>
      </c>
      <c r="D148" s="51">
        <v>65.0</v>
      </c>
      <c r="E148" s="52" t="s">
        <v>25</v>
      </c>
      <c r="F148" s="52" t="s">
        <v>26</v>
      </c>
      <c r="G148" s="54"/>
    </row>
    <row r="149">
      <c r="A149" s="49">
        <v>45022.28770153935</v>
      </c>
      <c r="B149" s="50">
        <v>45022.4126679861</v>
      </c>
      <c r="C149" s="51">
        <v>1.102</v>
      </c>
      <c r="D149" s="51">
        <v>65.0</v>
      </c>
      <c r="E149" s="52" t="s">
        <v>25</v>
      </c>
      <c r="F149" s="52" t="s">
        <v>26</v>
      </c>
      <c r="G149" s="54"/>
    </row>
    <row r="150">
      <c r="A150" s="49">
        <v>45022.29812952546</v>
      </c>
      <c r="B150" s="50">
        <v>45022.4230995717</v>
      </c>
      <c r="C150" s="51">
        <v>1.102</v>
      </c>
      <c r="D150" s="51">
        <v>65.0</v>
      </c>
      <c r="E150" s="52" t="s">
        <v>25</v>
      </c>
      <c r="F150" s="52" t="s">
        <v>26</v>
      </c>
      <c r="G150" s="54"/>
    </row>
    <row r="151">
      <c r="A151" s="49">
        <v>45022.30855569444</v>
      </c>
      <c r="B151" s="50">
        <v>45022.4335333101</v>
      </c>
      <c r="C151" s="51">
        <v>1.102</v>
      </c>
      <c r="D151" s="51">
        <v>65.0</v>
      </c>
      <c r="E151" s="52" t="s">
        <v>25</v>
      </c>
      <c r="F151" s="52" t="s">
        <v>26</v>
      </c>
      <c r="G151" s="54"/>
    </row>
    <row r="152">
      <c r="A152" s="49">
        <v>45022.31900579861</v>
      </c>
      <c r="B152" s="50">
        <v>45022.4439793981</v>
      </c>
      <c r="C152" s="51">
        <v>1.102</v>
      </c>
      <c r="D152" s="51">
        <v>65.0</v>
      </c>
      <c r="E152" s="52" t="s">
        <v>25</v>
      </c>
      <c r="F152" s="52" t="s">
        <v>26</v>
      </c>
      <c r="G152" s="54"/>
    </row>
    <row r="153">
      <c r="A153" s="49">
        <v>45022.329427766206</v>
      </c>
      <c r="B153" s="50">
        <v>45022.4543991435</v>
      </c>
      <c r="C153" s="51">
        <v>1.101</v>
      </c>
      <c r="D153" s="51">
        <v>65.0</v>
      </c>
      <c r="E153" s="52" t="s">
        <v>25</v>
      </c>
      <c r="F153" s="52" t="s">
        <v>26</v>
      </c>
      <c r="G153" s="54"/>
    </row>
    <row r="154">
      <c r="A154" s="49">
        <v>45022.33984908565</v>
      </c>
      <c r="B154" s="50">
        <v>45022.4648194791</v>
      </c>
      <c r="C154" s="51">
        <v>1.102</v>
      </c>
      <c r="D154" s="51">
        <v>65.0</v>
      </c>
      <c r="E154" s="52" t="s">
        <v>25</v>
      </c>
      <c r="F154" s="52" t="s">
        <v>26</v>
      </c>
      <c r="G154" s="54"/>
    </row>
    <row r="155">
      <c r="A155" s="49">
        <v>45022.35028018519</v>
      </c>
      <c r="B155" s="50">
        <v>45022.4752421527</v>
      </c>
      <c r="C155" s="51">
        <v>1.102</v>
      </c>
      <c r="D155" s="51">
        <v>65.0</v>
      </c>
      <c r="E155" s="52" t="s">
        <v>25</v>
      </c>
      <c r="F155" s="52" t="s">
        <v>26</v>
      </c>
      <c r="G155" s="54"/>
    </row>
    <row r="156">
      <c r="A156" s="49">
        <v>45022.360688981484</v>
      </c>
      <c r="B156" s="50">
        <v>45022.4856629051</v>
      </c>
      <c r="C156" s="51">
        <v>1.102</v>
      </c>
      <c r="D156" s="51">
        <v>65.0</v>
      </c>
      <c r="E156" s="52" t="s">
        <v>25</v>
      </c>
      <c r="F156" s="52" t="s">
        <v>26</v>
      </c>
      <c r="G156" s="54"/>
    </row>
    <row r="157">
      <c r="A157" s="49">
        <v>45022.37111636574</v>
      </c>
      <c r="B157" s="50">
        <v>45022.496082905</v>
      </c>
      <c r="C157" s="51">
        <v>1.102</v>
      </c>
      <c r="D157" s="51">
        <v>65.0</v>
      </c>
      <c r="E157" s="52" t="s">
        <v>25</v>
      </c>
      <c r="F157" s="52" t="s">
        <v>26</v>
      </c>
      <c r="G157" s="54"/>
    </row>
    <row r="158">
      <c r="A158" s="49">
        <v>45022.381536064815</v>
      </c>
      <c r="B158" s="50">
        <v>45022.5065039351</v>
      </c>
      <c r="C158" s="51">
        <v>1.102</v>
      </c>
      <c r="D158" s="51">
        <v>65.0</v>
      </c>
      <c r="E158" s="52" t="s">
        <v>25</v>
      </c>
      <c r="F158" s="52" t="s">
        <v>26</v>
      </c>
      <c r="G158" s="54"/>
    </row>
    <row r="159">
      <c r="A159" s="49">
        <v>45022.391949930556</v>
      </c>
      <c r="B159" s="50">
        <v>45022.516924699</v>
      </c>
      <c r="C159" s="51">
        <v>1.103</v>
      </c>
      <c r="D159" s="51">
        <v>65.0</v>
      </c>
      <c r="E159" s="52" t="s">
        <v>25</v>
      </c>
      <c r="F159" s="52" t="s">
        <v>26</v>
      </c>
      <c r="G159" s="54"/>
    </row>
    <row r="160">
      <c r="A160" s="49">
        <v>45022.402376631944</v>
      </c>
      <c r="B160" s="50">
        <v>45022.527342905</v>
      </c>
      <c r="C160" s="51">
        <v>1.1</v>
      </c>
      <c r="D160" s="51">
        <v>65.0</v>
      </c>
      <c r="E160" s="52" t="s">
        <v>25</v>
      </c>
      <c r="F160" s="52" t="s">
        <v>26</v>
      </c>
      <c r="G160" s="54"/>
    </row>
    <row r="161">
      <c r="A161" s="49">
        <v>45022.412792303236</v>
      </c>
      <c r="B161" s="50">
        <v>45022.5377657754</v>
      </c>
      <c r="C161" s="51">
        <v>1.101</v>
      </c>
      <c r="D161" s="51">
        <v>65.0</v>
      </c>
      <c r="E161" s="52" t="s">
        <v>25</v>
      </c>
      <c r="F161" s="52" t="s">
        <v>26</v>
      </c>
      <c r="G161" s="54"/>
    </row>
    <row r="162">
      <c r="A162" s="49">
        <v>45022.42323170139</v>
      </c>
      <c r="B162" s="50">
        <v>45022.5481984143</v>
      </c>
      <c r="C162" s="51">
        <v>1.102</v>
      </c>
      <c r="D162" s="51">
        <v>65.0</v>
      </c>
      <c r="E162" s="52" t="s">
        <v>25</v>
      </c>
      <c r="F162" s="52" t="s">
        <v>26</v>
      </c>
      <c r="G162" s="54"/>
    </row>
    <row r="163">
      <c r="A163" s="49">
        <v>45022.433651053245</v>
      </c>
      <c r="B163" s="50">
        <v>45022.558620162</v>
      </c>
      <c r="C163" s="51">
        <v>1.101</v>
      </c>
      <c r="D163" s="51">
        <v>65.0</v>
      </c>
      <c r="E163" s="52" t="s">
        <v>25</v>
      </c>
      <c r="F163" s="52" t="s">
        <v>26</v>
      </c>
      <c r="G163" s="54"/>
    </row>
    <row r="164">
      <c r="A164" s="49">
        <v>45022.44407280092</v>
      </c>
      <c r="B164" s="50">
        <v>45022.5690525347</v>
      </c>
      <c r="C164" s="51">
        <v>1.102</v>
      </c>
      <c r="D164" s="51">
        <v>65.0</v>
      </c>
      <c r="E164" s="52" t="s">
        <v>25</v>
      </c>
      <c r="F164" s="52" t="s">
        <v>26</v>
      </c>
      <c r="G164" s="54"/>
    </row>
    <row r="165">
      <c r="A165" s="49">
        <v>45022.45450039352</v>
      </c>
      <c r="B165" s="50">
        <v>45022.57947353</v>
      </c>
      <c r="C165" s="51">
        <v>1.102</v>
      </c>
      <c r="D165" s="51">
        <v>65.0</v>
      </c>
      <c r="E165" s="52" t="s">
        <v>25</v>
      </c>
      <c r="F165" s="52" t="s">
        <v>26</v>
      </c>
      <c r="G165" s="54"/>
    </row>
    <row r="166">
      <c r="A166" s="49">
        <v>45022.46492694445</v>
      </c>
      <c r="B166" s="50">
        <v>45022.589894699</v>
      </c>
      <c r="C166" s="51">
        <v>1.101</v>
      </c>
      <c r="D166" s="51">
        <v>65.0</v>
      </c>
      <c r="E166" s="52" t="s">
        <v>25</v>
      </c>
      <c r="F166" s="52" t="s">
        <v>26</v>
      </c>
      <c r="G166" s="54"/>
    </row>
    <row r="167">
      <c r="A167" s="49">
        <v>45022.47534640046</v>
      </c>
      <c r="B167" s="50">
        <v>45022.6003143055</v>
      </c>
      <c r="C167" s="51">
        <v>1.101</v>
      </c>
      <c r="D167" s="51">
        <v>65.0</v>
      </c>
      <c r="E167" s="52" t="s">
        <v>25</v>
      </c>
      <c r="F167" s="52" t="s">
        <v>26</v>
      </c>
      <c r="G167" s="54"/>
    </row>
    <row r="168">
      <c r="A168" s="49">
        <v>45022.48575608796</v>
      </c>
      <c r="B168" s="50">
        <v>45022.6107354861</v>
      </c>
      <c r="C168" s="51">
        <v>1.101</v>
      </c>
      <c r="D168" s="51">
        <v>65.0</v>
      </c>
      <c r="E168" s="52" t="s">
        <v>25</v>
      </c>
      <c r="F168" s="52" t="s">
        <v>26</v>
      </c>
      <c r="G168" s="54"/>
    </row>
    <row r="169">
      <c r="A169" s="49">
        <v>45022.496185173615</v>
      </c>
      <c r="B169" s="50">
        <v>45022.621156574</v>
      </c>
      <c r="C169" s="51">
        <v>1.101</v>
      </c>
      <c r="D169" s="51">
        <v>65.0</v>
      </c>
      <c r="E169" s="52" t="s">
        <v>25</v>
      </c>
      <c r="F169" s="52" t="s">
        <v>26</v>
      </c>
      <c r="G169" s="54"/>
    </row>
    <row r="170">
      <c r="A170" s="49">
        <v>45022.50661547454</v>
      </c>
      <c r="B170" s="50">
        <v>45022.6315879861</v>
      </c>
      <c r="C170" s="51">
        <v>1.101</v>
      </c>
      <c r="D170" s="51">
        <v>65.0</v>
      </c>
      <c r="E170" s="52" t="s">
        <v>25</v>
      </c>
      <c r="F170" s="52" t="s">
        <v>26</v>
      </c>
      <c r="G170" s="54"/>
    </row>
    <row r="171">
      <c r="A171" s="49">
        <v>45022.51702890046</v>
      </c>
      <c r="B171" s="50">
        <v>45022.6420085763</v>
      </c>
      <c r="C171" s="51">
        <v>1.102</v>
      </c>
      <c r="D171" s="51">
        <v>65.0</v>
      </c>
      <c r="E171" s="52" t="s">
        <v>25</v>
      </c>
      <c r="F171" s="52" t="s">
        <v>26</v>
      </c>
      <c r="G171" s="54"/>
    </row>
    <row r="172">
      <c r="A172" s="49">
        <v>45022.52745996528</v>
      </c>
      <c r="B172" s="50">
        <v>45022.6524303472</v>
      </c>
      <c r="C172" s="51">
        <v>1.1</v>
      </c>
      <c r="D172" s="51">
        <v>65.0</v>
      </c>
      <c r="E172" s="52" t="s">
        <v>25</v>
      </c>
      <c r="F172" s="52" t="s">
        <v>26</v>
      </c>
      <c r="G172" s="54"/>
    </row>
    <row r="173">
      <c r="A173" s="49">
        <v>45022.53787665509</v>
      </c>
      <c r="B173" s="50">
        <v>45022.6628524421</v>
      </c>
      <c r="C173" s="51">
        <v>1.1</v>
      </c>
      <c r="D173" s="51">
        <v>65.0</v>
      </c>
      <c r="E173" s="52" t="s">
        <v>25</v>
      </c>
      <c r="F173" s="52" t="s">
        <v>26</v>
      </c>
      <c r="G173" s="54"/>
    </row>
    <row r="174">
      <c r="A174" s="49">
        <v>45022.54830765046</v>
      </c>
      <c r="B174" s="50">
        <v>45022.6732736111</v>
      </c>
      <c r="C174" s="51">
        <v>1.1</v>
      </c>
      <c r="D174" s="51">
        <v>65.0</v>
      </c>
      <c r="E174" s="52" t="s">
        <v>25</v>
      </c>
      <c r="F174" s="52" t="s">
        <v>26</v>
      </c>
      <c r="G174" s="54"/>
    </row>
    <row r="175">
      <c r="A175" s="49">
        <v>45022.55871997685</v>
      </c>
      <c r="B175" s="50">
        <v>45022.6836940277</v>
      </c>
      <c r="C175" s="51">
        <v>1.1</v>
      </c>
      <c r="D175" s="51">
        <v>65.0</v>
      </c>
      <c r="E175" s="52" t="s">
        <v>25</v>
      </c>
      <c r="F175" s="52" t="s">
        <v>26</v>
      </c>
      <c r="G175" s="54"/>
    </row>
    <row r="176">
      <c r="A176" s="49">
        <v>45022.569149456016</v>
      </c>
      <c r="B176" s="50">
        <v>45022.6941149884</v>
      </c>
      <c r="C176" s="51">
        <v>1.099</v>
      </c>
      <c r="D176" s="51">
        <v>65.0</v>
      </c>
      <c r="E176" s="52" t="s">
        <v>25</v>
      </c>
      <c r="F176" s="52" t="s">
        <v>26</v>
      </c>
      <c r="G176" s="54"/>
    </row>
    <row r="177">
      <c r="A177" s="49">
        <v>45022.57956462963</v>
      </c>
      <c r="B177" s="50">
        <v>45022.7045348032</v>
      </c>
      <c r="C177" s="51">
        <v>1.1</v>
      </c>
      <c r="D177" s="51">
        <v>65.0</v>
      </c>
      <c r="E177" s="52" t="s">
        <v>25</v>
      </c>
      <c r="F177" s="52" t="s">
        <v>26</v>
      </c>
      <c r="G177" s="54"/>
    </row>
    <row r="178">
      <c r="A178" s="49">
        <v>45022.58998229167</v>
      </c>
      <c r="B178" s="50">
        <v>45022.7149548611</v>
      </c>
      <c r="C178" s="51">
        <v>1.1</v>
      </c>
      <c r="D178" s="51">
        <v>65.0</v>
      </c>
      <c r="E178" s="52" t="s">
        <v>25</v>
      </c>
      <c r="F178" s="52" t="s">
        <v>26</v>
      </c>
      <c r="G178" s="54"/>
    </row>
    <row r="179">
      <c r="A179" s="49">
        <v>45022.600417442125</v>
      </c>
      <c r="B179" s="50">
        <v>45022.7253858796</v>
      </c>
      <c r="C179" s="51">
        <v>1.1</v>
      </c>
      <c r="D179" s="51">
        <v>65.0</v>
      </c>
      <c r="E179" s="52" t="s">
        <v>25</v>
      </c>
      <c r="F179" s="52" t="s">
        <v>26</v>
      </c>
      <c r="G179" s="54"/>
    </row>
    <row r="180">
      <c r="A180" s="49">
        <v>45022.61089568287</v>
      </c>
      <c r="B180" s="50">
        <v>45022.735865324</v>
      </c>
      <c r="C180" s="51">
        <v>1.099</v>
      </c>
      <c r="D180" s="51">
        <v>65.0</v>
      </c>
      <c r="E180" s="52" t="s">
        <v>25</v>
      </c>
      <c r="F180" s="52" t="s">
        <v>26</v>
      </c>
      <c r="G180" s="54"/>
    </row>
    <row r="181">
      <c r="A181" s="49">
        <v>45022.6213097338</v>
      </c>
      <c r="B181" s="50">
        <v>45022.7462859375</v>
      </c>
      <c r="C181" s="51">
        <v>1.1</v>
      </c>
      <c r="D181" s="51">
        <v>65.0</v>
      </c>
      <c r="E181" s="52" t="s">
        <v>25</v>
      </c>
      <c r="F181" s="52" t="s">
        <v>26</v>
      </c>
      <c r="G181" s="54"/>
    </row>
    <row r="182">
      <c r="A182" s="49">
        <v>45022.631748796295</v>
      </c>
      <c r="B182" s="50">
        <v>45022.7567068865</v>
      </c>
      <c r="C182" s="51">
        <v>1.099</v>
      </c>
      <c r="D182" s="51">
        <v>65.0</v>
      </c>
      <c r="E182" s="52" t="s">
        <v>25</v>
      </c>
      <c r="F182" s="52" t="s">
        <v>26</v>
      </c>
      <c r="G182" s="54"/>
    </row>
    <row r="183">
      <c r="A183" s="49">
        <v>45022.6421666088</v>
      </c>
      <c r="B183" s="50">
        <v>45022.7671285416</v>
      </c>
      <c r="C183" s="51">
        <v>1.099</v>
      </c>
      <c r="D183" s="51">
        <v>65.0</v>
      </c>
      <c r="E183" s="52" t="s">
        <v>25</v>
      </c>
      <c r="F183" s="52" t="s">
        <v>26</v>
      </c>
      <c r="G183" s="54"/>
    </row>
    <row r="184">
      <c r="A184" s="49">
        <v>45022.65257759259</v>
      </c>
      <c r="B184" s="50">
        <v>45022.7775495833</v>
      </c>
      <c r="C184" s="51">
        <v>1.099</v>
      </c>
      <c r="D184" s="51">
        <v>65.0</v>
      </c>
      <c r="E184" s="52" t="s">
        <v>25</v>
      </c>
      <c r="F184" s="52" t="s">
        <v>26</v>
      </c>
      <c r="G184" s="54"/>
    </row>
    <row r="185">
      <c r="A185" s="49">
        <v>45022.662995983796</v>
      </c>
      <c r="B185" s="50">
        <v>45022.787969375</v>
      </c>
      <c r="C185" s="51">
        <v>1.099</v>
      </c>
      <c r="D185" s="51">
        <v>65.0</v>
      </c>
      <c r="E185" s="52" t="s">
        <v>25</v>
      </c>
      <c r="F185" s="52" t="s">
        <v>26</v>
      </c>
      <c r="G185" s="54"/>
    </row>
    <row r="186">
      <c r="A186" s="49">
        <v>45022.67341912037</v>
      </c>
      <c r="B186" s="50">
        <v>45022.798390949</v>
      </c>
      <c r="C186" s="51">
        <v>1.099</v>
      </c>
      <c r="D186" s="51">
        <v>65.0</v>
      </c>
      <c r="E186" s="52" t="s">
        <v>25</v>
      </c>
      <c r="F186" s="52" t="s">
        <v>26</v>
      </c>
      <c r="G186" s="54"/>
    </row>
    <row r="187">
      <c r="A187" s="49">
        <v>45022.68383476852</v>
      </c>
      <c r="B187" s="50">
        <v>45022.8088137615</v>
      </c>
      <c r="C187" s="51">
        <v>1.099</v>
      </c>
      <c r="D187" s="51">
        <v>65.0</v>
      </c>
      <c r="E187" s="52" t="s">
        <v>25</v>
      </c>
      <c r="F187" s="52" t="s">
        <v>26</v>
      </c>
      <c r="G187" s="54"/>
    </row>
    <row r="188">
      <c r="A188" s="49">
        <v>45022.69426422454</v>
      </c>
      <c r="B188" s="50">
        <v>45022.8192340046</v>
      </c>
      <c r="C188" s="51">
        <v>1.099</v>
      </c>
      <c r="D188" s="51">
        <v>65.0</v>
      </c>
      <c r="E188" s="52" t="s">
        <v>25</v>
      </c>
      <c r="F188" s="52" t="s">
        <v>26</v>
      </c>
      <c r="G188" s="54"/>
    </row>
    <row r="189">
      <c r="A189" s="49">
        <v>45022.70468378472</v>
      </c>
      <c r="B189" s="50">
        <v>45022.8296565393</v>
      </c>
      <c r="C189" s="51">
        <v>1.1</v>
      </c>
      <c r="D189" s="51">
        <v>65.0</v>
      </c>
      <c r="E189" s="52" t="s">
        <v>25</v>
      </c>
      <c r="F189" s="52" t="s">
        <v>26</v>
      </c>
      <c r="G189" s="54"/>
    </row>
    <row r="190">
      <c r="A190" s="49">
        <v>45022.715105243056</v>
      </c>
      <c r="B190" s="50">
        <v>45022.8400792013</v>
      </c>
      <c r="C190" s="51">
        <v>1.099</v>
      </c>
      <c r="D190" s="51">
        <v>65.0</v>
      </c>
      <c r="E190" s="52" t="s">
        <v>25</v>
      </c>
      <c r="F190" s="52" t="s">
        <v>26</v>
      </c>
      <c r="G190" s="54"/>
    </row>
    <row r="191">
      <c r="A191" s="49">
        <v>45022.72553232639</v>
      </c>
      <c r="B191" s="50">
        <v>45022.8505118287</v>
      </c>
      <c r="C191" s="51">
        <v>1.099</v>
      </c>
      <c r="D191" s="51">
        <v>65.0</v>
      </c>
      <c r="E191" s="52" t="s">
        <v>25</v>
      </c>
      <c r="F191" s="52" t="s">
        <v>26</v>
      </c>
      <c r="G191" s="54"/>
    </row>
    <row r="192">
      <c r="A192" s="49">
        <v>45022.73597840278</v>
      </c>
      <c r="B192" s="50">
        <v>45022.8609461226</v>
      </c>
      <c r="C192" s="51">
        <v>1.097</v>
      </c>
      <c r="D192" s="51">
        <v>65.0</v>
      </c>
      <c r="E192" s="52" t="s">
        <v>25</v>
      </c>
      <c r="F192" s="52" t="s">
        <v>26</v>
      </c>
      <c r="G192" s="54"/>
    </row>
    <row r="193">
      <c r="A193" s="49">
        <v>45022.746394710644</v>
      </c>
      <c r="B193" s="50">
        <v>45022.8713687037</v>
      </c>
      <c r="C193" s="51">
        <v>1.098</v>
      </c>
      <c r="D193" s="51">
        <v>65.0</v>
      </c>
      <c r="E193" s="52" t="s">
        <v>25</v>
      </c>
      <c r="F193" s="52" t="s">
        <v>26</v>
      </c>
      <c r="G193" s="54"/>
    </row>
    <row r="194">
      <c r="A194" s="49">
        <v>45022.75680804398</v>
      </c>
      <c r="B194" s="50">
        <v>45022.8817891782</v>
      </c>
      <c r="C194" s="51">
        <v>1.098</v>
      </c>
      <c r="D194" s="51">
        <v>65.0</v>
      </c>
      <c r="E194" s="52" t="s">
        <v>25</v>
      </c>
      <c r="F194" s="52" t="s">
        <v>26</v>
      </c>
      <c r="G194" s="54"/>
    </row>
    <row r="195">
      <c r="A195" s="49">
        <v>45022.76723614583</v>
      </c>
      <c r="B195" s="50">
        <v>45022.8922092592</v>
      </c>
      <c r="C195" s="51">
        <v>1.098</v>
      </c>
      <c r="D195" s="51">
        <v>65.0</v>
      </c>
      <c r="E195" s="52" t="s">
        <v>25</v>
      </c>
      <c r="F195" s="52" t="s">
        <v>26</v>
      </c>
      <c r="G195" s="54"/>
    </row>
    <row r="196">
      <c r="A196" s="49">
        <v>45022.7776708912</v>
      </c>
      <c r="B196" s="50">
        <v>45022.9026414583</v>
      </c>
      <c r="C196" s="51">
        <v>1.099</v>
      </c>
      <c r="D196" s="51">
        <v>65.0</v>
      </c>
      <c r="E196" s="52" t="s">
        <v>25</v>
      </c>
      <c r="F196" s="52" t="s">
        <v>26</v>
      </c>
      <c r="G196" s="54"/>
    </row>
    <row r="197">
      <c r="A197" s="49">
        <v>45022.78815666666</v>
      </c>
      <c r="B197" s="50">
        <v>45022.9130755092</v>
      </c>
      <c r="C197" s="51">
        <v>1.098</v>
      </c>
      <c r="D197" s="51">
        <v>65.0</v>
      </c>
      <c r="E197" s="52" t="s">
        <v>25</v>
      </c>
      <c r="F197" s="52" t="s">
        <v>26</v>
      </c>
      <c r="G197" s="54"/>
    </row>
    <row r="198">
      <c r="A198" s="49">
        <v>45022.798514884256</v>
      </c>
      <c r="B198" s="50">
        <v>45022.9234967592</v>
      </c>
      <c r="C198" s="51">
        <v>1.097</v>
      </c>
      <c r="D198" s="51">
        <v>65.0</v>
      </c>
      <c r="E198" s="52" t="s">
        <v>25</v>
      </c>
      <c r="F198" s="52" t="s">
        <v>26</v>
      </c>
      <c r="G198" s="54"/>
    </row>
    <row r="199">
      <c r="A199" s="49">
        <v>45022.80897175926</v>
      </c>
      <c r="B199" s="50">
        <v>45022.9339424421</v>
      </c>
      <c r="C199" s="51">
        <v>1.097</v>
      </c>
      <c r="D199" s="51">
        <v>65.0</v>
      </c>
      <c r="E199" s="52" t="s">
        <v>25</v>
      </c>
      <c r="F199" s="52" t="s">
        <v>26</v>
      </c>
      <c r="G199" s="54"/>
    </row>
    <row r="200">
      <c r="A200" s="49">
        <v>45022.81945938658</v>
      </c>
      <c r="B200" s="50">
        <v>45022.944388368</v>
      </c>
      <c r="C200" s="51">
        <v>1.098</v>
      </c>
      <c r="D200" s="51">
        <v>65.0</v>
      </c>
      <c r="E200" s="52" t="s">
        <v>25</v>
      </c>
      <c r="F200" s="52" t="s">
        <v>26</v>
      </c>
      <c r="G200" s="54"/>
    </row>
    <row r="201">
      <c r="A201" s="49">
        <v>45022.82987427083</v>
      </c>
      <c r="B201" s="50">
        <v>45022.9548074884</v>
      </c>
      <c r="C201" s="51">
        <v>1.098</v>
      </c>
      <c r="D201" s="51">
        <v>65.0</v>
      </c>
      <c r="E201" s="52" t="s">
        <v>25</v>
      </c>
      <c r="F201" s="52" t="s">
        <v>26</v>
      </c>
      <c r="G201" s="54"/>
    </row>
    <row r="202">
      <c r="A202" s="49">
        <v>45022.840302303244</v>
      </c>
      <c r="B202" s="50">
        <v>45022.965240081</v>
      </c>
      <c r="C202" s="51">
        <v>1.098</v>
      </c>
      <c r="D202" s="51">
        <v>65.0</v>
      </c>
      <c r="E202" s="52" t="s">
        <v>25</v>
      </c>
      <c r="F202" s="52" t="s">
        <v>26</v>
      </c>
      <c r="G202" s="54"/>
    </row>
    <row r="203">
      <c r="A203" s="49">
        <v>45022.85072796296</v>
      </c>
      <c r="B203" s="50">
        <v>45022.9756621527</v>
      </c>
      <c r="C203" s="51">
        <v>1.097</v>
      </c>
      <c r="D203" s="51">
        <v>65.0</v>
      </c>
      <c r="E203" s="52" t="s">
        <v>25</v>
      </c>
      <c r="F203" s="52" t="s">
        <v>26</v>
      </c>
      <c r="G203" s="54"/>
    </row>
    <row r="204">
      <c r="A204" s="49">
        <v>45022.861147731484</v>
      </c>
      <c r="B204" s="50">
        <v>45022.9861081481</v>
      </c>
      <c r="C204" s="51">
        <v>1.096</v>
      </c>
      <c r="D204" s="51">
        <v>65.0</v>
      </c>
      <c r="E204" s="52" t="s">
        <v>25</v>
      </c>
      <c r="F204" s="52" t="s">
        <v>26</v>
      </c>
      <c r="G204" s="54"/>
    </row>
    <row r="205">
      <c r="A205" s="49">
        <v>45022.87157186343</v>
      </c>
      <c r="B205" s="50">
        <v>45022.9965293287</v>
      </c>
      <c r="C205" s="51">
        <v>1.097</v>
      </c>
      <c r="D205" s="51">
        <v>65.0</v>
      </c>
      <c r="E205" s="52" t="s">
        <v>25</v>
      </c>
      <c r="F205" s="52" t="s">
        <v>26</v>
      </c>
      <c r="G205" s="54"/>
    </row>
    <row r="206">
      <c r="A206" s="49">
        <v>45022.88199949074</v>
      </c>
      <c r="B206" s="50">
        <v>45023.0069625</v>
      </c>
      <c r="C206" s="51">
        <v>1.097</v>
      </c>
      <c r="D206" s="51">
        <v>65.0</v>
      </c>
      <c r="E206" s="52" t="s">
        <v>25</v>
      </c>
      <c r="F206" s="52" t="s">
        <v>26</v>
      </c>
      <c r="G206" s="54"/>
    </row>
    <row r="207">
      <c r="A207" s="49">
        <v>45022.892425625</v>
      </c>
      <c r="B207" s="50">
        <v>45023.0173853472</v>
      </c>
      <c r="C207" s="51">
        <v>1.097</v>
      </c>
      <c r="D207" s="51">
        <v>65.0</v>
      </c>
      <c r="E207" s="52" t="s">
        <v>25</v>
      </c>
      <c r="F207" s="52" t="s">
        <v>26</v>
      </c>
      <c r="G207" s="54"/>
    </row>
    <row r="208">
      <c r="A208" s="49">
        <v>45022.90284938658</v>
      </c>
      <c r="B208" s="50">
        <v>45023.0278069675</v>
      </c>
      <c r="C208" s="51">
        <v>1.097</v>
      </c>
      <c r="D208" s="51">
        <v>65.0</v>
      </c>
      <c r="E208" s="52" t="s">
        <v>25</v>
      </c>
      <c r="F208" s="52" t="s">
        <v>26</v>
      </c>
      <c r="G208" s="54"/>
    </row>
    <row r="209">
      <c r="A209" s="49">
        <v>45022.91326884259</v>
      </c>
      <c r="B209" s="50">
        <v>45023.0382275</v>
      </c>
      <c r="C209" s="51">
        <v>1.097</v>
      </c>
      <c r="D209" s="51">
        <v>65.0</v>
      </c>
      <c r="E209" s="52" t="s">
        <v>25</v>
      </c>
      <c r="F209" s="52" t="s">
        <v>26</v>
      </c>
      <c r="G209" s="54"/>
    </row>
    <row r="210">
      <c r="A210" s="49">
        <v>45022.92368846065</v>
      </c>
      <c r="B210" s="50">
        <v>45023.0486498263</v>
      </c>
      <c r="C210" s="51">
        <v>1.098</v>
      </c>
      <c r="D210" s="51">
        <v>65.0</v>
      </c>
      <c r="E210" s="52" t="s">
        <v>25</v>
      </c>
      <c r="F210" s="52" t="s">
        <v>26</v>
      </c>
      <c r="G210" s="54"/>
    </row>
    <row r="211">
      <c r="A211" s="49">
        <v>45022.93411081018</v>
      </c>
      <c r="B211" s="50">
        <v>45023.0590709143</v>
      </c>
      <c r="C211" s="51">
        <v>1.098</v>
      </c>
      <c r="D211" s="51">
        <v>65.0</v>
      </c>
      <c r="E211" s="52" t="s">
        <v>25</v>
      </c>
      <c r="F211" s="52" t="s">
        <v>26</v>
      </c>
      <c r="G211" s="54"/>
    </row>
    <row r="212">
      <c r="A212" s="49">
        <v>45022.94454974537</v>
      </c>
      <c r="B212" s="50">
        <v>45023.0694905902</v>
      </c>
      <c r="C212" s="51">
        <v>1.097</v>
      </c>
      <c r="D212" s="51">
        <v>65.0</v>
      </c>
      <c r="E212" s="52" t="s">
        <v>25</v>
      </c>
      <c r="F212" s="52" t="s">
        <v>26</v>
      </c>
      <c r="G212" s="54"/>
    </row>
    <row r="213">
      <c r="A213" s="49">
        <v>45022.95497450231</v>
      </c>
      <c r="B213" s="50">
        <v>45023.0799335185</v>
      </c>
      <c r="C213" s="51">
        <v>1.097</v>
      </c>
      <c r="D213" s="51">
        <v>65.0</v>
      </c>
      <c r="E213" s="52" t="s">
        <v>25</v>
      </c>
      <c r="F213" s="52" t="s">
        <v>26</v>
      </c>
      <c r="G213" s="54"/>
    </row>
    <row r="214">
      <c r="A214" s="49">
        <v>45022.96539653935</v>
      </c>
      <c r="B214" s="50">
        <v>45023.0903661805</v>
      </c>
      <c r="C214" s="51">
        <v>1.097</v>
      </c>
      <c r="D214" s="51">
        <v>65.0</v>
      </c>
      <c r="E214" s="52" t="s">
        <v>25</v>
      </c>
      <c r="F214" s="52" t="s">
        <v>26</v>
      </c>
      <c r="G214" s="54"/>
    </row>
    <row r="215">
      <c r="A215" s="49">
        <v>45022.975817025464</v>
      </c>
      <c r="B215" s="50">
        <v>45023.1007871527</v>
      </c>
      <c r="C215" s="51">
        <v>1.097</v>
      </c>
      <c r="D215" s="51">
        <v>65.0</v>
      </c>
      <c r="E215" s="52" t="s">
        <v>25</v>
      </c>
      <c r="F215" s="52" t="s">
        <v>26</v>
      </c>
      <c r="G215" s="54"/>
    </row>
    <row r="216">
      <c r="A216" s="49">
        <v>45022.98623739583</v>
      </c>
      <c r="B216" s="50">
        <v>45023.1112076736</v>
      </c>
      <c r="C216" s="51">
        <v>1.098</v>
      </c>
      <c r="D216" s="51">
        <v>65.0</v>
      </c>
      <c r="E216" s="52" t="s">
        <v>25</v>
      </c>
      <c r="F216" s="52" t="s">
        <v>26</v>
      </c>
      <c r="G216" s="54"/>
    </row>
    <row r="217">
      <c r="A217" s="49">
        <v>45022.996746793986</v>
      </c>
      <c r="B217" s="50">
        <v>45023.1216285879</v>
      </c>
      <c r="C217" s="51">
        <v>1.097</v>
      </c>
      <c r="D217" s="51">
        <v>65.0</v>
      </c>
      <c r="E217" s="52" t="s">
        <v>25</v>
      </c>
      <c r="F217" s="52" t="s">
        <v>26</v>
      </c>
      <c r="G217" s="54"/>
    </row>
    <row r="218">
      <c r="A218" s="49">
        <v>45023.007083275465</v>
      </c>
      <c r="B218" s="50">
        <v>45023.1320493287</v>
      </c>
      <c r="C218" s="51">
        <v>1.097</v>
      </c>
      <c r="D218" s="51">
        <v>65.0</v>
      </c>
      <c r="E218" s="52" t="s">
        <v>25</v>
      </c>
      <c r="F218" s="52" t="s">
        <v>26</v>
      </c>
      <c r="G218" s="54"/>
    </row>
    <row r="219">
      <c r="A219" s="49">
        <v>45023.01751200232</v>
      </c>
      <c r="B219" s="50">
        <v>45023.1424708217</v>
      </c>
      <c r="C219" s="51">
        <v>1.097</v>
      </c>
      <c r="D219" s="51">
        <v>65.0</v>
      </c>
      <c r="E219" s="52" t="s">
        <v>25</v>
      </c>
      <c r="F219" s="52" t="s">
        <v>26</v>
      </c>
      <c r="G219" s="54"/>
    </row>
    <row r="220">
      <c r="A220" s="49">
        <v>45023.02795528935</v>
      </c>
      <c r="B220" s="50">
        <v>45023.1528931944</v>
      </c>
      <c r="C220" s="51">
        <v>1.097</v>
      </c>
      <c r="D220" s="51">
        <v>65.0</v>
      </c>
      <c r="E220" s="52" t="s">
        <v>25</v>
      </c>
      <c r="F220" s="52" t="s">
        <v>26</v>
      </c>
      <c r="G220" s="54"/>
    </row>
    <row r="221">
      <c r="A221" s="49">
        <v>45023.03836322916</v>
      </c>
      <c r="B221" s="50">
        <v>45023.16331375</v>
      </c>
      <c r="C221" s="51">
        <v>1.096</v>
      </c>
      <c r="D221" s="51">
        <v>65.0</v>
      </c>
      <c r="E221" s="52" t="s">
        <v>25</v>
      </c>
      <c r="F221" s="52" t="s">
        <v>26</v>
      </c>
      <c r="G221" s="54"/>
    </row>
    <row r="222">
      <c r="A222" s="49">
        <v>45023.04878457176</v>
      </c>
      <c r="B222" s="50">
        <v>45023.1737349537</v>
      </c>
      <c r="C222" s="51">
        <v>1.097</v>
      </c>
      <c r="D222" s="51">
        <v>65.0</v>
      </c>
      <c r="E222" s="52" t="s">
        <v>25</v>
      </c>
      <c r="F222" s="52" t="s">
        <v>26</v>
      </c>
      <c r="G222" s="54"/>
    </row>
    <row r="223">
      <c r="A223" s="49">
        <v>45023.05920565972</v>
      </c>
      <c r="B223" s="50">
        <v>45023.1841669676</v>
      </c>
      <c r="C223" s="51">
        <v>1.097</v>
      </c>
      <c r="D223" s="51">
        <v>65.0</v>
      </c>
      <c r="E223" s="52" t="s">
        <v>25</v>
      </c>
      <c r="F223" s="52" t="s">
        <v>26</v>
      </c>
      <c r="G223" s="54"/>
    </row>
    <row r="224">
      <c r="A224" s="49">
        <v>45023.06963054398</v>
      </c>
      <c r="B224" s="50">
        <v>45023.1945869907</v>
      </c>
      <c r="C224" s="51">
        <v>1.097</v>
      </c>
      <c r="D224" s="51">
        <v>65.0</v>
      </c>
      <c r="E224" s="52" t="s">
        <v>25</v>
      </c>
      <c r="F224" s="52" t="s">
        <v>26</v>
      </c>
      <c r="G224" s="54"/>
    </row>
    <row r="225">
      <c r="A225" s="49">
        <v>45023.08004635417</v>
      </c>
      <c r="B225" s="50">
        <v>45023.2050102546</v>
      </c>
      <c r="C225" s="51">
        <v>1.096</v>
      </c>
      <c r="D225" s="51">
        <v>65.0</v>
      </c>
      <c r="E225" s="52" t="s">
        <v>25</v>
      </c>
      <c r="F225" s="52" t="s">
        <v>26</v>
      </c>
      <c r="G225" s="54"/>
    </row>
    <row r="226">
      <c r="A226" s="49">
        <v>45023.09048077546</v>
      </c>
      <c r="B226" s="50">
        <v>45023.2154322569</v>
      </c>
      <c r="C226" s="51">
        <v>1.096</v>
      </c>
      <c r="D226" s="51">
        <v>65.0</v>
      </c>
      <c r="E226" s="52" t="s">
        <v>25</v>
      </c>
      <c r="F226" s="52" t="s">
        <v>26</v>
      </c>
      <c r="G226" s="54"/>
    </row>
    <row r="227">
      <c r="A227" s="49">
        <v>45023.100892939816</v>
      </c>
      <c r="B227" s="50">
        <v>45023.2258527893</v>
      </c>
      <c r="C227" s="51">
        <v>1.096</v>
      </c>
      <c r="D227" s="51">
        <v>65.0</v>
      </c>
      <c r="E227" s="52" t="s">
        <v>25</v>
      </c>
      <c r="F227" s="52" t="s">
        <v>26</v>
      </c>
      <c r="G227" s="54"/>
    </row>
    <row r="228">
      <c r="A228" s="49">
        <v>45023.11133244213</v>
      </c>
      <c r="B228" s="50">
        <v>45023.2362750231</v>
      </c>
      <c r="C228" s="51">
        <v>1.096</v>
      </c>
      <c r="D228" s="51">
        <v>65.0</v>
      </c>
      <c r="E228" s="52" t="s">
        <v>25</v>
      </c>
      <c r="F228" s="52" t="s">
        <v>26</v>
      </c>
      <c r="G228" s="54"/>
    </row>
    <row r="229">
      <c r="A229" s="49">
        <v>45023.121747199075</v>
      </c>
      <c r="B229" s="50">
        <v>45023.2466961111</v>
      </c>
      <c r="C229" s="51">
        <v>1.096</v>
      </c>
      <c r="D229" s="51">
        <v>65.0</v>
      </c>
      <c r="E229" s="52" t="s">
        <v>25</v>
      </c>
      <c r="F229" s="52" t="s">
        <v>26</v>
      </c>
      <c r="G229" s="54"/>
    </row>
    <row r="230">
      <c r="A230" s="49">
        <v>45023.13217370371</v>
      </c>
      <c r="B230" s="50">
        <v>45023.2571151736</v>
      </c>
      <c r="C230" s="51">
        <v>1.096</v>
      </c>
      <c r="D230" s="51">
        <v>65.0</v>
      </c>
      <c r="E230" s="52" t="s">
        <v>25</v>
      </c>
      <c r="F230" s="52" t="s">
        <v>26</v>
      </c>
      <c r="G230" s="54"/>
    </row>
    <row r="231">
      <c r="A231" s="49">
        <v>45023.142602708336</v>
      </c>
      <c r="B231" s="50">
        <v>45023.2675370486</v>
      </c>
      <c r="C231" s="51">
        <v>1.096</v>
      </c>
      <c r="D231" s="51">
        <v>65.0</v>
      </c>
      <c r="E231" s="52" t="s">
        <v>25</v>
      </c>
      <c r="F231" s="52" t="s">
        <v>26</v>
      </c>
      <c r="G231" s="54"/>
    </row>
    <row r="232">
      <c r="A232" s="49">
        <v>45023.15304185185</v>
      </c>
      <c r="B232" s="50">
        <v>45023.2779686805</v>
      </c>
      <c r="C232" s="51">
        <v>1.096</v>
      </c>
      <c r="D232" s="51">
        <v>65.0</v>
      </c>
      <c r="E232" s="52" t="s">
        <v>25</v>
      </c>
      <c r="F232" s="52" t="s">
        <v>26</v>
      </c>
      <c r="G232" s="54"/>
    </row>
    <row r="233">
      <c r="A233" s="49">
        <v>45023.16346459491</v>
      </c>
      <c r="B233" s="50">
        <v>45023.2883898032</v>
      </c>
      <c r="C233" s="51">
        <v>1.096</v>
      </c>
      <c r="D233" s="51">
        <v>65.0</v>
      </c>
      <c r="E233" s="52" t="s">
        <v>25</v>
      </c>
      <c r="F233" s="52" t="s">
        <v>26</v>
      </c>
      <c r="G233" s="54"/>
    </row>
    <row r="234">
      <c r="A234" s="49">
        <v>45023.17389203704</v>
      </c>
      <c r="B234" s="50">
        <v>45023.2988115162</v>
      </c>
      <c r="C234" s="51">
        <v>1.096</v>
      </c>
      <c r="D234" s="51">
        <v>65.0</v>
      </c>
      <c r="E234" s="52" t="s">
        <v>25</v>
      </c>
      <c r="F234" s="52" t="s">
        <v>26</v>
      </c>
      <c r="G234" s="54"/>
    </row>
    <row r="235">
      <c r="A235" s="49">
        <v>45023.18430877315</v>
      </c>
      <c r="B235" s="50">
        <v>45023.3092311574</v>
      </c>
      <c r="C235" s="51">
        <v>1.096</v>
      </c>
      <c r="D235" s="51">
        <v>65.0</v>
      </c>
      <c r="E235" s="52" t="s">
        <v>25</v>
      </c>
      <c r="F235" s="52" t="s">
        <v>26</v>
      </c>
      <c r="G235" s="54"/>
    </row>
    <row r="236">
      <c r="A236" s="49">
        <v>45023.194743113425</v>
      </c>
      <c r="B236" s="50">
        <v>45023.3196629051</v>
      </c>
      <c r="C236" s="51">
        <v>1.096</v>
      </c>
      <c r="D236" s="51">
        <v>65.0</v>
      </c>
      <c r="E236" s="52" t="s">
        <v>25</v>
      </c>
      <c r="F236" s="52" t="s">
        <v>26</v>
      </c>
      <c r="G236" s="54"/>
    </row>
    <row r="237">
      <c r="A237" s="49">
        <v>45023.20511054398</v>
      </c>
      <c r="B237" s="50">
        <v>45023.3300840509</v>
      </c>
      <c r="C237" s="51">
        <v>1.095</v>
      </c>
      <c r="D237" s="51">
        <v>65.0</v>
      </c>
      <c r="E237" s="52" t="s">
        <v>25</v>
      </c>
      <c r="F237" s="52" t="s">
        <v>26</v>
      </c>
      <c r="G237" s="54"/>
    </row>
    <row r="238">
      <c r="A238" s="49">
        <v>45023.21553223379</v>
      </c>
      <c r="B238" s="50">
        <v>45023.3405073263</v>
      </c>
      <c r="C238" s="51">
        <v>1.095</v>
      </c>
      <c r="D238" s="51">
        <v>65.0</v>
      </c>
      <c r="E238" s="52" t="s">
        <v>25</v>
      </c>
      <c r="F238" s="52" t="s">
        <v>26</v>
      </c>
      <c r="G238" s="54"/>
    </row>
    <row r="239">
      <c r="A239" s="49">
        <v>45023.22595582176</v>
      </c>
      <c r="B239" s="50">
        <v>45023.3509276851</v>
      </c>
      <c r="C239" s="51">
        <v>1.095</v>
      </c>
      <c r="D239" s="51">
        <v>65.0</v>
      </c>
      <c r="E239" s="52" t="s">
        <v>25</v>
      </c>
      <c r="F239" s="52" t="s">
        <v>26</v>
      </c>
      <c r="G239" s="54"/>
    </row>
    <row r="240">
      <c r="A240" s="49">
        <v>45023.23645627315</v>
      </c>
      <c r="B240" s="50">
        <v>45023.3613840856</v>
      </c>
      <c r="C240" s="51">
        <v>1.095</v>
      </c>
      <c r="D240" s="51">
        <v>65.0</v>
      </c>
      <c r="E240" s="52" t="s">
        <v>25</v>
      </c>
      <c r="F240" s="52" t="s">
        <v>26</v>
      </c>
      <c r="G240" s="54"/>
    </row>
    <row r="241">
      <c r="A241" s="49">
        <v>45023.24688127315</v>
      </c>
      <c r="B241" s="50">
        <v>45023.3718045138</v>
      </c>
      <c r="C241" s="51">
        <v>1.095</v>
      </c>
      <c r="D241" s="51">
        <v>65.0</v>
      </c>
      <c r="E241" s="52" t="s">
        <v>25</v>
      </c>
      <c r="F241" s="52" t="s">
        <v>26</v>
      </c>
      <c r="G241" s="54"/>
    </row>
    <row r="242">
      <c r="A242" s="49">
        <v>45023.25731734953</v>
      </c>
      <c r="B242" s="50">
        <v>45023.382237824</v>
      </c>
      <c r="C242" s="51">
        <v>1.095</v>
      </c>
      <c r="D242" s="51">
        <v>65.0</v>
      </c>
      <c r="E242" s="52" t="s">
        <v>25</v>
      </c>
      <c r="F242" s="52" t="s">
        <v>26</v>
      </c>
      <c r="G242" s="54"/>
    </row>
    <row r="243">
      <c r="A243" s="49">
        <v>45023.26773288194</v>
      </c>
      <c r="B243" s="50">
        <v>45023.3926569675</v>
      </c>
      <c r="C243" s="51">
        <v>1.095</v>
      </c>
      <c r="D243" s="51">
        <v>65.0</v>
      </c>
      <c r="E243" s="52" t="s">
        <v>25</v>
      </c>
      <c r="F243" s="52" t="s">
        <v>26</v>
      </c>
      <c r="G243" s="54"/>
    </row>
    <row r="244">
      <c r="A244" s="49">
        <v>45023.27815900463</v>
      </c>
      <c r="B244" s="50">
        <v>45023.4030780671</v>
      </c>
      <c r="C244" s="51">
        <v>1.094</v>
      </c>
      <c r="D244" s="51">
        <v>65.0</v>
      </c>
      <c r="E244" s="52" t="s">
        <v>25</v>
      </c>
      <c r="F244" s="52" t="s">
        <v>26</v>
      </c>
      <c r="G244" s="54"/>
    </row>
    <row r="245">
      <c r="A245" s="49">
        <v>45023.288585358794</v>
      </c>
      <c r="B245" s="50">
        <v>45023.4134997916</v>
      </c>
      <c r="C245" s="51">
        <v>1.095</v>
      </c>
      <c r="D245" s="51">
        <v>65.0</v>
      </c>
      <c r="E245" s="52" t="s">
        <v>25</v>
      </c>
      <c r="F245" s="52" t="s">
        <v>26</v>
      </c>
      <c r="G245" s="54"/>
    </row>
    <row r="246">
      <c r="A246" s="49">
        <v>45023.29901453704</v>
      </c>
      <c r="B246" s="50">
        <v>45023.4239216087</v>
      </c>
      <c r="C246" s="51">
        <v>1.094</v>
      </c>
      <c r="D246" s="51">
        <v>65.0</v>
      </c>
      <c r="E246" s="52" t="s">
        <v>25</v>
      </c>
      <c r="F246" s="52" t="s">
        <v>26</v>
      </c>
      <c r="G246" s="54"/>
    </row>
    <row r="247">
      <c r="A247" s="49">
        <v>45023.30942498843</v>
      </c>
      <c r="B247" s="50">
        <v>45023.4343428819</v>
      </c>
      <c r="C247" s="51">
        <v>1.095</v>
      </c>
      <c r="D247" s="51">
        <v>65.0</v>
      </c>
      <c r="E247" s="52" t="s">
        <v>25</v>
      </c>
      <c r="F247" s="52" t="s">
        <v>26</v>
      </c>
      <c r="G247" s="54"/>
    </row>
    <row r="248">
      <c r="A248" s="49">
        <v>45023.319856030095</v>
      </c>
      <c r="B248" s="50">
        <v>45023.4447766203</v>
      </c>
      <c r="C248" s="51">
        <v>1.095</v>
      </c>
      <c r="D248" s="51">
        <v>65.0</v>
      </c>
      <c r="E248" s="52" t="s">
        <v>25</v>
      </c>
      <c r="F248" s="52" t="s">
        <v>26</v>
      </c>
      <c r="G248" s="54"/>
    </row>
    <row r="249">
      <c r="A249" s="49">
        <v>45023.330224895835</v>
      </c>
      <c r="B249" s="50">
        <v>45023.4551975694</v>
      </c>
      <c r="C249" s="51">
        <v>1.094</v>
      </c>
      <c r="D249" s="51">
        <v>65.0</v>
      </c>
      <c r="E249" s="52" t="s">
        <v>25</v>
      </c>
      <c r="F249" s="52" t="s">
        <v>26</v>
      </c>
      <c r="G249" s="54"/>
    </row>
    <row r="250">
      <c r="A250" s="49">
        <v>45023.340640752314</v>
      </c>
      <c r="B250" s="50">
        <v>45023.46561978</v>
      </c>
      <c r="C250" s="51">
        <v>1.095</v>
      </c>
      <c r="D250" s="51">
        <v>65.0</v>
      </c>
      <c r="E250" s="52" t="s">
        <v>25</v>
      </c>
      <c r="F250" s="52" t="s">
        <v>26</v>
      </c>
      <c r="G250" s="54"/>
    </row>
    <row r="251">
      <c r="A251" s="49">
        <v>45023.35114209491</v>
      </c>
      <c r="B251" s="50">
        <v>45023.4760515856</v>
      </c>
      <c r="C251" s="51">
        <v>1.094</v>
      </c>
      <c r="D251" s="51">
        <v>65.0</v>
      </c>
      <c r="E251" s="52" t="s">
        <v>25</v>
      </c>
      <c r="F251" s="52" t="s">
        <v>26</v>
      </c>
      <c r="G251" s="54"/>
    </row>
    <row r="252">
      <c r="A252" s="49">
        <v>45023.36155888889</v>
      </c>
      <c r="B252" s="50">
        <v>45023.4864735879</v>
      </c>
      <c r="C252" s="51">
        <v>1.094</v>
      </c>
      <c r="D252" s="51">
        <v>65.0</v>
      </c>
      <c r="E252" s="52" t="s">
        <v>25</v>
      </c>
      <c r="F252" s="52" t="s">
        <v>26</v>
      </c>
      <c r="G252" s="54"/>
    </row>
    <row r="253">
      <c r="A253" s="49">
        <v>45023.37199222222</v>
      </c>
      <c r="B253" s="50">
        <v>45023.496907037</v>
      </c>
      <c r="C253" s="51">
        <v>1.094</v>
      </c>
      <c r="D253" s="51">
        <v>65.0</v>
      </c>
      <c r="E253" s="52" t="s">
        <v>25</v>
      </c>
      <c r="F253" s="52" t="s">
        <v>26</v>
      </c>
      <c r="G253" s="54"/>
    </row>
    <row r="254">
      <c r="A254" s="49">
        <v>45023.382410300925</v>
      </c>
      <c r="B254" s="50">
        <v>45023.5073287847</v>
      </c>
      <c r="C254" s="51">
        <v>1.094</v>
      </c>
      <c r="D254" s="51">
        <v>65.0</v>
      </c>
      <c r="E254" s="52" t="s">
        <v>25</v>
      </c>
      <c r="F254" s="52" t="s">
        <v>26</v>
      </c>
      <c r="G254" s="54"/>
    </row>
    <row r="255">
      <c r="A255" s="49">
        <v>45023.392856990744</v>
      </c>
      <c r="B255" s="50">
        <v>45023.517772662</v>
      </c>
      <c r="C255" s="51">
        <v>1.094</v>
      </c>
      <c r="D255" s="51">
        <v>65.0</v>
      </c>
      <c r="E255" s="52" t="s">
        <v>25</v>
      </c>
      <c r="F255" s="52" t="s">
        <v>26</v>
      </c>
      <c r="G255" s="54"/>
    </row>
    <row r="256">
      <c r="A256" s="49">
        <v>45023.40327674769</v>
      </c>
      <c r="B256" s="50">
        <v>45023.528194537</v>
      </c>
      <c r="C256" s="51">
        <v>1.094</v>
      </c>
      <c r="D256" s="51">
        <v>65.0</v>
      </c>
      <c r="E256" s="52" t="s">
        <v>25</v>
      </c>
      <c r="F256" s="52" t="s">
        <v>26</v>
      </c>
      <c r="G256" s="54"/>
    </row>
    <row r="257">
      <c r="A257" s="49">
        <v>45023.41370072917</v>
      </c>
      <c r="B257" s="50">
        <v>45023.538617581</v>
      </c>
      <c r="C257" s="51">
        <v>1.094</v>
      </c>
      <c r="D257" s="51">
        <v>65.0</v>
      </c>
      <c r="E257" s="52" t="s">
        <v>25</v>
      </c>
      <c r="F257" s="52" t="s">
        <v>26</v>
      </c>
      <c r="G257" s="54"/>
    </row>
    <row r="258">
      <c r="A258" s="49">
        <v>45023.42412355324</v>
      </c>
      <c r="B258" s="50">
        <v>45023.5490383449</v>
      </c>
      <c r="C258" s="51">
        <v>1.094</v>
      </c>
      <c r="D258" s="51">
        <v>65.0</v>
      </c>
      <c r="E258" s="52" t="s">
        <v>25</v>
      </c>
      <c r="F258" s="52" t="s">
        <v>26</v>
      </c>
      <c r="G258" s="54"/>
    </row>
    <row r="259">
      <c r="A259" s="49">
        <v>45023.434533067135</v>
      </c>
      <c r="B259" s="50">
        <v>45023.5594593865</v>
      </c>
      <c r="C259" s="51">
        <v>1.094</v>
      </c>
      <c r="D259" s="51">
        <v>65.0</v>
      </c>
      <c r="E259" s="52" t="s">
        <v>25</v>
      </c>
      <c r="F259" s="52" t="s">
        <v>26</v>
      </c>
      <c r="G259" s="54"/>
    </row>
    <row r="260">
      <c r="A260" s="49">
        <v>45023.44496143519</v>
      </c>
      <c r="B260" s="50">
        <v>45023.5698931481</v>
      </c>
      <c r="C260" s="51">
        <v>1.094</v>
      </c>
      <c r="D260" s="51">
        <v>65.0</v>
      </c>
      <c r="E260" s="52" t="s">
        <v>25</v>
      </c>
      <c r="F260" s="52" t="s">
        <v>26</v>
      </c>
      <c r="G260" s="54"/>
    </row>
    <row r="261">
      <c r="A261" s="49">
        <v>45023.455393993056</v>
      </c>
      <c r="B261" s="50">
        <v>45023.5803136111</v>
      </c>
      <c r="C261" s="51">
        <v>1.094</v>
      </c>
      <c r="D261" s="51">
        <v>65.0</v>
      </c>
      <c r="E261" s="52" t="s">
        <v>25</v>
      </c>
      <c r="F261" s="52" t="s">
        <v>26</v>
      </c>
      <c r="G261" s="54"/>
    </row>
    <row r="262">
      <c r="A262" s="49">
        <v>45023.465814826384</v>
      </c>
      <c r="B262" s="50">
        <v>45023.5907343981</v>
      </c>
      <c r="C262" s="51">
        <v>1.093</v>
      </c>
      <c r="D262" s="51">
        <v>65.0</v>
      </c>
      <c r="E262" s="52" t="s">
        <v>25</v>
      </c>
      <c r="F262" s="52" t="s">
        <v>26</v>
      </c>
      <c r="G262" s="54"/>
    </row>
    <row r="263">
      <c r="A263" s="49">
        <v>45023.476234560185</v>
      </c>
      <c r="B263" s="50">
        <v>45023.6011675347</v>
      </c>
      <c r="C263" s="51">
        <v>1.094</v>
      </c>
      <c r="D263" s="51">
        <v>65.0</v>
      </c>
      <c r="E263" s="52" t="s">
        <v>25</v>
      </c>
      <c r="F263" s="52" t="s">
        <v>26</v>
      </c>
      <c r="G263" s="54"/>
    </row>
    <row r="264">
      <c r="A264" s="49">
        <v>45023.48667297454</v>
      </c>
      <c r="B264" s="50">
        <v>45023.61158853</v>
      </c>
      <c r="C264" s="51">
        <v>1.094</v>
      </c>
      <c r="D264" s="51">
        <v>65.0</v>
      </c>
      <c r="E264" s="52" t="s">
        <v>25</v>
      </c>
      <c r="F264" s="52" t="s">
        <v>26</v>
      </c>
      <c r="G264" s="54"/>
    </row>
    <row r="265">
      <c r="A265" s="49">
        <v>45023.49709449074</v>
      </c>
      <c r="B265" s="50">
        <v>45023.6220099421</v>
      </c>
      <c r="C265" s="51">
        <v>1.094</v>
      </c>
      <c r="D265" s="51">
        <v>65.0</v>
      </c>
      <c r="E265" s="52" t="s">
        <v>25</v>
      </c>
      <c r="F265" s="52" t="s">
        <v>26</v>
      </c>
      <c r="G265" s="54"/>
    </row>
    <row r="266">
      <c r="A266" s="49">
        <v>45023.50745741898</v>
      </c>
      <c r="B266" s="50">
        <v>45023.6324317361</v>
      </c>
      <c r="C266" s="51">
        <v>1.093</v>
      </c>
      <c r="D266" s="51">
        <v>65.0</v>
      </c>
      <c r="E266" s="52" t="s">
        <v>25</v>
      </c>
      <c r="F266" s="52" t="s">
        <v>26</v>
      </c>
      <c r="G266" s="54"/>
    </row>
    <row r="267">
      <c r="A267" s="49">
        <v>45023.51788590278</v>
      </c>
      <c r="B267" s="50">
        <v>45023.6428532291</v>
      </c>
      <c r="C267" s="51">
        <v>1.093</v>
      </c>
      <c r="D267" s="51">
        <v>65.0</v>
      </c>
      <c r="E267" s="52" t="s">
        <v>25</v>
      </c>
      <c r="F267" s="52" t="s">
        <v>26</v>
      </c>
      <c r="G267" s="54"/>
    </row>
    <row r="268">
      <c r="A268" s="49">
        <v>45023.528307754634</v>
      </c>
      <c r="B268" s="50">
        <v>45023.6532737731</v>
      </c>
      <c r="C268" s="51">
        <v>1.093</v>
      </c>
      <c r="D268" s="51">
        <v>65.0</v>
      </c>
      <c r="E268" s="52" t="s">
        <v>25</v>
      </c>
      <c r="F268" s="52" t="s">
        <v>26</v>
      </c>
      <c r="G268" s="54"/>
    </row>
    <row r="269">
      <c r="A269" s="49">
        <v>45023.538719351855</v>
      </c>
      <c r="B269" s="50">
        <v>45023.663694456</v>
      </c>
      <c r="C269" s="51">
        <v>1.093</v>
      </c>
      <c r="D269" s="51">
        <v>65.0</v>
      </c>
      <c r="E269" s="52" t="s">
        <v>25</v>
      </c>
      <c r="F269" s="52" t="s">
        <v>26</v>
      </c>
      <c r="G269" s="54"/>
    </row>
    <row r="270">
      <c r="A270" s="49">
        <v>45023.549160821756</v>
      </c>
      <c r="B270" s="50">
        <v>45023.6741271064</v>
      </c>
      <c r="C270" s="51">
        <v>1.093</v>
      </c>
      <c r="D270" s="51">
        <v>65.0</v>
      </c>
      <c r="E270" s="52" t="s">
        <v>25</v>
      </c>
      <c r="F270" s="52" t="s">
        <v>26</v>
      </c>
      <c r="G270" s="54"/>
    </row>
    <row r="271">
      <c r="A271" s="49">
        <v>45023.559581354166</v>
      </c>
      <c r="B271" s="50">
        <v>45023.6845475231</v>
      </c>
      <c r="C271" s="51">
        <v>1.093</v>
      </c>
      <c r="D271" s="51">
        <v>65.0</v>
      </c>
      <c r="E271" s="52" t="s">
        <v>25</v>
      </c>
      <c r="F271" s="52" t="s">
        <v>26</v>
      </c>
      <c r="G271" s="54"/>
    </row>
    <row r="272">
      <c r="A272" s="49">
        <v>45023.569991550925</v>
      </c>
      <c r="B272" s="50">
        <v>45023.6949666666</v>
      </c>
      <c r="C272" s="51">
        <v>1.093</v>
      </c>
      <c r="D272" s="51">
        <v>65.0</v>
      </c>
      <c r="E272" s="52" t="s">
        <v>25</v>
      </c>
      <c r="F272" s="52" t="s">
        <v>26</v>
      </c>
      <c r="G272" s="54"/>
    </row>
    <row r="273">
      <c r="A273" s="49">
        <v>45023.58041119213</v>
      </c>
      <c r="B273" s="50">
        <v>45023.7053870486</v>
      </c>
      <c r="C273" s="51">
        <v>1.093</v>
      </c>
      <c r="D273" s="51">
        <v>65.0</v>
      </c>
      <c r="E273" s="52" t="s">
        <v>25</v>
      </c>
      <c r="F273" s="52" t="s">
        <v>26</v>
      </c>
      <c r="G273" s="54"/>
    </row>
    <row r="274">
      <c r="A274" s="49">
        <v>45023.59082890046</v>
      </c>
      <c r="B274" s="50">
        <v>45023.7158054629</v>
      </c>
      <c r="C274" s="51">
        <v>1.093</v>
      </c>
      <c r="D274" s="51">
        <v>65.0</v>
      </c>
      <c r="E274" s="52" t="s">
        <v>25</v>
      </c>
      <c r="F274" s="52" t="s">
        <v>26</v>
      </c>
      <c r="G274" s="54"/>
    </row>
    <row r="275">
      <c r="A275" s="49">
        <v>45023.60125008102</v>
      </c>
      <c r="B275" s="50">
        <v>45023.7262253588</v>
      </c>
      <c r="C275" s="51">
        <v>1.092</v>
      </c>
      <c r="D275" s="51">
        <v>65.0</v>
      </c>
      <c r="E275" s="52" t="s">
        <v>25</v>
      </c>
      <c r="F275" s="52" t="s">
        <v>26</v>
      </c>
      <c r="G275" s="54"/>
    </row>
    <row r="276">
      <c r="A276" s="49">
        <v>45023.61166807871</v>
      </c>
      <c r="B276" s="50">
        <v>45023.7366461111</v>
      </c>
      <c r="C276" s="51">
        <v>1.093</v>
      </c>
      <c r="D276" s="51">
        <v>65.0</v>
      </c>
      <c r="E276" s="52" t="s">
        <v>25</v>
      </c>
      <c r="F276" s="52" t="s">
        <v>26</v>
      </c>
      <c r="G276" s="54"/>
    </row>
    <row r="277">
      <c r="A277" s="49">
        <v>45023.622103182875</v>
      </c>
      <c r="B277" s="50">
        <v>45023.7470679861</v>
      </c>
      <c r="C277" s="51">
        <v>1.093</v>
      </c>
      <c r="D277" s="51">
        <v>65.0</v>
      </c>
      <c r="E277" s="52" t="s">
        <v>25</v>
      </c>
      <c r="F277" s="52" t="s">
        <v>26</v>
      </c>
      <c r="G277" s="54"/>
    </row>
    <row r="278">
      <c r="A278" s="49">
        <v>45023.63252068287</v>
      </c>
      <c r="B278" s="50">
        <v>45023.7574896412</v>
      </c>
      <c r="C278" s="51">
        <v>1.093</v>
      </c>
      <c r="D278" s="51">
        <v>65.0</v>
      </c>
      <c r="E278" s="52" t="s">
        <v>25</v>
      </c>
      <c r="F278" s="52" t="s">
        <v>26</v>
      </c>
      <c r="G278" s="54"/>
    </row>
    <row r="279">
      <c r="A279" s="49">
        <v>45023.64294452546</v>
      </c>
      <c r="B279" s="50">
        <v>45023.7679116088</v>
      </c>
      <c r="C279" s="51">
        <v>1.092</v>
      </c>
      <c r="D279" s="51">
        <v>65.0</v>
      </c>
      <c r="E279" s="52" t="s">
        <v>25</v>
      </c>
      <c r="F279" s="52" t="s">
        <v>26</v>
      </c>
      <c r="G279" s="54"/>
    </row>
    <row r="280">
      <c r="A280" s="49">
        <v>45023.65336143519</v>
      </c>
      <c r="B280" s="50">
        <v>45023.7783333912</v>
      </c>
      <c r="C280" s="51">
        <v>1.093</v>
      </c>
      <c r="D280" s="51">
        <v>65.0</v>
      </c>
      <c r="E280" s="52" t="s">
        <v>25</v>
      </c>
      <c r="F280" s="52" t="s">
        <v>26</v>
      </c>
      <c r="G280" s="54"/>
    </row>
    <row r="281">
      <c r="A281" s="49">
        <v>45023.66377331018</v>
      </c>
      <c r="B281" s="50">
        <v>45023.788754375</v>
      </c>
      <c r="C281" s="51">
        <v>1.093</v>
      </c>
      <c r="D281" s="51">
        <v>65.0</v>
      </c>
      <c r="E281" s="52" t="s">
        <v>25</v>
      </c>
      <c r="F281" s="52" t="s">
        <v>26</v>
      </c>
      <c r="G281" s="54"/>
    </row>
    <row r="282">
      <c r="A282" s="49">
        <v>45023.67419471065</v>
      </c>
      <c r="B282" s="50">
        <v>45023.7991760301</v>
      </c>
      <c r="C282" s="51">
        <v>1.093</v>
      </c>
      <c r="D282" s="51">
        <v>65.0</v>
      </c>
      <c r="E282" s="52" t="s">
        <v>25</v>
      </c>
      <c r="F282" s="52" t="s">
        <v>26</v>
      </c>
      <c r="G282" s="54"/>
    </row>
    <row r="283">
      <c r="A283" s="49">
        <v>45023.684628310184</v>
      </c>
      <c r="B283" s="50">
        <v>45023.8095977083</v>
      </c>
      <c r="C283" s="51">
        <v>1.092</v>
      </c>
      <c r="D283" s="51">
        <v>65.0</v>
      </c>
      <c r="E283" s="52" t="s">
        <v>25</v>
      </c>
      <c r="F283" s="52" t="s">
        <v>26</v>
      </c>
      <c r="G283" s="54"/>
    </row>
    <row r="284">
      <c r="A284" s="49">
        <v>45023.69505711806</v>
      </c>
      <c r="B284" s="50">
        <v>45023.8200294328</v>
      </c>
      <c r="C284" s="51">
        <v>1.092</v>
      </c>
      <c r="D284" s="51">
        <v>65.0</v>
      </c>
      <c r="E284" s="52" t="s">
        <v>25</v>
      </c>
      <c r="F284" s="52" t="s">
        <v>26</v>
      </c>
      <c r="G284" s="54"/>
    </row>
    <row r="285">
      <c r="A285" s="49">
        <v>45023.70547423611</v>
      </c>
      <c r="B285" s="50">
        <v>45023.8304518287</v>
      </c>
      <c r="C285" s="51">
        <v>1.093</v>
      </c>
      <c r="D285" s="51">
        <v>65.0</v>
      </c>
      <c r="E285" s="52" t="s">
        <v>25</v>
      </c>
      <c r="F285" s="52" t="s">
        <v>26</v>
      </c>
      <c r="G285" s="54"/>
    </row>
    <row r="286">
      <c r="A286" s="49">
        <v>45023.7158935301</v>
      </c>
      <c r="B286" s="50">
        <v>45023.8408744097</v>
      </c>
      <c r="C286" s="51">
        <v>1.092</v>
      </c>
      <c r="D286" s="51">
        <v>64.0</v>
      </c>
      <c r="E286" s="52" t="s">
        <v>25</v>
      </c>
      <c r="F286" s="52" t="s">
        <v>26</v>
      </c>
      <c r="G286" s="54"/>
    </row>
    <row r="287">
      <c r="A287" s="49">
        <v>45023.726321319446</v>
      </c>
      <c r="B287" s="50">
        <v>45023.8512951967</v>
      </c>
      <c r="C287" s="51">
        <v>1.091</v>
      </c>
      <c r="D287" s="51">
        <v>65.0</v>
      </c>
      <c r="E287" s="52" t="s">
        <v>25</v>
      </c>
      <c r="F287" s="52" t="s">
        <v>26</v>
      </c>
      <c r="G287" s="54"/>
    </row>
    <row r="288">
      <c r="A288" s="49">
        <v>45023.736741493056</v>
      </c>
      <c r="B288" s="50">
        <v>45023.8617183449</v>
      </c>
      <c r="C288" s="51">
        <v>1.092</v>
      </c>
      <c r="D288" s="51">
        <v>65.0</v>
      </c>
      <c r="E288" s="52" t="s">
        <v>25</v>
      </c>
      <c r="F288" s="52" t="s">
        <v>26</v>
      </c>
      <c r="G288" s="54"/>
    </row>
    <row r="289">
      <c r="A289" s="49">
        <v>45023.74716515046</v>
      </c>
      <c r="B289" s="50">
        <v>45023.8721413888</v>
      </c>
      <c r="C289" s="51">
        <v>1.092</v>
      </c>
      <c r="D289" s="51">
        <v>64.0</v>
      </c>
      <c r="E289" s="52" t="s">
        <v>25</v>
      </c>
      <c r="F289" s="52" t="s">
        <v>26</v>
      </c>
      <c r="G289" s="54"/>
    </row>
    <row r="290">
      <c r="A290" s="49">
        <v>45023.757593472226</v>
      </c>
      <c r="B290" s="50">
        <v>45023.8825627777</v>
      </c>
      <c r="C290" s="51">
        <v>1.092</v>
      </c>
      <c r="D290" s="51">
        <v>65.0</v>
      </c>
      <c r="E290" s="52" t="s">
        <v>25</v>
      </c>
      <c r="F290" s="52" t="s">
        <v>26</v>
      </c>
      <c r="G290" s="54"/>
    </row>
    <row r="291">
      <c r="A291" s="49">
        <v>45023.7680170949</v>
      </c>
      <c r="B291" s="50">
        <v>45023.89298353</v>
      </c>
      <c r="C291" s="51">
        <v>1.092</v>
      </c>
      <c r="D291" s="51">
        <v>64.0</v>
      </c>
      <c r="E291" s="52" t="s">
        <v>25</v>
      </c>
      <c r="F291" s="52" t="s">
        <v>26</v>
      </c>
      <c r="G291" s="54"/>
    </row>
    <row r="292">
      <c r="A292" s="49">
        <v>45023.77843348379</v>
      </c>
      <c r="B292" s="50">
        <v>45023.9034037268</v>
      </c>
      <c r="C292" s="51">
        <v>1.092</v>
      </c>
      <c r="D292" s="51">
        <v>64.0</v>
      </c>
      <c r="E292" s="52" t="s">
        <v>25</v>
      </c>
      <c r="F292" s="52" t="s">
        <v>26</v>
      </c>
      <c r="G292" s="54"/>
    </row>
    <row r="293">
      <c r="A293" s="49">
        <v>45023.7888628588</v>
      </c>
      <c r="B293" s="50">
        <v>45023.9138356134</v>
      </c>
      <c r="C293" s="51">
        <v>1.091</v>
      </c>
      <c r="D293" s="51">
        <v>64.0</v>
      </c>
      <c r="E293" s="52" t="s">
        <v>25</v>
      </c>
      <c r="F293" s="52" t="s">
        <v>26</v>
      </c>
      <c r="G293" s="54"/>
    </row>
    <row r="294">
      <c r="A294" s="49">
        <v>45023.799296875004</v>
      </c>
      <c r="B294" s="50">
        <v>45023.9242676504</v>
      </c>
      <c r="C294" s="51">
        <v>1.091</v>
      </c>
      <c r="D294" s="51">
        <v>64.0</v>
      </c>
      <c r="E294" s="52" t="s">
        <v>25</v>
      </c>
      <c r="F294" s="52" t="s">
        <v>26</v>
      </c>
      <c r="G294" s="54"/>
    </row>
    <row r="295">
      <c r="A295" s="49">
        <v>45023.80971277777</v>
      </c>
      <c r="B295" s="50">
        <v>45023.934687743</v>
      </c>
      <c r="C295" s="51">
        <v>1.092</v>
      </c>
      <c r="D295" s="51">
        <v>64.0</v>
      </c>
      <c r="E295" s="52" t="s">
        <v>25</v>
      </c>
      <c r="F295" s="52" t="s">
        <v>26</v>
      </c>
      <c r="G295" s="54"/>
    </row>
    <row r="296">
      <c r="A296" s="49">
        <v>45023.82013140046</v>
      </c>
      <c r="B296" s="50">
        <v>45023.9451095486</v>
      </c>
      <c r="C296" s="51">
        <v>1.092</v>
      </c>
      <c r="D296" s="51">
        <v>64.0</v>
      </c>
      <c r="E296" s="52" t="s">
        <v>25</v>
      </c>
      <c r="F296" s="52" t="s">
        <v>26</v>
      </c>
      <c r="G296" s="54"/>
    </row>
    <row r="297">
      <c r="A297" s="49">
        <v>45023.83056149306</v>
      </c>
      <c r="B297" s="50">
        <v>45023.9555315625</v>
      </c>
      <c r="C297" s="51">
        <v>1.091</v>
      </c>
      <c r="D297" s="51">
        <v>64.0</v>
      </c>
      <c r="E297" s="52" t="s">
        <v>25</v>
      </c>
      <c r="F297" s="52" t="s">
        <v>26</v>
      </c>
      <c r="G297" s="54"/>
    </row>
    <row r="298">
      <c r="A298" s="49">
        <v>45023.84098956018</v>
      </c>
      <c r="B298" s="50">
        <v>45023.9659647916</v>
      </c>
      <c r="C298" s="51">
        <v>1.091</v>
      </c>
      <c r="D298" s="51">
        <v>64.0</v>
      </c>
      <c r="E298" s="52" t="s">
        <v>25</v>
      </c>
      <c r="F298" s="52" t="s">
        <v>26</v>
      </c>
      <c r="G298" s="54"/>
    </row>
    <row r="299">
      <c r="A299" s="49">
        <v>45023.85141440972</v>
      </c>
      <c r="B299" s="50">
        <v>45023.9763861574</v>
      </c>
      <c r="C299" s="51">
        <v>1.091</v>
      </c>
      <c r="D299" s="51">
        <v>64.0</v>
      </c>
      <c r="E299" s="52" t="s">
        <v>25</v>
      </c>
      <c r="F299" s="52" t="s">
        <v>26</v>
      </c>
      <c r="G299" s="54"/>
    </row>
    <row r="300">
      <c r="A300" s="49">
        <v>45023.86183525463</v>
      </c>
      <c r="B300" s="50">
        <v>45023.9868060416</v>
      </c>
      <c r="C300" s="51">
        <v>1.092</v>
      </c>
      <c r="D300" s="51">
        <v>64.0</v>
      </c>
      <c r="E300" s="52" t="s">
        <v>25</v>
      </c>
      <c r="F300" s="52" t="s">
        <v>26</v>
      </c>
      <c r="G300" s="54"/>
    </row>
    <row r="301">
      <c r="A301" s="49">
        <v>45023.872269687505</v>
      </c>
      <c r="B301" s="50">
        <v>45023.9972385995</v>
      </c>
      <c r="C301" s="51">
        <v>1.091</v>
      </c>
      <c r="D301" s="51">
        <v>64.0</v>
      </c>
      <c r="E301" s="52" t="s">
        <v>25</v>
      </c>
      <c r="F301" s="52" t="s">
        <v>26</v>
      </c>
      <c r="G301" s="54"/>
    </row>
    <row r="302">
      <c r="A302" s="49">
        <v>45023.882691770836</v>
      </c>
      <c r="B302" s="50">
        <v>45024.0076703935</v>
      </c>
      <c r="C302" s="51">
        <v>1.09</v>
      </c>
      <c r="D302" s="51">
        <v>64.0</v>
      </c>
      <c r="E302" s="52" t="s">
        <v>25</v>
      </c>
      <c r="F302" s="52" t="s">
        <v>26</v>
      </c>
      <c r="G302" s="54"/>
    </row>
    <row r="303">
      <c r="A303" s="49">
        <v>45023.89311685185</v>
      </c>
      <c r="B303" s="50">
        <v>45024.0180924421</v>
      </c>
      <c r="C303" s="51">
        <v>1.09</v>
      </c>
      <c r="D303" s="51">
        <v>64.0</v>
      </c>
      <c r="E303" s="52" t="s">
        <v>25</v>
      </c>
      <c r="F303" s="52" t="s">
        <v>26</v>
      </c>
      <c r="G303" s="54"/>
    </row>
    <row r="304">
      <c r="A304" s="49">
        <v>45023.90353944444</v>
      </c>
      <c r="B304" s="50">
        <v>45024.0285150115</v>
      </c>
      <c r="C304" s="51">
        <v>1.091</v>
      </c>
      <c r="D304" s="51">
        <v>64.0</v>
      </c>
      <c r="E304" s="52" t="s">
        <v>25</v>
      </c>
      <c r="F304" s="52" t="s">
        <v>26</v>
      </c>
      <c r="G304" s="54"/>
    </row>
    <row r="305">
      <c r="A305" s="49">
        <v>45023.91396711806</v>
      </c>
      <c r="B305" s="50">
        <v>45024.0389365625</v>
      </c>
      <c r="C305" s="51">
        <v>1.091</v>
      </c>
      <c r="D305" s="51">
        <v>64.0</v>
      </c>
      <c r="E305" s="52" t="s">
        <v>25</v>
      </c>
      <c r="F305" s="52" t="s">
        <v>26</v>
      </c>
      <c r="G305" s="54"/>
    </row>
    <row r="306">
      <c r="A306" s="49">
        <v>45023.924376192124</v>
      </c>
      <c r="B306" s="50">
        <v>45024.0493565046</v>
      </c>
      <c r="C306" s="51">
        <v>1.09</v>
      </c>
      <c r="D306" s="51">
        <v>64.0</v>
      </c>
      <c r="E306" s="52" t="s">
        <v>25</v>
      </c>
      <c r="F306" s="52" t="s">
        <v>26</v>
      </c>
      <c r="G306" s="54"/>
    </row>
    <row r="307">
      <c r="A307" s="49">
        <v>45023.93479944444</v>
      </c>
      <c r="B307" s="50">
        <v>45024.0597773726</v>
      </c>
      <c r="C307" s="51">
        <v>1.09</v>
      </c>
      <c r="D307" s="51">
        <v>64.0</v>
      </c>
      <c r="E307" s="52" t="s">
        <v>25</v>
      </c>
      <c r="F307" s="52" t="s">
        <v>26</v>
      </c>
      <c r="G307" s="54"/>
    </row>
    <row r="308">
      <c r="A308" s="49">
        <v>45023.945246863426</v>
      </c>
      <c r="B308" s="50">
        <v>45024.0702202777</v>
      </c>
      <c r="C308" s="51">
        <v>1.091</v>
      </c>
      <c r="D308" s="51">
        <v>64.0</v>
      </c>
      <c r="E308" s="52" t="s">
        <v>25</v>
      </c>
      <c r="F308" s="52" t="s">
        <v>26</v>
      </c>
      <c r="G308" s="54"/>
    </row>
    <row r="309">
      <c r="A309" s="49">
        <v>45023.95566703704</v>
      </c>
      <c r="B309" s="50">
        <v>45024.0806425925</v>
      </c>
      <c r="C309" s="51">
        <v>1.091</v>
      </c>
      <c r="D309" s="51">
        <v>64.0</v>
      </c>
      <c r="E309" s="52" t="s">
        <v>25</v>
      </c>
      <c r="F309" s="52" t="s">
        <v>26</v>
      </c>
      <c r="G309" s="54"/>
    </row>
    <row r="310">
      <c r="A310" s="49">
        <v>45023.96608568287</v>
      </c>
      <c r="B310" s="50">
        <v>45024.0910655092</v>
      </c>
      <c r="C310" s="51">
        <v>1.09</v>
      </c>
      <c r="D310" s="51">
        <v>64.0</v>
      </c>
      <c r="E310" s="52" t="s">
        <v>25</v>
      </c>
      <c r="F310" s="52" t="s">
        <v>26</v>
      </c>
      <c r="G310" s="54"/>
    </row>
    <row r="311">
      <c r="A311" s="49">
        <v>45023.97651284722</v>
      </c>
      <c r="B311" s="50">
        <v>45024.1014868287</v>
      </c>
      <c r="C311" s="51">
        <v>1.09</v>
      </c>
      <c r="D311" s="51">
        <v>64.0</v>
      </c>
      <c r="E311" s="52" t="s">
        <v>25</v>
      </c>
      <c r="F311" s="52" t="s">
        <v>26</v>
      </c>
      <c r="G311" s="54"/>
    </row>
    <row r="312">
      <c r="A312" s="49">
        <v>45023.98693728009</v>
      </c>
      <c r="B312" s="50">
        <v>45024.1119083796</v>
      </c>
      <c r="C312" s="51">
        <v>1.09</v>
      </c>
      <c r="D312" s="51">
        <v>64.0</v>
      </c>
      <c r="E312" s="52" t="s">
        <v>25</v>
      </c>
      <c r="F312" s="52" t="s">
        <v>26</v>
      </c>
      <c r="G312" s="54"/>
    </row>
    <row r="313">
      <c r="A313" s="49">
        <v>45023.997365787036</v>
      </c>
      <c r="B313" s="50">
        <v>45024.1223309606</v>
      </c>
      <c r="C313" s="51">
        <v>1.09</v>
      </c>
      <c r="D313" s="51">
        <v>64.0</v>
      </c>
      <c r="E313" s="52" t="s">
        <v>25</v>
      </c>
      <c r="F313" s="52" t="s">
        <v>26</v>
      </c>
      <c r="G313" s="54"/>
    </row>
    <row r="314">
      <c r="A314" s="49">
        <v>45024.00778369213</v>
      </c>
      <c r="B314" s="50">
        <v>45024.1327510995</v>
      </c>
      <c r="C314" s="51">
        <v>1.09</v>
      </c>
      <c r="D314" s="51">
        <v>64.0</v>
      </c>
      <c r="E314" s="52" t="s">
        <v>25</v>
      </c>
      <c r="F314" s="52" t="s">
        <v>26</v>
      </c>
      <c r="G314" s="54"/>
    </row>
    <row r="315">
      <c r="A315" s="49">
        <v>45024.018262384256</v>
      </c>
      <c r="B315" s="50">
        <v>45024.1432298032</v>
      </c>
      <c r="C315" s="51">
        <v>1.09</v>
      </c>
      <c r="D315" s="51">
        <v>64.0</v>
      </c>
      <c r="E315" s="52" t="s">
        <v>25</v>
      </c>
      <c r="F315" s="52" t="s">
        <v>26</v>
      </c>
      <c r="G315" s="54"/>
    </row>
    <row r="316">
      <c r="A316" s="49">
        <v>45024.028680393516</v>
      </c>
      <c r="B316" s="50">
        <v>45024.1536501736</v>
      </c>
      <c r="C316" s="51">
        <v>1.089</v>
      </c>
      <c r="D316" s="51">
        <v>64.0</v>
      </c>
      <c r="E316" s="52" t="s">
        <v>25</v>
      </c>
      <c r="F316" s="52" t="s">
        <v>26</v>
      </c>
      <c r="G316" s="54"/>
    </row>
    <row r="317">
      <c r="A317" s="49">
        <v>45024.03910357639</v>
      </c>
      <c r="B317" s="50">
        <v>45024.1640702662</v>
      </c>
      <c r="C317" s="51">
        <v>1.09</v>
      </c>
      <c r="D317" s="51">
        <v>64.0</v>
      </c>
      <c r="E317" s="52" t="s">
        <v>25</v>
      </c>
      <c r="F317" s="52" t="s">
        <v>26</v>
      </c>
      <c r="G317" s="54"/>
    </row>
    <row r="318">
      <c r="A318" s="49">
        <v>45024.04953592592</v>
      </c>
      <c r="B318" s="50">
        <v>45024.1745146296</v>
      </c>
      <c r="C318" s="51">
        <v>1.09</v>
      </c>
      <c r="D318" s="51">
        <v>64.0</v>
      </c>
      <c r="E318" s="52" t="s">
        <v>25</v>
      </c>
      <c r="F318" s="52" t="s">
        <v>26</v>
      </c>
      <c r="G318" s="54"/>
    </row>
    <row r="319">
      <c r="A319" s="49">
        <v>45024.05997162037</v>
      </c>
      <c r="B319" s="50">
        <v>45024.184945949</v>
      </c>
      <c r="C319" s="51">
        <v>1.089</v>
      </c>
      <c r="D319" s="51">
        <v>64.0</v>
      </c>
      <c r="E319" s="52" t="s">
        <v>25</v>
      </c>
      <c r="F319" s="52" t="s">
        <v>26</v>
      </c>
      <c r="G319" s="54"/>
    </row>
    <row r="320">
      <c r="A320" s="49">
        <v>45024.07038734954</v>
      </c>
      <c r="B320" s="50">
        <v>45024.1953659722</v>
      </c>
      <c r="C320" s="51">
        <v>1.089</v>
      </c>
      <c r="D320" s="51">
        <v>64.0</v>
      </c>
      <c r="E320" s="52" t="s">
        <v>25</v>
      </c>
      <c r="F320" s="52" t="s">
        <v>26</v>
      </c>
      <c r="G320" s="54"/>
    </row>
    <row r="321">
      <c r="A321" s="49">
        <v>45024.08082258102</v>
      </c>
      <c r="B321" s="50">
        <v>45024.2057999652</v>
      </c>
      <c r="C321" s="51">
        <v>1.089</v>
      </c>
      <c r="D321" s="51">
        <v>64.0</v>
      </c>
      <c r="E321" s="52" t="s">
        <v>25</v>
      </c>
      <c r="F321" s="52" t="s">
        <v>26</v>
      </c>
      <c r="G321" s="54"/>
    </row>
    <row r="322">
      <c r="A322" s="49">
        <v>45024.09124864583</v>
      </c>
      <c r="B322" s="50">
        <v>45024.2162222338</v>
      </c>
      <c r="C322" s="51">
        <v>1.09</v>
      </c>
      <c r="D322" s="51">
        <v>64.0</v>
      </c>
      <c r="E322" s="52" t="s">
        <v>25</v>
      </c>
      <c r="F322" s="52" t="s">
        <v>26</v>
      </c>
      <c r="G322" s="54"/>
    </row>
    <row r="323">
      <c r="A323" s="49">
        <v>45024.101674108795</v>
      </c>
      <c r="B323" s="50">
        <v>45024.2266421527</v>
      </c>
      <c r="C323" s="51">
        <v>1.089</v>
      </c>
      <c r="D323" s="51">
        <v>64.0</v>
      </c>
      <c r="E323" s="52" t="s">
        <v>25</v>
      </c>
      <c r="F323" s="52" t="s">
        <v>26</v>
      </c>
      <c r="G323" s="54"/>
    </row>
    <row r="324">
      <c r="A324" s="49">
        <v>45024.11208431713</v>
      </c>
      <c r="B324" s="50">
        <v>45024.2370635763</v>
      </c>
      <c r="C324" s="51">
        <v>1.089</v>
      </c>
      <c r="D324" s="51">
        <v>64.0</v>
      </c>
      <c r="E324" s="52" t="s">
        <v>25</v>
      </c>
      <c r="F324" s="52" t="s">
        <v>26</v>
      </c>
      <c r="G324" s="54"/>
    </row>
    <row r="325">
      <c r="A325" s="49">
        <v>45024.122523784725</v>
      </c>
      <c r="B325" s="50">
        <v>45024.2474967939</v>
      </c>
      <c r="C325" s="51">
        <v>1.089</v>
      </c>
      <c r="D325" s="51">
        <v>64.0</v>
      </c>
      <c r="E325" s="52" t="s">
        <v>25</v>
      </c>
      <c r="F325" s="52" t="s">
        <v>26</v>
      </c>
      <c r="G325" s="54"/>
    </row>
    <row r="326">
      <c r="A326" s="49">
        <v>45024.13295803241</v>
      </c>
      <c r="B326" s="50">
        <v>45024.2579287731</v>
      </c>
      <c r="C326" s="51">
        <v>1.089</v>
      </c>
      <c r="D326" s="51">
        <v>64.0</v>
      </c>
      <c r="E326" s="52" t="s">
        <v>25</v>
      </c>
      <c r="F326" s="52" t="s">
        <v>26</v>
      </c>
      <c r="G326" s="54"/>
    </row>
    <row r="327">
      <c r="A327" s="49">
        <v>45024.14346033565</v>
      </c>
      <c r="B327" s="50">
        <v>45024.2683745138</v>
      </c>
      <c r="C327" s="51">
        <v>1.089</v>
      </c>
      <c r="D327" s="51">
        <v>64.0</v>
      </c>
      <c r="E327" s="52" t="s">
        <v>25</v>
      </c>
      <c r="F327" s="52" t="s">
        <v>26</v>
      </c>
      <c r="G327" s="54"/>
    </row>
    <row r="328">
      <c r="A328" s="49">
        <v>45024.15388574074</v>
      </c>
      <c r="B328" s="50">
        <v>45024.2787967476</v>
      </c>
      <c r="C328" s="51">
        <v>1.089</v>
      </c>
      <c r="D328" s="51">
        <v>64.0</v>
      </c>
      <c r="E328" s="52" t="s">
        <v>25</v>
      </c>
      <c r="F328" s="52" t="s">
        <v>26</v>
      </c>
      <c r="G328" s="54"/>
    </row>
    <row r="329">
      <c r="A329" s="49">
        <v>45024.16430826389</v>
      </c>
      <c r="B329" s="50">
        <v>45024.2892291203</v>
      </c>
      <c r="C329" s="51">
        <v>1.088</v>
      </c>
      <c r="D329" s="51">
        <v>64.0</v>
      </c>
      <c r="E329" s="52" t="s">
        <v>25</v>
      </c>
      <c r="F329" s="52" t="s">
        <v>26</v>
      </c>
      <c r="G329" s="54"/>
    </row>
    <row r="330">
      <c r="A330" s="49">
        <v>45024.174718333335</v>
      </c>
      <c r="B330" s="50">
        <v>45024.2996508449</v>
      </c>
      <c r="C330" s="51">
        <v>1.089</v>
      </c>
      <c r="D330" s="51">
        <v>64.0</v>
      </c>
      <c r="E330" s="52" t="s">
        <v>25</v>
      </c>
      <c r="F330" s="52" t="s">
        <v>26</v>
      </c>
      <c r="G330" s="54"/>
    </row>
    <row r="331">
      <c r="A331" s="49">
        <v>45024.185150081015</v>
      </c>
      <c r="B331" s="50">
        <v>45024.3100739699</v>
      </c>
      <c r="C331" s="51">
        <v>1.089</v>
      </c>
      <c r="D331" s="51">
        <v>64.0</v>
      </c>
      <c r="E331" s="52" t="s">
        <v>25</v>
      </c>
      <c r="F331" s="52" t="s">
        <v>26</v>
      </c>
      <c r="G331" s="54"/>
    </row>
    <row r="332">
      <c r="A332" s="49">
        <v>45024.195589270836</v>
      </c>
      <c r="B332" s="50">
        <v>45024.3205078125</v>
      </c>
      <c r="C332" s="51">
        <v>1.088</v>
      </c>
      <c r="D332" s="51">
        <v>64.0</v>
      </c>
      <c r="E332" s="52" t="s">
        <v>25</v>
      </c>
      <c r="F332" s="52" t="s">
        <v>26</v>
      </c>
      <c r="G332" s="54"/>
    </row>
    <row r="333">
      <c r="A333" s="49">
        <v>45024.20600805555</v>
      </c>
      <c r="B333" s="50">
        <v>45024.3309288425</v>
      </c>
      <c r="C333" s="51">
        <v>1.088</v>
      </c>
      <c r="D333" s="51">
        <v>64.0</v>
      </c>
      <c r="E333" s="52" t="s">
        <v>25</v>
      </c>
      <c r="F333" s="52" t="s">
        <v>26</v>
      </c>
      <c r="G333" s="54"/>
    </row>
    <row r="334">
      <c r="A334" s="49">
        <v>45024.2164328588</v>
      </c>
      <c r="B334" s="50">
        <v>45024.3413500347</v>
      </c>
      <c r="C334" s="51">
        <v>1.089</v>
      </c>
      <c r="D334" s="51">
        <v>64.0</v>
      </c>
      <c r="E334" s="52" t="s">
        <v>25</v>
      </c>
      <c r="F334" s="52" t="s">
        <v>26</v>
      </c>
      <c r="G334" s="54"/>
    </row>
    <row r="335">
      <c r="A335" s="49">
        <v>45024.22683668981</v>
      </c>
      <c r="B335" s="50">
        <v>45024.3517707291</v>
      </c>
      <c r="C335" s="51">
        <v>1.089</v>
      </c>
      <c r="D335" s="51">
        <v>64.0</v>
      </c>
      <c r="E335" s="52" t="s">
        <v>25</v>
      </c>
      <c r="F335" s="52" t="s">
        <v>26</v>
      </c>
      <c r="G335" s="54"/>
    </row>
    <row r="336">
      <c r="A336" s="49">
        <v>45024.23721140047</v>
      </c>
      <c r="B336" s="50">
        <v>45024.3621910648</v>
      </c>
      <c r="C336" s="51">
        <v>1.088</v>
      </c>
      <c r="D336" s="51">
        <v>64.0</v>
      </c>
      <c r="E336" s="52" t="s">
        <v>25</v>
      </c>
      <c r="F336" s="52" t="s">
        <v>26</v>
      </c>
      <c r="G336" s="54"/>
    </row>
    <row r="337">
      <c r="A337" s="49">
        <v>45024.24764202547</v>
      </c>
      <c r="B337" s="50">
        <v>45024.3726124537</v>
      </c>
      <c r="C337" s="51">
        <v>1.088</v>
      </c>
      <c r="D337" s="51">
        <v>64.0</v>
      </c>
      <c r="E337" s="52" t="s">
        <v>25</v>
      </c>
      <c r="F337" s="52" t="s">
        <v>26</v>
      </c>
      <c r="G337" s="54"/>
    </row>
    <row r="338">
      <c r="A338" s="49">
        <v>45024.25806719907</v>
      </c>
      <c r="B338" s="50">
        <v>45024.3830320486</v>
      </c>
      <c r="C338" s="51">
        <v>1.088</v>
      </c>
      <c r="D338" s="51">
        <v>64.0</v>
      </c>
      <c r="E338" s="52" t="s">
        <v>25</v>
      </c>
      <c r="F338" s="52" t="s">
        <v>26</v>
      </c>
      <c r="G338" s="54"/>
    </row>
    <row r="339">
      <c r="A339" s="49">
        <v>45024.26847643519</v>
      </c>
      <c r="B339" s="50">
        <v>45024.3934523495</v>
      </c>
      <c r="C339" s="51">
        <v>1.088</v>
      </c>
      <c r="D339" s="51">
        <v>63.0</v>
      </c>
      <c r="E339" s="52" t="s">
        <v>25</v>
      </c>
      <c r="F339" s="52" t="s">
        <v>26</v>
      </c>
      <c r="G339" s="54"/>
    </row>
    <row r="340">
      <c r="A340" s="49">
        <v>45024.27890280093</v>
      </c>
      <c r="B340" s="50">
        <v>45024.4038743402</v>
      </c>
      <c r="C340" s="51">
        <v>1.088</v>
      </c>
      <c r="D340" s="51">
        <v>64.0</v>
      </c>
      <c r="E340" s="52" t="s">
        <v>25</v>
      </c>
      <c r="F340" s="52" t="s">
        <v>26</v>
      </c>
      <c r="G340" s="54"/>
    </row>
    <row r="341">
      <c r="A341" s="49">
        <v>45024.28932599537</v>
      </c>
      <c r="B341" s="50">
        <v>45024.4142950578</v>
      </c>
      <c r="C341" s="51">
        <v>1.088</v>
      </c>
      <c r="D341" s="51">
        <v>63.0</v>
      </c>
      <c r="E341" s="52" t="s">
        <v>25</v>
      </c>
      <c r="F341" s="52" t="s">
        <v>26</v>
      </c>
      <c r="G341" s="54"/>
    </row>
    <row r="342">
      <c r="A342" s="49">
        <v>45024.29974304399</v>
      </c>
      <c r="B342" s="50">
        <v>45024.4247165856</v>
      </c>
      <c r="C342" s="51">
        <v>1.088</v>
      </c>
      <c r="D342" s="51">
        <v>63.0</v>
      </c>
      <c r="E342" s="52" t="s">
        <v>25</v>
      </c>
      <c r="F342" s="52" t="s">
        <v>26</v>
      </c>
      <c r="G342" s="54"/>
    </row>
    <row r="343">
      <c r="A343" s="49">
        <v>45024.31017048611</v>
      </c>
      <c r="B343" s="50">
        <v>45024.4351394907</v>
      </c>
      <c r="C343" s="51">
        <v>1.087</v>
      </c>
      <c r="D343" s="51">
        <v>63.0</v>
      </c>
      <c r="E343" s="52" t="s">
        <v>25</v>
      </c>
      <c r="F343" s="52" t="s">
        <v>26</v>
      </c>
      <c r="G343" s="54"/>
    </row>
    <row r="344">
      <c r="A344" s="49">
        <v>45024.32059606482</v>
      </c>
      <c r="B344" s="50">
        <v>45024.445572905</v>
      </c>
      <c r="C344" s="51">
        <v>1.088</v>
      </c>
      <c r="D344" s="51">
        <v>63.0</v>
      </c>
      <c r="E344" s="52" t="s">
        <v>25</v>
      </c>
      <c r="F344" s="52" t="s">
        <v>26</v>
      </c>
      <c r="G344" s="54"/>
    </row>
    <row r="345">
      <c r="A345" s="49">
        <v>45024.33102383102</v>
      </c>
      <c r="B345" s="50">
        <v>45024.455993912</v>
      </c>
      <c r="C345" s="51">
        <v>1.088</v>
      </c>
      <c r="D345" s="51">
        <v>63.0</v>
      </c>
      <c r="E345" s="52" t="s">
        <v>25</v>
      </c>
      <c r="F345" s="52" t="s">
        <v>26</v>
      </c>
      <c r="G345" s="54"/>
    </row>
    <row r="346">
      <c r="A346" s="49">
        <v>45024.34144231481</v>
      </c>
      <c r="B346" s="50">
        <v>45024.466415081</v>
      </c>
      <c r="C346" s="51">
        <v>1.087</v>
      </c>
      <c r="D346" s="51">
        <v>63.0</v>
      </c>
      <c r="E346" s="52" t="s">
        <v>25</v>
      </c>
      <c r="F346" s="52" t="s">
        <v>26</v>
      </c>
      <c r="G346" s="54"/>
    </row>
    <row r="347">
      <c r="A347" s="49">
        <v>45024.35186850694</v>
      </c>
      <c r="B347" s="50">
        <v>45024.4768381249</v>
      </c>
      <c r="C347" s="51">
        <v>1.087</v>
      </c>
      <c r="D347" s="51">
        <v>63.0</v>
      </c>
      <c r="E347" s="52" t="s">
        <v>25</v>
      </c>
      <c r="F347" s="52" t="s">
        <v>26</v>
      </c>
      <c r="G347" s="54"/>
    </row>
    <row r="348">
      <c r="A348" s="49">
        <v>45024.362283599534</v>
      </c>
      <c r="B348" s="50">
        <v>45024.4872581481</v>
      </c>
      <c r="C348" s="51">
        <v>1.088</v>
      </c>
      <c r="D348" s="51">
        <v>63.0</v>
      </c>
      <c r="E348" s="52" t="s">
        <v>25</v>
      </c>
      <c r="F348" s="52" t="s">
        <v>26</v>
      </c>
      <c r="G348" s="54"/>
    </row>
    <row r="349">
      <c r="A349" s="49">
        <v>45024.37270978009</v>
      </c>
      <c r="B349" s="50">
        <v>45024.4976784143</v>
      </c>
      <c r="C349" s="51">
        <v>1.087</v>
      </c>
      <c r="D349" s="51">
        <v>63.0</v>
      </c>
      <c r="E349" s="52" t="s">
        <v>25</v>
      </c>
      <c r="F349" s="52" t="s">
        <v>26</v>
      </c>
      <c r="G349" s="54"/>
    </row>
    <row r="350">
      <c r="A350" s="49">
        <v>45024.383123078704</v>
      </c>
      <c r="B350" s="50">
        <v>45024.5080988657</v>
      </c>
      <c r="C350" s="51">
        <v>1.087</v>
      </c>
      <c r="D350" s="51">
        <v>63.0</v>
      </c>
      <c r="E350" s="52" t="s">
        <v>25</v>
      </c>
      <c r="F350" s="52" t="s">
        <v>26</v>
      </c>
      <c r="G350" s="54"/>
    </row>
    <row r="351">
      <c r="A351" s="49">
        <v>45024.393555057875</v>
      </c>
      <c r="B351" s="50">
        <v>45024.5185207523</v>
      </c>
      <c r="C351" s="51">
        <v>1.087</v>
      </c>
      <c r="D351" s="51">
        <v>63.0</v>
      </c>
      <c r="E351" s="52" t="s">
        <v>25</v>
      </c>
      <c r="F351" s="52" t="s">
        <v>26</v>
      </c>
      <c r="G351" s="54"/>
    </row>
    <row r="352">
      <c r="A352" s="49">
        <v>45024.40396599537</v>
      </c>
      <c r="B352" s="50">
        <v>45024.5289416898</v>
      </c>
      <c r="C352" s="51">
        <v>1.088</v>
      </c>
      <c r="D352" s="51">
        <v>63.0</v>
      </c>
      <c r="E352" s="52" t="s">
        <v>25</v>
      </c>
      <c r="F352" s="52" t="s">
        <v>26</v>
      </c>
      <c r="G352" s="54"/>
    </row>
    <row r="353">
      <c r="A353" s="49">
        <v>45024.414396527776</v>
      </c>
      <c r="B353" s="50">
        <v>45024.5393619212</v>
      </c>
      <c r="C353" s="51">
        <v>1.087</v>
      </c>
      <c r="D353" s="51">
        <v>63.0</v>
      </c>
      <c r="E353" s="52" t="s">
        <v>25</v>
      </c>
      <c r="F353" s="52" t="s">
        <v>26</v>
      </c>
      <c r="G353" s="54"/>
    </row>
    <row r="354">
      <c r="A354" s="49">
        <v>45024.42481033565</v>
      </c>
      <c r="B354" s="50">
        <v>45024.5497841898</v>
      </c>
      <c r="C354" s="51">
        <v>1.087</v>
      </c>
      <c r="D354" s="51">
        <v>63.0</v>
      </c>
      <c r="E354" s="52" t="s">
        <v>25</v>
      </c>
      <c r="F354" s="52" t="s">
        <v>26</v>
      </c>
      <c r="G354" s="54"/>
    </row>
    <row r="355">
      <c r="A355" s="49">
        <v>45024.43522782407</v>
      </c>
      <c r="B355" s="50">
        <v>45024.5602037963</v>
      </c>
      <c r="C355" s="51">
        <v>1.086</v>
      </c>
      <c r="D355" s="51">
        <v>63.0</v>
      </c>
      <c r="E355" s="52" t="s">
        <v>25</v>
      </c>
      <c r="F355" s="52" t="s">
        <v>26</v>
      </c>
      <c r="G355" s="54"/>
    </row>
    <row r="356">
      <c r="A356" s="49">
        <v>45024.44565729167</v>
      </c>
      <c r="B356" s="50">
        <v>45024.5706357986</v>
      </c>
      <c r="C356" s="51">
        <v>1.086</v>
      </c>
      <c r="D356" s="51">
        <v>63.0</v>
      </c>
      <c r="E356" s="52" t="s">
        <v>25</v>
      </c>
      <c r="F356" s="52" t="s">
        <v>26</v>
      </c>
      <c r="G356" s="54"/>
    </row>
    <row r="357">
      <c r="A357" s="49">
        <v>45024.45608394676</v>
      </c>
      <c r="B357" s="50">
        <v>45024.5810555787</v>
      </c>
      <c r="C357" s="51">
        <v>1.087</v>
      </c>
      <c r="D357" s="51">
        <v>63.0</v>
      </c>
      <c r="E357" s="52" t="s">
        <v>25</v>
      </c>
      <c r="F357" s="52" t="s">
        <v>26</v>
      </c>
      <c r="G357" s="54"/>
    </row>
    <row r="358">
      <c r="A358" s="49">
        <v>45024.466506550925</v>
      </c>
      <c r="B358" s="50">
        <v>45024.5914767824</v>
      </c>
      <c r="C358" s="51">
        <v>1.087</v>
      </c>
      <c r="D358" s="51">
        <v>63.0</v>
      </c>
      <c r="E358" s="52" t="s">
        <v>25</v>
      </c>
      <c r="F358" s="52" t="s">
        <v>26</v>
      </c>
      <c r="G358" s="54"/>
    </row>
    <row r="359">
      <c r="A359" s="49">
        <v>45024.47693081018</v>
      </c>
      <c r="B359" s="50">
        <v>45024.6018966782</v>
      </c>
      <c r="C359" s="51">
        <v>1.087</v>
      </c>
      <c r="D359" s="51">
        <v>63.0</v>
      </c>
      <c r="E359" s="52" t="s">
        <v>25</v>
      </c>
      <c r="F359" s="52" t="s">
        <v>26</v>
      </c>
      <c r="G359" s="54"/>
    </row>
    <row r="360">
      <c r="A360" s="49">
        <v>45024.48734900463</v>
      </c>
      <c r="B360" s="50">
        <v>45024.6123192939</v>
      </c>
      <c r="C360" s="51">
        <v>1.086</v>
      </c>
      <c r="D360" s="51">
        <v>63.0</v>
      </c>
      <c r="E360" s="52" t="s">
        <v>25</v>
      </c>
      <c r="F360" s="52" t="s">
        <v>26</v>
      </c>
      <c r="G360" s="54"/>
    </row>
    <row r="361">
      <c r="A361" s="49">
        <v>45024.49776270833</v>
      </c>
      <c r="B361" s="50">
        <v>45024.6227398032</v>
      </c>
      <c r="C361" s="51">
        <v>1.087</v>
      </c>
      <c r="D361" s="51">
        <v>63.0</v>
      </c>
      <c r="E361" s="52" t="s">
        <v>25</v>
      </c>
      <c r="F361" s="52" t="s">
        <v>26</v>
      </c>
      <c r="G361" s="54"/>
    </row>
    <row r="362">
      <c r="A362" s="49">
        <v>45024.50819083334</v>
      </c>
      <c r="B362" s="50">
        <v>45024.6331609953</v>
      </c>
      <c r="C362" s="51">
        <v>1.087</v>
      </c>
      <c r="D362" s="51">
        <v>63.0</v>
      </c>
      <c r="E362" s="52" t="s">
        <v>25</v>
      </c>
      <c r="F362" s="52" t="s">
        <v>26</v>
      </c>
      <c r="G362" s="54"/>
    </row>
    <row r="363">
      <c r="A363" s="49">
        <v>45024.518612280095</v>
      </c>
      <c r="B363" s="50">
        <v>45024.6435801967</v>
      </c>
      <c r="C363" s="51">
        <v>1.086</v>
      </c>
      <c r="D363" s="51">
        <v>63.0</v>
      </c>
      <c r="E363" s="52" t="s">
        <v>25</v>
      </c>
      <c r="F363" s="52" t="s">
        <v>26</v>
      </c>
      <c r="G363" s="54"/>
    </row>
    <row r="364">
      <c r="A364" s="49">
        <v>45024.5290328125</v>
      </c>
      <c r="B364" s="50">
        <v>45024.6540013888</v>
      </c>
      <c r="C364" s="51">
        <v>1.086</v>
      </c>
      <c r="D364" s="51">
        <v>63.0</v>
      </c>
      <c r="E364" s="52" t="s">
        <v>25</v>
      </c>
      <c r="F364" s="52" t="s">
        <v>26</v>
      </c>
      <c r="G364" s="54"/>
    </row>
    <row r="365">
      <c r="A365" s="49">
        <v>45024.53945644676</v>
      </c>
      <c r="B365" s="50">
        <v>45024.6644228009</v>
      </c>
      <c r="C365" s="51">
        <v>1.086</v>
      </c>
      <c r="D365" s="51">
        <v>63.0</v>
      </c>
      <c r="E365" s="52" t="s">
        <v>25</v>
      </c>
      <c r="F365" s="52" t="s">
        <v>26</v>
      </c>
      <c r="G365" s="54"/>
    </row>
    <row r="366">
      <c r="A366" s="49">
        <v>45024.549869780094</v>
      </c>
      <c r="B366" s="50">
        <v>45024.6748424884</v>
      </c>
      <c r="C366" s="51">
        <v>1.086</v>
      </c>
      <c r="D366" s="51">
        <v>63.0</v>
      </c>
      <c r="E366" s="52" t="s">
        <v>25</v>
      </c>
      <c r="F366" s="52" t="s">
        <v>26</v>
      </c>
      <c r="G366" s="54"/>
    </row>
    <row r="367">
      <c r="A367" s="49">
        <v>45024.56029677083</v>
      </c>
      <c r="B367" s="50">
        <v>45024.685264375</v>
      </c>
      <c r="C367" s="51">
        <v>1.086</v>
      </c>
      <c r="D367" s="51">
        <v>63.0</v>
      </c>
      <c r="E367" s="52" t="s">
        <v>25</v>
      </c>
      <c r="F367" s="52" t="s">
        <v>26</v>
      </c>
      <c r="G367" s="54"/>
    </row>
    <row r="368">
      <c r="A368" s="49">
        <v>45024.57071305555</v>
      </c>
      <c r="B368" s="50">
        <v>45024.695686574</v>
      </c>
      <c r="C368" s="51">
        <v>1.086</v>
      </c>
      <c r="D368" s="51">
        <v>63.0</v>
      </c>
      <c r="E368" s="52" t="s">
        <v>25</v>
      </c>
      <c r="F368" s="52" t="s">
        <v>26</v>
      </c>
      <c r="G368" s="54"/>
    </row>
    <row r="369">
      <c r="A369" s="49">
        <v>45024.581140381946</v>
      </c>
      <c r="B369" s="50">
        <v>45024.7061075578</v>
      </c>
      <c r="C369" s="51">
        <v>1.086</v>
      </c>
      <c r="D369" s="51">
        <v>63.0</v>
      </c>
      <c r="E369" s="52" t="s">
        <v>25</v>
      </c>
      <c r="F369" s="52" t="s">
        <v>26</v>
      </c>
      <c r="G369" s="54"/>
    </row>
    <row r="370">
      <c r="A370" s="49">
        <v>45024.59155827547</v>
      </c>
      <c r="B370" s="50">
        <v>45024.7165264699</v>
      </c>
      <c r="C370" s="51">
        <v>1.086</v>
      </c>
      <c r="D370" s="51">
        <v>63.0</v>
      </c>
      <c r="E370" s="52" t="s">
        <v>25</v>
      </c>
      <c r="F370" s="52" t="s">
        <v>26</v>
      </c>
      <c r="G370" s="54"/>
    </row>
    <row r="371">
      <c r="A371" s="49">
        <v>45024.60197043981</v>
      </c>
      <c r="B371" s="50">
        <v>45024.7269481713</v>
      </c>
      <c r="C371" s="51">
        <v>1.086</v>
      </c>
      <c r="D371" s="51">
        <v>63.0</v>
      </c>
      <c r="E371" s="52" t="s">
        <v>25</v>
      </c>
      <c r="F371" s="52" t="s">
        <v>26</v>
      </c>
      <c r="G371" s="54"/>
    </row>
    <row r="372">
      <c r="A372" s="49">
        <v>45024.612397812496</v>
      </c>
      <c r="B372" s="50">
        <v>45024.7373691898</v>
      </c>
      <c r="C372" s="51">
        <v>1.086</v>
      </c>
      <c r="D372" s="51">
        <v>63.0</v>
      </c>
      <c r="E372" s="52" t="s">
        <v>25</v>
      </c>
      <c r="F372" s="52" t="s">
        <v>26</v>
      </c>
      <c r="G372" s="54"/>
    </row>
    <row r="373">
      <c r="A373" s="49">
        <v>45024.62281748843</v>
      </c>
      <c r="B373" s="50">
        <v>45024.7477899652</v>
      </c>
      <c r="C373" s="51">
        <v>1.085</v>
      </c>
      <c r="D373" s="51">
        <v>63.0</v>
      </c>
      <c r="E373" s="52" t="s">
        <v>25</v>
      </c>
      <c r="F373" s="52" t="s">
        <v>26</v>
      </c>
      <c r="G373" s="54"/>
    </row>
    <row r="374">
      <c r="A374" s="49">
        <v>45024.63323206019</v>
      </c>
      <c r="B374" s="50">
        <v>45024.758210625</v>
      </c>
      <c r="C374" s="51">
        <v>1.085</v>
      </c>
      <c r="D374" s="51">
        <v>63.0</v>
      </c>
      <c r="E374" s="52" t="s">
        <v>25</v>
      </c>
      <c r="F374" s="52" t="s">
        <v>26</v>
      </c>
      <c r="G374" s="54"/>
    </row>
    <row r="375">
      <c r="A375" s="49">
        <v>45024.64367178241</v>
      </c>
      <c r="B375" s="50">
        <v>45024.7686443055</v>
      </c>
      <c r="C375" s="51">
        <v>1.086</v>
      </c>
      <c r="D375" s="51">
        <v>63.0</v>
      </c>
      <c r="E375" s="52" t="s">
        <v>25</v>
      </c>
      <c r="F375" s="52" t="s">
        <v>26</v>
      </c>
      <c r="G375" s="54"/>
    </row>
    <row r="376">
      <c r="A376" s="49">
        <v>45024.65408850694</v>
      </c>
      <c r="B376" s="50">
        <v>45024.7790643865</v>
      </c>
      <c r="C376" s="51">
        <v>1.086</v>
      </c>
      <c r="D376" s="51">
        <v>63.0</v>
      </c>
      <c r="E376" s="52" t="s">
        <v>25</v>
      </c>
      <c r="F376" s="52" t="s">
        <v>26</v>
      </c>
      <c r="G376" s="54"/>
    </row>
    <row r="377">
      <c r="A377" s="49">
        <v>45024.66451822917</v>
      </c>
      <c r="B377" s="50">
        <v>45024.7894849305</v>
      </c>
      <c r="C377" s="51">
        <v>1.085</v>
      </c>
      <c r="D377" s="51">
        <v>63.0</v>
      </c>
      <c r="E377" s="52" t="s">
        <v>25</v>
      </c>
      <c r="F377" s="52" t="s">
        <v>26</v>
      </c>
      <c r="G377" s="54"/>
    </row>
    <row r="378">
      <c r="A378" s="49">
        <v>45024.67493256944</v>
      </c>
      <c r="B378" s="50">
        <v>45024.7999051736</v>
      </c>
      <c r="C378" s="51">
        <v>1.085</v>
      </c>
      <c r="D378" s="51">
        <v>63.0</v>
      </c>
      <c r="E378" s="52" t="s">
        <v>25</v>
      </c>
      <c r="F378" s="52" t="s">
        <v>26</v>
      </c>
      <c r="G378" s="54"/>
    </row>
    <row r="379">
      <c r="A379" s="49">
        <v>45024.68536019676</v>
      </c>
      <c r="B379" s="50">
        <v>45024.8103381134</v>
      </c>
      <c r="C379" s="51">
        <v>1.085</v>
      </c>
      <c r="D379" s="51">
        <v>63.0</v>
      </c>
      <c r="E379" s="52" t="s">
        <v>25</v>
      </c>
      <c r="F379" s="52" t="s">
        <v>26</v>
      </c>
      <c r="G379" s="54"/>
    </row>
    <row r="380">
      <c r="A380" s="49">
        <v>45024.69579038194</v>
      </c>
      <c r="B380" s="50">
        <v>45024.8207592592</v>
      </c>
      <c r="C380" s="51">
        <v>1.085</v>
      </c>
      <c r="D380" s="51">
        <v>63.0</v>
      </c>
      <c r="E380" s="52" t="s">
        <v>25</v>
      </c>
      <c r="F380" s="52" t="s">
        <v>26</v>
      </c>
      <c r="G380" s="54"/>
    </row>
    <row r="381">
      <c r="A381" s="49">
        <v>45024.706205625</v>
      </c>
      <c r="B381" s="50">
        <v>45024.8311803125</v>
      </c>
      <c r="C381" s="51">
        <v>1.085</v>
      </c>
      <c r="D381" s="51">
        <v>63.0</v>
      </c>
      <c r="E381" s="52" t="s">
        <v>25</v>
      </c>
      <c r="F381" s="52" t="s">
        <v>26</v>
      </c>
      <c r="G381" s="54"/>
    </row>
    <row r="382">
      <c r="A382" s="49">
        <v>45024.71661900463</v>
      </c>
      <c r="B382" s="50">
        <v>45024.8416005902</v>
      </c>
      <c r="C382" s="51">
        <v>1.085</v>
      </c>
      <c r="D382" s="51">
        <v>63.0</v>
      </c>
      <c r="E382" s="52" t="s">
        <v>25</v>
      </c>
      <c r="F382" s="52" t="s">
        <v>26</v>
      </c>
      <c r="G382" s="54"/>
    </row>
    <row r="383">
      <c r="A383" s="49">
        <v>45024.72704902777</v>
      </c>
      <c r="B383" s="50">
        <v>45024.852021412</v>
      </c>
      <c r="C383" s="51">
        <v>1.085</v>
      </c>
      <c r="D383" s="51">
        <v>63.0</v>
      </c>
      <c r="E383" s="52" t="s">
        <v>25</v>
      </c>
      <c r="F383" s="52" t="s">
        <v>26</v>
      </c>
      <c r="G383" s="54"/>
    </row>
    <row r="384">
      <c r="A384" s="49">
        <v>45024.737476712966</v>
      </c>
      <c r="B384" s="50">
        <v>45024.8624434838</v>
      </c>
      <c r="C384" s="51">
        <v>1.085</v>
      </c>
      <c r="D384" s="51">
        <v>63.0</v>
      </c>
      <c r="E384" s="52" t="s">
        <v>25</v>
      </c>
      <c r="F384" s="52" t="s">
        <v>26</v>
      </c>
      <c r="G384" s="54"/>
    </row>
    <row r="385">
      <c r="A385" s="49">
        <v>45024.74789302083</v>
      </c>
      <c r="B385" s="50">
        <v>45024.8728653588</v>
      </c>
      <c r="C385" s="51">
        <v>1.085</v>
      </c>
      <c r="D385" s="51">
        <v>63.0</v>
      </c>
      <c r="E385" s="52" t="s">
        <v>25</v>
      </c>
      <c r="F385" s="52" t="s">
        <v>26</v>
      </c>
      <c r="G385" s="54"/>
    </row>
    <row r="386">
      <c r="A386" s="49">
        <v>45024.75831142361</v>
      </c>
      <c r="B386" s="50">
        <v>45024.8832853935</v>
      </c>
      <c r="C386" s="51">
        <v>1.085</v>
      </c>
      <c r="D386" s="51">
        <v>63.0</v>
      </c>
      <c r="E386" s="52" t="s">
        <v>25</v>
      </c>
      <c r="F386" s="52" t="s">
        <v>26</v>
      </c>
      <c r="G386" s="54"/>
    </row>
    <row r="387">
      <c r="A387" s="49">
        <v>45024.76873964121</v>
      </c>
      <c r="B387" s="50">
        <v>45024.8937065277</v>
      </c>
      <c r="C387" s="51">
        <v>1.085</v>
      </c>
      <c r="D387" s="51">
        <v>63.0</v>
      </c>
      <c r="E387" s="52" t="s">
        <v>25</v>
      </c>
      <c r="F387" s="52" t="s">
        <v>26</v>
      </c>
      <c r="G387" s="54"/>
    </row>
    <row r="388">
      <c r="A388" s="49">
        <v>45024.779153379626</v>
      </c>
      <c r="B388" s="50">
        <v>45024.9041279166</v>
      </c>
      <c r="C388" s="51">
        <v>1.084</v>
      </c>
      <c r="D388" s="51">
        <v>63.0</v>
      </c>
      <c r="E388" s="52" t="s">
        <v>25</v>
      </c>
      <c r="F388" s="52" t="s">
        <v>26</v>
      </c>
      <c r="G388" s="54"/>
    </row>
    <row r="389">
      <c r="A389" s="49">
        <v>45024.78957891204</v>
      </c>
      <c r="B389" s="50">
        <v>45024.9145494097</v>
      </c>
      <c r="C389" s="51">
        <v>1.085</v>
      </c>
      <c r="D389" s="51">
        <v>63.0</v>
      </c>
      <c r="E389" s="52" t="s">
        <v>25</v>
      </c>
      <c r="F389" s="52" t="s">
        <v>26</v>
      </c>
      <c r="G389" s="54"/>
    </row>
    <row r="390">
      <c r="A390" s="49">
        <v>45024.80000394676</v>
      </c>
      <c r="B390" s="50">
        <v>45024.924968912</v>
      </c>
      <c r="C390" s="51">
        <v>1.085</v>
      </c>
      <c r="D390" s="51">
        <v>63.0</v>
      </c>
      <c r="E390" s="52" t="s">
        <v>25</v>
      </c>
      <c r="F390" s="52" t="s">
        <v>26</v>
      </c>
      <c r="G390" s="54"/>
    </row>
    <row r="391">
      <c r="A391" s="49">
        <v>45024.810566608794</v>
      </c>
      <c r="B391" s="50">
        <v>45024.9353915856</v>
      </c>
      <c r="C391" s="51">
        <v>1.084</v>
      </c>
      <c r="D391" s="51">
        <v>63.0</v>
      </c>
      <c r="E391" s="52" t="s">
        <v>25</v>
      </c>
      <c r="F391" s="52" t="s">
        <v>26</v>
      </c>
      <c r="G391" s="54"/>
    </row>
    <row r="392">
      <c r="A392" s="49">
        <v>45024.82083626157</v>
      </c>
      <c r="B392" s="50">
        <v>45024.9458128356</v>
      </c>
      <c r="C392" s="51">
        <v>1.084</v>
      </c>
      <c r="D392" s="51">
        <v>63.0</v>
      </c>
      <c r="E392" s="52" t="s">
        <v>25</v>
      </c>
      <c r="F392" s="52" t="s">
        <v>26</v>
      </c>
      <c r="G392" s="54"/>
    </row>
    <row r="393">
      <c r="A393" s="49">
        <v>45024.831281597224</v>
      </c>
      <c r="B393" s="50">
        <v>45024.9562563078</v>
      </c>
      <c r="C393" s="51">
        <v>1.084</v>
      </c>
      <c r="D393" s="51">
        <v>62.0</v>
      </c>
      <c r="E393" s="52" t="s">
        <v>25</v>
      </c>
      <c r="F393" s="52" t="s">
        <v>26</v>
      </c>
      <c r="G393" s="54"/>
    </row>
    <row r="394">
      <c r="A394" s="49">
        <v>45024.84170820602</v>
      </c>
      <c r="B394" s="50">
        <v>45024.9666768518</v>
      </c>
      <c r="C394" s="51">
        <v>1.085</v>
      </c>
      <c r="D394" s="51">
        <v>62.0</v>
      </c>
      <c r="E394" s="52" t="s">
        <v>25</v>
      </c>
      <c r="F394" s="52" t="s">
        <v>26</v>
      </c>
      <c r="G394" s="54"/>
    </row>
    <row r="395">
      <c r="A395" s="49">
        <v>45024.852122233795</v>
      </c>
      <c r="B395" s="50">
        <v>45024.9770989236</v>
      </c>
      <c r="C395" s="51">
        <v>1.085</v>
      </c>
      <c r="D395" s="51">
        <v>62.0</v>
      </c>
      <c r="E395" s="52" t="s">
        <v>25</v>
      </c>
      <c r="F395" s="52" t="s">
        <v>26</v>
      </c>
      <c r="G395" s="54"/>
    </row>
    <row r="396">
      <c r="A396" s="49">
        <v>45024.86256121528</v>
      </c>
      <c r="B396" s="50">
        <v>45024.9875312037</v>
      </c>
      <c r="C396" s="51">
        <v>1.084</v>
      </c>
      <c r="D396" s="51">
        <v>62.0</v>
      </c>
      <c r="E396" s="52" t="s">
        <v>25</v>
      </c>
      <c r="F396" s="52" t="s">
        <v>26</v>
      </c>
      <c r="G396" s="54"/>
    </row>
    <row r="397">
      <c r="A397" s="49">
        <v>45024.87298560185</v>
      </c>
      <c r="B397" s="50">
        <v>45024.9979652893</v>
      </c>
      <c r="C397" s="51">
        <v>1.084</v>
      </c>
      <c r="D397" s="51">
        <v>63.0</v>
      </c>
      <c r="E397" s="52" t="s">
        <v>25</v>
      </c>
      <c r="F397" s="52" t="s">
        <v>26</v>
      </c>
      <c r="G397" s="54"/>
    </row>
    <row r="398">
      <c r="A398" s="49">
        <v>45024.88341496528</v>
      </c>
      <c r="B398" s="50">
        <v>45025.0083880092</v>
      </c>
      <c r="C398" s="51">
        <v>1.084</v>
      </c>
      <c r="D398" s="51">
        <v>62.0</v>
      </c>
      <c r="E398" s="52" t="s">
        <v>25</v>
      </c>
      <c r="F398" s="52" t="s">
        <v>26</v>
      </c>
      <c r="G398" s="54"/>
    </row>
    <row r="399">
      <c r="A399" s="49">
        <v>45024.893853518515</v>
      </c>
      <c r="B399" s="50">
        <v>45025.0188226157</v>
      </c>
      <c r="C399" s="51">
        <v>1.084</v>
      </c>
      <c r="D399" s="51">
        <v>62.0</v>
      </c>
      <c r="E399" s="52" t="s">
        <v>25</v>
      </c>
      <c r="F399" s="52" t="s">
        <v>26</v>
      </c>
      <c r="G399" s="54"/>
    </row>
    <row r="400">
      <c r="A400" s="49">
        <v>45024.90426789352</v>
      </c>
      <c r="B400" s="50">
        <v>45025.029244537</v>
      </c>
      <c r="C400" s="51">
        <v>1.084</v>
      </c>
      <c r="D400" s="51">
        <v>62.0</v>
      </c>
      <c r="E400" s="52" t="s">
        <v>25</v>
      </c>
      <c r="F400" s="52" t="s">
        <v>26</v>
      </c>
      <c r="G400" s="54"/>
    </row>
    <row r="401">
      <c r="A401" s="49">
        <v>45024.9146981713</v>
      </c>
      <c r="B401" s="50">
        <v>45025.0396654629</v>
      </c>
      <c r="C401" s="51">
        <v>1.084</v>
      </c>
      <c r="D401" s="51">
        <v>62.0</v>
      </c>
      <c r="E401" s="52" t="s">
        <v>25</v>
      </c>
      <c r="F401" s="52" t="s">
        <v>26</v>
      </c>
      <c r="G401" s="54"/>
    </row>
    <row r="402">
      <c r="A402" s="49">
        <v>45024.92511394676</v>
      </c>
      <c r="B402" s="50">
        <v>45025.0500867824</v>
      </c>
      <c r="C402" s="51">
        <v>1.084</v>
      </c>
      <c r="D402" s="51">
        <v>62.0</v>
      </c>
      <c r="E402" s="52" t="s">
        <v>25</v>
      </c>
      <c r="F402" s="52" t="s">
        <v>26</v>
      </c>
      <c r="G402" s="54"/>
    </row>
    <row r="403">
      <c r="A403" s="49">
        <v>45024.935532118056</v>
      </c>
      <c r="B403" s="50">
        <v>45025.0605062962</v>
      </c>
      <c r="C403" s="51">
        <v>1.084</v>
      </c>
      <c r="D403" s="51">
        <v>62.0</v>
      </c>
      <c r="E403" s="52" t="s">
        <v>25</v>
      </c>
      <c r="F403" s="52" t="s">
        <v>26</v>
      </c>
      <c r="G403" s="54"/>
    </row>
    <row r="404">
      <c r="A404" s="49">
        <v>45024.94597609954</v>
      </c>
      <c r="B404" s="50">
        <v>45025.0709510416</v>
      </c>
      <c r="C404" s="51">
        <v>1.084</v>
      </c>
      <c r="D404" s="51">
        <v>62.0</v>
      </c>
      <c r="E404" s="52" t="s">
        <v>25</v>
      </c>
      <c r="F404" s="52" t="s">
        <v>26</v>
      </c>
      <c r="G404" s="54"/>
    </row>
    <row r="405">
      <c r="A405" s="49">
        <v>45024.95640657407</v>
      </c>
      <c r="B405" s="50">
        <v>45025.0813843865</v>
      </c>
      <c r="C405" s="51">
        <v>1.084</v>
      </c>
      <c r="D405" s="51">
        <v>62.0</v>
      </c>
      <c r="E405" s="52" t="s">
        <v>25</v>
      </c>
      <c r="F405" s="52" t="s">
        <v>26</v>
      </c>
      <c r="G405" s="54"/>
    </row>
    <row r="406">
      <c r="A406" s="49">
        <v>45024.96683607639</v>
      </c>
      <c r="B406" s="50">
        <v>45025.0918049421</v>
      </c>
      <c r="C406" s="51">
        <v>1.084</v>
      </c>
      <c r="D406" s="51">
        <v>62.0</v>
      </c>
      <c r="E406" s="52" t="s">
        <v>25</v>
      </c>
      <c r="F406" s="52" t="s">
        <v>26</v>
      </c>
      <c r="G406" s="54"/>
    </row>
    <row r="407">
      <c r="A407" s="49">
        <v>45024.97732643518</v>
      </c>
      <c r="B407" s="50">
        <v>45025.1022375</v>
      </c>
      <c r="C407" s="51">
        <v>1.084</v>
      </c>
      <c r="D407" s="51">
        <v>62.0</v>
      </c>
      <c r="E407" s="52" t="s">
        <v>25</v>
      </c>
      <c r="F407" s="52" t="s">
        <v>26</v>
      </c>
      <c r="G407" s="54"/>
    </row>
    <row r="408">
      <c r="A408" s="49">
        <v>45024.98768209491</v>
      </c>
      <c r="B408" s="50">
        <v>45025.1126594328</v>
      </c>
      <c r="C408" s="51">
        <v>1.084</v>
      </c>
      <c r="D408" s="51">
        <v>62.0</v>
      </c>
      <c r="E408" s="52" t="s">
        <v>25</v>
      </c>
      <c r="F408" s="52" t="s">
        <v>26</v>
      </c>
      <c r="G408" s="54"/>
    </row>
    <row r="409">
      <c r="A409" s="49">
        <v>45024.99811311343</v>
      </c>
      <c r="B409" s="50">
        <v>45025.1230800925</v>
      </c>
      <c r="C409" s="51">
        <v>1.083</v>
      </c>
      <c r="D409" s="51">
        <v>62.0</v>
      </c>
      <c r="E409" s="52" t="s">
        <v>25</v>
      </c>
      <c r="F409" s="52" t="s">
        <v>26</v>
      </c>
      <c r="G409" s="54"/>
    </row>
    <row r="410">
      <c r="A410" s="49">
        <v>45025.00852668981</v>
      </c>
      <c r="B410" s="50">
        <v>45025.1335021527</v>
      </c>
      <c r="C410" s="51">
        <v>1.084</v>
      </c>
      <c r="D410" s="51">
        <v>62.0</v>
      </c>
      <c r="E410" s="52" t="s">
        <v>25</v>
      </c>
      <c r="F410" s="52" t="s">
        <v>26</v>
      </c>
      <c r="G410" s="54"/>
    </row>
    <row r="411">
      <c r="A411" s="49">
        <v>45025.01894459491</v>
      </c>
      <c r="B411" s="50">
        <v>45025.1439210995</v>
      </c>
      <c r="C411" s="51">
        <v>1.084</v>
      </c>
      <c r="D411" s="51">
        <v>62.0</v>
      </c>
      <c r="E411" s="52" t="s">
        <v>25</v>
      </c>
      <c r="F411" s="52" t="s">
        <v>26</v>
      </c>
      <c r="G411" s="54"/>
    </row>
    <row r="412">
      <c r="A412" s="49">
        <v>45025.029372743054</v>
      </c>
      <c r="B412" s="50">
        <v>45025.1543410185</v>
      </c>
      <c r="C412" s="51">
        <v>1.084</v>
      </c>
      <c r="D412" s="51">
        <v>62.0</v>
      </c>
      <c r="E412" s="52" t="s">
        <v>25</v>
      </c>
      <c r="F412" s="52" t="s">
        <v>26</v>
      </c>
      <c r="G412" s="54"/>
    </row>
    <row r="413">
      <c r="A413" s="49">
        <v>45025.039788379625</v>
      </c>
      <c r="B413" s="50">
        <v>45025.1647626273</v>
      </c>
      <c r="C413" s="51">
        <v>1.084</v>
      </c>
      <c r="D413" s="51">
        <v>62.0</v>
      </c>
      <c r="E413" s="52" t="s">
        <v>25</v>
      </c>
      <c r="F413" s="52" t="s">
        <v>26</v>
      </c>
      <c r="G413" s="54"/>
    </row>
    <row r="414">
      <c r="A414" s="49">
        <v>45025.05020721065</v>
      </c>
      <c r="B414" s="50">
        <v>45025.1751824884</v>
      </c>
      <c r="C414" s="51">
        <v>1.083</v>
      </c>
      <c r="D414" s="51">
        <v>62.0</v>
      </c>
      <c r="E414" s="52" t="s">
        <v>25</v>
      </c>
      <c r="F414" s="52" t="s">
        <v>26</v>
      </c>
      <c r="G414" s="54"/>
    </row>
    <row r="415">
      <c r="A415" s="49">
        <v>45025.06063905093</v>
      </c>
      <c r="B415" s="50">
        <v>45025.1856031713</v>
      </c>
      <c r="C415" s="51">
        <v>1.083</v>
      </c>
      <c r="D415" s="51">
        <v>62.0</v>
      </c>
      <c r="E415" s="52" t="s">
        <v>25</v>
      </c>
      <c r="F415" s="52" t="s">
        <v>26</v>
      </c>
      <c r="G415" s="54"/>
    </row>
    <row r="416">
      <c r="A416" s="49">
        <v>45025.071045625</v>
      </c>
      <c r="B416" s="50">
        <v>45025.1960234606</v>
      </c>
      <c r="C416" s="51">
        <v>1.083</v>
      </c>
      <c r="D416" s="51">
        <v>62.0</v>
      </c>
      <c r="E416" s="52" t="s">
        <v>25</v>
      </c>
      <c r="F416" s="52" t="s">
        <v>26</v>
      </c>
      <c r="G416" s="54"/>
    </row>
    <row r="417">
      <c r="A417" s="49">
        <v>45025.08147217592</v>
      </c>
      <c r="B417" s="50">
        <v>45025.2064461689</v>
      </c>
      <c r="C417" s="51">
        <v>1.083</v>
      </c>
      <c r="D417" s="51">
        <v>62.0</v>
      </c>
      <c r="E417" s="52" t="s">
        <v>25</v>
      </c>
      <c r="F417" s="52" t="s">
        <v>26</v>
      </c>
      <c r="G417" s="54"/>
    </row>
    <row r="418">
      <c r="A418" s="49">
        <v>45025.091898240746</v>
      </c>
      <c r="B418" s="50">
        <v>45025.2168677893</v>
      </c>
      <c r="C418" s="51">
        <v>1.083</v>
      </c>
      <c r="D418" s="51">
        <v>62.0</v>
      </c>
      <c r="E418" s="52" t="s">
        <v>25</v>
      </c>
      <c r="F418" s="52" t="s">
        <v>26</v>
      </c>
      <c r="G418" s="54"/>
    </row>
    <row r="419">
      <c r="A419" s="49">
        <v>45025.102317997684</v>
      </c>
      <c r="B419" s="50">
        <v>45025.2272891435</v>
      </c>
      <c r="C419" s="51">
        <v>1.083</v>
      </c>
      <c r="D419" s="51">
        <v>62.0</v>
      </c>
      <c r="E419" s="52" t="s">
        <v>25</v>
      </c>
      <c r="F419" s="52" t="s">
        <v>26</v>
      </c>
      <c r="G419" s="54"/>
    </row>
    <row r="420">
      <c r="A420" s="49">
        <v>45025.112732106485</v>
      </c>
      <c r="B420" s="50">
        <v>45025.2377101157</v>
      </c>
      <c r="C420" s="51">
        <v>1.083</v>
      </c>
      <c r="D420" s="51">
        <v>62.0</v>
      </c>
      <c r="E420" s="52" t="s">
        <v>25</v>
      </c>
      <c r="F420" s="52" t="s">
        <v>26</v>
      </c>
      <c r="G420" s="54"/>
    </row>
    <row r="421">
      <c r="A421" s="49">
        <v>45025.12318077547</v>
      </c>
      <c r="B421" s="50">
        <v>45025.2481543865</v>
      </c>
      <c r="C421" s="51">
        <v>1.083</v>
      </c>
      <c r="D421" s="51">
        <v>62.0</v>
      </c>
      <c r="E421" s="52" t="s">
        <v>25</v>
      </c>
      <c r="F421" s="52" t="s">
        <v>26</v>
      </c>
      <c r="G421" s="54"/>
    </row>
    <row r="422">
      <c r="A422" s="49">
        <v>45025.133626863426</v>
      </c>
      <c r="B422" s="50">
        <v>45025.2585974189</v>
      </c>
      <c r="C422" s="51">
        <v>1.083</v>
      </c>
      <c r="D422" s="51">
        <v>62.0</v>
      </c>
      <c r="E422" s="52" t="s">
        <v>25</v>
      </c>
      <c r="F422" s="52" t="s">
        <v>26</v>
      </c>
      <c r="G422" s="54"/>
    </row>
    <row r="423">
      <c r="A423" s="49">
        <v>45025.144040520834</v>
      </c>
      <c r="B423" s="50">
        <v>45025.2690188657</v>
      </c>
      <c r="C423" s="51">
        <v>1.083</v>
      </c>
      <c r="D423" s="51">
        <v>62.0</v>
      </c>
      <c r="E423" s="52" t="s">
        <v>25</v>
      </c>
      <c r="F423" s="52" t="s">
        <v>26</v>
      </c>
      <c r="G423" s="54"/>
    </row>
    <row r="424">
      <c r="A424" s="49">
        <v>45025.154456979166</v>
      </c>
      <c r="B424" s="50">
        <v>45025.279439074</v>
      </c>
      <c r="C424" s="51">
        <v>1.083</v>
      </c>
      <c r="D424" s="51">
        <v>62.0</v>
      </c>
      <c r="E424" s="52" t="s">
        <v>25</v>
      </c>
      <c r="F424" s="52" t="s">
        <v>26</v>
      </c>
      <c r="G424" s="54"/>
    </row>
    <row r="425">
      <c r="A425" s="49">
        <v>45025.16488863426</v>
      </c>
      <c r="B425" s="50">
        <v>45025.2898591435</v>
      </c>
      <c r="C425" s="51">
        <v>1.083</v>
      </c>
      <c r="D425" s="51">
        <v>62.0</v>
      </c>
      <c r="E425" s="52" t="s">
        <v>25</v>
      </c>
      <c r="F425" s="52" t="s">
        <v>26</v>
      </c>
      <c r="G425" s="54"/>
    </row>
    <row r="426">
      <c r="A426" s="49">
        <v>45025.17530690972</v>
      </c>
      <c r="B426" s="50">
        <v>45025.3002799074</v>
      </c>
      <c r="C426" s="51">
        <v>1.083</v>
      </c>
      <c r="D426" s="51">
        <v>62.0</v>
      </c>
      <c r="E426" s="52" t="s">
        <v>25</v>
      </c>
      <c r="F426" s="52" t="s">
        <v>26</v>
      </c>
      <c r="G426" s="54"/>
    </row>
    <row r="427">
      <c r="A427" s="49">
        <v>45025.18571740741</v>
      </c>
      <c r="B427" s="50">
        <v>45025.3106981828</v>
      </c>
      <c r="C427" s="51">
        <v>1.083</v>
      </c>
      <c r="D427" s="51">
        <v>62.0</v>
      </c>
      <c r="E427" s="52" t="s">
        <v>25</v>
      </c>
      <c r="F427" s="52" t="s">
        <v>26</v>
      </c>
      <c r="G427" s="54"/>
    </row>
    <row r="428">
      <c r="A428" s="49">
        <v>45025.196154537036</v>
      </c>
      <c r="B428" s="50">
        <v>45025.3211185763</v>
      </c>
      <c r="C428" s="51">
        <v>1.083</v>
      </c>
      <c r="D428" s="51">
        <v>62.0</v>
      </c>
      <c r="E428" s="52" t="s">
        <v>25</v>
      </c>
      <c r="F428" s="52" t="s">
        <v>26</v>
      </c>
      <c r="G428" s="54"/>
    </row>
    <row r="429">
      <c r="A429" s="49">
        <v>45025.2065662963</v>
      </c>
      <c r="B429" s="50">
        <v>45025.3315409722</v>
      </c>
      <c r="C429" s="51">
        <v>1.083</v>
      </c>
      <c r="D429" s="51">
        <v>62.0</v>
      </c>
      <c r="E429" s="52" t="s">
        <v>25</v>
      </c>
      <c r="F429" s="52" t="s">
        <v>26</v>
      </c>
      <c r="G429" s="54"/>
    </row>
    <row r="430">
      <c r="A430" s="49">
        <v>45025.21698776621</v>
      </c>
      <c r="B430" s="50">
        <v>45025.3419611689</v>
      </c>
      <c r="C430" s="51">
        <v>1.083</v>
      </c>
      <c r="D430" s="51">
        <v>62.0</v>
      </c>
      <c r="E430" s="52" t="s">
        <v>25</v>
      </c>
      <c r="F430" s="52" t="s">
        <v>26</v>
      </c>
      <c r="G430" s="54"/>
    </row>
    <row r="431">
      <c r="A431" s="49">
        <v>45025.227405763886</v>
      </c>
      <c r="B431" s="50">
        <v>45025.352382581</v>
      </c>
      <c r="C431" s="51">
        <v>1.082</v>
      </c>
      <c r="D431" s="51">
        <v>62.0</v>
      </c>
      <c r="E431" s="52" t="s">
        <v>25</v>
      </c>
      <c r="F431" s="52" t="s">
        <v>26</v>
      </c>
      <c r="G431" s="54"/>
    </row>
    <row r="432">
      <c r="A432" s="49">
        <v>45025.23783277778</v>
      </c>
      <c r="B432" s="50">
        <v>45025.3628041319</v>
      </c>
      <c r="C432" s="51">
        <v>1.083</v>
      </c>
      <c r="D432" s="51">
        <v>62.0</v>
      </c>
      <c r="E432" s="52" t="s">
        <v>25</v>
      </c>
      <c r="F432" s="52" t="s">
        <v>26</v>
      </c>
      <c r="G432" s="54"/>
    </row>
    <row r="433">
      <c r="A433" s="49">
        <v>45025.248269062504</v>
      </c>
      <c r="B433" s="50">
        <v>45025.3732388888</v>
      </c>
      <c r="C433" s="51">
        <v>1.083</v>
      </c>
      <c r="D433" s="51">
        <v>62.0</v>
      </c>
      <c r="E433" s="52" t="s">
        <v>25</v>
      </c>
      <c r="F433" s="52" t="s">
        <v>26</v>
      </c>
      <c r="G433" s="54"/>
    </row>
    <row r="434">
      <c r="A434" s="49">
        <v>45025.25868706018</v>
      </c>
      <c r="B434" s="50">
        <v>45025.3836611921</v>
      </c>
      <c r="C434" s="51">
        <v>1.083</v>
      </c>
      <c r="D434" s="51">
        <v>62.0</v>
      </c>
      <c r="E434" s="52" t="s">
        <v>25</v>
      </c>
      <c r="F434" s="52" t="s">
        <v>26</v>
      </c>
      <c r="G434" s="54"/>
    </row>
    <row r="435">
      <c r="A435" s="49">
        <v>45025.26910600695</v>
      </c>
      <c r="B435" s="50">
        <v>45025.3940825578</v>
      </c>
      <c r="C435" s="51">
        <v>1.083</v>
      </c>
      <c r="D435" s="51">
        <v>62.0</v>
      </c>
      <c r="E435" s="52" t="s">
        <v>25</v>
      </c>
      <c r="F435" s="52" t="s">
        <v>26</v>
      </c>
      <c r="G435" s="54"/>
    </row>
    <row r="436">
      <c r="A436" s="49">
        <v>45025.27953284723</v>
      </c>
      <c r="B436" s="50">
        <v>45025.4045029861</v>
      </c>
      <c r="C436" s="51">
        <v>1.083</v>
      </c>
      <c r="D436" s="51">
        <v>62.0</v>
      </c>
      <c r="E436" s="52" t="s">
        <v>25</v>
      </c>
      <c r="F436" s="52" t="s">
        <v>26</v>
      </c>
      <c r="G436" s="54"/>
    </row>
    <row r="437">
      <c r="A437" s="49">
        <v>45025.289959999995</v>
      </c>
      <c r="B437" s="50">
        <v>45025.4149346875</v>
      </c>
      <c r="C437" s="51">
        <v>1.083</v>
      </c>
      <c r="D437" s="51">
        <v>62.0</v>
      </c>
      <c r="E437" s="52" t="s">
        <v>25</v>
      </c>
      <c r="F437" s="52" t="s">
        <v>26</v>
      </c>
      <c r="G437" s="54"/>
    </row>
    <row r="438">
      <c r="A438" s="49">
        <v>45025.30039013889</v>
      </c>
      <c r="B438" s="50">
        <v>45025.4253667361</v>
      </c>
      <c r="C438" s="51">
        <v>1.082</v>
      </c>
      <c r="D438" s="51">
        <v>62.0</v>
      </c>
      <c r="E438" s="52" t="s">
        <v>25</v>
      </c>
      <c r="F438" s="52" t="s">
        <v>26</v>
      </c>
      <c r="G438" s="54"/>
    </row>
    <row r="439">
      <c r="A439" s="49">
        <v>45025.31081387731</v>
      </c>
      <c r="B439" s="50">
        <v>45025.435785706</v>
      </c>
      <c r="C439" s="51">
        <v>1.082</v>
      </c>
      <c r="D439" s="51">
        <v>62.0</v>
      </c>
      <c r="E439" s="52" t="s">
        <v>25</v>
      </c>
      <c r="F439" s="52" t="s">
        <v>26</v>
      </c>
      <c r="G439" s="54"/>
    </row>
    <row r="440">
      <c r="A440" s="49">
        <v>45025.32123677083</v>
      </c>
      <c r="B440" s="50">
        <v>45025.4462079629</v>
      </c>
      <c r="C440" s="51">
        <v>1.083</v>
      </c>
      <c r="D440" s="51">
        <v>62.0</v>
      </c>
      <c r="E440" s="52" t="s">
        <v>25</v>
      </c>
      <c r="F440" s="52" t="s">
        <v>26</v>
      </c>
      <c r="G440" s="54"/>
    </row>
    <row r="441">
      <c r="A441" s="49">
        <v>45025.33164769676</v>
      </c>
      <c r="B441" s="50">
        <v>45025.4566282175</v>
      </c>
      <c r="C441" s="51">
        <v>1.083</v>
      </c>
      <c r="D441" s="51">
        <v>62.0</v>
      </c>
      <c r="E441" s="52" t="s">
        <v>25</v>
      </c>
      <c r="F441" s="52" t="s">
        <v>26</v>
      </c>
      <c r="G441" s="54"/>
    </row>
    <row r="442">
      <c r="A442" s="49">
        <v>45025.34208328703</v>
      </c>
      <c r="B442" s="50">
        <v>45025.4670506134</v>
      </c>
      <c r="C442" s="51">
        <v>1.082</v>
      </c>
      <c r="D442" s="51">
        <v>62.0</v>
      </c>
      <c r="E442" s="52" t="s">
        <v>25</v>
      </c>
      <c r="F442" s="52" t="s">
        <v>26</v>
      </c>
      <c r="G442" s="54"/>
    </row>
    <row r="443">
      <c r="A443" s="49">
        <v>45025.35250020833</v>
      </c>
      <c r="B443" s="50">
        <v>45025.4774706134</v>
      </c>
      <c r="C443" s="51">
        <v>1.082</v>
      </c>
      <c r="D443" s="51">
        <v>62.0</v>
      </c>
      <c r="E443" s="52" t="s">
        <v>25</v>
      </c>
      <c r="F443" s="52" t="s">
        <v>26</v>
      </c>
      <c r="G443" s="54"/>
    </row>
    <row r="444">
      <c r="A444" s="49">
        <v>45025.36294131944</v>
      </c>
      <c r="B444" s="50">
        <v>45025.4879144907</v>
      </c>
      <c r="C444" s="51">
        <v>1.082</v>
      </c>
      <c r="D444" s="51">
        <v>62.0</v>
      </c>
      <c r="E444" s="52" t="s">
        <v>25</v>
      </c>
      <c r="F444" s="52" t="s">
        <v>26</v>
      </c>
      <c r="G444" s="54"/>
    </row>
    <row r="445">
      <c r="A445" s="49">
        <v>45025.37337710648</v>
      </c>
      <c r="B445" s="50">
        <v>45025.4983492129</v>
      </c>
      <c r="C445" s="51">
        <v>1.082</v>
      </c>
      <c r="D445" s="51">
        <v>62.0</v>
      </c>
      <c r="E445" s="52" t="s">
        <v>25</v>
      </c>
      <c r="F445" s="52" t="s">
        <v>26</v>
      </c>
      <c r="G445" s="54"/>
    </row>
    <row r="446">
      <c r="A446" s="49">
        <v>45025.38379587963</v>
      </c>
      <c r="B446" s="50">
        <v>45025.5087706134</v>
      </c>
      <c r="C446" s="51">
        <v>1.082</v>
      </c>
      <c r="D446" s="51">
        <v>62.0</v>
      </c>
      <c r="E446" s="52" t="s">
        <v>25</v>
      </c>
      <c r="F446" s="52" t="s">
        <v>26</v>
      </c>
      <c r="G446" s="54"/>
    </row>
    <row r="447">
      <c r="A447" s="49">
        <v>45025.394228958336</v>
      </c>
      <c r="B447" s="50">
        <v>45025.5191918634</v>
      </c>
      <c r="C447" s="51">
        <v>1.082</v>
      </c>
      <c r="D447" s="51">
        <v>62.0</v>
      </c>
      <c r="E447" s="52" t="s">
        <v>25</v>
      </c>
      <c r="F447" s="52" t="s">
        <v>26</v>
      </c>
      <c r="G447" s="54"/>
    </row>
    <row r="448">
      <c r="A448" s="49">
        <v>45025.40464168982</v>
      </c>
      <c r="B448" s="50">
        <v>45025.529614456</v>
      </c>
      <c r="C448" s="51">
        <v>1.082</v>
      </c>
      <c r="D448" s="51">
        <v>62.0</v>
      </c>
      <c r="E448" s="52" t="s">
        <v>25</v>
      </c>
      <c r="F448" s="52" t="s">
        <v>26</v>
      </c>
      <c r="G448" s="54"/>
    </row>
    <row r="449">
      <c r="A449" s="49">
        <v>45025.41507340278</v>
      </c>
      <c r="B449" s="50">
        <v>45025.5400465972</v>
      </c>
      <c r="C449" s="51">
        <v>1.082</v>
      </c>
      <c r="D449" s="51">
        <v>62.0</v>
      </c>
      <c r="E449" s="52" t="s">
        <v>25</v>
      </c>
      <c r="F449" s="52" t="s">
        <v>26</v>
      </c>
      <c r="G449" s="54"/>
    </row>
    <row r="450">
      <c r="A450" s="49">
        <v>45025.42549550926</v>
      </c>
      <c r="B450" s="50">
        <v>45025.5504664814</v>
      </c>
      <c r="C450" s="51">
        <v>1.082</v>
      </c>
      <c r="D450" s="51">
        <v>62.0</v>
      </c>
      <c r="E450" s="52" t="s">
        <v>25</v>
      </c>
      <c r="F450" s="52" t="s">
        <v>26</v>
      </c>
      <c r="G450" s="54"/>
    </row>
    <row r="451">
      <c r="A451" s="49">
        <v>45025.43591053241</v>
      </c>
      <c r="B451" s="50">
        <v>45025.5608884143</v>
      </c>
      <c r="C451" s="51">
        <v>1.082</v>
      </c>
      <c r="D451" s="51">
        <v>62.0</v>
      </c>
      <c r="E451" s="52" t="s">
        <v>25</v>
      </c>
      <c r="F451" s="52" t="s">
        <v>26</v>
      </c>
      <c r="G451" s="54"/>
    </row>
    <row r="452">
      <c r="A452" s="49">
        <v>45025.4463458449</v>
      </c>
      <c r="B452" s="50">
        <v>45025.5713205902</v>
      </c>
      <c r="C452" s="51">
        <v>1.082</v>
      </c>
      <c r="D452" s="51">
        <v>62.0</v>
      </c>
      <c r="E452" s="52" t="s">
        <v>25</v>
      </c>
      <c r="F452" s="52" t="s">
        <v>26</v>
      </c>
      <c r="G452" s="54"/>
    </row>
    <row r="453">
      <c r="A453" s="49">
        <v>45025.45677247686</v>
      </c>
      <c r="B453" s="50">
        <v>45025.5817410879</v>
      </c>
      <c r="C453" s="51">
        <v>1.082</v>
      </c>
      <c r="D453" s="51">
        <v>62.0</v>
      </c>
      <c r="E453" s="52" t="s">
        <v>25</v>
      </c>
      <c r="F453" s="52" t="s">
        <v>26</v>
      </c>
      <c r="G453" s="54"/>
    </row>
    <row r="454">
      <c r="A454" s="49">
        <v>45025.467191331016</v>
      </c>
      <c r="B454" s="50">
        <v>45025.5921613657</v>
      </c>
      <c r="C454" s="51">
        <v>1.082</v>
      </c>
      <c r="D454" s="51">
        <v>62.0</v>
      </c>
      <c r="E454" s="52" t="s">
        <v>25</v>
      </c>
      <c r="F454" s="52" t="s">
        <v>26</v>
      </c>
      <c r="G454" s="54"/>
    </row>
    <row r="455">
      <c r="A455" s="49">
        <v>45025.47760438657</v>
      </c>
      <c r="B455" s="50">
        <v>45025.602580787</v>
      </c>
      <c r="C455" s="51">
        <v>1.082</v>
      </c>
      <c r="D455" s="51">
        <v>62.0</v>
      </c>
      <c r="E455" s="52" t="s">
        <v>25</v>
      </c>
      <c r="F455" s="52" t="s">
        <v>26</v>
      </c>
      <c r="G455" s="54"/>
    </row>
    <row r="456">
      <c r="A456" s="49">
        <v>45025.48802266204</v>
      </c>
      <c r="B456" s="50">
        <v>45025.6130013657</v>
      </c>
      <c r="C456" s="51">
        <v>1.082</v>
      </c>
      <c r="D456" s="51">
        <v>62.0</v>
      </c>
      <c r="E456" s="52" t="s">
        <v>25</v>
      </c>
      <c r="F456" s="52" t="s">
        <v>26</v>
      </c>
      <c r="G456" s="54"/>
    </row>
    <row r="457">
      <c r="A457" s="49">
        <v>45025.49845333333</v>
      </c>
      <c r="B457" s="50">
        <v>45025.6234242708</v>
      </c>
      <c r="C457" s="51">
        <v>1.082</v>
      </c>
      <c r="D457" s="51">
        <v>62.0</v>
      </c>
      <c r="E457" s="52" t="s">
        <v>25</v>
      </c>
      <c r="F457" s="52" t="s">
        <v>26</v>
      </c>
      <c r="G457" s="54"/>
    </row>
    <row r="458">
      <c r="A458" s="49">
        <v>45025.5088794676</v>
      </c>
      <c r="B458" s="50">
        <v>45025.6338441898</v>
      </c>
      <c r="C458" s="51">
        <v>1.081</v>
      </c>
      <c r="D458" s="51">
        <v>62.0</v>
      </c>
      <c r="E458" s="52" t="s">
        <v>25</v>
      </c>
      <c r="F458" s="52" t="s">
        <v>26</v>
      </c>
      <c r="G458" s="54"/>
    </row>
    <row r="459">
      <c r="A459" s="49">
        <v>45025.519299907406</v>
      </c>
      <c r="B459" s="50">
        <v>45025.6442641088</v>
      </c>
      <c r="C459" s="51">
        <v>1.082</v>
      </c>
      <c r="D459" s="51">
        <v>62.0</v>
      </c>
      <c r="E459" s="52" t="s">
        <v>25</v>
      </c>
      <c r="F459" s="52" t="s">
        <v>26</v>
      </c>
      <c r="G459" s="54"/>
    </row>
    <row r="460">
      <c r="A460" s="49">
        <v>45025.529708981485</v>
      </c>
      <c r="B460" s="50">
        <v>45025.6546851851</v>
      </c>
      <c r="C460" s="51">
        <v>1.082</v>
      </c>
      <c r="D460" s="51">
        <v>61.0</v>
      </c>
      <c r="E460" s="52" t="s">
        <v>25</v>
      </c>
      <c r="F460" s="52" t="s">
        <v>26</v>
      </c>
      <c r="G460" s="54"/>
    </row>
    <row r="461">
      <c r="A461" s="49">
        <v>45025.540134826384</v>
      </c>
      <c r="B461" s="50">
        <v>45025.6651062963</v>
      </c>
      <c r="C461" s="51">
        <v>1.082</v>
      </c>
      <c r="D461" s="51">
        <v>61.0</v>
      </c>
      <c r="E461" s="52" t="s">
        <v>25</v>
      </c>
      <c r="F461" s="52" t="s">
        <v>26</v>
      </c>
      <c r="G461" s="54"/>
    </row>
    <row r="462">
      <c r="A462" s="49">
        <v>45025.55055756944</v>
      </c>
      <c r="B462" s="50">
        <v>45025.6755270717</v>
      </c>
      <c r="C462" s="51">
        <v>1.082</v>
      </c>
      <c r="D462" s="51">
        <v>62.0</v>
      </c>
      <c r="E462" s="52" t="s">
        <v>25</v>
      </c>
      <c r="F462" s="52" t="s">
        <v>26</v>
      </c>
      <c r="G462" s="54"/>
    </row>
    <row r="463">
      <c r="A463" s="49">
        <v>45025.56098025463</v>
      </c>
      <c r="B463" s="50">
        <v>45025.6859472453</v>
      </c>
      <c r="C463" s="51">
        <v>1.081</v>
      </c>
      <c r="D463" s="51">
        <v>62.0</v>
      </c>
      <c r="E463" s="52" t="s">
        <v>25</v>
      </c>
      <c r="F463" s="52" t="s">
        <v>26</v>
      </c>
      <c r="G463" s="54"/>
    </row>
    <row r="464">
      <c r="A464" s="49">
        <v>45025.571399374996</v>
      </c>
      <c r="B464" s="50">
        <v>45025.6963685185</v>
      </c>
      <c r="C464" s="51">
        <v>1.081</v>
      </c>
      <c r="D464" s="51">
        <v>61.0</v>
      </c>
      <c r="E464" s="52" t="s">
        <v>25</v>
      </c>
      <c r="F464" s="52" t="s">
        <v>26</v>
      </c>
      <c r="G464" s="54"/>
    </row>
    <row r="465">
      <c r="A465" s="49">
        <v>45025.58182054399</v>
      </c>
      <c r="B465" s="50">
        <v>45025.7067892592</v>
      </c>
      <c r="C465" s="51">
        <v>1.081</v>
      </c>
      <c r="D465" s="51">
        <v>61.0</v>
      </c>
      <c r="E465" s="52" t="s">
        <v>25</v>
      </c>
      <c r="F465" s="52" t="s">
        <v>26</v>
      </c>
      <c r="G465" s="54"/>
    </row>
    <row r="466">
      <c r="A466" s="49">
        <v>45025.592241782404</v>
      </c>
      <c r="B466" s="50">
        <v>45025.7172093634</v>
      </c>
      <c r="C466" s="51">
        <v>1.082</v>
      </c>
      <c r="D466" s="51">
        <v>61.0</v>
      </c>
      <c r="E466" s="52" t="s">
        <v>25</v>
      </c>
      <c r="F466" s="52" t="s">
        <v>26</v>
      </c>
      <c r="G466" s="54"/>
    </row>
    <row r="467">
      <c r="A467" s="49">
        <v>45025.602664618054</v>
      </c>
      <c r="B467" s="50">
        <v>45025.7276311111</v>
      </c>
      <c r="C467" s="51">
        <v>1.082</v>
      </c>
      <c r="D467" s="51">
        <v>61.0</v>
      </c>
      <c r="E467" s="52" t="s">
        <v>25</v>
      </c>
      <c r="F467" s="52" t="s">
        <v>26</v>
      </c>
      <c r="G467" s="54"/>
    </row>
    <row r="468">
      <c r="A468" s="49">
        <v>45025.613098368056</v>
      </c>
      <c r="B468" s="50">
        <v>45025.7380646759</v>
      </c>
      <c r="C468" s="51">
        <v>1.082</v>
      </c>
      <c r="D468" s="51">
        <v>61.0</v>
      </c>
      <c r="E468" s="52" t="s">
        <v>25</v>
      </c>
      <c r="F468" s="52" t="s">
        <v>26</v>
      </c>
      <c r="G468" s="54"/>
    </row>
    <row r="469">
      <c r="A469" s="49">
        <v>45025.62356814815</v>
      </c>
      <c r="B469" s="50">
        <v>45025.7484973148</v>
      </c>
      <c r="C469" s="51">
        <v>1.082</v>
      </c>
      <c r="D469" s="51">
        <v>61.0</v>
      </c>
      <c r="E469" s="52" t="s">
        <v>25</v>
      </c>
      <c r="F469" s="52" t="s">
        <v>26</v>
      </c>
      <c r="G469" s="54"/>
    </row>
    <row r="470">
      <c r="A470" s="49">
        <v>45025.63395564815</v>
      </c>
      <c r="B470" s="50">
        <v>45025.7589198611</v>
      </c>
      <c r="C470" s="51">
        <v>1.081</v>
      </c>
      <c r="D470" s="51">
        <v>62.0</v>
      </c>
      <c r="E470" s="52" t="s">
        <v>25</v>
      </c>
      <c r="F470" s="52" t="s">
        <v>26</v>
      </c>
      <c r="G470" s="54"/>
    </row>
    <row r="471">
      <c r="A471" s="49">
        <v>45025.64436539352</v>
      </c>
      <c r="B471" s="50">
        <v>45025.7693416435</v>
      </c>
      <c r="C471" s="51">
        <v>1.081</v>
      </c>
      <c r="D471" s="51">
        <v>61.0</v>
      </c>
      <c r="E471" s="52" t="s">
        <v>25</v>
      </c>
      <c r="F471" s="52" t="s">
        <v>26</v>
      </c>
      <c r="G471" s="54"/>
    </row>
    <row r="472">
      <c r="A472" s="49">
        <v>45025.65478814815</v>
      </c>
      <c r="B472" s="50">
        <v>45025.7797609953</v>
      </c>
      <c r="C472" s="51">
        <v>1.081</v>
      </c>
      <c r="D472" s="51">
        <v>61.0</v>
      </c>
      <c r="E472" s="52" t="s">
        <v>25</v>
      </c>
      <c r="F472" s="52" t="s">
        <v>26</v>
      </c>
      <c r="G472" s="54"/>
    </row>
    <row r="473">
      <c r="A473" s="49">
        <v>45025.66522565972</v>
      </c>
      <c r="B473" s="50">
        <v>45025.7901939004</v>
      </c>
      <c r="C473" s="51">
        <v>1.081</v>
      </c>
      <c r="D473" s="51">
        <v>61.0</v>
      </c>
      <c r="E473" s="52" t="s">
        <v>25</v>
      </c>
      <c r="F473" s="52" t="s">
        <v>26</v>
      </c>
      <c r="G473" s="54"/>
    </row>
    <row r="474">
      <c r="A474" s="49">
        <v>45025.67564556713</v>
      </c>
      <c r="B474" s="50">
        <v>45025.8006148958</v>
      </c>
      <c r="C474" s="51">
        <v>1.081</v>
      </c>
      <c r="D474" s="51">
        <v>61.0</v>
      </c>
      <c r="E474" s="52" t="s">
        <v>25</v>
      </c>
      <c r="F474" s="52" t="s">
        <v>26</v>
      </c>
      <c r="G474" s="54"/>
    </row>
    <row r="475">
      <c r="A475" s="49">
        <v>45025.68606487269</v>
      </c>
      <c r="B475" s="50">
        <v>45025.8110357754</v>
      </c>
      <c r="C475" s="51">
        <v>1.081</v>
      </c>
      <c r="D475" s="51">
        <v>61.0</v>
      </c>
      <c r="E475" s="52" t="s">
        <v>25</v>
      </c>
      <c r="F475" s="52" t="s">
        <v>26</v>
      </c>
      <c r="G475" s="54"/>
    </row>
    <row r="476">
      <c r="A476" s="49">
        <v>45025.696483113425</v>
      </c>
      <c r="B476" s="50">
        <v>45025.821457581</v>
      </c>
      <c r="C476" s="51">
        <v>1.081</v>
      </c>
      <c r="D476" s="51">
        <v>61.0</v>
      </c>
      <c r="E476" s="52" t="s">
        <v>25</v>
      </c>
      <c r="F476" s="52" t="s">
        <v>26</v>
      </c>
      <c r="G476" s="54"/>
    </row>
    <row r="477">
      <c r="A477" s="49">
        <v>45025.706899895835</v>
      </c>
      <c r="B477" s="50">
        <v>45025.8318780324</v>
      </c>
      <c r="C477" s="51">
        <v>1.081</v>
      </c>
      <c r="D477" s="51">
        <v>62.0</v>
      </c>
      <c r="E477" s="52" t="s">
        <v>25</v>
      </c>
      <c r="F477" s="52" t="s">
        <v>26</v>
      </c>
      <c r="G477" s="54"/>
    </row>
    <row r="478">
      <c r="A478" s="49">
        <v>45025.71731898148</v>
      </c>
      <c r="B478" s="50">
        <v>45025.8422992939</v>
      </c>
      <c r="C478" s="51">
        <v>1.081</v>
      </c>
      <c r="D478" s="51">
        <v>62.0</v>
      </c>
      <c r="E478" s="52" t="s">
        <v>25</v>
      </c>
      <c r="F478" s="52" t="s">
        <v>26</v>
      </c>
      <c r="G478" s="54"/>
    </row>
    <row r="479">
      <c r="A479" s="49">
        <v>45025.727758124995</v>
      </c>
      <c r="B479" s="50">
        <v>45025.8527193981</v>
      </c>
      <c r="C479" s="51">
        <v>1.081</v>
      </c>
      <c r="D479" s="51">
        <v>61.0</v>
      </c>
      <c r="E479" s="52" t="s">
        <v>25</v>
      </c>
      <c r="F479" s="52" t="s">
        <v>26</v>
      </c>
      <c r="G479" s="54"/>
    </row>
    <row r="480">
      <c r="A480" s="49">
        <v>45025.73817292824</v>
      </c>
      <c r="B480" s="50">
        <v>45025.8631404745</v>
      </c>
      <c r="C480" s="51">
        <v>1.081</v>
      </c>
      <c r="D480" s="51">
        <v>62.0</v>
      </c>
      <c r="E480" s="52" t="s">
        <v>25</v>
      </c>
      <c r="F480" s="52" t="s">
        <v>26</v>
      </c>
      <c r="G480" s="54"/>
    </row>
    <row r="481">
      <c r="A481" s="49">
        <v>45025.74860490741</v>
      </c>
      <c r="B481" s="50">
        <v>45025.8735618981</v>
      </c>
      <c r="C481" s="51">
        <v>1.081</v>
      </c>
      <c r="D481" s="51">
        <v>61.0</v>
      </c>
      <c r="E481" s="52" t="s">
        <v>25</v>
      </c>
      <c r="F481" s="52" t="s">
        <v>26</v>
      </c>
      <c r="G481" s="54"/>
    </row>
    <row r="482">
      <c r="A482" s="49">
        <v>45025.75900586805</v>
      </c>
      <c r="B482" s="50">
        <v>45025.8839840393</v>
      </c>
      <c r="C482" s="51">
        <v>1.081</v>
      </c>
      <c r="D482" s="51">
        <v>61.0</v>
      </c>
      <c r="E482" s="52" t="s">
        <v>25</v>
      </c>
      <c r="F482" s="52" t="s">
        <v>26</v>
      </c>
      <c r="G482" s="54"/>
    </row>
    <row r="483">
      <c r="A483" s="49">
        <v>45025.76943748843</v>
      </c>
      <c r="B483" s="50">
        <v>45025.8944048379</v>
      </c>
      <c r="C483" s="51">
        <v>1.081</v>
      </c>
      <c r="D483" s="51">
        <v>61.0</v>
      </c>
      <c r="E483" s="52" t="s">
        <v>25</v>
      </c>
      <c r="F483" s="52" t="s">
        <v>26</v>
      </c>
      <c r="G483" s="54"/>
    </row>
    <row r="484">
      <c r="A484" s="49">
        <v>45025.77985230324</v>
      </c>
      <c r="B484" s="50">
        <v>45025.9048256018</v>
      </c>
      <c r="C484" s="51">
        <v>1.081</v>
      </c>
      <c r="D484" s="51">
        <v>62.0</v>
      </c>
      <c r="E484" s="52" t="s">
        <v>25</v>
      </c>
      <c r="F484" s="52" t="s">
        <v>26</v>
      </c>
      <c r="G484" s="54"/>
    </row>
    <row r="485">
      <c r="A485" s="49">
        <v>45025.79027440972</v>
      </c>
      <c r="B485" s="50">
        <v>45025.9152476157</v>
      </c>
      <c r="C485" s="51">
        <v>1.081</v>
      </c>
      <c r="D485" s="51">
        <v>62.0</v>
      </c>
      <c r="E485" s="52" t="s">
        <v>25</v>
      </c>
      <c r="F485" s="52" t="s">
        <v>26</v>
      </c>
      <c r="G485" s="54"/>
    </row>
    <row r="486">
      <c r="A486" s="49">
        <v>45025.800715370366</v>
      </c>
      <c r="B486" s="50">
        <v>45025.925680706</v>
      </c>
      <c r="C486" s="51">
        <v>1.081</v>
      </c>
      <c r="D486" s="51">
        <v>61.0</v>
      </c>
      <c r="E486" s="52" t="s">
        <v>25</v>
      </c>
      <c r="F486" s="52" t="s">
        <v>26</v>
      </c>
      <c r="G486" s="54"/>
    </row>
    <row r="487">
      <c r="A487" s="49">
        <v>45025.81113194444</v>
      </c>
      <c r="B487" s="50">
        <v>45025.9361005555</v>
      </c>
      <c r="C487" s="51">
        <v>1.081</v>
      </c>
      <c r="D487" s="51">
        <v>61.0</v>
      </c>
      <c r="E487" s="52" t="s">
        <v>25</v>
      </c>
      <c r="F487" s="52" t="s">
        <v>26</v>
      </c>
      <c r="G487" s="54"/>
    </row>
    <row r="488">
      <c r="A488" s="49">
        <v>45025.82156480324</v>
      </c>
      <c r="B488" s="50">
        <v>45025.9465345949</v>
      </c>
      <c r="C488" s="51">
        <v>1.081</v>
      </c>
      <c r="D488" s="51">
        <v>62.0</v>
      </c>
      <c r="E488" s="52" t="s">
        <v>25</v>
      </c>
      <c r="F488" s="52" t="s">
        <v>26</v>
      </c>
      <c r="G488" s="54"/>
    </row>
    <row r="489">
      <c r="A489" s="49">
        <v>45025.83199171296</v>
      </c>
      <c r="B489" s="50">
        <v>45025.9569652546</v>
      </c>
      <c r="C489" s="51">
        <v>1.081</v>
      </c>
      <c r="D489" s="51">
        <v>62.0</v>
      </c>
      <c r="E489" s="52" t="s">
        <v>25</v>
      </c>
      <c r="F489" s="52" t="s">
        <v>26</v>
      </c>
      <c r="G489" s="54"/>
    </row>
    <row r="490">
      <c r="A490" s="49">
        <v>45025.84241309028</v>
      </c>
      <c r="B490" s="50">
        <v>45025.9673861574</v>
      </c>
      <c r="C490" s="51">
        <v>1.08</v>
      </c>
      <c r="D490" s="51">
        <v>61.0</v>
      </c>
      <c r="E490" s="52" t="s">
        <v>25</v>
      </c>
      <c r="F490" s="52" t="s">
        <v>26</v>
      </c>
      <c r="G490" s="54"/>
    </row>
    <row r="491">
      <c r="A491" s="49">
        <v>45025.85284238426</v>
      </c>
      <c r="B491" s="50">
        <v>45025.9778076851</v>
      </c>
      <c r="C491" s="51">
        <v>1.08</v>
      </c>
      <c r="D491" s="51">
        <v>62.0</v>
      </c>
      <c r="E491" s="52" t="s">
        <v>25</v>
      </c>
      <c r="F491" s="52" t="s">
        <v>26</v>
      </c>
      <c r="G491" s="54"/>
    </row>
    <row r="492">
      <c r="A492" s="49">
        <v>45025.8632497338</v>
      </c>
      <c r="B492" s="50">
        <v>45025.9882265393</v>
      </c>
      <c r="C492" s="51">
        <v>1.08</v>
      </c>
      <c r="D492" s="51">
        <v>61.0</v>
      </c>
      <c r="E492" s="52" t="s">
        <v>25</v>
      </c>
      <c r="F492" s="52" t="s">
        <v>26</v>
      </c>
      <c r="G492" s="54"/>
    </row>
    <row r="493">
      <c r="A493" s="49">
        <v>45025.87368016204</v>
      </c>
      <c r="B493" s="50">
        <v>45025.9986483333</v>
      </c>
      <c r="C493" s="51">
        <v>1.08</v>
      </c>
      <c r="D493" s="51">
        <v>61.0</v>
      </c>
      <c r="E493" s="52" t="s">
        <v>25</v>
      </c>
      <c r="F493" s="52" t="s">
        <v>26</v>
      </c>
      <c r="G493" s="54"/>
    </row>
    <row r="494">
      <c r="A494" s="49">
        <v>45025.88409905093</v>
      </c>
      <c r="B494" s="50">
        <v>45026.0090680092</v>
      </c>
      <c r="C494" s="51">
        <v>1.081</v>
      </c>
      <c r="D494" s="51">
        <v>62.0</v>
      </c>
      <c r="E494" s="52" t="s">
        <v>25</v>
      </c>
      <c r="F494" s="52" t="s">
        <v>26</v>
      </c>
      <c r="G494" s="54"/>
    </row>
    <row r="495">
      <c r="A495" s="49">
        <v>45025.89452487268</v>
      </c>
      <c r="B495" s="50">
        <v>45026.0195004513</v>
      </c>
      <c r="C495" s="51">
        <v>1.08</v>
      </c>
      <c r="D495" s="51">
        <v>61.0</v>
      </c>
      <c r="E495" s="52" t="s">
        <v>25</v>
      </c>
      <c r="F495" s="52" t="s">
        <v>26</v>
      </c>
      <c r="G495" s="54"/>
    </row>
    <row r="496">
      <c r="A496" s="49">
        <v>45025.90495241898</v>
      </c>
      <c r="B496" s="50">
        <v>45026.029922824</v>
      </c>
      <c r="C496" s="51">
        <v>1.08</v>
      </c>
      <c r="D496" s="51">
        <v>61.0</v>
      </c>
      <c r="E496" s="52" t="s">
        <v>25</v>
      </c>
      <c r="F496" s="52" t="s">
        <v>26</v>
      </c>
      <c r="G496" s="54"/>
    </row>
    <row r="497">
      <c r="A497" s="49">
        <v>45025.91537107639</v>
      </c>
      <c r="B497" s="50">
        <v>45026.040343993</v>
      </c>
      <c r="C497" s="51">
        <v>1.08</v>
      </c>
      <c r="D497" s="51">
        <v>61.0</v>
      </c>
      <c r="E497" s="52" t="s">
        <v>25</v>
      </c>
      <c r="F497" s="52" t="s">
        <v>26</v>
      </c>
      <c r="G497" s="54"/>
    </row>
    <row r="498">
      <c r="A498" s="49">
        <v>45025.92579498843</v>
      </c>
      <c r="B498" s="50">
        <v>45026.0507656944</v>
      </c>
      <c r="C498" s="51">
        <v>1.08</v>
      </c>
      <c r="D498" s="51">
        <v>61.0</v>
      </c>
      <c r="E498" s="52" t="s">
        <v>25</v>
      </c>
      <c r="F498" s="52" t="s">
        <v>26</v>
      </c>
      <c r="G498" s="54"/>
    </row>
    <row r="499">
      <c r="A499" s="49">
        <v>45025.93621903935</v>
      </c>
      <c r="B499" s="50">
        <v>45026.0611878009</v>
      </c>
      <c r="C499" s="51">
        <v>1.08</v>
      </c>
      <c r="D499" s="51">
        <v>61.0</v>
      </c>
      <c r="E499" s="52" t="s">
        <v>25</v>
      </c>
      <c r="F499" s="52" t="s">
        <v>26</v>
      </c>
      <c r="G499" s="54"/>
    </row>
    <row r="500">
      <c r="A500" s="49">
        <v>45025.946655057865</v>
      </c>
      <c r="B500" s="50">
        <v>45026.0716213194</v>
      </c>
      <c r="C500" s="51">
        <v>1.08</v>
      </c>
      <c r="D500" s="51">
        <v>61.0</v>
      </c>
      <c r="E500" s="52" t="s">
        <v>25</v>
      </c>
      <c r="F500" s="52" t="s">
        <v>26</v>
      </c>
      <c r="G500" s="54"/>
    </row>
    <row r="501">
      <c r="A501" s="49">
        <v>45025.9570690625</v>
      </c>
      <c r="B501" s="50">
        <v>45026.0820428356</v>
      </c>
      <c r="C501" s="51">
        <v>1.08</v>
      </c>
      <c r="D501" s="51">
        <v>61.0</v>
      </c>
      <c r="E501" s="52" t="s">
        <v>25</v>
      </c>
      <c r="F501" s="52" t="s">
        <v>26</v>
      </c>
      <c r="G501" s="54"/>
    </row>
    <row r="502">
      <c r="A502" s="49">
        <v>45025.96749435185</v>
      </c>
      <c r="B502" s="50">
        <v>45026.0924627314</v>
      </c>
      <c r="C502" s="51">
        <v>1.08</v>
      </c>
      <c r="D502" s="51">
        <v>61.0</v>
      </c>
      <c r="E502" s="52" t="s">
        <v>25</v>
      </c>
      <c r="F502" s="52" t="s">
        <v>26</v>
      </c>
      <c r="G502" s="54"/>
    </row>
    <row r="503">
      <c r="A503" s="49">
        <v>45025.97791619213</v>
      </c>
      <c r="B503" s="50">
        <v>45026.1028838773</v>
      </c>
      <c r="C503" s="51">
        <v>1.079</v>
      </c>
      <c r="D503" s="51">
        <v>61.0</v>
      </c>
      <c r="E503" s="52" t="s">
        <v>25</v>
      </c>
      <c r="F503" s="52" t="s">
        <v>26</v>
      </c>
      <c r="G503" s="54"/>
    </row>
    <row r="504">
      <c r="A504" s="49">
        <v>45025.98833296297</v>
      </c>
      <c r="B504" s="50">
        <v>45026.1133037152</v>
      </c>
      <c r="C504" s="51">
        <v>1.08</v>
      </c>
      <c r="D504" s="51">
        <v>61.0</v>
      </c>
      <c r="E504" s="52" t="s">
        <v>25</v>
      </c>
      <c r="F504" s="52" t="s">
        <v>26</v>
      </c>
      <c r="G504" s="54"/>
    </row>
    <row r="505">
      <c r="A505" s="49">
        <v>45025.99875878472</v>
      </c>
      <c r="B505" s="50">
        <v>45026.1237250694</v>
      </c>
      <c r="C505" s="51">
        <v>1.08</v>
      </c>
      <c r="D505" s="51">
        <v>61.0</v>
      </c>
      <c r="E505" s="52" t="s">
        <v>25</v>
      </c>
      <c r="F505" s="52" t="s">
        <v>26</v>
      </c>
      <c r="G505" s="54"/>
    </row>
    <row r="506">
      <c r="A506" s="49">
        <v>45026.0091815625</v>
      </c>
      <c r="B506" s="50">
        <v>45026.1341480902</v>
      </c>
      <c r="C506" s="51">
        <v>1.08</v>
      </c>
      <c r="D506" s="51">
        <v>61.0</v>
      </c>
      <c r="E506" s="52" t="s">
        <v>25</v>
      </c>
      <c r="F506" s="52" t="s">
        <v>26</v>
      </c>
      <c r="G506" s="54"/>
    </row>
    <row r="507">
      <c r="A507" s="49">
        <v>45026.01958790509</v>
      </c>
      <c r="B507" s="50">
        <v>45026.1445685879</v>
      </c>
      <c r="C507" s="51">
        <v>1.08</v>
      </c>
      <c r="D507" s="51">
        <v>61.0</v>
      </c>
      <c r="E507" s="52" t="s">
        <v>25</v>
      </c>
      <c r="F507" s="52" t="s">
        <v>26</v>
      </c>
      <c r="G507" s="54"/>
    </row>
    <row r="508">
      <c r="A508" s="49">
        <v>45026.030036412034</v>
      </c>
      <c r="B508" s="50">
        <v>45026.1550031944</v>
      </c>
      <c r="C508" s="51">
        <v>1.08</v>
      </c>
      <c r="D508" s="51">
        <v>61.0</v>
      </c>
      <c r="E508" s="52" t="s">
        <v>25</v>
      </c>
      <c r="F508" s="52" t="s">
        <v>26</v>
      </c>
      <c r="G508" s="54"/>
    </row>
    <row r="509">
      <c r="A509" s="49">
        <v>45026.040469768515</v>
      </c>
      <c r="B509" s="50">
        <v>45026.1654377777</v>
      </c>
      <c r="C509" s="51">
        <v>1.08</v>
      </c>
      <c r="D509" s="51">
        <v>61.0</v>
      </c>
      <c r="E509" s="52" t="s">
        <v>25</v>
      </c>
      <c r="F509" s="52" t="s">
        <v>26</v>
      </c>
      <c r="G509" s="54"/>
    </row>
    <row r="510">
      <c r="A510" s="49">
        <v>45026.05089054398</v>
      </c>
      <c r="B510" s="50">
        <v>45026.1758588657</v>
      </c>
      <c r="C510" s="51">
        <v>1.079</v>
      </c>
      <c r="D510" s="51">
        <v>61.0</v>
      </c>
      <c r="E510" s="52" t="s">
        <v>25</v>
      </c>
      <c r="F510" s="52" t="s">
        <v>26</v>
      </c>
      <c r="G510" s="54"/>
    </row>
    <row r="511">
      <c r="A511" s="49">
        <v>45026.0613075463</v>
      </c>
      <c r="B511" s="50">
        <v>45026.1862806597</v>
      </c>
      <c r="C511" s="51">
        <v>1.079</v>
      </c>
      <c r="D511" s="51">
        <v>61.0</v>
      </c>
      <c r="E511" s="52" t="s">
        <v>25</v>
      </c>
      <c r="F511" s="52" t="s">
        <v>26</v>
      </c>
      <c r="G511" s="54"/>
    </row>
    <row r="512">
      <c r="A512" s="49">
        <v>45026.0717284375</v>
      </c>
      <c r="B512" s="50">
        <v>45026.1967010995</v>
      </c>
      <c r="C512" s="51">
        <v>1.08</v>
      </c>
      <c r="D512" s="51">
        <v>61.0</v>
      </c>
      <c r="E512" s="52" t="s">
        <v>25</v>
      </c>
      <c r="F512" s="52" t="s">
        <v>26</v>
      </c>
      <c r="G512" s="54"/>
    </row>
    <row r="513">
      <c r="A513" s="49">
        <v>45026.08215465277</v>
      </c>
      <c r="B513" s="50">
        <v>45026.2071222453</v>
      </c>
      <c r="C513" s="51">
        <v>1.079</v>
      </c>
      <c r="D513" s="51">
        <v>61.0</v>
      </c>
      <c r="E513" s="52" t="s">
        <v>25</v>
      </c>
      <c r="F513" s="52" t="s">
        <v>26</v>
      </c>
      <c r="G513" s="54"/>
    </row>
    <row r="514">
      <c r="A514" s="49">
        <v>45026.09256960648</v>
      </c>
      <c r="B514" s="50">
        <v>45026.2175444791</v>
      </c>
      <c r="C514" s="51">
        <v>1.08</v>
      </c>
      <c r="D514" s="51">
        <v>61.0</v>
      </c>
      <c r="E514" s="52" t="s">
        <v>25</v>
      </c>
      <c r="F514" s="52" t="s">
        <v>26</v>
      </c>
      <c r="G514" s="54"/>
    </row>
    <row r="515">
      <c r="A515" s="49">
        <v>45026.10299265046</v>
      </c>
      <c r="B515" s="50">
        <v>45026.2279665625</v>
      </c>
      <c r="C515" s="51">
        <v>1.079</v>
      </c>
      <c r="D515" s="51">
        <v>61.0</v>
      </c>
      <c r="E515" s="52" t="s">
        <v>25</v>
      </c>
      <c r="F515" s="52" t="s">
        <v>26</v>
      </c>
      <c r="G515" s="54"/>
    </row>
    <row r="516">
      <c r="A516" s="49">
        <v>45026.11341549769</v>
      </c>
      <c r="B516" s="50">
        <v>45026.2383875463</v>
      </c>
      <c r="C516" s="51">
        <v>1.079</v>
      </c>
      <c r="D516" s="51">
        <v>61.0</v>
      </c>
      <c r="E516" s="52" t="s">
        <v>25</v>
      </c>
      <c r="F516" s="52" t="s">
        <v>26</v>
      </c>
      <c r="G516" s="54"/>
    </row>
    <row r="517">
      <c r="A517" s="49">
        <v>45026.1238325</v>
      </c>
      <c r="B517" s="50">
        <v>45026.2488099884</v>
      </c>
      <c r="C517" s="51">
        <v>1.079</v>
      </c>
      <c r="D517" s="51">
        <v>61.0</v>
      </c>
      <c r="E517" s="52" t="s">
        <v>25</v>
      </c>
      <c r="F517" s="52" t="s">
        <v>26</v>
      </c>
      <c r="G517" s="54"/>
    </row>
    <row r="518">
      <c r="A518" s="49">
        <v>45026.134259872684</v>
      </c>
      <c r="B518" s="50">
        <v>45026.2592305439</v>
      </c>
      <c r="C518" s="51">
        <v>1.079</v>
      </c>
      <c r="D518" s="51">
        <v>61.0</v>
      </c>
      <c r="E518" s="52" t="s">
        <v>25</v>
      </c>
      <c r="F518" s="52" t="s">
        <v>26</v>
      </c>
      <c r="G518" s="54"/>
    </row>
    <row r="519">
      <c r="A519" s="49">
        <v>45026.144689016204</v>
      </c>
      <c r="B519" s="50">
        <v>45026.2696516782</v>
      </c>
      <c r="C519" s="51">
        <v>1.079</v>
      </c>
      <c r="D519" s="51">
        <v>61.0</v>
      </c>
      <c r="E519" s="52" t="s">
        <v>25</v>
      </c>
      <c r="F519" s="52" t="s">
        <v>26</v>
      </c>
      <c r="G519" s="54"/>
    </row>
    <row r="520">
      <c r="A520" s="49">
        <v>45026.15509767361</v>
      </c>
      <c r="B520" s="50">
        <v>45026.2800732638</v>
      </c>
      <c r="C520" s="51">
        <v>1.079</v>
      </c>
      <c r="D520" s="51">
        <v>61.0</v>
      </c>
      <c r="E520" s="52" t="s">
        <v>25</v>
      </c>
      <c r="F520" s="52" t="s">
        <v>26</v>
      </c>
      <c r="G520" s="54"/>
    </row>
    <row r="521">
      <c r="A521" s="49">
        <v>45026.16551417824</v>
      </c>
      <c r="B521" s="50">
        <v>45026.2904934722</v>
      </c>
      <c r="C521" s="51">
        <v>1.08</v>
      </c>
      <c r="D521" s="51">
        <v>61.0</v>
      </c>
      <c r="E521" s="52" t="s">
        <v>25</v>
      </c>
      <c r="F521" s="52" t="s">
        <v>26</v>
      </c>
      <c r="G521" s="54"/>
    </row>
    <row r="522">
      <c r="A522" s="49">
        <v>45026.175948564814</v>
      </c>
      <c r="B522" s="50">
        <v>45026.3009155092</v>
      </c>
      <c r="C522" s="51">
        <v>1.079</v>
      </c>
      <c r="D522" s="51">
        <v>61.0</v>
      </c>
      <c r="E522" s="52" t="s">
        <v>25</v>
      </c>
      <c r="F522" s="52" t="s">
        <v>26</v>
      </c>
      <c r="G522" s="54"/>
    </row>
    <row r="523">
      <c r="A523" s="49">
        <v>45026.18636497685</v>
      </c>
      <c r="B523" s="50">
        <v>45026.3113377314</v>
      </c>
      <c r="C523" s="51">
        <v>1.079</v>
      </c>
      <c r="D523" s="51">
        <v>61.0</v>
      </c>
      <c r="E523" s="52" t="s">
        <v>25</v>
      </c>
      <c r="F523" s="52" t="s">
        <v>26</v>
      </c>
      <c r="G523" s="54"/>
    </row>
    <row r="524">
      <c r="A524" s="49">
        <v>45026.19680092593</v>
      </c>
      <c r="B524" s="50">
        <v>45026.3217588078</v>
      </c>
      <c r="C524" s="51">
        <v>1.079</v>
      </c>
      <c r="D524" s="51">
        <v>61.0</v>
      </c>
      <c r="E524" s="52" t="s">
        <v>25</v>
      </c>
      <c r="F524" s="52" t="s">
        <v>26</v>
      </c>
      <c r="G524" s="54"/>
    </row>
    <row r="525">
      <c r="A525" s="49">
        <v>45026.20720365741</v>
      </c>
      <c r="B525" s="50">
        <v>45026.332180162</v>
      </c>
      <c r="C525" s="51">
        <v>1.079</v>
      </c>
      <c r="D525" s="51">
        <v>61.0</v>
      </c>
      <c r="E525" s="52" t="s">
        <v>25</v>
      </c>
      <c r="F525" s="52" t="s">
        <v>26</v>
      </c>
      <c r="G525" s="54"/>
    </row>
    <row r="526">
      <c r="A526" s="49">
        <v>45026.21764604167</v>
      </c>
      <c r="B526" s="50">
        <v>45026.3426136574</v>
      </c>
      <c r="C526" s="51">
        <v>1.079</v>
      </c>
      <c r="D526" s="51">
        <v>61.0</v>
      </c>
      <c r="E526" s="52" t="s">
        <v>25</v>
      </c>
      <c r="F526" s="52" t="s">
        <v>26</v>
      </c>
      <c r="G526" s="54"/>
    </row>
    <row r="527">
      <c r="A527" s="49">
        <v>45026.22806821759</v>
      </c>
      <c r="B527" s="50">
        <v>45026.3530354282</v>
      </c>
      <c r="C527" s="51">
        <v>1.079</v>
      </c>
      <c r="D527" s="51">
        <v>61.0</v>
      </c>
      <c r="E527" s="52" t="s">
        <v>25</v>
      </c>
      <c r="F527" s="52" t="s">
        <v>26</v>
      </c>
      <c r="G527" s="54"/>
    </row>
    <row r="528">
      <c r="A528" s="49">
        <v>45026.23852767361</v>
      </c>
      <c r="B528" s="50">
        <v>45026.3634581481</v>
      </c>
      <c r="C528" s="51">
        <v>1.079</v>
      </c>
      <c r="D528" s="51">
        <v>61.0</v>
      </c>
      <c r="E528" s="52" t="s">
        <v>25</v>
      </c>
      <c r="F528" s="52" t="s">
        <v>26</v>
      </c>
      <c r="G528" s="54"/>
    </row>
    <row r="529">
      <c r="A529" s="49">
        <v>45026.248920405094</v>
      </c>
      <c r="B529" s="50">
        <v>45026.3738919328</v>
      </c>
      <c r="C529" s="51">
        <v>1.079</v>
      </c>
      <c r="D529" s="51">
        <v>61.0</v>
      </c>
      <c r="E529" s="52" t="s">
        <v>25</v>
      </c>
      <c r="F529" s="52" t="s">
        <v>26</v>
      </c>
      <c r="G529" s="54"/>
    </row>
    <row r="530">
      <c r="A530" s="49">
        <v>45026.25933887732</v>
      </c>
      <c r="B530" s="50">
        <v>45026.3843133217</v>
      </c>
      <c r="C530" s="51">
        <v>1.079</v>
      </c>
      <c r="D530" s="51">
        <v>61.0</v>
      </c>
      <c r="E530" s="52" t="s">
        <v>25</v>
      </c>
      <c r="F530" s="52" t="s">
        <v>26</v>
      </c>
      <c r="G530" s="54"/>
    </row>
    <row r="531">
      <c r="A531" s="49">
        <v>45026.26976434028</v>
      </c>
      <c r="B531" s="50">
        <v>45026.3947363773</v>
      </c>
      <c r="C531" s="51">
        <v>1.079</v>
      </c>
      <c r="D531" s="51">
        <v>61.0</v>
      </c>
      <c r="E531" s="52" t="s">
        <v>25</v>
      </c>
      <c r="F531" s="52" t="s">
        <v>26</v>
      </c>
      <c r="G531" s="54"/>
    </row>
    <row r="532">
      <c r="A532" s="49">
        <v>45026.28018537037</v>
      </c>
      <c r="B532" s="50">
        <v>45026.4051578588</v>
      </c>
      <c r="C532" s="51">
        <v>1.078</v>
      </c>
      <c r="D532" s="51">
        <v>61.0</v>
      </c>
      <c r="E532" s="52" t="s">
        <v>25</v>
      </c>
      <c r="F532" s="52" t="s">
        <v>26</v>
      </c>
      <c r="G532" s="54"/>
    </row>
    <row r="533">
      <c r="A533" s="49">
        <v>45026.29061376158</v>
      </c>
      <c r="B533" s="50">
        <v>45026.4155786574</v>
      </c>
      <c r="C533" s="51">
        <v>1.079</v>
      </c>
      <c r="D533" s="51">
        <v>61.0</v>
      </c>
      <c r="E533" s="52" t="s">
        <v>25</v>
      </c>
      <c r="F533" s="52" t="s">
        <v>26</v>
      </c>
      <c r="G533" s="54"/>
    </row>
    <row r="534">
      <c r="A534" s="49">
        <v>45026.301042141204</v>
      </c>
      <c r="B534" s="50">
        <v>45026.4259981134</v>
      </c>
      <c r="C534" s="51">
        <v>1.078</v>
      </c>
      <c r="D534" s="51">
        <v>61.0</v>
      </c>
      <c r="E534" s="52" t="s">
        <v>25</v>
      </c>
      <c r="F534" s="52" t="s">
        <v>26</v>
      </c>
      <c r="G534" s="54"/>
    </row>
    <row r="535">
      <c r="A535" s="49">
        <v>45026.311450023146</v>
      </c>
      <c r="B535" s="50">
        <v>45026.4364180671</v>
      </c>
      <c r="C535" s="51">
        <v>1.078</v>
      </c>
      <c r="D535" s="51">
        <v>61.0</v>
      </c>
      <c r="E535" s="52" t="s">
        <v>25</v>
      </c>
      <c r="F535" s="52" t="s">
        <v>26</v>
      </c>
      <c r="G535" s="54"/>
    </row>
    <row r="536">
      <c r="A536" s="49">
        <v>45026.32202090278</v>
      </c>
      <c r="B536" s="50">
        <v>45026.4468409606</v>
      </c>
      <c r="C536" s="51">
        <v>1.079</v>
      </c>
      <c r="D536" s="51">
        <v>61.0</v>
      </c>
      <c r="E536" s="52" t="s">
        <v>25</v>
      </c>
      <c r="F536" s="52" t="s">
        <v>26</v>
      </c>
      <c r="G536" s="54"/>
    </row>
    <row r="537">
      <c r="A537" s="49">
        <v>45026.332298657406</v>
      </c>
      <c r="B537" s="50">
        <v>45026.4572629976</v>
      </c>
      <c r="C537" s="51">
        <v>1.079</v>
      </c>
      <c r="D537" s="51">
        <v>61.0</v>
      </c>
      <c r="E537" s="52" t="s">
        <v>25</v>
      </c>
      <c r="F537" s="52" t="s">
        <v>26</v>
      </c>
      <c r="G537" s="54"/>
    </row>
    <row r="538">
      <c r="A538" s="49">
        <v>45026.34271070602</v>
      </c>
      <c r="B538" s="50">
        <v>45026.4676846875</v>
      </c>
      <c r="C538" s="51">
        <v>1.079</v>
      </c>
      <c r="D538" s="51">
        <v>61.0</v>
      </c>
      <c r="E538" s="52" t="s">
        <v>25</v>
      </c>
      <c r="F538" s="52" t="s">
        <v>26</v>
      </c>
      <c r="G538" s="54"/>
    </row>
    <row r="539">
      <c r="A539" s="49">
        <v>45026.35313167824</v>
      </c>
      <c r="B539" s="50">
        <v>45026.4781065509</v>
      </c>
      <c r="C539" s="51">
        <v>1.078</v>
      </c>
      <c r="D539" s="51">
        <v>61.0</v>
      </c>
      <c r="E539" s="52" t="s">
        <v>25</v>
      </c>
      <c r="F539" s="52" t="s">
        <v>26</v>
      </c>
      <c r="G539" s="54"/>
    </row>
    <row r="540">
      <c r="A540" s="49">
        <v>45026.363563101855</v>
      </c>
      <c r="B540" s="50">
        <v>45026.4885377546</v>
      </c>
      <c r="C540" s="51">
        <v>1.078</v>
      </c>
      <c r="D540" s="51">
        <v>61.0</v>
      </c>
      <c r="E540" s="52" t="s">
        <v>25</v>
      </c>
      <c r="F540" s="52" t="s">
        <v>26</v>
      </c>
      <c r="G540" s="54"/>
    </row>
    <row r="541">
      <c r="A541" s="49">
        <v>45026.3739847338</v>
      </c>
      <c r="B541" s="50">
        <v>45026.4989582176</v>
      </c>
      <c r="C541" s="51">
        <v>1.078</v>
      </c>
      <c r="D541" s="51">
        <v>61.0</v>
      </c>
      <c r="E541" s="52" t="s">
        <v>25</v>
      </c>
      <c r="F541" s="52" t="s">
        <v>26</v>
      </c>
      <c r="G541" s="54"/>
    </row>
    <row r="542">
      <c r="A542" s="49">
        <v>45026.38441210648</v>
      </c>
      <c r="B542" s="50">
        <v>45026.509390868</v>
      </c>
      <c r="C542" s="51">
        <v>1.078</v>
      </c>
      <c r="D542" s="51">
        <v>61.0</v>
      </c>
      <c r="E542" s="52" t="s">
        <v>25</v>
      </c>
      <c r="F542" s="52" t="s">
        <v>26</v>
      </c>
      <c r="G542" s="54"/>
    </row>
    <row r="543">
      <c r="A543" s="49">
        <v>45026.39484461806</v>
      </c>
      <c r="B543" s="50">
        <v>45026.5198120949</v>
      </c>
      <c r="C543" s="51">
        <v>1.078</v>
      </c>
      <c r="D543" s="51">
        <v>61.0</v>
      </c>
      <c r="E543" s="52" t="s">
        <v>25</v>
      </c>
      <c r="F543" s="52" t="s">
        <v>26</v>
      </c>
      <c r="G543" s="54"/>
    </row>
    <row r="544">
      <c r="A544" s="49">
        <v>45026.40528177083</v>
      </c>
      <c r="B544" s="50">
        <v>45026.5302448611</v>
      </c>
      <c r="C544" s="51">
        <v>1.078</v>
      </c>
      <c r="D544" s="51">
        <v>61.0</v>
      </c>
      <c r="E544" s="52" t="s">
        <v>25</v>
      </c>
      <c r="F544" s="52" t="s">
        <v>26</v>
      </c>
      <c r="G544" s="54"/>
    </row>
    <row r="545">
      <c r="A545" s="49">
        <v>45026.415684074076</v>
      </c>
      <c r="B545" s="50">
        <v>45026.5406649421</v>
      </c>
      <c r="C545" s="51">
        <v>1.079</v>
      </c>
      <c r="D545" s="51">
        <v>61.0</v>
      </c>
      <c r="E545" s="52" t="s">
        <v>25</v>
      </c>
      <c r="F545" s="52" t="s">
        <v>26</v>
      </c>
      <c r="G545" s="54"/>
    </row>
    <row r="546">
      <c r="A546" s="49">
        <v>45026.4261280787</v>
      </c>
      <c r="B546" s="50">
        <v>45026.5510871412</v>
      </c>
      <c r="C546" s="51">
        <v>1.078</v>
      </c>
      <c r="D546" s="51">
        <v>61.0</v>
      </c>
      <c r="E546" s="52" t="s">
        <v>25</v>
      </c>
      <c r="F546" s="52" t="s">
        <v>26</v>
      </c>
      <c r="G546" s="54"/>
    </row>
    <row r="547">
      <c r="A547" s="49">
        <v>45026.436549861115</v>
      </c>
      <c r="B547" s="50">
        <v>45026.5615075231</v>
      </c>
      <c r="C547" s="51">
        <v>1.078</v>
      </c>
      <c r="D547" s="51">
        <v>61.0</v>
      </c>
      <c r="E547" s="52" t="s">
        <v>25</v>
      </c>
      <c r="F547" s="52" t="s">
        <v>26</v>
      </c>
      <c r="G547" s="54"/>
    </row>
    <row r="548">
      <c r="A548" s="49">
        <v>45026.4472183912</v>
      </c>
      <c r="B548" s="50">
        <v>45026.5719298263</v>
      </c>
      <c r="C548" s="51">
        <v>1.078</v>
      </c>
      <c r="D548" s="51">
        <v>61.0</v>
      </c>
      <c r="E548" s="52" t="s">
        <v>25</v>
      </c>
      <c r="F548" s="52" t="s">
        <v>26</v>
      </c>
      <c r="G548" s="54"/>
    </row>
    <row r="549">
      <c r="A549" s="49">
        <v>45026.45738950231</v>
      </c>
      <c r="B549" s="50">
        <v>45026.58235103</v>
      </c>
      <c r="C549" s="51">
        <v>1.078</v>
      </c>
      <c r="D549" s="51">
        <v>61.0</v>
      </c>
      <c r="E549" s="52" t="s">
        <v>25</v>
      </c>
      <c r="F549" s="52" t="s">
        <v>26</v>
      </c>
      <c r="G549" s="54"/>
    </row>
    <row r="550">
      <c r="A550" s="49">
        <v>45026.46780625</v>
      </c>
      <c r="B550" s="50">
        <v>45026.5927725231</v>
      </c>
      <c r="C550" s="51">
        <v>1.078</v>
      </c>
      <c r="D550" s="51">
        <v>61.0</v>
      </c>
      <c r="E550" s="52" t="s">
        <v>25</v>
      </c>
      <c r="F550" s="52" t="s">
        <v>26</v>
      </c>
      <c r="G550" s="54"/>
    </row>
    <row r="551">
      <c r="A551" s="49">
        <v>45026.47822766204</v>
      </c>
      <c r="B551" s="50">
        <v>45026.6031945254</v>
      </c>
      <c r="C551" s="51">
        <v>1.078</v>
      </c>
      <c r="D551" s="51">
        <v>61.0</v>
      </c>
      <c r="E551" s="52" t="s">
        <v>25</v>
      </c>
      <c r="F551" s="52" t="s">
        <v>26</v>
      </c>
      <c r="G551" s="54"/>
    </row>
    <row r="552">
      <c r="A552" s="49">
        <v>45026.48864966435</v>
      </c>
      <c r="B552" s="50">
        <v>45026.6136148611</v>
      </c>
      <c r="C552" s="51">
        <v>1.078</v>
      </c>
      <c r="D552" s="51">
        <v>61.0</v>
      </c>
      <c r="E552" s="52" t="s">
        <v>25</v>
      </c>
      <c r="F552" s="52" t="s">
        <v>26</v>
      </c>
      <c r="G552" s="54"/>
    </row>
    <row r="553">
      <c r="A553" s="49">
        <v>45026.49906752315</v>
      </c>
      <c r="B553" s="50">
        <v>45026.6240343287</v>
      </c>
      <c r="C553" s="51">
        <v>1.078</v>
      </c>
      <c r="D553" s="51">
        <v>61.0</v>
      </c>
      <c r="E553" s="52" t="s">
        <v>25</v>
      </c>
      <c r="F553" s="52" t="s">
        <v>26</v>
      </c>
      <c r="G553" s="54"/>
    </row>
    <row r="554">
      <c r="A554" s="49">
        <v>45026.50948652778</v>
      </c>
      <c r="B554" s="50">
        <v>45026.6344539583</v>
      </c>
      <c r="C554" s="51">
        <v>1.078</v>
      </c>
      <c r="D554" s="51">
        <v>61.0</v>
      </c>
      <c r="E554" s="52" t="s">
        <v>25</v>
      </c>
      <c r="F554" s="52" t="s">
        <v>26</v>
      </c>
      <c r="G554" s="54"/>
    </row>
    <row r="555">
      <c r="A555" s="49">
        <v>45026.51991668982</v>
      </c>
      <c r="B555" s="50">
        <v>45026.6448882176</v>
      </c>
      <c r="C555" s="51">
        <v>1.078</v>
      </c>
      <c r="D555" s="51">
        <v>61.0</v>
      </c>
      <c r="E555" s="52" t="s">
        <v>25</v>
      </c>
      <c r="F555" s="52" t="s">
        <v>26</v>
      </c>
      <c r="G555" s="54"/>
    </row>
    <row r="556">
      <c r="A556" s="49">
        <v>45026.53033829861</v>
      </c>
      <c r="B556" s="50">
        <v>45026.6553105324</v>
      </c>
      <c r="C556" s="51">
        <v>1.078</v>
      </c>
      <c r="D556" s="51">
        <v>61.0</v>
      </c>
      <c r="E556" s="52" t="s">
        <v>25</v>
      </c>
      <c r="F556" s="52" t="s">
        <v>26</v>
      </c>
      <c r="G556" s="54"/>
    </row>
    <row r="557">
      <c r="A557" s="49">
        <v>45026.54076737269</v>
      </c>
      <c r="B557" s="50">
        <v>45026.6657315856</v>
      </c>
      <c r="C557" s="51">
        <v>1.078</v>
      </c>
      <c r="D557" s="51">
        <v>61.0</v>
      </c>
      <c r="E557" s="52" t="s">
        <v>25</v>
      </c>
      <c r="F557" s="52" t="s">
        <v>26</v>
      </c>
      <c r="G557" s="54"/>
    </row>
    <row r="558">
      <c r="A558" s="49">
        <v>45026.55118512732</v>
      </c>
      <c r="B558" s="50">
        <v>45026.6761531713</v>
      </c>
      <c r="C558" s="51">
        <v>1.078</v>
      </c>
      <c r="D558" s="51">
        <v>61.0</v>
      </c>
      <c r="E558" s="52" t="s">
        <v>25</v>
      </c>
      <c r="F558" s="52" t="s">
        <v>26</v>
      </c>
      <c r="G558" s="54"/>
    </row>
    <row r="559">
      <c r="A559" s="49">
        <v>45026.56160378472</v>
      </c>
      <c r="B559" s="50">
        <v>45026.6865724884</v>
      </c>
      <c r="C559" s="51">
        <v>1.078</v>
      </c>
      <c r="D559" s="51">
        <v>61.0</v>
      </c>
      <c r="E559" s="52" t="s">
        <v>25</v>
      </c>
      <c r="F559" s="52" t="s">
        <v>26</v>
      </c>
      <c r="G559" s="54"/>
    </row>
    <row r="560">
      <c r="A560" s="49">
        <v>45026.57203186343</v>
      </c>
      <c r="B560" s="50">
        <v>45026.6970031828</v>
      </c>
      <c r="C560" s="51">
        <v>1.078</v>
      </c>
      <c r="D560" s="51">
        <v>61.0</v>
      </c>
      <c r="E560" s="52" t="s">
        <v>25</v>
      </c>
      <c r="F560" s="52" t="s">
        <v>26</v>
      </c>
      <c r="G560" s="54"/>
    </row>
    <row r="561">
      <c r="A561" s="49">
        <v>45026.58244950231</v>
      </c>
      <c r="B561" s="50">
        <v>45026.7074242129</v>
      </c>
      <c r="C561" s="51">
        <v>1.078</v>
      </c>
      <c r="D561" s="51">
        <v>61.0</v>
      </c>
      <c r="E561" s="52" t="s">
        <v>25</v>
      </c>
      <c r="F561" s="52" t="s">
        <v>26</v>
      </c>
      <c r="G561" s="54"/>
    </row>
    <row r="562">
      <c r="A562" s="49">
        <v>45026.59287047454</v>
      </c>
      <c r="B562" s="50">
        <v>45026.7178436226</v>
      </c>
      <c r="C562" s="51">
        <v>1.078</v>
      </c>
      <c r="D562" s="51">
        <v>61.0</v>
      </c>
      <c r="E562" s="52" t="s">
        <v>25</v>
      </c>
      <c r="F562" s="52" t="s">
        <v>26</v>
      </c>
      <c r="G562" s="54"/>
    </row>
    <row r="563">
      <c r="A563" s="49">
        <v>45026.60329381944</v>
      </c>
      <c r="B563" s="50">
        <v>45026.7282646412</v>
      </c>
      <c r="C563" s="51">
        <v>1.077</v>
      </c>
      <c r="D563" s="51">
        <v>61.0</v>
      </c>
      <c r="E563" s="52" t="s">
        <v>25</v>
      </c>
      <c r="F563" s="52" t="s">
        <v>26</v>
      </c>
      <c r="G563" s="54"/>
    </row>
    <row r="564">
      <c r="A564" s="49">
        <v>45026.61371533565</v>
      </c>
      <c r="B564" s="50">
        <v>45026.7386960995</v>
      </c>
      <c r="C564" s="51">
        <v>1.077</v>
      </c>
      <c r="D564" s="51">
        <v>61.0</v>
      </c>
      <c r="E564" s="52" t="s">
        <v>25</v>
      </c>
      <c r="F564" s="52" t="s">
        <v>26</v>
      </c>
      <c r="G564" s="54"/>
    </row>
    <row r="565">
      <c r="A565" s="49">
        <v>45026.62414652778</v>
      </c>
      <c r="B565" s="50">
        <v>45026.749116574</v>
      </c>
      <c r="C565" s="51">
        <v>1.077</v>
      </c>
      <c r="D565" s="51">
        <v>61.0</v>
      </c>
      <c r="E565" s="52" t="s">
        <v>25</v>
      </c>
      <c r="F565" s="52" t="s">
        <v>26</v>
      </c>
      <c r="G565" s="54"/>
    </row>
    <row r="566">
      <c r="A566" s="49">
        <v>45026.63457091435</v>
      </c>
      <c r="B566" s="50">
        <v>45026.7595397453</v>
      </c>
      <c r="C566" s="51">
        <v>1.077</v>
      </c>
      <c r="D566" s="51">
        <v>61.0</v>
      </c>
      <c r="E566" s="52" t="s">
        <v>25</v>
      </c>
      <c r="F566" s="52" t="s">
        <v>26</v>
      </c>
      <c r="G566" s="54"/>
    </row>
    <row r="567">
      <c r="A567" s="49">
        <v>45026.64498568287</v>
      </c>
      <c r="B567" s="50">
        <v>45026.7699595833</v>
      </c>
      <c r="C567" s="51">
        <v>1.077</v>
      </c>
      <c r="D567" s="51">
        <v>61.0</v>
      </c>
      <c r="E567" s="52" t="s">
        <v>25</v>
      </c>
      <c r="F567" s="52" t="s">
        <v>26</v>
      </c>
      <c r="G567" s="54"/>
    </row>
    <row r="568">
      <c r="A568" s="49">
        <v>45026.655426446756</v>
      </c>
      <c r="B568" s="50">
        <v>45026.7803921412</v>
      </c>
      <c r="C568" s="51">
        <v>1.077</v>
      </c>
      <c r="D568" s="51">
        <v>61.0</v>
      </c>
      <c r="E568" s="52" t="s">
        <v>25</v>
      </c>
      <c r="F568" s="52" t="s">
        <v>26</v>
      </c>
      <c r="G568" s="54"/>
    </row>
    <row r="569">
      <c r="A569" s="49">
        <v>45026.66584037037</v>
      </c>
      <c r="B569" s="50">
        <v>45026.7908133333</v>
      </c>
      <c r="C569" s="51">
        <v>1.077</v>
      </c>
      <c r="D569" s="51">
        <v>61.0</v>
      </c>
      <c r="E569" s="52" t="s">
        <v>25</v>
      </c>
      <c r="F569" s="52" t="s">
        <v>26</v>
      </c>
      <c r="G569" s="54"/>
    </row>
    <row r="570">
      <c r="A570" s="49">
        <v>45026.676266504626</v>
      </c>
      <c r="B570" s="50">
        <v>45026.8012349074</v>
      </c>
      <c r="C570" s="51">
        <v>1.077</v>
      </c>
      <c r="D570" s="51">
        <v>61.0</v>
      </c>
      <c r="E570" s="52" t="s">
        <v>25</v>
      </c>
      <c r="F570" s="52" t="s">
        <v>26</v>
      </c>
      <c r="G570" s="54"/>
    </row>
    <row r="571">
      <c r="A571" s="49">
        <v>45026.68667413194</v>
      </c>
      <c r="B571" s="50">
        <v>45026.8116553356</v>
      </c>
      <c r="C571" s="51">
        <v>1.077</v>
      </c>
      <c r="D571" s="51">
        <v>61.0</v>
      </c>
      <c r="E571" s="52" t="s">
        <v>25</v>
      </c>
      <c r="F571" s="52" t="s">
        <v>26</v>
      </c>
      <c r="G571" s="54"/>
    </row>
    <row r="572">
      <c r="A572" s="49">
        <v>45026.69712208334</v>
      </c>
      <c r="B572" s="50">
        <v>45026.8220766551</v>
      </c>
      <c r="C572" s="51">
        <v>1.077</v>
      </c>
      <c r="D572" s="51">
        <v>61.0</v>
      </c>
      <c r="E572" s="52" t="s">
        <v>25</v>
      </c>
      <c r="F572" s="52" t="s">
        <v>26</v>
      </c>
      <c r="G572" s="54"/>
    </row>
    <row r="573">
      <c r="A573" s="49">
        <v>45026.707520868054</v>
      </c>
      <c r="B573" s="50">
        <v>45026.832496875</v>
      </c>
      <c r="C573" s="51">
        <v>1.077</v>
      </c>
      <c r="D573" s="51">
        <v>61.0</v>
      </c>
      <c r="E573" s="52" t="s">
        <v>25</v>
      </c>
      <c r="F573" s="52" t="s">
        <v>26</v>
      </c>
      <c r="G573" s="54"/>
    </row>
    <row r="574">
      <c r="A574" s="49">
        <v>45026.71794475694</v>
      </c>
      <c r="B574" s="50">
        <v>45026.8429169907</v>
      </c>
      <c r="C574" s="51">
        <v>1.077</v>
      </c>
      <c r="D574" s="51">
        <v>61.0</v>
      </c>
      <c r="E574" s="52" t="s">
        <v>25</v>
      </c>
      <c r="F574" s="52" t="s">
        <v>26</v>
      </c>
      <c r="G574" s="54"/>
    </row>
    <row r="575">
      <c r="A575" s="49">
        <v>45026.728369131946</v>
      </c>
      <c r="B575" s="50">
        <v>45026.8533378472</v>
      </c>
      <c r="C575" s="51">
        <v>1.077</v>
      </c>
      <c r="D575" s="51">
        <v>61.0</v>
      </c>
      <c r="E575" s="52" t="s">
        <v>25</v>
      </c>
      <c r="F575" s="52" t="s">
        <v>26</v>
      </c>
      <c r="G575" s="54"/>
    </row>
    <row r="576">
      <c r="A576" s="49">
        <v>45026.73879337963</v>
      </c>
      <c r="B576" s="50">
        <v>45026.8637584143</v>
      </c>
      <c r="C576" s="51">
        <v>1.077</v>
      </c>
      <c r="D576" s="51">
        <v>61.0</v>
      </c>
      <c r="E576" s="52" t="s">
        <v>25</v>
      </c>
      <c r="F576" s="52" t="s">
        <v>26</v>
      </c>
      <c r="G576" s="54"/>
    </row>
    <row r="577">
      <c r="A577" s="49">
        <v>45026.7492132176</v>
      </c>
      <c r="B577" s="50">
        <v>45026.8741917708</v>
      </c>
      <c r="C577" s="51">
        <v>1.077</v>
      </c>
      <c r="D577" s="51">
        <v>61.0</v>
      </c>
      <c r="E577" s="52" t="s">
        <v>25</v>
      </c>
      <c r="F577" s="52" t="s">
        <v>26</v>
      </c>
      <c r="G577" s="54"/>
    </row>
    <row r="578">
      <c r="A578" s="49">
        <v>45026.759653368055</v>
      </c>
      <c r="B578" s="50">
        <v>45026.8846241435</v>
      </c>
      <c r="C578" s="51">
        <v>1.077</v>
      </c>
      <c r="D578" s="51">
        <v>61.0</v>
      </c>
      <c r="E578" s="52" t="s">
        <v>25</v>
      </c>
      <c r="F578" s="52" t="s">
        <v>26</v>
      </c>
      <c r="G578" s="54"/>
    </row>
    <row r="579">
      <c r="A579" s="49">
        <v>45026.77007216435</v>
      </c>
      <c r="B579" s="50">
        <v>45026.8950457638</v>
      </c>
      <c r="C579" s="51">
        <v>1.077</v>
      </c>
      <c r="D579" s="51">
        <v>61.0</v>
      </c>
      <c r="E579" s="52" t="s">
        <v>25</v>
      </c>
      <c r="F579" s="52" t="s">
        <v>26</v>
      </c>
      <c r="G579" s="54"/>
    </row>
    <row r="580">
      <c r="A580" s="49">
        <v>45026.780499016204</v>
      </c>
      <c r="B580" s="50">
        <v>45026.9054671759</v>
      </c>
      <c r="C580" s="51">
        <v>1.077</v>
      </c>
      <c r="D580" s="51">
        <v>61.0</v>
      </c>
      <c r="E580" s="52" t="s">
        <v>25</v>
      </c>
      <c r="F580" s="52" t="s">
        <v>26</v>
      </c>
      <c r="G580" s="54"/>
    </row>
    <row r="581">
      <c r="A581" s="49">
        <v>45026.790916770835</v>
      </c>
      <c r="B581" s="50">
        <v>45026.9158878819</v>
      </c>
      <c r="C581" s="51">
        <v>1.077</v>
      </c>
      <c r="D581" s="51">
        <v>61.0</v>
      </c>
      <c r="E581" s="52" t="s">
        <v>25</v>
      </c>
      <c r="F581" s="52" t="s">
        <v>26</v>
      </c>
      <c r="G581" s="54"/>
    </row>
    <row r="582">
      <c r="A582" s="49">
        <v>45026.801335104166</v>
      </c>
      <c r="B582" s="50">
        <v>45026.9263105324</v>
      </c>
      <c r="C582" s="51">
        <v>1.076</v>
      </c>
      <c r="D582" s="51">
        <v>61.0</v>
      </c>
      <c r="E582" s="52" t="s">
        <v>25</v>
      </c>
      <c r="F582" s="52" t="s">
        <v>26</v>
      </c>
      <c r="G582" s="54"/>
    </row>
    <row r="583">
      <c r="A583" s="49">
        <v>45026.81175879629</v>
      </c>
      <c r="B583" s="50">
        <v>45026.9367319097</v>
      </c>
      <c r="C583" s="51">
        <v>1.076</v>
      </c>
      <c r="D583" s="51">
        <v>61.0</v>
      </c>
      <c r="E583" s="52" t="s">
        <v>25</v>
      </c>
      <c r="F583" s="52" t="s">
        <v>26</v>
      </c>
      <c r="G583" s="54"/>
    </row>
    <row r="584">
      <c r="A584" s="49">
        <v>45026.82218736111</v>
      </c>
      <c r="B584" s="50">
        <v>45026.9471658912</v>
      </c>
      <c r="C584" s="51">
        <v>1.077</v>
      </c>
      <c r="D584" s="51">
        <v>61.0</v>
      </c>
      <c r="E584" s="52" t="s">
        <v>25</v>
      </c>
      <c r="F584" s="52" t="s">
        <v>26</v>
      </c>
      <c r="G584" s="54"/>
    </row>
    <row r="585">
      <c r="A585" s="49">
        <v>45026.83264194445</v>
      </c>
      <c r="B585" s="50">
        <v>45026.9576202199</v>
      </c>
      <c r="C585" s="51">
        <v>1.077</v>
      </c>
      <c r="D585" s="51">
        <v>61.0</v>
      </c>
      <c r="E585" s="52" t="s">
        <v>25</v>
      </c>
      <c r="F585" s="52" t="s">
        <v>26</v>
      </c>
      <c r="G585" s="54"/>
    </row>
    <row r="586">
      <c r="A586" s="49">
        <v>45026.84307084491</v>
      </c>
      <c r="B586" s="50">
        <v>45026.9680412615</v>
      </c>
      <c r="C586" s="51">
        <v>1.077</v>
      </c>
      <c r="D586" s="51">
        <v>61.0</v>
      </c>
      <c r="E586" s="52" t="s">
        <v>25</v>
      </c>
      <c r="F586" s="52" t="s">
        <v>26</v>
      </c>
      <c r="G586" s="54"/>
    </row>
    <row r="587">
      <c r="A587" s="49">
        <v>45026.85348158565</v>
      </c>
      <c r="B587" s="50">
        <v>45026.9784628935</v>
      </c>
      <c r="C587" s="51">
        <v>1.077</v>
      </c>
      <c r="D587" s="51">
        <v>61.0</v>
      </c>
      <c r="E587" s="52" t="s">
        <v>25</v>
      </c>
      <c r="F587" s="52" t="s">
        <v>26</v>
      </c>
      <c r="G587" s="54"/>
    </row>
    <row r="588">
      <c r="A588" s="49">
        <v>45026.86390780093</v>
      </c>
      <c r="B588" s="50">
        <v>45026.9888834375</v>
      </c>
      <c r="C588" s="51">
        <v>1.076</v>
      </c>
      <c r="D588" s="51">
        <v>61.0</v>
      </c>
      <c r="E588" s="52" t="s">
        <v>25</v>
      </c>
      <c r="F588" s="52" t="s">
        <v>26</v>
      </c>
      <c r="G588" s="54"/>
    </row>
    <row r="589">
      <c r="A589" s="49">
        <v>45026.87432798611</v>
      </c>
      <c r="B589" s="50">
        <v>45026.9993049537</v>
      </c>
      <c r="C589" s="51">
        <v>1.076</v>
      </c>
      <c r="D589" s="51">
        <v>61.0</v>
      </c>
      <c r="E589" s="52" t="s">
        <v>25</v>
      </c>
      <c r="F589" s="52" t="s">
        <v>26</v>
      </c>
      <c r="G589" s="54"/>
    </row>
    <row r="590">
      <c r="A590" s="49">
        <v>45026.884752337966</v>
      </c>
      <c r="B590" s="50">
        <v>45027.0097256134</v>
      </c>
      <c r="C590" s="51">
        <v>1.076</v>
      </c>
      <c r="D590" s="51">
        <v>61.0</v>
      </c>
      <c r="E590" s="52" t="s">
        <v>25</v>
      </c>
      <c r="F590" s="52" t="s">
        <v>26</v>
      </c>
      <c r="G590" s="54"/>
    </row>
    <row r="591">
      <c r="A591" s="49">
        <v>45026.89517539352</v>
      </c>
      <c r="B591" s="50">
        <v>45027.0201457754</v>
      </c>
      <c r="C591" s="51">
        <v>1.076</v>
      </c>
      <c r="D591" s="51">
        <v>61.0</v>
      </c>
      <c r="E591" s="52" t="s">
        <v>25</v>
      </c>
      <c r="F591" s="52" t="s">
        <v>26</v>
      </c>
      <c r="G591" s="54"/>
    </row>
    <row r="592">
      <c r="A592" s="49">
        <v>45026.90560517361</v>
      </c>
      <c r="B592" s="50">
        <v>45027.0305788773</v>
      </c>
      <c r="C592" s="51">
        <v>1.076</v>
      </c>
      <c r="D592" s="51">
        <v>61.0</v>
      </c>
      <c r="E592" s="52" t="s">
        <v>25</v>
      </c>
      <c r="F592" s="52" t="s">
        <v>26</v>
      </c>
      <c r="G592" s="54"/>
    </row>
    <row r="593">
      <c r="A593" s="49">
        <v>45026.916029988424</v>
      </c>
      <c r="B593" s="50">
        <v>45027.0409981365</v>
      </c>
      <c r="C593" s="51">
        <v>1.076</v>
      </c>
      <c r="D593" s="51">
        <v>61.0</v>
      </c>
      <c r="E593" s="52" t="s">
        <v>25</v>
      </c>
      <c r="F593" s="52" t="s">
        <v>26</v>
      </c>
      <c r="G593" s="54"/>
    </row>
    <row r="594">
      <c r="A594" s="49">
        <v>45026.92644524305</v>
      </c>
      <c r="B594" s="50">
        <v>45027.0514179976</v>
      </c>
      <c r="C594" s="51">
        <v>1.076</v>
      </c>
      <c r="D594" s="51">
        <v>61.0</v>
      </c>
      <c r="E594" s="52" t="s">
        <v>25</v>
      </c>
      <c r="F594" s="52" t="s">
        <v>26</v>
      </c>
      <c r="G594" s="54"/>
    </row>
    <row r="595">
      <c r="A595" s="49">
        <v>45026.93686178241</v>
      </c>
      <c r="B595" s="50">
        <v>45027.0618395138</v>
      </c>
      <c r="C595" s="51">
        <v>1.076</v>
      </c>
      <c r="D595" s="51">
        <v>61.0</v>
      </c>
      <c r="E595" s="52" t="s">
        <v>25</v>
      </c>
      <c r="F595" s="52" t="s">
        <v>26</v>
      </c>
      <c r="G595" s="54"/>
    </row>
    <row r="596">
      <c r="A596" s="49">
        <v>45026.94730996528</v>
      </c>
      <c r="B596" s="50">
        <v>45027.07228353</v>
      </c>
      <c r="C596" s="51">
        <v>1.076</v>
      </c>
      <c r="D596" s="51">
        <v>61.0</v>
      </c>
      <c r="E596" s="52" t="s">
        <v>25</v>
      </c>
      <c r="F596" s="52" t="s">
        <v>26</v>
      </c>
      <c r="G596" s="54"/>
    </row>
    <row r="597">
      <c r="A597" s="49">
        <v>45026.9577281713</v>
      </c>
      <c r="B597" s="50">
        <v>45027.0827055439</v>
      </c>
      <c r="C597" s="51">
        <v>1.076</v>
      </c>
      <c r="D597" s="51">
        <v>61.0</v>
      </c>
      <c r="E597" s="52" t="s">
        <v>25</v>
      </c>
      <c r="F597" s="52" t="s">
        <v>26</v>
      </c>
      <c r="G597" s="54"/>
    </row>
    <row r="598">
      <c r="A598" s="49">
        <v>45026.96815716435</v>
      </c>
      <c r="B598" s="50">
        <v>45027.0931275347</v>
      </c>
      <c r="C598" s="51">
        <v>1.076</v>
      </c>
      <c r="D598" s="51">
        <v>61.0</v>
      </c>
      <c r="E598" s="52" t="s">
        <v>25</v>
      </c>
      <c r="F598" s="52" t="s">
        <v>26</v>
      </c>
      <c r="G598" s="54"/>
    </row>
    <row r="599">
      <c r="A599" s="49">
        <v>45026.97859145833</v>
      </c>
      <c r="B599" s="50">
        <v>45027.10356228</v>
      </c>
      <c r="C599" s="51">
        <v>1.076</v>
      </c>
      <c r="D599" s="51">
        <v>61.0</v>
      </c>
      <c r="E599" s="52" t="s">
        <v>25</v>
      </c>
      <c r="F599" s="52" t="s">
        <v>26</v>
      </c>
      <c r="G599" s="54"/>
    </row>
    <row r="600">
      <c r="A600" s="49">
        <v>45026.98901347222</v>
      </c>
      <c r="B600" s="50">
        <v>45027.113983831</v>
      </c>
      <c r="C600" s="51">
        <v>1.076</v>
      </c>
      <c r="D600" s="51">
        <v>61.0</v>
      </c>
      <c r="E600" s="52" t="s">
        <v>25</v>
      </c>
      <c r="F600" s="52" t="s">
        <v>26</v>
      </c>
      <c r="G600" s="54"/>
    </row>
    <row r="601">
      <c r="A601" s="49">
        <v>45026.99943621528</v>
      </c>
      <c r="B601" s="50">
        <v>45027.1244162847</v>
      </c>
      <c r="C601" s="51">
        <v>1.076</v>
      </c>
      <c r="D601" s="51">
        <v>61.0</v>
      </c>
      <c r="E601" s="52" t="s">
        <v>25</v>
      </c>
      <c r="F601" s="52" t="s">
        <v>26</v>
      </c>
      <c r="G601" s="54"/>
    </row>
    <row r="602">
      <c r="A602" s="49">
        <v>45027.00987563658</v>
      </c>
      <c r="B602" s="50">
        <v>45027.1348480787</v>
      </c>
      <c r="C602" s="51">
        <v>1.076</v>
      </c>
      <c r="D602" s="51">
        <v>61.0</v>
      </c>
      <c r="E602" s="52" t="s">
        <v>25</v>
      </c>
      <c r="F602" s="52" t="s">
        <v>26</v>
      </c>
      <c r="G602" s="54"/>
    </row>
    <row r="603">
      <c r="A603" s="49">
        <v>45027.02031024305</v>
      </c>
      <c r="B603" s="50">
        <v>45027.1452813889</v>
      </c>
      <c r="C603" s="51">
        <v>1.076</v>
      </c>
      <c r="D603" s="51">
        <v>61.0</v>
      </c>
      <c r="E603" s="52" t="s">
        <v>25</v>
      </c>
      <c r="F603" s="52" t="s">
        <v>26</v>
      </c>
      <c r="G603" s="54"/>
    </row>
    <row r="604">
      <c r="A604" s="49">
        <v>45027.03073211806</v>
      </c>
      <c r="B604" s="50">
        <v>45027.1557021643</v>
      </c>
      <c r="C604" s="51">
        <v>1.076</v>
      </c>
      <c r="D604" s="51">
        <v>61.0</v>
      </c>
      <c r="E604" s="52" t="s">
        <v>25</v>
      </c>
      <c r="F604" s="52" t="s">
        <v>26</v>
      </c>
      <c r="G604" s="54"/>
    </row>
    <row r="605">
      <c r="A605" s="49">
        <v>45027.04115341435</v>
      </c>
      <c r="B605" s="50">
        <v>45027.1661240162</v>
      </c>
      <c r="C605" s="51">
        <v>1.076</v>
      </c>
      <c r="D605" s="51">
        <v>61.0</v>
      </c>
      <c r="E605" s="52" t="s">
        <v>25</v>
      </c>
      <c r="F605" s="52" t="s">
        <v>26</v>
      </c>
      <c r="G605" s="54"/>
    </row>
    <row r="606">
      <c r="A606" s="49">
        <v>45027.05160020833</v>
      </c>
      <c r="B606" s="50">
        <v>45027.1765681597</v>
      </c>
      <c r="C606" s="51">
        <v>1.076</v>
      </c>
      <c r="D606" s="51">
        <v>61.0</v>
      </c>
      <c r="E606" s="52" t="s">
        <v>25</v>
      </c>
      <c r="F606" s="52" t="s">
        <v>26</v>
      </c>
      <c r="G606" s="54"/>
    </row>
    <row r="607">
      <c r="A607" s="49">
        <v>45027.062008877314</v>
      </c>
      <c r="B607" s="50">
        <v>45027.1869886226</v>
      </c>
      <c r="C607" s="51">
        <v>1.076</v>
      </c>
      <c r="D607" s="51">
        <v>61.0</v>
      </c>
      <c r="E607" s="52" t="s">
        <v>25</v>
      </c>
      <c r="F607" s="52" t="s">
        <v>26</v>
      </c>
      <c r="G607" s="54"/>
    </row>
    <row r="608">
      <c r="A608" s="49">
        <v>45027.07243652778</v>
      </c>
      <c r="B608" s="50">
        <v>45027.1974111226</v>
      </c>
      <c r="C608" s="51">
        <v>1.076</v>
      </c>
      <c r="D608" s="51">
        <v>61.0</v>
      </c>
      <c r="E608" s="52" t="s">
        <v>25</v>
      </c>
      <c r="F608" s="52" t="s">
        <v>26</v>
      </c>
      <c r="G608" s="54"/>
    </row>
    <row r="609">
      <c r="A609" s="49">
        <v>45027.08286003472</v>
      </c>
      <c r="B609" s="50">
        <v>45027.2078329282</v>
      </c>
      <c r="C609" s="51">
        <v>1.076</v>
      </c>
      <c r="D609" s="51">
        <v>61.0</v>
      </c>
      <c r="E609" s="52" t="s">
        <v>25</v>
      </c>
      <c r="F609" s="52" t="s">
        <v>26</v>
      </c>
      <c r="G609" s="54"/>
    </row>
    <row r="610">
      <c r="A610" s="49">
        <v>45027.09328221065</v>
      </c>
      <c r="B610" s="50">
        <v>45027.2182556134</v>
      </c>
      <c r="C610" s="51">
        <v>1.075</v>
      </c>
      <c r="D610" s="51">
        <v>61.0</v>
      </c>
      <c r="E610" s="52" t="s">
        <v>25</v>
      </c>
      <c r="F610" s="52" t="s">
        <v>26</v>
      </c>
      <c r="G610" s="54"/>
    </row>
    <row r="611">
      <c r="A611" s="49">
        <v>45027.103716631944</v>
      </c>
      <c r="B611" s="50">
        <v>45027.2286893171</v>
      </c>
      <c r="C611" s="51">
        <v>1.075</v>
      </c>
      <c r="D611" s="51">
        <v>61.0</v>
      </c>
      <c r="E611" s="52" t="s">
        <v>25</v>
      </c>
      <c r="F611" s="52" t="s">
        <v>26</v>
      </c>
      <c r="G611" s="54"/>
    </row>
    <row r="612">
      <c r="A612" s="49">
        <v>45027.11413884259</v>
      </c>
      <c r="B612" s="50">
        <v>45027.2391098958</v>
      </c>
      <c r="C612" s="51">
        <v>1.076</v>
      </c>
      <c r="D612" s="51">
        <v>61.0</v>
      </c>
      <c r="E612" s="52" t="s">
        <v>25</v>
      </c>
      <c r="F612" s="52" t="s">
        <v>26</v>
      </c>
      <c r="G612" s="54"/>
    </row>
    <row r="613">
      <c r="A613" s="49">
        <v>45027.12455702546</v>
      </c>
      <c r="B613" s="50">
        <v>45027.24953228</v>
      </c>
      <c r="C613" s="51">
        <v>1.076</v>
      </c>
      <c r="D613" s="51">
        <v>61.0</v>
      </c>
      <c r="E613" s="52" t="s">
        <v>25</v>
      </c>
      <c r="F613" s="52" t="s">
        <v>26</v>
      </c>
      <c r="G613" s="54"/>
    </row>
    <row r="614">
      <c r="A614" s="49">
        <v>45027.1349880787</v>
      </c>
      <c r="B614" s="50">
        <v>45027.2599655092</v>
      </c>
      <c r="C614" s="51">
        <v>1.076</v>
      </c>
      <c r="D614" s="51">
        <v>61.0</v>
      </c>
      <c r="E614" s="52" t="s">
        <v>25</v>
      </c>
      <c r="F614" s="52" t="s">
        <v>26</v>
      </c>
      <c r="G614" s="54"/>
    </row>
    <row r="615">
      <c r="A615" s="49">
        <v>45027.14541915509</v>
      </c>
      <c r="B615" s="50">
        <v>45027.2703865625</v>
      </c>
      <c r="C615" s="51">
        <v>1.076</v>
      </c>
      <c r="D615" s="51">
        <v>61.0</v>
      </c>
      <c r="E615" s="52" t="s">
        <v>25</v>
      </c>
      <c r="F615" s="52" t="s">
        <v>26</v>
      </c>
      <c r="G615" s="54"/>
    </row>
    <row r="616">
      <c r="A616" s="49">
        <v>45027.155830937496</v>
      </c>
      <c r="B616" s="50">
        <v>45027.280808912</v>
      </c>
      <c r="C616" s="51">
        <v>1.075</v>
      </c>
      <c r="D616" s="51">
        <v>61.0</v>
      </c>
      <c r="E616" s="52" t="s">
        <v>25</v>
      </c>
      <c r="F616" s="52" t="s">
        <v>26</v>
      </c>
      <c r="G616" s="54"/>
    </row>
    <row r="617">
      <c r="A617" s="49">
        <v>45027.1662597338</v>
      </c>
      <c r="B617" s="50">
        <v>45027.2912302314</v>
      </c>
      <c r="C617" s="51">
        <v>1.075</v>
      </c>
      <c r="D617" s="51">
        <v>61.0</v>
      </c>
      <c r="E617" s="52" t="s">
        <v>25</v>
      </c>
      <c r="F617" s="52" t="s">
        <v>26</v>
      </c>
      <c r="G617" s="54"/>
    </row>
    <row r="618">
      <c r="A618" s="49">
        <v>45027.17669596065</v>
      </c>
      <c r="B618" s="50">
        <v>45027.3016740509</v>
      </c>
      <c r="C618" s="51">
        <v>1.075</v>
      </c>
      <c r="D618" s="51">
        <v>61.0</v>
      </c>
      <c r="E618" s="52" t="s">
        <v>25</v>
      </c>
      <c r="F618" s="52" t="s">
        <v>26</v>
      </c>
      <c r="G618" s="54"/>
    </row>
    <row r="619">
      <c r="A619" s="49">
        <v>45027.187128171296</v>
      </c>
      <c r="B619" s="50">
        <v>45027.3121059953</v>
      </c>
      <c r="C619" s="51">
        <v>1.075</v>
      </c>
      <c r="D619" s="51">
        <v>61.0</v>
      </c>
      <c r="E619" s="52" t="s">
        <v>25</v>
      </c>
      <c r="F619" s="52" t="s">
        <v>26</v>
      </c>
      <c r="G619" s="54"/>
    </row>
    <row r="620">
      <c r="A620" s="49">
        <v>45027.19755469907</v>
      </c>
      <c r="B620" s="50">
        <v>45027.3225271875</v>
      </c>
      <c r="C620" s="51">
        <v>1.075</v>
      </c>
      <c r="D620" s="51">
        <v>61.0</v>
      </c>
      <c r="E620" s="52" t="s">
        <v>25</v>
      </c>
      <c r="F620" s="52" t="s">
        <v>26</v>
      </c>
      <c r="G620" s="54"/>
    </row>
    <row r="621">
      <c r="A621" s="49">
        <v>45027.20797686343</v>
      </c>
      <c r="B621" s="50">
        <v>45027.3329475231</v>
      </c>
      <c r="C621" s="51">
        <v>1.075</v>
      </c>
      <c r="D621" s="51">
        <v>61.0</v>
      </c>
      <c r="E621" s="52" t="s">
        <v>25</v>
      </c>
      <c r="F621" s="52" t="s">
        <v>26</v>
      </c>
      <c r="G621" s="54"/>
    </row>
    <row r="622">
      <c r="A622" s="49">
        <v>45027.21839415509</v>
      </c>
      <c r="B622" s="50">
        <v>45027.343368368</v>
      </c>
      <c r="C622" s="51">
        <v>1.075</v>
      </c>
      <c r="D622" s="51">
        <v>61.0</v>
      </c>
      <c r="E622" s="52" t="s">
        <v>25</v>
      </c>
      <c r="F622" s="52" t="s">
        <v>26</v>
      </c>
      <c r="G622" s="54"/>
    </row>
    <row r="623">
      <c r="A623" s="49">
        <v>45027.228810092594</v>
      </c>
      <c r="B623" s="50">
        <v>45027.3537894907</v>
      </c>
      <c r="C623" s="51">
        <v>1.075</v>
      </c>
      <c r="D623" s="51">
        <v>61.0</v>
      </c>
      <c r="E623" s="52" t="s">
        <v>25</v>
      </c>
      <c r="F623" s="52" t="s">
        <v>26</v>
      </c>
      <c r="G623" s="54"/>
    </row>
    <row r="624">
      <c r="A624" s="49">
        <v>45027.239262627314</v>
      </c>
      <c r="B624" s="50">
        <v>45027.3642347569</v>
      </c>
      <c r="C624" s="51">
        <v>1.075</v>
      </c>
      <c r="D624" s="51">
        <v>61.0</v>
      </c>
      <c r="E624" s="52" t="s">
        <v>25</v>
      </c>
      <c r="F624" s="52" t="s">
        <v>26</v>
      </c>
      <c r="G624" s="54"/>
    </row>
    <row r="625">
      <c r="A625" s="49">
        <v>45027.2496794676</v>
      </c>
      <c r="B625" s="50">
        <v>45027.3746551157</v>
      </c>
      <c r="C625" s="51">
        <v>1.075</v>
      </c>
      <c r="D625" s="51">
        <v>61.0</v>
      </c>
      <c r="E625" s="52" t="s">
        <v>25</v>
      </c>
      <c r="F625" s="52" t="s">
        <v>26</v>
      </c>
      <c r="G625" s="54"/>
    </row>
    <row r="626">
      <c r="A626" s="49">
        <v>45027.2601050463</v>
      </c>
      <c r="B626" s="50">
        <v>45027.3850771064</v>
      </c>
      <c r="C626" s="51">
        <v>1.075</v>
      </c>
      <c r="D626" s="51">
        <v>61.0</v>
      </c>
      <c r="E626" s="52" t="s">
        <v>25</v>
      </c>
      <c r="F626" s="52" t="s">
        <v>26</v>
      </c>
      <c r="G626" s="54"/>
    </row>
    <row r="627">
      <c r="A627" s="49">
        <v>45027.2705365625</v>
      </c>
      <c r="B627" s="50">
        <v>45027.3955114351</v>
      </c>
      <c r="C627" s="51">
        <v>1.075</v>
      </c>
      <c r="D627" s="51">
        <v>61.0</v>
      </c>
      <c r="E627" s="52" t="s">
        <v>25</v>
      </c>
      <c r="F627" s="52" t="s">
        <v>26</v>
      </c>
      <c r="G627" s="54"/>
    </row>
    <row r="628">
      <c r="A628" s="49">
        <v>45027.280954166665</v>
      </c>
      <c r="B628" s="50">
        <v>45027.4059334953</v>
      </c>
      <c r="C628" s="51">
        <v>1.075</v>
      </c>
      <c r="D628" s="51">
        <v>61.0</v>
      </c>
      <c r="E628" s="52" t="s">
        <v>25</v>
      </c>
      <c r="F628" s="52" t="s">
        <v>26</v>
      </c>
      <c r="G628" s="54"/>
    </row>
    <row r="629">
      <c r="A629" s="49">
        <v>45027.2913944676</v>
      </c>
      <c r="B629" s="50">
        <v>45027.4163660995</v>
      </c>
      <c r="C629" s="51">
        <v>1.075</v>
      </c>
      <c r="D629" s="51">
        <v>61.0</v>
      </c>
      <c r="E629" s="52" t="s">
        <v>25</v>
      </c>
      <c r="F629" s="52" t="s">
        <v>26</v>
      </c>
      <c r="G629" s="54"/>
    </row>
    <row r="630">
      <c r="A630" s="49">
        <v>45027.30181484953</v>
      </c>
      <c r="B630" s="50">
        <v>45027.4267875463</v>
      </c>
      <c r="C630" s="51">
        <v>1.075</v>
      </c>
      <c r="D630" s="51">
        <v>61.0</v>
      </c>
      <c r="E630" s="52" t="s">
        <v>25</v>
      </c>
      <c r="F630" s="52" t="s">
        <v>26</v>
      </c>
      <c r="G630" s="54"/>
    </row>
    <row r="631">
      <c r="A631" s="49">
        <v>45027.312236770835</v>
      </c>
      <c r="B631" s="50">
        <v>45027.4372105208</v>
      </c>
      <c r="C631" s="51">
        <v>1.075</v>
      </c>
      <c r="D631" s="51">
        <v>61.0</v>
      </c>
      <c r="E631" s="52" t="s">
        <v>25</v>
      </c>
      <c r="F631" s="52" t="s">
        <v>26</v>
      </c>
      <c r="G631" s="54"/>
    </row>
    <row r="632">
      <c r="A632" s="49">
        <v>45027.32265587963</v>
      </c>
      <c r="B632" s="50">
        <v>45027.447631493</v>
      </c>
      <c r="C632" s="51">
        <v>1.075</v>
      </c>
      <c r="D632" s="51">
        <v>61.0</v>
      </c>
      <c r="E632" s="52" t="s">
        <v>25</v>
      </c>
      <c r="F632" s="52" t="s">
        <v>26</v>
      </c>
      <c r="G632" s="54"/>
    </row>
    <row r="633">
      <c r="A633" s="49">
        <v>45027.333078738426</v>
      </c>
      <c r="B633" s="50">
        <v>45027.458053125</v>
      </c>
      <c r="C633" s="51">
        <v>1.075</v>
      </c>
      <c r="D633" s="51">
        <v>61.0</v>
      </c>
      <c r="E633" s="52" t="s">
        <v>25</v>
      </c>
      <c r="F633" s="52" t="s">
        <v>26</v>
      </c>
      <c r="G633" s="54"/>
    </row>
    <row r="634">
      <c r="A634" s="49">
        <v>45027.34349663195</v>
      </c>
      <c r="B634" s="50">
        <v>45027.4684753588</v>
      </c>
      <c r="C634" s="51">
        <v>1.075</v>
      </c>
      <c r="D634" s="51">
        <v>61.0</v>
      </c>
      <c r="E634" s="52" t="s">
        <v>25</v>
      </c>
      <c r="F634" s="52" t="s">
        <v>26</v>
      </c>
      <c r="G634" s="54"/>
    </row>
    <row r="635">
      <c r="A635" s="49">
        <v>45027.35393328704</v>
      </c>
      <c r="B635" s="50">
        <v>45027.4789074768</v>
      </c>
      <c r="C635" s="51">
        <v>1.074</v>
      </c>
      <c r="D635" s="51">
        <v>61.0</v>
      </c>
      <c r="E635" s="52" t="s">
        <v>25</v>
      </c>
      <c r="F635" s="52" t="s">
        <v>26</v>
      </c>
      <c r="G635" s="54"/>
    </row>
    <row r="636">
      <c r="A636" s="49">
        <v>45027.3643680324</v>
      </c>
      <c r="B636" s="50">
        <v>45027.4893407291</v>
      </c>
      <c r="C636" s="51">
        <v>1.074</v>
      </c>
      <c r="D636" s="51">
        <v>61.0</v>
      </c>
      <c r="E636" s="52" t="s">
        <v>25</v>
      </c>
      <c r="F636" s="52" t="s">
        <v>26</v>
      </c>
      <c r="G636" s="54"/>
    </row>
    <row r="637">
      <c r="A637" s="49">
        <v>45027.37478971065</v>
      </c>
      <c r="B637" s="50">
        <v>45027.4997627199</v>
      </c>
      <c r="C637" s="51">
        <v>1.075</v>
      </c>
      <c r="D637" s="51">
        <v>61.0</v>
      </c>
      <c r="E637" s="52" t="s">
        <v>25</v>
      </c>
      <c r="F637" s="52" t="s">
        <v>26</v>
      </c>
      <c r="G637" s="54"/>
    </row>
    <row r="638">
      <c r="A638" s="49">
        <v>45027.38520820602</v>
      </c>
      <c r="B638" s="50">
        <v>45027.5101823726</v>
      </c>
      <c r="C638" s="51">
        <v>1.074</v>
      </c>
      <c r="D638" s="51">
        <v>61.0</v>
      </c>
      <c r="E638" s="52" t="s">
        <v>25</v>
      </c>
      <c r="F638" s="52" t="s">
        <v>26</v>
      </c>
      <c r="G638" s="54"/>
    </row>
    <row r="639">
      <c r="A639" s="49">
        <v>45027.395634699074</v>
      </c>
      <c r="B639" s="50">
        <v>45027.5206030439</v>
      </c>
      <c r="C639" s="51">
        <v>1.074</v>
      </c>
      <c r="D639" s="51">
        <v>61.0</v>
      </c>
      <c r="E639" s="52" t="s">
        <v>25</v>
      </c>
      <c r="F639" s="52" t="s">
        <v>26</v>
      </c>
      <c r="G639" s="54"/>
    </row>
    <row r="640">
      <c r="A640" s="49">
        <v>45027.40605314815</v>
      </c>
      <c r="B640" s="50">
        <v>45027.5310238541</v>
      </c>
      <c r="C640" s="51">
        <v>1.074</v>
      </c>
      <c r="D640" s="51">
        <v>61.0</v>
      </c>
      <c r="E640" s="52" t="s">
        <v>25</v>
      </c>
      <c r="F640" s="52" t="s">
        <v>26</v>
      </c>
      <c r="G640" s="54"/>
    </row>
    <row r="641">
      <c r="A641" s="49">
        <v>45027.41647722222</v>
      </c>
      <c r="B641" s="50">
        <v>45027.5414466088</v>
      </c>
      <c r="C641" s="51">
        <v>1.074</v>
      </c>
      <c r="D641" s="51">
        <v>61.0</v>
      </c>
      <c r="E641" s="52" t="s">
        <v>25</v>
      </c>
      <c r="F641" s="52" t="s">
        <v>26</v>
      </c>
      <c r="G641" s="54"/>
    </row>
    <row r="642">
      <c r="A642" s="49">
        <v>45027.426889421295</v>
      </c>
      <c r="B642" s="50">
        <v>45027.5518678819</v>
      </c>
      <c r="C642" s="51">
        <v>1.074</v>
      </c>
      <c r="D642" s="51">
        <v>61.0</v>
      </c>
      <c r="E642" s="52" t="s">
        <v>25</v>
      </c>
      <c r="F642" s="52" t="s">
        <v>26</v>
      </c>
      <c r="G642" s="54"/>
    </row>
    <row r="643">
      <c r="A643" s="49">
        <v>45027.437322777776</v>
      </c>
      <c r="B643" s="50">
        <v>45027.5622893518</v>
      </c>
      <c r="C643" s="51">
        <v>1.074</v>
      </c>
      <c r="D643" s="51">
        <v>61.0</v>
      </c>
      <c r="E643" s="52" t="s">
        <v>25</v>
      </c>
      <c r="F643" s="52" t="s">
        <v>26</v>
      </c>
      <c r="G643" s="54"/>
    </row>
    <row r="644">
      <c r="A644" s="49">
        <v>45027.447791377315</v>
      </c>
      <c r="B644" s="50">
        <v>45027.5727587268</v>
      </c>
      <c r="C644" s="51">
        <v>1.074</v>
      </c>
      <c r="D644" s="51">
        <v>61.0</v>
      </c>
      <c r="E644" s="52" t="s">
        <v>25</v>
      </c>
      <c r="F644" s="52" t="s">
        <v>26</v>
      </c>
      <c r="G644" s="54"/>
    </row>
    <row r="645">
      <c r="A645" s="49">
        <v>45027.458221354165</v>
      </c>
      <c r="B645" s="50">
        <v>45027.5831897685</v>
      </c>
      <c r="C645" s="51">
        <v>1.074</v>
      </c>
      <c r="D645" s="51">
        <v>61.0</v>
      </c>
      <c r="E645" s="52" t="s">
        <v>25</v>
      </c>
      <c r="F645" s="52" t="s">
        <v>26</v>
      </c>
      <c r="G645" s="54"/>
    </row>
    <row r="646">
      <c r="A646" s="49">
        <v>45027.468637928236</v>
      </c>
      <c r="B646" s="50">
        <v>45027.5936103819</v>
      </c>
      <c r="C646" s="51">
        <v>1.074</v>
      </c>
      <c r="D646" s="51">
        <v>61.0</v>
      </c>
      <c r="E646" s="52" t="s">
        <v>25</v>
      </c>
      <c r="F646" s="52" t="s">
        <v>26</v>
      </c>
      <c r="G646" s="54"/>
    </row>
    <row r="647">
      <c r="A647" s="49">
        <v>45027.47909778936</v>
      </c>
      <c r="B647" s="50">
        <v>45027.604055706</v>
      </c>
      <c r="C647" s="51">
        <v>1.074</v>
      </c>
      <c r="D647" s="51">
        <v>61.0</v>
      </c>
      <c r="E647" s="52" t="s">
        <v>25</v>
      </c>
      <c r="F647" s="52" t="s">
        <v>26</v>
      </c>
      <c r="G647" s="54"/>
    </row>
    <row r="648">
      <c r="A648" s="49">
        <v>45027.48950585648</v>
      </c>
      <c r="B648" s="50">
        <v>45027.6144762615</v>
      </c>
      <c r="C648" s="51">
        <v>1.074</v>
      </c>
      <c r="D648" s="51">
        <v>61.0</v>
      </c>
      <c r="E648" s="52" t="s">
        <v>25</v>
      </c>
      <c r="F648" s="52" t="s">
        <v>26</v>
      </c>
      <c r="G648" s="54"/>
    </row>
    <row r="649">
      <c r="A649" s="49">
        <v>45027.49992695602</v>
      </c>
      <c r="B649" s="50">
        <v>45027.6248962847</v>
      </c>
      <c r="C649" s="51">
        <v>1.074</v>
      </c>
      <c r="D649" s="51">
        <v>61.0</v>
      </c>
      <c r="E649" s="52" t="s">
        <v>25</v>
      </c>
      <c r="F649" s="52" t="s">
        <v>26</v>
      </c>
      <c r="G649" s="54"/>
    </row>
    <row r="650">
      <c r="A650" s="49">
        <v>45027.51035016203</v>
      </c>
      <c r="B650" s="50">
        <v>45027.6353187037</v>
      </c>
      <c r="C650" s="51">
        <v>1.074</v>
      </c>
      <c r="D650" s="51">
        <v>61.0</v>
      </c>
      <c r="E650" s="52" t="s">
        <v>25</v>
      </c>
      <c r="F650" s="52" t="s">
        <v>26</v>
      </c>
      <c r="G650" s="54"/>
    </row>
    <row r="651">
      <c r="A651" s="49">
        <v>45027.52076791666</v>
      </c>
      <c r="B651" s="50">
        <v>45027.6457403703</v>
      </c>
      <c r="C651" s="51">
        <v>1.074</v>
      </c>
      <c r="D651" s="51">
        <v>61.0</v>
      </c>
      <c r="E651" s="52" t="s">
        <v>25</v>
      </c>
      <c r="F651" s="52" t="s">
        <v>26</v>
      </c>
      <c r="G651" s="54"/>
    </row>
    <row r="652">
      <c r="A652" s="49">
        <v>45027.53118475694</v>
      </c>
      <c r="B652" s="50">
        <v>45027.6561613425</v>
      </c>
      <c r="C652" s="51">
        <v>1.074</v>
      </c>
      <c r="D652" s="51">
        <v>61.0</v>
      </c>
      <c r="E652" s="52" t="s">
        <v>25</v>
      </c>
      <c r="F652" s="52" t="s">
        <v>26</v>
      </c>
      <c r="G652" s="54"/>
    </row>
    <row r="653">
      <c r="A653" s="49">
        <v>45027.541612256944</v>
      </c>
      <c r="B653" s="50">
        <v>45027.6665824768</v>
      </c>
      <c r="C653" s="51">
        <v>1.074</v>
      </c>
      <c r="D653" s="51">
        <v>61.0</v>
      </c>
      <c r="E653" s="52" t="s">
        <v>25</v>
      </c>
      <c r="F653" s="52" t="s">
        <v>26</v>
      </c>
      <c r="G653" s="54"/>
    </row>
    <row r="654">
      <c r="A654" s="49">
        <v>45027.55202873843</v>
      </c>
      <c r="B654" s="50">
        <v>45027.67700375</v>
      </c>
      <c r="C654" s="51">
        <v>1.074</v>
      </c>
      <c r="D654" s="51">
        <v>61.0</v>
      </c>
      <c r="E654" s="52" t="s">
        <v>25</v>
      </c>
      <c r="F654" s="52" t="s">
        <v>26</v>
      </c>
      <c r="G654" s="54"/>
    </row>
    <row r="655">
      <c r="A655" s="49">
        <v>45027.56246030093</v>
      </c>
      <c r="B655" s="50">
        <v>45027.6874367476</v>
      </c>
      <c r="C655" s="51">
        <v>1.074</v>
      </c>
      <c r="D655" s="51">
        <v>61.0</v>
      </c>
      <c r="E655" s="52" t="s">
        <v>25</v>
      </c>
      <c r="F655" s="52" t="s">
        <v>26</v>
      </c>
      <c r="G655" s="54"/>
    </row>
    <row r="656">
      <c r="A656" s="49">
        <v>45027.57289293982</v>
      </c>
      <c r="B656" s="50">
        <v>45027.6978582638</v>
      </c>
      <c r="C656" s="51">
        <v>1.074</v>
      </c>
      <c r="D656" s="51">
        <v>61.0</v>
      </c>
      <c r="E656" s="52" t="s">
        <v>25</v>
      </c>
      <c r="F656" s="52" t="s">
        <v>26</v>
      </c>
      <c r="G656" s="54"/>
    </row>
    <row r="657">
      <c r="A657" s="49">
        <v>45027.58331030092</v>
      </c>
      <c r="B657" s="50">
        <v>45027.7082791203</v>
      </c>
      <c r="C657" s="51">
        <v>1.073</v>
      </c>
      <c r="D657" s="51">
        <v>61.0</v>
      </c>
      <c r="E657" s="52" t="s">
        <v>25</v>
      </c>
      <c r="F657" s="52" t="s">
        <v>26</v>
      </c>
      <c r="G657" s="54"/>
    </row>
    <row r="658">
      <c r="A658" s="49">
        <v>45027.593727037034</v>
      </c>
      <c r="B658" s="50">
        <v>45027.7187010879</v>
      </c>
      <c r="C658" s="51">
        <v>1.073</v>
      </c>
      <c r="D658" s="51">
        <v>61.0</v>
      </c>
      <c r="E658" s="52" t="s">
        <v>25</v>
      </c>
      <c r="F658" s="52" t="s">
        <v>26</v>
      </c>
      <c r="G658" s="54"/>
    </row>
    <row r="659">
      <c r="A659" s="49">
        <v>45027.60414604167</v>
      </c>
      <c r="B659" s="50">
        <v>45027.7291217708</v>
      </c>
      <c r="C659" s="51">
        <v>1.074</v>
      </c>
      <c r="D659" s="51">
        <v>61.0</v>
      </c>
      <c r="E659" s="52" t="s">
        <v>25</v>
      </c>
      <c r="F659" s="52" t="s">
        <v>26</v>
      </c>
      <c r="G659" s="54"/>
    </row>
    <row r="660">
      <c r="A660" s="49">
        <v>45027.6145753125</v>
      </c>
      <c r="B660" s="50">
        <v>45027.7395409606</v>
      </c>
      <c r="C660" s="51">
        <v>1.073</v>
      </c>
      <c r="D660" s="51">
        <v>61.0</v>
      </c>
      <c r="E660" s="52" t="s">
        <v>25</v>
      </c>
      <c r="F660" s="52" t="s">
        <v>26</v>
      </c>
      <c r="G660" s="54"/>
    </row>
    <row r="661">
      <c r="A661" s="49">
        <v>45027.62498688657</v>
      </c>
      <c r="B661" s="50">
        <v>45027.749960787</v>
      </c>
      <c r="C661" s="51">
        <v>1.073</v>
      </c>
      <c r="D661" s="51">
        <v>61.0</v>
      </c>
      <c r="E661" s="52" t="s">
        <v>25</v>
      </c>
      <c r="F661" s="52" t="s">
        <v>26</v>
      </c>
      <c r="G661" s="54"/>
    </row>
    <row r="662">
      <c r="A662" s="49">
        <v>45027.63541112268</v>
      </c>
      <c r="B662" s="50">
        <v>45027.7603818287</v>
      </c>
      <c r="C662" s="51">
        <v>1.073</v>
      </c>
      <c r="D662" s="51">
        <v>61.0</v>
      </c>
      <c r="E662" s="52" t="s">
        <v>25</v>
      </c>
      <c r="F662" s="52" t="s">
        <v>26</v>
      </c>
      <c r="G662" s="54"/>
    </row>
    <row r="663">
      <c r="A663" s="49">
        <v>45027.64582939815</v>
      </c>
      <c r="B663" s="50">
        <v>45027.7708027546</v>
      </c>
      <c r="C663" s="51">
        <v>1.074</v>
      </c>
      <c r="D663" s="51">
        <v>61.0</v>
      </c>
      <c r="E663" s="52" t="s">
        <v>25</v>
      </c>
      <c r="F663" s="52" t="s">
        <v>26</v>
      </c>
      <c r="G663" s="54"/>
    </row>
    <row r="664">
      <c r="A664" s="49">
        <v>45027.656255740745</v>
      </c>
      <c r="B664" s="50">
        <v>45027.7812231134</v>
      </c>
      <c r="C664" s="51">
        <v>1.073</v>
      </c>
      <c r="D664" s="51">
        <v>61.0</v>
      </c>
      <c r="E664" s="52" t="s">
        <v>25</v>
      </c>
      <c r="F664" s="52" t="s">
        <v>26</v>
      </c>
      <c r="G664" s="54"/>
    </row>
    <row r="665">
      <c r="A665" s="49">
        <v>45027.66667508102</v>
      </c>
      <c r="B665" s="50">
        <v>45027.7916456134</v>
      </c>
      <c r="C665" s="51">
        <v>1.073</v>
      </c>
      <c r="D665" s="51">
        <v>61.0</v>
      </c>
      <c r="E665" s="52" t="s">
        <v>25</v>
      </c>
      <c r="F665" s="52" t="s">
        <v>26</v>
      </c>
      <c r="G665" s="54"/>
    </row>
    <row r="666">
      <c r="A666" s="49">
        <v>45027.67709305555</v>
      </c>
      <c r="B666" s="50">
        <v>45027.8020684606</v>
      </c>
      <c r="C666" s="51">
        <v>1.073</v>
      </c>
      <c r="D666" s="51">
        <v>61.0</v>
      </c>
      <c r="E666" s="52" t="s">
        <v>25</v>
      </c>
      <c r="F666" s="52" t="s">
        <v>26</v>
      </c>
      <c r="G666" s="54"/>
    </row>
    <row r="667">
      <c r="A667" s="49">
        <v>45027.687533738426</v>
      </c>
      <c r="B667" s="50">
        <v>45027.812514375</v>
      </c>
      <c r="C667" s="51">
        <v>1.073</v>
      </c>
      <c r="D667" s="51">
        <v>61.0</v>
      </c>
      <c r="E667" s="52" t="s">
        <v>25</v>
      </c>
      <c r="F667" s="52" t="s">
        <v>26</v>
      </c>
      <c r="G667" s="54"/>
    </row>
    <row r="668">
      <c r="A668" s="49">
        <v>45027.69795986111</v>
      </c>
      <c r="B668" s="50">
        <v>45027.8229351504</v>
      </c>
      <c r="C668" s="51">
        <v>1.073</v>
      </c>
      <c r="D668" s="51">
        <v>61.0</v>
      </c>
      <c r="E668" s="52" t="s">
        <v>25</v>
      </c>
      <c r="F668" s="52" t="s">
        <v>26</v>
      </c>
      <c r="G668" s="54"/>
    </row>
    <row r="669">
      <c r="A669" s="49">
        <v>45027.70837792824</v>
      </c>
      <c r="B669" s="50">
        <v>45027.8333571296</v>
      </c>
      <c r="C669" s="51">
        <v>1.073</v>
      </c>
      <c r="D669" s="51">
        <v>61.0</v>
      </c>
      <c r="E669" s="52" t="s">
        <v>25</v>
      </c>
      <c r="F669" s="52" t="s">
        <v>26</v>
      </c>
      <c r="G669" s="54"/>
    </row>
    <row r="670">
      <c r="A670" s="49">
        <v>45027.718804502314</v>
      </c>
      <c r="B670" s="50">
        <v>45027.8437778703</v>
      </c>
      <c r="C670" s="51">
        <v>1.073</v>
      </c>
      <c r="D670" s="51">
        <v>61.0</v>
      </c>
      <c r="E670" s="52" t="s">
        <v>25</v>
      </c>
      <c r="F670" s="52" t="s">
        <v>26</v>
      </c>
      <c r="G670" s="54"/>
    </row>
    <row r="671">
      <c r="A671" s="49">
        <v>45027.72924425926</v>
      </c>
      <c r="B671" s="50">
        <v>45027.8542094097</v>
      </c>
      <c r="C671" s="51">
        <v>1.073</v>
      </c>
      <c r="D671" s="51">
        <v>61.0</v>
      </c>
      <c r="E671" s="52" t="s">
        <v>25</v>
      </c>
      <c r="F671" s="52" t="s">
        <v>26</v>
      </c>
      <c r="G671" s="54"/>
    </row>
    <row r="672">
      <c r="A672" s="49">
        <v>45027.73967119213</v>
      </c>
      <c r="B672" s="50">
        <v>45027.8646419907</v>
      </c>
      <c r="C672" s="51">
        <v>1.073</v>
      </c>
      <c r="D672" s="51">
        <v>61.0</v>
      </c>
      <c r="E672" s="52" t="s">
        <v>25</v>
      </c>
      <c r="F672" s="52" t="s">
        <v>26</v>
      </c>
      <c r="G672" s="54"/>
    </row>
    <row r="673">
      <c r="A673" s="49">
        <v>45027.75008388889</v>
      </c>
      <c r="B673" s="50">
        <v>45027.8750633796</v>
      </c>
      <c r="C673" s="51">
        <v>1.073</v>
      </c>
      <c r="D673" s="51">
        <v>61.0</v>
      </c>
      <c r="E673" s="52" t="s">
        <v>25</v>
      </c>
      <c r="F673" s="52" t="s">
        <v>26</v>
      </c>
      <c r="G673" s="54"/>
    </row>
    <row r="674">
      <c r="A674" s="49">
        <v>45027.760514444446</v>
      </c>
      <c r="B674" s="50">
        <v>45027.8854830324</v>
      </c>
      <c r="C674" s="51">
        <v>1.073</v>
      </c>
      <c r="D674" s="51">
        <v>61.0</v>
      </c>
      <c r="E674" s="52" t="s">
        <v>25</v>
      </c>
      <c r="F674" s="52" t="s">
        <v>26</v>
      </c>
      <c r="G674" s="54"/>
    </row>
    <row r="675">
      <c r="A675" s="49">
        <v>45027.77093056713</v>
      </c>
      <c r="B675" s="50">
        <v>45027.8959053356</v>
      </c>
      <c r="C675" s="51">
        <v>1.073</v>
      </c>
      <c r="D675" s="51">
        <v>61.0</v>
      </c>
      <c r="E675" s="52" t="s">
        <v>25</v>
      </c>
      <c r="F675" s="52" t="s">
        <v>26</v>
      </c>
      <c r="G675" s="54"/>
    </row>
    <row r="676">
      <c r="A676" s="49">
        <v>45027.78135225695</v>
      </c>
      <c r="B676" s="50">
        <v>45027.9063261574</v>
      </c>
      <c r="C676" s="51">
        <v>1.073</v>
      </c>
      <c r="D676" s="51">
        <v>61.0</v>
      </c>
      <c r="E676" s="52" t="s">
        <v>25</v>
      </c>
      <c r="F676" s="52" t="s">
        <v>26</v>
      </c>
      <c r="G676" s="54"/>
    </row>
    <row r="677">
      <c r="A677" s="49">
        <v>45027.79176910879</v>
      </c>
      <c r="B677" s="50">
        <v>45027.9167465046</v>
      </c>
      <c r="C677" s="51">
        <v>1.073</v>
      </c>
      <c r="D677" s="51">
        <v>61.0</v>
      </c>
      <c r="E677" s="52" t="s">
        <v>25</v>
      </c>
      <c r="F677" s="52" t="s">
        <v>26</v>
      </c>
      <c r="G677" s="54"/>
    </row>
    <row r="678">
      <c r="A678" s="49">
        <v>45027.802185925924</v>
      </c>
      <c r="B678" s="50">
        <v>45027.9271671643</v>
      </c>
      <c r="C678" s="51">
        <v>1.073</v>
      </c>
      <c r="D678" s="51">
        <v>61.0</v>
      </c>
      <c r="E678" s="52" t="s">
        <v>25</v>
      </c>
      <c r="F678" s="52" t="s">
        <v>26</v>
      </c>
      <c r="G678" s="54"/>
    </row>
    <row r="679">
      <c r="A679" s="49">
        <v>45027.81262082176</v>
      </c>
      <c r="B679" s="50">
        <v>45027.9375906713</v>
      </c>
      <c r="C679" s="51">
        <v>1.073</v>
      </c>
      <c r="D679" s="51">
        <v>61.0</v>
      </c>
      <c r="E679" s="52" t="s">
        <v>25</v>
      </c>
      <c r="F679" s="52" t="s">
        <v>26</v>
      </c>
      <c r="G679" s="54"/>
    </row>
    <row r="680">
      <c r="A680" s="49">
        <v>45027.8230425</v>
      </c>
      <c r="B680" s="50">
        <v>45027.9480115046</v>
      </c>
      <c r="C680" s="51">
        <v>1.073</v>
      </c>
      <c r="D680" s="51">
        <v>61.0</v>
      </c>
      <c r="E680" s="52" t="s">
        <v>25</v>
      </c>
      <c r="F680" s="52" t="s">
        <v>26</v>
      </c>
      <c r="G680" s="54"/>
    </row>
    <row r="681">
      <c r="A681" s="49">
        <v>45027.83346171296</v>
      </c>
      <c r="B681" s="50">
        <v>45027.958434155</v>
      </c>
      <c r="C681" s="51">
        <v>1.073</v>
      </c>
      <c r="D681" s="51">
        <v>61.0</v>
      </c>
      <c r="E681" s="52" t="s">
        <v>25</v>
      </c>
      <c r="F681" s="52" t="s">
        <v>26</v>
      </c>
      <c r="G681" s="54"/>
    </row>
    <row r="682">
      <c r="A682" s="49">
        <v>45027.84388508102</v>
      </c>
      <c r="B682" s="50">
        <v>45027.9688673958</v>
      </c>
      <c r="C682" s="51">
        <v>1.073</v>
      </c>
      <c r="D682" s="51">
        <v>61.0</v>
      </c>
      <c r="E682" s="52" t="s">
        <v>25</v>
      </c>
      <c r="F682" s="52" t="s">
        <v>26</v>
      </c>
      <c r="G682" s="54"/>
    </row>
    <row r="683">
      <c r="A683" s="49">
        <v>45027.854319826394</v>
      </c>
      <c r="B683" s="50">
        <v>45027.9792897338</v>
      </c>
      <c r="C683" s="51">
        <v>1.073</v>
      </c>
      <c r="D683" s="51">
        <v>61.0</v>
      </c>
      <c r="E683" s="52" t="s">
        <v>25</v>
      </c>
      <c r="F683" s="52" t="s">
        <v>26</v>
      </c>
      <c r="G683" s="54"/>
    </row>
    <row r="684">
      <c r="A684" s="49">
        <v>45027.86473552084</v>
      </c>
      <c r="B684" s="50">
        <v>45027.9897123379</v>
      </c>
      <c r="C684" s="51">
        <v>1.073</v>
      </c>
      <c r="D684" s="51">
        <v>61.0</v>
      </c>
      <c r="E684" s="52" t="s">
        <v>25</v>
      </c>
      <c r="F684" s="52" t="s">
        <v>26</v>
      </c>
      <c r="G684" s="54"/>
    </row>
    <row r="685">
      <c r="A685" s="49">
        <v>45027.875184675926</v>
      </c>
      <c r="B685" s="50">
        <v>45028.0001571875</v>
      </c>
      <c r="C685" s="51">
        <v>1.073</v>
      </c>
      <c r="D685" s="51">
        <v>61.0</v>
      </c>
      <c r="E685" s="52" t="s">
        <v>25</v>
      </c>
      <c r="F685" s="52" t="s">
        <v>26</v>
      </c>
      <c r="G685" s="54"/>
    </row>
    <row r="686">
      <c r="A686" s="49">
        <v>45027.88560140046</v>
      </c>
      <c r="B686" s="50">
        <v>45028.0105787037</v>
      </c>
      <c r="C686" s="51">
        <v>1.072</v>
      </c>
      <c r="D686" s="51">
        <v>61.0</v>
      </c>
      <c r="E686" s="52" t="s">
        <v>25</v>
      </c>
      <c r="F686" s="52" t="s">
        <v>26</v>
      </c>
      <c r="G686" s="54"/>
    </row>
    <row r="687">
      <c r="A687" s="49">
        <v>45027.89602230324</v>
      </c>
      <c r="B687" s="50">
        <v>45028.0209992824</v>
      </c>
      <c r="C687" s="51">
        <v>1.072</v>
      </c>
      <c r="D687" s="51">
        <v>61.0</v>
      </c>
      <c r="E687" s="52" t="s">
        <v>25</v>
      </c>
      <c r="F687" s="52" t="s">
        <v>26</v>
      </c>
      <c r="G687" s="54"/>
    </row>
    <row r="688">
      <c r="A688" s="49">
        <v>45027.906471979164</v>
      </c>
      <c r="B688" s="50">
        <v>45028.0314200926</v>
      </c>
      <c r="C688" s="51">
        <v>1.072</v>
      </c>
      <c r="D688" s="51">
        <v>61.0</v>
      </c>
      <c r="E688" s="52" t="s">
        <v>25</v>
      </c>
      <c r="F688" s="52" t="s">
        <v>26</v>
      </c>
      <c r="G688" s="54"/>
    </row>
    <row r="689">
      <c r="A689" s="49">
        <v>45027.91686574074</v>
      </c>
      <c r="B689" s="50">
        <v>45028.0418420717</v>
      </c>
      <c r="C689" s="51">
        <v>1.072</v>
      </c>
      <c r="D689" s="51">
        <v>61.0</v>
      </c>
      <c r="E689" s="52" t="s">
        <v>25</v>
      </c>
      <c r="F689" s="52" t="s">
        <v>26</v>
      </c>
      <c r="G689" s="54"/>
    </row>
    <row r="690">
      <c r="A690" s="49">
        <v>45027.92728747685</v>
      </c>
      <c r="B690" s="50">
        <v>45028.0522619444</v>
      </c>
      <c r="C690" s="51">
        <v>1.072</v>
      </c>
      <c r="D690" s="51">
        <v>61.0</v>
      </c>
      <c r="E690" s="52" t="s">
        <v>25</v>
      </c>
      <c r="F690" s="52" t="s">
        <v>26</v>
      </c>
      <c r="G690" s="54"/>
    </row>
    <row r="691">
      <c r="A691" s="49">
        <v>45027.937712175924</v>
      </c>
      <c r="B691" s="50">
        <v>45028.0626830092</v>
      </c>
      <c r="C691" s="51">
        <v>1.072</v>
      </c>
      <c r="D691" s="51">
        <v>61.0</v>
      </c>
      <c r="E691" s="52" t="s">
        <v>25</v>
      </c>
      <c r="F691" s="52" t="s">
        <v>26</v>
      </c>
      <c r="G691" s="54"/>
    </row>
    <row r="692">
      <c r="A692" s="49">
        <v>45027.94813680556</v>
      </c>
      <c r="B692" s="50">
        <v>45028.073105</v>
      </c>
      <c r="C692" s="51">
        <v>1.072</v>
      </c>
      <c r="D692" s="51">
        <v>61.0</v>
      </c>
      <c r="E692" s="52" t="s">
        <v>25</v>
      </c>
      <c r="F692" s="52" t="s">
        <v>26</v>
      </c>
      <c r="G692" s="54"/>
    </row>
    <row r="693">
      <c r="A693" s="49">
        <v>45027.95854989583</v>
      </c>
      <c r="B693" s="50">
        <v>45028.083526493</v>
      </c>
      <c r="C693" s="51">
        <v>1.072</v>
      </c>
      <c r="D693" s="51">
        <v>61.0</v>
      </c>
      <c r="E693" s="52" t="s">
        <v>25</v>
      </c>
      <c r="F693" s="52" t="s">
        <v>26</v>
      </c>
      <c r="G693" s="54"/>
    </row>
    <row r="694">
      <c r="A694" s="49">
        <v>45027.96897984954</v>
      </c>
      <c r="B694" s="50">
        <v>45028.0939475115</v>
      </c>
      <c r="C694" s="51">
        <v>1.072</v>
      </c>
      <c r="D694" s="51">
        <v>61.0</v>
      </c>
      <c r="E694" s="52" t="s">
        <v>25</v>
      </c>
      <c r="F694" s="52" t="s">
        <v>26</v>
      </c>
      <c r="G694" s="54"/>
    </row>
    <row r="695">
      <c r="A695" s="49">
        <v>45027.97940951389</v>
      </c>
      <c r="B695" s="50">
        <v>45028.1043826504</v>
      </c>
      <c r="C695" s="51">
        <v>1.072</v>
      </c>
      <c r="D695" s="51">
        <v>61.0</v>
      </c>
      <c r="E695" s="52" t="s">
        <v>25</v>
      </c>
      <c r="F695" s="52" t="s">
        <v>26</v>
      </c>
      <c r="G695" s="54"/>
    </row>
    <row r="696">
      <c r="A696" s="49">
        <v>45027.98983359954</v>
      </c>
      <c r="B696" s="50">
        <v>45028.1148047453</v>
      </c>
      <c r="C696" s="51">
        <v>1.072</v>
      </c>
      <c r="D696" s="51">
        <v>61.0</v>
      </c>
      <c r="E696" s="52" t="s">
        <v>25</v>
      </c>
      <c r="F696" s="52" t="s">
        <v>26</v>
      </c>
      <c r="G696" s="54"/>
    </row>
    <row r="697">
      <c r="A697" s="49">
        <v>45028.000276203704</v>
      </c>
      <c r="B697" s="50">
        <v>45028.1252486921</v>
      </c>
      <c r="C697" s="51">
        <v>1.072</v>
      </c>
      <c r="D697" s="51">
        <v>61.0</v>
      </c>
      <c r="E697" s="52" t="s">
        <v>25</v>
      </c>
      <c r="F697" s="52" t="s">
        <v>26</v>
      </c>
      <c r="G697" s="54"/>
    </row>
    <row r="698">
      <c r="A698" s="49">
        <v>45028.01069570602</v>
      </c>
      <c r="B698" s="50">
        <v>45028.1356697916</v>
      </c>
      <c r="C698" s="51">
        <v>1.072</v>
      </c>
      <c r="D698" s="51">
        <v>61.0</v>
      </c>
      <c r="E698" s="52" t="s">
        <v>25</v>
      </c>
      <c r="F698" s="52" t="s">
        <v>26</v>
      </c>
      <c r="G698" s="54"/>
    </row>
    <row r="699">
      <c r="A699" s="49">
        <v>45028.02111202547</v>
      </c>
      <c r="B699" s="50">
        <v>45028.1460911111</v>
      </c>
      <c r="C699" s="51">
        <v>1.072</v>
      </c>
      <c r="D699" s="51">
        <v>61.0</v>
      </c>
      <c r="E699" s="52" t="s">
        <v>25</v>
      </c>
      <c r="F699" s="52" t="s">
        <v>26</v>
      </c>
      <c r="G699" s="54"/>
    </row>
    <row r="700">
      <c r="A700" s="49">
        <v>45028.031543749996</v>
      </c>
      <c r="B700" s="50">
        <v>45028.1565133333</v>
      </c>
      <c r="C700" s="51">
        <v>1.072</v>
      </c>
      <c r="D700" s="51">
        <v>61.0</v>
      </c>
      <c r="E700" s="52" t="s">
        <v>25</v>
      </c>
      <c r="F700" s="52" t="s">
        <v>26</v>
      </c>
      <c r="G700" s="54"/>
    </row>
    <row r="701">
      <c r="A701" s="49">
        <v>45028.041977395835</v>
      </c>
      <c r="B701" s="50">
        <v>45028.1669467361</v>
      </c>
      <c r="C701" s="51">
        <v>1.072</v>
      </c>
      <c r="D701" s="51">
        <v>61.0</v>
      </c>
      <c r="E701" s="52" t="s">
        <v>25</v>
      </c>
      <c r="F701" s="52" t="s">
        <v>26</v>
      </c>
      <c r="G701" s="54"/>
    </row>
    <row r="702">
      <c r="A702" s="49">
        <v>45028.052402326386</v>
      </c>
      <c r="B702" s="50">
        <v>45028.177381331</v>
      </c>
      <c r="C702" s="51">
        <v>1.072</v>
      </c>
      <c r="D702" s="51">
        <v>61.0</v>
      </c>
      <c r="E702" s="52" t="s">
        <v>25</v>
      </c>
      <c r="F702" s="52" t="s">
        <v>26</v>
      </c>
      <c r="G702" s="54"/>
    </row>
    <row r="703">
      <c r="A703" s="49">
        <v>45028.062826458336</v>
      </c>
      <c r="B703" s="50">
        <v>45028.1878026967</v>
      </c>
      <c r="C703" s="51">
        <v>1.071</v>
      </c>
      <c r="D703" s="51">
        <v>61.0</v>
      </c>
      <c r="E703" s="52" t="s">
        <v>25</v>
      </c>
      <c r="F703" s="52" t="s">
        <v>26</v>
      </c>
      <c r="G703" s="54"/>
    </row>
    <row r="704">
      <c r="A704" s="49">
        <v>45028.07324828704</v>
      </c>
      <c r="B704" s="50">
        <v>45028.1982246759</v>
      </c>
      <c r="C704" s="51">
        <v>1.072</v>
      </c>
      <c r="D704" s="51">
        <v>61.0</v>
      </c>
      <c r="E704" s="52" t="s">
        <v>25</v>
      </c>
      <c r="F704" s="52" t="s">
        <v>26</v>
      </c>
      <c r="G704" s="54"/>
    </row>
    <row r="705">
      <c r="A705" s="49">
        <v>45028.08368626157</v>
      </c>
      <c r="B705" s="50">
        <v>45028.208656331</v>
      </c>
      <c r="C705" s="51">
        <v>1.072</v>
      </c>
      <c r="D705" s="51">
        <v>61.0</v>
      </c>
      <c r="E705" s="52" t="s">
        <v>25</v>
      </c>
      <c r="F705" s="52" t="s">
        <v>26</v>
      </c>
      <c r="G705" s="54"/>
    </row>
    <row r="706">
      <c r="A706" s="49">
        <v>45028.094106516204</v>
      </c>
      <c r="B706" s="50">
        <v>45028.219077199</v>
      </c>
      <c r="C706" s="51">
        <v>1.071</v>
      </c>
      <c r="D706" s="51">
        <v>61.0</v>
      </c>
      <c r="E706" s="52" t="s">
        <v>25</v>
      </c>
      <c r="F706" s="52" t="s">
        <v>26</v>
      </c>
      <c r="G706" s="54"/>
    </row>
    <row r="707">
      <c r="A707" s="49">
        <v>45028.104539340275</v>
      </c>
      <c r="B707" s="50">
        <v>45028.2295092245</v>
      </c>
      <c r="C707" s="51">
        <v>1.072</v>
      </c>
      <c r="D707" s="51">
        <v>61.0</v>
      </c>
      <c r="E707" s="52" t="s">
        <v>25</v>
      </c>
      <c r="F707" s="52" t="s">
        <v>26</v>
      </c>
      <c r="G707" s="54"/>
    </row>
    <row r="708">
      <c r="A708" s="49">
        <v>45028.11495853009</v>
      </c>
      <c r="B708" s="50">
        <v>45028.2399292708</v>
      </c>
      <c r="C708" s="51">
        <v>1.072</v>
      </c>
      <c r="D708" s="51">
        <v>61.0</v>
      </c>
      <c r="E708" s="52" t="s">
        <v>25</v>
      </c>
      <c r="F708" s="52" t="s">
        <v>26</v>
      </c>
      <c r="G708" s="54"/>
    </row>
    <row r="709">
      <c r="A709" s="49">
        <v>45028.12538724537</v>
      </c>
      <c r="B709" s="50">
        <v>45028.2503508796</v>
      </c>
      <c r="C709" s="51">
        <v>1.071</v>
      </c>
      <c r="D709" s="51">
        <v>61.0</v>
      </c>
      <c r="E709" s="52" t="s">
        <v>25</v>
      </c>
      <c r="F709" s="52" t="s">
        <v>26</v>
      </c>
      <c r="G709" s="54"/>
    </row>
    <row r="710">
      <c r="A710" s="49">
        <v>45028.135803680554</v>
      </c>
      <c r="B710" s="50">
        <v>45028.2607730671</v>
      </c>
      <c r="C710" s="51">
        <v>1.071</v>
      </c>
      <c r="D710" s="51">
        <v>61.0</v>
      </c>
      <c r="E710" s="52" t="s">
        <v>25</v>
      </c>
      <c r="F710" s="52" t="s">
        <v>26</v>
      </c>
      <c r="G710" s="54"/>
    </row>
    <row r="711">
      <c r="A711" s="49">
        <v>45028.146220462964</v>
      </c>
      <c r="B711" s="50">
        <v>45028.2711950578</v>
      </c>
      <c r="C711" s="51">
        <v>1.071</v>
      </c>
      <c r="D711" s="51">
        <v>61.0</v>
      </c>
      <c r="E711" s="52" t="s">
        <v>25</v>
      </c>
      <c r="F711" s="52" t="s">
        <v>26</v>
      </c>
      <c r="G711" s="54"/>
    </row>
    <row r="712">
      <c r="A712" s="49">
        <v>45028.15663332176</v>
      </c>
      <c r="B712" s="50">
        <v>45028.2816141088</v>
      </c>
      <c r="C712" s="51">
        <v>1.071</v>
      </c>
      <c r="D712" s="51">
        <v>61.0</v>
      </c>
      <c r="E712" s="52" t="s">
        <v>25</v>
      </c>
      <c r="F712" s="52" t="s">
        <v>26</v>
      </c>
      <c r="G712" s="54"/>
    </row>
    <row r="713">
      <c r="A713" s="49">
        <v>45028.167079004634</v>
      </c>
      <c r="B713" s="50">
        <v>45028.2920481365</v>
      </c>
      <c r="C713" s="51">
        <v>1.071</v>
      </c>
      <c r="D713" s="51">
        <v>61.0</v>
      </c>
      <c r="E713" s="52" t="s">
        <v>25</v>
      </c>
      <c r="F713" s="52" t="s">
        <v>26</v>
      </c>
      <c r="G713" s="54"/>
    </row>
    <row r="714">
      <c r="A714" s="49">
        <v>45028.17751858797</v>
      </c>
      <c r="B714" s="50">
        <v>45028.3024920254</v>
      </c>
      <c r="C714" s="51">
        <v>1.071</v>
      </c>
      <c r="D714" s="51">
        <v>61.0</v>
      </c>
      <c r="E714" s="52" t="s">
        <v>25</v>
      </c>
      <c r="F714" s="52" t="s">
        <v>26</v>
      </c>
      <c r="G714" s="54"/>
    </row>
    <row r="715">
      <c r="A715" s="49">
        <v>45028.18794618055</v>
      </c>
      <c r="B715" s="50">
        <v>45028.3129114004</v>
      </c>
      <c r="C715" s="51">
        <v>1.071</v>
      </c>
      <c r="D715" s="51">
        <v>61.0</v>
      </c>
      <c r="E715" s="52" t="s">
        <v>25</v>
      </c>
      <c r="F715" s="52" t="s">
        <v>26</v>
      </c>
      <c r="G715" s="54"/>
    </row>
    <row r="716">
      <c r="A716" s="49">
        <v>45028.19837543981</v>
      </c>
      <c r="B716" s="50">
        <v>45028.3233442245</v>
      </c>
      <c r="C716" s="51">
        <v>1.071</v>
      </c>
      <c r="D716" s="51">
        <v>61.0</v>
      </c>
      <c r="E716" s="52" t="s">
        <v>25</v>
      </c>
      <c r="F716" s="52" t="s">
        <v>26</v>
      </c>
      <c r="G716" s="54"/>
    </row>
    <row r="717">
      <c r="A717" s="49">
        <v>45028.20879417824</v>
      </c>
      <c r="B717" s="50">
        <v>45028.3337656944</v>
      </c>
      <c r="C717" s="51">
        <v>1.071</v>
      </c>
      <c r="D717" s="51">
        <v>61.0</v>
      </c>
      <c r="E717" s="52" t="s">
        <v>25</v>
      </c>
      <c r="F717" s="52" t="s">
        <v>26</v>
      </c>
      <c r="G717" s="54"/>
    </row>
    <row r="718">
      <c r="A718" s="49">
        <v>45028.21923016204</v>
      </c>
      <c r="B718" s="50">
        <v>45028.3441870601</v>
      </c>
      <c r="C718" s="51">
        <v>1.071</v>
      </c>
      <c r="D718" s="51">
        <v>61.0</v>
      </c>
      <c r="E718" s="52" t="s">
        <v>25</v>
      </c>
      <c r="F718" s="52" t="s">
        <v>26</v>
      </c>
      <c r="G718" s="54"/>
    </row>
    <row r="719">
      <c r="A719" s="49">
        <v>45028.22963598379</v>
      </c>
      <c r="B719" s="50">
        <v>45028.3546090856</v>
      </c>
      <c r="C719" s="51">
        <v>1.071</v>
      </c>
      <c r="D719" s="51">
        <v>61.0</v>
      </c>
      <c r="E719" s="52" t="s">
        <v>25</v>
      </c>
      <c r="F719" s="52" t="s">
        <v>26</v>
      </c>
      <c r="G719" s="54"/>
    </row>
    <row r="720">
      <c r="A720" s="49">
        <v>45028.24005881944</v>
      </c>
      <c r="B720" s="50">
        <v>45028.3650305208</v>
      </c>
      <c r="C720" s="51">
        <v>1.071</v>
      </c>
      <c r="D720" s="51">
        <v>61.0</v>
      </c>
      <c r="E720" s="52" t="s">
        <v>25</v>
      </c>
      <c r="F720" s="52" t="s">
        <v>26</v>
      </c>
      <c r="G720" s="54"/>
    </row>
    <row r="721">
      <c r="A721" s="49">
        <v>45028.25049064815</v>
      </c>
      <c r="B721" s="50">
        <v>45028.3754633912</v>
      </c>
      <c r="C721" s="51">
        <v>1.071</v>
      </c>
      <c r="D721" s="51">
        <v>61.0</v>
      </c>
      <c r="E721" s="52" t="s">
        <v>25</v>
      </c>
      <c r="F721" s="52" t="s">
        <v>26</v>
      </c>
      <c r="G721" s="54"/>
    </row>
    <row r="722">
      <c r="A722" s="49">
        <v>45028.26091913195</v>
      </c>
      <c r="B722" s="50">
        <v>45028.385885</v>
      </c>
      <c r="C722" s="51">
        <v>1.071</v>
      </c>
      <c r="D722" s="51">
        <v>61.0</v>
      </c>
      <c r="E722" s="52" t="s">
        <v>25</v>
      </c>
      <c r="F722" s="52" t="s">
        <v>26</v>
      </c>
      <c r="G722" s="54"/>
    </row>
    <row r="723">
      <c r="A723" s="49">
        <v>45028.271332233795</v>
      </c>
      <c r="B723" s="50">
        <v>45028.3963053703</v>
      </c>
      <c r="C723" s="51">
        <v>1.071</v>
      </c>
      <c r="D723" s="51">
        <v>61.0</v>
      </c>
      <c r="E723" s="52" t="s">
        <v>25</v>
      </c>
      <c r="F723" s="52" t="s">
        <v>26</v>
      </c>
      <c r="G723" s="54"/>
    </row>
    <row r="724">
      <c r="A724" s="49">
        <v>45028.28175065972</v>
      </c>
      <c r="B724" s="50">
        <v>45028.4067255555</v>
      </c>
      <c r="C724" s="51">
        <v>1.071</v>
      </c>
      <c r="D724" s="51">
        <v>61.0</v>
      </c>
      <c r="E724" s="52" t="s">
        <v>25</v>
      </c>
      <c r="F724" s="52" t="s">
        <v>26</v>
      </c>
      <c r="G724" s="54"/>
    </row>
    <row r="725">
      <c r="A725" s="49">
        <v>45028.29218163194</v>
      </c>
      <c r="B725" s="50">
        <v>45028.4171461342</v>
      </c>
      <c r="C725" s="51">
        <v>1.071</v>
      </c>
      <c r="D725" s="51">
        <v>62.0</v>
      </c>
      <c r="E725" s="52" t="s">
        <v>25</v>
      </c>
      <c r="F725" s="52" t="s">
        <v>26</v>
      </c>
      <c r="G725" s="54"/>
    </row>
    <row r="726">
      <c r="A726" s="49">
        <v>45028.302633900465</v>
      </c>
      <c r="B726" s="50">
        <v>45028.42760375</v>
      </c>
      <c r="C726" s="51">
        <v>1.071</v>
      </c>
      <c r="D726" s="51">
        <v>61.0</v>
      </c>
      <c r="E726" s="52" t="s">
        <v>25</v>
      </c>
      <c r="F726" s="52" t="s">
        <v>26</v>
      </c>
      <c r="G726" s="54"/>
    </row>
    <row r="727">
      <c r="A727" s="49">
        <v>45028.31305677083</v>
      </c>
      <c r="B727" s="50">
        <v>45028.4380247569</v>
      </c>
      <c r="C727" s="51">
        <v>1.071</v>
      </c>
      <c r="D727" s="51">
        <v>61.0</v>
      </c>
      <c r="E727" s="52" t="s">
        <v>25</v>
      </c>
      <c r="F727" s="52" t="s">
        <v>26</v>
      </c>
      <c r="G727" s="54"/>
    </row>
    <row r="728">
      <c r="A728" s="49">
        <v>45028.32347849537</v>
      </c>
      <c r="B728" s="50">
        <v>45028.4484454745</v>
      </c>
      <c r="C728" s="51">
        <v>1.071</v>
      </c>
      <c r="D728" s="51">
        <v>61.0</v>
      </c>
      <c r="E728" s="52" t="s">
        <v>25</v>
      </c>
      <c r="F728" s="52" t="s">
        <v>26</v>
      </c>
      <c r="G728" s="54"/>
    </row>
    <row r="729">
      <c r="A729" s="49">
        <v>45028.33389673611</v>
      </c>
      <c r="B729" s="50">
        <v>45028.4588660301</v>
      </c>
      <c r="C729" s="51">
        <v>1.071</v>
      </c>
      <c r="D729" s="51">
        <v>61.0</v>
      </c>
      <c r="E729" s="52" t="s">
        <v>25</v>
      </c>
      <c r="F729" s="52" t="s">
        <v>26</v>
      </c>
      <c r="G729" s="54"/>
    </row>
    <row r="730">
      <c r="A730" s="49">
        <v>45028.34431777778</v>
      </c>
      <c r="B730" s="50">
        <v>45028.4692860532</v>
      </c>
      <c r="C730" s="51">
        <v>1.071</v>
      </c>
      <c r="D730" s="51">
        <v>61.0</v>
      </c>
      <c r="E730" s="52" t="s">
        <v>25</v>
      </c>
      <c r="F730" s="52" t="s">
        <v>26</v>
      </c>
      <c r="G730" s="54"/>
    </row>
    <row r="731">
      <c r="A731" s="49">
        <v>45028.354742337964</v>
      </c>
      <c r="B731" s="50">
        <v>45028.4797199768</v>
      </c>
      <c r="C731" s="51">
        <v>1.071</v>
      </c>
      <c r="D731" s="51">
        <v>62.0</v>
      </c>
      <c r="E731" s="52" t="s">
        <v>25</v>
      </c>
      <c r="F731" s="52" t="s">
        <v>26</v>
      </c>
      <c r="G731" s="54"/>
    </row>
    <row r="732">
      <c r="A732" s="49">
        <v>45028.36516783565</v>
      </c>
      <c r="B732" s="50">
        <v>45028.4901418981</v>
      </c>
      <c r="C732" s="51">
        <v>1.071</v>
      </c>
      <c r="D732" s="51">
        <v>62.0</v>
      </c>
      <c r="E732" s="52" t="s">
        <v>25</v>
      </c>
      <c r="F732" s="52" t="s">
        <v>26</v>
      </c>
      <c r="G732" s="54"/>
    </row>
    <row r="733">
      <c r="A733" s="49">
        <v>45028.37560965278</v>
      </c>
      <c r="B733" s="50">
        <v>45028.5005765393</v>
      </c>
      <c r="C733" s="51">
        <v>1.07</v>
      </c>
      <c r="D733" s="51">
        <v>61.0</v>
      </c>
      <c r="E733" s="52" t="s">
        <v>25</v>
      </c>
      <c r="F733" s="52" t="s">
        <v>26</v>
      </c>
      <c r="G733" s="54"/>
    </row>
    <row r="734">
      <c r="A734" s="49">
        <v>45028.38602755787</v>
      </c>
      <c r="B734" s="50">
        <v>45028.5109984143</v>
      </c>
      <c r="C734" s="51">
        <v>1.07</v>
      </c>
      <c r="D734" s="51">
        <v>61.0</v>
      </c>
      <c r="E734" s="52" t="s">
        <v>25</v>
      </c>
      <c r="F734" s="52" t="s">
        <v>26</v>
      </c>
      <c r="G734" s="54"/>
    </row>
    <row r="735">
      <c r="A735" s="49">
        <v>45028.39644269676</v>
      </c>
      <c r="B735" s="50">
        <v>45028.5214185532</v>
      </c>
      <c r="C735" s="51">
        <v>1.07</v>
      </c>
      <c r="D735" s="51">
        <v>61.0</v>
      </c>
      <c r="E735" s="52" t="s">
        <v>25</v>
      </c>
      <c r="F735" s="52" t="s">
        <v>26</v>
      </c>
      <c r="G735" s="54"/>
    </row>
    <row r="736">
      <c r="A736" s="49">
        <v>45028.40687295139</v>
      </c>
      <c r="B736" s="50">
        <v>45028.531839618</v>
      </c>
      <c r="C736" s="51">
        <v>1.07</v>
      </c>
      <c r="D736" s="51">
        <v>62.0</v>
      </c>
      <c r="E736" s="52" t="s">
        <v>25</v>
      </c>
      <c r="F736" s="52" t="s">
        <v>26</v>
      </c>
      <c r="G736" s="54"/>
    </row>
    <row r="737">
      <c r="A737" s="49">
        <v>45028.417303368056</v>
      </c>
      <c r="B737" s="50">
        <v>45028.5422709259</v>
      </c>
      <c r="C737" s="51">
        <v>1.07</v>
      </c>
      <c r="D737" s="51">
        <v>61.0</v>
      </c>
      <c r="E737" s="52" t="s">
        <v>25</v>
      </c>
      <c r="F737" s="52" t="s">
        <v>26</v>
      </c>
      <c r="G737" s="54"/>
    </row>
    <row r="738">
      <c r="A738" s="49">
        <v>45028.42771982639</v>
      </c>
      <c r="B738" s="50">
        <v>45028.5526934722</v>
      </c>
      <c r="C738" s="51">
        <v>1.07</v>
      </c>
      <c r="D738" s="51">
        <v>62.0</v>
      </c>
      <c r="E738" s="52" t="s">
        <v>25</v>
      </c>
      <c r="F738" s="52" t="s">
        <v>26</v>
      </c>
      <c r="G738" s="54"/>
    </row>
    <row r="739">
      <c r="A739" s="49">
        <v>45028.43815945602</v>
      </c>
      <c r="B739" s="50">
        <v>45028.5631361226</v>
      </c>
      <c r="C739" s="51">
        <v>1.07</v>
      </c>
      <c r="D739" s="51">
        <v>62.0</v>
      </c>
      <c r="E739" s="52" t="s">
        <v>25</v>
      </c>
      <c r="F739" s="52" t="s">
        <v>26</v>
      </c>
      <c r="G739" s="54"/>
    </row>
    <row r="740">
      <c r="A740" s="49">
        <v>45028.4486034838</v>
      </c>
      <c r="B740" s="50">
        <v>45028.573556655</v>
      </c>
      <c r="C740" s="51">
        <v>1.07</v>
      </c>
      <c r="D740" s="51">
        <v>62.0</v>
      </c>
      <c r="E740" s="52" t="s">
        <v>25</v>
      </c>
      <c r="F740" s="52" t="s">
        <v>26</v>
      </c>
      <c r="G740" s="54"/>
    </row>
    <row r="741">
      <c r="A741" s="49">
        <v>45028.45900353009</v>
      </c>
      <c r="B741" s="50">
        <v>45028.5839774074</v>
      </c>
      <c r="C741" s="51">
        <v>1.07</v>
      </c>
      <c r="D741" s="51">
        <v>62.0</v>
      </c>
      <c r="E741" s="52" t="s">
        <v>25</v>
      </c>
      <c r="F741" s="52" t="s">
        <v>26</v>
      </c>
      <c r="G741" s="54"/>
    </row>
    <row r="742">
      <c r="A742" s="49">
        <v>45028.469435833336</v>
      </c>
      <c r="B742" s="50">
        <v>45028.5944084259</v>
      </c>
      <c r="C742" s="51">
        <v>1.07</v>
      </c>
      <c r="D742" s="51">
        <v>62.0</v>
      </c>
      <c r="E742" s="52" t="s">
        <v>25</v>
      </c>
      <c r="F742" s="52" t="s">
        <v>26</v>
      </c>
      <c r="G742" s="54"/>
    </row>
    <row r="743">
      <c r="A743" s="49">
        <v>45028.479857592596</v>
      </c>
      <c r="B743" s="50">
        <v>45028.6048296412</v>
      </c>
      <c r="C743" s="51">
        <v>1.07</v>
      </c>
      <c r="D743" s="51">
        <v>62.0</v>
      </c>
      <c r="E743" s="52" t="s">
        <v>25</v>
      </c>
      <c r="F743" s="52" t="s">
        <v>26</v>
      </c>
      <c r="G743" s="54"/>
    </row>
    <row r="744">
      <c r="A744" s="49">
        <v>45028.49027634259</v>
      </c>
      <c r="B744" s="50">
        <v>45028.6152504861</v>
      </c>
      <c r="C744" s="51">
        <v>1.07</v>
      </c>
      <c r="D744" s="51">
        <v>62.0</v>
      </c>
      <c r="E744" s="52" t="s">
        <v>25</v>
      </c>
      <c r="F744" s="52" t="s">
        <v>26</v>
      </c>
      <c r="G744" s="54"/>
    </row>
    <row r="745">
      <c r="A745" s="49">
        <v>45028.50071143519</v>
      </c>
      <c r="B745" s="50">
        <v>45028.6256819444</v>
      </c>
      <c r="C745" s="51">
        <v>1.07</v>
      </c>
      <c r="D745" s="51">
        <v>62.0</v>
      </c>
      <c r="E745" s="52" t="s">
        <v>25</v>
      </c>
      <c r="F745" s="52" t="s">
        <v>26</v>
      </c>
      <c r="G745" s="54"/>
    </row>
    <row r="746">
      <c r="A746" s="49">
        <v>45028.51112952546</v>
      </c>
      <c r="B746" s="50">
        <v>45028.6361051388</v>
      </c>
      <c r="C746" s="51">
        <v>1.07</v>
      </c>
      <c r="D746" s="51">
        <v>62.0</v>
      </c>
      <c r="E746" s="52" t="s">
        <v>25</v>
      </c>
      <c r="F746" s="52" t="s">
        <v>26</v>
      </c>
      <c r="G746" s="54"/>
    </row>
    <row r="747">
      <c r="A747" s="49">
        <v>45028.52154402778</v>
      </c>
      <c r="B747" s="50">
        <v>45028.6465259606</v>
      </c>
      <c r="C747" s="51">
        <v>1.07</v>
      </c>
      <c r="D747" s="51">
        <v>62.0</v>
      </c>
      <c r="E747" s="52" t="s">
        <v>25</v>
      </c>
      <c r="F747" s="52" t="s">
        <v>26</v>
      </c>
      <c r="G747" s="54"/>
    </row>
    <row r="748">
      <c r="A748" s="49">
        <v>45028.53197107639</v>
      </c>
      <c r="B748" s="50">
        <v>45028.6569453703</v>
      </c>
      <c r="C748" s="51">
        <v>1.07</v>
      </c>
      <c r="D748" s="51">
        <v>62.0</v>
      </c>
      <c r="E748" s="52" t="s">
        <v>25</v>
      </c>
      <c r="F748" s="52" t="s">
        <v>26</v>
      </c>
      <c r="G748" s="54"/>
    </row>
    <row r="749">
      <c r="A749" s="49">
        <v>45028.5423967824</v>
      </c>
      <c r="B749" s="50">
        <v>45028.6673645949</v>
      </c>
      <c r="C749" s="51">
        <v>1.07</v>
      </c>
      <c r="D749" s="51">
        <v>62.0</v>
      </c>
      <c r="E749" s="52" t="s">
        <v>25</v>
      </c>
      <c r="F749" s="52" t="s">
        <v>26</v>
      </c>
      <c r="G749" s="54"/>
    </row>
    <row r="750">
      <c r="A750" s="49">
        <v>45028.55281518519</v>
      </c>
      <c r="B750" s="50">
        <v>45028.6777866898</v>
      </c>
      <c r="C750" s="51">
        <v>1.07</v>
      </c>
      <c r="D750" s="51">
        <v>62.0</v>
      </c>
      <c r="E750" s="52" t="s">
        <v>25</v>
      </c>
      <c r="F750" s="52" t="s">
        <v>26</v>
      </c>
      <c r="G750" s="54"/>
    </row>
    <row r="751">
      <c r="A751" s="49">
        <v>45028.56323346065</v>
      </c>
      <c r="B751" s="50">
        <v>45028.6882072338</v>
      </c>
      <c r="C751" s="51">
        <v>1.07</v>
      </c>
      <c r="D751" s="51">
        <v>62.0</v>
      </c>
      <c r="E751" s="52" t="s">
        <v>25</v>
      </c>
      <c r="F751" s="52" t="s">
        <v>26</v>
      </c>
      <c r="G751" s="54"/>
    </row>
    <row r="752">
      <c r="A752" s="49">
        <v>45028.57365622685</v>
      </c>
      <c r="B752" s="50">
        <v>45028.6986283449</v>
      </c>
      <c r="C752" s="51">
        <v>1.069</v>
      </c>
      <c r="D752" s="51">
        <v>62.0</v>
      </c>
      <c r="E752" s="52" t="s">
        <v>25</v>
      </c>
      <c r="F752" s="52" t="s">
        <v>26</v>
      </c>
      <c r="G752" s="54"/>
    </row>
    <row r="753">
      <c r="A753" s="49">
        <v>45028.58407953704</v>
      </c>
      <c r="B753" s="50">
        <v>45028.7090523611</v>
      </c>
      <c r="C753" s="51">
        <v>1.069</v>
      </c>
      <c r="D753" s="51">
        <v>62.0</v>
      </c>
      <c r="E753" s="52" t="s">
        <v>25</v>
      </c>
      <c r="F753" s="52" t="s">
        <v>26</v>
      </c>
      <c r="G753" s="54"/>
    </row>
    <row r="754">
      <c r="A754" s="49">
        <v>45028.594497384256</v>
      </c>
      <c r="B754" s="50">
        <v>45028.7194732638</v>
      </c>
      <c r="C754" s="51">
        <v>1.069</v>
      </c>
      <c r="D754" s="51">
        <v>62.0</v>
      </c>
      <c r="E754" s="52" t="s">
        <v>25</v>
      </c>
      <c r="F754" s="52" t="s">
        <v>26</v>
      </c>
      <c r="G754" s="54"/>
    </row>
    <row r="755">
      <c r="A755" s="49">
        <v>45028.6049359375</v>
      </c>
      <c r="B755" s="50">
        <v>45028.7299054976</v>
      </c>
      <c r="C755" s="51">
        <v>1.069</v>
      </c>
      <c r="D755" s="51">
        <v>62.0</v>
      </c>
      <c r="E755" s="52" t="s">
        <v>25</v>
      </c>
      <c r="F755" s="52" t="s">
        <v>26</v>
      </c>
      <c r="G755" s="54"/>
    </row>
    <row r="756">
      <c r="A756" s="49">
        <v>45028.61536383102</v>
      </c>
      <c r="B756" s="50">
        <v>45028.7403368055</v>
      </c>
      <c r="C756" s="51">
        <v>1.069</v>
      </c>
      <c r="D756" s="51">
        <v>62.0</v>
      </c>
      <c r="E756" s="52" t="s">
        <v>25</v>
      </c>
      <c r="F756" s="52" t="s">
        <v>26</v>
      </c>
      <c r="G756" s="54"/>
    </row>
    <row r="757">
      <c r="A757" s="49">
        <v>45028.6257912963</v>
      </c>
      <c r="B757" s="50">
        <v>45028.7507579166</v>
      </c>
      <c r="C757" s="51">
        <v>1.069</v>
      </c>
      <c r="D757" s="51">
        <v>62.0</v>
      </c>
      <c r="E757" s="52" t="s">
        <v>25</v>
      </c>
      <c r="F757" s="52" t="s">
        <v>26</v>
      </c>
      <c r="G757" s="54"/>
    </row>
    <row r="758">
      <c r="A758" s="49">
        <v>45028.63622003472</v>
      </c>
      <c r="B758" s="50">
        <v>45028.76119</v>
      </c>
      <c r="C758" s="51">
        <v>1.069</v>
      </c>
      <c r="D758" s="51">
        <v>62.0</v>
      </c>
      <c r="E758" s="52" t="s">
        <v>25</v>
      </c>
      <c r="F758" s="52" t="s">
        <v>26</v>
      </c>
      <c r="G758" s="54"/>
    </row>
    <row r="759">
      <c r="A759" s="49">
        <v>45028.646634386576</v>
      </c>
      <c r="B759" s="50">
        <v>45028.7716117824</v>
      </c>
      <c r="C759" s="51">
        <v>1.069</v>
      </c>
      <c r="D759" s="51">
        <v>62.0</v>
      </c>
      <c r="E759" s="52" t="s">
        <v>25</v>
      </c>
      <c r="F759" s="52" t="s">
        <v>26</v>
      </c>
      <c r="G759" s="54"/>
    </row>
    <row r="760">
      <c r="A760" s="49">
        <v>45028.657063182865</v>
      </c>
      <c r="B760" s="50">
        <v>45028.7820338194</v>
      </c>
      <c r="C760" s="51">
        <v>1.069</v>
      </c>
      <c r="D760" s="51">
        <v>62.0</v>
      </c>
      <c r="E760" s="52" t="s">
        <v>25</v>
      </c>
      <c r="F760" s="52" t="s">
        <v>26</v>
      </c>
      <c r="G760" s="54"/>
    </row>
    <row r="761">
      <c r="A761" s="49">
        <v>45028.66747465278</v>
      </c>
      <c r="B761" s="50">
        <v>45028.7924540509</v>
      </c>
      <c r="C761" s="51">
        <v>1.069</v>
      </c>
      <c r="D761" s="51">
        <v>62.0</v>
      </c>
      <c r="E761" s="52" t="s">
        <v>25</v>
      </c>
      <c r="F761" s="52" t="s">
        <v>26</v>
      </c>
      <c r="G761" s="54"/>
    </row>
    <row r="762">
      <c r="A762" s="49">
        <v>45028.67792347222</v>
      </c>
      <c r="B762" s="50">
        <v>45028.8028980787</v>
      </c>
      <c r="C762" s="51">
        <v>1.069</v>
      </c>
      <c r="D762" s="51">
        <v>62.0</v>
      </c>
      <c r="E762" s="52" t="s">
        <v>25</v>
      </c>
      <c r="F762" s="52" t="s">
        <v>26</v>
      </c>
      <c r="G762" s="54"/>
    </row>
    <row r="763">
      <c r="A763" s="49">
        <v>45028.688348194446</v>
      </c>
      <c r="B763" s="50">
        <v>45028.8133195486</v>
      </c>
      <c r="C763" s="51">
        <v>1.069</v>
      </c>
      <c r="D763" s="51">
        <v>62.0</v>
      </c>
      <c r="E763" s="52" t="s">
        <v>25</v>
      </c>
      <c r="F763" s="52" t="s">
        <v>26</v>
      </c>
      <c r="G763" s="54"/>
    </row>
    <row r="764">
      <c r="A764" s="49">
        <v>45028.69877634259</v>
      </c>
      <c r="B764" s="50">
        <v>45028.8237543287</v>
      </c>
      <c r="C764" s="51">
        <v>1.069</v>
      </c>
      <c r="D764" s="51">
        <v>62.0</v>
      </c>
      <c r="E764" s="52" t="s">
        <v>25</v>
      </c>
      <c r="F764" s="52" t="s">
        <v>26</v>
      </c>
      <c r="G764" s="54"/>
    </row>
    <row r="765">
      <c r="A765" s="49">
        <v>45028.7092056713</v>
      </c>
      <c r="B765" s="50">
        <v>45028.8341775578</v>
      </c>
      <c r="C765" s="51">
        <v>1.069</v>
      </c>
      <c r="D765" s="51">
        <v>62.0</v>
      </c>
      <c r="E765" s="52" t="s">
        <v>25</v>
      </c>
      <c r="F765" s="52" t="s">
        <v>26</v>
      </c>
      <c r="G765" s="54"/>
    </row>
    <row r="766">
      <c r="A766" s="49">
        <v>45028.719624861114</v>
      </c>
      <c r="B766" s="50">
        <v>45028.8445962268</v>
      </c>
      <c r="C766" s="51">
        <v>1.069</v>
      </c>
      <c r="D766" s="51">
        <v>62.0</v>
      </c>
      <c r="E766" s="52" t="s">
        <v>25</v>
      </c>
      <c r="F766" s="52" t="s">
        <v>26</v>
      </c>
      <c r="G766" s="54"/>
    </row>
    <row r="767">
      <c r="A767" s="49">
        <v>45028.73004239584</v>
      </c>
      <c r="B767" s="50">
        <v>45028.8550184027</v>
      </c>
      <c r="C767" s="51">
        <v>1.069</v>
      </c>
      <c r="D767" s="51">
        <v>62.0</v>
      </c>
      <c r="E767" s="52" t="s">
        <v>25</v>
      </c>
      <c r="F767" s="52" t="s">
        <v>26</v>
      </c>
      <c r="G767" s="54"/>
    </row>
    <row r="768">
      <c r="A768" s="49">
        <v>45028.74047001157</v>
      </c>
      <c r="B768" s="50">
        <v>45028.865437905</v>
      </c>
      <c r="C768" s="51">
        <v>1.069</v>
      </c>
      <c r="D768" s="51">
        <v>62.0</v>
      </c>
      <c r="E768" s="52" t="s">
        <v>25</v>
      </c>
      <c r="F768" s="52" t="s">
        <v>26</v>
      </c>
      <c r="G768" s="54"/>
    </row>
    <row r="769">
      <c r="A769" s="49">
        <v>45028.75089214121</v>
      </c>
      <c r="B769" s="50">
        <v>45028.8758587384</v>
      </c>
      <c r="C769" s="51">
        <v>1.069</v>
      </c>
      <c r="D769" s="51">
        <v>62.0</v>
      </c>
      <c r="E769" s="52" t="s">
        <v>25</v>
      </c>
      <c r="F769" s="52" t="s">
        <v>26</v>
      </c>
      <c r="G769" s="54"/>
    </row>
    <row r="770">
      <c r="A770" s="49">
        <v>45028.76131275463</v>
      </c>
      <c r="B770" s="50">
        <v>45028.8862807291</v>
      </c>
      <c r="C770" s="51">
        <v>1.069</v>
      </c>
      <c r="D770" s="51">
        <v>62.0</v>
      </c>
      <c r="E770" s="52" t="s">
        <v>25</v>
      </c>
      <c r="F770" s="52" t="s">
        <v>26</v>
      </c>
      <c r="G770" s="54"/>
    </row>
    <row r="771">
      <c r="A771" s="49">
        <v>45028.77172505787</v>
      </c>
      <c r="B771" s="50">
        <v>45028.8967009953</v>
      </c>
      <c r="C771" s="51">
        <v>1.069</v>
      </c>
      <c r="D771" s="51">
        <v>62.0</v>
      </c>
      <c r="E771" s="52" t="s">
        <v>25</v>
      </c>
      <c r="F771" s="52" t="s">
        <v>26</v>
      </c>
      <c r="G771" s="54"/>
    </row>
    <row r="772">
      <c r="A772" s="49">
        <v>45028.782165729164</v>
      </c>
      <c r="B772" s="50">
        <v>45028.9071358333</v>
      </c>
      <c r="C772" s="51">
        <v>1.069</v>
      </c>
      <c r="D772" s="51">
        <v>62.0</v>
      </c>
      <c r="E772" s="52" t="s">
        <v>25</v>
      </c>
      <c r="F772" s="52" t="s">
        <v>26</v>
      </c>
      <c r="G772" s="54"/>
    </row>
    <row r="773">
      <c r="A773" s="49">
        <v>45028.79258317129</v>
      </c>
      <c r="B773" s="50">
        <v>45028.9175563773</v>
      </c>
      <c r="C773" s="51">
        <v>1.068</v>
      </c>
      <c r="D773" s="51">
        <v>62.0</v>
      </c>
      <c r="E773" s="52" t="s">
        <v>25</v>
      </c>
      <c r="F773" s="52" t="s">
        <v>26</v>
      </c>
      <c r="G773" s="54"/>
    </row>
    <row r="774">
      <c r="A774" s="49">
        <v>45028.803022824075</v>
      </c>
      <c r="B774" s="50">
        <v>45028.9279891203</v>
      </c>
      <c r="C774" s="51">
        <v>1.068</v>
      </c>
      <c r="D774" s="51">
        <v>62.0</v>
      </c>
      <c r="E774" s="52" t="s">
        <v>25</v>
      </c>
      <c r="F774" s="52" t="s">
        <v>26</v>
      </c>
      <c r="G774" s="54"/>
    </row>
    <row r="775">
      <c r="A775" s="49">
        <v>45028.8134430787</v>
      </c>
      <c r="B775" s="50">
        <v>45028.9384114236</v>
      </c>
      <c r="C775" s="51">
        <v>1.068</v>
      </c>
      <c r="D775" s="51">
        <v>62.0</v>
      </c>
      <c r="E775" s="52" t="s">
        <v>25</v>
      </c>
      <c r="F775" s="52" t="s">
        <v>26</v>
      </c>
      <c r="G775" s="54"/>
    </row>
    <row r="776">
      <c r="A776" s="49">
        <v>45028.82386483796</v>
      </c>
      <c r="B776" s="50">
        <v>45028.9488326041</v>
      </c>
      <c r="C776" s="51">
        <v>1.068</v>
      </c>
      <c r="D776" s="51">
        <v>62.0</v>
      </c>
      <c r="E776" s="52" t="s">
        <v>25</v>
      </c>
      <c r="F776" s="52" t="s">
        <v>26</v>
      </c>
      <c r="G776" s="54"/>
    </row>
    <row r="777">
      <c r="A777" s="49">
        <v>45028.83428247685</v>
      </c>
      <c r="B777" s="50">
        <v>45028.9592529398</v>
      </c>
      <c r="C777" s="51">
        <v>1.069</v>
      </c>
      <c r="D777" s="51">
        <v>62.0</v>
      </c>
      <c r="E777" s="52" t="s">
        <v>25</v>
      </c>
      <c r="F777" s="52" t="s">
        <v>26</v>
      </c>
      <c r="G777" s="54"/>
    </row>
    <row r="778">
      <c r="A778" s="49">
        <v>45028.84471534722</v>
      </c>
      <c r="B778" s="50">
        <v>45028.9696865625</v>
      </c>
      <c r="C778" s="51">
        <v>1.068</v>
      </c>
      <c r="D778" s="51">
        <v>62.0</v>
      </c>
      <c r="E778" s="52" t="s">
        <v>25</v>
      </c>
      <c r="F778" s="52" t="s">
        <v>26</v>
      </c>
      <c r="G778" s="54"/>
    </row>
    <row r="779">
      <c r="A779" s="49">
        <v>45028.85512922454</v>
      </c>
      <c r="B779" s="50">
        <v>45028.9801058564</v>
      </c>
      <c r="C779" s="51">
        <v>1.068</v>
      </c>
      <c r="D779" s="51">
        <v>62.0</v>
      </c>
      <c r="E779" s="52" t="s">
        <v>25</v>
      </c>
      <c r="F779" s="52" t="s">
        <v>26</v>
      </c>
      <c r="G779" s="54"/>
    </row>
    <row r="780">
      <c r="A780" s="49">
        <v>45028.86555028935</v>
      </c>
      <c r="B780" s="50">
        <v>45028.9905272453</v>
      </c>
      <c r="C780" s="51">
        <v>1.068</v>
      </c>
      <c r="D780" s="51">
        <v>62.0</v>
      </c>
      <c r="E780" s="52" t="s">
        <v>25</v>
      </c>
      <c r="F780" s="52" t="s">
        <v>26</v>
      </c>
      <c r="G780" s="54"/>
    </row>
    <row r="781">
      <c r="A781" s="49">
        <v>45028.87597440972</v>
      </c>
      <c r="B781" s="50">
        <v>45029.0009498611</v>
      </c>
      <c r="C781" s="51">
        <v>1.068</v>
      </c>
      <c r="D781" s="51">
        <v>62.0</v>
      </c>
      <c r="E781" s="52" t="s">
        <v>25</v>
      </c>
      <c r="F781" s="52" t="s">
        <v>26</v>
      </c>
      <c r="G781" s="54"/>
    </row>
    <row r="782">
      <c r="A782" s="49">
        <v>45028.88639907408</v>
      </c>
      <c r="B782" s="50">
        <v>45029.0113722338</v>
      </c>
      <c r="C782" s="51">
        <v>1.068</v>
      </c>
      <c r="D782" s="51">
        <v>62.0</v>
      </c>
      <c r="E782" s="52" t="s">
        <v>25</v>
      </c>
      <c r="F782" s="52" t="s">
        <v>26</v>
      </c>
      <c r="G782" s="54"/>
    </row>
    <row r="783">
      <c r="A783" s="49">
        <v>45028.89682072916</v>
      </c>
      <c r="B783" s="50">
        <v>45029.0217946643</v>
      </c>
      <c r="C783" s="51">
        <v>1.068</v>
      </c>
      <c r="D783" s="51">
        <v>62.0</v>
      </c>
      <c r="E783" s="52" t="s">
        <v>25</v>
      </c>
      <c r="F783" s="52" t="s">
        <v>26</v>
      </c>
      <c r="G783" s="54"/>
    </row>
    <row r="784">
      <c r="A784" s="49">
        <v>45028.90726118056</v>
      </c>
      <c r="B784" s="50">
        <v>45029.032228206</v>
      </c>
      <c r="C784" s="51">
        <v>1.068</v>
      </c>
      <c r="D784" s="51">
        <v>62.0</v>
      </c>
      <c r="E784" s="52" t="s">
        <v>25</v>
      </c>
      <c r="F784" s="52" t="s">
        <v>26</v>
      </c>
      <c r="G784" s="54"/>
    </row>
    <row r="785">
      <c r="A785" s="49">
        <v>45028.91767702546</v>
      </c>
      <c r="B785" s="50">
        <v>45029.0426499189</v>
      </c>
      <c r="C785" s="51">
        <v>1.068</v>
      </c>
      <c r="D785" s="51">
        <v>62.0</v>
      </c>
      <c r="E785" s="52" t="s">
        <v>25</v>
      </c>
      <c r="F785" s="52" t="s">
        <v>26</v>
      </c>
      <c r="G785" s="54"/>
    </row>
    <row r="786">
      <c r="A786" s="49">
        <v>45028.92811692129</v>
      </c>
      <c r="B786" s="50">
        <v>45029.0530834259</v>
      </c>
      <c r="C786" s="51">
        <v>1.068</v>
      </c>
      <c r="D786" s="51">
        <v>62.0</v>
      </c>
      <c r="E786" s="52" t="s">
        <v>25</v>
      </c>
      <c r="F786" s="52" t="s">
        <v>26</v>
      </c>
      <c r="G786" s="54"/>
    </row>
    <row r="787">
      <c r="A787" s="49">
        <v>45028.93853047454</v>
      </c>
      <c r="B787" s="50">
        <v>45029.0635039351</v>
      </c>
      <c r="C787" s="51">
        <v>1.068</v>
      </c>
      <c r="D787" s="51">
        <v>62.0</v>
      </c>
      <c r="E787" s="52" t="s">
        <v>25</v>
      </c>
      <c r="F787" s="52" t="s">
        <v>26</v>
      </c>
      <c r="G787" s="54"/>
    </row>
    <row r="788">
      <c r="A788" s="49">
        <v>45028.94894982639</v>
      </c>
      <c r="B788" s="50">
        <v>45029.073925324</v>
      </c>
      <c r="C788" s="51">
        <v>1.068</v>
      </c>
      <c r="D788" s="51">
        <v>62.0</v>
      </c>
      <c r="E788" s="52" t="s">
        <v>25</v>
      </c>
      <c r="F788" s="52" t="s">
        <v>26</v>
      </c>
      <c r="G788" s="54"/>
    </row>
    <row r="789">
      <c r="A789" s="49">
        <v>45028.959370428245</v>
      </c>
      <c r="B789" s="50">
        <v>45029.0843452083</v>
      </c>
      <c r="C789" s="51">
        <v>1.068</v>
      </c>
      <c r="D789" s="51">
        <v>62.0</v>
      </c>
      <c r="E789" s="52" t="s">
        <v>25</v>
      </c>
      <c r="F789" s="52" t="s">
        <v>26</v>
      </c>
      <c r="G789" s="54"/>
    </row>
    <row r="790">
      <c r="A790" s="49">
        <v>45028.96983495371</v>
      </c>
      <c r="B790" s="50">
        <v>45029.094766574</v>
      </c>
      <c r="C790" s="51">
        <v>1.068</v>
      </c>
      <c r="D790" s="51">
        <v>62.0</v>
      </c>
      <c r="E790" s="52" t="s">
        <v>25</v>
      </c>
      <c r="F790" s="52" t="s">
        <v>26</v>
      </c>
      <c r="G790" s="54"/>
    </row>
    <row r="791">
      <c r="A791" s="49">
        <v>45028.980212696755</v>
      </c>
      <c r="B791" s="50">
        <v>45029.1051880208</v>
      </c>
      <c r="C791" s="51">
        <v>1.068</v>
      </c>
      <c r="D791" s="51">
        <v>62.0</v>
      </c>
      <c r="E791" s="52" t="s">
        <v>25</v>
      </c>
      <c r="F791" s="52" t="s">
        <v>26</v>
      </c>
      <c r="G791" s="54"/>
    </row>
    <row r="792">
      <c r="A792" s="49">
        <v>45028.99063123843</v>
      </c>
      <c r="B792" s="50">
        <v>45029.1156103587</v>
      </c>
      <c r="C792" s="51">
        <v>1.068</v>
      </c>
      <c r="D792" s="51">
        <v>62.0</v>
      </c>
      <c r="E792" s="52" t="s">
        <v>25</v>
      </c>
      <c r="F792" s="52" t="s">
        <v>26</v>
      </c>
      <c r="G792" s="54"/>
    </row>
    <row r="793">
      <c r="A793" s="49">
        <v>45029.001059270835</v>
      </c>
      <c r="B793" s="50">
        <v>45029.1260311458</v>
      </c>
      <c r="C793" s="51">
        <v>1.068</v>
      </c>
      <c r="D793" s="51">
        <v>62.0</v>
      </c>
      <c r="E793" s="52" t="s">
        <v>25</v>
      </c>
      <c r="F793" s="52" t="s">
        <v>26</v>
      </c>
      <c r="G793" s="54"/>
    </row>
    <row r="794">
      <c r="A794" s="49">
        <v>45029.011480706016</v>
      </c>
      <c r="B794" s="50">
        <v>45029.1364510763</v>
      </c>
      <c r="C794" s="51">
        <v>1.068</v>
      </c>
      <c r="D794" s="51">
        <v>62.0</v>
      </c>
      <c r="E794" s="52" t="s">
        <v>25</v>
      </c>
      <c r="F794" s="52" t="s">
        <v>26</v>
      </c>
      <c r="G794" s="54"/>
    </row>
    <row r="795">
      <c r="A795" s="49">
        <v>45029.02190157407</v>
      </c>
      <c r="B795" s="50">
        <v>45029.146871956</v>
      </c>
      <c r="C795" s="51">
        <v>1.067</v>
      </c>
      <c r="D795" s="51">
        <v>62.0</v>
      </c>
      <c r="E795" s="52" t="s">
        <v>25</v>
      </c>
      <c r="F795" s="52" t="s">
        <v>26</v>
      </c>
      <c r="G795" s="54"/>
    </row>
    <row r="796">
      <c r="A796" s="49">
        <v>45029.032335254626</v>
      </c>
      <c r="B796" s="50">
        <v>45029.1573054398</v>
      </c>
      <c r="C796" s="51">
        <v>1.068</v>
      </c>
      <c r="D796" s="51">
        <v>62.0</v>
      </c>
      <c r="E796" s="52" t="s">
        <v>25</v>
      </c>
      <c r="F796" s="52" t="s">
        <v>26</v>
      </c>
      <c r="G796" s="54"/>
    </row>
    <row r="797">
      <c r="A797" s="49">
        <v>45029.04276300926</v>
      </c>
      <c r="B797" s="50">
        <v>45029.1677380208</v>
      </c>
      <c r="C797" s="51">
        <v>1.067</v>
      </c>
      <c r="D797" s="51">
        <v>62.0</v>
      </c>
      <c r="E797" s="52" t="s">
        <v>25</v>
      </c>
      <c r="F797" s="52" t="s">
        <v>26</v>
      </c>
      <c r="G797" s="54"/>
    </row>
    <row r="798">
      <c r="A798" s="49">
        <v>45029.05318225695</v>
      </c>
      <c r="B798" s="50">
        <v>45029.1781599768</v>
      </c>
      <c r="C798" s="51">
        <v>1.068</v>
      </c>
      <c r="D798" s="51">
        <v>62.0</v>
      </c>
      <c r="E798" s="52" t="s">
        <v>25</v>
      </c>
      <c r="F798" s="52" t="s">
        <v>26</v>
      </c>
      <c r="G798" s="54"/>
    </row>
    <row r="799">
      <c r="A799" s="49">
        <v>45029.06360141204</v>
      </c>
      <c r="B799" s="50">
        <v>45029.1885793518</v>
      </c>
      <c r="C799" s="51">
        <v>1.067</v>
      </c>
      <c r="D799" s="51">
        <v>62.0</v>
      </c>
      <c r="E799" s="52" t="s">
        <v>25</v>
      </c>
      <c r="F799" s="52" t="s">
        <v>26</v>
      </c>
      <c r="G799" s="54"/>
    </row>
    <row r="800">
      <c r="A800" s="49">
        <v>45029.074031620374</v>
      </c>
      <c r="B800" s="50">
        <v>45029.199001875</v>
      </c>
      <c r="C800" s="51">
        <v>1.067</v>
      </c>
      <c r="D800" s="51">
        <v>62.0</v>
      </c>
      <c r="E800" s="52" t="s">
        <v>25</v>
      </c>
      <c r="F800" s="52" t="s">
        <v>26</v>
      </c>
      <c r="G800" s="54"/>
    </row>
    <row r="801">
      <c r="A801" s="49">
        <v>45029.08444744213</v>
      </c>
      <c r="B801" s="50">
        <v>45029.2094220254</v>
      </c>
      <c r="C801" s="51">
        <v>1.067</v>
      </c>
      <c r="D801" s="51">
        <v>62.0</v>
      </c>
      <c r="E801" s="52" t="s">
        <v>25</v>
      </c>
      <c r="F801" s="52" t="s">
        <v>26</v>
      </c>
      <c r="G801" s="54"/>
    </row>
    <row r="802">
      <c r="A802" s="49">
        <v>45029.094872800924</v>
      </c>
      <c r="B802" s="50">
        <v>45029.2198438773</v>
      </c>
      <c r="C802" s="51">
        <v>1.067</v>
      </c>
      <c r="D802" s="51">
        <v>62.0</v>
      </c>
      <c r="E802" s="52" t="s">
        <v>25</v>
      </c>
      <c r="F802" s="52" t="s">
        <v>26</v>
      </c>
      <c r="G802" s="54"/>
    </row>
    <row r="803">
      <c r="A803" s="49">
        <v>45029.10529777777</v>
      </c>
      <c r="B803" s="50">
        <v>45029.2302683449</v>
      </c>
      <c r="C803" s="51">
        <v>1.067</v>
      </c>
      <c r="D803" s="51">
        <v>62.0</v>
      </c>
      <c r="E803" s="52" t="s">
        <v>25</v>
      </c>
      <c r="F803" s="52" t="s">
        <v>26</v>
      </c>
      <c r="G803" s="54"/>
    </row>
    <row r="804">
      <c r="A804" s="49">
        <v>45029.115706296296</v>
      </c>
      <c r="B804" s="50">
        <v>45029.2406881597</v>
      </c>
      <c r="C804" s="51">
        <v>1.067</v>
      </c>
      <c r="D804" s="51">
        <v>62.0</v>
      </c>
      <c r="E804" s="52" t="s">
        <v>25</v>
      </c>
      <c r="F804" s="52" t="s">
        <v>26</v>
      </c>
      <c r="G804" s="54"/>
    </row>
    <row r="805">
      <c r="A805" s="49">
        <v>45029.126140266206</v>
      </c>
      <c r="B805" s="50">
        <v>45029.2511099074</v>
      </c>
      <c r="C805" s="51">
        <v>1.067</v>
      </c>
      <c r="D805" s="51">
        <v>62.0</v>
      </c>
      <c r="E805" s="52" t="s">
        <v>25</v>
      </c>
      <c r="F805" s="52" t="s">
        <v>26</v>
      </c>
      <c r="G805" s="54"/>
    </row>
    <row r="806">
      <c r="A806" s="49">
        <v>45029.13655841435</v>
      </c>
      <c r="B806" s="50">
        <v>45029.2615310301</v>
      </c>
      <c r="C806" s="51">
        <v>1.067</v>
      </c>
      <c r="D806" s="51">
        <v>62.0</v>
      </c>
      <c r="E806" s="52" t="s">
        <v>25</v>
      </c>
      <c r="F806" s="52" t="s">
        <v>26</v>
      </c>
      <c r="G806" s="54"/>
    </row>
    <row r="807">
      <c r="A807" s="49">
        <v>45029.14697663195</v>
      </c>
      <c r="B807" s="50">
        <v>45029.2719512268</v>
      </c>
      <c r="C807" s="51">
        <v>1.067</v>
      </c>
      <c r="D807" s="51">
        <v>62.0</v>
      </c>
      <c r="E807" s="52" t="s">
        <v>25</v>
      </c>
      <c r="F807" s="52" t="s">
        <v>26</v>
      </c>
      <c r="G807" s="54"/>
    </row>
    <row r="808">
      <c r="A808" s="49">
        <v>45029.15739601852</v>
      </c>
      <c r="B808" s="50">
        <v>45029.2823710532</v>
      </c>
      <c r="C808" s="51">
        <v>1.067</v>
      </c>
      <c r="D808" s="51">
        <v>62.0</v>
      </c>
      <c r="E808" s="52" t="s">
        <v>25</v>
      </c>
      <c r="F808" s="52" t="s">
        <v>26</v>
      </c>
      <c r="G808" s="54"/>
    </row>
    <row r="809">
      <c r="A809" s="49">
        <v>45029.167825185184</v>
      </c>
      <c r="B809" s="50">
        <v>45029.2927911921</v>
      </c>
      <c r="C809" s="51">
        <v>1.067</v>
      </c>
      <c r="D809" s="51">
        <v>62.0</v>
      </c>
      <c r="E809" s="52" t="s">
        <v>25</v>
      </c>
      <c r="F809" s="52" t="s">
        <v>26</v>
      </c>
      <c r="G809" s="54"/>
    </row>
    <row r="810">
      <c r="A810" s="49">
        <v>45029.17824371527</v>
      </c>
      <c r="B810" s="50">
        <v>45029.3032133796</v>
      </c>
      <c r="C810" s="51">
        <v>1.067</v>
      </c>
      <c r="D810" s="51">
        <v>62.0</v>
      </c>
      <c r="E810" s="52" t="s">
        <v>25</v>
      </c>
      <c r="F810" s="52" t="s">
        <v>26</v>
      </c>
      <c r="G810" s="54"/>
    </row>
    <row r="811">
      <c r="A811" s="49">
        <v>45029.188662569446</v>
      </c>
      <c r="B811" s="50">
        <v>45029.313633449</v>
      </c>
      <c r="C811" s="51">
        <v>1.067</v>
      </c>
      <c r="D811" s="51">
        <v>62.0</v>
      </c>
      <c r="E811" s="52" t="s">
        <v>25</v>
      </c>
      <c r="F811" s="52" t="s">
        <v>26</v>
      </c>
      <c r="G811" s="54"/>
    </row>
    <row r="812">
      <c r="A812" s="49">
        <v>45029.19908293981</v>
      </c>
      <c r="B812" s="50">
        <v>45029.3240548032</v>
      </c>
      <c r="C812" s="51">
        <v>1.067</v>
      </c>
      <c r="D812" s="51">
        <v>62.0</v>
      </c>
      <c r="E812" s="52" t="s">
        <v>25</v>
      </c>
      <c r="F812" s="52" t="s">
        <v>26</v>
      </c>
      <c r="G812" s="54"/>
    </row>
    <row r="813">
      <c r="A813" s="49">
        <v>45029.20950408565</v>
      </c>
      <c r="B813" s="50">
        <v>45029.3344764004</v>
      </c>
      <c r="C813" s="51">
        <v>1.067</v>
      </c>
      <c r="D813" s="51">
        <v>62.0</v>
      </c>
      <c r="E813" s="52" t="s">
        <v>25</v>
      </c>
      <c r="F813" s="52" t="s">
        <v>26</v>
      </c>
      <c r="G813" s="54"/>
    </row>
    <row r="814">
      <c r="A814" s="49">
        <v>45029.21993501157</v>
      </c>
      <c r="B814" s="50">
        <v>45029.3449111689</v>
      </c>
      <c r="C814" s="51">
        <v>1.067</v>
      </c>
      <c r="D814" s="51">
        <v>62.0</v>
      </c>
      <c r="E814" s="52" t="s">
        <v>25</v>
      </c>
      <c r="F814" s="52" t="s">
        <v>26</v>
      </c>
      <c r="G814" s="54"/>
    </row>
    <row r="815">
      <c r="A815" s="49">
        <v>45029.23035997685</v>
      </c>
      <c r="B815" s="50">
        <v>45029.3553333564</v>
      </c>
      <c r="C815" s="51">
        <v>1.067</v>
      </c>
      <c r="D815" s="51">
        <v>62.0</v>
      </c>
      <c r="E815" s="52" t="s">
        <v>25</v>
      </c>
      <c r="F815" s="52" t="s">
        <v>26</v>
      </c>
      <c r="G815" s="54"/>
    </row>
    <row r="816">
      <c r="A816" s="49">
        <v>45029.24077704861</v>
      </c>
      <c r="B816" s="50">
        <v>45029.3657548148</v>
      </c>
      <c r="C816" s="51">
        <v>1.067</v>
      </c>
      <c r="D816" s="51">
        <v>62.0</v>
      </c>
      <c r="E816" s="52" t="s">
        <v>25</v>
      </c>
      <c r="F816" s="52" t="s">
        <v>26</v>
      </c>
      <c r="G816" s="54"/>
    </row>
    <row r="817">
      <c r="A817" s="49">
        <v>45029.25119052084</v>
      </c>
      <c r="B817" s="50">
        <v>45029.3761741666</v>
      </c>
      <c r="C817" s="51">
        <v>1.067</v>
      </c>
      <c r="D817" s="51">
        <v>62.0</v>
      </c>
      <c r="E817" s="52" t="s">
        <v>25</v>
      </c>
      <c r="F817" s="52" t="s">
        <v>26</v>
      </c>
      <c r="G817" s="54"/>
    </row>
    <row r="818">
      <c r="A818" s="49">
        <v>45029.26162615741</v>
      </c>
      <c r="B818" s="50">
        <v>45029.3865957754</v>
      </c>
      <c r="C818" s="51">
        <v>1.067</v>
      </c>
      <c r="D818" s="51">
        <v>62.0</v>
      </c>
      <c r="E818" s="52" t="s">
        <v>25</v>
      </c>
      <c r="F818" s="52" t="s">
        <v>26</v>
      </c>
      <c r="G818" s="54"/>
    </row>
    <row r="819">
      <c r="A819" s="49">
        <v>45029.27205060185</v>
      </c>
      <c r="B819" s="50">
        <v>45029.3970178819</v>
      </c>
      <c r="C819" s="51">
        <v>1.066</v>
      </c>
      <c r="D819" s="51">
        <v>62.0</v>
      </c>
      <c r="E819" s="52" t="s">
        <v>25</v>
      </c>
      <c r="F819" s="52" t="s">
        <v>26</v>
      </c>
      <c r="G819" s="54"/>
    </row>
    <row r="820">
      <c r="A820" s="49">
        <v>45029.282482731476</v>
      </c>
      <c r="B820" s="50">
        <v>45029.4074514814</v>
      </c>
      <c r="C820" s="51">
        <v>1.066</v>
      </c>
      <c r="D820" s="51">
        <v>62.0</v>
      </c>
      <c r="E820" s="52" t="s">
        <v>25</v>
      </c>
      <c r="F820" s="52" t="s">
        <v>26</v>
      </c>
      <c r="G820" s="54"/>
    </row>
    <row r="821">
      <c r="A821" s="49">
        <v>45029.29290486111</v>
      </c>
      <c r="B821" s="50">
        <v>45029.4178742361</v>
      </c>
      <c r="C821" s="51">
        <v>1.066</v>
      </c>
      <c r="D821" s="51">
        <v>62.0</v>
      </c>
      <c r="E821" s="52" t="s">
        <v>25</v>
      </c>
      <c r="F821" s="52" t="s">
        <v>26</v>
      </c>
      <c r="G821" s="54"/>
    </row>
    <row r="822">
      <c r="A822" s="49">
        <v>45029.30333123842</v>
      </c>
      <c r="B822" s="50">
        <v>45029.4282967939</v>
      </c>
      <c r="C822" s="51">
        <v>1.066</v>
      </c>
      <c r="D822" s="51">
        <v>62.0</v>
      </c>
      <c r="E822" s="52" t="s">
        <v>25</v>
      </c>
      <c r="F822" s="52" t="s">
        <v>26</v>
      </c>
      <c r="G822" s="54"/>
    </row>
    <row r="823">
      <c r="A823" s="49">
        <v>45029.313748182874</v>
      </c>
      <c r="B823" s="50">
        <v>45029.4387178935</v>
      </c>
      <c r="C823" s="51">
        <v>1.066</v>
      </c>
      <c r="D823" s="51">
        <v>62.0</v>
      </c>
      <c r="E823" s="52" t="s">
        <v>25</v>
      </c>
      <c r="F823" s="52" t="s">
        <v>26</v>
      </c>
      <c r="G823" s="54"/>
    </row>
    <row r="824">
      <c r="A824" s="49">
        <v>45029.32416664352</v>
      </c>
      <c r="B824" s="50">
        <v>45029.4491394907</v>
      </c>
      <c r="C824" s="51">
        <v>1.066</v>
      </c>
      <c r="D824" s="51">
        <v>62.0</v>
      </c>
      <c r="E824" s="52" t="s">
        <v>25</v>
      </c>
      <c r="F824" s="52" t="s">
        <v>26</v>
      </c>
      <c r="G824" s="54"/>
    </row>
    <row r="825">
      <c r="A825" s="49">
        <v>45029.33459831019</v>
      </c>
      <c r="B825" s="50">
        <v>45029.4595742476</v>
      </c>
      <c r="C825" s="51">
        <v>1.066</v>
      </c>
      <c r="D825" s="51">
        <v>62.0</v>
      </c>
      <c r="E825" s="52" t="s">
        <v>25</v>
      </c>
      <c r="F825" s="52" t="s">
        <v>26</v>
      </c>
      <c r="G825" s="54"/>
    </row>
    <row r="826">
      <c r="A826" s="49">
        <v>45029.34502840278</v>
      </c>
      <c r="B826" s="50">
        <v>45029.4699964814</v>
      </c>
      <c r="C826" s="51">
        <v>1.066</v>
      </c>
      <c r="D826" s="51">
        <v>62.0</v>
      </c>
      <c r="E826" s="52" t="s">
        <v>25</v>
      </c>
      <c r="F826" s="52" t="s">
        <v>26</v>
      </c>
      <c r="G826" s="54"/>
    </row>
    <row r="827">
      <c r="A827" s="49">
        <v>45029.355447395836</v>
      </c>
      <c r="B827" s="50">
        <v>45029.4804178356</v>
      </c>
      <c r="C827" s="51">
        <v>1.066</v>
      </c>
      <c r="D827" s="51">
        <v>62.0</v>
      </c>
      <c r="E827" s="52" t="s">
        <v>25</v>
      </c>
      <c r="F827" s="52" t="s">
        <v>26</v>
      </c>
      <c r="G827" s="54"/>
    </row>
    <row r="828">
      <c r="A828" s="49">
        <v>45029.36591561342</v>
      </c>
      <c r="B828" s="50">
        <v>45029.4908850925</v>
      </c>
      <c r="C828" s="51">
        <v>1.066</v>
      </c>
      <c r="D828" s="51">
        <v>62.0</v>
      </c>
      <c r="E828" s="52" t="s">
        <v>25</v>
      </c>
      <c r="F828" s="52" t="s">
        <v>26</v>
      </c>
      <c r="G828" s="54"/>
    </row>
    <row r="829">
      <c r="A829" s="49">
        <v>45029.37633837963</v>
      </c>
      <c r="B829" s="50">
        <v>45029.5013075578</v>
      </c>
      <c r="C829" s="51">
        <v>1.066</v>
      </c>
      <c r="D829" s="51">
        <v>62.0</v>
      </c>
      <c r="E829" s="52" t="s">
        <v>25</v>
      </c>
      <c r="F829" s="52" t="s">
        <v>26</v>
      </c>
      <c r="G829" s="54"/>
    </row>
    <row r="830">
      <c r="A830" s="49">
        <v>45029.386753287035</v>
      </c>
      <c r="B830" s="50">
        <v>45029.5117308217</v>
      </c>
      <c r="C830" s="51">
        <v>1.066</v>
      </c>
      <c r="D830" s="51">
        <v>62.0</v>
      </c>
      <c r="E830" s="52" t="s">
        <v>25</v>
      </c>
      <c r="F830" s="52" t="s">
        <v>26</v>
      </c>
      <c r="G830" s="54"/>
    </row>
    <row r="831">
      <c r="A831" s="49">
        <v>45029.397177569444</v>
      </c>
      <c r="B831" s="50">
        <v>45029.5221538888</v>
      </c>
      <c r="C831" s="51">
        <v>1.066</v>
      </c>
      <c r="D831" s="51">
        <v>62.0</v>
      </c>
      <c r="E831" s="52" t="s">
        <v>25</v>
      </c>
      <c r="F831" s="52" t="s">
        <v>26</v>
      </c>
      <c r="G831" s="54"/>
    </row>
    <row r="832">
      <c r="A832" s="49">
        <v>45029.40760534722</v>
      </c>
      <c r="B832" s="50">
        <v>45029.5325740277</v>
      </c>
      <c r="C832" s="51">
        <v>1.066</v>
      </c>
      <c r="D832" s="51">
        <v>62.0</v>
      </c>
      <c r="E832" s="52" t="s">
        <v>25</v>
      </c>
      <c r="F832" s="52" t="s">
        <v>26</v>
      </c>
      <c r="G832" s="54"/>
    </row>
    <row r="833">
      <c r="A833" s="49">
        <v>45029.41802467592</v>
      </c>
      <c r="B833" s="50">
        <v>45029.5429962615</v>
      </c>
      <c r="C833" s="51">
        <v>1.066</v>
      </c>
      <c r="D833" s="51">
        <v>62.0</v>
      </c>
      <c r="E833" s="52" t="s">
        <v>25</v>
      </c>
      <c r="F833" s="52" t="s">
        <v>26</v>
      </c>
      <c r="G833" s="54"/>
    </row>
    <row r="834">
      <c r="A834" s="49">
        <v>45029.4284452662</v>
      </c>
      <c r="B834" s="50">
        <v>45029.5534174768</v>
      </c>
      <c r="C834" s="51">
        <v>1.066</v>
      </c>
      <c r="D834" s="51">
        <v>62.0</v>
      </c>
      <c r="E834" s="52" t="s">
        <v>25</v>
      </c>
      <c r="F834" s="52" t="s">
        <v>26</v>
      </c>
      <c r="G834" s="54"/>
    </row>
    <row r="835">
      <c r="A835" s="49">
        <v>45029.43886342592</v>
      </c>
      <c r="B835" s="50">
        <v>45029.5638397685</v>
      </c>
      <c r="C835" s="51">
        <v>1.066</v>
      </c>
      <c r="D835" s="51">
        <v>63.0</v>
      </c>
      <c r="E835" s="52" t="s">
        <v>25</v>
      </c>
      <c r="F835" s="52" t="s">
        <v>26</v>
      </c>
      <c r="G835" s="54"/>
    </row>
    <row r="836">
      <c r="A836" s="49">
        <v>45029.44928622685</v>
      </c>
      <c r="B836" s="50">
        <v>45029.5742605092</v>
      </c>
      <c r="C836" s="51">
        <v>1.066</v>
      </c>
      <c r="D836" s="51">
        <v>62.0</v>
      </c>
      <c r="E836" s="52" t="s">
        <v>25</v>
      </c>
      <c r="F836" s="52" t="s">
        <v>26</v>
      </c>
      <c r="G836" s="54"/>
    </row>
    <row r="837">
      <c r="A837" s="49">
        <v>45029.45971571759</v>
      </c>
      <c r="B837" s="50">
        <v>45029.5846804166</v>
      </c>
      <c r="C837" s="51">
        <v>1.066</v>
      </c>
      <c r="D837" s="51">
        <v>62.0</v>
      </c>
      <c r="E837" s="52" t="s">
        <v>25</v>
      </c>
      <c r="F837" s="52" t="s">
        <v>26</v>
      </c>
      <c r="G837" s="54"/>
    </row>
    <row r="838">
      <c r="A838" s="49">
        <v>45029.47015525463</v>
      </c>
      <c r="B838" s="50">
        <v>45029.5951154629</v>
      </c>
      <c r="C838" s="51">
        <v>1.066</v>
      </c>
      <c r="D838" s="51">
        <v>62.0</v>
      </c>
      <c r="E838" s="52" t="s">
        <v>25</v>
      </c>
      <c r="F838" s="52" t="s">
        <v>26</v>
      </c>
      <c r="G838" s="54"/>
    </row>
    <row r="839">
      <c r="A839" s="49">
        <v>45029.48056581018</v>
      </c>
      <c r="B839" s="50">
        <v>45029.6055385763</v>
      </c>
      <c r="C839" s="51">
        <v>1.066</v>
      </c>
      <c r="D839" s="51">
        <v>62.0</v>
      </c>
      <c r="E839" s="52" t="s">
        <v>25</v>
      </c>
      <c r="F839" s="52" t="s">
        <v>26</v>
      </c>
      <c r="G839" s="54"/>
    </row>
    <row r="840">
      <c r="A840" s="49">
        <v>45029.49099265046</v>
      </c>
      <c r="B840" s="50">
        <v>45029.6159598148</v>
      </c>
      <c r="C840" s="51">
        <v>1.066</v>
      </c>
      <c r="D840" s="51">
        <v>62.0</v>
      </c>
      <c r="E840" s="52" t="s">
        <v>25</v>
      </c>
      <c r="F840" s="52" t="s">
        <v>26</v>
      </c>
      <c r="G840" s="54"/>
    </row>
    <row r="841">
      <c r="A841" s="49">
        <v>45029.50140936342</v>
      </c>
      <c r="B841" s="50">
        <v>45029.6263898842</v>
      </c>
      <c r="C841" s="51">
        <v>1.066</v>
      </c>
      <c r="D841" s="51">
        <v>63.0</v>
      </c>
      <c r="E841" s="52" t="s">
        <v>25</v>
      </c>
      <c r="F841" s="52" t="s">
        <v>26</v>
      </c>
      <c r="G841" s="54"/>
    </row>
    <row r="842">
      <c r="A842" s="49">
        <v>45029.51182824074</v>
      </c>
      <c r="B842" s="50">
        <v>45029.6368104166</v>
      </c>
      <c r="C842" s="51">
        <v>1.065</v>
      </c>
      <c r="D842" s="51">
        <v>63.0</v>
      </c>
      <c r="E842" s="52" t="s">
        <v>25</v>
      </c>
      <c r="F842" s="52" t="s">
        <v>26</v>
      </c>
      <c r="G842" s="54"/>
    </row>
    <row r="843">
      <c r="A843" s="49">
        <v>45029.522283750004</v>
      </c>
      <c r="B843" s="50">
        <v>45029.6472410416</v>
      </c>
      <c r="C843" s="51">
        <v>1.065</v>
      </c>
      <c r="D843" s="51">
        <v>63.0</v>
      </c>
      <c r="E843" s="52" t="s">
        <v>25</v>
      </c>
      <c r="F843" s="52" t="s">
        <v>26</v>
      </c>
      <c r="G843" s="54"/>
    </row>
    <row r="844">
      <c r="A844" s="49">
        <v>45029.532689618056</v>
      </c>
      <c r="B844" s="50">
        <v>45029.657662662</v>
      </c>
      <c r="C844" s="51">
        <v>1.065</v>
      </c>
      <c r="D844" s="51">
        <v>63.0</v>
      </c>
      <c r="E844" s="52" t="s">
        <v>25</v>
      </c>
      <c r="F844" s="52" t="s">
        <v>26</v>
      </c>
      <c r="G844" s="54"/>
    </row>
    <row r="845">
      <c r="A845" s="49">
        <v>45029.543117106485</v>
      </c>
      <c r="B845" s="50">
        <v>45029.6680848379</v>
      </c>
      <c r="C845" s="51">
        <v>1.065</v>
      </c>
      <c r="D845" s="51">
        <v>63.0</v>
      </c>
      <c r="E845" s="52" t="s">
        <v>25</v>
      </c>
      <c r="F845" s="52" t="s">
        <v>26</v>
      </c>
      <c r="G845" s="54"/>
    </row>
    <row r="846">
      <c r="A846" s="49">
        <v>45029.55353188657</v>
      </c>
      <c r="B846" s="50">
        <v>45029.6785044212</v>
      </c>
      <c r="C846" s="51">
        <v>1.065</v>
      </c>
      <c r="D846" s="51">
        <v>63.0</v>
      </c>
      <c r="E846" s="52" t="s">
        <v>25</v>
      </c>
      <c r="F846" s="52" t="s">
        <v>26</v>
      </c>
      <c r="G846" s="54"/>
    </row>
    <row r="847">
      <c r="A847" s="49">
        <v>45029.56394918982</v>
      </c>
      <c r="B847" s="50">
        <v>45029.6889257754</v>
      </c>
      <c r="C847" s="51">
        <v>1.065</v>
      </c>
      <c r="D847" s="51">
        <v>63.0</v>
      </c>
      <c r="E847" s="52" t="s">
        <v>25</v>
      </c>
      <c r="F847" s="52" t="s">
        <v>26</v>
      </c>
      <c r="G847" s="54"/>
    </row>
    <row r="848">
      <c r="A848" s="49">
        <v>45029.574381666665</v>
      </c>
      <c r="B848" s="50">
        <v>45029.6993576736</v>
      </c>
      <c r="C848" s="51">
        <v>1.065</v>
      </c>
      <c r="D848" s="51">
        <v>63.0</v>
      </c>
      <c r="E848" s="52" t="s">
        <v>25</v>
      </c>
      <c r="F848" s="52" t="s">
        <v>26</v>
      </c>
      <c r="G848" s="54"/>
    </row>
    <row r="849">
      <c r="A849" s="49">
        <v>45029.58481017361</v>
      </c>
      <c r="B849" s="50">
        <v>45029.7097784027</v>
      </c>
      <c r="C849" s="51">
        <v>1.065</v>
      </c>
      <c r="D849" s="51">
        <v>63.0</v>
      </c>
      <c r="E849" s="52" t="s">
        <v>25</v>
      </c>
      <c r="F849" s="52" t="s">
        <v>26</v>
      </c>
      <c r="G849" s="54"/>
    </row>
    <row r="850">
      <c r="A850" s="49">
        <v>45029.59522883102</v>
      </c>
      <c r="B850" s="50">
        <v>45029.7202006365</v>
      </c>
      <c r="C850" s="51">
        <v>1.065</v>
      </c>
      <c r="D850" s="51">
        <v>63.0</v>
      </c>
      <c r="E850" s="52" t="s">
        <v>25</v>
      </c>
      <c r="F850" s="52" t="s">
        <v>26</v>
      </c>
      <c r="G850" s="54"/>
    </row>
    <row r="851">
      <c r="A851" s="49">
        <v>45029.60564516204</v>
      </c>
      <c r="B851" s="50">
        <v>45029.7306219444</v>
      </c>
      <c r="C851" s="51">
        <v>1.065</v>
      </c>
      <c r="D851" s="51">
        <v>63.0</v>
      </c>
      <c r="E851" s="52" t="s">
        <v>25</v>
      </c>
      <c r="F851" s="52" t="s">
        <v>26</v>
      </c>
      <c r="G851" s="54"/>
    </row>
    <row r="852">
      <c r="A852" s="49">
        <v>45029.61606453704</v>
      </c>
      <c r="B852" s="50">
        <v>45029.7410428472</v>
      </c>
      <c r="C852" s="51">
        <v>1.065</v>
      </c>
      <c r="D852" s="51">
        <v>63.0</v>
      </c>
      <c r="E852" s="52" t="s">
        <v>25</v>
      </c>
      <c r="F852" s="52" t="s">
        <v>26</v>
      </c>
      <c r="G852" s="54"/>
    </row>
    <row r="853">
      <c r="A853" s="49">
        <v>45029.62649523148</v>
      </c>
      <c r="B853" s="50">
        <v>45029.7514647106</v>
      </c>
      <c r="C853" s="51">
        <v>1.065</v>
      </c>
      <c r="D853" s="51">
        <v>63.0</v>
      </c>
      <c r="E853" s="52" t="s">
        <v>25</v>
      </c>
      <c r="F853" s="52" t="s">
        <v>26</v>
      </c>
      <c r="G853" s="54"/>
    </row>
    <row r="854">
      <c r="A854" s="49">
        <v>45029.63691252314</v>
      </c>
      <c r="B854" s="50">
        <v>45029.7618853009</v>
      </c>
      <c r="C854" s="51">
        <v>1.065</v>
      </c>
      <c r="D854" s="51">
        <v>63.0</v>
      </c>
      <c r="E854" s="52" t="s">
        <v>25</v>
      </c>
      <c r="F854" s="52" t="s">
        <v>26</v>
      </c>
      <c r="G854" s="54"/>
    </row>
    <row r="855">
      <c r="A855" s="49">
        <v>45029.64734335648</v>
      </c>
      <c r="B855" s="50">
        <v>45029.772316956</v>
      </c>
      <c r="C855" s="51">
        <v>1.065</v>
      </c>
      <c r="D855" s="51">
        <v>63.0</v>
      </c>
      <c r="E855" s="52" t="s">
        <v>25</v>
      </c>
      <c r="F855" s="52" t="s">
        <v>26</v>
      </c>
      <c r="G855" s="54"/>
    </row>
    <row r="856">
      <c r="A856" s="49">
        <v>45029.65777863426</v>
      </c>
      <c r="B856" s="50">
        <v>45029.7827472338</v>
      </c>
      <c r="C856" s="51">
        <v>1.065</v>
      </c>
      <c r="D856" s="51">
        <v>63.0</v>
      </c>
      <c r="E856" s="52" t="s">
        <v>25</v>
      </c>
      <c r="F856" s="52" t="s">
        <v>26</v>
      </c>
      <c r="G856" s="54"/>
    </row>
    <row r="857">
      <c r="A857" s="49">
        <v>45029.66819818287</v>
      </c>
      <c r="B857" s="50">
        <v>45029.7931707175</v>
      </c>
      <c r="C857" s="51">
        <v>1.065</v>
      </c>
      <c r="D857" s="51">
        <v>63.0</v>
      </c>
      <c r="E857" s="52" t="s">
        <v>25</v>
      </c>
      <c r="F857" s="52" t="s">
        <v>26</v>
      </c>
      <c r="G857" s="54"/>
    </row>
    <row r="858">
      <c r="A858" s="49">
        <v>45029.67862708333</v>
      </c>
      <c r="B858" s="50">
        <v>45029.8036048148</v>
      </c>
      <c r="C858" s="51">
        <v>1.065</v>
      </c>
      <c r="D858" s="51">
        <v>63.0</v>
      </c>
      <c r="E858" s="52" t="s">
        <v>25</v>
      </c>
      <c r="F858" s="52" t="s">
        <v>26</v>
      </c>
      <c r="G858" s="54"/>
    </row>
    <row r="859">
      <c r="A859" s="49">
        <v>45029.68905074074</v>
      </c>
      <c r="B859" s="50">
        <v>45029.8140259143</v>
      </c>
      <c r="C859" s="51">
        <v>1.065</v>
      </c>
      <c r="D859" s="51">
        <v>63.0</v>
      </c>
      <c r="E859" s="52" t="s">
        <v>25</v>
      </c>
      <c r="F859" s="52" t="s">
        <v>26</v>
      </c>
      <c r="G859" s="54"/>
    </row>
    <row r="860">
      <c r="A860" s="49">
        <v>45029.69947008102</v>
      </c>
      <c r="B860" s="50">
        <v>45029.8244452314</v>
      </c>
      <c r="C860" s="51">
        <v>1.065</v>
      </c>
      <c r="D860" s="51">
        <v>63.0</v>
      </c>
      <c r="E860" s="52" t="s">
        <v>25</v>
      </c>
      <c r="F860" s="52" t="s">
        <v>26</v>
      </c>
      <c r="G860" s="54"/>
    </row>
    <row r="861">
      <c r="A861" s="49">
        <v>45029.70988903935</v>
      </c>
      <c r="B861" s="50">
        <v>45029.8348660416</v>
      </c>
      <c r="C861" s="51">
        <v>1.065</v>
      </c>
      <c r="D861" s="51">
        <v>63.0</v>
      </c>
      <c r="E861" s="52" t="s">
        <v>25</v>
      </c>
      <c r="F861" s="52" t="s">
        <v>26</v>
      </c>
      <c r="G861" s="54"/>
    </row>
    <row r="862">
      <c r="A862" s="49">
        <v>45029.720326863426</v>
      </c>
      <c r="B862" s="50">
        <v>45029.8452981365</v>
      </c>
      <c r="C862" s="51">
        <v>1.065</v>
      </c>
      <c r="D862" s="51">
        <v>63.0</v>
      </c>
      <c r="E862" s="52" t="s">
        <v>25</v>
      </c>
      <c r="F862" s="52" t="s">
        <v>26</v>
      </c>
      <c r="G862" s="54"/>
    </row>
    <row r="863">
      <c r="A863" s="49">
        <v>45029.73074101852</v>
      </c>
      <c r="B863" s="50">
        <v>45029.8557183912</v>
      </c>
      <c r="C863" s="51">
        <v>1.065</v>
      </c>
      <c r="D863" s="51">
        <v>63.0</v>
      </c>
      <c r="E863" s="52" t="s">
        <v>25</v>
      </c>
      <c r="F863" s="52" t="s">
        <v>26</v>
      </c>
      <c r="G863" s="54"/>
    </row>
    <row r="864">
      <c r="A864" s="49">
        <v>45029.74115958333</v>
      </c>
      <c r="B864" s="50">
        <v>45029.8661404166</v>
      </c>
      <c r="C864" s="51">
        <v>1.065</v>
      </c>
      <c r="D864" s="51">
        <v>63.0</v>
      </c>
      <c r="E864" s="52" t="s">
        <v>25</v>
      </c>
      <c r="F864" s="52" t="s">
        <v>26</v>
      </c>
      <c r="G864" s="54"/>
    </row>
    <row r="865">
      <c r="A865" s="49">
        <v>45029.75158145833</v>
      </c>
      <c r="B865" s="50">
        <v>45029.8765605208</v>
      </c>
      <c r="C865" s="51">
        <v>1.065</v>
      </c>
      <c r="D865" s="51">
        <v>63.0</v>
      </c>
      <c r="E865" s="52" t="s">
        <v>25</v>
      </c>
      <c r="F865" s="52" t="s">
        <v>26</v>
      </c>
      <c r="G865" s="54"/>
    </row>
    <row r="866">
      <c r="A866" s="49">
        <v>45029.7620084838</v>
      </c>
      <c r="B866" s="50">
        <v>45029.886981493</v>
      </c>
      <c r="C866" s="51">
        <v>1.065</v>
      </c>
      <c r="D866" s="51">
        <v>63.0</v>
      </c>
      <c r="E866" s="52" t="s">
        <v>25</v>
      </c>
      <c r="F866" s="52" t="s">
        <v>26</v>
      </c>
      <c r="G866" s="54"/>
    </row>
    <row r="867">
      <c r="A867" s="49">
        <v>45029.77242642361</v>
      </c>
      <c r="B867" s="50">
        <v>45029.8974041319</v>
      </c>
      <c r="C867" s="51">
        <v>1.064</v>
      </c>
      <c r="D867" s="51">
        <v>63.0</v>
      </c>
      <c r="E867" s="52" t="s">
        <v>25</v>
      </c>
      <c r="F867" s="52" t="s">
        <v>26</v>
      </c>
      <c r="G867" s="54"/>
    </row>
    <row r="868">
      <c r="A868" s="49">
        <v>45029.782842685185</v>
      </c>
      <c r="B868" s="50">
        <v>45029.9078262037</v>
      </c>
      <c r="C868" s="51">
        <v>1.064</v>
      </c>
      <c r="D868" s="51">
        <v>63.0</v>
      </c>
      <c r="E868" s="52" t="s">
        <v>25</v>
      </c>
      <c r="F868" s="52" t="s">
        <v>26</v>
      </c>
      <c r="G868" s="54"/>
    </row>
    <row r="869">
      <c r="A869" s="49">
        <v>45029.79326099537</v>
      </c>
      <c r="B869" s="50">
        <v>45029.9182454629</v>
      </c>
      <c r="C869" s="51">
        <v>1.064</v>
      </c>
      <c r="D869" s="51">
        <v>63.0</v>
      </c>
      <c r="E869" s="52" t="s">
        <v>25</v>
      </c>
      <c r="F869" s="52" t="s">
        <v>26</v>
      </c>
      <c r="G869" s="54"/>
    </row>
    <row r="870">
      <c r="A870" s="49">
        <v>45029.803708287036</v>
      </c>
      <c r="B870" s="50">
        <v>45029.9286887731</v>
      </c>
      <c r="C870" s="51">
        <v>1.064</v>
      </c>
      <c r="D870" s="51">
        <v>63.0</v>
      </c>
      <c r="E870" s="52" t="s">
        <v>25</v>
      </c>
      <c r="F870" s="52" t="s">
        <v>26</v>
      </c>
      <c r="G870" s="54"/>
    </row>
    <row r="871">
      <c r="A871" s="49">
        <v>45029.81414333334</v>
      </c>
      <c r="B871" s="50">
        <v>45029.9391107523</v>
      </c>
      <c r="C871" s="51">
        <v>1.064</v>
      </c>
      <c r="D871" s="51">
        <v>63.0</v>
      </c>
      <c r="E871" s="52" t="s">
        <v>25</v>
      </c>
      <c r="F871" s="52" t="s">
        <v>26</v>
      </c>
      <c r="G871" s="54"/>
    </row>
    <row r="872">
      <c r="A872" s="49">
        <v>45029.82455872685</v>
      </c>
      <c r="B872" s="50">
        <v>45029.9495306713</v>
      </c>
      <c r="C872" s="51">
        <v>1.064</v>
      </c>
      <c r="D872" s="51">
        <v>63.0</v>
      </c>
      <c r="E872" s="52" t="s">
        <v>25</v>
      </c>
      <c r="F872" s="52" t="s">
        <v>26</v>
      </c>
      <c r="G872" s="54"/>
    </row>
    <row r="873">
      <c r="A873" s="49">
        <v>45029.834992777774</v>
      </c>
      <c r="B873" s="50">
        <v>45029.9599628819</v>
      </c>
      <c r="C873" s="51">
        <v>1.064</v>
      </c>
      <c r="D873" s="51">
        <v>63.0</v>
      </c>
      <c r="E873" s="52" t="s">
        <v>25</v>
      </c>
      <c r="F873" s="52" t="s">
        <v>26</v>
      </c>
      <c r="G873" s="54"/>
    </row>
    <row r="874">
      <c r="A874" s="49">
        <v>45029.845414490745</v>
      </c>
      <c r="B874" s="50">
        <v>45029.9703839583</v>
      </c>
      <c r="C874" s="51">
        <v>1.064</v>
      </c>
      <c r="D874" s="51">
        <v>63.0</v>
      </c>
      <c r="E874" s="52" t="s">
        <v>25</v>
      </c>
      <c r="F874" s="52" t="s">
        <v>26</v>
      </c>
      <c r="G874" s="54"/>
    </row>
    <row r="875">
      <c r="A875" s="49">
        <v>45029.85583613426</v>
      </c>
      <c r="B875" s="50">
        <v>45029.9808060069</v>
      </c>
      <c r="C875" s="51">
        <v>1.064</v>
      </c>
      <c r="D875" s="51">
        <v>63.0</v>
      </c>
      <c r="E875" s="52" t="s">
        <v>25</v>
      </c>
      <c r="F875" s="52" t="s">
        <v>26</v>
      </c>
      <c r="G875" s="54"/>
    </row>
    <row r="876">
      <c r="A876" s="49">
        <v>45029.866269872684</v>
      </c>
      <c r="B876" s="50">
        <v>45029.991240868</v>
      </c>
      <c r="C876" s="51">
        <v>1.064</v>
      </c>
      <c r="D876" s="51">
        <v>63.0</v>
      </c>
      <c r="E876" s="52" t="s">
        <v>25</v>
      </c>
      <c r="F876" s="52" t="s">
        <v>26</v>
      </c>
      <c r="G876" s="54"/>
    </row>
    <row r="877">
      <c r="A877" s="49">
        <v>45029.87668966435</v>
      </c>
      <c r="B877" s="50">
        <v>45030.0016624768</v>
      </c>
      <c r="C877" s="51">
        <v>1.064</v>
      </c>
      <c r="D877" s="51">
        <v>63.0</v>
      </c>
      <c r="E877" s="52" t="s">
        <v>25</v>
      </c>
      <c r="F877" s="52" t="s">
        <v>26</v>
      </c>
      <c r="G877" s="54"/>
    </row>
    <row r="878">
      <c r="A878" s="49">
        <v>45029.887118715276</v>
      </c>
      <c r="B878" s="50">
        <v>45030.0120975347</v>
      </c>
      <c r="C878" s="51">
        <v>1.064</v>
      </c>
      <c r="D878" s="51">
        <v>63.0</v>
      </c>
      <c r="E878" s="52" t="s">
        <v>25</v>
      </c>
      <c r="F878" s="52" t="s">
        <v>26</v>
      </c>
      <c r="G878" s="54"/>
    </row>
    <row r="879">
      <c r="A879" s="49">
        <v>45029.89753665509</v>
      </c>
      <c r="B879" s="50">
        <v>45030.0225173842</v>
      </c>
      <c r="C879" s="51">
        <v>1.064</v>
      </c>
      <c r="D879" s="51">
        <v>63.0</v>
      </c>
      <c r="E879" s="52" t="s">
        <v>25</v>
      </c>
      <c r="F879" s="52" t="s">
        <v>26</v>
      </c>
      <c r="G879" s="54"/>
    </row>
    <row r="880">
      <c r="A880" s="49">
        <v>45029.90795793981</v>
      </c>
      <c r="B880" s="50">
        <v>45030.0329384143</v>
      </c>
      <c r="C880" s="51">
        <v>1.064</v>
      </c>
      <c r="D880" s="51">
        <v>63.0</v>
      </c>
      <c r="E880" s="52" t="s">
        <v>25</v>
      </c>
      <c r="F880" s="52" t="s">
        <v>26</v>
      </c>
      <c r="G880" s="54"/>
    </row>
    <row r="881">
      <c r="A881" s="49">
        <v>45029.9184033912</v>
      </c>
      <c r="B881" s="50">
        <v>45030.0433724189</v>
      </c>
      <c r="C881" s="51">
        <v>1.064</v>
      </c>
      <c r="D881" s="51">
        <v>63.0</v>
      </c>
      <c r="E881" s="52" t="s">
        <v>25</v>
      </c>
      <c r="F881" s="52" t="s">
        <v>26</v>
      </c>
      <c r="G881" s="54"/>
    </row>
    <row r="882">
      <c r="A882" s="49">
        <v>45029.9288243287</v>
      </c>
      <c r="B882" s="50">
        <v>45030.0537935995</v>
      </c>
      <c r="C882" s="51">
        <v>1.064</v>
      </c>
      <c r="D882" s="51">
        <v>63.0</v>
      </c>
      <c r="E882" s="52" t="s">
        <v>25</v>
      </c>
      <c r="F882" s="52" t="s">
        <v>26</v>
      </c>
      <c r="G882" s="54"/>
    </row>
    <row r="883">
      <c r="A883" s="49">
        <v>45029.93924075231</v>
      </c>
      <c r="B883" s="50">
        <v>45030.0642142939</v>
      </c>
      <c r="C883" s="51">
        <v>1.064</v>
      </c>
      <c r="D883" s="51">
        <v>63.0</v>
      </c>
      <c r="E883" s="52" t="s">
        <v>25</v>
      </c>
      <c r="F883" s="52" t="s">
        <v>26</v>
      </c>
      <c r="G883" s="54"/>
    </row>
    <row r="884">
      <c r="A884" s="49">
        <v>45029.94966104167</v>
      </c>
      <c r="B884" s="50">
        <v>45030.0746347222</v>
      </c>
      <c r="C884" s="51">
        <v>1.064</v>
      </c>
      <c r="D884" s="51">
        <v>63.0</v>
      </c>
      <c r="E884" s="52" t="s">
        <v>25</v>
      </c>
      <c r="F884" s="52" t="s">
        <v>26</v>
      </c>
      <c r="G884" s="54"/>
    </row>
    <row r="885">
      <c r="A885" s="49">
        <v>45029.96008039352</v>
      </c>
      <c r="B885" s="50">
        <v>45030.0850540046</v>
      </c>
      <c r="C885" s="51">
        <v>1.064</v>
      </c>
      <c r="D885" s="51">
        <v>63.0</v>
      </c>
      <c r="E885" s="52" t="s">
        <v>25</v>
      </c>
      <c r="F885" s="52" t="s">
        <v>26</v>
      </c>
      <c r="G885" s="54"/>
    </row>
    <row r="886">
      <c r="A886" s="49">
        <v>45029.97051053241</v>
      </c>
      <c r="B886" s="50">
        <v>45030.0954876736</v>
      </c>
      <c r="C886" s="51">
        <v>1.064</v>
      </c>
      <c r="D886" s="51">
        <v>63.0</v>
      </c>
      <c r="E886" s="52" t="s">
        <v>25</v>
      </c>
      <c r="F886" s="52" t="s">
        <v>26</v>
      </c>
      <c r="G886" s="54"/>
    </row>
    <row r="887">
      <c r="A887" s="49">
        <v>45029.98093958333</v>
      </c>
      <c r="B887" s="50">
        <v>45030.1059076041</v>
      </c>
      <c r="C887" s="51">
        <v>1.064</v>
      </c>
      <c r="D887" s="51">
        <v>63.0</v>
      </c>
      <c r="E887" s="52" t="s">
        <v>25</v>
      </c>
      <c r="F887" s="52" t="s">
        <v>26</v>
      </c>
      <c r="G887" s="54"/>
    </row>
    <row r="888">
      <c r="A888" s="49">
        <v>45029.99135872685</v>
      </c>
      <c r="B888" s="50">
        <v>45030.11632853</v>
      </c>
      <c r="C888" s="51">
        <v>1.064</v>
      </c>
      <c r="D888" s="51">
        <v>63.0</v>
      </c>
      <c r="E888" s="52" t="s">
        <v>25</v>
      </c>
      <c r="F888" s="52" t="s">
        <v>26</v>
      </c>
      <c r="G888" s="54"/>
    </row>
    <row r="889">
      <c r="A889" s="49">
        <v>45030.001775173616</v>
      </c>
      <c r="B889" s="50">
        <v>45030.1267485648</v>
      </c>
      <c r="C889" s="51">
        <v>1.064</v>
      </c>
      <c r="D889" s="51">
        <v>63.0</v>
      </c>
      <c r="E889" s="52" t="s">
        <v>25</v>
      </c>
      <c r="F889" s="52" t="s">
        <v>26</v>
      </c>
      <c r="G889" s="54"/>
    </row>
    <row r="890">
      <c r="A890" s="49">
        <v>45030.012202303245</v>
      </c>
      <c r="B890" s="50">
        <v>45030.1371705324</v>
      </c>
      <c r="C890" s="51">
        <v>1.064</v>
      </c>
      <c r="D890" s="51">
        <v>63.0</v>
      </c>
      <c r="E890" s="52" t="s">
        <v>25</v>
      </c>
      <c r="F890" s="52" t="s">
        <v>26</v>
      </c>
      <c r="G890" s="54"/>
    </row>
    <row r="891">
      <c r="A891" s="49">
        <v>45030.02261290509</v>
      </c>
      <c r="B891" s="50">
        <v>45030.1475912847</v>
      </c>
      <c r="C891" s="51">
        <v>1.064</v>
      </c>
      <c r="D891" s="51">
        <v>63.0</v>
      </c>
      <c r="E891" s="52" t="s">
        <v>25</v>
      </c>
      <c r="F891" s="52" t="s">
        <v>26</v>
      </c>
      <c r="G891" s="54"/>
    </row>
    <row r="892">
      <c r="A892" s="49">
        <v>45030.03303521991</v>
      </c>
      <c r="B892" s="50">
        <v>45030.1580135301</v>
      </c>
      <c r="C892" s="51">
        <v>1.064</v>
      </c>
      <c r="D892" s="51">
        <v>63.0</v>
      </c>
      <c r="E892" s="52" t="s">
        <v>25</v>
      </c>
      <c r="F892" s="52" t="s">
        <v>26</v>
      </c>
      <c r="G892" s="54"/>
    </row>
    <row r="893">
      <c r="A893" s="49">
        <v>45030.04347175926</v>
      </c>
      <c r="B893" s="50">
        <v>45030.168435243</v>
      </c>
      <c r="C893" s="51">
        <v>1.064</v>
      </c>
      <c r="D893" s="51">
        <v>63.0</v>
      </c>
      <c r="E893" s="52" t="s">
        <v>25</v>
      </c>
      <c r="F893" s="52" t="s">
        <v>26</v>
      </c>
      <c r="G893" s="54"/>
    </row>
    <row r="894">
      <c r="A894" s="49">
        <v>45030.053905671295</v>
      </c>
      <c r="B894" s="50">
        <v>45030.1788688657</v>
      </c>
      <c r="C894" s="51">
        <v>1.063</v>
      </c>
      <c r="D894" s="51">
        <v>63.0</v>
      </c>
      <c r="E894" s="52" t="s">
        <v>25</v>
      </c>
      <c r="F894" s="52" t="s">
        <v>26</v>
      </c>
      <c r="G894" s="54"/>
    </row>
    <row r="895">
      <c r="A895" s="49">
        <v>45030.06431746528</v>
      </c>
      <c r="B895" s="50">
        <v>45030.1892911226</v>
      </c>
      <c r="C895" s="51">
        <v>1.063</v>
      </c>
      <c r="D895" s="51">
        <v>63.0</v>
      </c>
      <c r="E895" s="52" t="s">
        <v>25</v>
      </c>
      <c r="F895" s="52" t="s">
        <v>26</v>
      </c>
      <c r="G895" s="54"/>
    </row>
    <row r="896">
      <c r="A896" s="49">
        <v>45030.07474599537</v>
      </c>
      <c r="B896" s="50">
        <v>45030.1997123958</v>
      </c>
      <c r="C896" s="51">
        <v>1.063</v>
      </c>
      <c r="D896" s="51">
        <v>63.0</v>
      </c>
      <c r="E896" s="52" t="s">
        <v>25</v>
      </c>
      <c r="F896" s="52" t="s">
        <v>26</v>
      </c>
      <c r="G896" s="54"/>
    </row>
    <row r="897">
      <c r="A897" s="49">
        <v>45030.08517841435</v>
      </c>
      <c r="B897" s="50">
        <v>45030.2101455092</v>
      </c>
      <c r="C897" s="51">
        <v>1.063</v>
      </c>
      <c r="D897" s="51">
        <v>64.0</v>
      </c>
      <c r="E897" s="52" t="s">
        <v>25</v>
      </c>
      <c r="F897" s="52" t="s">
        <v>26</v>
      </c>
      <c r="G897" s="54"/>
    </row>
    <row r="898">
      <c r="A898" s="49">
        <v>45030.09560424769</v>
      </c>
      <c r="B898" s="50">
        <v>45030.2205767592</v>
      </c>
      <c r="C898" s="51">
        <v>1.063</v>
      </c>
      <c r="D898" s="51">
        <v>64.0</v>
      </c>
      <c r="E898" s="52" t="s">
        <v>25</v>
      </c>
      <c r="F898" s="52" t="s">
        <v>26</v>
      </c>
      <c r="G898" s="54"/>
    </row>
    <row r="899">
      <c r="A899" s="49">
        <v>45030.10602074074</v>
      </c>
      <c r="B899" s="50">
        <v>45030.2309973842</v>
      </c>
      <c r="C899" s="51">
        <v>1.063</v>
      </c>
      <c r="D899" s="51">
        <v>63.0</v>
      </c>
      <c r="E899" s="52" t="s">
        <v>25</v>
      </c>
      <c r="F899" s="52" t="s">
        <v>26</v>
      </c>
      <c r="G899" s="54"/>
    </row>
    <row r="900">
      <c r="A900" s="49">
        <v>45030.11645018519</v>
      </c>
      <c r="B900" s="50">
        <v>45030.2414178009</v>
      </c>
      <c r="C900" s="51">
        <v>1.063</v>
      </c>
      <c r="D900" s="51">
        <v>64.0</v>
      </c>
      <c r="E900" s="52" t="s">
        <v>25</v>
      </c>
      <c r="F900" s="52" t="s">
        <v>26</v>
      </c>
      <c r="G900" s="54"/>
    </row>
    <row r="901">
      <c r="A901" s="49">
        <v>45030.126871875</v>
      </c>
      <c r="B901" s="50">
        <v>45030.2518385301</v>
      </c>
      <c r="C901" s="51">
        <v>1.063</v>
      </c>
      <c r="D901" s="51">
        <v>64.0</v>
      </c>
      <c r="E901" s="52" t="s">
        <v>25</v>
      </c>
      <c r="F901" s="52" t="s">
        <v>26</v>
      </c>
      <c r="G901" s="54"/>
    </row>
    <row r="902">
      <c r="A902" s="49">
        <v>45030.13727877315</v>
      </c>
      <c r="B902" s="50">
        <v>45030.2622575</v>
      </c>
      <c r="C902" s="51">
        <v>1.063</v>
      </c>
      <c r="D902" s="51">
        <v>63.0</v>
      </c>
      <c r="E902" s="52" t="s">
        <v>25</v>
      </c>
      <c r="F902" s="52" t="s">
        <v>26</v>
      </c>
      <c r="G902" s="54"/>
    </row>
    <row r="903">
      <c r="A903" s="49">
        <v>45030.14771796296</v>
      </c>
      <c r="B903" s="50">
        <v>45030.2726898032</v>
      </c>
      <c r="C903" s="51">
        <v>1.063</v>
      </c>
      <c r="D903" s="51">
        <v>64.0</v>
      </c>
      <c r="E903" s="52" t="s">
        <v>25</v>
      </c>
      <c r="F903" s="52" t="s">
        <v>26</v>
      </c>
      <c r="G903" s="54"/>
    </row>
    <row r="904">
      <c r="A904" s="49">
        <v>45030.158139872685</v>
      </c>
      <c r="B904" s="50">
        <v>45030.2831096875</v>
      </c>
      <c r="C904" s="51">
        <v>1.063</v>
      </c>
      <c r="D904" s="51">
        <v>64.0</v>
      </c>
      <c r="E904" s="52" t="s">
        <v>25</v>
      </c>
      <c r="F904" s="52" t="s">
        <v>26</v>
      </c>
      <c r="G904" s="54"/>
    </row>
    <row r="905">
      <c r="A905" s="49">
        <v>45030.16855665509</v>
      </c>
      <c r="B905" s="50">
        <v>45030.2935310879</v>
      </c>
      <c r="C905" s="51">
        <v>1.063</v>
      </c>
      <c r="D905" s="51">
        <v>64.0</v>
      </c>
      <c r="E905" s="52" t="s">
        <v>25</v>
      </c>
      <c r="F905" s="52" t="s">
        <v>26</v>
      </c>
      <c r="G905" s="54"/>
    </row>
    <row r="906">
      <c r="A906" s="49">
        <v>45030.17897435185</v>
      </c>
      <c r="B906" s="50">
        <v>45030.3039531828</v>
      </c>
      <c r="C906" s="51">
        <v>1.063</v>
      </c>
      <c r="D906" s="51">
        <v>64.0</v>
      </c>
      <c r="E906" s="52" t="s">
        <v>25</v>
      </c>
      <c r="F906" s="52" t="s">
        <v>26</v>
      </c>
      <c r="G906" s="54"/>
    </row>
    <row r="907">
      <c r="A907" s="49">
        <v>45030.18941114584</v>
      </c>
      <c r="B907" s="50">
        <v>45030.3143862037</v>
      </c>
      <c r="C907" s="51">
        <v>1.063</v>
      </c>
      <c r="D907" s="51">
        <v>64.0</v>
      </c>
      <c r="E907" s="52" t="s">
        <v>25</v>
      </c>
      <c r="F907" s="52" t="s">
        <v>26</v>
      </c>
      <c r="G907" s="54"/>
    </row>
    <row r="908">
      <c r="A908" s="49">
        <v>45030.199828136574</v>
      </c>
      <c r="B908" s="50">
        <v>45030.3248077546</v>
      </c>
      <c r="C908" s="51">
        <v>1.063</v>
      </c>
      <c r="D908" s="51">
        <v>64.0</v>
      </c>
      <c r="E908" s="52" t="s">
        <v>25</v>
      </c>
      <c r="F908" s="52" t="s">
        <v>26</v>
      </c>
      <c r="G908" s="54"/>
    </row>
    <row r="909">
      <c r="A909" s="49">
        <v>45030.210258657404</v>
      </c>
      <c r="B909" s="50">
        <v>45030.3352286689</v>
      </c>
      <c r="C909" s="51">
        <v>1.063</v>
      </c>
      <c r="D909" s="51">
        <v>64.0</v>
      </c>
      <c r="E909" s="52" t="s">
        <v>25</v>
      </c>
      <c r="F909" s="52" t="s">
        <v>26</v>
      </c>
      <c r="G909" s="54"/>
    </row>
    <row r="910">
      <c r="A910" s="49">
        <v>45030.22068920139</v>
      </c>
      <c r="B910" s="50">
        <v>45030.3456600347</v>
      </c>
      <c r="C910" s="51">
        <v>1.063</v>
      </c>
      <c r="D910" s="51">
        <v>64.0</v>
      </c>
      <c r="E910" s="52" t="s">
        <v>25</v>
      </c>
      <c r="F910" s="52" t="s">
        <v>26</v>
      </c>
      <c r="G910" s="54"/>
    </row>
    <row r="911">
      <c r="A911" s="49">
        <v>45030.23110818287</v>
      </c>
      <c r="B911" s="50">
        <v>45030.3560798958</v>
      </c>
      <c r="C911" s="51">
        <v>1.063</v>
      </c>
      <c r="D911" s="51">
        <v>64.0</v>
      </c>
      <c r="E911" s="52" t="s">
        <v>25</v>
      </c>
      <c r="F911" s="52" t="s">
        <v>26</v>
      </c>
      <c r="G911" s="54"/>
    </row>
    <row r="912">
      <c r="A912" s="49">
        <v>45030.241551307874</v>
      </c>
      <c r="B912" s="50">
        <v>45030.3665239814</v>
      </c>
      <c r="C912" s="51">
        <v>1.063</v>
      </c>
      <c r="D912" s="51">
        <v>64.0</v>
      </c>
      <c r="E912" s="52" t="s">
        <v>25</v>
      </c>
      <c r="F912" s="52" t="s">
        <v>26</v>
      </c>
      <c r="G912" s="54"/>
    </row>
    <row r="913">
      <c r="A913" s="49">
        <v>45030.25197604166</v>
      </c>
      <c r="B913" s="50">
        <v>45030.3769450926</v>
      </c>
      <c r="C913" s="51">
        <v>1.063</v>
      </c>
      <c r="D913" s="51">
        <v>64.0</v>
      </c>
      <c r="E913" s="52" t="s">
        <v>25</v>
      </c>
      <c r="F913" s="52" t="s">
        <v>26</v>
      </c>
      <c r="G913" s="54"/>
    </row>
    <row r="914">
      <c r="A914" s="49">
        <v>45030.262394907404</v>
      </c>
      <c r="B914" s="50">
        <v>45030.3873648958</v>
      </c>
      <c r="C914" s="51">
        <v>1.063</v>
      </c>
      <c r="D914" s="51">
        <v>64.0</v>
      </c>
      <c r="E914" s="52" t="s">
        <v>25</v>
      </c>
      <c r="F914" s="52" t="s">
        <v>26</v>
      </c>
      <c r="G914" s="54"/>
    </row>
    <row r="915">
      <c r="A915" s="49">
        <v>45030.27281472222</v>
      </c>
      <c r="B915" s="50">
        <v>45030.397788125</v>
      </c>
      <c r="C915" s="51">
        <v>1.063</v>
      </c>
      <c r="D915" s="51">
        <v>64.0</v>
      </c>
      <c r="E915" s="52" t="s">
        <v>25</v>
      </c>
      <c r="F915" s="52" t="s">
        <v>26</v>
      </c>
      <c r="G915" s="54"/>
    </row>
    <row r="916">
      <c r="A916" s="49">
        <v>45030.28323696759</v>
      </c>
      <c r="B916" s="50">
        <v>45030.4082094444</v>
      </c>
      <c r="C916" s="51">
        <v>1.063</v>
      </c>
      <c r="D916" s="51">
        <v>64.0</v>
      </c>
      <c r="E916" s="52" t="s">
        <v>25</v>
      </c>
      <c r="F916" s="52" t="s">
        <v>26</v>
      </c>
      <c r="G916" s="54"/>
    </row>
    <row r="917">
      <c r="A917" s="49">
        <v>45030.29367053241</v>
      </c>
      <c r="B917" s="50">
        <v>45030.4186429282</v>
      </c>
      <c r="C917" s="51">
        <v>1.062</v>
      </c>
      <c r="D917" s="51">
        <v>64.0</v>
      </c>
      <c r="E917" s="52" t="s">
        <v>25</v>
      </c>
      <c r="F917" s="52" t="s">
        <v>26</v>
      </c>
      <c r="G917" s="54"/>
    </row>
    <row r="918">
      <c r="A918" s="49">
        <v>45030.30414061343</v>
      </c>
      <c r="B918" s="50">
        <v>45030.4290637615</v>
      </c>
      <c r="C918" s="51">
        <v>1.062</v>
      </c>
      <c r="D918" s="51">
        <v>64.0</v>
      </c>
      <c r="E918" s="52" t="s">
        <v>25</v>
      </c>
      <c r="F918" s="52" t="s">
        <v>26</v>
      </c>
      <c r="G918" s="54"/>
    </row>
    <row r="919">
      <c r="A919" s="49">
        <v>45030.314507303236</v>
      </c>
      <c r="B919" s="50">
        <v>45030.4394841898</v>
      </c>
      <c r="C919" s="51">
        <v>1.062</v>
      </c>
      <c r="D919" s="51">
        <v>64.0</v>
      </c>
      <c r="E919" s="52" t="s">
        <v>25</v>
      </c>
      <c r="F919" s="52" t="s">
        <v>26</v>
      </c>
      <c r="G919" s="54"/>
    </row>
    <row r="920">
      <c r="A920" s="49">
        <v>45030.32493798611</v>
      </c>
      <c r="B920" s="50">
        <v>45030.4499041319</v>
      </c>
      <c r="C920" s="51">
        <v>1.062</v>
      </c>
      <c r="D920" s="51">
        <v>64.0</v>
      </c>
      <c r="E920" s="52" t="s">
        <v>25</v>
      </c>
      <c r="F920" s="52" t="s">
        <v>26</v>
      </c>
      <c r="G920" s="54"/>
    </row>
    <row r="921">
      <c r="A921" s="49">
        <v>45030.33535460648</v>
      </c>
      <c r="B921" s="50">
        <v>45030.4603258333</v>
      </c>
      <c r="C921" s="51">
        <v>1.062</v>
      </c>
      <c r="D921" s="51">
        <v>64.0</v>
      </c>
      <c r="E921" s="52" t="s">
        <v>25</v>
      </c>
      <c r="F921" s="52" t="s">
        <v>26</v>
      </c>
      <c r="G921" s="54"/>
    </row>
    <row r="922">
      <c r="A922" s="49">
        <v>45030.3457712963</v>
      </c>
      <c r="B922" s="50">
        <v>45030.4707460532</v>
      </c>
      <c r="C922" s="51">
        <v>1.062</v>
      </c>
      <c r="D922" s="51">
        <v>64.0</v>
      </c>
      <c r="E922" s="52" t="s">
        <v>25</v>
      </c>
      <c r="F922" s="52" t="s">
        <v>26</v>
      </c>
      <c r="G922" s="54"/>
    </row>
    <row r="923">
      <c r="A923" s="49">
        <v>45030.35620224537</v>
      </c>
      <c r="B923" s="50">
        <v>45030.4811669097</v>
      </c>
      <c r="C923" s="51">
        <v>1.062</v>
      </c>
      <c r="D923" s="51">
        <v>64.0</v>
      </c>
      <c r="E923" s="52" t="s">
        <v>25</v>
      </c>
      <c r="F923" s="52" t="s">
        <v>26</v>
      </c>
      <c r="G923" s="54"/>
    </row>
    <row r="924">
      <c r="A924" s="49">
        <v>45030.36662678241</v>
      </c>
      <c r="B924" s="50">
        <v>45030.4916013541</v>
      </c>
      <c r="C924" s="51">
        <v>1.062</v>
      </c>
      <c r="D924" s="51">
        <v>64.0</v>
      </c>
      <c r="E924" s="52" t="s">
        <v>25</v>
      </c>
      <c r="F924" s="52" t="s">
        <v>26</v>
      </c>
      <c r="G924" s="54"/>
    </row>
    <row r="925">
      <c r="A925" s="49">
        <v>45030.377053703705</v>
      </c>
      <c r="B925" s="50">
        <v>45030.5020219097</v>
      </c>
      <c r="C925" s="51">
        <v>1.062</v>
      </c>
      <c r="D925" s="51">
        <v>64.0</v>
      </c>
      <c r="E925" s="52" t="s">
        <v>25</v>
      </c>
      <c r="F925" s="52" t="s">
        <v>26</v>
      </c>
      <c r="G925" s="54"/>
    </row>
    <row r="926">
      <c r="A926" s="49">
        <v>45030.38746932871</v>
      </c>
      <c r="B926" s="50">
        <v>45030.5124420949</v>
      </c>
      <c r="C926" s="51">
        <v>1.062</v>
      </c>
      <c r="D926" s="51">
        <v>64.0</v>
      </c>
      <c r="E926" s="52" t="s">
        <v>25</v>
      </c>
      <c r="F926" s="52" t="s">
        <v>26</v>
      </c>
      <c r="G926" s="54"/>
    </row>
    <row r="927">
      <c r="A927" s="49">
        <v>45030.39789150463</v>
      </c>
      <c r="B927" s="50">
        <v>45030.5228617708</v>
      </c>
      <c r="C927" s="51">
        <v>1.062</v>
      </c>
      <c r="D927" s="51">
        <v>64.0</v>
      </c>
      <c r="E927" s="52" t="s">
        <v>25</v>
      </c>
      <c r="F927" s="52" t="s">
        <v>26</v>
      </c>
      <c r="G927" s="54"/>
    </row>
    <row r="928">
      <c r="A928" s="49">
        <v>45030.40831846065</v>
      </c>
      <c r="B928" s="50">
        <v>45030.5332953588</v>
      </c>
      <c r="C928" s="51">
        <v>1.062</v>
      </c>
      <c r="D928" s="51">
        <v>64.0</v>
      </c>
      <c r="E928" s="52" t="s">
        <v>25</v>
      </c>
      <c r="F928" s="52" t="s">
        <v>26</v>
      </c>
      <c r="G928" s="54"/>
    </row>
    <row r="929">
      <c r="A929" s="49">
        <v>45030.41874905092</v>
      </c>
      <c r="B929" s="50">
        <v>45030.5437163657</v>
      </c>
      <c r="C929" s="51">
        <v>1.062</v>
      </c>
      <c r="D929" s="51">
        <v>64.0</v>
      </c>
      <c r="E929" s="52" t="s">
        <v>25</v>
      </c>
      <c r="F929" s="52" t="s">
        <v>26</v>
      </c>
      <c r="G929" s="54"/>
    </row>
    <row r="930">
      <c r="A930" s="49">
        <v>45030.42916513889</v>
      </c>
      <c r="B930" s="50">
        <v>45030.5541373958</v>
      </c>
      <c r="C930" s="51">
        <v>1.062</v>
      </c>
      <c r="D930" s="51">
        <v>64.0</v>
      </c>
      <c r="E930" s="52" t="s">
        <v>25</v>
      </c>
      <c r="F930" s="52" t="s">
        <v>26</v>
      </c>
      <c r="G930" s="54"/>
    </row>
    <row r="931">
      <c r="A931" s="49">
        <v>45030.43958693287</v>
      </c>
      <c r="B931" s="50">
        <v>45030.5645575463</v>
      </c>
      <c r="C931" s="51">
        <v>1.062</v>
      </c>
      <c r="D931" s="51">
        <v>64.0</v>
      </c>
      <c r="E931" s="52" t="s">
        <v>25</v>
      </c>
      <c r="F931" s="52" t="s">
        <v>26</v>
      </c>
      <c r="G931" s="54"/>
    </row>
    <row r="932">
      <c r="A932" s="49">
        <v>45030.45001461805</v>
      </c>
      <c r="B932" s="50">
        <v>45030.5749896527</v>
      </c>
      <c r="C932" s="51">
        <v>1.062</v>
      </c>
      <c r="D932" s="51">
        <v>64.0</v>
      </c>
      <c r="E932" s="52" t="s">
        <v>25</v>
      </c>
      <c r="F932" s="52" t="s">
        <v>26</v>
      </c>
      <c r="G932" s="54"/>
    </row>
    <row r="933">
      <c r="A933" s="49">
        <v>45030.460429733794</v>
      </c>
      <c r="B933" s="50">
        <v>45030.5854113657</v>
      </c>
      <c r="C933" s="51">
        <v>1.062</v>
      </c>
      <c r="D933" s="51">
        <v>64.0</v>
      </c>
      <c r="E933" s="52" t="s">
        <v>25</v>
      </c>
      <c r="F933" s="52" t="s">
        <v>26</v>
      </c>
      <c r="G933" s="54"/>
    </row>
    <row r="934">
      <c r="A934" s="49">
        <v>45030.47087738426</v>
      </c>
      <c r="B934" s="50">
        <v>45030.5958448611</v>
      </c>
      <c r="C934" s="51">
        <v>1.062</v>
      </c>
      <c r="D934" s="51">
        <v>64.0</v>
      </c>
      <c r="E934" s="52" t="s">
        <v>25</v>
      </c>
      <c r="F934" s="52" t="s">
        <v>26</v>
      </c>
      <c r="G934" s="54"/>
    </row>
    <row r="935">
      <c r="A935" s="49">
        <v>45030.481309305556</v>
      </c>
      <c r="B935" s="50">
        <v>45030.6062783912</v>
      </c>
      <c r="C935" s="51">
        <v>1.061</v>
      </c>
      <c r="D935" s="51">
        <v>64.0</v>
      </c>
      <c r="E935" s="52" t="s">
        <v>25</v>
      </c>
      <c r="F935" s="52" t="s">
        <v>26</v>
      </c>
      <c r="G935" s="54"/>
    </row>
    <row r="936">
      <c r="A936" s="49">
        <v>45030.491737268516</v>
      </c>
      <c r="B936" s="50">
        <v>45030.6167002083</v>
      </c>
      <c r="C936" s="51">
        <v>1.061</v>
      </c>
      <c r="D936" s="51">
        <v>64.0</v>
      </c>
      <c r="E936" s="52" t="s">
        <v>25</v>
      </c>
      <c r="F936" s="52" t="s">
        <v>26</v>
      </c>
      <c r="G936" s="54"/>
    </row>
    <row r="937">
      <c r="A937" s="49">
        <v>45030.5021521875</v>
      </c>
      <c r="B937" s="50">
        <v>45030.6271200115</v>
      </c>
      <c r="C937" s="51">
        <v>1.062</v>
      </c>
      <c r="D937" s="51">
        <v>64.0</v>
      </c>
      <c r="E937" s="52" t="s">
        <v>25</v>
      </c>
      <c r="F937" s="52" t="s">
        <v>26</v>
      </c>
      <c r="G937" s="54"/>
    </row>
    <row r="938">
      <c r="A938" s="49">
        <v>45030.512591412036</v>
      </c>
      <c r="B938" s="50">
        <v>45030.637554618</v>
      </c>
      <c r="C938" s="51">
        <v>1.061</v>
      </c>
      <c r="D938" s="51">
        <v>64.0</v>
      </c>
      <c r="E938" s="52" t="s">
        <v>25</v>
      </c>
      <c r="F938" s="52" t="s">
        <v>26</v>
      </c>
      <c r="G938" s="54"/>
    </row>
    <row r="939">
      <c r="A939" s="49">
        <v>45030.52299869213</v>
      </c>
      <c r="B939" s="50">
        <v>45030.647975949</v>
      </c>
      <c r="C939" s="51">
        <v>1.061</v>
      </c>
      <c r="D939" s="51">
        <v>64.0</v>
      </c>
      <c r="E939" s="52" t="s">
        <v>25</v>
      </c>
      <c r="F939" s="52" t="s">
        <v>26</v>
      </c>
      <c r="G939" s="54"/>
    </row>
    <row r="940">
      <c r="A940" s="49">
        <v>45030.53344356481</v>
      </c>
      <c r="B940" s="50">
        <v>45030.6584101273</v>
      </c>
      <c r="C940" s="51">
        <v>1.061</v>
      </c>
      <c r="D940" s="51">
        <v>64.0</v>
      </c>
      <c r="E940" s="52" t="s">
        <v>25</v>
      </c>
      <c r="F940" s="52" t="s">
        <v>26</v>
      </c>
      <c r="G940" s="54"/>
    </row>
    <row r="941">
      <c r="A941" s="49">
        <v>45030.54385180556</v>
      </c>
      <c r="B941" s="50">
        <v>45030.6688303009</v>
      </c>
      <c r="C941" s="51">
        <v>1.061</v>
      </c>
      <c r="D941" s="51">
        <v>64.0</v>
      </c>
      <c r="E941" s="52" t="s">
        <v>25</v>
      </c>
      <c r="F941" s="52" t="s">
        <v>26</v>
      </c>
      <c r="G941" s="54"/>
    </row>
    <row r="942">
      <c r="A942" s="49">
        <v>45030.55428271991</v>
      </c>
      <c r="B942" s="50">
        <v>45030.6792521296</v>
      </c>
      <c r="C942" s="51">
        <v>1.061</v>
      </c>
      <c r="D942" s="51">
        <v>64.0</v>
      </c>
      <c r="E942" s="52" t="s">
        <v>25</v>
      </c>
      <c r="F942" s="52" t="s">
        <v>26</v>
      </c>
      <c r="G942" s="54"/>
    </row>
    <row r="943">
      <c r="A943" s="49">
        <v>45030.56481957176</v>
      </c>
      <c r="B943" s="50">
        <v>45030.689671956</v>
      </c>
      <c r="C943" s="51">
        <v>1.061</v>
      </c>
      <c r="D943" s="51">
        <v>64.0</v>
      </c>
      <c r="E943" s="52" t="s">
        <v>25</v>
      </c>
      <c r="F943" s="52" t="s">
        <v>26</v>
      </c>
      <c r="G943" s="54"/>
    </row>
    <row r="944">
      <c r="A944" s="49">
        <v>45030.5751265625</v>
      </c>
      <c r="B944" s="50">
        <v>45030.7000937268</v>
      </c>
      <c r="C944" s="51">
        <v>1.061</v>
      </c>
      <c r="D944" s="51">
        <v>64.0</v>
      </c>
      <c r="E944" s="52" t="s">
        <v>25</v>
      </c>
      <c r="F944" s="52" t="s">
        <v>26</v>
      </c>
      <c r="G944" s="54"/>
    </row>
    <row r="945">
      <c r="A945" s="49">
        <v>45030.58554559028</v>
      </c>
      <c r="B945" s="50">
        <v>45030.710512824</v>
      </c>
      <c r="C945" s="51">
        <v>1.061</v>
      </c>
      <c r="D945" s="51">
        <v>64.0</v>
      </c>
      <c r="E945" s="52" t="s">
        <v>25</v>
      </c>
      <c r="F945" s="52" t="s">
        <v>26</v>
      </c>
      <c r="G945" s="54"/>
    </row>
    <row r="946">
      <c r="A946" s="49">
        <v>45030.595967245376</v>
      </c>
      <c r="B946" s="50">
        <v>45030.7209339467</v>
      </c>
      <c r="C946" s="51">
        <v>1.061</v>
      </c>
      <c r="D946" s="51">
        <v>64.0</v>
      </c>
      <c r="E946" s="52" t="s">
        <v>25</v>
      </c>
      <c r="F946" s="52" t="s">
        <v>26</v>
      </c>
      <c r="G946" s="54"/>
    </row>
    <row r="947">
      <c r="A947" s="49">
        <v>45030.60639594907</v>
      </c>
      <c r="B947" s="50">
        <v>45030.7313655092</v>
      </c>
      <c r="C947" s="51">
        <v>1.061</v>
      </c>
      <c r="D947" s="51">
        <v>64.0</v>
      </c>
      <c r="E947" s="52" t="s">
        <v>25</v>
      </c>
      <c r="F947" s="52" t="s">
        <v>26</v>
      </c>
      <c r="G947" s="54"/>
    </row>
    <row r="948">
      <c r="A948" s="49">
        <v>45030.616830451385</v>
      </c>
      <c r="B948" s="50">
        <v>45030.7417995254</v>
      </c>
      <c r="C948" s="51">
        <v>1.061</v>
      </c>
      <c r="D948" s="51">
        <v>64.0</v>
      </c>
      <c r="E948" s="52" t="s">
        <v>25</v>
      </c>
      <c r="F948" s="52" t="s">
        <v>26</v>
      </c>
      <c r="G948" s="54"/>
    </row>
    <row r="949">
      <c r="A949" s="49">
        <v>45030.62726001158</v>
      </c>
      <c r="B949" s="50">
        <v>45030.7522293518</v>
      </c>
      <c r="C949" s="51">
        <v>1.061</v>
      </c>
      <c r="D949" s="51">
        <v>64.0</v>
      </c>
      <c r="E949" s="52" t="s">
        <v>25</v>
      </c>
      <c r="F949" s="52" t="s">
        <v>26</v>
      </c>
      <c r="G949" s="54"/>
    </row>
    <row r="950">
      <c r="A950" s="49">
        <v>45030.63767347222</v>
      </c>
      <c r="B950" s="50">
        <v>45030.76264978</v>
      </c>
      <c r="C950" s="51">
        <v>1.061</v>
      </c>
      <c r="D950" s="51">
        <v>64.0</v>
      </c>
      <c r="E950" s="52" t="s">
        <v>25</v>
      </c>
      <c r="F950" s="52" t="s">
        <v>26</v>
      </c>
      <c r="G950" s="54"/>
    </row>
    <row r="951">
      <c r="A951" s="49">
        <v>45030.64810391204</v>
      </c>
      <c r="B951" s="50">
        <v>45030.7730712037</v>
      </c>
      <c r="C951" s="51">
        <v>1.061</v>
      </c>
      <c r="D951" s="51">
        <v>64.0</v>
      </c>
      <c r="E951" s="52" t="s">
        <v>25</v>
      </c>
      <c r="F951" s="52" t="s">
        <v>26</v>
      </c>
      <c r="G951" s="54"/>
    </row>
    <row r="952">
      <c r="A952" s="49">
        <v>45030.65851155092</v>
      </c>
      <c r="B952" s="50">
        <v>45030.7834903703</v>
      </c>
      <c r="C952" s="51">
        <v>1.061</v>
      </c>
      <c r="D952" s="51">
        <v>64.0</v>
      </c>
      <c r="E952" s="52" t="s">
        <v>25</v>
      </c>
      <c r="F952" s="52" t="s">
        <v>26</v>
      </c>
      <c r="G952" s="54"/>
    </row>
    <row r="953">
      <c r="A953" s="49">
        <v>45030.66893364584</v>
      </c>
      <c r="B953" s="50">
        <v>45030.7939107986</v>
      </c>
      <c r="C953" s="51">
        <v>1.061</v>
      </c>
      <c r="D953" s="51">
        <v>64.0</v>
      </c>
      <c r="E953" s="52" t="s">
        <v>25</v>
      </c>
      <c r="F953" s="52" t="s">
        <v>26</v>
      </c>
      <c r="G953" s="54"/>
    </row>
    <row r="954">
      <c r="A954" s="49">
        <v>45030.679351412036</v>
      </c>
      <c r="B954" s="50">
        <v>45030.8043301041</v>
      </c>
      <c r="C954" s="51">
        <v>1.061</v>
      </c>
      <c r="D954" s="51">
        <v>64.0</v>
      </c>
      <c r="E954" s="52" t="s">
        <v>25</v>
      </c>
      <c r="F954" s="52" t="s">
        <v>26</v>
      </c>
      <c r="G954" s="54"/>
    </row>
    <row r="955">
      <c r="A955" s="49">
        <v>45030.689780925924</v>
      </c>
      <c r="B955" s="50">
        <v>45030.8147512037</v>
      </c>
      <c r="C955" s="51">
        <v>1.061</v>
      </c>
      <c r="D955" s="51">
        <v>64.0</v>
      </c>
      <c r="E955" s="52" t="s">
        <v>25</v>
      </c>
      <c r="F955" s="52" t="s">
        <v>26</v>
      </c>
      <c r="G955" s="54"/>
    </row>
    <row r="956">
      <c r="A956" s="49">
        <v>45030.700211400464</v>
      </c>
      <c r="B956" s="50">
        <v>45030.8251835416</v>
      </c>
      <c r="C956" s="51">
        <v>1.061</v>
      </c>
      <c r="D956" s="51">
        <v>64.0</v>
      </c>
      <c r="E956" s="52" t="s">
        <v>25</v>
      </c>
      <c r="F956" s="52" t="s">
        <v>26</v>
      </c>
      <c r="G956" s="54"/>
    </row>
    <row r="957">
      <c r="A957" s="49">
        <v>45030.710652395835</v>
      </c>
      <c r="B957" s="50">
        <v>45030.8356281828</v>
      </c>
      <c r="C957" s="51">
        <v>1.061</v>
      </c>
      <c r="D957" s="51">
        <v>64.0</v>
      </c>
      <c r="E957" s="52" t="s">
        <v>25</v>
      </c>
      <c r="F957" s="52" t="s">
        <v>26</v>
      </c>
      <c r="G957" s="54"/>
    </row>
    <row r="958">
      <c r="A958" s="49">
        <v>45030.721076319445</v>
      </c>
      <c r="B958" s="50">
        <v>45030.8460477083</v>
      </c>
      <c r="C958" s="51">
        <v>1.061</v>
      </c>
      <c r="D958" s="51">
        <v>64.0</v>
      </c>
      <c r="E958" s="52" t="s">
        <v>25</v>
      </c>
      <c r="F958" s="52" t="s">
        <v>26</v>
      </c>
      <c r="G958" s="54"/>
    </row>
    <row r="959">
      <c r="A959" s="49">
        <v>45030.731488749996</v>
      </c>
      <c r="B959" s="50">
        <v>45030.8564671527</v>
      </c>
      <c r="C959" s="51">
        <v>1.061</v>
      </c>
      <c r="D959" s="51">
        <v>64.0</v>
      </c>
      <c r="E959" s="52" t="s">
        <v>25</v>
      </c>
      <c r="F959" s="52" t="s">
        <v>26</v>
      </c>
      <c r="G959" s="54"/>
    </row>
    <row r="960">
      <c r="A960" s="49">
        <v>45030.74191829861</v>
      </c>
      <c r="B960" s="50">
        <v>45030.8668876851</v>
      </c>
      <c r="C960" s="51">
        <v>1.061</v>
      </c>
      <c r="D960" s="51">
        <v>64.0</v>
      </c>
      <c r="E960" s="52" t="s">
        <v>25</v>
      </c>
      <c r="F960" s="52" t="s">
        <v>26</v>
      </c>
      <c r="G960" s="54"/>
    </row>
    <row r="961">
      <c r="A961" s="49">
        <v>45030.75233454861</v>
      </c>
      <c r="B961" s="50">
        <v>45030.8773080208</v>
      </c>
      <c r="C961" s="51">
        <v>1.06</v>
      </c>
      <c r="D961" s="51">
        <v>64.0</v>
      </c>
      <c r="E961" s="52" t="s">
        <v>25</v>
      </c>
      <c r="F961" s="52" t="s">
        <v>26</v>
      </c>
      <c r="G961" s="54"/>
    </row>
    <row r="962">
      <c r="A962" s="49">
        <v>45030.762756192125</v>
      </c>
      <c r="B962" s="50">
        <v>45030.8877277199</v>
      </c>
      <c r="C962" s="51">
        <v>1.06</v>
      </c>
      <c r="D962" s="51">
        <v>64.0</v>
      </c>
      <c r="E962" s="52" t="s">
        <v>25</v>
      </c>
      <c r="F962" s="52" t="s">
        <v>26</v>
      </c>
      <c r="G962" s="54"/>
    </row>
    <row r="963">
      <c r="A963" s="49">
        <v>45030.773180833334</v>
      </c>
      <c r="B963" s="50">
        <v>45030.8981493981</v>
      </c>
      <c r="C963" s="51">
        <v>1.06</v>
      </c>
      <c r="D963" s="51">
        <v>64.0</v>
      </c>
      <c r="E963" s="52" t="s">
        <v>25</v>
      </c>
      <c r="F963" s="52" t="s">
        <v>26</v>
      </c>
      <c r="G963" s="54"/>
    </row>
    <row r="964">
      <c r="A964" s="49">
        <v>45030.783610266204</v>
      </c>
      <c r="B964" s="50">
        <v>45030.9085840509</v>
      </c>
      <c r="C964" s="51">
        <v>1.06</v>
      </c>
      <c r="D964" s="51">
        <v>64.0</v>
      </c>
      <c r="E964" s="52" t="s">
        <v>25</v>
      </c>
      <c r="F964" s="52" t="s">
        <v>26</v>
      </c>
      <c r="G964" s="54"/>
    </row>
    <row r="965">
      <c r="A965" s="49">
        <v>45030.794039409724</v>
      </c>
      <c r="B965" s="50">
        <v>45030.9190059259</v>
      </c>
      <c r="C965" s="51">
        <v>1.06</v>
      </c>
      <c r="D965" s="51">
        <v>64.0</v>
      </c>
      <c r="E965" s="52" t="s">
        <v>25</v>
      </c>
      <c r="F965" s="52" t="s">
        <v>26</v>
      </c>
      <c r="G965" s="54"/>
    </row>
    <row r="966">
      <c r="A966" s="49">
        <v>45030.80445684028</v>
      </c>
      <c r="B966" s="50">
        <v>45030.929427118</v>
      </c>
      <c r="C966" s="51">
        <v>1.06</v>
      </c>
      <c r="D966" s="51">
        <v>64.0</v>
      </c>
      <c r="E966" s="52" t="s">
        <v>25</v>
      </c>
      <c r="F966" s="52" t="s">
        <v>26</v>
      </c>
      <c r="G966" s="54"/>
    </row>
    <row r="967">
      <c r="A967" s="49">
        <v>45030.81488550926</v>
      </c>
      <c r="B967" s="50">
        <v>45030.9398594213</v>
      </c>
      <c r="C967" s="51">
        <v>1.06</v>
      </c>
      <c r="D967" s="51">
        <v>64.0</v>
      </c>
      <c r="E967" s="52" t="s">
        <v>25</v>
      </c>
      <c r="F967" s="52" t="s">
        <v>26</v>
      </c>
      <c r="G967" s="54"/>
    </row>
    <row r="968">
      <c r="A968" s="49">
        <v>45030.825304004626</v>
      </c>
      <c r="B968" s="50">
        <v>45030.9502806018</v>
      </c>
      <c r="C968" s="51">
        <v>1.06</v>
      </c>
      <c r="D968" s="51">
        <v>64.0</v>
      </c>
      <c r="E968" s="52" t="s">
        <v>25</v>
      </c>
      <c r="F968" s="52" t="s">
        <v>26</v>
      </c>
      <c r="G968" s="54"/>
    </row>
    <row r="969">
      <c r="A969" s="49">
        <v>45030.83573127315</v>
      </c>
      <c r="B969" s="50">
        <v>45030.9607018287</v>
      </c>
      <c r="C969" s="51">
        <v>1.06</v>
      </c>
      <c r="D969" s="51">
        <v>64.0</v>
      </c>
      <c r="E969" s="52" t="s">
        <v>25</v>
      </c>
      <c r="F969" s="52" t="s">
        <v>26</v>
      </c>
      <c r="G969" s="54"/>
    </row>
    <row r="970">
      <c r="A970" s="49">
        <v>45030.84614708333</v>
      </c>
      <c r="B970" s="50">
        <v>45030.9711248495</v>
      </c>
      <c r="C970" s="51">
        <v>1.06</v>
      </c>
      <c r="D970" s="51">
        <v>64.0</v>
      </c>
      <c r="E970" s="52" t="s">
        <v>25</v>
      </c>
      <c r="F970" s="52" t="s">
        <v>26</v>
      </c>
      <c r="G970" s="54"/>
    </row>
    <row r="971">
      <c r="A971" s="49">
        <v>45030.85656800926</v>
      </c>
      <c r="B971" s="50">
        <v>45030.9815438541</v>
      </c>
      <c r="C971" s="51">
        <v>1.06</v>
      </c>
      <c r="D971" s="51">
        <v>64.0</v>
      </c>
      <c r="E971" s="52" t="s">
        <v>25</v>
      </c>
      <c r="F971" s="52" t="s">
        <v>26</v>
      </c>
      <c r="G971" s="54"/>
    </row>
    <row r="972">
      <c r="A972" s="49">
        <v>45030.86699737269</v>
      </c>
      <c r="B972" s="50">
        <v>45030.9919635532</v>
      </c>
      <c r="C972" s="51">
        <v>1.06</v>
      </c>
      <c r="D972" s="51">
        <v>64.0</v>
      </c>
      <c r="E972" s="52" t="s">
        <v>25</v>
      </c>
      <c r="F972" s="52" t="s">
        <v>26</v>
      </c>
      <c r="G972" s="54"/>
    </row>
    <row r="973">
      <c r="A973" s="49">
        <v>45030.877413912036</v>
      </c>
      <c r="B973" s="50">
        <v>45031.0023836921</v>
      </c>
      <c r="C973" s="51">
        <v>1.06</v>
      </c>
      <c r="D973" s="51">
        <v>64.0</v>
      </c>
      <c r="E973" s="52" t="s">
        <v>25</v>
      </c>
      <c r="F973" s="52" t="s">
        <v>26</v>
      </c>
      <c r="G973" s="54"/>
    </row>
    <row r="974">
      <c r="A974" s="49">
        <v>45030.88782873843</v>
      </c>
      <c r="B974" s="50">
        <v>45031.0128044444</v>
      </c>
      <c r="C974" s="51">
        <v>1.06</v>
      </c>
      <c r="D974" s="51">
        <v>64.0</v>
      </c>
      <c r="E974" s="52" t="s">
        <v>25</v>
      </c>
      <c r="F974" s="52" t="s">
        <v>26</v>
      </c>
      <c r="G974" s="54"/>
    </row>
    <row r="975">
      <c r="A975" s="49">
        <v>45030.898245625</v>
      </c>
      <c r="B975" s="50">
        <v>45031.0232253356</v>
      </c>
      <c r="C975" s="51">
        <v>1.06</v>
      </c>
      <c r="D975" s="51">
        <v>64.0</v>
      </c>
      <c r="E975" s="52" t="s">
        <v>25</v>
      </c>
      <c r="F975" s="52" t="s">
        <v>26</v>
      </c>
      <c r="G975" s="54"/>
    </row>
    <row r="976">
      <c r="A976" s="49">
        <v>45030.90867547454</v>
      </c>
      <c r="B976" s="50">
        <v>45031.0336471412</v>
      </c>
      <c r="C976" s="51">
        <v>1.06</v>
      </c>
      <c r="D976" s="51">
        <v>64.0</v>
      </c>
      <c r="E976" s="52" t="s">
        <v>25</v>
      </c>
      <c r="F976" s="52" t="s">
        <v>26</v>
      </c>
      <c r="G976" s="54"/>
    </row>
    <row r="977">
      <c r="A977" s="49">
        <v>45030.91909780093</v>
      </c>
      <c r="B977" s="50">
        <v>45031.0440697338</v>
      </c>
      <c r="C977" s="51">
        <v>1.06</v>
      </c>
      <c r="D977" s="51">
        <v>64.0</v>
      </c>
      <c r="E977" s="52" t="s">
        <v>25</v>
      </c>
      <c r="F977" s="52" t="s">
        <v>26</v>
      </c>
      <c r="G977" s="54"/>
    </row>
    <row r="978">
      <c r="A978" s="49">
        <v>45030.92951844908</v>
      </c>
      <c r="B978" s="50">
        <v>45031.0544907175</v>
      </c>
      <c r="C978" s="51">
        <v>1.06</v>
      </c>
      <c r="D978" s="51">
        <v>64.0</v>
      </c>
      <c r="E978" s="52" t="s">
        <v>25</v>
      </c>
      <c r="F978" s="52" t="s">
        <v>26</v>
      </c>
      <c r="G978" s="54"/>
    </row>
    <row r="979">
      <c r="A979" s="49">
        <v>45030.93993591436</v>
      </c>
      <c r="B979" s="50">
        <v>45031.0649109722</v>
      </c>
      <c r="C979" s="51">
        <v>1.06</v>
      </c>
      <c r="D979" s="51">
        <v>64.0</v>
      </c>
      <c r="E979" s="52" t="s">
        <v>25</v>
      </c>
      <c r="F979" s="52" t="s">
        <v>26</v>
      </c>
      <c r="G979" s="54"/>
    </row>
    <row r="980">
      <c r="A980" s="49">
        <v>45030.9503550463</v>
      </c>
      <c r="B980" s="50">
        <v>45031.0753324768</v>
      </c>
      <c r="C980" s="51">
        <v>1.06</v>
      </c>
      <c r="D980" s="51">
        <v>64.0</v>
      </c>
      <c r="E980" s="52" t="s">
        <v>25</v>
      </c>
      <c r="F980" s="52" t="s">
        <v>26</v>
      </c>
      <c r="G980" s="54"/>
    </row>
    <row r="981">
      <c r="A981" s="49">
        <v>45030.960778622684</v>
      </c>
      <c r="B981" s="50">
        <v>45031.0857544676</v>
      </c>
      <c r="C981" s="51">
        <v>1.06</v>
      </c>
      <c r="D981" s="51">
        <v>64.0</v>
      </c>
      <c r="E981" s="52" t="s">
        <v>25</v>
      </c>
      <c r="F981" s="52" t="s">
        <v>26</v>
      </c>
      <c r="G981" s="54"/>
    </row>
    <row r="982">
      <c r="A982" s="49">
        <v>45030.971206828704</v>
      </c>
      <c r="B982" s="50">
        <v>45031.0961750926</v>
      </c>
      <c r="C982" s="51">
        <v>1.06</v>
      </c>
      <c r="D982" s="51">
        <v>64.0</v>
      </c>
      <c r="E982" s="52" t="s">
        <v>25</v>
      </c>
      <c r="F982" s="52" t="s">
        <v>26</v>
      </c>
      <c r="G982" s="54"/>
    </row>
    <row r="983">
      <c r="A983" s="49">
        <v>45030.98162413195</v>
      </c>
      <c r="B983" s="50">
        <v>45031.1065965162</v>
      </c>
      <c r="C983" s="51">
        <v>1.06</v>
      </c>
      <c r="D983" s="51">
        <v>64.0</v>
      </c>
      <c r="E983" s="52" t="s">
        <v>25</v>
      </c>
      <c r="F983" s="52" t="s">
        <v>26</v>
      </c>
      <c r="G983" s="54"/>
    </row>
    <row r="984">
      <c r="A984" s="49">
        <v>45030.992047685184</v>
      </c>
      <c r="B984" s="50">
        <v>45031.1170182523</v>
      </c>
      <c r="C984" s="51">
        <v>1.059</v>
      </c>
      <c r="D984" s="51">
        <v>64.0</v>
      </c>
      <c r="E984" s="52" t="s">
        <v>25</v>
      </c>
      <c r="F984" s="52" t="s">
        <v>26</v>
      </c>
      <c r="G984" s="54"/>
    </row>
    <row r="985">
      <c r="A985" s="49">
        <v>45031.00248321759</v>
      </c>
      <c r="B985" s="50">
        <v>45031.1274521527</v>
      </c>
      <c r="C985" s="51">
        <v>1.06</v>
      </c>
      <c r="D985" s="51">
        <v>64.0</v>
      </c>
      <c r="E985" s="52" t="s">
        <v>25</v>
      </c>
      <c r="F985" s="52" t="s">
        <v>26</v>
      </c>
      <c r="G985" s="54"/>
    </row>
    <row r="986">
      <c r="A986" s="49">
        <v>45031.012902268514</v>
      </c>
      <c r="B986" s="50">
        <v>45031.1378719444</v>
      </c>
      <c r="C986" s="51">
        <v>1.06</v>
      </c>
      <c r="D986" s="51">
        <v>64.0</v>
      </c>
      <c r="E986" s="52" t="s">
        <v>25</v>
      </c>
      <c r="F986" s="52" t="s">
        <v>26</v>
      </c>
      <c r="G986" s="54"/>
    </row>
    <row r="987">
      <c r="A987" s="49">
        <v>45031.02332280093</v>
      </c>
      <c r="B987" s="50">
        <v>45031.1482926157</v>
      </c>
      <c r="C987" s="51">
        <v>1.059</v>
      </c>
      <c r="D987" s="51">
        <v>64.0</v>
      </c>
      <c r="E987" s="52" t="s">
        <v>25</v>
      </c>
      <c r="F987" s="52" t="s">
        <v>26</v>
      </c>
      <c r="G987" s="54"/>
    </row>
    <row r="988">
      <c r="A988" s="49">
        <v>45031.033734386576</v>
      </c>
      <c r="B988" s="50">
        <v>45031.1587145138</v>
      </c>
      <c r="C988" s="51">
        <v>1.06</v>
      </c>
      <c r="D988" s="51">
        <v>64.0</v>
      </c>
      <c r="E988" s="52" t="s">
        <v>25</v>
      </c>
      <c r="F988" s="52" t="s">
        <v>26</v>
      </c>
      <c r="G988" s="54"/>
    </row>
    <row r="989">
      <c r="A989" s="49">
        <v>45031.04416109953</v>
      </c>
      <c r="B989" s="50">
        <v>45031.1691351157</v>
      </c>
      <c r="C989" s="51">
        <v>1.059</v>
      </c>
      <c r="D989" s="51">
        <v>64.0</v>
      </c>
      <c r="E989" s="52" t="s">
        <v>25</v>
      </c>
      <c r="F989" s="52" t="s">
        <v>26</v>
      </c>
      <c r="G989" s="54"/>
    </row>
    <row r="990">
      <c r="A990" s="49">
        <v>45031.054586875005</v>
      </c>
      <c r="B990" s="50">
        <v>45031.1795553935</v>
      </c>
      <c r="C990" s="51">
        <v>1.059</v>
      </c>
      <c r="D990" s="51">
        <v>64.0</v>
      </c>
      <c r="E990" s="52" t="s">
        <v>25</v>
      </c>
      <c r="F990" s="52" t="s">
        <v>26</v>
      </c>
      <c r="G990" s="54"/>
    </row>
    <row r="991">
      <c r="A991" s="49">
        <v>45031.06499637732</v>
      </c>
      <c r="B991" s="50">
        <v>45031.1899762615</v>
      </c>
      <c r="C991" s="51">
        <v>1.059</v>
      </c>
      <c r="D991" s="51">
        <v>64.0</v>
      </c>
      <c r="E991" s="52" t="s">
        <v>25</v>
      </c>
      <c r="F991" s="52" t="s">
        <v>26</v>
      </c>
      <c r="G991" s="54"/>
    </row>
    <row r="992">
      <c r="A992" s="49">
        <v>45031.07542320601</v>
      </c>
      <c r="B992" s="50">
        <v>45031.2003995833</v>
      </c>
      <c r="C992" s="51">
        <v>1.059</v>
      </c>
      <c r="D992" s="51">
        <v>64.0</v>
      </c>
      <c r="E992" s="52" t="s">
        <v>25</v>
      </c>
      <c r="F992" s="52" t="s">
        <v>26</v>
      </c>
      <c r="G992" s="54"/>
    </row>
    <row r="993">
      <c r="A993" s="49">
        <v>45031.08585099537</v>
      </c>
      <c r="B993" s="50">
        <v>45031.2108219907</v>
      </c>
      <c r="C993" s="51">
        <v>1.059</v>
      </c>
      <c r="D993" s="51">
        <v>64.0</v>
      </c>
      <c r="E993" s="52" t="s">
        <v>25</v>
      </c>
      <c r="F993" s="52" t="s">
        <v>26</v>
      </c>
      <c r="G993" s="54"/>
    </row>
    <row r="994">
      <c r="A994" s="49">
        <v>45031.096270995375</v>
      </c>
      <c r="B994" s="50">
        <v>45031.2212429976</v>
      </c>
      <c r="C994" s="51">
        <v>1.059</v>
      </c>
      <c r="D994" s="51">
        <v>64.0</v>
      </c>
      <c r="E994" s="52" t="s">
        <v>25</v>
      </c>
      <c r="F994" s="52" t="s">
        <v>26</v>
      </c>
      <c r="G994" s="54"/>
    </row>
    <row r="995">
      <c r="A995" s="49">
        <v>45031.106693449074</v>
      </c>
      <c r="B995" s="50">
        <v>45031.2316645601</v>
      </c>
      <c r="C995" s="51">
        <v>1.059</v>
      </c>
      <c r="D995" s="51">
        <v>64.0</v>
      </c>
      <c r="E995" s="52" t="s">
        <v>25</v>
      </c>
      <c r="F995" s="52" t="s">
        <v>26</v>
      </c>
      <c r="G995" s="54"/>
    </row>
    <row r="996">
      <c r="A996" s="49">
        <v>45031.117114583336</v>
      </c>
      <c r="B996" s="50">
        <v>45031.2420866088</v>
      </c>
      <c r="C996" s="51">
        <v>1.059</v>
      </c>
      <c r="D996" s="51">
        <v>64.0</v>
      </c>
      <c r="E996" s="52" t="s">
        <v>25</v>
      </c>
      <c r="F996" s="52" t="s">
        <v>26</v>
      </c>
      <c r="G996" s="54"/>
    </row>
    <row r="997">
      <c r="A997" s="49">
        <v>45031.12752775463</v>
      </c>
      <c r="B997" s="50">
        <v>45031.2525082407</v>
      </c>
      <c r="C997" s="51">
        <v>1.059</v>
      </c>
      <c r="D997" s="51">
        <v>64.0</v>
      </c>
      <c r="E997" s="52" t="s">
        <v>25</v>
      </c>
      <c r="F997" s="52" t="s">
        <v>26</v>
      </c>
      <c r="G997" s="54"/>
    </row>
    <row r="998">
      <c r="A998" s="49">
        <v>45031.13795548611</v>
      </c>
      <c r="B998" s="50">
        <v>45031.2629293402</v>
      </c>
      <c r="C998" s="51">
        <v>1.059</v>
      </c>
      <c r="D998" s="51">
        <v>64.0</v>
      </c>
      <c r="E998" s="52" t="s">
        <v>25</v>
      </c>
      <c r="F998" s="52" t="s">
        <v>26</v>
      </c>
      <c r="G998" s="54"/>
    </row>
    <row r="999">
      <c r="A999" s="49">
        <v>45031.14838402778</v>
      </c>
      <c r="B999" s="50">
        <v>45031.2733621064</v>
      </c>
      <c r="C999" s="51">
        <v>1.059</v>
      </c>
      <c r="D999" s="51">
        <v>64.0</v>
      </c>
      <c r="E999" s="52" t="s">
        <v>25</v>
      </c>
      <c r="F999" s="52" t="s">
        <v>26</v>
      </c>
      <c r="G999" s="54"/>
    </row>
    <row r="1000">
      <c r="A1000" s="49">
        <v>45031.15881263889</v>
      </c>
      <c r="B1000" s="50">
        <v>45031.2837832523</v>
      </c>
      <c r="C1000" s="51">
        <v>1.059</v>
      </c>
      <c r="D1000" s="51">
        <v>64.0</v>
      </c>
      <c r="E1000" s="52" t="s">
        <v>25</v>
      </c>
      <c r="F1000" s="52" t="s">
        <v>26</v>
      </c>
      <c r="G1000" s="54"/>
    </row>
    <row r="1001">
      <c r="A1001" s="49">
        <v>45031.16922681713</v>
      </c>
      <c r="B1001" s="50">
        <v>45031.2942065277</v>
      </c>
      <c r="C1001" s="51">
        <v>1.059</v>
      </c>
      <c r="D1001" s="51">
        <v>64.0</v>
      </c>
      <c r="E1001" s="52" t="s">
        <v>25</v>
      </c>
      <c r="F1001" s="52" t="s">
        <v>26</v>
      </c>
      <c r="G1001" s="54"/>
    </row>
    <row r="1002">
      <c r="A1002" s="49">
        <v>45031.17965744213</v>
      </c>
      <c r="B1002" s="50">
        <v>45031.3046287731</v>
      </c>
      <c r="C1002" s="51">
        <v>1.059</v>
      </c>
      <c r="D1002" s="51">
        <v>64.0</v>
      </c>
      <c r="E1002" s="52" t="s">
        <v>25</v>
      </c>
      <c r="F1002" s="52" t="s">
        <v>26</v>
      </c>
      <c r="G1002" s="54"/>
    </row>
    <row r="1003">
      <c r="A1003" s="49">
        <v>45031.190075810184</v>
      </c>
      <c r="B1003" s="50">
        <v>45031.3150494676</v>
      </c>
      <c r="C1003" s="51">
        <v>1.059</v>
      </c>
      <c r="D1003" s="51">
        <v>64.0</v>
      </c>
      <c r="E1003" s="52" t="s">
        <v>25</v>
      </c>
      <c r="F1003" s="52" t="s">
        <v>26</v>
      </c>
      <c r="G1003" s="54"/>
    </row>
    <row r="1004">
      <c r="A1004" s="49">
        <v>45031.20051684028</v>
      </c>
      <c r="B1004" s="50">
        <v>45031.3254936226</v>
      </c>
      <c r="C1004" s="51">
        <v>1.059</v>
      </c>
      <c r="D1004" s="51">
        <v>64.0</v>
      </c>
      <c r="E1004" s="52" t="s">
        <v>25</v>
      </c>
      <c r="F1004" s="52" t="s">
        <v>26</v>
      </c>
      <c r="G1004" s="54"/>
    </row>
    <row r="1005">
      <c r="A1005" s="49">
        <v>45031.210945659725</v>
      </c>
      <c r="B1005" s="50">
        <v>45031.3359149652</v>
      </c>
      <c r="C1005" s="51">
        <v>1.059</v>
      </c>
      <c r="D1005" s="51">
        <v>64.0</v>
      </c>
      <c r="E1005" s="52" t="s">
        <v>25</v>
      </c>
      <c r="F1005" s="52" t="s">
        <v>26</v>
      </c>
      <c r="G1005" s="54"/>
    </row>
    <row r="1006">
      <c r="A1006" s="49">
        <v>45031.22137481481</v>
      </c>
      <c r="B1006" s="50">
        <v>45031.3463485185</v>
      </c>
      <c r="C1006" s="51">
        <v>1.059</v>
      </c>
      <c r="D1006" s="51">
        <v>64.0</v>
      </c>
      <c r="E1006" s="52" t="s">
        <v>25</v>
      </c>
      <c r="F1006" s="52" t="s">
        <v>26</v>
      </c>
      <c r="G1006" s="54"/>
    </row>
    <row r="1007">
      <c r="A1007" s="49">
        <v>45031.23179643518</v>
      </c>
      <c r="B1007" s="50">
        <v>45031.3567736921</v>
      </c>
      <c r="C1007" s="51">
        <v>1.059</v>
      </c>
      <c r="D1007" s="51">
        <v>64.0</v>
      </c>
      <c r="E1007" s="52" t="s">
        <v>25</v>
      </c>
      <c r="F1007" s="52" t="s">
        <v>26</v>
      </c>
      <c r="G1007" s="54"/>
    </row>
    <row r="1008">
      <c r="A1008" s="49">
        <v>45031.24222526621</v>
      </c>
      <c r="B1008" s="50">
        <v>45031.3671951967</v>
      </c>
      <c r="C1008" s="51">
        <v>1.059</v>
      </c>
      <c r="D1008" s="51">
        <v>64.0</v>
      </c>
      <c r="E1008" s="52" t="s">
        <v>25</v>
      </c>
      <c r="F1008" s="52" t="s">
        <v>26</v>
      </c>
      <c r="G1008" s="54"/>
    </row>
    <row r="1009">
      <c r="A1009" s="49">
        <v>45031.25264873843</v>
      </c>
      <c r="B1009" s="50">
        <v>45031.3776169907</v>
      </c>
      <c r="C1009" s="51">
        <v>1.059</v>
      </c>
      <c r="D1009" s="51">
        <v>64.0</v>
      </c>
      <c r="E1009" s="52" t="s">
        <v>25</v>
      </c>
      <c r="F1009" s="52" t="s">
        <v>26</v>
      </c>
      <c r="G1009" s="54"/>
    </row>
    <row r="1010">
      <c r="A1010" s="49">
        <v>45031.26306162037</v>
      </c>
      <c r="B1010" s="50">
        <v>45031.3880363657</v>
      </c>
      <c r="C1010" s="51">
        <v>1.059</v>
      </c>
      <c r="D1010" s="51">
        <v>64.0</v>
      </c>
      <c r="E1010" s="52" t="s">
        <v>25</v>
      </c>
      <c r="F1010" s="52" t="s">
        <v>26</v>
      </c>
      <c r="G1010" s="54"/>
    </row>
    <row r="1011">
      <c r="A1011" s="49">
        <v>45031.273483275465</v>
      </c>
      <c r="B1011" s="50">
        <v>45031.3984567129</v>
      </c>
      <c r="C1011" s="51">
        <v>1.059</v>
      </c>
      <c r="D1011" s="51">
        <v>64.0</v>
      </c>
      <c r="E1011" s="52" t="s">
        <v>25</v>
      </c>
      <c r="F1011" s="52" t="s">
        <v>26</v>
      </c>
      <c r="G1011" s="54"/>
    </row>
    <row r="1012">
      <c r="A1012" s="49">
        <v>45031.283906689816</v>
      </c>
      <c r="B1012" s="50">
        <v>45031.4088774421</v>
      </c>
      <c r="C1012" s="51">
        <v>1.058</v>
      </c>
      <c r="D1012" s="51">
        <v>64.0</v>
      </c>
      <c r="E1012" s="52" t="s">
        <v>25</v>
      </c>
      <c r="F1012" s="52" t="s">
        <v>26</v>
      </c>
      <c r="G1012" s="54"/>
    </row>
    <row r="1013">
      <c r="A1013" s="49">
        <v>45031.294329780096</v>
      </c>
      <c r="B1013" s="50">
        <v>45031.4192986342</v>
      </c>
      <c r="C1013" s="51">
        <v>1.058</v>
      </c>
      <c r="D1013" s="51">
        <v>64.0</v>
      </c>
      <c r="E1013" s="52" t="s">
        <v>25</v>
      </c>
      <c r="F1013" s="52" t="s">
        <v>26</v>
      </c>
      <c r="G1013" s="54"/>
    </row>
    <row r="1014">
      <c r="A1014" s="49">
        <v>45031.30474099537</v>
      </c>
      <c r="B1014" s="50">
        <v>45031.429719155</v>
      </c>
      <c r="C1014" s="51">
        <v>1.058</v>
      </c>
      <c r="D1014" s="51">
        <v>64.0</v>
      </c>
      <c r="E1014" s="52" t="s">
        <v>25</v>
      </c>
      <c r="F1014" s="52" t="s">
        <v>26</v>
      </c>
      <c r="G1014" s="54"/>
    </row>
    <row r="1015">
      <c r="A1015" s="49">
        <v>45031.31516578703</v>
      </c>
      <c r="B1015" s="50">
        <v>45031.4401397916</v>
      </c>
      <c r="C1015" s="51">
        <v>1.058</v>
      </c>
      <c r="D1015" s="51">
        <v>64.0</v>
      </c>
      <c r="E1015" s="52" t="s">
        <v>25</v>
      </c>
      <c r="F1015" s="52" t="s">
        <v>26</v>
      </c>
      <c r="G1015" s="54"/>
    </row>
    <row r="1016">
      <c r="A1016" s="49">
        <v>45031.32558200232</v>
      </c>
      <c r="B1016" s="50">
        <v>45031.4505601736</v>
      </c>
      <c r="C1016" s="51">
        <v>1.058</v>
      </c>
      <c r="D1016" s="51">
        <v>64.0</v>
      </c>
      <c r="E1016" s="52" t="s">
        <v>25</v>
      </c>
      <c r="F1016" s="52" t="s">
        <v>26</v>
      </c>
      <c r="G1016" s="54"/>
    </row>
    <row r="1017">
      <c r="A1017" s="49">
        <v>45031.33601103009</v>
      </c>
      <c r="B1017" s="50">
        <v>45031.4609819444</v>
      </c>
      <c r="C1017" s="51">
        <v>1.058</v>
      </c>
      <c r="D1017" s="51">
        <v>64.0</v>
      </c>
      <c r="E1017" s="52" t="s">
        <v>25</v>
      </c>
      <c r="F1017" s="52" t="s">
        <v>26</v>
      </c>
      <c r="G1017" s="54"/>
    </row>
    <row r="1018">
      <c r="A1018" s="49">
        <v>45031.346431342594</v>
      </c>
      <c r="B1018" s="50">
        <v>45031.4714023726</v>
      </c>
      <c r="C1018" s="51">
        <v>1.058</v>
      </c>
      <c r="D1018" s="51">
        <v>64.0</v>
      </c>
      <c r="E1018" s="52" t="s">
        <v>25</v>
      </c>
      <c r="F1018" s="52" t="s">
        <v>26</v>
      </c>
      <c r="G1018" s="54"/>
    </row>
    <row r="1019">
      <c r="A1019" s="49">
        <v>45031.356852638884</v>
      </c>
      <c r="B1019" s="50">
        <v>45031.4818227083</v>
      </c>
      <c r="C1019" s="51">
        <v>1.058</v>
      </c>
      <c r="D1019" s="51">
        <v>64.0</v>
      </c>
      <c r="E1019" s="52" t="s">
        <v>25</v>
      </c>
      <c r="F1019" s="52" t="s">
        <v>26</v>
      </c>
      <c r="G1019" s="54"/>
    </row>
    <row r="1020">
      <c r="A1020" s="49">
        <v>45031.36726983797</v>
      </c>
      <c r="B1020" s="50">
        <v>45031.4922431944</v>
      </c>
      <c r="C1020" s="51">
        <v>1.058</v>
      </c>
      <c r="D1020" s="51">
        <v>64.0</v>
      </c>
      <c r="E1020" s="52" t="s">
        <v>25</v>
      </c>
      <c r="F1020" s="52" t="s">
        <v>26</v>
      </c>
      <c r="G1020" s="54"/>
    </row>
    <row r="1021">
      <c r="A1021" s="49">
        <v>45031.37770059028</v>
      </c>
      <c r="B1021" s="50">
        <v>45031.5026748495</v>
      </c>
      <c r="C1021" s="51">
        <v>1.058</v>
      </c>
      <c r="D1021" s="51">
        <v>64.0</v>
      </c>
      <c r="E1021" s="52" t="s">
        <v>25</v>
      </c>
      <c r="F1021" s="52" t="s">
        <v>26</v>
      </c>
      <c r="G1021" s="54"/>
    </row>
    <row r="1022">
      <c r="A1022" s="49">
        <v>45031.38814045139</v>
      </c>
      <c r="B1022" s="50">
        <v>45031.5131077314</v>
      </c>
      <c r="C1022" s="51">
        <v>1.058</v>
      </c>
      <c r="D1022" s="51">
        <v>64.0</v>
      </c>
      <c r="E1022" s="52" t="s">
        <v>25</v>
      </c>
      <c r="F1022" s="52" t="s">
        <v>26</v>
      </c>
      <c r="G1022" s="54"/>
    </row>
    <row r="1023">
      <c r="A1023" s="49">
        <v>45031.39855744213</v>
      </c>
      <c r="B1023" s="50">
        <v>45031.5235297569</v>
      </c>
      <c r="C1023" s="51">
        <v>1.058</v>
      </c>
      <c r="D1023" s="51">
        <v>64.0</v>
      </c>
      <c r="E1023" s="52" t="s">
        <v>25</v>
      </c>
      <c r="F1023" s="52" t="s">
        <v>26</v>
      </c>
      <c r="G1023" s="54"/>
    </row>
    <row r="1024">
      <c r="A1024" s="49">
        <v>45031.40898908565</v>
      </c>
      <c r="B1024" s="50">
        <v>45031.5339622453</v>
      </c>
      <c r="C1024" s="51">
        <v>1.058</v>
      </c>
      <c r="D1024" s="51">
        <v>64.0</v>
      </c>
      <c r="E1024" s="52" t="s">
        <v>25</v>
      </c>
      <c r="F1024" s="52" t="s">
        <v>26</v>
      </c>
      <c r="G1024" s="54"/>
    </row>
    <row r="1025">
      <c r="A1025" s="49">
        <v>45031.41941453704</v>
      </c>
      <c r="B1025" s="50">
        <v>45031.5443946875</v>
      </c>
      <c r="C1025" s="51">
        <v>1.058</v>
      </c>
      <c r="D1025" s="51">
        <v>64.0</v>
      </c>
      <c r="E1025" s="52" t="s">
        <v>25</v>
      </c>
      <c r="F1025" s="52" t="s">
        <v>26</v>
      </c>
      <c r="G1025" s="54"/>
    </row>
    <row r="1026">
      <c r="A1026" s="49">
        <v>45031.42987092593</v>
      </c>
      <c r="B1026" s="50">
        <v>45031.5548409606</v>
      </c>
      <c r="C1026" s="51">
        <v>1.058</v>
      </c>
      <c r="D1026" s="51">
        <v>64.0</v>
      </c>
      <c r="E1026" s="52" t="s">
        <v>25</v>
      </c>
      <c r="F1026" s="52" t="s">
        <v>26</v>
      </c>
      <c r="G1026" s="54"/>
    </row>
    <row r="1027">
      <c r="A1027" s="49">
        <v>45031.44028671297</v>
      </c>
      <c r="B1027" s="50">
        <v>45031.5652627662</v>
      </c>
      <c r="C1027" s="51">
        <v>1.058</v>
      </c>
      <c r="D1027" s="51">
        <v>64.0</v>
      </c>
      <c r="E1027" s="52" t="s">
        <v>25</v>
      </c>
      <c r="F1027" s="52" t="s">
        <v>26</v>
      </c>
      <c r="G1027" s="54"/>
    </row>
    <row r="1028">
      <c r="A1028" s="49">
        <v>45031.45070608796</v>
      </c>
      <c r="B1028" s="50">
        <v>45031.5756825578</v>
      </c>
      <c r="C1028" s="51">
        <v>1.058</v>
      </c>
      <c r="D1028" s="51">
        <v>64.0</v>
      </c>
      <c r="E1028" s="52" t="s">
        <v>25</v>
      </c>
      <c r="F1028" s="52" t="s">
        <v>26</v>
      </c>
      <c r="G1028" s="54"/>
    </row>
    <row r="1029">
      <c r="A1029" s="49">
        <v>45031.461132743054</v>
      </c>
      <c r="B1029" s="50">
        <v>45031.586104699</v>
      </c>
      <c r="C1029" s="51">
        <v>1.058</v>
      </c>
      <c r="D1029" s="51">
        <v>64.0</v>
      </c>
      <c r="E1029" s="52" t="s">
        <v>25</v>
      </c>
      <c r="F1029" s="52" t="s">
        <v>26</v>
      </c>
      <c r="G1029" s="54"/>
    </row>
    <row r="1030">
      <c r="A1030" s="49">
        <v>45031.47155112268</v>
      </c>
      <c r="B1030" s="50">
        <v>45031.5965254976</v>
      </c>
      <c r="C1030" s="51">
        <v>1.058</v>
      </c>
      <c r="D1030" s="51">
        <v>64.0</v>
      </c>
      <c r="E1030" s="52" t="s">
        <v>25</v>
      </c>
      <c r="F1030" s="52" t="s">
        <v>26</v>
      </c>
      <c r="G1030" s="54"/>
    </row>
    <row r="1031">
      <c r="A1031" s="49">
        <v>45031.481982337966</v>
      </c>
      <c r="B1031" s="50">
        <v>45031.6069574652</v>
      </c>
      <c r="C1031" s="51">
        <v>1.058</v>
      </c>
      <c r="D1031" s="51">
        <v>64.0</v>
      </c>
      <c r="E1031" s="52" t="s">
        <v>25</v>
      </c>
      <c r="F1031" s="52" t="s">
        <v>26</v>
      </c>
      <c r="G1031" s="54"/>
    </row>
    <row r="1032">
      <c r="A1032" s="49">
        <v>45031.49240516203</v>
      </c>
      <c r="B1032" s="50">
        <v>45031.6173777777</v>
      </c>
      <c r="C1032" s="51">
        <v>1.058</v>
      </c>
      <c r="D1032" s="51">
        <v>64.0</v>
      </c>
      <c r="E1032" s="52" t="s">
        <v>25</v>
      </c>
      <c r="F1032" s="52" t="s">
        <v>26</v>
      </c>
      <c r="G1032" s="54"/>
    </row>
    <row r="1033">
      <c r="A1033" s="49">
        <v>45031.50282173611</v>
      </c>
      <c r="B1033" s="50">
        <v>45031.6277999768</v>
      </c>
      <c r="C1033" s="51">
        <v>1.058</v>
      </c>
      <c r="D1033" s="51">
        <v>64.0</v>
      </c>
      <c r="E1033" s="52" t="s">
        <v>25</v>
      </c>
      <c r="F1033" s="52" t="s">
        <v>26</v>
      </c>
      <c r="G1033" s="54"/>
    </row>
    <row r="1034">
      <c r="A1034" s="49">
        <v>45031.513250034724</v>
      </c>
      <c r="B1034" s="50">
        <v>45031.638220949</v>
      </c>
      <c r="C1034" s="51">
        <v>1.058</v>
      </c>
      <c r="D1034" s="51">
        <v>64.0</v>
      </c>
      <c r="E1034" s="52" t="s">
        <v>25</v>
      </c>
      <c r="F1034" s="52" t="s">
        <v>26</v>
      </c>
      <c r="G1034" s="54"/>
    </row>
    <row r="1035">
      <c r="A1035" s="49">
        <v>45031.523685555556</v>
      </c>
      <c r="B1035" s="50">
        <v>45031.6486554976</v>
      </c>
      <c r="C1035" s="51">
        <v>1.058</v>
      </c>
      <c r="D1035" s="51">
        <v>64.0</v>
      </c>
      <c r="E1035" s="52" t="s">
        <v>25</v>
      </c>
      <c r="F1035" s="52" t="s">
        <v>26</v>
      </c>
      <c r="G1035" s="54"/>
    </row>
    <row r="1036">
      <c r="A1036" s="49">
        <v>45031.53411653935</v>
      </c>
      <c r="B1036" s="50">
        <v>45031.6590873263</v>
      </c>
      <c r="C1036" s="51">
        <v>1.058</v>
      </c>
      <c r="D1036" s="51">
        <v>64.0</v>
      </c>
      <c r="E1036" s="52" t="s">
        <v>25</v>
      </c>
      <c r="F1036" s="52" t="s">
        <v>26</v>
      </c>
      <c r="G1036" s="54"/>
    </row>
    <row r="1037">
      <c r="A1037" s="49">
        <v>45031.54453678241</v>
      </c>
      <c r="B1037" s="50">
        <v>45031.6695098726</v>
      </c>
      <c r="C1037" s="51">
        <v>1.058</v>
      </c>
      <c r="D1037" s="51">
        <v>64.0</v>
      </c>
      <c r="E1037" s="52" t="s">
        <v>25</v>
      </c>
      <c r="F1037" s="52" t="s">
        <v>26</v>
      </c>
      <c r="G1037" s="54"/>
    </row>
    <row r="1038">
      <c r="A1038" s="49">
        <v>45031.5549759375</v>
      </c>
      <c r="B1038" s="50">
        <v>45031.6799426851</v>
      </c>
      <c r="C1038" s="51">
        <v>1.058</v>
      </c>
      <c r="D1038" s="51">
        <v>64.0</v>
      </c>
      <c r="E1038" s="52" t="s">
        <v>25</v>
      </c>
      <c r="F1038" s="52" t="s">
        <v>26</v>
      </c>
      <c r="G1038" s="54"/>
    </row>
    <row r="1039">
      <c r="A1039" s="49">
        <v>45031.565389745374</v>
      </c>
      <c r="B1039" s="50">
        <v>45031.6903650347</v>
      </c>
      <c r="C1039" s="51">
        <v>1.058</v>
      </c>
      <c r="D1039" s="51">
        <v>64.0</v>
      </c>
      <c r="E1039" s="52" t="s">
        <v>25</v>
      </c>
      <c r="F1039" s="52" t="s">
        <v>26</v>
      </c>
      <c r="G1039" s="54"/>
    </row>
    <row r="1040">
      <c r="A1040" s="49">
        <v>45031.575814525466</v>
      </c>
      <c r="B1040" s="50">
        <v>45031.7007855902</v>
      </c>
      <c r="C1040" s="51">
        <v>1.058</v>
      </c>
      <c r="D1040" s="51">
        <v>64.0</v>
      </c>
      <c r="E1040" s="52" t="s">
        <v>25</v>
      </c>
      <c r="F1040" s="52" t="s">
        <v>26</v>
      </c>
      <c r="G1040" s="54"/>
    </row>
    <row r="1041">
      <c r="A1041" s="49">
        <v>45031.58622627315</v>
      </c>
      <c r="B1041" s="50">
        <v>45031.7112077662</v>
      </c>
      <c r="C1041" s="51">
        <v>1.058</v>
      </c>
      <c r="D1041" s="51">
        <v>64.0</v>
      </c>
      <c r="E1041" s="52" t="s">
        <v>25</v>
      </c>
      <c r="F1041" s="52" t="s">
        <v>26</v>
      </c>
      <c r="G1041" s="54"/>
    </row>
    <row r="1042">
      <c r="A1042" s="49">
        <v>45031.596655625</v>
      </c>
      <c r="B1042" s="50">
        <v>45031.7216296527</v>
      </c>
      <c r="C1042" s="51">
        <v>1.058</v>
      </c>
      <c r="D1042" s="51">
        <v>64.0</v>
      </c>
      <c r="E1042" s="52" t="s">
        <v>25</v>
      </c>
      <c r="F1042" s="52" t="s">
        <v>26</v>
      </c>
      <c r="G1042" s="54"/>
    </row>
    <row r="1043">
      <c r="A1043" s="49">
        <v>45031.60709321759</v>
      </c>
      <c r="B1043" s="50">
        <v>45031.7320626388</v>
      </c>
      <c r="C1043" s="51">
        <v>1.057</v>
      </c>
      <c r="D1043" s="51">
        <v>65.0</v>
      </c>
      <c r="E1043" s="52" t="s">
        <v>25</v>
      </c>
      <c r="F1043" s="52" t="s">
        <v>26</v>
      </c>
      <c r="G1043" s="54"/>
    </row>
    <row r="1044">
      <c r="A1044" s="49">
        <v>45031.61751561343</v>
      </c>
      <c r="B1044" s="50">
        <v>45031.7424843171</v>
      </c>
      <c r="C1044" s="51">
        <v>1.057</v>
      </c>
      <c r="D1044" s="51">
        <v>64.0</v>
      </c>
      <c r="E1044" s="52" t="s">
        <v>25</v>
      </c>
      <c r="F1044" s="52" t="s">
        <v>26</v>
      </c>
      <c r="G1044" s="54"/>
    </row>
    <row r="1045">
      <c r="A1045" s="49">
        <v>45031.627929317125</v>
      </c>
      <c r="B1045" s="50">
        <v>45031.7529041666</v>
      </c>
      <c r="C1045" s="51">
        <v>1.057</v>
      </c>
      <c r="D1045" s="51">
        <v>64.0</v>
      </c>
      <c r="E1045" s="52" t="s">
        <v>25</v>
      </c>
      <c r="F1045" s="52" t="s">
        <v>26</v>
      </c>
      <c r="G1045" s="54"/>
    </row>
    <row r="1046">
      <c r="A1046" s="49">
        <v>45031.638352187496</v>
      </c>
      <c r="B1046" s="50">
        <v>45031.7633242129</v>
      </c>
      <c r="C1046" s="51">
        <v>1.057</v>
      </c>
      <c r="D1046" s="51">
        <v>65.0</v>
      </c>
      <c r="E1046" s="52" t="s">
        <v>25</v>
      </c>
      <c r="F1046" s="52" t="s">
        <v>26</v>
      </c>
      <c r="G1046" s="54"/>
    </row>
    <row r="1047">
      <c r="A1047" s="49">
        <v>45031.648775208334</v>
      </c>
      <c r="B1047" s="50">
        <v>45031.7737443287</v>
      </c>
      <c r="C1047" s="51">
        <v>1.057</v>
      </c>
      <c r="D1047" s="51">
        <v>65.0</v>
      </c>
      <c r="E1047" s="52" t="s">
        <v>25</v>
      </c>
      <c r="F1047" s="52" t="s">
        <v>26</v>
      </c>
      <c r="G1047" s="54"/>
    </row>
    <row r="1048">
      <c r="A1048" s="49">
        <v>45031.659195636574</v>
      </c>
      <c r="B1048" s="50">
        <v>45031.78416375</v>
      </c>
      <c r="C1048" s="51">
        <v>1.057</v>
      </c>
      <c r="D1048" s="51">
        <v>65.0</v>
      </c>
      <c r="E1048" s="52" t="s">
        <v>25</v>
      </c>
      <c r="F1048" s="52" t="s">
        <v>26</v>
      </c>
      <c r="G1048" s="54"/>
    </row>
    <row r="1049">
      <c r="A1049" s="49">
        <v>45031.66961494213</v>
      </c>
      <c r="B1049" s="50">
        <v>45031.7945848958</v>
      </c>
      <c r="C1049" s="51">
        <v>1.057</v>
      </c>
      <c r="D1049" s="51">
        <v>64.0</v>
      </c>
      <c r="E1049" s="52" t="s">
        <v>25</v>
      </c>
      <c r="F1049" s="52" t="s">
        <v>26</v>
      </c>
      <c r="G1049" s="54"/>
    </row>
    <row r="1050">
      <c r="A1050" s="49">
        <v>45031.68004694444</v>
      </c>
      <c r="B1050" s="50">
        <v>45031.8050190162</v>
      </c>
      <c r="C1050" s="51">
        <v>1.057</v>
      </c>
      <c r="D1050" s="51">
        <v>65.0</v>
      </c>
      <c r="E1050" s="52" t="s">
        <v>25</v>
      </c>
      <c r="F1050" s="52" t="s">
        <v>26</v>
      </c>
      <c r="G1050" s="54"/>
    </row>
    <row r="1051">
      <c r="A1051" s="49">
        <v>45031.69047055556</v>
      </c>
      <c r="B1051" s="50">
        <v>45031.8154411458</v>
      </c>
      <c r="C1051" s="51">
        <v>1.057</v>
      </c>
      <c r="D1051" s="51">
        <v>64.0</v>
      </c>
      <c r="E1051" s="52" t="s">
        <v>25</v>
      </c>
      <c r="F1051" s="52" t="s">
        <v>26</v>
      </c>
      <c r="G1051" s="54"/>
    </row>
    <row r="1052">
      <c r="A1052" s="49">
        <v>45031.70088371528</v>
      </c>
      <c r="B1052" s="50">
        <v>45031.8258620717</v>
      </c>
      <c r="C1052" s="51">
        <v>1.057</v>
      </c>
      <c r="D1052" s="51">
        <v>64.0</v>
      </c>
      <c r="E1052" s="52" t="s">
        <v>25</v>
      </c>
      <c r="F1052" s="52" t="s">
        <v>26</v>
      </c>
      <c r="G1052" s="54"/>
    </row>
    <row r="1053">
      <c r="A1053" s="49">
        <v>45031.71131304398</v>
      </c>
      <c r="B1053" s="50">
        <v>45031.8362838888</v>
      </c>
      <c r="C1053" s="51">
        <v>1.057</v>
      </c>
      <c r="D1053" s="51">
        <v>65.0</v>
      </c>
      <c r="E1053" s="52" t="s">
        <v>25</v>
      </c>
      <c r="F1053" s="52" t="s">
        <v>26</v>
      </c>
      <c r="G1053" s="54"/>
    </row>
    <row r="1054">
      <c r="A1054" s="49">
        <v>45031.72173391204</v>
      </c>
      <c r="B1054" s="50">
        <v>45031.8467042361</v>
      </c>
      <c r="C1054" s="51">
        <v>1.057</v>
      </c>
      <c r="D1054" s="51">
        <v>65.0</v>
      </c>
      <c r="E1054" s="52" t="s">
        <v>25</v>
      </c>
      <c r="F1054" s="52" t="s">
        <v>26</v>
      </c>
      <c r="G1054" s="54"/>
    </row>
    <row r="1055">
      <c r="A1055" s="49">
        <v>45031.73215008102</v>
      </c>
      <c r="B1055" s="50">
        <v>45031.8571250694</v>
      </c>
      <c r="C1055" s="51">
        <v>1.057</v>
      </c>
      <c r="D1055" s="51">
        <v>65.0</v>
      </c>
      <c r="E1055" s="52" t="s">
        <v>25</v>
      </c>
      <c r="F1055" s="52" t="s">
        <v>26</v>
      </c>
      <c r="G1055" s="54"/>
    </row>
    <row r="1056">
      <c r="A1056" s="49">
        <v>45031.742575185184</v>
      </c>
      <c r="B1056" s="50">
        <v>45031.8675464351</v>
      </c>
      <c r="C1056" s="51">
        <v>1.057</v>
      </c>
      <c r="D1056" s="51">
        <v>64.0</v>
      </c>
      <c r="E1056" s="52" t="s">
        <v>25</v>
      </c>
      <c r="F1056" s="52" t="s">
        <v>26</v>
      </c>
      <c r="G1056" s="54"/>
    </row>
    <row r="1057">
      <c r="A1057" s="49">
        <v>45031.75298680556</v>
      </c>
      <c r="B1057" s="50">
        <v>45031.8779664814</v>
      </c>
      <c r="C1057" s="51">
        <v>1.057</v>
      </c>
      <c r="D1057" s="51">
        <v>65.0</v>
      </c>
      <c r="E1057" s="52" t="s">
        <v>25</v>
      </c>
      <c r="F1057" s="52" t="s">
        <v>26</v>
      </c>
      <c r="G1057" s="54"/>
    </row>
    <row r="1058">
      <c r="A1058" s="49">
        <v>45031.763406122685</v>
      </c>
      <c r="B1058" s="50">
        <v>45031.8883865277</v>
      </c>
      <c r="C1058" s="51">
        <v>1.057</v>
      </c>
      <c r="D1058" s="51">
        <v>65.0</v>
      </c>
      <c r="E1058" s="52" t="s">
        <v>25</v>
      </c>
      <c r="F1058" s="52" t="s">
        <v>26</v>
      </c>
      <c r="G1058" s="54"/>
    </row>
    <row r="1059">
      <c r="A1059" s="49">
        <v>45031.77384951389</v>
      </c>
      <c r="B1059" s="50">
        <v>45031.8988194097</v>
      </c>
      <c r="C1059" s="51">
        <v>1.057</v>
      </c>
      <c r="D1059" s="51">
        <v>64.0</v>
      </c>
      <c r="E1059" s="52" t="s">
        <v>25</v>
      </c>
      <c r="F1059" s="52" t="s">
        <v>26</v>
      </c>
      <c r="G1059" s="54"/>
    </row>
    <row r="1060">
      <c r="A1060" s="49">
        <v>45031.784273321755</v>
      </c>
      <c r="B1060" s="50">
        <v>45031.9092419097</v>
      </c>
      <c r="C1060" s="51">
        <v>1.057</v>
      </c>
      <c r="D1060" s="51">
        <v>65.0</v>
      </c>
      <c r="E1060" s="52" t="s">
        <v>25</v>
      </c>
      <c r="F1060" s="52" t="s">
        <v>26</v>
      </c>
      <c r="G1060" s="54"/>
    </row>
    <row r="1061">
      <c r="A1061" s="49">
        <v>45031.79468744213</v>
      </c>
      <c r="B1061" s="50">
        <v>45031.9196626041</v>
      </c>
      <c r="C1061" s="51">
        <v>1.057</v>
      </c>
      <c r="D1061" s="51">
        <v>64.0</v>
      </c>
      <c r="E1061" s="52" t="s">
        <v>25</v>
      </c>
      <c r="F1061" s="52" t="s">
        <v>26</v>
      </c>
      <c r="G1061" s="54"/>
    </row>
    <row r="1062">
      <c r="A1062" s="49">
        <v>45031.80511037037</v>
      </c>
      <c r="B1062" s="50">
        <v>45031.9300840509</v>
      </c>
      <c r="C1062" s="51">
        <v>1.057</v>
      </c>
      <c r="D1062" s="51">
        <v>65.0</v>
      </c>
      <c r="E1062" s="52" t="s">
        <v>25</v>
      </c>
      <c r="F1062" s="52" t="s">
        <v>26</v>
      </c>
      <c r="G1062" s="54"/>
    </row>
    <row r="1063">
      <c r="A1063" s="49">
        <v>45031.81553622685</v>
      </c>
      <c r="B1063" s="50">
        <v>45031.9405058796</v>
      </c>
      <c r="C1063" s="51">
        <v>1.057</v>
      </c>
      <c r="D1063" s="51">
        <v>65.0</v>
      </c>
      <c r="E1063" s="52" t="s">
        <v>25</v>
      </c>
      <c r="F1063" s="52" t="s">
        <v>26</v>
      </c>
      <c r="G1063" s="54"/>
    </row>
    <row r="1064">
      <c r="A1064" s="49">
        <v>45031.825969363425</v>
      </c>
      <c r="B1064" s="50">
        <v>45031.9509396296</v>
      </c>
      <c r="C1064" s="51">
        <v>1.056</v>
      </c>
      <c r="D1064" s="51">
        <v>65.0</v>
      </c>
      <c r="E1064" s="52" t="s">
        <v>25</v>
      </c>
      <c r="F1064" s="52" t="s">
        <v>26</v>
      </c>
      <c r="G1064" s="54"/>
    </row>
    <row r="1065">
      <c r="A1065" s="49">
        <v>45031.83638674769</v>
      </c>
      <c r="B1065" s="50">
        <v>45031.9613625694</v>
      </c>
      <c r="C1065" s="51">
        <v>1.057</v>
      </c>
      <c r="D1065" s="51">
        <v>65.0</v>
      </c>
      <c r="E1065" s="52" t="s">
        <v>25</v>
      </c>
      <c r="F1065" s="52" t="s">
        <v>26</v>
      </c>
      <c r="G1065" s="54"/>
    </row>
    <row r="1066">
      <c r="A1066" s="49">
        <v>45031.846812187505</v>
      </c>
      <c r="B1066" s="50">
        <v>45031.9717821875</v>
      </c>
      <c r="C1066" s="51">
        <v>1.057</v>
      </c>
      <c r="D1066" s="51">
        <v>65.0</v>
      </c>
      <c r="E1066" s="52" t="s">
        <v>25</v>
      </c>
      <c r="F1066" s="52" t="s">
        <v>26</v>
      </c>
      <c r="G1066" s="54"/>
    </row>
    <row r="1067">
      <c r="A1067" s="49">
        <v>45031.85722278935</v>
      </c>
      <c r="B1067" s="50">
        <v>45031.9822041666</v>
      </c>
      <c r="C1067" s="51">
        <v>1.057</v>
      </c>
      <c r="D1067" s="51">
        <v>65.0</v>
      </c>
      <c r="E1067" s="52" t="s">
        <v>25</v>
      </c>
      <c r="F1067" s="52" t="s">
        <v>26</v>
      </c>
      <c r="G1067" s="54"/>
    </row>
    <row r="1068">
      <c r="A1068" s="49">
        <v>45031.86764888889</v>
      </c>
      <c r="B1068" s="50">
        <v>45031.9926239236</v>
      </c>
      <c r="C1068" s="51">
        <v>1.056</v>
      </c>
      <c r="D1068" s="51">
        <v>65.0</v>
      </c>
      <c r="E1068" s="52" t="s">
        <v>25</v>
      </c>
      <c r="F1068" s="52" t="s">
        <v>26</v>
      </c>
      <c r="G1068" s="54"/>
    </row>
    <row r="1069">
      <c r="A1069" s="49">
        <v>45031.87807554398</v>
      </c>
      <c r="B1069" s="50">
        <v>45032.0030554051</v>
      </c>
      <c r="C1069" s="51">
        <v>1.056</v>
      </c>
      <c r="D1069" s="51">
        <v>65.0</v>
      </c>
      <c r="E1069" s="52" t="s">
        <v>25</v>
      </c>
      <c r="F1069" s="52" t="s">
        <v>26</v>
      </c>
      <c r="G1069" s="54"/>
    </row>
    <row r="1070">
      <c r="A1070" s="49">
        <v>45031.888505995375</v>
      </c>
      <c r="B1070" s="50">
        <v>45032.0134767013</v>
      </c>
      <c r="C1070" s="51">
        <v>1.056</v>
      </c>
      <c r="D1070" s="51">
        <v>65.0</v>
      </c>
      <c r="E1070" s="52" t="s">
        <v>25</v>
      </c>
      <c r="F1070" s="52" t="s">
        <v>26</v>
      </c>
      <c r="G1070" s="54"/>
    </row>
    <row r="1071">
      <c r="A1071" s="49">
        <v>45031.898929131945</v>
      </c>
      <c r="B1071" s="50">
        <v>45032.0239095833</v>
      </c>
      <c r="C1071" s="51">
        <v>1.056</v>
      </c>
      <c r="D1071" s="51">
        <v>65.0</v>
      </c>
      <c r="E1071" s="52" t="s">
        <v>25</v>
      </c>
      <c r="F1071" s="52" t="s">
        <v>26</v>
      </c>
      <c r="G1071" s="54"/>
    </row>
    <row r="1072">
      <c r="A1072" s="49">
        <v>45031.90937262731</v>
      </c>
      <c r="B1072" s="50">
        <v>45032.034343125</v>
      </c>
      <c r="C1072" s="51">
        <v>1.056</v>
      </c>
      <c r="D1072" s="51">
        <v>65.0</v>
      </c>
      <c r="E1072" s="52" t="s">
        <v>25</v>
      </c>
      <c r="F1072" s="52" t="s">
        <v>26</v>
      </c>
      <c r="G1072" s="54"/>
    </row>
    <row r="1073">
      <c r="A1073" s="49">
        <v>45031.91978813657</v>
      </c>
      <c r="B1073" s="50">
        <v>45032.0447632638</v>
      </c>
      <c r="C1073" s="51">
        <v>1.056</v>
      </c>
      <c r="D1073" s="51">
        <v>65.0</v>
      </c>
      <c r="E1073" s="52" t="s">
        <v>25</v>
      </c>
      <c r="F1073" s="52" t="s">
        <v>26</v>
      </c>
      <c r="G1073" s="54"/>
    </row>
    <row r="1074">
      <c r="A1074" s="49">
        <v>45031.930205937504</v>
      </c>
      <c r="B1074" s="50">
        <v>45032.0551838888</v>
      </c>
      <c r="C1074" s="51">
        <v>1.056</v>
      </c>
      <c r="D1074" s="51">
        <v>65.0</v>
      </c>
      <c r="E1074" s="52" t="s">
        <v>25</v>
      </c>
      <c r="F1074" s="52" t="s">
        <v>26</v>
      </c>
      <c r="G1074" s="54"/>
    </row>
    <row r="1075">
      <c r="A1075" s="49">
        <v>45031.940634513885</v>
      </c>
      <c r="B1075" s="50">
        <v>45032.0656050578</v>
      </c>
      <c r="C1075" s="51">
        <v>1.056</v>
      </c>
      <c r="D1075" s="51">
        <v>65.0</v>
      </c>
      <c r="E1075" s="52" t="s">
        <v>25</v>
      </c>
      <c r="F1075" s="52" t="s">
        <v>26</v>
      </c>
      <c r="G1075" s="54"/>
    </row>
    <row r="1076">
      <c r="A1076" s="49">
        <v>45031.95106482639</v>
      </c>
      <c r="B1076" s="50">
        <v>45032.0760390162</v>
      </c>
      <c r="C1076" s="51">
        <v>1.056</v>
      </c>
      <c r="D1076" s="51">
        <v>65.0</v>
      </c>
      <c r="E1076" s="52" t="s">
        <v>25</v>
      </c>
      <c r="F1076" s="52" t="s">
        <v>26</v>
      </c>
      <c r="G1076" s="54"/>
    </row>
    <row r="1077">
      <c r="A1077" s="49">
        <v>45031.96149122685</v>
      </c>
      <c r="B1077" s="50">
        <v>45032.0864596527</v>
      </c>
      <c r="C1077" s="51">
        <v>1.056</v>
      </c>
      <c r="D1077" s="51">
        <v>65.0</v>
      </c>
      <c r="E1077" s="52" t="s">
        <v>25</v>
      </c>
      <c r="F1077" s="52" t="s">
        <v>26</v>
      </c>
      <c r="G1077" s="54"/>
    </row>
    <row r="1078">
      <c r="A1078" s="49">
        <v>45031.971910127315</v>
      </c>
      <c r="B1078" s="50">
        <v>45032.096880162</v>
      </c>
      <c r="C1078" s="51">
        <v>1.056</v>
      </c>
      <c r="D1078" s="51">
        <v>65.0</v>
      </c>
      <c r="E1078" s="52" t="s">
        <v>25</v>
      </c>
      <c r="F1078" s="52" t="s">
        <v>26</v>
      </c>
      <c r="G1078" s="54"/>
    </row>
    <row r="1079">
      <c r="A1079" s="49">
        <v>45031.98232769676</v>
      </c>
      <c r="B1079" s="50">
        <v>45032.1073010185</v>
      </c>
      <c r="C1079" s="51">
        <v>1.056</v>
      </c>
      <c r="D1079" s="51">
        <v>65.0</v>
      </c>
      <c r="E1079" s="52" t="s">
        <v>25</v>
      </c>
      <c r="F1079" s="52" t="s">
        <v>26</v>
      </c>
      <c r="G1079" s="54"/>
    </row>
    <row r="1080">
      <c r="A1080" s="49">
        <v>45031.99274418982</v>
      </c>
      <c r="B1080" s="50">
        <v>45032.1177210532</v>
      </c>
      <c r="C1080" s="51">
        <v>1.056</v>
      </c>
      <c r="D1080" s="51">
        <v>65.0</v>
      </c>
      <c r="E1080" s="52" t="s">
        <v>25</v>
      </c>
      <c r="F1080" s="52" t="s">
        <v>26</v>
      </c>
      <c r="G1080" s="54"/>
    </row>
    <row r="1081">
      <c r="A1081" s="49">
        <v>45032.00317996528</v>
      </c>
      <c r="B1081" s="50">
        <v>45032.1281536689</v>
      </c>
      <c r="C1081" s="51">
        <v>1.056</v>
      </c>
      <c r="D1081" s="51">
        <v>65.0</v>
      </c>
      <c r="E1081" s="52" t="s">
        <v>25</v>
      </c>
      <c r="F1081" s="52" t="s">
        <v>26</v>
      </c>
      <c r="G1081" s="54"/>
    </row>
    <row r="1082">
      <c r="A1082" s="49">
        <v>45032.01360922454</v>
      </c>
      <c r="B1082" s="50">
        <v>45032.1385870949</v>
      </c>
      <c r="C1082" s="51">
        <v>1.056</v>
      </c>
      <c r="D1082" s="51">
        <v>65.0</v>
      </c>
      <c r="E1082" s="52" t="s">
        <v>25</v>
      </c>
      <c r="F1082" s="52" t="s">
        <v>26</v>
      </c>
      <c r="G1082" s="54"/>
    </row>
    <row r="1083">
      <c r="A1083" s="49">
        <v>45032.02403543981</v>
      </c>
      <c r="B1083" s="50">
        <v>45032.1490081134</v>
      </c>
      <c r="C1083" s="51">
        <v>1.056</v>
      </c>
      <c r="D1083" s="51">
        <v>65.0</v>
      </c>
      <c r="E1083" s="52" t="s">
        <v>25</v>
      </c>
      <c r="F1083" s="52" t="s">
        <v>26</v>
      </c>
      <c r="G1083" s="54"/>
    </row>
    <row r="1084">
      <c r="A1084" s="49">
        <v>45032.03445034722</v>
      </c>
      <c r="B1084" s="50">
        <v>45032.1594295949</v>
      </c>
      <c r="C1084" s="51">
        <v>1.056</v>
      </c>
      <c r="D1084" s="51">
        <v>65.0</v>
      </c>
      <c r="E1084" s="52" t="s">
        <v>25</v>
      </c>
      <c r="F1084" s="52" t="s">
        <v>26</v>
      </c>
      <c r="G1084" s="54"/>
    </row>
    <row r="1085">
      <c r="A1085" s="49">
        <v>45032.04488078704</v>
      </c>
      <c r="B1085" s="50">
        <v>45032.1698506828</v>
      </c>
      <c r="C1085" s="51">
        <v>1.056</v>
      </c>
      <c r="D1085" s="51">
        <v>65.0</v>
      </c>
      <c r="E1085" s="52" t="s">
        <v>25</v>
      </c>
      <c r="F1085" s="52" t="s">
        <v>26</v>
      </c>
      <c r="G1085" s="54"/>
    </row>
    <row r="1086">
      <c r="A1086" s="49">
        <v>45032.05529925926</v>
      </c>
      <c r="B1086" s="50">
        <v>45032.1802731365</v>
      </c>
      <c r="C1086" s="51">
        <v>1.056</v>
      </c>
      <c r="D1086" s="51">
        <v>65.0</v>
      </c>
      <c r="E1086" s="52" t="s">
        <v>25</v>
      </c>
      <c r="F1086" s="52" t="s">
        <v>26</v>
      </c>
      <c r="G1086" s="54"/>
    </row>
    <row r="1087">
      <c r="A1087" s="49">
        <v>45032.06572359954</v>
      </c>
      <c r="B1087" s="50">
        <v>45032.1906948495</v>
      </c>
      <c r="C1087" s="51">
        <v>1.056</v>
      </c>
      <c r="D1087" s="51">
        <v>65.0</v>
      </c>
      <c r="E1087" s="52" t="s">
        <v>25</v>
      </c>
      <c r="F1087" s="52" t="s">
        <v>26</v>
      </c>
      <c r="G1087" s="54"/>
    </row>
    <row r="1088">
      <c r="A1088" s="49">
        <v>45032.076137916665</v>
      </c>
      <c r="B1088" s="50">
        <v>45032.2011157638</v>
      </c>
      <c r="C1088" s="51">
        <v>1.056</v>
      </c>
      <c r="D1088" s="51">
        <v>65.0</v>
      </c>
      <c r="E1088" s="52" t="s">
        <v>25</v>
      </c>
      <c r="F1088" s="52" t="s">
        <v>26</v>
      </c>
      <c r="G1088" s="54"/>
    </row>
    <row r="1089">
      <c r="A1089" s="49">
        <v>45032.086563310186</v>
      </c>
      <c r="B1089" s="50">
        <v>45032.2115362847</v>
      </c>
      <c r="C1089" s="51">
        <v>1.055</v>
      </c>
      <c r="D1089" s="51">
        <v>65.0</v>
      </c>
      <c r="E1089" s="52" t="s">
        <v>25</v>
      </c>
      <c r="F1089" s="52" t="s">
        <v>26</v>
      </c>
      <c r="G1089" s="54"/>
    </row>
    <row r="1090">
      <c r="A1090" s="49">
        <v>45032.096989259255</v>
      </c>
      <c r="B1090" s="50">
        <v>45032.2219593402</v>
      </c>
      <c r="C1090" s="51">
        <v>1.056</v>
      </c>
      <c r="D1090" s="51">
        <v>65.0</v>
      </c>
      <c r="E1090" s="52" t="s">
        <v>25</v>
      </c>
      <c r="F1090" s="52" t="s">
        <v>26</v>
      </c>
      <c r="G1090" s="54"/>
    </row>
    <row r="1091">
      <c r="A1091" s="49">
        <v>45032.107408344906</v>
      </c>
      <c r="B1091" s="50">
        <v>45032.2323804513</v>
      </c>
      <c r="C1091" s="51">
        <v>1.055</v>
      </c>
      <c r="D1091" s="51">
        <v>65.0</v>
      </c>
      <c r="E1091" s="52" t="s">
        <v>25</v>
      </c>
      <c r="F1091" s="52" t="s">
        <v>26</v>
      </c>
      <c r="G1091" s="54"/>
    </row>
    <row r="1092">
      <c r="A1092" s="49">
        <v>45032.11782288195</v>
      </c>
      <c r="B1092" s="50">
        <v>45032.2428012615</v>
      </c>
      <c r="C1092" s="51">
        <v>1.055</v>
      </c>
      <c r="D1092" s="51">
        <v>65.0</v>
      </c>
      <c r="E1092" s="52" t="s">
        <v>25</v>
      </c>
      <c r="F1092" s="52" t="s">
        <v>26</v>
      </c>
      <c r="G1092" s="54"/>
    </row>
    <row r="1093">
      <c r="A1093" s="49">
        <v>45032.12825733796</v>
      </c>
      <c r="B1093" s="50">
        <v>45032.2532214583</v>
      </c>
      <c r="C1093" s="51">
        <v>1.055</v>
      </c>
      <c r="D1093" s="51">
        <v>65.0</v>
      </c>
      <c r="E1093" s="52" t="s">
        <v>25</v>
      </c>
      <c r="F1093" s="52" t="s">
        <v>26</v>
      </c>
      <c r="G1093" s="54"/>
    </row>
    <row r="1094">
      <c r="A1094" s="49">
        <v>45032.138684247686</v>
      </c>
      <c r="B1094" s="50">
        <v>45032.2636418055</v>
      </c>
      <c r="C1094" s="51">
        <v>1.055</v>
      </c>
      <c r="D1094" s="51">
        <v>65.0</v>
      </c>
      <c r="E1094" s="52" t="s">
        <v>25</v>
      </c>
      <c r="F1094" s="52" t="s">
        <v>26</v>
      </c>
      <c r="G1094" s="54"/>
    </row>
    <row r="1095">
      <c r="A1095" s="49">
        <v>45032.14908142361</v>
      </c>
      <c r="B1095" s="50">
        <v>45032.2740620138</v>
      </c>
      <c r="C1095" s="51">
        <v>1.055</v>
      </c>
      <c r="D1095" s="51">
        <v>65.0</v>
      </c>
      <c r="E1095" s="52" t="s">
        <v>25</v>
      </c>
      <c r="F1095" s="52" t="s">
        <v>26</v>
      </c>
      <c r="G1095" s="54"/>
    </row>
    <row r="1096">
      <c r="A1096" s="49">
        <v>45032.15953295139</v>
      </c>
      <c r="B1096" s="50">
        <v>45032.2844947569</v>
      </c>
      <c r="C1096" s="51">
        <v>1.055</v>
      </c>
      <c r="D1096" s="51">
        <v>65.0</v>
      </c>
      <c r="E1096" s="52" t="s">
        <v>25</v>
      </c>
      <c r="F1096" s="52" t="s">
        <v>26</v>
      </c>
      <c r="G1096" s="54"/>
    </row>
    <row r="1097">
      <c r="A1097" s="49">
        <v>45032.169944629626</v>
      </c>
      <c r="B1097" s="50">
        <v>45032.2949162268</v>
      </c>
      <c r="C1097" s="51">
        <v>1.055</v>
      </c>
      <c r="D1097" s="51">
        <v>65.0</v>
      </c>
      <c r="E1097" s="52" t="s">
        <v>25</v>
      </c>
      <c r="F1097" s="52" t="s">
        <v>26</v>
      </c>
      <c r="G1097" s="54"/>
    </row>
    <row r="1098">
      <c r="A1098" s="49">
        <v>45032.18037960648</v>
      </c>
      <c r="B1098" s="50">
        <v>45032.3053498495</v>
      </c>
      <c r="C1098" s="51">
        <v>1.055</v>
      </c>
      <c r="D1098" s="51">
        <v>65.0</v>
      </c>
      <c r="E1098" s="52" t="s">
        <v>25</v>
      </c>
      <c r="F1098" s="52" t="s">
        <v>26</v>
      </c>
      <c r="G1098" s="54"/>
    </row>
    <row r="1099">
      <c r="A1099" s="49">
        <v>45032.19079317129</v>
      </c>
      <c r="B1099" s="50">
        <v>45032.3157719444</v>
      </c>
      <c r="C1099" s="51">
        <v>1.055</v>
      </c>
      <c r="D1099" s="51">
        <v>65.0</v>
      </c>
      <c r="E1099" s="52" t="s">
        <v>25</v>
      </c>
      <c r="F1099" s="52" t="s">
        <v>26</v>
      </c>
      <c r="G1099" s="54"/>
    </row>
    <row r="1100">
      <c r="A1100" s="49">
        <v>45032.2012169213</v>
      </c>
      <c r="B1100" s="50">
        <v>45032.3261923495</v>
      </c>
      <c r="C1100" s="51">
        <v>1.055</v>
      </c>
      <c r="D1100" s="51">
        <v>65.0</v>
      </c>
      <c r="E1100" s="52" t="s">
        <v>25</v>
      </c>
      <c r="F1100" s="52" t="s">
        <v>26</v>
      </c>
      <c r="G1100" s="54"/>
    </row>
    <row r="1101">
      <c r="A1101" s="49">
        <v>45032.21164214121</v>
      </c>
      <c r="B1101" s="50">
        <v>45032.3366131944</v>
      </c>
      <c r="C1101" s="51">
        <v>1.055</v>
      </c>
      <c r="D1101" s="51">
        <v>65.0</v>
      </c>
      <c r="E1101" s="52" t="s">
        <v>25</v>
      </c>
      <c r="F1101" s="52" t="s">
        <v>26</v>
      </c>
      <c r="G1101" s="54"/>
    </row>
    <row r="1102">
      <c r="A1102" s="49">
        <v>45032.222065636575</v>
      </c>
      <c r="B1102" s="50">
        <v>45032.3470348495</v>
      </c>
      <c r="C1102" s="51">
        <v>1.055</v>
      </c>
      <c r="D1102" s="51">
        <v>65.0</v>
      </c>
      <c r="E1102" s="52" t="s">
        <v>25</v>
      </c>
      <c r="F1102" s="52" t="s">
        <v>26</v>
      </c>
      <c r="G1102" s="54"/>
    </row>
    <row r="1103">
      <c r="A1103" s="49">
        <v>45032.23248049768</v>
      </c>
      <c r="B1103" s="50">
        <v>45032.3574566898</v>
      </c>
      <c r="C1103" s="51">
        <v>1.055</v>
      </c>
      <c r="D1103" s="51">
        <v>65.0</v>
      </c>
      <c r="E1103" s="52" t="s">
        <v>25</v>
      </c>
      <c r="F1103" s="52" t="s">
        <v>26</v>
      </c>
      <c r="G1103" s="54"/>
    </row>
    <row r="1104">
      <c r="A1104" s="49">
        <v>45032.242901527774</v>
      </c>
      <c r="B1104" s="50">
        <v>45032.3678764004</v>
      </c>
      <c r="C1104" s="51">
        <v>1.055</v>
      </c>
      <c r="D1104" s="51">
        <v>65.0</v>
      </c>
      <c r="E1104" s="52" t="s">
        <v>25</v>
      </c>
      <c r="F1104" s="52" t="s">
        <v>26</v>
      </c>
      <c r="G1104" s="54"/>
    </row>
    <row r="1105">
      <c r="A1105" s="49">
        <v>45032.253330694446</v>
      </c>
      <c r="B1105" s="50">
        <v>45032.3782969213</v>
      </c>
      <c r="C1105" s="51">
        <v>1.055</v>
      </c>
      <c r="D1105" s="51">
        <v>65.0</v>
      </c>
      <c r="E1105" s="52" t="s">
        <v>25</v>
      </c>
      <c r="F1105" s="52" t="s">
        <v>26</v>
      </c>
      <c r="G1105" s="54"/>
    </row>
    <row r="1106">
      <c r="A1106" s="49">
        <v>45032.263742662035</v>
      </c>
      <c r="B1106" s="50">
        <v>45032.3887187731</v>
      </c>
      <c r="C1106" s="51">
        <v>1.055</v>
      </c>
      <c r="D1106" s="51">
        <v>65.0</v>
      </c>
      <c r="E1106" s="52" t="s">
        <v>25</v>
      </c>
      <c r="F1106" s="52" t="s">
        <v>26</v>
      </c>
      <c r="G1106" s="54"/>
    </row>
    <row r="1107">
      <c r="A1107" s="49">
        <v>45032.274165208335</v>
      </c>
      <c r="B1107" s="50">
        <v>45032.3991392708</v>
      </c>
      <c r="C1107" s="51">
        <v>1.055</v>
      </c>
      <c r="D1107" s="51">
        <v>65.0</v>
      </c>
      <c r="E1107" s="52" t="s">
        <v>25</v>
      </c>
      <c r="F1107" s="52" t="s">
        <v>26</v>
      </c>
      <c r="G1107" s="54"/>
    </row>
    <row r="1108">
      <c r="A1108" s="49">
        <v>45032.284601481486</v>
      </c>
      <c r="B1108" s="50">
        <v>45032.4095713888</v>
      </c>
      <c r="C1108" s="51">
        <v>1.055</v>
      </c>
      <c r="D1108" s="51">
        <v>65.0</v>
      </c>
      <c r="E1108" s="52" t="s">
        <v>25</v>
      </c>
      <c r="F1108" s="52" t="s">
        <v>26</v>
      </c>
      <c r="G1108" s="54"/>
    </row>
    <row r="1109">
      <c r="A1109" s="49">
        <v>45032.295013449075</v>
      </c>
      <c r="B1109" s="50">
        <v>45032.4199914583</v>
      </c>
      <c r="C1109" s="51">
        <v>1.055</v>
      </c>
      <c r="D1109" s="51">
        <v>65.0</v>
      </c>
      <c r="E1109" s="52" t="s">
        <v>25</v>
      </c>
      <c r="F1109" s="52" t="s">
        <v>26</v>
      </c>
      <c r="G1109" s="54"/>
    </row>
    <row r="1110">
      <c r="A1110" s="49">
        <v>45032.305466817124</v>
      </c>
      <c r="B1110" s="50">
        <v>45032.4304347569</v>
      </c>
      <c r="C1110" s="51">
        <v>1.055</v>
      </c>
      <c r="D1110" s="51">
        <v>65.0</v>
      </c>
      <c r="E1110" s="52" t="s">
        <v>25</v>
      </c>
      <c r="F1110" s="52" t="s">
        <v>26</v>
      </c>
      <c r="G1110" s="54"/>
    </row>
    <row r="1111">
      <c r="A1111" s="49">
        <v>45032.31588733796</v>
      </c>
      <c r="B1111" s="50">
        <v>45032.4408653819</v>
      </c>
      <c r="C1111" s="51">
        <v>1.055</v>
      </c>
      <c r="D1111" s="51">
        <v>65.0</v>
      </c>
      <c r="E1111" s="52" t="s">
        <v>25</v>
      </c>
      <c r="F1111" s="52" t="s">
        <v>26</v>
      </c>
      <c r="G1111" s="54"/>
    </row>
    <row r="1112">
      <c r="A1112" s="49">
        <v>45032.32631694444</v>
      </c>
      <c r="B1112" s="50">
        <v>45032.4512853935</v>
      </c>
      <c r="C1112" s="51">
        <v>1.054</v>
      </c>
      <c r="D1112" s="51">
        <v>65.0</v>
      </c>
      <c r="E1112" s="52" t="s">
        <v>25</v>
      </c>
      <c r="F1112" s="52" t="s">
        <v>26</v>
      </c>
      <c r="G1112" s="54"/>
    </row>
    <row r="1113">
      <c r="A1113" s="49">
        <v>45032.336742175925</v>
      </c>
      <c r="B1113" s="50">
        <v>45032.4617184606</v>
      </c>
      <c r="C1113" s="51">
        <v>1.054</v>
      </c>
      <c r="D1113" s="51">
        <v>65.0</v>
      </c>
      <c r="E1113" s="52" t="s">
        <v>25</v>
      </c>
      <c r="F1113" s="52" t="s">
        <v>26</v>
      </c>
      <c r="G1113" s="54"/>
    </row>
    <row r="1114">
      <c r="A1114" s="49">
        <v>45032.34717060185</v>
      </c>
      <c r="B1114" s="50">
        <v>45032.4721402083</v>
      </c>
      <c r="C1114" s="51">
        <v>1.054</v>
      </c>
      <c r="D1114" s="51">
        <v>65.0</v>
      </c>
      <c r="E1114" s="52" t="s">
        <v>25</v>
      </c>
      <c r="F1114" s="52" t="s">
        <v>26</v>
      </c>
      <c r="G1114" s="54"/>
    </row>
    <row r="1115">
      <c r="A1115" s="49">
        <v>45032.35758645833</v>
      </c>
      <c r="B1115" s="50">
        <v>45032.4825599074</v>
      </c>
      <c r="C1115" s="51">
        <v>1.055</v>
      </c>
      <c r="D1115" s="51">
        <v>65.0</v>
      </c>
      <c r="E1115" s="52" t="s">
        <v>25</v>
      </c>
      <c r="F1115" s="52" t="s">
        <v>26</v>
      </c>
      <c r="G1115" s="54"/>
    </row>
    <row r="1116">
      <c r="A1116" s="49">
        <v>45032.368015381944</v>
      </c>
      <c r="B1116" s="50">
        <v>45032.4929813194</v>
      </c>
      <c r="C1116" s="51">
        <v>1.054</v>
      </c>
      <c r="D1116" s="51">
        <v>65.0</v>
      </c>
      <c r="E1116" s="52" t="s">
        <v>25</v>
      </c>
      <c r="F1116" s="52" t="s">
        <v>26</v>
      </c>
      <c r="G1116" s="54"/>
    </row>
    <row r="1117">
      <c r="A1117" s="49">
        <v>45032.37842984954</v>
      </c>
      <c r="B1117" s="50">
        <v>45032.5034016319</v>
      </c>
      <c r="C1117" s="51">
        <v>1.054</v>
      </c>
      <c r="D1117" s="51">
        <v>65.0</v>
      </c>
      <c r="E1117" s="52" t="s">
        <v>25</v>
      </c>
      <c r="F1117" s="52" t="s">
        <v>26</v>
      </c>
      <c r="G1117" s="54"/>
    </row>
    <row r="1118">
      <c r="A1118" s="49">
        <v>45032.38884621528</v>
      </c>
      <c r="B1118" s="50">
        <v>45032.5138225347</v>
      </c>
      <c r="C1118" s="51">
        <v>1.054</v>
      </c>
      <c r="D1118" s="51">
        <v>65.0</v>
      </c>
      <c r="E1118" s="52" t="s">
        <v>25</v>
      </c>
      <c r="F1118" s="52" t="s">
        <v>26</v>
      </c>
      <c r="G1118" s="54"/>
    </row>
    <row r="1119">
      <c r="A1119" s="49">
        <v>45032.39927163195</v>
      </c>
      <c r="B1119" s="50">
        <v>45032.5242441088</v>
      </c>
      <c r="C1119" s="51">
        <v>1.055</v>
      </c>
      <c r="D1119" s="51">
        <v>65.0</v>
      </c>
      <c r="E1119" s="52" t="s">
        <v>25</v>
      </c>
      <c r="F1119" s="52" t="s">
        <v>26</v>
      </c>
      <c r="G1119" s="54"/>
    </row>
    <row r="1120">
      <c r="A1120" s="49">
        <v>45032.40969559028</v>
      </c>
      <c r="B1120" s="50">
        <v>45032.534665868</v>
      </c>
      <c r="C1120" s="51">
        <v>1.054</v>
      </c>
      <c r="D1120" s="51">
        <v>65.0</v>
      </c>
      <c r="E1120" s="52" t="s">
        <v>25</v>
      </c>
      <c r="F1120" s="52" t="s">
        <v>26</v>
      </c>
      <c r="G1120" s="54"/>
    </row>
    <row r="1121">
      <c r="A1121" s="49">
        <v>45032.42013636574</v>
      </c>
      <c r="B1121" s="50">
        <v>45032.5451080208</v>
      </c>
      <c r="C1121" s="51">
        <v>1.054</v>
      </c>
      <c r="D1121" s="51">
        <v>65.0</v>
      </c>
      <c r="E1121" s="52" t="s">
        <v>25</v>
      </c>
      <c r="F1121" s="52" t="s">
        <v>26</v>
      </c>
      <c r="G1121" s="54"/>
    </row>
    <row r="1122">
      <c r="A1122" s="49">
        <v>45032.43054902778</v>
      </c>
      <c r="B1122" s="50">
        <v>45032.5555286574</v>
      </c>
      <c r="C1122" s="51">
        <v>1.054</v>
      </c>
      <c r="D1122" s="51">
        <v>65.0</v>
      </c>
      <c r="E1122" s="52" t="s">
        <v>25</v>
      </c>
      <c r="F1122" s="52" t="s">
        <v>26</v>
      </c>
      <c r="G1122" s="54"/>
    </row>
    <row r="1123">
      <c r="A1123" s="49">
        <v>45032.44097739583</v>
      </c>
      <c r="B1123" s="50">
        <v>45032.5659503935</v>
      </c>
      <c r="C1123" s="51">
        <v>1.054</v>
      </c>
      <c r="D1123" s="51">
        <v>65.0</v>
      </c>
      <c r="E1123" s="52" t="s">
        <v>25</v>
      </c>
      <c r="F1123" s="52" t="s">
        <v>26</v>
      </c>
      <c r="G1123" s="54"/>
    </row>
    <row r="1124">
      <c r="A1124" s="49">
        <v>45032.451402280094</v>
      </c>
      <c r="B1124" s="50">
        <v>45032.5763719907</v>
      </c>
      <c r="C1124" s="51">
        <v>1.054</v>
      </c>
      <c r="D1124" s="51">
        <v>65.0</v>
      </c>
      <c r="E1124" s="52" t="s">
        <v>25</v>
      </c>
      <c r="F1124" s="52" t="s">
        <v>26</v>
      </c>
      <c r="G1124" s="54"/>
    </row>
    <row r="1125">
      <c r="A1125" s="49">
        <v>45032.461820937504</v>
      </c>
      <c r="B1125" s="50">
        <v>45032.5867913541</v>
      </c>
      <c r="C1125" s="51">
        <v>1.054</v>
      </c>
      <c r="D1125" s="51">
        <v>65.0</v>
      </c>
      <c r="E1125" s="52" t="s">
        <v>25</v>
      </c>
      <c r="F1125" s="52" t="s">
        <v>26</v>
      </c>
      <c r="G1125" s="54"/>
    </row>
    <row r="1126">
      <c r="A1126" s="49">
        <v>45032.47224701389</v>
      </c>
      <c r="B1126" s="50">
        <v>45032.5972236805</v>
      </c>
      <c r="C1126" s="51">
        <v>1.054</v>
      </c>
      <c r="D1126" s="51">
        <v>65.0</v>
      </c>
      <c r="E1126" s="52" t="s">
        <v>25</v>
      </c>
      <c r="F1126" s="52" t="s">
        <v>26</v>
      </c>
      <c r="G1126" s="54"/>
    </row>
    <row r="1127">
      <c r="A1127" s="49">
        <v>45032.48268526621</v>
      </c>
      <c r="B1127" s="50">
        <v>45032.6076580671</v>
      </c>
      <c r="C1127" s="51">
        <v>1.054</v>
      </c>
      <c r="D1127" s="51">
        <v>65.0</v>
      </c>
      <c r="E1127" s="52" t="s">
        <v>25</v>
      </c>
      <c r="F1127" s="52" t="s">
        <v>26</v>
      </c>
      <c r="G1127" s="54"/>
    </row>
    <row r="1128">
      <c r="A1128" s="49">
        <v>45032.49310380787</v>
      </c>
      <c r="B1128" s="50">
        <v>45032.6180793171</v>
      </c>
      <c r="C1128" s="51">
        <v>1.054</v>
      </c>
      <c r="D1128" s="51">
        <v>65.0</v>
      </c>
      <c r="E1128" s="52" t="s">
        <v>25</v>
      </c>
      <c r="F1128" s="52" t="s">
        <v>26</v>
      </c>
      <c r="G1128" s="54"/>
    </row>
    <row r="1129">
      <c r="A1129" s="49">
        <v>45032.50355258102</v>
      </c>
      <c r="B1129" s="50">
        <v>45032.6285222453</v>
      </c>
      <c r="C1129" s="51">
        <v>1.054</v>
      </c>
      <c r="D1129" s="51">
        <v>65.0</v>
      </c>
      <c r="E1129" s="52" t="s">
        <v>25</v>
      </c>
      <c r="F1129" s="52" t="s">
        <v>26</v>
      </c>
      <c r="G1129" s="54"/>
    </row>
    <row r="1130">
      <c r="A1130" s="49">
        <v>45032.513969293985</v>
      </c>
      <c r="B1130" s="50">
        <v>45032.6389439699</v>
      </c>
      <c r="C1130" s="51">
        <v>1.054</v>
      </c>
      <c r="D1130" s="51">
        <v>65.0</v>
      </c>
      <c r="E1130" s="52" t="s">
        <v>25</v>
      </c>
      <c r="F1130" s="52" t="s">
        <v>26</v>
      </c>
      <c r="G1130" s="54"/>
    </row>
    <row r="1131">
      <c r="A1131" s="49">
        <v>45032.52438398148</v>
      </c>
      <c r="B1131" s="50">
        <v>45032.6493650463</v>
      </c>
      <c r="C1131" s="51">
        <v>1.054</v>
      </c>
      <c r="D1131" s="51">
        <v>65.0</v>
      </c>
      <c r="E1131" s="52" t="s">
        <v>25</v>
      </c>
      <c r="F1131" s="52" t="s">
        <v>26</v>
      </c>
      <c r="G1131" s="54"/>
    </row>
    <row r="1132">
      <c r="A1132" s="49">
        <v>45032.53482008102</v>
      </c>
      <c r="B1132" s="50">
        <v>45032.6597860301</v>
      </c>
      <c r="C1132" s="51">
        <v>1.054</v>
      </c>
      <c r="D1132" s="51">
        <v>65.0</v>
      </c>
      <c r="E1132" s="52" t="s">
        <v>25</v>
      </c>
      <c r="F1132" s="52" t="s">
        <v>26</v>
      </c>
      <c r="G1132" s="54"/>
    </row>
    <row r="1133">
      <c r="A1133" s="49">
        <v>45032.54523454861</v>
      </c>
      <c r="B1133" s="50">
        <v>45032.6702064814</v>
      </c>
      <c r="C1133" s="51">
        <v>1.054</v>
      </c>
      <c r="D1133" s="51">
        <v>65.0</v>
      </c>
      <c r="E1133" s="52" t="s">
        <v>25</v>
      </c>
      <c r="F1133" s="52" t="s">
        <v>26</v>
      </c>
      <c r="G1133" s="54"/>
    </row>
    <row r="1134">
      <c r="A1134" s="49">
        <v>45032.55565540509</v>
      </c>
      <c r="B1134" s="50">
        <v>45032.6806291088</v>
      </c>
      <c r="C1134" s="51">
        <v>1.054</v>
      </c>
      <c r="D1134" s="51">
        <v>65.0</v>
      </c>
      <c r="E1134" s="52" t="s">
        <v>25</v>
      </c>
      <c r="F1134" s="52" t="s">
        <v>26</v>
      </c>
      <c r="G1134" s="54"/>
    </row>
    <row r="1135">
      <c r="A1135" s="49">
        <v>45032.56608224537</v>
      </c>
      <c r="B1135" s="50">
        <v>45032.6910507176</v>
      </c>
      <c r="C1135" s="51">
        <v>1.054</v>
      </c>
      <c r="D1135" s="51">
        <v>65.0</v>
      </c>
      <c r="E1135" s="52" t="s">
        <v>25</v>
      </c>
      <c r="F1135" s="52" t="s">
        <v>26</v>
      </c>
      <c r="G1135" s="54"/>
    </row>
    <row r="1136">
      <c r="A1136" s="49">
        <v>45032.5765025463</v>
      </c>
      <c r="B1136" s="50">
        <v>45032.7014718865</v>
      </c>
      <c r="C1136" s="51">
        <v>1.054</v>
      </c>
      <c r="D1136" s="51">
        <v>65.0</v>
      </c>
      <c r="E1136" s="52" t="s">
        <v>25</v>
      </c>
      <c r="F1136" s="52" t="s">
        <v>26</v>
      </c>
      <c r="G1136" s="54"/>
    </row>
    <row r="1137">
      <c r="A1137" s="49">
        <v>45032.586913437495</v>
      </c>
      <c r="B1137" s="50">
        <v>45032.7118930439</v>
      </c>
      <c r="C1137" s="51">
        <v>1.054</v>
      </c>
      <c r="D1137" s="51">
        <v>65.0</v>
      </c>
      <c r="E1137" s="52" t="s">
        <v>25</v>
      </c>
      <c r="F1137" s="52" t="s">
        <v>26</v>
      </c>
      <c r="G1137" s="54"/>
    </row>
    <row r="1138">
      <c r="A1138" s="49">
        <v>45032.59733917824</v>
      </c>
      <c r="B1138" s="50">
        <v>45032.7223136689</v>
      </c>
      <c r="C1138" s="51">
        <v>1.054</v>
      </c>
      <c r="D1138" s="51">
        <v>65.0</v>
      </c>
      <c r="E1138" s="52" t="s">
        <v>25</v>
      </c>
      <c r="F1138" s="52" t="s">
        <v>26</v>
      </c>
      <c r="G1138" s="54"/>
    </row>
    <row r="1139">
      <c r="A1139" s="49">
        <v>45032.607756087964</v>
      </c>
      <c r="B1139" s="50">
        <v>45032.7327348611</v>
      </c>
      <c r="C1139" s="51">
        <v>1.054</v>
      </c>
      <c r="D1139" s="51">
        <v>65.0</v>
      </c>
      <c r="E1139" s="52" t="s">
        <v>25</v>
      </c>
      <c r="F1139" s="52" t="s">
        <v>26</v>
      </c>
      <c r="G1139" s="54"/>
    </row>
    <row r="1140">
      <c r="A1140" s="49">
        <v>45032.61819256944</v>
      </c>
      <c r="B1140" s="50">
        <v>45032.7431670254</v>
      </c>
      <c r="C1140" s="51">
        <v>1.053</v>
      </c>
      <c r="D1140" s="51">
        <v>65.0</v>
      </c>
      <c r="E1140" s="52" t="s">
        <v>25</v>
      </c>
      <c r="F1140" s="52" t="s">
        <v>26</v>
      </c>
      <c r="G1140" s="54"/>
    </row>
    <row r="1141">
      <c r="A1141" s="49">
        <v>45032.6286225</v>
      </c>
      <c r="B1141" s="50">
        <v>45032.7535892939</v>
      </c>
      <c r="C1141" s="51">
        <v>1.053</v>
      </c>
      <c r="D1141" s="51">
        <v>65.0</v>
      </c>
      <c r="E1141" s="52" t="s">
        <v>25</v>
      </c>
      <c r="F1141" s="52" t="s">
        <v>26</v>
      </c>
      <c r="G1141" s="54"/>
    </row>
    <row r="1142">
      <c r="A1142" s="49">
        <v>45032.63904664352</v>
      </c>
      <c r="B1142" s="50">
        <v>45032.7640109953</v>
      </c>
      <c r="C1142" s="51">
        <v>1.053</v>
      </c>
      <c r="D1142" s="51">
        <v>65.0</v>
      </c>
      <c r="E1142" s="52" t="s">
        <v>25</v>
      </c>
      <c r="F1142" s="52" t="s">
        <v>26</v>
      </c>
      <c r="G1142" s="54"/>
    </row>
    <row r="1143">
      <c r="A1143" s="49">
        <v>45032.64947628472</v>
      </c>
      <c r="B1143" s="50">
        <v>45032.7744440162</v>
      </c>
      <c r="C1143" s="51">
        <v>1.053</v>
      </c>
      <c r="D1143" s="51">
        <v>65.0</v>
      </c>
      <c r="E1143" s="52" t="s">
        <v>25</v>
      </c>
      <c r="F1143" s="52" t="s">
        <v>26</v>
      </c>
      <c r="G1143" s="54"/>
    </row>
    <row r="1144">
      <c r="A1144" s="49">
        <v>45032.65989363426</v>
      </c>
      <c r="B1144" s="50">
        <v>45032.7848657986</v>
      </c>
      <c r="C1144" s="51">
        <v>1.053</v>
      </c>
      <c r="D1144" s="51">
        <v>65.0</v>
      </c>
      <c r="E1144" s="52" t="s">
        <v>25</v>
      </c>
      <c r="F1144" s="52" t="s">
        <v>26</v>
      </c>
      <c r="G1144" s="54"/>
    </row>
    <row r="1145">
      <c r="A1145" s="49">
        <v>45032.670304768515</v>
      </c>
      <c r="B1145" s="50">
        <v>45032.795284618</v>
      </c>
      <c r="C1145" s="51">
        <v>1.053</v>
      </c>
      <c r="D1145" s="51">
        <v>65.0</v>
      </c>
      <c r="E1145" s="52" t="s">
        <v>25</v>
      </c>
      <c r="F1145" s="52" t="s">
        <v>26</v>
      </c>
      <c r="G1145" s="54"/>
    </row>
    <row r="1146">
      <c r="A1146" s="49">
        <v>45032.68073290509</v>
      </c>
      <c r="B1146" s="50">
        <v>45032.8057053935</v>
      </c>
      <c r="C1146" s="51">
        <v>1.053</v>
      </c>
      <c r="D1146" s="51">
        <v>65.0</v>
      </c>
      <c r="E1146" s="52" t="s">
        <v>25</v>
      </c>
      <c r="F1146" s="52" t="s">
        <v>26</v>
      </c>
      <c r="G1146" s="54"/>
    </row>
    <row r="1147">
      <c r="A1147" s="49">
        <v>45032.69115614583</v>
      </c>
      <c r="B1147" s="50">
        <v>45032.816126493</v>
      </c>
      <c r="C1147" s="51">
        <v>1.053</v>
      </c>
      <c r="D1147" s="51">
        <v>65.0</v>
      </c>
      <c r="E1147" s="52" t="s">
        <v>25</v>
      </c>
      <c r="F1147" s="52" t="s">
        <v>26</v>
      </c>
      <c r="G1147" s="54"/>
    </row>
    <row r="1148">
      <c r="A1148" s="49">
        <v>45032.70157082176</v>
      </c>
      <c r="B1148" s="50">
        <v>45032.826548206</v>
      </c>
      <c r="C1148" s="51">
        <v>1.053</v>
      </c>
      <c r="D1148" s="51">
        <v>65.0</v>
      </c>
      <c r="E1148" s="52" t="s">
        <v>25</v>
      </c>
      <c r="F1148" s="52" t="s">
        <v>26</v>
      </c>
      <c r="G1148" s="54"/>
    </row>
    <row r="1149">
      <c r="A1149" s="49">
        <v>45032.71199386574</v>
      </c>
      <c r="B1149" s="50">
        <v>45032.8369682407</v>
      </c>
      <c r="C1149" s="51">
        <v>1.053</v>
      </c>
      <c r="D1149" s="51">
        <v>65.0</v>
      </c>
      <c r="E1149" s="52" t="s">
        <v>25</v>
      </c>
      <c r="F1149" s="52" t="s">
        <v>26</v>
      </c>
      <c r="G1149" s="54"/>
    </row>
    <row r="1150">
      <c r="A1150" s="49">
        <v>45032.72243046296</v>
      </c>
      <c r="B1150" s="50">
        <v>45032.8474002083</v>
      </c>
      <c r="C1150" s="51">
        <v>1.053</v>
      </c>
      <c r="D1150" s="51">
        <v>65.0</v>
      </c>
      <c r="E1150" s="52" t="s">
        <v>25</v>
      </c>
      <c r="F1150" s="52" t="s">
        <v>26</v>
      </c>
      <c r="G1150" s="54"/>
    </row>
    <row r="1151">
      <c r="A1151" s="49">
        <v>45032.73284865741</v>
      </c>
      <c r="B1151" s="50">
        <v>45032.8578211226</v>
      </c>
      <c r="C1151" s="51">
        <v>1.053</v>
      </c>
      <c r="D1151" s="51">
        <v>65.0</v>
      </c>
      <c r="E1151" s="52" t="s">
        <v>25</v>
      </c>
      <c r="F1151" s="52" t="s">
        <v>26</v>
      </c>
      <c r="G1151" s="54"/>
    </row>
    <row r="1152">
      <c r="A1152" s="49">
        <v>45032.743271886575</v>
      </c>
      <c r="B1152" s="50">
        <v>45032.8682409027</v>
      </c>
      <c r="C1152" s="51">
        <v>1.053</v>
      </c>
      <c r="D1152" s="51">
        <v>65.0</v>
      </c>
      <c r="E1152" s="52" t="s">
        <v>25</v>
      </c>
      <c r="F1152" s="52" t="s">
        <v>26</v>
      </c>
      <c r="G1152" s="54"/>
    </row>
    <row r="1153">
      <c r="A1153" s="49">
        <v>45032.75369953703</v>
      </c>
      <c r="B1153" s="50">
        <v>45032.878661956</v>
      </c>
      <c r="C1153" s="51">
        <v>1.053</v>
      </c>
      <c r="D1153" s="51">
        <v>65.0</v>
      </c>
      <c r="E1153" s="52" t="s">
        <v>25</v>
      </c>
      <c r="F1153" s="52" t="s">
        <v>26</v>
      </c>
      <c r="G1153" s="54"/>
    </row>
    <row r="1154">
      <c r="A1154" s="49">
        <v>45032.76411532407</v>
      </c>
      <c r="B1154" s="50">
        <v>45032.8890837615</v>
      </c>
      <c r="C1154" s="51">
        <v>1.053</v>
      </c>
      <c r="D1154" s="51">
        <v>65.0</v>
      </c>
      <c r="E1154" s="52" t="s">
        <v>25</v>
      </c>
      <c r="F1154" s="52" t="s">
        <v>26</v>
      </c>
      <c r="G1154" s="54"/>
    </row>
    <row r="1155">
      <c r="A1155" s="49">
        <v>45032.77454385417</v>
      </c>
      <c r="B1155" s="50">
        <v>45032.8995172106</v>
      </c>
      <c r="C1155" s="51">
        <v>1.053</v>
      </c>
      <c r="D1155" s="51">
        <v>65.0</v>
      </c>
      <c r="E1155" s="52" t="s">
        <v>25</v>
      </c>
      <c r="F1155" s="52" t="s">
        <v>26</v>
      </c>
      <c r="G1155" s="54"/>
    </row>
    <row r="1156">
      <c r="A1156" s="49">
        <v>45032.7849684838</v>
      </c>
      <c r="B1156" s="50">
        <v>45032.909940324</v>
      </c>
      <c r="C1156" s="51">
        <v>1.053</v>
      </c>
      <c r="D1156" s="51">
        <v>65.0</v>
      </c>
      <c r="E1156" s="52" t="s">
        <v>25</v>
      </c>
      <c r="F1156" s="52" t="s">
        <v>26</v>
      </c>
      <c r="G1156" s="54"/>
    </row>
    <row r="1157">
      <c r="A1157" s="49">
        <v>45032.7953815162</v>
      </c>
      <c r="B1157" s="50">
        <v>45032.9203615162</v>
      </c>
      <c r="C1157" s="51">
        <v>1.053</v>
      </c>
      <c r="D1157" s="51">
        <v>65.0</v>
      </c>
      <c r="E1157" s="52" t="s">
        <v>25</v>
      </c>
      <c r="F1157" s="52" t="s">
        <v>26</v>
      </c>
      <c r="G1157" s="54"/>
    </row>
    <row r="1158">
      <c r="A1158" s="49">
        <v>45032.805805972224</v>
      </c>
      <c r="B1158" s="50">
        <v>45032.9307814583</v>
      </c>
      <c r="C1158" s="51">
        <v>1.053</v>
      </c>
      <c r="D1158" s="51">
        <v>65.0</v>
      </c>
      <c r="E1158" s="52" t="s">
        <v>25</v>
      </c>
      <c r="F1158" s="52" t="s">
        <v>26</v>
      </c>
      <c r="G1158" s="54"/>
    </row>
    <row r="1159">
      <c r="A1159" s="49">
        <v>45032.81624</v>
      </c>
      <c r="B1159" s="50">
        <v>45032.9412149768</v>
      </c>
      <c r="C1159" s="51">
        <v>1.053</v>
      </c>
      <c r="D1159" s="51">
        <v>65.0</v>
      </c>
      <c r="E1159" s="52" t="s">
        <v>25</v>
      </c>
      <c r="F1159" s="52" t="s">
        <v>26</v>
      </c>
      <c r="G1159" s="54"/>
    </row>
    <row r="1160">
      <c r="A1160" s="49">
        <v>45032.82666715278</v>
      </c>
      <c r="B1160" s="50">
        <v>45032.9516473726</v>
      </c>
      <c r="C1160" s="51">
        <v>1.053</v>
      </c>
      <c r="D1160" s="51">
        <v>65.0</v>
      </c>
      <c r="E1160" s="52" t="s">
        <v>25</v>
      </c>
      <c r="F1160" s="52" t="s">
        <v>26</v>
      </c>
      <c r="G1160" s="54"/>
    </row>
    <row r="1161">
      <c r="A1161" s="49">
        <v>45032.8371030787</v>
      </c>
      <c r="B1161" s="50">
        <v>45032.9620815393</v>
      </c>
      <c r="C1161" s="51">
        <v>1.053</v>
      </c>
      <c r="D1161" s="51">
        <v>65.0</v>
      </c>
      <c r="E1161" s="52" t="s">
        <v>25</v>
      </c>
      <c r="F1161" s="52" t="s">
        <v>26</v>
      </c>
      <c r="G1161" s="54"/>
    </row>
    <row r="1162">
      <c r="A1162" s="49">
        <v>45032.84752643519</v>
      </c>
      <c r="B1162" s="50">
        <v>45032.972500162</v>
      </c>
      <c r="C1162" s="51">
        <v>1.053</v>
      </c>
      <c r="D1162" s="51">
        <v>65.0</v>
      </c>
      <c r="E1162" s="52" t="s">
        <v>25</v>
      </c>
      <c r="F1162" s="52" t="s">
        <v>26</v>
      </c>
      <c r="G1162" s="54"/>
    </row>
    <row r="1163">
      <c r="A1163" s="49">
        <v>45032.85795189815</v>
      </c>
      <c r="B1163" s="50">
        <v>45032.9829215046</v>
      </c>
      <c r="C1163" s="51">
        <v>1.053</v>
      </c>
      <c r="D1163" s="51">
        <v>65.0</v>
      </c>
      <c r="E1163" s="52" t="s">
        <v>25</v>
      </c>
      <c r="F1163" s="52" t="s">
        <v>26</v>
      </c>
      <c r="G1163" s="54"/>
    </row>
    <row r="1164">
      <c r="A1164" s="49">
        <v>45032.86836881944</v>
      </c>
      <c r="B1164" s="50">
        <v>45032.9933423032</v>
      </c>
      <c r="C1164" s="51">
        <v>1.053</v>
      </c>
      <c r="D1164" s="51">
        <v>65.0</v>
      </c>
      <c r="E1164" s="52" t="s">
        <v>25</v>
      </c>
      <c r="F1164" s="52" t="s">
        <v>26</v>
      </c>
      <c r="G1164" s="54"/>
    </row>
    <row r="1165">
      <c r="A1165" s="49">
        <v>45032.878811793984</v>
      </c>
      <c r="B1165" s="50">
        <v>45033.0037756365</v>
      </c>
      <c r="C1165" s="51">
        <v>1.053</v>
      </c>
      <c r="D1165" s="51">
        <v>65.0</v>
      </c>
      <c r="E1165" s="52" t="s">
        <v>25</v>
      </c>
      <c r="F1165" s="52" t="s">
        <v>26</v>
      </c>
      <c r="G1165" s="54"/>
    </row>
    <row r="1166">
      <c r="A1166" s="49">
        <v>45032.889216678246</v>
      </c>
      <c r="B1166" s="50">
        <v>45033.0141981018</v>
      </c>
      <c r="C1166" s="51">
        <v>1.052</v>
      </c>
      <c r="D1166" s="51">
        <v>65.0</v>
      </c>
      <c r="E1166" s="52" t="s">
        <v>25</v>
      </c>
      <c r="F1166" s="52" t="s">
        <v>26</v>
      </c>
      <c r="G1166" s="54"/>
    </row>
    <row r="1167">
      <c r="A1167" s="49">
        <v>45032.8996480787</v>
      </c>
      <c r="B1167" s="50">
        <v>45033.0246189004</v>
      </c>
      <c r="C1167" s="51">
        <v>1.053</v>
      </c>
      <c r="D1167" s="51">
        <v>65.0</v>
      </c>
      <c r="E1167" s="52" t="s">
        <v>25</v>
      </c>
      <c r="F1167" s="52" t="s">
        <v>26</v>
      </c>
      <c r="G1167" s="54"/>
    </row>
    <row r="1168">
      <c r="A1168" s="49">
        <v>45032.91006917824</v>
      </c>
      <c r="B1168" s="50">
        <v>45033.0350389814</v>
      </c>
      <c r="C1168" s="51">
        <v>1.053</v>
      </c>
      <c r="D1168" s="51">
        <v>65.0</v>
      </c>
      <c r="E1168" s="52" t="s">
        <v>25</v>
      </c>
      <c r="F1168" s="52" t="s">
        <v>26</v>
      </c>
      <c r="G1168" s="54"/>
    </row>
    <row r="1169">
      <c r="A1169" s="49">
        <v>45032.92048375</v>
      </c>
      <c r="B1169" s="50">
        <v>45033.045460324</v>
      </c>
      <c r="C1169" s="51">
        <v>1.053</v>
      </c>
      <c r="D1169" s="51">
        <v>65.0</v>
      </c>
      <c r="E1169" s="52" t="s">
        <v>25</v>
      </c>
      <c r="F1169" s="52" t="s">
        <v>26</v>
      </c>
      <c r="G1169" s="54"/>
    </row>
    <row r="1170">
      <c r="A1170" s="49">
        <v>45032.930909884264</v>
      </c>
      <c r="B1170" s="50">
        <v>45033.0558835648</v>
      </c>
      <c r="C1170" s="51">
        <v>1.053</v>
      </c>
      <c r="D1170" s="51">
        <v>65.0</v>
      </c>
      <c r="E1170" s="52" t="s">
        <v>25</v>
      </c>
      <c r="F1170" s="52" t="s">
        <v>26</v>
      </c>
      <c r="G1170" s="54"/>
    </row>
    <row r="1171">
      <c r="A1171" s="49">
        <v>45032.94137987269</v>
      </c>
      <c r="B1171" s="50">
        <v>45033.0663510069</v>
      </c>
      <c r="C1171" s="51">
        <v>1.053</v>
      </c>
      <c r="D1171" s="51">
        <v>65.0</v>
      </c>
      <c r="E1171" s="52" t="s">
        <v>25</v>
      </c>
      <c r="F1171" s="52" t="s">
        <v>26</v>
      </c>
      <c r="G1171" s="54"/>
    </row>
    <row r="1172">
      <c r="A1172" s="49">
        <v>45032.95181131944</v>
      </c>
      <c r="B1172" s="50">
        <v>45033.0767732175</v>
      </c>
      <c r="C1172" s="51">
        <v>1.052</v>
      </c>
      <c r="D1172" s="51">
        <v>65.0</v>
      </c>
      <c r="E1172" s="52" t="s">
        <v>25</v>
      </c>
      <c r="F1172" s="52" t="s">
        <v>26</v>
      </c>
      <c r="G1172" s="54"/>
    </row>
    <row r="1173">
      <c r="A1173" s="49">
        <v>45032.96222519676</v>
      </c>
      <c r="B1173" s="50">
        <v>45033.0871943634</v>
      </c>
      <c r="C1173" s="51">
        <v>1.052</v>
      </c>
      <c r="D1173" s="51">
        <v>65.0</v>
      </c>
      <c r="E1173" s="52" t="s">
        <v>25</v>
      </c>
      <c r="F1173" s="52" t="s">
        <v>26</v>
      </c>
      <c r="G1173" s="54"/>
    </row>
    <row r="1174">
      <c r="A1174" s="49">
        <v>45032.972644849535</v>
      </c>
      <c r="B1174" s="50">
        <v>45033.0976171875</v>
      </c>
      <c r="C1174" s="51">
        <v>1.052</v>
      </c>
      <c r="D1174" s="51">
        <v>65.0</v>
      </c>
      <c r="E1174" s="52" t="s">
        <v>25</v>
      </c>
      <c r="F1174" s="52" t="s">
        <v>26</v>
      </c>
      <c r="G1174" s="54"/>
    </row>
    <row r="1175">
      <c r="A1175" s="49">
        <v>45032.98305855324</v>
      </c>
      <c r="B1175" s="50">
        <v>45033.1080364814</v>
      </c>
      <c r="C1175" s="51">
        <v>1.052</v>
      </c>
      <c r="D1175" s="51">
        <v>65.0</v>
      </c>
      <c r="E1175" s="52" t="s">
        <v>25</v>
      </c>
      <c r="F1175" s="52" t="s">
        <v>26</v>
      </c>
      <c r="G1175" s="54"/>
    </row>
    <row r="1176">
      <c r="A1176" s="49">
        <v>45032.993480474535</v>
      </c>
      <c r="B1176" s="50">
        <v>45033.1184567708</v>
      </c>
      <c r="C1176" s="51">
        <v>1.052</v>
      </c>
      <c r="D1176" s="51">
        <v>65.0</v>
      </c>
      <c r="E1176" s="52" t="s">
        <v>25</v>
      </c>
      <c r="F1176" s="52" t="s">
        <v>26</v>
      </c>
      <c r="G1176" s="54"/>
    </row>
    <row r="1177">
      <c r="A1177" s="49">
        <v>45033.00390085648</v>
      </c>
      <c r="B1177" s="50">
        <v>45033.1288794676</v>
      </c>
      <c r="C1177" s="51">
        <v>1.052</v>
      </c>
      <c r="D1177" s="51">
        <v>65.0</v>
      </c>
      <c r="E1177" s="52" t="s">
        <v>25</v>
      </c>
      <c r="F1177" s="52" t="s">
        <v>26</v>
      </c>
      <c r="G1177" s="54"/>
    </row>
    <row r="1178">
      <c r="A1178" s="49">
        <v>45033.01433773148</v>
      </c>
      <c r="B1178" s="50">
        <v>45033.13930103</v>
      </c>
      <c r="C1178" s="51">
        <v>1.052</v>
      </c>
      <c r="D1178" s="51">
        <v>65.0</v>
      </c>
      <c r="E1178" s="52" t="s">
        <v>25</v>
      </c>
      <c r="F1178" s="52" t="s">
        <v>26</v>
      </c>
      <c r="G1178" s="54"/>
    </row>
    <row r="1179">
      <c r="A1179" s="49">
        <v>45033.02475458333</v>
      </c>
      <c r="B1179" s="50">
        <v>45033.1497197685</v>
      </c>
      <c r="C1179" s="51">
        <v>1.052</v>
      </c>
      <c r="D1179" s="51">
        <v>65.0</v>
      </c>
      <c r="E1179" s="52" t="s">
        <v>25</v>
      </c>
      <c r="F1179" s="52" t="s">
        <v>26</v>
      </c>
      <c r="G1179" s="54"/>
    </row>
    <row r="1180">
      <c r="A1180" s="49">
        <v>45033.03516513889</v>
      </c>
      <c r="B1180" s="50">
        <v>45033.1601418287</v>
      </c>
      <c r="C1180" s="51">
        <v>1.052</v>
      </c>
      <c r="D1180" s="51">
        <v>65.0</v>
      </c>
      <c r="E1180" s="52" t="s">
        <v>25</v>
      </c>
      <c r="F1180" s="52" t="s">
        <v>26</v>
      </c>
      <c r="G1180" s="54"/>
    </row>
    <row r="1181">
      <c r="A1181" s="49">
        <v>45033.04560660879</v>
      </c>
      <c r="B1181" s="50">
        <v>45033.170575162</v>
      </c>
      <c r="C1181" s="51">
        <v>1.052</v>
      </c>
      <c r="D1181" s="51">
        <v>65.0</v>
      </c>
      <c r="E1181" s="52" t="s">
        <v>25</v>
      </c>
      <c r="F1181" s="52" t="s">
        <v>26</v>
      </c>
      <c r="G1181" s="54"/>
    </row>
    <row r="1182">
      <c r="A1182" s="49">
        <v>45033.056026562495</v>
      </c>
      <c r="B1182" s="50">
        <v>45033.1809971759</v>
      </c>
      <c r="C1182" s="51">
        <v>1.052</v>
      </c>
      <c r="D1182" s="51">
        <v>65.0</v>
      </c>
      <c r="E1182" s="52" t="s">
        <v>25</v>
      </c>
      <c r="F1182" s="52" t="s">
        <v>26</v>
      </c>
      <c r="G1182" s="54"/>
    </row>
    <row r="1183">
      <c r="A1183" s="49">
        <v>45033.066455775464</v>
      </c>
      <c r="B1183" s="50">
        <v>45033.1914303356</v>
      </c>
      <c r="C1183" s="51">
        <v>1.052</v>
      </c>
      <c r="D1183" s="51">
        <v>65.0</v>
      </c>
      <c r="E1183" s="52" t="s">
        <v>25</v>
      </c>
      <c r="F1183" s="52" t="s">
        <v>26</v>
      </c>
      <c r="G1183" s="54"/>
    </row>
    <row r="1184">
      <c r="A1184" s="49">
        <v>45033.07687550926</v>
      </c>
      <c r="B1184" s="50">
        <v>45033.2018517939</v>
      </c>
      <c r="C1184" s="51">
        <v>1.052</v>
      </c>
      <c r="D1184" s="51">
        <v>65.0</v>
      </c>
      <c r="E1184" s="52" t="s">
        <v>25</v>
      </c>
      <c r="F1184" s="52" t="s">
        <v>26</v>
      </c>
      <c r="G1184" s="54"/>
    </row>
    <row r="1185">
      <c r="A1185" s="49">
        <v>45033.08729848379</v>
      </c>
      <c r="B1185" s="50">
        <v>45033.212273206</v>
      </c>
      <c r="C1185" s="51">
        <v>1.052</v>
      </c>
      <c r="D1185" s="51">
        <v>65.0</v>
      </c>
      <c r="E1185" s="52" t="s">
        <v>25</v>
      </c>
      <c r="F1185" s="52" t="s">
        <v>26</v>
      </c>
      <c r="G1185" s="54"/>
    </row>
    <row r="1186">
      <c r="A1186" s="49">
        <v>45033.0977134375</v>
      </c>
      <c r="B1186" s="50">
        <v>45033.2226929629</v>
      </c>
      <c r="C1186" s="51">
        <v>1.052</v>
      </c>
      <c r="D1186" s="51">
        <v>65.0</v>
      </c>
      <c r="E1186" s="52" t="s">
        <v>25</v>
      </c>
      <c r="F1186" s="52" t="s">
        <v>26</v>
      </c>
      <c r="G1186" s="54"/>
    </row>
    <row r="1187">
      <c r="A1187" s="49">
        <v>45033.10815237269</v>
      </c>
      <c r="B1187" s="50">
        <v>45033.2331252546</v>
      </c>
      <c r="C1187" s="51">
        <v>1.052</v>
      </c>
      <c r="D1187" s="51">
        <v>65.0</v>
      </c>
      <c r="E1187" s="52" t="s">
        <v>25</v>
      </c>
      <c r="F1187" s="52" t="s">
        <v>26</v>
      </c>
      <c r="G1187" s="54"/>
    </row>
    <row r="1188">
      <c r="A1188" s="49">
        <v>45033.118579965274</v>
      </c>
      <c r="B1188" s="50">
        <v>45033.2435476041</v>
      </c>
      <c r="C1188" s="51">
        <v>1.052</v>
      </c>
      <c r="D1188" s="51">
        <v>65.0</v>
      </c>
      <c r="E1188" s="52" t="s">
        <v>25</v>
      </c>
      <c r="F1188" s="52" t="s">
        <v>26</v>
      </c>
      <c r="G1188" s="54"/>
    </row>
    <row r="1189">
      <c r="A1189" s="49">
        <v>45033.1290021412</v>
      </c>
      <c r="B1189" s="50">
        <v>45033.2539689004</v>
      </c>
      <c r="C1189" s="51">
        <v>1.052</v>
      </c>
      <c r="D1189" s="51">
        <v>65.0</v>
      </c>
      <c r="E1189" s="52" t="s">
        <v>25</v>
      </c>
      <c r="F1189" s="52" t="s">
        <v>26</v>
      </c>
      <c r="G1189" s="54"/>
    </row>
    <row r="1190">
      <c r="A1190" s="49">
        <v>45033.139414108795</v>
      </c>
      <c r="B1190" s="50">
        <v>45033.2643879513</v>
      </c>
      <c r="C1190" s="51">
        <v>1.052</v>
      </c>
      <c r="D1190" s="51">
        <v>65.0</v>
      </c>
      <c r="E1190" s="52" t="s">
        <v>25</v>
      </c>
      <c r="F1190" s="52" t="s">
        <v>26</v>
      </c>
      <c r="G1190" s="54"/>
    </row>
    <row r="1191">
      <c r="A1191" s="49">
        <v>45033.14982908565</v>
      </c>
      <c r="B1191" s="50">
        <v>45033.2748086805</v>
      </c>
      <c r="C1191" s="51">
        <v>1.052</v>
      </c>
      <c r="D1191" s="51">
        <v>65.0</v>
      </c>
      <c r="E1191" s="52" t="s">
        <v>25</v>
      </c>
      <c r="F1191" s="52" t="s">
        <v>26</v>
      </c>
      <c r="G1191" s="54"/>
    </row>
    <row r="1192">
      <c r="A1192" s="49">
        <v>45033.160253379625</v>
      </c>
      <c r="B1192" s="50">
        <v>45033.2852283101</v>
      </c>
      <c r="C1192" s="51">
        <v>1.052</v>
      </c>
      <c r="D1192" s="51">
        <v>65.0</v>
      </c>
      <c r="E1192" s="52" t="s">
        <v>25</v>
      </c>
      <c r="F1192" s="52" t="s">
        <v>26</v>
      </c>
      <c r="G1192" s="54"/>
    </row>
    <row r="1193">
      <c r="A1193" s="49">
        <v>45033.1706699537</v>
      </c>
      <c r="B1193" s="50">
        <v>45033.295650243</v>
      </c>
      <c r="C1193" s="51">
        <v>1.052</v>
      </c>
      <c r="D1193" s="51">
        <v>65.0</v>
      </c>
      <c r="E1193" s="52" t="s">
        <v>25</v>
      </c>
      <c r="F1193" s="52" t="s">
        <v>26</v>
      </c>
      <c r="G1193" s="54"/>
    </row>
    <row r="1194">
      <c r="A1194" s="49">
        <v>45033.181114756946</v>
      </c>
      <c r="B1194" s="50">
        <v>45033.3060834837</v>
      </c>
      <c r="C1194" s="51">
        <v>1.052</v>
      </c>
      <c r="D1194" s="51">
        <v>65.0</v>
      </c>
      <c r="E1194" s="52" t="s">
        <v>25</v>
      </c>
      <c r="F1194" s="52" t="s">
        <v>26</v>
      </c>
      <c r="G1194" s="54"/>
    </row>
    <row r="1195">
      <c r="A1195" s="49">
        <v>45033.19153753472</v>
      </c>
      <c r="B1195" s="50">
        <v>45033.3165064467</v>
      </c>
      <c r="C1195" s="51">
        <v>1.051</v>
      </c>
      <c r="D1195" s="51">
        <v>65.0</v>
      </c>
      <c r="E1195" s="52" t="s">
        <v>25</v>
      </c>
      <c r="F1195" s="52" t="s">
        <v>26</v>
      </c>
      <c r="G1195" s="54"/>
    </row>
    <row r="1196">
      <c r="A1196" s="49">
        <v>45033.20195827546</v>
      </c>
      <c r="B1196" s="50">
        <v>45033.3269291898</v>
      </c>
      <c r="C1196" s="51">
        <v>1.052</v>
      </c>
      <c r="D1196" s="51">
        <v>65.0</v>
      </c>
      <c r="E1196" s="52" t="s">
        <v>25</v>
      </c>
      <c r="F1196" s="52" t="s">
        <v>26</v>
      </c>
      <c r="G1196" s="54"/>
    </row>
    <row r="1197">
      <c r="A1197" s="49">
        <v>45033.21236943287</v>
      </c>
      <c r="B1197" s="50">
        <v>45033.3373507638</v>
      </c>
      <c r="C1197" s="51">
        <v>1.051</v>
      </c>
      <c r="D1197" s="51">
        <v>65.0</v>
      </c>
      <c r="E1197" s="52" t="s">
        <v>25</v>
      </c>
      <c r="F1197" s="52" t="s">
        <v>26</v>
      </c>
      <c r="G1197" s="54"/>
    </row>
    <row r="1198">
      <c r="A1198" s="49">
        <v>45033.2227978588</v>
      </c>
      <c r="B1198" s="50">
        <v>45033.3477714351</v>
      </c>
      <c r="C1198" s="51">
        <v>1.051</v>
      </c>
      <c r="D1198" s="51">
        <v>65.0</v>
      </c>
      <c r="E1198" s="52" t="s">
        <v>25</v>
      </c>
      <c r="F1198" s="52" t="s">
        <v>26</v>
      </c>
      <c r="G1198" s="54"/>
    </row>
    <row r="1199">
      <c r="A1199" s="49">
        <v>45033.23322079861</v>
      </c>
      <c r="B1199" s="50">
        <v>45033.3581930439</v>
      </c>
      <c r="C1199" s="51">
        <v>1.051</v>
      </c>
      <c r="D1199" s="51">
        <v>65.0</v>
      </c>
      <c r="E1199" s="52" t="s">
        <v>25</v>
      </c>
      <c r="F1199" s="52" t="s">
        <v>26</v>
      </c>
      <c r="G1199" s="54"/>
    </row>
    <row r="1200">
      <c r="A1200" s="49">
        <v>45033.24365584491</v>
      </c>
      <c r="B1200" s="50">
        <v>45033.3686253935</v>
      </c>
      <c r="C1200" s="51">
        <v>1.051</v>
      </c>
      <c r="D1200" s="51">
        <v>65.0</v>
      </c>
      <c r="E1200" s="52" t="s">
        <v>25</v>
      </c>
      <c r="F1200" s="52" t="s">
        <v>26</v>
      </c>
      <c r="G1200" s="54"/>
    </row>
    <row r="1201">
      <c r="A1201" s="49">
        <v>45033.254084699074</v>
      </c>
      <c r="B1201" s="50">
        <v>45033.3790579166</v>
      </c>
      <c r="C1201" s="51">
        <v>1.051</v>
      </c>
      <c r="D1201" s="51">
        <v>65.0</v>
      </c>
      <c r="E1201" s="52" t="s">
        <v>25</v>
      </c>
      <c r="F1201" s="52" t="s">
        <v>26</v>
      </c>
      <c r="G1201" s="54"/>
    </row>
    <row r="1202">
      <c r="A1202" s="49">
        <v>45033.264530381944</v>
      </c>
      <c r="B1202" s="50">
        <v>45033.3895017939</v>
      </c>
      <c r="C1202" s="51">
        <v>1.051</v>
      </c>
      <c r="D1202" s="51">
        <v>65.0</v>
      </c>
      <c r="E1202" s="52" t="s">
        <v>25</v>
      </c>
      <c r="F1202" s="52" t="s">
        <v>26</v>
      </c>
      <c r="G1202" s="54"/>
    </row>
    <row r="1203">
      <c r="A1203" s="49">
        <v>45033.27496460648</v>
      </c>
      <c r="B1203" s="50">
        <v>45033.3999341782</v>
      </c>
      <c r="C1203" s="51">
        <v>1.051</v>
      </c>
      <c r="D1203" s="51">
        <v>65.0</v>
      </c>
      <c r="E1203" s="52" t="s">
        <v>25</v>
      </c>
      <c r="F1203" s="52" t="s">
        <v>26</v>
      </c>
      <c r="G1203" s="54"/>
    </row>
    <row r="1204">
      <c r="A1204" s="49">
        <v>45033.285381249996</v>
      </c>
      <c r="B1204" s="50">
        <v>45033.4103557175</v>
      </c>
      <c r="C1204" s="51">
        <v>1.051</v>
      </c>
      <c r="D1204" s="51">
        <v>65.0</v>
      </c>
      <c r="E1204" s="52" t="s">
        <v>25</v>
      </c>
      <c r="F1204" s="52" t="s">
        <v>26</v>
      </c>
      <c r="G1204" s="54"/>
    </row>
    <row r="1205">
      <c r="A1205" s="49">
        <v>45033.29580807871</v>
      </c>
      <c r="B1205" s="50">
        <v>45033.4207878472</v>
      </c>
      <c r="C1205" s="51">
        <v>1.051</v>
      </c>
      <c r="D1205" s="51">
        <v>65.0</v>
      </c>
      <c r="E1205" s="52" t="s">
        <v>25</v>
      </c>
      <c r="F1205" s="52" t="s">
        <v>26</v>
      </c>
      <c r="G1205" s="54"/>
    </row>
    <row r="1206">
      <c r="A1206" s="49">
        <v>45033.306227395835</v>
      </c>
      <c r="B1206" s="50">
        <v>45033.4312080671</v>
      </c>
      <c r="C1206" s="51">
        <v>1.051</v>
      </c>
      <c r="D1206" s="51">
        <v>65.0</v>
      </c>
      <c r="E1206" s="52" t="s">
        <v>25</v>
      </c>
      <c r="F1206" s="52" t="s">
        <v>26</v>
      </c>
      <c r="G1206" s="54"/>
    </row>
    <row r="1207">
      <c r="A1207" s="49">
        <v>45033.316649699074</v>
      </c>
      <c r="B1207" s="50">
        <v>45033.4416274884</v>
      </c>
      <c r="C1207" s="51">
        <v>1.051</v>
      </c>
      <c r="D1207" s="51">
        <v>65.0</v>
      </c>
      <c r="E1207" s="52" t="s">
        <v>25</v>
      </c>
      <c r="F1207" s="52" t="s">
        <v>26</v>
      </c>
      <c r="G1207" s="54"/>
    </row>
    <row r="1208">
      <c r="A1208" s="49">
        <v>45033.327085069446</v>
      </c>
      <c r="B1208" s="50">
        <v>45033.4520605324</v>
      </c>
      <c r="C1208" s="51">
        <v>1.051</v>
      </c>
      <c r="D1208" s="51">
        <v>65.0</v>
      </c>
      <c r="E1208" s="52" t="s">
        <v>25</v>
      </c>
      <c r="F1208" s="52" t="s">
        <v>26</v>
      </c>
      <c r="G1208" s="54"/>
    </row>
    <row r="1209">
      <c r="A1209" s="49">
        <v>45033.33751293982</v>
      </c>
      <c r="B1209" s="50">
        <v>45033.4624812615</v>
      </c>
      <c r="C1209" s="51">
        <v>1.051</v>
      </c>
      <c r="D1209" s="51">
        <v>65.0</v>
      </c>
      <c r="E1209" s="52" t="s">
        <v>25</v>
      </c>
      <c r="F1209" s="52" t="s">
        <v>26</v>
      </c>
      <c r="G1209" s="54"/>
    </row>
    <row r="1210">
      <c r="A1210" s="49">
        <v>45033.34794119213</v>
      </c>
      <c r="B1210" s="50">
        <v>45033.4729137152</v>
      </c>
      <c r="C1210" s="51">
        <v>1.051</v>
      </c>
      <c r="D1210" s="51">
        <v>65.0</v>
      </c>
      <c r="E1210" s="52" t="s">
        <v>25</v>
      </c>
      <c r="F1210" s="52" t="s">
        <v>26</v>
      </c>
      <c r="G1210" s="54"/>
    </row>
    <row r="1211">
      <c r="A1211" s="49">
        <v>45033.35835534723</v>
      </c>
      <c r="B1211" s="50">
        <v>45033.4833337384</v>
      </c>
      <c r="C1211" s="51">
        <v>1.051</v>
      </c>
      <c r="D1211" s="51">
        <v>65.0</v>
      </c>
      <c r="E1211" s="52" t="s">
        <v>25</v>
      </c>
      <c r="F1211" s="52" t="s">
        <v>26</v>
      </c>
      <c r="G1211" s="54"/>
    </row>
    <row r="1212">
      <c r="A1212" s="49">
        <v>45033.368779791665</v>
      </c>
      <c r="B1212" s="50">
        <v>45033.4937532175</v>
      </c>
      <c r="C1212" s="51">
        <v>1.051</v>
      </c>
      <c r="D1212" s="51">
        <v>65.0</v>
      </c>
      <c r="E1212" s="52" t="s">
        <v>25</v>
      </c>
      <c r="F1212" s="52" t="s">
        <v>26</v>
      </c>
      <c r="G1212" s="54"/>
    </row>
    <row r="1213">
      <c r="A1213" s="49">
        <v>45033.37922773148</v>
      </c>
      <c r="B1213" s="50">
        <v>45033.5041959375</v>
      </c>
      <c r="C1213" s="51">
        <v>1.051</v>
      </c>
      <c r="D1213" s="51">
        <v>65.0</v>
      </c>
      <c r="E1213" s="52" t="s">
        <v>25</v>
      </c>
      <c r="F1213" s="52" t="s">
        <v>26</v>
      </c>
      <c r="G1213" s="54"/>
    </row>
    <row r="1214">
      <c r="A1214" s="49">
        <v>45033.38964673611</v>
      </c>
      <c r="B1214" s="50">
        <v>45033.5146188078</v>
      </c>
      <c r="C1214" s="51">
        <v>1.051</v>
      </c>
      <c r="D1214" s="51">
        <v>65.0</v>
      </c>
      <c r="E1214" s="52" t="s">
        <v>25</v>
      </c>
      <c r="F1214" s="52" t="s">
        <v>26</v>
      </c>
      <c r="G1214" s="54"/>
    </row>
    <row r="1215">
      <c r="A1215" s="49">
        <v>45033.40005570602</v>
      </c>
      <c r="B1215" s="50">
        <v>45033.5250393865</v>
      </c>
      <c r="C1215" s="51">
        <v>1.051</v>
      </c>
      <c r="D1215" s="51">
        <v>65.0</v>
      </c>
      <c r="E1215" s="52" t="s">
        <v>25</v>
      </c>
      <c r="F1215" s="52" t="s">
        <v>26</v>
      </c>
      <c r="G1215" s="54"/>
    </row>
    <row r="1216">
      <c r="A1216" s="49">
        <v>45033.410491828705</v>
      </c>
      <c r="B1216" s="50">
        <v>45033.5354609259</v>
      </c>
      <c r="C1216" s="51">
        <v>1.051</v>
      </c>
      <c r="D1216" s="51">
        <v>65.0</v>
      </c>
      <c r="E1216" s="52" t="s">
        <v>25</v>
      </c>
      <c r="F1216" s="52" t="s">
        <v>26</v>
      </c>
      <c r="G1216" s="54"/>
    </row>
    <row r="1217">
      <c r="A1217" s="49">
        <v>45033.420905046296</v>
      </c>
      <c r="B1217" s="50">
        <v>45033.545883449</v>
      </c>
      <c r="C1217" s="51">
        <v>1.051</v>
      </c>
      <c r="D1217" s="51">
        <v>65.0</v>
      </c>
      <c r="E1217" s="52" t="s">
        <v>25</v>
      </c>
      <c r="F1217" s="52" t="s">
        <v>26</v>
      </c>
      <c r="G1217" s="54"/>
    </row>
    <row r="1218">
      <c r="A1218" s="49">
        <v>45033.431332210646</v>
      </c>
      <c r="B1218" s="50">
        <v>45033.5563060648</v>
      </c>
      <c r="C1218" s="51">
        <v>1.05</v>
      </c>
      <c r="D1218" s="51">
        <v>65.0</v>
      </c>
      <c r="E1218" s="52" t="s">
        <v>25</v>
      </c>
      <c r="F1218" s="52" t="s">
        <v>26</v>
      </c>
      <c r="G1218" s="54"/>
    </row>
    <row r="1219">
      <c r="A1219" s="49">
        <v>45033.44175844907</v>
      </c>
      <c r="B1219" s="50">
        <v>45033.5667290625</v>
      </c>
      <c r="C1219" s="51">
        <v>1.05</v>
      </c>
      <c r="D1219" s="51">
        <v>65.0</v>
      </c>
      <c r="E1219" s="52" t="s">
        <v>25</v>
      </c>
      <c r="F1219" s="52" t="s">
        <v>26</v>
      </c>
      <c r="G1219" s="54"/>
    </row>
    <row r="1220">
      <c r="A1220" s="49">
        <v>45033.45217809027</v>
      </c>
      <c r="B1220" s="50">
        <v>45033.5771498958</v>
      </c>
      <c r="C1220" s="51">
        <v>1.05</v>
      </c>
      <c r="D1220" s="51">
        <v>65.0</v>
      </c>
      <c r="E1220" s="52" t="s">
        <v>25</v>
      </c>
      <c r="F1220" s="52" t="s">
        <v>26</v>
      </c>
      <c r="G1220" s="54"/>
    </row>
    <row r="1221">
      <c r="A1221" s="49">
        <v>45033.46259876157</v>
      </c>
      <c r="B1221" s="50">
        <v>45033.587570949</v>
      </c>
      <c r="C1221" s="51">
        <v>1.051</v>
      </c>
      <c r="D1221" s="51">
        <v>65.0</v>
      </c>
      <c r="E1221" s="52" t="s">
        <v>25</v>
      </c>
      <c r="F1221" s="52" t="s">
        <v>26</v>
      </c>
      <c r="G1221" s="54"/>
    </row>
    <row r="1222">
      <c r="A1222" s="49">
        <v>45033.47302002315</v>
      </c>
      <c r="B1222" s="50">
        <v>45033.5979924305</v>
      </c>
      <c r="C1222" s="51">
        <v>1.051</v>
      </c>
      <c r="D1222" s="51">
        <v>65.0</v>
      </c>
      <c r="E1222" s="52" t="s">
        <v>25</v>
      </c>
      <c r="F1222" s="52" t="s">
        <v>26</v>
      </c>
      <c r="G1222" s="54"/>
    </row>
    <row r="1223">
      <c r="A1223" s="49">
        <v>45033.48344013889</v>
      </c>
      <c r="B1223" s="50">
        <v>45033.6084139467</v>
      </c>
      <c r="C1223" s="51">
        <v>1.05</v>
      </c>
      <c r="D1223" s="51">
        <v>65.0</v>
      </c>
      <c r="E1223" s="52" t="s">
        <v>25</v>
      </c>
      <c r="F1223" s="52" t="s">
        <v>26</v>
      </c>
      <c r="G1223" s="54"/>
    </row>
    <row r="1224">
      <c r="A1224" s="49">
        <v>45033.493894479165</v>
      </c>
      <c r="B1224" s="50">
        <v>45033.6188599537</v>
      </c>
      <c r="C1224" s="51">
        <v>1.05</v>
      </c>
      <c r="D1224" s="51">
        <v>65.0</v>
      </c>
      <c r="E1224" s="52" t="s">
        <v>25</v>
      </c>
      <c r="F1224" s="52" t="s">
        <v>26</v>
      </c>
      <c r="G1224" s="54"/>
    </row>
    <row r="1225">
      <c r="A1225" s="49">
        <v>45033.504333136574</v>
      </c>
      <c r="B1225" s="50">
        <v>45033.6292806365</v>
      </c>
      <c r="C1225" s="51">
        <v>1.05</v>
      </c>
      <c r="D1225" s="51">
        <v>65.0</v>
      </c>
      <c r="E1225" s="52" t="s">
        <v>25</v>
      </c>
      <c r="F1225" s="52" t="s">
        <v>26</v>
      </c>
      <c r="G1225" s="54"/>
    </row>
    <row r="1226">
      <c r="A1226" s="49">
        <v>45033.51473026621</v>
      </c>
      <c r="B1226" s="50">
        <v>45033.6397020138</v>
      </c>
      <c r="C1226" s="51">
        <v>1.05</v>
      </c>
      <c r="D1226" s="51">
        <v>65.0</v>
      </c>
      <c r="E1226" s="52" t="s">
        <v>25</v>
      </c>
      <c r="F1226" s="52" t="s">
        <v>26</v>
      </c>
      <c r="G1226" s="54"/>
    </row>
    <row r="1227">
      <c r="A1227" s="49">
        <v>45033.525153055554</v>
      </c>
      <c r="B1227" s="50">
        <v>45033.6501215972</v>
      </c>
      <c r="C1227" s="51">
        <v>1.05</v>
      </c>
      <c r="D1227" s="51">
        <v>65.0</v>
      </c>
      <c r="E1227" s="52" t="s">
        <v>25</v>
      </c>
      <c r="F1227" s="52" t="s">
        <v>26</v>
      </c>
      <c r="G1227" s="54"/>
    </row>
    <row r="1228">
      <c r="A1228" s="49">
        <v>45033.535571319444</v>
      </c>
      <c r="B1228" s="50">
        <v>45033.6605408217</v>
      </c>
      <c r="C1228" s="51">
        <v>1.05</v>
      </c>
      <c r="D1228" s="51">
        <v>65.0</v>
      </c>
      <c r="E1228" s="52" t="s">
        <v>25</v>
      </c>
      <c r="F1228" s="52" t="s">
        <v>26</v>
      </c>
      <c r="G1228" s="54"/>
    </row>
    <row r="1229">
      <c r="A1229" s="49">
        <v>45033.54599515046</v>
      </c>
      <c r="B1229" s="50">
        <v>45033.6709620254</v>
      </c>
      <c r="C1229" s="51">
        <v>1.05</v>
      </c>
      <c r="D1229" s="51">
        <v>65.0</v>
      </c>
      <c r="E1229" s="52" t="s">
        <v>25</v>
      </c>
      <c r="F1229" s="52" t="s">
        <v>26</v>
      </c>
      <c r="G1229" s="54"/>
    </row>
    <row r="1230">
      <c r="A1230" s="49">
        <v>45033.55642030093</v>
      </c>
      <c r="B1230" s="50">
        <v>45033.6813937731</v>
      </c>
      <c r="C1230" s="51">
        <v>1.05</v>
      </c>
      <c r="D1230" s="51">
        <v>65.0</v>
      </c>
      <c r="E1230" s="52" t="s">
        <v>25</v>
      </c>
      <c r="F1230" s="52" t="s">
        <v>26</v>
      </c>
      <c r="G1230" s="54"/>
    </row>
    <row r="1231">
      <c r="A1231" s="49">
        <v>45033.56684056713</v>
      </c>
      <c r="B1231" s="50">
        <v>45033.6918146759</v>
      </c>
      <c r="C1231" s="51">
        <v>1.05</v>
      </c>
      <c r="D1231" s="51">
        <v>65.0</v>
      </c>
      <c r="E1231" s="52" t="s">
        <v>25</v>
      </c>
      <c r="F1231" s="52" t="s">
        <v>26</v>
      </c>
      <c r="G1231" s="54"/>
    </row>
    <row r="1232">
      <c r="A1232" s="49">
        <v>45033.57728612269</v>
      </c>
      <c r="B1232" s="50">
        <v>45033.70225978</v>
      </c>
      <c r="C1232" s="51">
        <v>1.05</v>
      </c>
      <c r="D1232" s="51">
        <v>65.0</v>
      </c>
      <c r="E1232" s="52" t="s">
        <v>25</v>
      </c>
      <c r="F1232" s="52" t="s">
        <v>26</v>
      </c>
      <c r="G1232" s="54"/>
    </row>
    <row r="1233">
      <c r="A1233" s="49">
        <v>45033.58770179398</v>
      </c>
      <c r="B1233" s="50">
        <v>45033.7126801388</v>
      </c>
      <c r="C1233" s="51">
        <v>1.05</v>
      </c>
      <c r="D1233" s="51">
        <v>65.0</v>
      </c>
      <c r="E1233" s="52" t="s">
        <v>25</v>
      </c>
      <c r="F1233" s="52" t="s">
        <v>26</v>
      </c>
      <c r="G1233" s="54"/>
    </row>
    <row r="1234">
      <c r="A1234" s="49">
        <v>45033.59812810185</v>
      </c>
      <c r="B1234" s="50">
        <v>45033.7231008564</v>
      </c>
      <c r="C1234" s="51">
        <v>1.05</v>
      </c>
      <c r="D1234" s="51">
        <v>65.0</v>
      </c>
      <c r="E1234" s="52" t="s">
        <v>25</v>
      </c>
      <c r="F1234" s="52" t="s">
        <v>26</v>
      </c>
      <c r="G1234" s="54"/>
    </row>
    <row r="1235">
      <c r="A1235" s="49">
        <v>45033.60854516204</v>
      </c>
      <c r="B1235" s="50">
        <v>45033.7335235764</v>
      </c>
      <c r="C1235" s="51">
        <v>1.05</v>
      </c>
      <c r="D1235" s="51">
        <v>65.0</v>
      </c>
      <c r="E1235" s="52" t="s">
        <v>25</v>
      </c>
      <c r="F1235" s="52" t="s">
        <v>26</v>
      </c>
      <c r="G1235" s="54"/>
    </row>
    <row r="1236">
      <c r="A1236" s="49">
        <v>45033.61897888889</v>
      </c>
      <c r="B1236" s="50">
        <v>45033.7439589467</v>
      </c>
      <c r="C1236" s="51">
        <v>1.05</v>
      </c>
      <c r="D1236" s="51">
        <v>65.0</v>
      </c>
      <c r="E1236" s="52" t="s">
        <v>25</v>
      </c>
      <c r="F1236" s="52" t="s">
        <v>26</v>
      </c>
      <c r="G1236" s="54"/>
    </row>
    <row r="1237">
      <c r="A1237" s="49">
        <v>45033.629410891204</v>
      </c>
      <c r="B1237" s="50">
        <v>45033.7543918287</v>
      </c>
      <c r="C1237" s="51">
        <v>1.05</v>
      </c>
      <c r="D1237" s="51">
        <v>65.0</v>
      </c>
      <c r="E1237" s="52" t="s">
        <v>25</v>
      </c>
      <c r="F1237" s="52" t="s">
        <v>26</v>
      </c>
      <c r="G1237" s="54"/>
    </row>
    <row r="1238">
      <c r="A1238" s="49">
        <v>45033.63983006944</v>
      </c>
      <c r="B1238" s="50">
        <v>45033.7648131134</v>
      </c>
      <c r="C1238" s="51">
        <v>1.05</v>
      </c>
      <c r="D1238" s="51">
        <v>65.0</v>
      </c>
      <c r="E1238" s="52" t="s">
        <v>25</v>
      </c>
      <c r="F1238" s="52" t="s">
        <v>26</v>
      </c>
      <c r="G1238" s="54"/>
    </row>
    <row r="1239">
      <c r="A1239" s="49">
        <v>45033.65026231481</v>
      </c>
      <c r="B1239" s="50">
        <v>45033.7752335879</v>
      </c>
      <c r="C1239" s="51">
        <v>1.05</v>
      </c>
      <c r="D1239" s="51">
        <v>65.0</v>
      </c>
      <c r="E1239" s="52" t="s">
        <v>25</v>
      </c>
      <c r="F1239" s="52" t="s">
        <v>26</v>
      </c>
      <c r="G1239" s="54"/>
    </row>
    <row r="1240">
      <c r="A1240" s="49">
        <v>45033.66068273148</v>
      </c>
      <c r="B1240" s="50">
        <v>45033.7856532523</v>
      </c>
      <c r="C1240" s="51">
        <v>1.05</v>
      </c>
      <c r="D1240" s="51">
        <v>65.0</v>
      </c>
      <c r="E1240" s="52" t="s">
        <v>25</v>
      </c>
      <c r="F1240" s="52" t="s">
        <v>26</v>
      </c>
      <c r="G1240" s="54"/>
    </row>
    <row r="1241">
      <c r="A1241" s="49">
        <v>45033.67110096065</v>
      </c>
      <c r="B1241" s="50">
        <v>45033.7960737731</v>
      </c>
      <c r="C1241" s="51">
        <v>1.05</v>
      </c>
      <c r="D1241" s="51">
        <v>65.0</v>
      </c>
      <c r="E1241" s="52" t="s">
        <v>25</v>
      </c>
      <c r="F1241" s="52" t="s">
        <v>26</v>
      </c>
      <c r="G1241" s="54"/>
    </row>
    <row r="1242">
      <c r="A1242" s="49">
        <v>45033.681520694445</v>
      </c>
      <c r="B1242" s="50">
        <v>45033.8064939467</v>
      </c>
      <c r="C1242" s="51">
        <v>1.05</v>
      </c>
      <c r="D1242" s="51">
        <v>65.0</v>
      </c>
      <c r="E1242" s="52" t="s">
        <v>25</v>
      </c>
      <c r="F1242" s="52" t="s">
        <v>26</v>
      </c>
      <c r="G1242" s="54"/>
    </row>
    <row r="1243">
      <c r="A1243" s="49">
        <v>45033.69195190972</v>
      </c>
      <c r="B1243" s="50">
        <v>45033.8169261689</v>
      </c>
      <c r="C1243" s="51">
        <v>1.05</v>
      </c>
      <c r="D1243" s="51">
        <v>65.0</v>
      </c>
      <c r="E1243" s="52" t="s">
        <v>25</v>
      </c>
      <c r="F1243" s="52" t="s">
        <v>26</v>
      </c>
      <c r="G1243" s="54"/>
    </row>
    <row r="1244">
      <c r="A1244" s="49">
        <v>45033.70237608797</v>
      </c>
      <c r="B1244" s="50">
        <v>45033.8273483912</v>
      </c>
      <c r="C1244" s="51">
        <v>1.05</v>
      </c>
      <c r="D1244" s="51">
        <v>65.0</v>
      </c>
      <c r="E1244" s="52" t="s">
        <v>25</v>
      </c>
      <c r="F1244" s="52" t="s">
        <v>26</v>
      </c>
      <c r="G1244" s="54"/>
    </row>
    <row r="1245">
      <c r="A1245" s="49">
        <v>45033.71279283565</v>
      </c>
      <c r="B1245" s="50">
        <v>45033.8377720717</v>
      </c>
      <c r="C1245" s="51">
        <v>1.05</v>
      </c>
      <c r="D1245" s="51">
        <v>65.0</v>
      </c>
      <c r="E1245" s="52" t="s">
        <v>25</v>
      </c>
      <c r="F1245" s="52" t="s">
        <v>26</v>
      </c>
      <c r="G1245" s="54"/>
    </row>
    <row r="1246">
      <c r="A1246" s="49">
        <v>45033.7232253125</v>
      </c>
      <c r="B1246" s="50">
        <v>45033.84819353</v>
      </c>
      <c r="C1246" s="51">
        <v>1.05</v>
      </c>
      <c r="D1246" s="51">
        <v>65.0</v>
      </c>
      <c r="E1246" s="52" t="s">
        <v>25</v>
      </c>
      <c r="F1246" s="52" t="s">
        <v>26</v>
      </c>
      <c r="G1246" s="54"/>
    </row>
    <row r="1247">
      <c r="A1247" s="49">
        <v>45033.73364052083</v>
      </c>
      <c r="B1247" s="50">
        <v>45033.8586145486</v>
      </c>
      <c r="C1247" s="51">
        <v>1.05</v>
      </c>
      <c r="D1247" s="51">
        <v>65.0</v>
      </c>
      <c r="E1247" s="52" t="s">
        <v>25</v>
      </c>
      <c r="F1247" s="52" t="s">
        <v>26</v>
      </c>
      <c r="G1247" s="54"/>
    </row>
    <row r="1248">
      <c r="A1248" s="49">
        <v>45033.74406136574</v>
      </c>
      <c r="B1248" s="50">
        <v>45033.8690360416</v>
      </c>
      <c r="C1248" s="51">
        <v>1.05</v>
      </c>
      <c r="D1248" s="51">
        <v>65.0</v>
      </c>
      <c r="E1248" s="52" t="s">
        <v>25</v>
      </c>
      <c r="F1248" s="52" t="s">
        <v>26</v>
      </c>
      <c r="G1248" s="54"/>
    </row>
    <row r="1249">
      <c r="A1249" s="49">
        <v>45033.75448300926</v>
      </c>
      <c r="B1249" s="50">
        <v>45033.8794567476</v>
      </c>
      <c r="C1249" s="51">
        <v>1.05</v>
      </c>
      <c r="D1249" s="51">
        <v>65.0</v>
      </c>
      <c r="E1249" s="52" t="s">
        <v>25</v>
      </c>
      <c r="F1249" s="52" t="s">
        <v>26</v>
      </c>
      <c r="G1249" s="54"/>
    </row>
    <row r="1250">
      <c r="A1250" s="49">
        <v>45033.76490700232</v>
      </c>
      <c r="B1250" s="50">
        <v>45033.8898770254</v>
      </c>
      <c r="C1250" s="51">
        <v>1.05</v>
      </c>
      <c r="D1250" s="51">
        <v>65.0</v>
      </c>
      <c r="E1250" s="52" t="s">
        <v>25</v>
      </c>
      <c r="F1250" s="52" t="s">
        <v>26</v>
      </c>
      <c r="G1250" s="54"/>
    </row>
    <row r="1251">
      <c r="A1251" s="49">
        <v>45033.77532208333</v>
      </c>
      <c r="B1251" s="50">
        <v>45033.9002982754</v>
      </c>
      <c r="C1251" s="51">
        <v>1.05</v>
      </c>
      <c r="D1251" s="51">
        <v>65.0</v>
      </c>
      <c r="E1251" s="52" t="s">
        <v>25</v>
      </c>
      <c r="F1251" s="52" t="s">
        <v>26</v>
      </c>
      <c r="G1251" s="54"/>
    </row>
    <row r="1252">
      <c r="A1252" s="49">
        <v>45033.78575570602</v>
      </c>
      <c r="B1252" s="50">
        <v>45033.9107311111</v>
      </c>
      <c r="C1252" s="51">
        <v>1.05</v>
      </c>
      <c r="D1252" s="51">
        <v>64.0</v>
      </c>
      <c r="E1252" s="52" t="s">
        <v>25</v>
      </c>
      <c r="F1252" s="52" t="s">
        <v>26</v>
      </c>
      <c r="G1252" s="54"/>
    </row>
    <row r="1253">
      <c r="A1253" s="49">
        <v>45033.79617621528</v>
      </c>
      <c r="B1253" s="50">
        <v>45033.9211519444</v>
      </c>
      <c r="C1253" s="51">
        <v>1.049</v>
      </c>
      <c r="D1253" s="51">
        <v>65.0</v>
      </c>
      <c r="E1253" s="52" t="s">
        <v>25</v>
      </c>
      <c r="F1253" s="52" t="s">
        <v>26</v>
      </c>
      <c r="G1253" s="54"/>
    </row>
    <row r="1254">
      <c r="A1254" s="49">
        <v>45033.80661021991</v>
      </c>
      <c r="B1254" s="50">
        <v>45033.9315843171</v>
      </c>
      <c r="C1254" s="51">
        <v>1.049</v>
      </c>
      <c r="D1254" s="51">
        <v>64.0</v>
      </c>
      <c r="E1254" s="52" t="s">
        <v>25</v>
      </c>
      <c r="F1254" s="52" t="s">
        <v>26</v>
      </c>
      <c r="G1254" s="54"/>
    </row>
    <row r="1255">
      <c r="A1255" s="49">
        <v>45033.81703464121</v>
      </c>
      <c r="B1255" s="50">
        <v>45033.9420046875</v>
      </c>
      <c r="C1255" s="51">
        <v>1.05</v>
      </c>
      <c r="D1255" s="51">
        <v>65.0</v>
      </c>
      <c r="E1255" s="52" t="s">
        <v>25</v>
      </c>
      <c r="F1255" s="52" t="s">
        <v>26</v>
      </c>
      <c r="G1255" s="54"/>
    </row>
    <row r="1256">
      <c r="A1256" s="49">
        <v>45033.82745297454</v>
      </c>
      <c r="B1256" s="50">
        <v>45033.9524260879</v>
      </c>
      <c r="C1256" s="51">
        <v>1.05</v>
      </c>
      <c r="D1256" s="51">
        <v>65.0</v>
      </c>
      <c r="E1256" s="52" t="s">
        <v>25</v>
      </c>
      <c r="F1256" s="52" t="s">
        <v>26</v>
      </c>
      <c r="G1256" s="54"/>
    </row>
    <row r="1257">
      <c r="A1257" s="49">
        <v>45033.837870868054</v>
      </c>
      <c r="B1257" s="50">
        <v>45033.9628466666</v>
      </c>
      <c r="C1257" s="51">
        <v>1.049</v>
      </c>
      <c r="D1257" s="51">
        <v>64.0</v>
      </c>
      <c r="E1257" s="52" t="s">
        <v>25</v>
      </c>
      <c r="F1257" s="52" t="s">
        <v>26</v>
      </c>
      <c r="G1257" s="54"/>
    </row>
    <row r="1258">
      <c r="A1258" s="49">
        <v>45033.84829635417</v>
      </c>
      <c r="B1258" s="50">
        <v>45033.9732675231</v>
      </c>
      <c r="C1258" s="51">
        <v>1.05</v>
      </c>
      <c r="D1258" s="51">
        <v>65.0</v>
      </c>
      <c r="E1258" s="52" t="s">
        <v>25</v>
      </c>
      <c r="F1258" s="52" t="s">
        <v>26</v>
      </c>
      <c r="G1258" s="54"/>
    </row>
    <row r="1259">
      <c r="A1259" s="49">
        <v>45033.85871033565</v>
      </c>
      <c r="B1259" s="50">
        <v>45033.98368728</v>
      </c>
      <c r="C1259" s="51">
        <v>1.049</v>
      </c>
      <c r="D1259" s="51">
        <v>65.0</v>
      </c>
      <c r="E1259" s="52" t="s">
        <v>25</v>
      </c>
      <c r="F1259" s="52" t="s">
        <v>26</v>
      </c>
      <c r="G1259" s="54"/>
    </row>
    <row r="1260">
      <c r="A1260" s="49">
        <v>45033.86913782408</v>
      </c>
      <c r="B1260" s="50">
        <v>45033.9941083101</v>
      </c>
      <c r="C1260" s="51">
        <v>1.049</v>
      </c>
      <c r="D1260" s="51">
        <v>65.0</v>
      </c>
      <c r="E1260" s="52" t="s">
        <v>25</v>
      </c>
      <c r="F1260" s="52" t="s">
        <v>26</v>
      </c>
      <c r="G1260" s="54"/>
    </row>
    <row r="1261">
      <c r="A1261" s="49">
        <v>45033.87957210648</v>
      </c>
      <c r="B1261" s="50">
        <v>45034.0045531944</v>
      </c>
      <c r="C1261" s="51">
        <v>1.049</v>
      </c>
      <c r="D1261" s="51">
        <v>64.0</v>
      </c>
      <c r="E1261" s="52" t="s">
        <v>25</v>
      </c>
      <c r="F1261" s="52" t="s">
        <v>26</v>
      </c>
      <c r="G1261" s="54"/>
    </row>
    <row r="1262">
      <c r="A1262" s="49">
        <v>45033.88999814815</v>
      </c>
      <c r="B1262" s="50">
        <v>45034.0149741088</v>
      </c>
      <c r="C1262" s="51">
        <v>1.049</v>
      </c>
      <c r="D1262" s="51">
        <v>65.0</v>
      </c>
      <c r="E1262" s="52" t="s">
        <v>25</v>
      </c>
      <c r="F1262" s="52" t="s">
        <v>26</v>
      </c>
      <c r="G1262" s="54"/>
    </row>
    <row r="1263">
      <c r="A1263" s="49">
        <v>45033.900427685185</v>
      </c>
      <c r="B1263" s="50">
        <v>45034.0253958333</v>
      </c>
      <c r="C1263" s="51">
        <v>1.049</v>
      </c>
      <c r="D1263" s="51">
        <v>65.0</v>
      </c>
      <c r="E1263" s="52" t="s">
        <v>25</v>
      </c>
      <c r="F1263" s="52" t="s">
        <v>26</v>
      </c>
      <c r="G1263" s="54"/>
    </row>
    <row r="1264">
      <c r="A1264" s="49">
        <v>45033.91084416666</v>
      </c>
      <c r="B1264" s="50">
        <v>45034.0358161458</v>
      </c>
      <c r="C1264" s="51">
        <v>1.049</v>
      </c>
      <c r="D1264" s="51">
        <v>65.0</v>
      </c>
      <c r="E1264" s="52" t="s">
        <v>25</v>
      </c>
      <c r="F1264" s="52" t="s">
        <v>26</v>
      </c>
      <c r="G1264" s="54"/>
    </row>
    <row r="1265">
      <c r="A1265" s="49">
        <v>45033.921266226855</v>
      </c>
      <c r="B1265" s="50">
        <v>45034.0462380208</v>
      </c>
      <c r="C1265" s="51">
        <v>1.049</v>
      </c>
      <c r="D1265" s="51">
        <v>65.0</v>
      </c>
      <c r="E1265" s="52" t="s">
        <v>25</v>
      </c>
      <c r="F1265" s="52" t="s">
        <v>26</v>
      </c>
      <c r="G1265" s="54"/>
    </row>
    <row r="1266">
      <c r="A1266" s="49">
        <v>45033.93168346064</v>
      </c>
      <c r="B1266" s="50">
        <v>45034.0566594791</v>
      </c>
      <c r="C1266" s="51">
        <v>1.049</v>
      </c>
      <c r="D1266" s="51">
        <v>65.0</v>
      </c>
      <c r="E1266" s="52" t="s">
        <v>25</v>
      </c>
      <c r="F1266" s="52" t="s">
        <v>26</v>
      </c>
      <c r="G1266" s="54"/>
    </row>
    <row r="1267">
      <c r="A1267" s="49">
        <v>45033.94210357639</v>
      </c>
      <c r="B1267" s="50">
        <v>45034.0670802314</v>
      </c>
      <c r="C1267" s="51">
        <v>1.049</v>
      </c>
      <c r="D1267" s="51">
        <v>64.0</v>
      </c>
      <c r="E1267" s="52" t="s">
        <v>25</v>
      </c>
      <c r="F1267" s="52" t="s">
        <v>26</v>
      </c>
      <c r="G1267" s="54"/>
    </row>
    <row r="1268">
      <c r="A1268" s="49">
        <v>45033.95252503472</v>
      </c>
      <c r="B1268" s="50">
        <v>45034.0774997685</v>
      </c>
      <c r="C1268" s="51">
        <v>1.049</v>
      </c>
      <c r="D1268" s="51">
        <v>64.0</v>
      </c>
      <c r="E1268" s="52" t="s">
        <v>25</v>
      </c>
      <c r="F1268" s="52" t="s">
        <v>26</v>
      </c>
      <c r="G1268" s="54"/>
    </row>
    <row r="1269">
      <c r="A1269" s="49">
        <v>45033.96295579861</v>
      </c>
      <c r="B1269" s="50">
        <v>45034.0879323611</v>
      </c>
      <c r="C1269" s="51">
        <v>1.049</v>
      </c>
      <c r="D1269" s="51">
        <v>64.0</v>
      </c>
      <c r="E1269" s="52" t="s">
        <v>25</v>
      </c>
      <c r="F1269" s="52" t="s">
        <v>26</v>
      </c>
      <c r="G1269" s="54"/>
    </row>
    <row r="1270">
      <c r="A1270" s="49">
        <v>45033.97337600694</v>
      </c>
      <c r="B1270" s="50">
        <v>45034.0983553009</v>
      </c>
      <c r="C1270" s="51">
        <v>1.049</v>
      </c>
      <c r="D1270" s="51">
        <v>64.0</v>
      </c>
      <c r="E1270" s="52" t="s">
        <v>25</v>
      </c>
      <c r="F1270" s="52" t="s">
        <v>26</v>
      </c>
      <c r="G1270" s="54"/>
    </row>
    <row r="1271">
      <c r="A1271" s="49">
        <v>45033.98380011574</v>
      </c>
      <c r="B1271" s="50">
        <v>45034.1087765625</v>
      </c>
      <c r="C1271" s="51">
        <v>1.049</v>
      </c>
      <c r="D1271" s="51">
        <v>64.0</v>
      </c>
      <c r="E1271" s="52" t="s">
        <v>25</v>
      </c>
      <c r="F1271" s="52" t="s">
        <v>26</v>
      </c>
      <c r="G1271" s="54"/>
    </row>
    <row r="1272">
      <c r="A1272" s="49">
        <v>45033.99422702546</v>
      </c>
      <c r="B1272" s="50">
        <v>45034.1191977777</v>
      </c>
      <c r="C1272" s="51">
        <v>1.049</v>
      </c>
      <c r="D1272" s="51">
        <v>64.0</v>
      </c>
      <c r="E1272" s="52" t="s">
        <v>25</v>
      </c>
      <c r="F1272" s="52" t="s">
        <v>26</v>
      </c>
      <c r="G1272" s="54"/>
    </row>
    <row r="1273">
      <c r="A1273" s="49">
        <v>45034.00465578704</v>
      </c>
      <c r="B1273" s="50">
        <v>45034.1296283564</v>
      </c>
      <c r="C1273" s="51">
        <v>1.049</v>
      </c>
      <c r="D1273" s="51">
        <v>65.0</v>
      </c>
      <c r="E1273" s="52" t="s">
        <v>25</v>
      </c>
      <c r="F1273" s="52" t="s">
        <v>26</v>
      </c>
      <c r="G1273" s="54"/>
    </row>
    <row r="1274">
      <c r="A1274" s="49">
        <v>45034.01507212963</v>
      </c>
      <c r="B1274" s="50">
        <v>45034.1400494907</v>
      </c>
      <c r="C1274" s="51">
        <v>1.049</v>
      </c>
      <c r="D1274" s="51">
        <v>65.0</v>
      </c>
      <c r="E1274" s="52" t="s">
        <v>25</v>
      </c>
      <c r="F1274" s="52" t="s">
        <v>26</v>
      </c>
      <c r="G1274" s="54"/>
    </row>
    <row r="1275">
      <c r="A1275" s="49">
        <v>45034.02550123843</v>
      </c>
      <c r="B1275" s="50">
        <v>45034.1504721064</v>
      </c>
      <c r="C1275" s="51">
        <v>1.049</v>
      </c>
      <c r="D1275" s="51">
        <v>64.0</v>
      </c>
      <c r="E1275" s="52" t="s">
        <v>25</v>
      </c>
      <c r="F1275" s="52" t="s">
        <v>26</v>
      </c>
      <c r="G1275" s="54"/>
    </row>
    <row r="1276">
      <c r="A1276" s="49">
        <v>45034.035920381946</v>
      </c>
      <c r="B1276" s="50">
        <v>45034.1608939004</v>
      </c>
      <c r="C1276" s="51">
        <v>1.049</v>
      </c>
      <c r="D1276" s="51">
        <v>64.0</v>
      </c>
      <c r="E1276" s="52" t="s">
        <v>25</v>
      </c>
      <c r="F1276" s="52" t="s">
        <v>26</v>
      </c>
      <c r="G1276" s="54"/>
    </row>
    <row r="1277">
      <c r="A1277" s="49">
        <v>45034.04633748843</v>
      </c>
      <c r="B1277" s="50">
        <v>45034.1713149652</v>
      </c>
      <c r="C1277" s="51">
        <v>1.049</v>
      </c>
      <c r="D1277" s="51">
        <v>64.0</v>
      </c>
      <c r="E1277" s="52" t="s">
        <v>25</v>
      </c>
      <c r="F1277" s="52" t="s">
        <v>26</v>
      </c>
      <c r="G1277" s="54"/>
    </row>
    <row r="1278">
      <c r="A1278" s="49">
        <v>45034.05677766204</v>
      </c>
      <c r="B1278" s="50">
        <v>45034.1817593402</v>
      </c>
      <c r="C1278" s="51">
        <v>1.049</v>
      </c>
      <c r="D1278" s="51">
        <v>64.0</v>
      </c>
      <c r="E1278" s="52" t="s">
        <v>25</v>
      </c>
      <c r="F1278" s="52" t="s">
        <v>26</v>
      </c>
      <c r="G1278" s="54"/>
    </row>
    <row r="1279">
      <c r="A1279" s="49">
        <v>45034.0672203125</v>
      </c>
      <c r="B1279" s="50">
        <v>45034.1921917245</v>
      </c>
      <c r="C1279" s="51">
        <v>1.049</v>
      </c>
      <c r="D1279" s="51">
        <v>64.0</v>
      </c>
      <c r="E1279" s="52" t="s">
        <v>25</v>
      </c>
      <c r="F1279" s="52" t="s">
        <v>26</v>
      </c>
      <c r="G1279" s="54"/>
    </row>
    <row r="1280">
      <c r="A1280" s="49">
        <v>45034.07765196759</v>
      </c>
      <c r="B1280" s="50">
        <v>45034.2026253356</v>
      </c>
      <c r="C1280" s="51">
        <v>1.049</v>
      </c>
      <c r="D1280" s="51">
        <v>64.0</v>
      </c>
      <c r="E1280" s="52" t="s">
        <v>25</v>
      </c>
      <c r="F1280" s="52" t="s">
        <v>26</v>
      </c>
      <c r="G1280" s="54"/>
    </row>
    <row r="1281">
      <c r="A1281" s="49">
        <v>45034.088079189816</v>
      </c>
      <c r="B1281" s="50">
        <v>45034.2130460763</v>
      </c>
      <c r="C1281" s="51">
        <v>1.049</v>
      </c>
      <c r="D1281" s="51">
        <v>64.0</v>
      </c>
      <c r="E1281" s="52" t="s">
        <v>25</v>
      </c>
      <c r="F1281" s="52" t="s">
        <v>26</v>
      </c>
      <c r="G1281" s="54"/>
    </row>
    <row r="1282">
      <c r="A1282" s="49">
        <v>45034.09849824074</v>
      </c>
      <c r="B1282" s="50">
        <v>45034.2234669791</v>
      </c>
      <c r="C1282" s="51">
        <v>1.049</v>
      </c>
      <c r="D1282" s="51">
        <v>64.0</v>
      </c>
      <c r="E1282" s="52" t="s">
        <v>25</v>
      </c>
      <c r="F1282" s="52" t="s">
        <v>26</v>
      </c>
      <c r="G1282" s="54"/>
    </row>
    <row r="1283">
      <c r="A1283" s="49">
        <v>45034.1089121875</v>
      </c>
      <c r="B1283" s="50">
        <v>45034.2338868055</v>
      </c>
      <c r="C1283" s="51">
        <v>1.049</v>
      </c>
      <c r="D1283" s="51">
        <v>64.0</v>
      </c>
      <c r="E1283" s="52" t="s">
        <v>25</v>
      </c>
      <c r="F1283" s="52" t="s">
        <v>26</v>
      </c>
      <c r="G1283" s="54"/>
    </row>
    <row r="1284">
      <c r="A1284" s="49">
        <v>45034.11934153935</v>
      </c>
      <c r="B1284" s="50">
        <v>45034.2443091898</v>
      </c>
      <c r="C1284" s="51">
        <v>1.049</v>
      </c>
      <c r="D1284" s="51">
        <v>64.0</v>
      </c>
      <c r="E1284" s="52" t="s">
        <v>25</v>
      </c>
      <c r="F1284" s="52" t="s">
        <v>26</v>
      </c>
      <c r="G1284" s="54"/>
    </row>
    <row r="1285">
      <c r="A1285" s="49">
        <v>45034.12974967592</v>
      </c>
      <c r="B1285" s="50">
        <v>45034.2547310069</v>
      </c>
      <c r="C1285" s="51">
        <v>1.049</v>
      </c>
      <c r="D1285" s="51">
        <v>64.0</v>
      </c>
      <c r="E1285" s="52" t="s">
        <v>25</v>
      </c>
      <c r="F1285" s="52" t="s">
        <v>26</v>
      </c>
      <c r="G1285" s="54"/>
    </row>
    <row r="1286">
      <c r="A1286" s="49">
        <v>45034.14017806713</v>
      </c>
      <c r="B1286" s="50">
        <v>45034.2651524652</v>
      </c>
      <c r="C1286" s="51">
        <v>1.049</v>
      </c>
      <c r="D1286" s="51">
        <v>64.0</v>
      </c>
      <c r="E1286" s="52" t="s">
        <v>25</v>
      </c>
      <c r="F1286" s="52" t="s">
        <v>26</v>
      </c>
      <c r="G1286" s="54"/>
    </row>
    <row r="1287">
      <c r="A1287" s="49">
        <v>45034.150610798606</v>
      </c>
      <c r="B1287" s="50">
        <v>45034.2755858564</v>
      </c>
      <c r="C1287" s="51">
        <v>1.048</v>
      </c>
      <c r="D1287" s="51">
        <v>64.0</v>
      </c>
      <c r="E1287" s="52" t="s">
        <v>25</v>
      </c>
      <c r="F1287" s="52" t="s">
        <v>26</v>
      </c>
      <c r="G1287" s="54"/>
    </row>
    <row r="1288">
      <c r="A1288" s="49">
        <v>45034.16103809028</v>
      </c>
      <c r="B1288" s="50">
        <v>45034.2860190393</v>
      </c>
      <c r="C1288" s="51">
        <v>1.048</v>
      </c>
      <c r="D1288" s="51">
        <v>64.0</v>
      </c>
      <c r="E1288" s="52" t="s">
        <v>25</v>
      </c>
      <c r="F1288" s="52" t="s">
        <v>26</v>
      </c>
      <c r="G1288" s="54"/>
    </row>
    <row r="1289">
      <c r="A1289" s="49">
        <v>45034.17147108796</v>
      </c>
      <c r="B1289" s="50">
        <v>45034.2964400694</v>
      </c>
      <c r="C1289" s="51">
        <v>1.048</v>
      </c>
      <c r="D1289" s="51">
        <v>64.0</v>
      </c>
      <c r="E1289" s="52" t="s">
        <v>25</v>
      </c>
      <c r="F1289" s="52" t="s">
        <v>26</v>
      </c>
      <c r="G1289" s="54"/>
    </row>
    <row r="1290">
      <c r="A1290" s="49">
        <v>45034.181888946754</v>
      </c>
      <c r="B1290" s="50">
        <v>45034.3068626273</v>
      </c>
      <c r="C1290" s="51">
        <v>1.049</v>
      </c>
      <c r="D1290" s="51">
        <v>64.0</v>
      </c>
      <c r="E1290" s="52" t="s">
        <v>25</v>
      </c>
      <c r="F1290" s="52" t="s">
        <v>26</v>
      </c>
      <c r="G1290" s="54"/>
    </row>
    <row r="1291">
      <c r="A1291" s="49">
        <v>45034.1923087037</v>
      </c>
      <c r="B1291" s="50">
        <v>45034.317282743</v>
      </c>
      <c r="C1291" s="51">
        <v>1.048</v>
      </c>
      <c r="D1291" s="51">
        <v>64.0</v>
      </c>
      <c r="E1291" s="52" t="s">
        <v>25</v>
      </c>
      <c r="F1291" s="52" t="s">
        <v>26</v>
      </c>
      <c r="G1291" s="54"/>
    </row>
    <row r="1292">
      <c r="A1292" s="49">
        <v>45034.20273253472</v>
      </c>
      <c r="B1292" s="50">
        <v>45034.3277044444</v>
      </c>
      <c r="C1292" s="51">
        <v>1.048</v>
      </c>
      <c r="D1292" s="51">
        <v>64.0</v>
      </c>
      <c r="E1292" s="52" t="s">
        <v>25</v>
      </c>
      <c r="F1292" s="52" t="s">
        <v>26</v>
      </c>
      <c r="G1292" s="54"/>
    </row>
    <row r="1293">
      <c r="A1293" s="49">
        <v>45034.21315091435</v>
      </c>
      <c r="B1293" s="50">
        <v>45034.3381263425</v>
      </c>
      <c r="C1293" s="51">
        <v>1.048</v>
      </c>
      <c r="D1293" s="51">
        <v>64.0</v>
      </c>
      <c r="E1293" s="52" t="s">
        <v>25</v>
      </c>
      <c r="F1293" s="52" t="s">
        <v>26</v>
      </c>
      <c r="G1293" s="54"/>
    </row>
    <row r="1294">
      <c r="A1294" s="49">
        <v>45034.22356940972</v>
      </c>
      <c r="B1294" s="50">
        <v>45034.3485478472</v>
      </c>
      <c r="C1294" s="51">
        <v>1.048</v>
      </c>
      <c r="D1294" s="51">
        <v>64.0</v>
      </c>
      <c r="E1294" s="52" t="s">
        <v>25</v>
      </c>
      <c r="F1294" s="52" t="s">
        <v>26</v>
      </c>
      <c r="G1294" s="54"/>
    </row>
    <row r="1295">
      <c r="A1295" s="49">
        <v>45034.23399821759</v>
      </c>
      <c r="B1295" s="50">
        <v>45034.3589788541</v>
      </c>
      <c r="C1295" s="51">
        <v>1.048</v>
      </c>
      <c r="D1295" s="51">
        <v>64.0</v>
      </c>
      <c r="E1295" s="52" t="s">
        <v>25</v>
      </c>
      <c r="F1295" s="52" t="s">
        <v>26</v>
      </c>
      <c r="G1295" s="54"/>
    </row>
    <row r="1296">
      <c r="A1296" s="49">
        <v>45034.244444791664</v>
      </c>
      <c r="B1296" s="50">
        <v>45034.3694011226</v>
      </c>
      <c r="C1296" s="51">
        <v>1.048</v>
      </c>
      <c r="D1296" s="51">
        <v>64.0</v>
      </c>
      <c r="E1296" s="52" t="s">
        <v>25</v>
      </c>
      <c r="F1296" s="52" t="s">
        <v>26</v>
      </c>
      <c r="G1296" s="54"/>
    </row>
    <row r="1297">
      <c r="A1297" s="49">
        <v>45034.2548484838</v>
      </c>
      <c r="B1297" s="50">
        <v>45034.3798219907</v>
      </c>
      <c r="C1297" s="51">
        <v>1.048</v>
      </c>
      <c r="D1297" s="51">
        <v>64.0</v>
      </c>
      <c r="E1297" s="52" t="s">
        <v>25</v>
      </c>
      <c r="F1297" s="52" t="s">
        <v>26</v>
      </c>
      <c r="G1297" s="54"/>
    </row>
    <row r="1298">
      <c r="A1298" s="49">
        <v>45034.265274502315</v>
      </c>
      <c r="B1298" s="50">
        <v>45034.3902424189</v>
      </c>
      <c r="C1298" s="51">
        <v>1.048</v>
      </c>
      <c r="D1298" s="51">
        <v>64.0</v>
      </c>
      <c r="E1298" s="52" t="s">
        <v>25</v>
      </c>
      <c r="F1298" s="52" t="s">
        <v>26</v>
      </c>
      <c r="G1298" s="54"/>
    </row>
    <row r="1299">
      <c r="A1299" s="49">
        <v>45034.27569589121</v>
      </c>
      <c r="B1299" s="50">
        <v>45034.4006636805</v>
      </c>
      <c r="C1299" s="51">
        <v>1.048</v>
      </c>
      <c r="D1299" s="51">
        <v>64.0</v>
      </c>
      <c r="E1299" s="52" t="s">
        <v>25</v>
      </c>
      <c r="F1299" s="52" t="s">
        <v>26</v>
      </c>
      <c r="G1299" s="54"/>
    </row>
    <row r="1300">
      <c r="A1300" s="49">
        <v>45034.28611858796</v>
      </c>
      <c r="B1300" s="50">
        <v>45034.4110957523</v>
      </c>
      <c r="C1300" s="51">
        <v>1.048</v>
      </c>
      <c r="D1300" s="51">
        <v>64.0</v>
      </c>
      <c r="E1300" s="52" t="s">
        <v>25</v>
      </c>
      <c r="F1300" s="52" t="s">
        <v>26</v>
      </c>
      <c r="G1300" s="54"/>
    </row>
    <row r="1301">
      <c r="A1301" s="49">
        <v>45034.296550196756</v>
      </c>
      <c r="B1301" s="50">
        <v>45034.4215173611</v>
      </c>
      <c r="C1301" s="51">
        <v>1.048</v>
      </c>
      <c r="D1301" s="51">
        <v>64.0</v>
      </c>
      <c r="E1301" s="52" t="s">
        <v>25</v>
      </c>
      <c r="F1301" s="52" t="s">
        <v>26</v>
      </c>
      <c r="G1301" s="54"/>
    </row>
    <row r="1302">
      <c r="A1302" s="49">
        <v>45034.306973252314</v>
      </c>
      <c r="B1302" s="50">
        <v>45034.431940324</v>
      </c>
      <c r="C1302" s="51">
        <v>1.048</v>
      </c>
      <c r="D1302" s="51">
        <v>64.0</v>
      </c>
      <c r="E1302" s="52" t="s">
        <v>25</v>
      </c>
      <c r="F1302" s="52" t="s">
        <v>26</v>
      </c>
      <c r="G1302" s="54"/>
    </row>
    <row r="1303">
      <c r="A1303" s="49">
        <v>45034.31740315972</v>
      </c>
      <c r="B1303" s="50">
        <v>45034.4423611111</v>
      </c>
      <c r="C1303" s="51">
        <v>1.048</v>
      </c>
      <c r="D1303" s="51">
        <v>64.0</v>
      </c>
      <c r="E1303" s="52" t="s">
        <v>25</v>
      </c>
      <c r="F1303" s="52" t="s">
        <v>26</v>
      </c>
      <c r="G1303" s="54"/>
    </row>
    <row r="1304">
      <c r="A1304" s="49">
        <v>45034.32781502315</v>
      </c>
      <c r="B1304" s="50">
        <v>45034.4527825578</v>
      </c>
      <c r="C1304" s="51">
        <v>1.048</v>
      </c>
      <c r="D1304" s="51">
        <v>64.0</v>
      </c>
      <c r="E1304" s="52" t="s">
        <v>25</v>
      </c>
      <c r="F1304" s="52" t="s">
        <v>26</v>
      </c>
      <c r="G1304" s="54"/>
    </row>
    <row r="1305">
      <c r="A1305" s="49">
        <v>45034.33825053241</v>
      </c>
      <c r="B1305" s="50">
        <v>45034.4632143055</v>
      </c>
      <c r="C1305" s="51">
        <v>1.048</v>
      </c>
      <c r="D1305" s="51">
        <v>64.0</v>
      </c>
      <c r="E1305" s="52" t="s">
        <v>25</v>
      </c>
      <c r="F1305" s="52" t="s">
        <v>26</v>
      </c>
      <c r="G1305" s="54"/>
    </row>
    <row r="1306">
      <c r="A1306" s="49">
        <v>45034.34866020833</v>
      </c>
      <c r="B1306" s="50">
        <v>45034.4736354398</v>
      </c>
      <c r="C1306" s="51">
        <v>1.048</v>
      </c>
      <c r="D1306" s="51">
        <v>64.0</v>
      </c>
      <c r="E1306" s="52" t="s">
        <v>25</v>
      </c>
      <c r="F1306" s="52" t="s">
        <v>26</v>
      </c>
      <c r="G1306" s="54"/>
    </row>
    <row r="1307">
      <c r="A1307" s="49">
        <v>45034.35908819444</v>
      </c>
      <c r="B1307" s="50">
        <v>45034.4840567592</v>
      </c>
      <c r="C1307" s="51">
        <v>1.048</v>
      </c>
      <c r="D1307" s="51">
        <v>64.0</v>
      </c>
      <c r="E1307" s="52" t="s">
        <v>25</v>
      </c>
      <c r="F1307" s="52" t="s">
        <v>26</v>
      </c>
      <c r="G1307" s="54"/>
    </row>
    <row r="1308">
      <c r="A1308" s="49">
        <v>45034.369515949074</v>
      </c>
      <c r="B1308" s="50">
        <v>45034.4944798958</v>
      </c>
      <c r="C1308" s="51">
        <v>1.048</v>
      </c>
      <c r="D1308" s="51">
        <v>64.0</v>
      </c>
      <c r="E1308" s="52" t="s">
        <v>25</v>
      </c>
      <c r="F1308" s="52" t="s">
        <v>26</v>
      </c>
      <c r="G1308" s="54"/>
    </row>
    <row r="1309">
      <c r="A1309" s="49">
        <v>45034.37993931713</v>
      </c>
      <c r="B1309" s="50">
        <v>45034.5049127893</v>
      </c>
      <c r="C1309" s="51">
        <v>1.048</v>
      </c>
      <c r="D1309" s="51">
        <v>64.0</v>
      </c>
      <c r="E1309" s="52" t="s">
        <v>25</v>
      </c>
      <c r="F1309" s="52" t="s">
        <v>26</v>
      </c>
      <c r="G1309" s="54"/>
    </row>
    <row r="1310">
      <c r="A1310" s="49">
        <v>45034.39050599537</v>
      </c>
      <c r="B1310" s="50">
        <v>45034.5153559722</v>
      </c>
      <c r="C1310" s="51">
        <v>1.048</v>
      </c>
      <c r="D1310" s="51">
        <v>64.0</v>
      </c>
      <c r="E1310" s="52" t="s">
        <v>25</v>
      </c>
      <c r="F1310" s="52" t="s">
        <v>26</v>
      </c>
      <c r="G1310" s="54"/>
    </row>
    <row r="1311">
      <c r="A1311" s="49">
        <v>45034.400802743054</v>
      </c>
      <c r="B1311" s="50">
        <v>45034.5257763194</v>
      </c>
      <c r="C1311" s="51">
        <v>1.048</v>
      </c>
      <c r="D1311" s="51">
        <v>64.0</v>
      </c>
      <c r="E1311" s="52" t="s">
        <v>25</v>
      </c>
      <c r="F1311" s="52" t="s">
        <v>26</v>
      </c>
      <c r="G1311" s="54"/>
    </row>
    <row r="1312">
      <c r="A1312" s="49">
        <v>45034.41121872685</v>
      </c>
      <c r="B1312" s="50">
        <v>45034.5361985648</v>
      </c>
      <c r="C1312" s="51">
        <v>1.048</v>
      </c>
      <c r="D1312" s="51">
        <v>64.0</v>
      </c>
      <c r="E1312" s="52" t="s">
        <v>25</v>
      </c>
      <c r="F1312" s="52" t="s">
        <v>26</v>
      </c>
      <c r="G1312" s="54"/>
    </row>
    <row r="1313">
      <c r="A1313" s="49">
        <v>45034.42166224537</v>
      </c>
      <c r="B1313" s="50">
        <v>45034.5466198495</v>
      </c>
      <c r="C1313" s="51">
        <v>1.048</v>
      </c>
      <c r="D1313" s="51">
        <v>64.0</v>
      </c>
      <c r="E1313" s="52" t="s">
        <v>25</v>
      </c>
      <c r="F1313" s="52" t="s">
        <v>26</v>
      </c>
      <c r="G1313" s="54"/>
    </row>
    <row r="1314">
      <c r="A1314" s="49">
        <v>45034.43208997685</v>
      </c>
      <c r="B1314" s="50">
        <v>45034.5570638425</v>
      </c>
      <c r="C1314" s="51">
        <v>1.048</v>
      </c>
      <c r="D1314" s="51">
        <v>64.0</v>
      </c>
      <c r="E1314" s="52" t="s">
        <v>25</v>
      </c>
      <c r="F1314" s="52" t="s">
        <v>26</v>
      </c>
      <c r="G1314" s="54"/>
    </row>
    <row r="1315">
      <c r="A1315" s="49">
        <v>45034.44254185185</v>
      </c>
      <c r="B1315" s="50">
        <v>45034.5675083333</v>
      </c>
      <c r="C1315" s="51">
        <v>1.048</v>
      </c>
      <c r="D1315" s="51">
        <v>64.0</v>
      </c>
      <c r="E1315" s="52" t="s">
        <v>25</v>
      </c>
      <c r="F1315" s="52" t="s">
        <v>26</v>
      </c>
      <c r="G1315" s="54"/>
    </row>
    <row r="1316">
      <c r="A1316" s="49">
        <v>45034.45297421297</v>
      </c>
      <c r="B1316" s="50">
        <v>45034.5779425115</v>
      </c>
      <c r="C1316" s="51">
        <v>1.048</v>
      </c>
      <c r="D1316" s="51">
        <v>64.0</v>
      </c>
      <c r="E1316" s="52" t="s">
        <v>25</v>
      </c>
      <c r="F1316" s="52" t="s">
        <v>26</v>
      </c>
      <c r="G1316" s="54"/>
    </row>
    <row r="1317">
      <c r="A1317" s="49">
        <v>45034.4634159375</v>
      </c>
      <c r="B1317" s="50">
        <v>45034.5883631018</v>
      </c>
      <c r="C1317" s="51">
        <v>1.048</v>
      </c>
      <c r="D1317" s="51">
        <v>64.0</v>
      </c>
      <c r="E1317" s="52" t="s">
        <v>25</v>
      </c>
      <c r="F1317" s="52" t="s">
        <v>26</v>
      </c>
      <c r="G1317" s="54"/>
    </row>
    <row r="1318">
      <c r="A1318" s="49">
        <v>45034.47381940972</v>
      </c>
      <c r="B1318" s="50">
        <v>45034.5987829398</v>
      </c>
      <c r="C1318" s="51">
        <v>1.048</v>
      </c>
      <c r="D1318" s="51">
        <v>64.0</v>
      </c>
      <c r="E1318" s="52" t="s">
        <v>25</v>
      </c>
      <c r="F1318" s="52" t="s">
        <v>26</v>
      </c>
      <c r="G1318" s="54"/>
    </row>
    <row r="1319">
      <c r="A1319" s="49">
        <v>45034.484229062495</v>
      </c>
      <c r="B1319" s="50">
        <v>45034.6092026273</v>
      </c>
      <c r="C1319" s="51">
        <v>1.048</v>
      </c>
      <c r="D1319" s="51">
        <v>64.0</v>
      </c>
      <c r="E1319" s="52" t="s">
        <v>25</v>
      </c>
      <c r="F1319" s="52" t="s">
        <v>26</v>
      </c>
      <c r="G1319" s="54"/>
    </row>
    <row r="1320">
      <c r="A1320" s="49">
        <v>45034.494650127315</v>
      </c>
      <c r="B1320" s="50">
        <v>45034.619623206</v>
      </c>
      <c r="C1320" s="51">
        <v>1.047</v>
      </c>
      <c r="D1320" s="51">
        <v>64.0</v>
      </c>
      <c r="E1320" s="52" t="s">
        <v>25</v>
      </c>
      <c r="F1320" s="52" t="s">
        <v>26</v>
      </c>
      <c r="G1320" s="54"/>
    </row>
    <row r="1321">
      <c r="A1321" s="49">
        <v>45034.50507966435</v>
      </c>
      <c r="B1321" s="50">
        <v>45034.6300440856</v>
      </c>
      <c r="C1321" s="51">
        <v>1.047</v>
      </c>
      <c r="D1321" s="51">
        <v>64.0</v>
      </c>
      <c r="E1321" s="52" t="s">
        <v>25</v>
      </c>
      <c r="F1321" s="52" t="s">
        <v>26</v>
      </c>
      <c r="G1321" s="54"/>
    </row>
    <row r="1322">
      <c r="A1322" s="49">
        <v>45034.51549046296</v>
      </c>
      <c r="B1322" s="50">
        <v>45034.6404676157</v>
      </c>
      <c r="C1322" s="51">
        <v>1.047</v>
      </c>
      <c r="D1322" s="51">
        <v>64.0</v>
      </c>
      <c r="E1322" s="52" t="s">
        <v>25</v>
      </c>
      <c r="F1322" s="52" t="s">
        <v>26</v>
      </c>
      <c r="G1322" s="54"/>
    </row>
    <row r="1323">
      <c r="A1323" s="49">
        <v>45034.52591813657</v>
      </c>
      <c r="B1323" s="50">
        <v>45034.6508894328</v>
      </c>
      <c r="C1323" s="51">
        <v>1.047</v>
      </c>
      <c r="D1323" s="51">
        <v>64.0</v>
      </c>
      <c r="E1323" s="52" t="s">
        <v>25</v>
      </c>
      <c r="F1323" s="52" t="s">
        <v>26</v>
      </c>
      <c r="G1323" s="54"/>
    </row>
    <row r="1324">
      <c r="A1324" s="49">
        <v>45034.53633145834</v>
      </c>
      <c r="B1324" s="50">
        <v>45034.6613093402</v>
      </c>
      <c r="C1324" s="51">
        <v>1.047</v>
      </c>
      <c r="D1324" s="51">
        <v>64.0</v>
      </c>
      <c r="E1324" s="52" t="s">
        <v>25</v>
      </c>
      <c r="F1324" s="52" t="s">
        <v>26</v>
      </c>
      <c r="G1324" s="54"/>
    </row>
    <row r="1325">
      <c r="A1325" s="49">
        <v>45034.54675216435</v>
      </c>
      <c r="B1325" s="50">
        <v>45034.671729155</v>
      </c>
      <c r="C1325" s="51">
        <v>1.047</v>
      </c>
      <c r="D1325" s="51">
        <v>64.0</v>
      </c>
      <c r="E1325" s="52" t="s">
        <v>25</v>
      </c>
      <c r="F1325" s="52" t="s">
        <v>26</v>
      </c>
      <c r="G1325" s="54"/>
    </row>
    <row r="1326">
      <c r="A1326" s="49">
        <v>45034.55717292824</v>
      </c>
      <c r="B1326" s="50">
        <v>45034.6821508333</v>
      </c>
      <c r="C1326" s="51">
        <v>1.047</v>
      </c>
      <c r="D1326" s="51">
        <v>64.0</v>
      </c>
      <c r="E1326" s="52" t="s">
        <v>25</v>
      </c>
      <c r="F1326" s="52" t="s">
        <v>26</v>
      </c>
      <c r="G1326" s="54"/>
    </row>
    <row r="1327">
      <c r="A1327" s="49">
        <v>45034.567596319444</v>
      </c>
      <c r="B1327" s="50">
        <v>45034.692570787</v>
      </c>
      <c r="C1327" s="51">
        <v>1.047</v>
      </c>
      <c r="D1327" s="51">
        <v>64.0</v>
      </c>
      <c r="E1327" s="52" t="s">
        <v>25</v>
      </c>
      <c r="F1327" s="52" t="s">
        <v>26</v>
      </c>
      <c r="G1327" s="54"/>
    </row>
    <row r="1328">
      <c r="A1328" s="49">
        <v>45034.578012557875</v>
      </c>
      <c r="B1328" s="50">
        <v>45034.7029913657</v>
      </c>
      <c r="C1328" s="51">
        <v>1.047</v>
      </c>
      <c r="D1328" s="51">
        <v>64.0</v>
      </c>
      <c r="E1328" s="52" t="s">
        <v>25</v>
      </c>
      <c r="F1328" s="52" t="s">
        <v>26</v>
      </c>
      <c r="G1328" s="54"/>
    </row>
    <row r="1329">
      <c r="A1329" s="49">
        <v>45034.588434942125</v>
      </c>
      <c r="B1329" s="50">
        <v>45034.713410243</v>
      </c>
      <c r="C1329" s="51">
        <v>1.047</v>
      </c>
      <c r="D1329" s="51">
        <v>64.0</v>
      </c>
      <c r="E1329" s="52" t="s">
        <v>25</v>
      </c>
      <c r="F1329" s="52" t="s">
        <v>26</v>
      </c>
      <c r="G1329" s="54"/>
    </row>
    <row r="1330">
      <c r="A1330" s="49">
        <v>45034.59885971065</v>
      </c>
      <c r="B1330" s="50">
        <v>45034.7238315856</v>
      </c>
      <c r="C1330" s="51">
        <v>1.047</v>
      </c>
      <c r="D1330" s="51">
        <v>64.0</v>
      </c>
      <c r="E1330" s="52" t="s">
        <v>25</v>
      </c>
      <c r="F1330" s="52" t="s">
        <v>26</v>
      </c>
      <c r="G1330" s="54"/>
    </row>
    <row r="1331">
      <c r="A1331" s="49">
        <v>45034.60927907407</v>
      </c>
      <c r="B1331" s="50">
        <v>45034.7342515393</v>
      </c>
      <c r="C1331" s="51">
        <v>1.047</v>
      </c>
      <c r="D1331" s="51">
        <v>64.0</v>
      </c>
      <c r="E1331" s="52" t="s">
        <v>25</v>
      </c>
      <c r="F1331" s="52" t="s">
        <v>26</v>
      </c>
      <c r="G1331" s="54"/>
    </row>
    <row r="1332">
      <c r="A1332" s="49">
        <v>45034.619708819446</v>
      </c>
      <c r="B1332" s="50">
        <v>45034.7446731713</v>
      </c>
      <c r="C1332" s="51">
        <v>1.047</v>
      </c>
      <c r="D1332" s="51">
        <v>64.0</v>
      </c>
      <c r="E1332" s="52" t="s">
        <v>25</v>
      </c>
      <c r="F1332" s="52" t="s">
        <v>26</v>
      </c>
      <c r="G1332" s="54"/>
    </row>
    <row r="1333">
      <c r="A1333" s="49">
        <v>45034.63013491898</v>
      </c>
      <c r="B1333" s="50">
        <v>45034.7551049189</v>
      </c>
      <c r="C1333" s="51">
        <v>1.047</v>
      </c>
      <c r="D1333" s="51">
        <v>64.0</v>
      </c>
      <c r="E1333" s="52" t="s">
        <v>25</v>
      </c>
      <c r="F1333" s="52" t="s">
        <v>26</v>
      </c>
      <c r="G1333" s="54"/>
    </row>
    <row r="1334">
      <c r="A1334" s="49">
        <v>45034.640554513884</v>
      </c>
      <c r="B1334" s="50">
        <v>45034.765525081</v>
      </c>
      <c r="C1334" s="51">
        <v>1.047</v>
      </c>
      <c r="D1334" s="51">
        <v>64.0</v>
      </c>
      <c r="E1334" s="52" t="s">
        <v>25</v>
      </c>
      <c r="F1334" s="52" t="s">
        <v>26</v>
      </c>
      <c r="G1334" s="54"/>
    </row>
    <row r="1335">
      <c r="A1335" s="49">
        <v>45034.65096755787</v>
      </c>
      <c r="B1335" s="50">
        <v>45034.7759464004</v>
      </c>
      <c r="C1335" s="51">
        <v>1.047</v>
      </c>
      <c r="D1335" s="51">
        <v>64.0</v>
      </c>
      <c r="E1335" s="52" t="s">
        <v>25</v>
      </c>
      <c r="F1335" s="52" t="s">
        <v>26</v>
      </c>
      <c r="G1335" s="54"/>
    </row>
    <row r="1336">
      <c r="A1336" s="49">
        <v>45034.66139800926</v>
      </c>
      <c r="B1336" s="50">
        <v>45034.7863680439</v>
      </c>
      <c r="C1336" s="51">
        <v>1.047</v>
      </c>
      <c r="D1336" s="51">
        <v>64.0</v>
      </c>
      <c r="E1336" s="52" t="s">
        <v>25</v>
      </c>
      <c r="F1336" s="52" t="s">
        <v>26</v>
      </c>
      <c r="G1336" s="54"/>
    </row>
    <row r="1337">
      <c r="A1337" s="49">
        <v>45034.671832685184</v>
      </c>
      <c r="B1337" s="50">
        <v>45034.7968014467</v>
      </c>
      <c r="C1337" s="51">
        <v>1.047</v>
      </c>
      <c r="D1337" s="51">
        <v>64.0</v>
      </c>
      <c r="E1337" s="52" t="s">
        <v>25</v>
      </c>
      <c r="F1337" s="52" t="s">
        <v>26</v>
      </c>
      <c r="G1337" s="54"/>
    </row>
    <row r="1338">
      <c r="A1338" s="49">
        <v>45034.682250474536</v>
      </c>
      <c r="B1338" s="50">
        <v>45034.8072227662</v>
      </c>
      <c r="C1338" s="51">
        <v>1.047</v>
      </c>
      <c r="D1338" s="51">
        <v>64.0</v>
      </c>
      <c r="E1338" s="52" t="s">
        <v>25</v>
      </c>
      <c r="F1338" s="52" t="s">
        <v>26</v>
      </c>
      <c r="G1338" s="54"/>
    </row>
    <row r="1339">
      <c r="A1339" s="49">
        <v>45034.69268375</v>
      </c>
      <c r="B1339" s="50">
        <v>45034.8176553935</v>
      </c>
      <c r="C1339" s="51">
        <v>1.047</v>
      </c>
      <c r="D1339" s="51">
        <v>64.0</v>
      </c>
      <c r="E1339" s="52" t="s">
        <v>25</v>
      </c>
      <c r="F1339" s="52" t="s">
        <v>26</v>
      </c>
      <c r="G1339" s="54"/>
    </row>
    <row r="1340">
      <c r="A1340" s="49">
        <v>45034.70310230324</v>
      </c>
      <c r="B1340" s="50">
        <v>45034.828078831</v>
      </c>
      <c r="C1340" s="51">
        <v>1.047</v>
      </c>
      <c r="D1340" s="51">
        <v>64.0</v>
      </c>
      <c r="E1340" s="52" t="s">
        <v>25</v>
      </c>
      <c r="F1340" s="52" t="s">
        <v>26</v>
      </c>
      <c r="G1340" s="54"/>
    </row>
    <row r="1341">
      <c r="A1341" s="49">
        <v>45034.713536400464</v>
      </c>
      <c r="B1341" s="50">
        <v>45034.8385114351</v>
      </c>
      <c r="C1341" s="51">
        <v>1.047</v>
      </c>
      <c r="D1341" s="51">
        <v>64.0</v>
      </c>
      <c r="E1341" s="52" t="s">
        <v>25</v>
      </c>
      <c r="F1341" s="52" t="s">
        <v>26</v>
      </c>
      <c r="G1341" s="54"/>
    </row>
    <row r="1342">
      <c r="A1342" s="49">
        <v>45034.72395388889</v>
      </c>
      <c r="B1342" s="50">
        <v>45034.848931875</v>
      </c>
      <c r="C1342" s="51">
        <v>1.047</v>
      </c>
      <c r="D1342" s="51">
        <v>64.0</v>
      </c>
      <c r="E1342" s="52" t="s">
        <v>25</v>
      </c>
      <c r="F1342" s="52" t="s">
        <v>26</v>
      </c>
      <c r="G1342" s="54"/>
    </row>
    <row r="1343">
      <c r="A1343" s="49">
        <v>45034.734380208334</v>
      </c>
      <c r="B1343" s="50">
        <v>45034.8593534606</v>
      </c>
      <c r="C1343" s="51">
        <v>1.047</v>
      </c>
      <c r="D1343" s="51">
        <v>64.0</v>
      </c>
      <c r="E1343" s="52" t="s">
        <v>25</v>
      </c>
      <c r="F1343" s="52" t="s">
        <v>26</v>
      </c>
      <c r="G1343" s="54"/>
    </row>
    <row r="1344">
      <c r="A1344" s="49">
        <v>45034.74480162037</v>
      </c>
      <c r="B1344" s="50">
        <v>45034.8697764236</v>
      </c>
      <c r="C1344" s="51">
        <v>1.047</v>
      </c>
      <c r="D1344" s="51">
        <v>64.0</v>
      </c>
      <c r="E1344" s="52" t="s">
        <v>25</v>
      </c>
      <c r="F1344" s="52" t="s">
        <v>26</v>
      </c>
      <c r="G1344" s="54"/>
    </row>
    <row r="1345">
      <c r="A1345" s="49">
        <v>45034.755238680555</v>
      </c>
      <c r="B1345" s="50">
        <v>45034.8801999884</v>
      </c>
      <c r="C1345" s="51">
        <v>1.047</v>
      </c>
      <c r="D1345" s="51">
        <v>64.0</v>
      </c>
      <c r="E1345" s="52" t="s">
        <v>25</v>
      </c>
      <c r="F1345" s="52" t="s">
        <v>26</v>
      </c>
      <c r="G1345" s="54"/>
    </row>
    <row r="1346">
      <c r="A1346" s="49">
        <v>45034.765662962964</v>
      </c>
      <c r="B1346" s="50">
        <v>45034.8906202662</v>
      </c>
      <c r="C1346" s="51">
        <v>1.047</v>
      </c>
      <c r="D1346" s="51">
        <v>64.0</v>
      </c>
      <c r="E1346" s="52" t="s">
        <v>25</v>
      </c>
      <c r="F1346" s="52" t="s">
        <v>26</v>
      </c>
      <c r="G1346" s="54"/>
    </row>
    <row r="1347">
      <c r="A1347" s="49">
        <v>45034.776075752314</v>
      </c>
      <c r="B1347" s="50">
        <v>45034.9010519097</v>
      </c>
      <c r="C1347" s="51">
        <v>1.047</v>
      </c>
      <c r="D1347" s="51">
        <v>64.0</v>
      </c>
      <c r="E1347" s="52" t="s">
        <v>25</v>
      </c>
      <c r="F1347" s="52" t="s">
        <v>26</v>
      </c>
      <c r="G1347" s="54"/>
    </row>
    <row r="1348">
      <c r="A1348" s="49">
        <v>45034.78651100694</v>
      </c>
      <c r="B1348" s="50">
        <v>45034.9114847569</v>
      </c>
      <c r="C1348" s="51">
        <v>1.047</v>
      </c>
      <c r="D1348" s="51">
        <v>64.0</v>
      </c>
      <c r="E1348" s="52" t="s">
        <v>25</v>
      </c>
      <c r="F1348" s="52" t="s">
        <v>26</v>
      </c>
      <c r="G1348" s="54"/>
    </row>
    <row r="1349">
      <c r="A1349" s="49">
        <v>45034.796925393515</v>
      </c>
      <c r="B1349" s="50">
        <v>45034.9219052314</v>
      </c>
      <c r="C1349" s="51">
        <v>1.047</v>
      </c>
      <c r="D1349" s="51">
        <v>64.0</v>
      </c>
      <c r="E1349" s="52" t="s">
        <v>25</v>
      </c>
      <c r="F1349" s="52" t="s">
        <v>26</v>
      </c>
      <c r="G1349" s="54"/>
    </row>
    <row r="1350">
      <c r="A1350" s="49">
        <v>45034.80736277778</v>
      </c>
      <c r="B1350" s="50">
        <v>45034.9323379398</v>
      </c>
      <c r="C1350" s="51">
        <v>1.047</v>
      </c>
      <c r="D1350" s="51">
        <v>64.0</v>
      </c>
      <c r="E1350" s="52" t="s">
        <v>25</v>
      </c>
      <c r="F1350" s="52" t="s">
        <v>26</v>
      </c>
      <c r="G1350" s="54"/>
    </row>
    <row r="1351">
      <c r="A1351" s="49">
        <v>45034.817791967595</v>
      </c>
      <c r="B1351" s="50">
        <v>45034.9427609722</v>
      </c>
      <c r="C1351" s="51">
        <v>1.047</v>
      </c>
      <c r="D1351" s="51">
        <v>64.0</v>
      </c>
      <c r="E1351" s="52" t="s">
        <v>25</v>
      </c>
      <c r="F1351" s="52" t="s">
        <v>26</v>
      </c>
      <c r="G1351" s="54"/>
    </row>
    <row r="1352">
      <c r="A1352" s="49">
        <v>45034.82820744213</v>
      </c>
      <c r="B1352" s="50">
        <v>45034.9531826157</v>
      </c>
      <c r="C1352" s="51">
        <v>1.047</v>
      </c>
      <c r="D1352" s="51">
        <v>64.0</v>
      </c>
      <c r="E1352" s="52" t="s">
        <v>25</v>
      </c>
      <c r="F1352" s="52" t="s">
        <v>26</v>
      </c>
      <c r="G1352" s="54"/>
    </row>
    <row r="1353">
      <c r="A1353" s="49">
        <v>45034.83862439815</v>
      </c>
      <c r="B1353" s="50">
        <v>45034.9636041435</v>
      </c>
      <c r="C1353" s="51">
        <v>1.047</v>
      </c>
      <c r="D1353" s="51">
        <v>64.0</v>
      </c>
      <c r="E1353" s="52" t="s">
        <v>25</v>
      </c>
      <c r="F1353" s="52" t="s">
        <v>26</v>
      </c>
      <c r="G1353" s="54"/>
    </row>
    <row r="1354">
      <c r="A1354" s="49">
        <v>45034.84905892361</v>
      </c>
      <c r="B1354" s="50">
        <v>45034.974025868</v>
      </c>
      <c r="C1354" s="51">
        <v>1.047</v>
      </c>
      <c r="D1354" s="51">
        <v>64.0</v>
      </c>
      <c r="E1354" s="52" t="s">
        <v>25</v>
      </c>
      <c r="F1354" s="52" t="s">
        <v>26</v>
      </c>
      <c r="G1354" s="54"/>
    </row>
    <row r="1355">
      <c r="A1355" s="49">
        <v>45034.85946825231</v>
      </c>
      <c r="B1355" s="50">
        <v>45034.9844488194</v>
      </c>
      <c r="C1355" s="51">
        <v>1.047</v>
      </c>
      <c r="D1355" s="51">
        <v>64.0</v>
      </c>
      <c r="E1355" s="52" t="s">
        <v>25</v>
      </c>
      <c r="F1355" s="52" t="s">
        <v>26</v>
      </c>
      <c r="G1355" s="54"/>
    </row>
    <row r="1356">
      <c r="A1356" s="49">
        <v>45034.86990171296</v>
      </c>
      <c r="B1356" s="50">
        <v>45034.9948695023</v>
      </c>
      <c r="C1356" s="51">
        <v>1.047</v>
      </c>
      <c r="D1356" s="51">
        <v>64.0</v>
      </c>
      <c r="E1356" s="52" t="s">
        <v>25</v>
      </c>
      <c r="F1356" s="52" t="s">
        <v>26</v>
      </c>
      <c r="G1356" s="54"/>
    </row>
    <row r="1357">
      <c r="A1357" s="49">
        <v>45034.88032373843</v>
      </c>
      <c r="B1357" s="50">
        <v>45035.0052894444</v>
      </c>
      <c r="C1357" s="51">
        <v>1.046</v>
      </c>
      <c r="D1357" s="51">
        <v>64.0</v>
      </c>
      <c r="E1357" s="52" t="s">
        <v>25</v>
      </c>
      <c r="F1357" s="52" t="s">
        <v>26</v>
      </c>
      <c r="G1357" s="54"/>
    </row>
    <row r="1358">
      <c r="A1358" s="49">
        <v>45034.89073424769</v>
      </c>
      <c r="B1358" s="50">
        <v>45035.0157092939</v>
      </c>
      <c r="C1358" s="51">
        <v>1.046</v>
      </c>
      <c r="D1358" s="51">
        <v>64.0</v>
      </c>
      <c r="E1358" s="52" t="s">
        <v>25</v>
      </c>
      <c r="F1358" s="52" t="s">
        <v>26</v>
      </c>
      <c r="G1358" s="54"/>
    </row>
    <row r="1359">
      <c r="A1359" s="49">
        <v>45034.90115280093</v>
      </c>
      <c r="B1359" s="50">
        <v>45035.0261303472</v>
      </c>
      <c r="C1359" s="51">
        <v>1.047</v>
      </c>
      <c r="D1359" s="51">
        <v>64.0</v>
      </c>
      <c r="E1359" s="52" t="s">
        <v>25</v>
      </c>
      <c r="F1359" s="52" t="s">
        <v>26</v>
      </c>
      <c r="G1359" s="54"/>
    </row>
    <row r="1360">
      <c r="A1360" s="49">
        <v>45034.911584166664</v>
      </c>
      <c r="B1360" s="50">
        <v>45035.0365516435</v>
      </c>
      <c r="C1360" s="51">
        <v>1.046</v>
      </c>
      <c r="D1360" s="51">
        <v>64.0</v>
      </c>
      <c r="E1360" s="52" t="s">
        <v>25</v>
      </c>
      <c r="F1360" s="52" t="s">
        <v>26</v>
      </c>
      <c r="G1360" s="54"/>
    </row>
    <row r="1361">
      <c r="A1361" s="49">
        <v>45034.92200519676</v>
      </c>
      <c r="B1361" s="50">
        <v>45035.0469865625</v>
      </c>
      <c r="C1361" s="51">
        <v>1.046</v>
      </c>
      <c r="D1361" s="51">
        <v>64.0</v>
      </c>
      <c r="E1361" s="52" t="s">
        <v>25</v>
      </c>
      <c r="F1361" s="52" t="s">
        <v>26</v>
      </c>
      <c r="G1361" s="54"/>
    </row>
    <row r="1362">
      <c r="A1362" s="49">
        <v>45034.932432685186</v>
      </c>
      <c r="B1362" s="50">
        <v>45035.0574070138</v>
      </c>
      <c r="C1362" s="51">
        <v>1.046</v>
      </c>
      <c r="D1362" s="51">
        <v>64.0</v>
      </c>
      <c r="E1362" s="52" t="s">
        <v>25</v>
      </c>
      <c r="F1362" s="52" t="s">
        <v>26</v>
      </c>
      <c r="G1362" s="54"/>
    </row>
    <row r="1363">
      <c r="A1363" s="49">
        <v>45034.942846562495</v>
      </c>
      <c r="B1363" s="50">
        <v>45035.0678269097</v>
      </c>
      <c r="C1363" s="51">
        <v>1.046</v>
      </c>
      <c r="D1363" s="51">
        <v>64.0</v>
      </c>
      <c r="E1363" s="52" t="s">
        <v>25</v>
      </c>
      <c r="F1363" s="52" t="s">
        <v>26</v>
      </c>
      <c r="G1363" s="54"/>
    </row>
    <row r="1364">
      <c r="A1364" s="49">
        <v>45034.95327616898</v>
      </c>
      <c r="B1364" s="50">
        <v>45035.0782475578</v>
      </c>
      <c r="C1364" s="51">
        <v>1.046</v>
      </c>
      <c r="D1364" s="51">
        <v>64.0</v>
      </c>
      <c r="E1364" s="52" t="s">
        <v>25</v>
      </c>
      <c r="F1364" s="52" t="s">
        <v>26</v>
      </c>
      <c r="G1364" s="54"/>
    </row>
    <row r="1365">
      <c r="A1365" s="49">
        <v>45034.96369664352</v>
      </c>
      <c r="B1365" s="50">
        <v>45035.0886687037</v>
      </c>
      <c r="C1365" s="51">
        <v>1.046</v>
      </c>
      <c r="D1365" s="51">
        <v>64.0</v>
      </c>
      <c r="E1365" s="52" t="s">
        <v>25</v>
      </c>
      <c r="F1365" s="52" t="s">
        <v>26</v>
      </c>
      <c r="G1365" s="54"/>
    </row>
    <row r="1366">
      <c r="A1366" s="49">
        <v>45034.974118611106</v>
      </c>
      <c r="B1366" s="50">
        <v>45035.0990896759</v>
      </c>
      <c r="C1366" s="51">
        <v>1.046</v>
      </c>
      <c r="D1366" s="51">
        <v>64.0</v>
      </c>
      <c r="E1366" s="52" t="s">
        <v>25</v>
      </c>
      <c r="F1366" s="52" t="s">
        <v>26</v>
      </c>
      <c r="G1366" s="54"/>
    </row>
    <row r="1367">
      <c r="A1367" s="49">
        <v>45034.98453439814</v>
      </c>
      <c r="B1367" s="50">
        <v>45035.1095117361</v>
      </c>
      <c r="C1367" s="51">
        <v>1.046</v>
      </c>
      <c r="D1367" s="51">
        <v>64.0</v>
      </c>
      <c r="E1367" s="52" t="s">
        <v>25</v>
      </c>
      <c r="F1367" s="52" t="s">
        <v>26</v>
      </c>
      <c r="G1367" s="54"/>
    </row>
    <row r="1368">
      <c r="A1368" s="49">
        <v>45034.99495721065</v>
      </c>
      <c r="B1368" s="50">
        <v>45035.119933368</v>
      </c>
      <c r="C1368" s="51">
        <v>1.046</v>
      </c>
      <c r="D1368" s="51">
        <v>64.0</v>
      </c>
      <c r="E1368" s="52" t="s">
        <v>25</v>
      </c>
      <c r="F1368" s="52" t="s">
        <v>26</v>
      </c>
      <c r="G1368" s="54"/>
    </row>
    <row r="1369">
      <c r="A1369" s="49">
        <v>45035.00537932871</v>
      </c>
      <c r="B1369" s="50">
        <v>45035.1303549537</v>
      </c>
      <c r="C1369" s="51">
        <v>1.046</v>
      </c>
      <c r="D1369" s="51">
        <v>64.0</v>
      </c>
      <c r="E1369" s="52" t="s">
        <v>25</v>
      </c>
      <c r="F1369" s="52" t="s">
        <v>26</v>
      </c>
      <c r="G1369" s="54"/>
    </row>
    <row r="1370">
      <c r="A1370" s="49">
        <v>45035.01580020833</v>
      </c>
      <c r="B1370" s="50">
        <v>45035.1407769675</v>
      </c>
      <c r="C1370" s="51">
        <v>1.046</v>
      </c>
      <c r="D1370" s="51">
        <v>64.0</v>
      </c>
      <c r="E1370" s="52" t="s">
        <v>25</v>
      </c>
      <c r="F1370" s="52" t="s">
        <v>26</v>
      </c>
      <c r="G1370" s="54"/>
    </row>
    <row r="1371">
      <c r="A1371" s="49">
        <v>45035.026218506944</v>
      </c>
      <c r="B1371" s="50">
        <v>45035.1511968171</v>
      </c>
      <c r="C1371" s="51">
        <v>1.046</v>
      </c>
      <c r="D1371" s="51">
        <v>64.0</v>
      </c>
      <c r="E1371" s="52" t="s">
        <v>25</v>
      </c>
      <c r="F1371" s="52" t="s">
        <v>26</v>
      </c>
      <c r="G1371" s="54"/>
    </row>
    <row r="1372">
      <c r="A1372" s="49">
        <v>45035.036645</v>
      </c>
      <c r="B1372" s="50">
        <v>45035.1616175463</v>
      </c>
      <c r="C1372" s="51">
        <v>1.046</v>
      </c>
      <c r="D1372" s="51">
        <v>64.0</v>
      </c>
      <c r="E1372" s="52" t="s">
        <v>25</v>
      </c>
      <c r="F1372" s="52" t="s">
        <v>26</v>
      </c>
      <c r="G1372" s="54"/>
    </row>
    <row r="1373">
      <c r="A1373" s="49">
        <v>45035.047062604164</v>
      </c>
      <c r="B1373" s="50">
        <v>45035.1720383217</v>
      </c>
      <c r="C1373" s="51">
        <v>1.046</v>
      </c>
      <c r="D1373" s="51">
        <v>64.0</v>
      </c>
      <c r="E1373" s="52" t="s">
        <v>25</v>
      </c>
      <c r="F1373" s="52" t="s">
        <v>26</v>
      </c>
      <c r="G1373" s="54"/>
    </row>
    <row r="1374">
      <c r="A1374" s="49">
        <v>45035.05748293981</v>
      </c>
      <c r="B1374" s="50">
        <v>45035.1824592129</v>
      </c>
      <c r="C1374" s="51">
        <v>1.046</v>
      </c>
      <c r="D1374" s="51">
        <v>64.0</v>
      </c>
      <c r="E1374" s="52" t="s">
        <v>25</v>
      </c>
      <c r="F1374" s="52" t="s">
        <v>26</v>
      </c>
      <c r="G1374" s="54"/>
    </row>
    <row r="1375">
      <c r="A1375" s="49">
        <v>45035.0679103588</v>
      </c>
      <c r="B1375" s="50">
        <v>45035.1928807754</v>
      </c>
      <c r="C1375" s="51">
        <v>1.046</v>
      </c>
      <c r="D1375" s="51">
        <v>64.0</v>
      </c>
      <c r="E1375" s="52" t="s">
        <v>25</v>
      </c>
      <c r="F1375" s="52" t="s">
        <v>26</v>
      </c>
      <c r="G1375" s="54"/>
    </row>
    <row r="1376">
      <c r="A1376" s="49">
        <v>45035.078325995375</v>
      </c>
      <c r="B1376" s="50">
        <v>45035.2033024537</v>
      </c>
      <c r="C1376" s="51">
        <v>1.046</v>
      </c>
      <c r="D1376" s="51">
        <v>64.0</v>
      </c>
      <c r="E1376" s="52" t="s">
        <v>25</v>
      </c>
      <c r="F1376" s="52" t="s">
        <v>26</v>
      </c>
      <c r="G1376" s="54"/>
    </row>
    <row r="1377">
      <c r="A1377" s="49">
        <v>45035.088754780096</v>
      </c>
      <c r="B1377" s="50">
        <v>45035.2137245023</v>
      </c>
      <c r="C1377" s="51">
        <v>1.046</v>
      </c>
      <c r="D1377" s="51">
        <v>64.0</v>
      </c>
      <c r="E1377" s="52" t="s">
        <v>25</v>
      </c>
      <c r="F1377" s="52" t="s">
        <v>26</v>
      </c>
      <c r="G1377" s="54"/>
    </row>
    <row r="1378">
      <c r="A1378" s="49">
        <v>45035.099178819444</v>
      </c>
      <c r="B1378" s="50">
        <v>45035.2241577662</v>
      </c>
      <c r="C1378" s="51">
        <v>1.046</v>
      </c>
      <c r="D1378" s="51">
        <v>64.0</v>
      </c>
      <c r="E1378" s="52" t="s">
        <v>25</v>
      </c>
      <c r="F1378" s="52" t="s">
        <v>26</v>
      </c>
      <c r="G1378" s="54"/>
    </row>
    <row r="1379">
      <c r="A1379" s="49">
        <v>45035.109612430555</v>
      </c>
      <c r="B1379" s="50">
        <v>45035.2345780208</v>
      </c>
      <c r="C1379" s="51">
        <v>1.046</v>
      </c>
      <c r="D1379" s="51">
        <v>64.0</v>
      </c>
      <c r="E1379" s="52" t="s">
        <v>25</v>
      </c>
      <c r="F1379" s="52" t="s">
        <v>26</v>
      </c>
      <c r="G1379" s="54"/>
    </row>
    <row r="1380">
      <c r="A1380" s="49">
        <v>45035.120033125</v>
      </c>
      <c r="B1380" s="50">
        <v>45035.2450109143</v>
      </c>
      <c r="C1380" s="51">
        <v>1.046</v>
      </c>
      <c r="D1380" s="51">
        <v>64.0</v>
      </c>
      <c r="E1380" s="52" t="s">
        <v>25</v>
      </c>
      <c r="F1380" s="52" t="s">
        <v>26</v>
      </c>
      <c r="G1380" s="54"/>
    </row>
    <row r="1381">
      <c r="A1381" s="49">
        <v>45035.13046357639</v>
      </c>
      <c r="B1381" s="50">
        <v>45035.2554335069</v>
      </c>
      <c r="C1381" s="51">
        <v>1.046</v>
      </c>
      <c r="D1381" s="51">
        <v>64.0</v>
      </c>
      <c r="E1381" s="52" t="s">
        <v>25</v>
      </c>
      <c r="F1381" s="52" t="s">
        <v>26</v>
      </c>
      <c r="G1381" s="54"/>
    </row>
    <row r="1382">
      <c r="A1382" s="49">
        <v>45035.140902743056</v>
      </c>
      <c r="B1382" s="50">
        <v>45035.2658551851</v>
      </c>
      <c r="C1382" s="51">
        <v>1.046</v>
      </c>
      <c r="D1382" s="51">
        <v>64.0</v>
      </c>
      <c r="E1382" s="52" t="s">
        <v>25</v>
      </c>
      <c r="F1382" s="52" t="s">
        <v>26</v>
      </c>
      <c r="G1382" s="54"/>
    </row>
    <row r="1383">
      <c r="A1383" s="49">
        <v>45035.15130394676</v>
      </c>
      <c r="B1383" s="50">
        <v>45035.2762763425</v>
      </c>
      <c r="C1383" s="51">
        <v>1.046</v>
      </c>
      <c r="D1383" s="51">
        <v>64.0</v>
      </c>
      <c r="E1383" s="52" t="s">
        <v>25</v>
      </c>
      <c r="F1383" s="52" t="s">
        <v>26</v>
      </c>
      <c r="G1383" s="54"/>
    </row>
    <row r="1384">
      <c r="A1384" s="49">
        <v>45035.16172321759</v>
      </c>
      <c r="B1384" s="50">
        <v>45035.2866966435</v>
      </c>
      <c r="C1384" s="51">
        <v>1.046</v>
      </c>
      <c r="D1384" s="51">
        <v>64.0</v>
      </c>
      <c r="E1384" s="52" t="s">
        <v>25</v>
      </c>
      <c r="F1384" s="52" t="s">
        <v>26</v>
      </c>
      <c r="G1384" s="54"/>
    </row>
    <row r="1385">
      <c r="A1385" s="49">
        <v>45035.172153761574</v>
      </c>
      <c r="B1385" s="50">
        <v>45035.2971172569</v>
      </c>
      <c r="C1385" s="51">
        <v>1.046</v>
      </c>
      <c r="D1385" s="51">
        <v>64.0</v>
      </c>
      <c r="E1385" s="52" t="s">
        <v>25</v>
      </c>
      <c r="F1385" s="52" t="s">
        <v>26</v>
      </c>
      <c r="G1385" s="54"/>
    </row>
    <row r="1386">
      <c r="A1386" s="49">
        <v>45035.182562766204</v>
      </c>
      <c r="B1386" s="50">
        <v>45035.3075388773</v>
      </c>
      <c r="C1386" s="51">
        <v>1.046</v>
      </c>
      <c r="D1386" s="51">
        <v>64.0</v>
      </c>
      <c r="E1386" s="52" t="s">
        <v>25</v>
      </c>
      <c r="F1386" s="52" t="s">
        <v>26</v>
      </c>
      <c r="G1386" s="54"/>
    </row>
    <row r="1387">
      <c r="A1387" s="49">
        <v>45035.192981134256</v>
      </c>
      <c r="B1387" s="50">
        <v>45035.3179602314</v>
      </c>
      <c r="C1387" s="51">
        <v>1.046</v>
      </c>
      <c r="D1387" s="51">
        <v>64.0</v>
      </c>
      <c r="E1387" s="52" t="s">
        <v>25</v>
      </c>
      <c r="F1387" s="52" t="s">
        <v>26</v>
      </c>
      <c r="G1387" s="54"/>
    </row>
    <row r="1388">
      <c r="A1388" s="49">
        <v>45035.20340396991</v>
      </c>
      <c r="B1388" s="50">
        <v>45035.3283807523</v>
      </c>
      <c r="C1388" s="51">
        <v>1.046</v>
      </c>
      <c r="D1388" s="51">
        <v>64.0</v>
      </c>
      <c r="E1388" s="52" t="s">
        <v>25</v>
      </c>
      <c r="F1388" s="52" t="s">
        <v>26</v>
      </c>
      <c r="G1388" s="54"/>
    </row>
    <row r="1389">
      <c r="A1389" s="49">
        <v>45035.213821157406</v>
      </c>
      <c r="B1389" s="50">
        <v>45035.3388012384</v>
      </c>
      <c r="C1389" s="51">
        <v>1.046</v>
      </c>
      <c r="D1389" s="51">
        <v>64.0</v>
      </c>
      <c r="E1389" s="52" t="s">
        <v>25</v>
      </c>
      <c r="F1389" s="52" t="s">
        <v>26</v>
      </c>
      <c r="G1389" s="54"/>
    </row>
    <row r="1390">
      <c r="A1390" s="49">
        <v>45035.224256319445</v>
      </c>
      <c r="B1390" s="50">
        <v>45035.3492225463</v>
      </c>
      <c r="C1390" s="51">
        <v>1.046</v>
      </c>
      <c r="D1390" s="51">
        <v>64.0</v>
      </c>
      <c r="E1390" s="52" t="s">
        <v>25</v>
      </c>
      <c r="F1390" s="52" t="s">
        <v>26</v>
      </c>
      <c r="G1390" s="54"/>
    </row>
    <row r="1391">
      <c r="A1391" s="49">
        <v>45035.23467520833</v>
      </c>
      <c r="B1391" s="50">
        <v>45035.3596432986</v>
      </c>
      <c r="C1391" s="51">
        <v>1.046</v>
      </c>
      <c r="D1391" s="51">
        <v>64.0</v>
      </c>
      <c r="E1391" s="52" t="s">
        <v>25</v>
      </c>
      <c r="F1391" s="52" t="s">
        <v>26</v>
      </c>
      <c r="G1391" s="54"/>
    </row>
    <row r="1392">
      <c r="A1392" s="49">
        <v>45035.24511555556</v>
      </c>
      <c r="B1392" s="50">
        <v>45035.3700869328</v>
      </c>
      <c r="C1392" s="51">
        <v>1.046</v>
      </c>
      <c r="D1392" s="51">
        <v>64.0</v>
      </c>
      <c r="E1392" s="52" t="s">
        <v>25</v>
      </c>
      <c r="F1392" s="52" t="s">
        <v>26</v>
      </c>
      <c r="G1392" s="54"/>
    </row>
    <row r="1393">
      <c r="A1393" s="49">
        <v>45035.25554238426</v>
      </c>
      <c r="B1393" s="50">
        <v>45035.3805209606</v>
      </c>
      <c r="C1393" s="51">
        <v>1.046</v>
      </c>
      <c r="D1393" s="51">
        <v>64.0</v>
      </c>
      <c r="E1393" s="52" t="s">
        <v>25</v>
      </c>
      <c r="F1393" s="52" t="s">
        <v>26</v>
      </c>
      <c r="G1393" s="54"/>
    </row>
    <row r="1394">
      <c r="A1394" s="49">
        <v>45035.265965416664</v>
      </c>
      <c r="B1394" s="50">
        <v>45035.3909415277</v>
      </c>
      <c r="C1394" s="51">
        <v>1.046</v>
      </c>
      <c r="D1394" s="51">
        <v>64.0</v>
      </c>
      <c r="E1394" s="52" t="s">
        <v>25</v>
      </c>
      <c r="F1394" s="52" t="s">
        <v>26</v>
      </c>
      <c r="G1394" s="54"/>
    </row>
    <row r="1395">
      <c r="A1395" s="49">
        <v>45035.27639287037</v>
      </c>
      <c r="B1395" s="50">
        <v>45035.4013631712</v>
      </c>
      <c r="C1395" s="51">
        <v>1.045</v>
      </c>
      <c r="D1395" s="51">
        <v>64.0</v>
      </c>
      <c r="E1395" s="52" t="s">
        <v>25</v>
      </c>
      <c r="F1395" s="52" t="s">
        <v>26</v>
      </c>
      <c r="G1395" s="54"/>
    </row>
    <row r="1396">
      <c r="A1396" s="49">
        <v>45035.28680652777</v>
      </c>
      <c r="B1396" s="50">
        <v>45035.411783206</v>
      </c>
      <c r="C1396" s="51">
        <v>1.045</v>
      </c>
      <c r="D1396" s="51">
        <v>64.0</v>
      </c>
      <c r="E1396" s="52" t="s">
        <v>25</v>
      </c>
      <c r="F1396" s="52" t="s">
        <v>26</v>
      </c>
      <c r="G1396" s="54"/>
    </row>
    <row r="1397">
      <c r="A1397" s="49">
        <v>45035.29723140046</v>
      </c>
      <c r="B1397" s="50">
        <v>45035.4222042013</v>
      </c>
      <c r="C1397" s="51">
        <v>1.045</v>
      </c>
      <c r="D1397" s="51">
        <v>63.0</v>
      </c>
      <c r="E1397" s="52" t="s">
        <v>25</v>
      </c>
      <c r="F1397" s="52" t="s">
        <v>26</v>
      </c>
      <c r="G1397" s="54"/>
    </row>
    <row r="1398">
      <c r="A1398" s="49">
        <v>45035.30765353009</v>
      </c>
      <c r="B1398" s="50">
        <v>45035.4326272222</v>
      </c>
      <c r="C1398" s="51">
        <v>1.045</v>
      </c>
      <c r="D1398" s="51">
        <v>64.0</v>
      </c>
      <c r="E1398" s="52" t="s">
        <v>25</v>
      </c>
      <c r="F1398" s="52" t="s">
        <v>26</v>
      </c>
      <c r="G1398" s="54"/>
    </row>
    <row r="1399">
      <c r="A1399" s="49">
        <v>45035.31809008102</v>
      </c>
      <c r="B1399" s="50">
        <v>45035.4430603009</v>
      </c>
      <c r="C1399" s="51">
        <v>1.045</v>
      </c>
      <c r="D1399" s="51">
        <v>63.0</v>
      </c>
      <c r="E1399" s="52" t="s">
        <v>25</v>
      </c>
      <c r="F1399" s="52" t="s">
        <v>26</v>
      </c>
      <c r="G1399" s="54"/>
    </row>
    <row r="1400">
      <c r="A1400" s="49">
        <v>45035.328512708336</v>
      </c>
      <c r="B1400" s="50">
        <v>45035.4534820254</v>
      </c>
      <c r="C1400" s="51">
        <v>1.045</v>
      </c>
      <c r="D1400" s="51">
        <v>63.0</v>
      </c>
      <c r="E1400" s="52" t="s">
        <v>25</v>
      </c>
      <c r="F1400" s="52" t="s">
        <v>26</v>
      </c>
      <c r="G1400" s="54"/>
    </row>
    <row r="1401">
      <c r="A1401" s="49">
        <v>45035.34934576389</v>
      </c>
      <c r="B1401" s="50">
        <v>45035.4743222569</v>
      </c>
      <c r="C1401" s="51">
        <v>1.045</v>
      </c>
      <c r="D1401" s="51">
        <v>63.0</v>
      </c>
      <c r="E1401" s="52" t="s">
        <v>25</v>
      </c>
      <c r="F1401" s="52" t="s">
        <v>26</v>
      </c>
      <c r="G1401" s="54"/>
    </row>
    <row r="1402">
      <c r="A1402" s="49">
        <v>45035.359765601854</v>
      </c>
      <c r="B1402" s="50">
        <v>45035.484742118</v>
      </c>
      <c r="C1402" s="51">
        <v>1.045</v>
      </c>
      <c r="D1402" s="51">
        <v>63.0</v>
      </c>
      <c r="E1402" s="52" t="s">
        <v>25</v>
      </c>
      <c r="F1402" s="52" t="s">
        <v>26</v>
      </c>
      <c r="G1402" s="54"/>
    </row>
    <row r="1403">
      <c r="A1403" s="49">
        <v>45035.38060305556</v>
      </c>
      <c r="B1403" s="50">
        <v>45035.5055837152</v>
      </c>
      <c r="C1403" s="51">
        <v>1.045</v>
      </c>
      <c r="D1403" s="51">
        <v>63.0</v>
      </c>
      <c r="E1403" s="52" t="s">
        <v>25</v>
      </c>
      <c r="F1403" s="52" t="s">
        <v>26</v>
      </c>
      <c r="G1403" s="54"/>
    </row>
    <row r="1404">
      <c r="A1404" s="49">
        <v>45035.39103190972</v>
      </c>
      <c r="B1404" s="50">
        <v>45035.5160052314</v>
      </c>
      <c r="C1404" s="51">
        <v>1.045</v>
      </c>
      <c r="D1404" s="51">
        <v>63.0</v>
      </c>
      <c r="E1404" s="52" t="s">
        <v>25</v>
      </c>
      <c r="F1404" s="52" t="s">
        <v>26</v>
      </c>
      <c r="G1404" s="54"/>
    </row>
    <row r="1405">
      <c r="A1405" s="49">
        <v>45035.40144717593</v>
      </c>
      <c r="B1405" s="50">
        <v>45035.5264269675</v>
      </c>
      <c r="C1405" s="51">
        <v>1.045</v>
      </c>
      <c r="D1405" s="51">
        <v>63.0</v>
      </c>
      <c r="E1405" s="52" t="s">
        <v>25</v>
      </c>
      <c r="F1405" s="52" t="s">
        <v>26</v>
      </c>
      <c r="G1405" s="54"/>
    </row>
    <row r="1406">
      <c r="A1406" s="49">
        <v>45035.411883622684</v>
      </c>
      <c r="B1406" s="50">
        <v>45035.5368487847</v>
      </c>
      <c r="C1406" s="51">
        <v>1.045</v>
      </c>
      <c r="D1406" s="51">
        <v>63.0</v>
      </c>
      <c r="E1406" s="52" t="s">
        <v>25</v>
      </c>
      <c r="F1406" s="52" t="s">
        <v>26</v>
      </c>
      <c r="G1406" s="54"/>
    </row>
    <row r="1407">
      <c r="A1407" s="49">
        <v>45035.422299328704</v>
      </c>
      <c r="B1407" s="50">
        <v>45035.5472711458</v>
      </c>
      <c r="C1407" s="51">
        <v>1.045</v>
      </c>
      <c r="D1407" s="51">
        <v>63.0</v>
      </c>
      <c r="E1407" s="52" t="s">
        <v>25</v>
      </c>
      <c r="F1407" s="52" t="s">
        <v>26</v>
      </c>
      <c r="G1407" s="54"/>
    </row>
    <row r="1408">
      <c r="A1408" s="49">
        <v>45035.43273207176</v>
      </c>
      <c r="B1408" s="50">
        <v>45035.5577034606</v>
      </c>
      <c r="C1408" s="51">
        <v>1.045</v>
      </c>
      <c r="D1408" s="51">
        <v>63.0</v>
      </c>
      <c r="E1408" s="52" t="s">
        <v>25</v>
      </c>
      <c r="F1408" s="52" t="s">
        <v>26</v>
      </c>
      <c r="G1408" s="54"/>
    </row>
    <row r="1409">
      <c r="A1409" s="49">
        <v>45035.443159629634</v>
      </c>
      <c r="B1409" s="50">
        <v>45035.5681374421</v>
      </c>
      <c r="C1409" s="51">
        <v>1.045</v>
      </c>
      <c r="D1409" s="51">
        <v>63.0</v>
      </c>
      <c r="E1409" s="52" t="s">
        <v>25</v>
      </c>
      <c r="F1409" s="52" t="s">
        <v>26</v>
      </c>
      <c r="G1409" s="54"/>
    </row>
    <row r="1410">
      <c r="A1410" s="49">
        <v>45035.45358721065</v>
      </c>
      <c r="B1410" s="50">
        <v>45035.5785600347</v>
      </c>
      <c r="C1410" s="51">
        <v>1.045</v>
      </c>
      <c r="D1410" s="51">
        <v>63.0</v>
      </c>
      <c r="E1410" s="52" t="s">
        <v>25</v>
      </c>
      <c r="F1410" s="52" t="s">
        <v>26</v>
      </c>
      <c r="G1410" s="54"/>
    </row>
    <row r="1411">
      <c r="A1411" s="49">
        <v>45035.46400152778</v>
      </c>
      <c r="B1411" s="50">
        <v>45035.588980868</v>
      </c>
      <c r="C1411" s="51">
        <v>1.045</v>
      </c>
      <c r="D1411" s="51">
        <v>63.0</v>
      </c>
      <c r="E1411" s="52" t="s">
        <v>25</v>
      </c>
      <c r="F1411" s="52" t="s">
        <v>26</v>
      </c>
      <c r="G1411" s="54"/>
    </row>
    <row r="1412">
      <c r="A1412" s="49">
        <v>45035.47443962963</v>
      </c>
      <c r="B1412" s="50">
        <v>45035.5994133449</v>
      </c>
      <c r="C1412" s="51">
        <v>1.045</v>
      </c>
      <c r="D1412" s="51">
        <v>63.0</v>
      </c>
      <c r="E1412" s="52" t="s">
        <v>25</v>
      </c>
      <c r="F1412" s="52" t="s">
        <v>26</v>
      </c>
      <c r="G1412" s="54"/>
    </row>
    <row r="1413">
      <c r="A1413" s="49">
        <v>45035.4848596875</v>
      </c>
      <c r="B1413" s="50">
        <v>45035.6098345486</v>
      </c>
      <c r="C1413" s="51">
        <v>1.045</v>
      </c>
      <c r="D1413" s="51">
        <v>63.0</v>
      </c>
      <c r="E1413" s="52" t="s">
        <v>25</v>
      </c>
      <c r="F1413" s="52" t="s">
        <v>26</v>
      </c>
      <c r="G1413" s="54"/>
    </row>
    <row r="1414">
      <c r="A1414" s="49">
        <v>45035.49529663194</v>
      </c>
      <c r="B1414" s="50">
        <v>45035.6202775115</v>
      </c>
      <c r="C1414" s="51">
        <v>1.045</v>
      </c>
      <c r="D1414" s="51">
        <v>63.0</v>
      </c>
      <c r="E1414" s="52" t="s">
        <v>25</v>
      </c>
      <c r="F1414" s="52" t="s">
        <v>26</v>
      </c>
      <c r="G1414" s="54"/>
    </row>
    <row r="1415">
      <c r="A1415" s="49">
        <v>45035.50572810185</v>
      </c>
      <c r="B1415" s="50">
        <v>45035.6307001273</v>
      </c>
      <c r="C1415" s="51">
        <v>1.045</v>
      </c>
      <c r="D1415" s="51">
        <v>63.0</v>
      </c>
      <c r="E1415" s="52" t="s">
        <v>25</v>
      </c>
      <c r="F1415" s="52" t="s">
        <v>26</v>
      </c>
      <c r="G1415" s="54"/>
    </row>
    <row r="1416">
      <c r="A1416" s="49">
        <v>45035.51614436343</v>
      </c>
      <c r="B1416" s="50">
        <v>45035.6411231365</v>
      </c>
      <c r="C1416" s="51">
        <v>1.045</v>
      </c>
      <c r="D1416" s="51">
        <v>63.0</v>
      </c>
      <c r="E1416" s="52" t="s">
        <v>25</v>
      </c>
      <c r="F1416" s="52" t="s">
        <v>26</v>
      </c>
      <c r="G1416" s="54"/>
    </row>
    <row r="1417">
      <c r="A1417" s="49">
        <v>45035.52657263889</v>
      </c>
      <c r="B1417" s="50">
        <v>45035.651544618</v>
      </c>
      <c r="C1417" s="51">
        <v>1.045</v>
      </c>
      <c r="D1417" s="51">
        <v>63.0</v>
      </c>
      <c r="E1417" s="52" t="s">
        <v>25</v>
      </c>
      <c r="F1417" s="52" t="s">
        <v>26</v>
      </c>
      <c r="G1417" s="54"/>
    </row>
    <row r="1418">
      <c r="A1418" s="49">
        <v>45035.53699211805</v>
      </c>
      <c r="B1418" s="50">
        <v>45035.6619641551</v>
      </c>
      <c r="C1418" s="51">
        <v>1.045</v>
      </c>
      <c r="D1418" s="51">
        <v>63.0</v>
      </c>
      <c r="E1418" s="52" t="s">
        <v>25</v>
      </c>
      <c r="F1418" s="52" t="s">
        <v>26</v>
      </c>
      <c r="G1418" s="54"/>
    </row>
    <row r="1419">
      <c r="A1419" s="49">
        <v>45035.547413333334</v>
      </c>
      <c r="B1419" s="50">
        <v>45035.6723856134</v>
      </c>
      <c r="C1419" s="51">
        <v>1.045</v>
      </c>
      <c r="D1419" s="51">
        <v>63.0</v>
      </c>
      <c r="E1419" s="52" t="s">
        <v>25</v>
      </c>
      <c r="F1419" s="52" t="s">
        <v>26</v>
      </c>
      <c r="G1419" s="54"/>
    </row>
    <row r="1420">
      <c r="A1420" s="49">
        <v>45035.55782515046</v>
      </c>
      <c r="B1420" s="50">
        <v>45035.6828061921</v>
      </c>
      <c r="C1420" s="51">
        <v>1.045</v>
      </c>
      <c r="D1420" s="51">
        <v>63.0</v>
      </c>
      <c r="E1420" s="52" t="s">
        <v>25</v>
      </c>
      <c r="F1420" s="52" t="s">
        <v>26</v>
      </c>
      <c r="G1420" s="54"/>
    </row>
    <row r="1421">
      <c r="A1421" s="49">
        <v>45035.568263900466</v>
      </c>
      <c r="B1421" s="50">
        <v>45035.6932397685</v>
      </c>
      <c r="C1421" s="51">
        <v>1.045</v>
      </c>
      <c r="D1421" s="51">
        <v>63.0</v>
      </c>
      <c r="E1421" s="52" t="s">
        <v>25</v>
      </c>
      <c r="F1421" s="52" t="s">
        <v>26</v>
      </c>
      <c r="G1421" s="54"/>
    </row>
    <row r="1422">
      <c r="A1422" s="49">
        <v>45035.57868114584</v>
      </c>
      <c r="B1422" s="50">
        <v>45035.7036631597</v>
      </c>
      <c r="C1422" s="51">
        <v>1.045</v>
      </c>
      <c r="D1422" s="51">
        <v>63.0</v>
      </c>
      <c r="E1422" s="52" t="s">
        <v>25</v>
      </c>
      <c r="F1422" s="52" t="s">
        <v>26</v>
      </c>
      <c r="G1422" s="54"/>
    </row>
    <row r="1423">
      <c r="A1423" s="49">
        <v>45035.589106562504</v>
      </c>
      <c r="B1423" s="50">
        <v>45035.7140856597</v>
      </c>
      <c r="C1423" s="51">
        <v>1.045</v>
      </c>
      <c r="D1423" s="51">
        <v>63.0</v>
      </c>
      <c r="E1423" s="52" t="s">
        <v>25</v>
      </c>
      <c r="F1423" s="52" t="s">
        <v>26</v>
      </c>
      <c r="G1423" s="54"/>
    </row>
    <row r="1424">
      <c r="A1424" s="49">
        <v>45035.599534699075</v>
      </c>
      <c r="B1424" s="50">
        <v>45035.7245067245</v>
      </c>
      <c r="C1424" s="51">
        <v>1.045</v>
      </c>
      <c r="D1424" s="51">
        <v>63.0</v>
      </c>
      <c r="E1424" s="52" t="s">
        <v>25</v>
      </c>
      <c r="F1424" s="52" t="s">
        <v>26</v>
      </c>
      <c r="G1424" s="54"/>
    </row>
    <row r="1425">
      <c r="A1425" s="49">
        <v>45035.609952314815</v>
      </c>
      <c r="B1425" s="50">
        <v>45035.7349281481</v>
      </c>
      <c r="C1425" s="51">
        <v>1.045</v>
      </c>
      <c r="D1425" s="51">
        <v>63.0</v>
      </c>
      <c r="E1425" s="52" t="s">
        <v>25</v>
      </c>
      <c r="F1425" s="52" t="s">
        <v>26</v>
      </c>
      <c r="G1425" s="54"/>
    </row>
    <row r="1426">
      <c r="A1426" s="49">
        <v>45035.62036778935</v>
      </c>
      <c r="B1426" s="50">
        <v>45035.7453493865</v>
      </c>
      <c r="C1426" s="51">
        <v>1.045</v>
      </c>
      <c r="D1426" s="51">
        <v>63.0</v>
      </c>
      <c r="E1426" s="52" t="s">
        <v>25</v>
      </c>
      <c r="F1426" s="52" t="s">
        <v>26</v>
      </c>
      <c r="G1426" s="54"/>
    </row>
    <row r="1427">
      <c r="A1427" s="49">
        <v>45035.63079976852</v>
      </c>
      <c r="B1427" s="50">
        <v>45035.7557814351</v>
      </c>
      <c r="C1427" s="51">
        <v>1.045</v>
      </c>
      <c r="D1427" s="51">
        <v>63.0</v>
      </c>
      <c r="E1427" s="52" t="s">
        <v>25</v>
      </c>
      <c r="F1427" s="52" t="s">
        <v>26</v>
      </c>
      <c r="G1427" s="54"/>
    </row>
    <row r="1428">
      <c r="A1428" s="49">
        <v>45035.64124063657</v>
      </c>
      <c r="B1428" s="50">
        <v>45035.7662144097</v>
      </c>
      <c r="C1428" s="51">
        <v>1.045</v>
      </c>
      <c r="D1428" s="51">
        <v>63.0</v>
      </c>
      <c r="E1428" s="52" t="s">
        <v>25</v>
      </c>
      <c r="F1428" s="52" t="s">
        <v>26</v>
      </c>
      <c r="G1428" s="54"/>
    </row>
    <row r="1429">
      <c r="A1429" s="49">
        <v>45035.651675810186</v>
      </c>
      <c r="B1429" s="50">
        <v>45035.7766470601</v>
      </c>
      <c r="C1429" s="51">
        <v>1.045</v>
      </c>
      <c r="D1429" s="51">
        <v>63.0</v>
      </c>
      <c r="E1429" s="52" t="s">
        <v>25</v>
      </c>
      <c r="F1429" s="52" t="s">
        <v>26</v>
      </c>
      <c r="G1429" s="54"/>
    </row>
    <row r="1430">
      <c r="A1430" s="49">
        <v>45035.66210356481</v>
      </c>
      <c r="B1430" s="50">
        <v>45035.7870798726</v>
      </c>
      <c r="C1430" s="51">
        <v>1.045</v>
      </c>
      <c r="D1430" s="51">
        <v>63.0</v>
      </c>
      <c r="E1430" s="52" t="s">
        <v>25</v>
      </c>
      <c r="F1430" s="52" t="s">
        <v>26</v>
      </c>
      <c r="G1430" s="54"/>
    </row>
    <row r="1431">
      <c r="A1431" s="49">
        <v>45035.67253599537</v>
      </c>
      <c r="B1431" s="50">
        <v>45035.7975014004</v>
      </c>
      <c r="C1431" s="51">
        <v>1.045</v>
      </c>
      <c r="D1431" s="51">
        <v>63.0</v>
      </c>
      <c r="E1431" s="52" t="s">
        <v>25</v>
      </c>
      <c r="F1431" s="52" t="s">
        <v>26</v>
      </c>
      <c r="G1431" s="54"/>
    </row>
    <row r="1432">
      <c r="A1432" s="49">
        <v>45035.682951712966</v>
      </c>
      <c r="B1432" s="50">
        <v>45035.8079242129</v>
      </c>
      <c r="C1432" s="51">
        <v>1.045</v>
      </c>
      <c r="D1432" s="51">
        <v>63.0</v>
      </c>
      <c r="E1432" s="52" t="s">
        <v>25</v>
      </c>
      <c r="F1432" s="52" t="s">
        <v>26</v>
      </c>
      <c r="G1432" s="54"/>
    </row>
    <row r="1433">
      <c r="A1433" s="49">
        <v>45035.69337121528</v>
      </c>
      <c r="B1433" s="50">
        <v>45035.8183469675</v>
      </c>
      <c r="C1433" s="51">
        <v>1.045</v>
      </c>
      <c r="D1433" s="51">
        <v>63.0</v>
      </c>
      <c r="E1433" s="52" t="s">
        <v>25</v>
      </c>
      <c r="F1433" s="52" t="s">
        <v>26</v>
      </c>
      <c r="G1433" s="54"/>
    </row>
    <row r="1434">
      <c r="A1434" s="49">
        <v>45035.703797326394</v>
      </c>
      <c r="B1434" s="50">
        <v>45035.8287689699</v>
      </c>
      <c r="C1434" s="51">
        <v>1.045</v>
      </c>
      <c r="D1434" s="51">
        <v>63.0</v>
      </c>
      <c r="E1434" s="52" t="s">
        <v>25</v>
      </c>
      <c r="F1434" s="52" t="s">
        <v>26</v>
      </c>
      <c r="G1434" s="54"/>
    </row>
    <row r="1435">
      <c r="A1435" s="49">
        <v>45035.71421366898</v>
      </c>
      <c r="B1435" s="50">
        <v>45035.8391902662</v>
      </c>
      <c r="C1435" s="51">
        <v>1.045</v>
      </c>
      <c r="D1435" s="51">
        <v>63.0</v>
      </c>
      <c r="E1435" s="52" t="s">
        <v>25</v>
      </c>
      <c r="F1435" s="52" t="s">
        <v>26</v>
      </c>
      <c r="G1435" s="54"/>
    </row>
    <row r="1436">
      <c r="A1436" s="49">
        <v>45035.7246537037</v>
      </c>
      <c r="B1436" s="50">
        <v>45035.8496239699</v>
      </c>
      <c r="C1436" s="51">
        <v>1.045</v>
      </c>
      <c r="D1436" s="51">
        <v>63.0</v>
      </c>
      <c r="E1436" s="52" t="s">
        <v>25</v>
      </c>
      <c r="F1436" s="52" t="s">
        <v>26</v>
      </c>
      <c r="G1436" s="54"/>
    </row>
    <row r="1437">
      <c r="A1437" s="49">
        <v>45035.73507726852</v>
      </c>
      <c r="B1437" s="50">
        <v>45035.8600557523</v>
      </c>
      <c r="C1437" s="51">
        <v>1.044</v>
      </c>
      <c r="D1437" s="51">
        <v>63.0</v>
      </c>
      <c r="E1437" s="52" t="s">
        <v>25</v>
      </c>
      <c r="F1437" s="52" t="s">
        <v>26</v>
      </c>
      <c r="G1437" s="54"/>
    </row>
    <row r="1438">
      <c r="A1438" s="49">
        <v>45035.745494421295</v>
      </c>
      <c r="B1438" s="50">
        <v>45035.8704753819</v>
      </c>
      <c r="C1438" s="51">
        <v>1.044</v>
      </c>
      <c r="D1438" s="51">
        <v>63.0</v>
      </c>
      <c r="E1438" s="52" t="s">
        <v>25</v>
      </c>
      <c r="F1438" s="52" t="s">
        <v>26</v>
      </c>
      <c r="G1438" s="54"/>
    </row>
    <row r="1439">
      <c r="A1439" s="49">
        <v>45035.75592880787</v>
      </c>
      <c r="B1439" s="50">
        <v>45035.8808974305</v>
      </c>
      <c r="C1439" s="51">
        <v>1.044</v>
      </c>
      <c r="D1439" s="51">
        <v>63.0</v>
      </c>
      <c r="E1439" s="52" t="s">
        <v>25</v>
      </c>
      <c r="F1439" s="52" t="s">
        <v>26</v>
      </c>
      <c r="G1439" s="54"/>
    </row>
    <row r="1440">
      <c r="A1440" s="49">
        <v>45035.766342476854</v>
      </c>
      <c r="B1440" s="50">
        <v>45035.8913175694</v>
      </c>
      <c r="C1440" s="51">
        <v>1.044</v>
      </c>
      <c r="D1440" s="51">
        <v>63.0</v>
      </c>
      <c r="E1440" s="52" t="s">
        <v>25</v>
      </c>
      <c r="F1440" s="52" t="s">
        <v>26</v>
      </c>
      <c r="G1440" s="54"/>
    </row>
    <row r="1441">
      <c r="A1441" s="49">
        <v>45035.77675916666</v>
      </c>
      <c r="B1441" s="50">
        <v>45035.9017378009</v>
      </c>
      <c r="C1441" s="51">
        <v>1.044</v>
      </c>
      <c r="D1441" s="51">
        <v>63.0</v>
      </c>
      <c r="E1441" s="52" t="s">
        <v>25</v>
      </c>
      <c r="F1441" s="52" t="s">
        <v>26</v>
      </c>
      <c r="G1441" s="54"/>
    </row>
    <row r="1442">
      <c r="A1442" s="49">
        <v>45035.787185381945</v>
      </c>
      <c r="B1442" s="50">
        <v>45035.9121606712</v>
      </c>
      <c r="C1442" s="51">
        <v>1.044</v>
      </c>
      <c r="D1442" s="51">
        <v>63.0</v>
      </c>
      <c r="E1442" s="52" t="s">
        <v>25</v>
      </c>
      <c r="F1442" s="52" t="s">
        <v>26</v>
      </c>
      <c r="G1442" s="54"/>
    </row>
    <row r="1443">
      <c r="A1443" s="49">
        <v>45035.79760021991</v>
      </c>
      <c r="B1443" s="50">
        <v>45035.922581493</v>
      </c>
      <c r="C1443" s="51">
        <v>1.044</v>
      </c>
      <c r="D1443" s="51">
        <v>63.0</v>
      </c>
      <c r="E1443" s="52" t="s">
        <v>25</v>
      </c>
      <c r="F1443" s="52" t="s">
        <v>26</v>
      </c>
      <c r="G1443" s="54"/>
    </row>
    <row r="1444">
      <c r="A1444" s="49">
        <v>45035.80802271991</v>
      </c>
      <c r="B1444" s="50">
        <v>45035.9330000578</v>
      </c>
      <c r="C1444" s="51">
        <v>1.044</v>
      </c>
      <c r="D1444" s="51">
        <v>63.0</v>
      </c>
      <c r="E1444" s="52" t="s">
        <v>25</v>
      </c>
      <c r="F1444" s="52" t="s">
        <v>26</v>
      </c>
      <c r="G1444" s="54"/>
    </row>
    <row r="1445">
      <c r="A1445" s="49">
        <v>45035.81844229167</v>
      </c>
      <c r="B1445" s="50">
        <v>45035.9434224884</v>
      </c>
      <c r="C1445" s="51">
        <v>1.044</v>
      </c>
      <c r="D1445" s="51">
        <v>63.0</v>
      </c>
      <c r="E1445" s="52" t="s">
        <v>25</v>
      </c>
      <c r="F1445" s="52" t="s">
        <v>26</v>
      </c>
      <c r="G1445" s="54"/>
    </row>
    <row r="1446">
      <c r="A1446" s="49">
        <v>45035.82886486111</v>
      </c>
      <c r="B1446" s="50">
        <v>45035.9538442592</v>
      </c>
      <c r="C1446" s="51">
        <v>1.044</v>
      </c>
      <c r="D1446" s="51">
        <v>63.0</v>
      </c>
      <c r="E1446" s="52" t="s">
        <v>25</v>
      </c>
      <c r="F1446" s="52" t="s">
        <v>26</v>
      </c>
      <c r="G1446" s="54"/>
    </row>
    <row r="1447">
      <c r="A1447" s="49">
        <v>45035.83929157407</v>
      </c>
      <c r="B1447" s="50">
        <v>45035.964264375</v>
      </c>
      <c r="C1447" s="51">
        <v>1.044</v>
      </c>
      <c r="D1447" s="51">
        <v>63.0</v>
      </c>
      <c r="E1447" s="52" t="s">
        <v>25</v>
      </c>
      <c r="F1447" s="52" t="s">
        <v>26</v>
      </c>
      <c r="G1447" s="54"/>
    </row>
    <row r="1448">
      <c r="A1448" s="49">
        <v>45035.84971083333</v>
      </c>
      <c r="B1448" s="50">
        <v>45035.9746880324</v>
      </c>
      <c r="C1448" s="51">
        <v>1.044</v>
      </c>
      <c r="D1448" s="51">
        <v>63.0</v>
      </c>
      <c r="E1448" s="52" t="s">
        <v>25</v>
      </c>
      <c r="F1448" s="52" t="s">
        <v>26</v>
      </c>
      <c r="G1448" s="54"/>
    </row>
    <row r="1449">
      <c r="A1449" s="49">
        <v>45035.86015114583</v>
      </c>
      <c r="B1449" s="50">
        <v>45035.9851189351</v>
      </c>
      <c r="C1449" s="51">
        <v>1.044</v>
      </c>
      <c r="D1449" s="51">
        <v>63.0</v>
      </c>
      <c r="E1449" s="52" t="s">
        <v>25</v>
      </c>
      <c r="F1449" s="52" t="s">
        <v>26</v>
      </c>
      <c r="G1449" s="54"/>
    </row>
    <row r="1450">
      <c r="A1450" s="49">
        <v>45035.870575891204</v>
      </c>
      <c r="B1450" s="50">
        <v>45035.995551412</v>
      </c>
      <c r="C1450" s="51">
        <v>1.044</v>
      </c>
      <c r="D1450" s="51">
        <v>63.0</v>
      </c>
      <c r="E1450" s="52" t="s">
        <v>25</v>
      </c>
      <c r="F1450" s="52" t="s">
        <v>26</v>
      </c>
      <c r="G1450" s="54"/>
    </row>
    <row r="1451">
      <c r="A1451" s="49">
        <v>45035.88099899306</v>
      </c>
      <c r="B1451" s="50">
        <v>45036.0059723263</v>
      </c>
      <c r="C1451" s="51">
        <v>1.044</v>
      </c>
      <c r="D1451" s="51">
        <v>63.0</v>
      </c>
      <c r="E1451" s="52" t="s">
        <v>25</v>
      </c>
      <c r="F1451" s="52" t="s">
        <v>26</v>
      </c>
      <c r="G1451" s="54"/>
    </row>
    <row r="1452">
      <c r="A1452" s="49">
        <v>45035.891422280096</v>
      </c>
      <c r="B1452" s="50">
        <v>45036.0163943287</v>
      </c>
      <c r="C1452" s="51">
        <v>1.044</v>
      </c>
      <c r="D1452" s="51">
        <v>63.0</v>
      </c>
      <c r="E1452" s="52" t="s">
        <v>25</v>
      </c>
      <c r="F1452" s="52" t="s">
        <v>26</v>
      </c>
      <c r="G1452" s="54"/>
    </row>
    <row r="1453">
      <c r="A1453" s="49">
        <v>45035.90183869213</v>
      </c>
      <c r="B1453" s="50">
        <v>45036.0268148379</v>
      </c>
      <c r="C1453" s="51">
        <v>1.044</v>
      </c>
      <c r="D1453" s="51">
        <v>63.0</v>
      </c>
      <c r="E1453" s="52" t="s">
        <v>25</v>
      </c>
      <c r="F1453" s="52" t="s">
        <v>26</v>
      </c>
      <c r="G1453" s="54"/>
    </row>
    <row r="1454">
      <c r="A1454" s="49">
        <v>45035.91225796296</v>
      </c>
      <c r="B1454" s="50">
        <v>45036.0372345486</v>
      </c>
      <c r="C1454" s="51">
        <v>1.044</v>
      </c>
      <c r="D1454" s="51">
        <v>63.0</v>
      </c>
      <c r="E1454" s="52" t="s">
        <v>25</v>
      </c>
      <c r="F1454" s="52" t="s">
        <v>26</v>
      </c>
      <c r="G1454" s="54"/>
    </row>
    <row r="1455">
      <c r="A1455" s="49">
        <v>45035.92268600695</v>
      </c>
      <c r="B1455" s="50">
        <v>45036.047656412</v>
      </c>
      <c r="C1455" s="51">
        <v>1.044</v>
      </c>
      <c r="D1455" s="51">
        <v>63.0</v>
      </c>
      <c r="E1455" s="52" t="s">
        <v>25</v>
      </c>
      <c r="F1455" s="52" t="s">
        <v>26</v>
      </c>
      <c r="G1455" s="54"/>
    </row>
    <row r="1456">
      <c r="A1456" s="49">
        <v>45035.933106956014</v>
      </c>
      <c r="B1456" s="50">
        <v>45036.0580765625</v>
      </c>
      <c r="C1456" s="51">
        <v>1.044</v>
      </c>
      <c r="D1456" s="51">
        <v>63.0</v>
      </c>
      <c r="E1456" s="52" t="s">
        <v>25</v>
      </c>
      <c r="F1456" s="52" t="s">
        <v>26</v>
      </c>
      <c r="G1456" s="54"/>
    </row>
    <row r="1457">
      <c r="A1457" s="49">
        <v>45035.94352017361</v>
      </c>
      <c r="B1457" s="50">
        <v>45036.0684979976</v>
      </c>
      <c r="C1457" s="51">
        <v>1.044</v>
      </c>
      <c r="D1457" s="51">
        <v>63.0</v>
      </c>
      <c r="E1457" s="52" t="s">
        <v>25</v>
      </c>
      <c r="F1457" s="52" t="s">
        <v>26</v>
      </c>
      <c r="G1457" s="54"/>
    </row>
    <row r="1458">
      <c r="A1458" s="49">
        <v>45035.95395623843</v>
      </c>
      <c r="B1458" s="50">
        <v>45036.0789295486</v>
      </c>
      <c r="C1458" s="51">
        <v>1.044</v>
      </c>
      <c r="D1458" s="51">
        <v>63.0</v>
      </c>
      <c r="E1458" s="52" t="s">
        <v>25</v>
      </c>
      <c r="F1458" s="52" t="s">
        <v>26</v>
      </c>
      <c r="G1458" s="54"/>
    </row>
    <row r="1459">
      <c r="A1459" s="49">
        <v>45035.96437909722</v>
      </c>
      <c r="B1459" s="50">
        <v>45036.0893520833</v>
      </c>
      <c r="C1459" s="51">
        <v>1.044</v>
      </c>
      <c r="D1459" s="51">
        <v>63.0</v>
      </c>
      <c r="E1459" s="52" t="s">
        <v>25</v>
      </c>
      <c r="F1459" s="52" t="s">
        <v>26</v>
      </c>
      <c r="G1459" s="54"/>
    </row>
    <row r="1460">
      <c r="A1460" s="49">
        <v>45035.97480148148</v>
      </c>
      <c r="B1460" s="50">
        <v>45036.0997745254</v>
      </c>
      <c r="C1460" s="51">
        <v>1.044</v>
      </c>
      <c r="D1460" s="51">
        <v>63.0</v>
      </c>
      <c r="E1460" s="52" t="s">
        <v>25</v>
      </c>
      <c r="F1460" s="52" t="s">
        <v>26</v>
      </c>
      <c r="G1460" s="54"/>
    </row>
    <row r="1461">
      <c r="A1461" s="49">
        <v>45035.985224247685</v>
      </c>
      <c r="B1461" s="50">
        <v>45036.1102065972</v>
      </c>
      <c r="C1461" s="51">
        <v>1.044</v>
      </c>
      <c r="D1461" s="51">
        <v>63.0</v>
      </c>
      <c r="E1461" s="52" t="s">
        <v>25</v>
      </c>
      <c r="F1461" s="52" t="s">
        <v>26</v>
      </c>
      <c r="G1461" s="54"/>
    </row>
    <row r="1462">
      <c r="A1462" s="49">
        <v>45035.99566842592</v>
      </c>
      <c r="B1462" s="50">
        <v>45036.1206395254</v>
      </c>
      <c r="C1462" s="51">
        <v>1.044</v>
      </c>
      <c r="D1462" s="51">
        <v>63.0</v>
      </c>
      <c r="E1462" s="52" t="s">
        <v>25</v>
      </c>
      <c r="F1462" s="52" t="s">
        <v>26</v>
      </c>
      <c r="G1462" s="54"/>
    </row>
    <row r="1463">
      <c r="A1463" s="49">
        <v>45036.00608957176</v>
      </c>
      <c r="B1463" s="50">
        <v>45036.1310619907</v>
      </c>
      <c r="C1463" s="51">
        <v>1.044</v>
      </c>
      <c r="D1463" s="51">
        <v>63.0</v>
      </c>
      <c r="E1463" s="52" t="s">
        <v>25</v>
      </c>
      <c r="F1463" s="52" t="s">
        <v>26</v>
      </c>
      <c r="G1463" s="54"/>
    </row>
    <row r="1464">
      <c r="A1464" s="49">
        <v>45036.016504618055</v>
      </c>
      <c r="B1464" s="50">
        <v>45036.141483125</v>
      </c>
      <c r="C1464" s="51">
        <v>1.044</v>
      </c>
      <c r="D1464" s="51">
        <v>63.0</v>
      </c>
      <c r="E1464" s="52" t="s">
        <v>25</v>
      </c>
      <c r="F1464" s="52" t="s">
        <v>26</v>
      </c>
      <c r="G1464" s="54"/>
    </row>
    <row r="1465">
      <c r="A1465" s="49">
        <v>45036.026934050926</v>
      </c>
      <c r="B1465" s="50">
        <v>45036.1519049421</v>
      </c>
      <c r="C1465" s="51">
        <v>1.044</v>
      </c>
      <c r="D1465" s="51">
        <v>63.0</v>
      </c>
      <c r="E1465" s="52" t="s">
        <v>25</v>
      </c>
      <c r="F1465" s="52" t="s">
        <v>26</v>
      </c>
      <c r="G1465" s="54"/>
    </row>
    <row r="1466">
      <c r="A1466" s="49">
        <v>45036.03735359954</v>
      </c>
      <c r="B1466" s="50">
        <v>45036.1623260416</v>
      </c>
      <c r="C1466" s="51">
        <v>1.044</v>
      </c>
      <c r="D1466" s="51">
        <v>63.0</v>
      </c>
      <c r="E1466" s="52" t="s">
        <v>25</v>
      </c>
      <c r="F1466" s="52" t="s">
        <v>26</v>
      </c>
      <c r="G1466" s="54"/>
    </row>
    <row r="1467">
      <c r="A1467" s="49">
        <v>45036.047772094906</v>
      </c>
      <c r="B1467" s="50">
        <v>45036.1727470717</v>
      </c>
      <c r="C1467" s="51">
        <v>1.044</v>
      </c>
      <c r="D1467" s="51">
        <v>63.0</v>
      </c>
      <c r="E1467" s="52" t="s">
        <v>25</v>
      </c>
      <c r="F1467" s="52" t="s">
        <v>26</v>
      </c>
      <c r="G1467" s="54"/>
    </row>
    <row r="1468">
      <c r="A1468" s="49">
        <v>45036.05822167824</v>
      </c>
      <c r="B1468" s="50">
        <v>45036.1831919791</v>
      </c>
      <c r="C1468" s="51">
        <v>1.044</v>
      </c>
      <c r="D1468" s="51">
        <v>63.0</v>
      </c>
      <c r="E1468" s="52" t="s">
        <v>25</v>
      </c>
      <c r="F1468" s="52" t="s">
        <v>26</v>
      </c>
      <c r="G1468" s="54"/>
    </row>
    <row r="1469">
      <c r="A1469" s="49">
        <v>45036.068632361115</v>
      </c>
      <c r="B1469" s="50">
        <v>45036.1936130671</v>
      </c>
      <c r="C1469" s="51">
        <v>1.044</v>
      </c>
      <c r="D1469" s="51">
        <v>63.0</v>
      </c>
      <c r="E1469" s="52" t="s">
        <v>25</v>
      </c>
      <c r="F1469" s="52" t="s">
        <v>26</v>
      </c>
      <c r="G1469" s="54"/>
    </row>
    <row r="1470">
      <c r="A1470" s="49">
        <v>45036.07906179398</v>
      </c>
      <c r="B1470" s="50">
        <v>45036.2040339467</v>
      </c>
      <c r="C1470" s="51">
        <v>1.044</v>
      </c>
      <c r="D1470" s="51">
        <v>63.0</v>
      </c>
      <c r="E1470" s="52" t="s">
        <v>25</v>
      </c>
      <c r="F1470" s="52" t="s">
        <v>26</v>
      </c>
      <c r="G1470" s="54"/>
    </row>
    <row r="1471">
      <c r="A1471" s="49">
        <v>45036.08948931713</v>
      </c>
      <c r="B1471" s="50">
        <v>45036.2144549884</v>
      </c>
      <c r="C1471" s="51">
        <v>1.044</v>
      </c>
      <c r="D1471" s="51">
        <v>63.0</v>
      </c>
      <c r="E1471" s="52" t="s">
        <v>25</v>
      </c>
      <c r="F1471" s="52" t="s">
        <v>26</v>
      </c>
      <c r="G1471" s="54"/>
    </row>
    <row r="1472">
      <c r="A1472" s="49">
        <v>45036.09989621528</v>
      </c>
      <c r="B1472" s="50">
        <v>45036.2248736342</v>
      </c>
      <c r="C1472" s="51">
        <v>1.044</v>
      </c>
      <c r="D1472" s="51">
        <v>63.0</v>
      </c>
      <c r="E1472" s="52" t="s">
        <v>25</v>
      </c>
      <c r="F1472" s="52" t="s">
        <v>26</v>
      </c>
      <c r="G1472" s="54"/>
    </row>
    <row r="1473">
      <c r="A1473" s="49">
        <v>45036.11032155092</v>
      </c>
      <c r="B1473" s="50">
        <v>45036.2352939699</v>
      </c>
      <c r="C1473" s="51">
        <v>1.044</v>
      </c>
      <c r="D1473" s="51">
        <v>63.0</v>
      </c>
      <c r="E1473" s="52" t="s">
        <v>25</v>
      </c>
      <c r="F1473" s="52" t="s">
        <v>26</v>
      </c>
      <c r="G1473" s="54"/>
    </row>
    <row r="1474">
      <c r="A1474" s="49">
        <v>45036.12073929398</v>
      </c>
      <c r="B1474" s="50">
        <v>45036.2457162847</v>
      </c>
      <c r="C1474" s="51">
        <v>1.044</v>
      </c>
      <c r="D1474" s="51">
        <v>63.0</v>
      </c>
      <c r="E1474" s="52" t="s">
        <v>25</v>
      </c>
      <c r="F1474" s="52" t="s">
        <v>26</v>
      </c>
      <c r="G1474" s="54"/>
    </row>
    <row r="1475">
      <c r="A1475" s="49">
        <v>45036.13115818287</v>
      </c>
      <c r="B1475" s="50">
        <v>45036.2561361689</v>
      </c>
      <c r="C1475" s="51">
        <v>1.044</v>
      </c>
      <c r="D1475" s="51">
        <v>63.0</v>
      </c>
      <c r="E1475" s="52" t="s">
        <v>25</v>
      </c>
      <c r="F1475" s="52" t="s">
        <v>26</v>
      </c>
      <c r="G1475" s="54"/>
    </row>
    <row r="1476">
      <c r="A1476" s="49">
        <v>45036.14158146991</v>
      </c>
      <c r="B1476" s="50">
        <v>45036.2665539814</v>
      </c>
      <c r="C1476" s="51">
        <v>1.044</v>
      </c>
      <c r="D1476" s="51">
        <v>63.0</v>
      </c>
      <c r="E1476" s="52" t="s">
        <v>25</v>
      </c>
      <c r="F1476" s="52" t="s">
        <v>26</v>
      </c>
      <c r="G1476" s="54"/>
    </row>
    <row r="1477">
      <c r="A1477" s="49">
        <v>45036.15200238426</v>
      </c>
      <c r="B1477" s="50">
        <v>45036.2769754629</v>
      </c>
      <c r="C1477" s="51">
        <v>1.044</v>
      </c>
      <c r="D1477" s="51">
        <v>63.0</v>
      </c>
      <c r="E1477" s="52" t="s">
        <v>25</v>
      </c>
      <c r="F1477" s="52" t="s">
        <v>26</v>
      </c>
      <c r="G1477" s="54"/>
    </row>
    <row r="1478">
      <c r="A1478" s="49">
        <v>45036.16242152778</v>
      </c>
      <c r="B1478" s="50">
        <v>45036.2873949074</v>
      </c>
      <c r="C1478" s="51">
        <v>1.044</v>
      </c>
      <c r="D1478" s="51">
        <v>63.0</v>
      </c>
      <c r="E1478" s="52" t="s">
        <v>25</v>
      </c>
      <c r="F1478" s="52" t="s">
        <v>26</v>
      </c>
      <c r="G1478" s="54"/>
    </row>
    <row r="1479">
      <c r="A1479" s="49">
        <v>45036.17286399305</v>
      </c>
      <c r="B1479" s="50">
        <v>45036.2978276157</v>
      </c>
      <c r="C1479" s="51">
        <v>1.044</v>
      </c>
      <c r="D1479" s="51">
        <v>63.0</v>
      </c>
      <c r="E1479" s="52" t="s">
        <v>25</v>
      </c>
      <c r="F1479" s="52" t="s">
        <v>26</v>
      </c>
      <c r="G1479" s="54"/>
    </row>
    <row r="1480">
      <c r="A1480" s="49">
        <v>45036.183279074074</v>
      </c>
      <c r="B1480" s="50">
        <v>45036.3082486111</v>
      </c>
      <c r="C1480" s="51">
        <v>1.044</v>
      </c>
      <c r="D1480" s="51">
        <v>63.0</v>
      </c>
      <c r="E1480" s="52" t="s">
        <v>25</v>
      </c>
      <c r="F1480" s="52" t="s">
        <v>26</v>
      </c>
      <c r="G1480" s="54"/>
    </row>
    <row r="1481">
      <c r="A1481" s="49">
        <v>45036.19369259259</v>
      </c>
      <c r="B1481" s="50">
        <v>45036.3186704398</v>
      </c>
      <c r="C1481" s="51">
        <v>1.044</v>
      </c>
      <c r="D1481" s="51">
        <v>63.0</v>
      </c>
      <c r="E1481" s="52" t="s">
        <v>25</v>
      </c>
      <c r="F1481" s="52" t="s">
        <v>26</v>
      </c>
      <c r="G1481" s="54"/>
    </row>
    <row r="1482">
      <c r="A1482" s="49">
        <v>45036.204119953705</v>
      </c>
      <c r="B1482" s="50">
        <v>45036.3290933564</v>
      </c>
      <c r="C1482" s="51">
        <v>1.044</v>
      </c>
      <c r="D1482" s="51">
        <v>63.0</v>
      </c>
      <c r="E1482" s="52" t="s">
        <v>25</v>
      </c>
      <c r="F1482" s="52" t="s">
        <v>26</v>
      </c>
      <c r="G1482" s="54"/>
    </row>
    <row r="1483">
      <c r="A1483" s="49">
        <v>45036.214540092595</v>
      </c>
      <c r="B1483" s="50">
        <v>45036.3395143171</v>
      </c>
      <c r="C1483" s="51">
        <v>1.044</v>
      </c>
      <c r="D1483" s="51">
        <v>63.0</v>
      </c>
      <c r="E1483" s="52" t="s">
        <v>25</v>
      </c>
      <c r="F1483" s="52" t="s">
        <v>26</v>
      </c>
      <c r="G1483" s="54"/>
    </row>
    <row r="1484">
      <c r="A1484" s="49">
        <v>45036.22496104166</v>
      </c>
      <c r="B1484" s="50">
        <v>45036.3499375926</v>
      </c>
      <c r="C1484" s="51">
        <v>1.043</v>
      </c>
      <c r="D1484" s="51">
        <v>63.0</v>
      </c>
      <c r="E1484" s="52" t="s">
        <v>25</v>
      </c>
      <c r="F1484" s="52" t="s">
        <v>26</v>
      </c>
      <c r="G1484" s="54"/>
    </row>
    <row r="1485">
      <c r="A1485" s="49">
        <v>45036.235393599534</v>
      </c>
      <c r="B1485" s="50">
        <v>45036.3603585995</v>
      </c>
      <c r="C1485" s="51">
        <v>1.044</v>
      </c>
      <c r="D1485" s="51">
        <v>63.0</v>
      </c>
      <c r="E1485" s="52" t="s">
        <v>25</v>
      </c>
      <c r="F1485" s="52" t="s">
        <v>26</v>
      </c>
      <c r="G1485" s="54"/>
    </row>
    <row r="1486">
      <c r="A1486" s="49">
        <v>45036.24580574074</v>
      </c>
      <c r="B1486" s="50">
        <v>45036.370779537</v>
      </c>
      <c r="C1486" s="51">
        <v>1.043</v>
      </c>
      <c r="D1486" s="51">
        <v>63.0</v>
      </c>
      <c r="E1486" s="52" t="s">
        <v>25</v>
      </c>
      <c r="F1486" s="52" t="s">
        <v>26</v>
      </c>
      <c r="G1486" s="54"/>
    </row>
    <row r="1487">
      <c r="A1487" s="49">
        <v>45036.256226365746</v>
      </c>
      <c r="B1487" s="50">
        <v>45036.3812016088</v>
      </c>
      <c r="C1487" s="51">
        <v>1.044</v>
      </c>
      <c r="D1487" s="51">
        <v>63.0</v>
      </c>
      <c r="E1487" s="52" t="s">
        <v>25</v>
      </c>
      <c r="F1487" s="52" t="s">
        <v>26</v>
      </c>
      <c r="G1487" s="54"/>
    </row>
    <row r="1488">
      <c r="A1488" s="49">
        <v>45036.26664608796</v>
      </c>
      <c r="B1488" s="50">
        <v>45036.3916221875</v>
      </c>
      <c r="C1488" s="51">
        <v>1.043</v>
      </c>
      <c r="D1488" s="51">
        <v>63.0</v>
      </c>
      <c r="E1488" s="52" t="s">
        <v>25</v>
      </c>
      <c r="F1488" s="52" t="s">
        <v>26</v>
      </c>
      <c r="G1488" s="54"/>
    </row>
    <row r="1489">
      <c r="A1489" s="49">
        <v>45036.277080879634</v>
      </c>
      <c r="B1489" s="50">
        <v>45036.4020555208</v>
      </c>
      <c r="C1489" s="51">
        <v>1.043</v>
      </c>
      <c r="D1489" s="51">
        <v>63.0</v>
      </c>
      <c r="E1489" s="52" t="s">
        <v>25</v>
      </c>
      <c r="F1489" s="52" t="s">
        <v>26</v>
      </c>
      <c r="G1489" s="54"/>
    </row>
    <row r="1490">
      <c r="A1490" s="49">
        <v>45036.28752017361</v>
      </c>
      <c r="B1490" s="50">
        <v>45036.4124869328</v>
      </c>
      <c r="C1490" s="51">
        <v>1.043</v>
      </c>
      <c r="D1490" s="51">
        <v>63.0</v>
      </c>
      <c r="E1490" s="52" t="s">
        <v>25</v>
      </c>
      <c r="F1490" s="52" t="s">
        <v>26</v>
      </c>
      <c r="G1490" s="54"/>
    </row>
    <row r="1491">
      <c r="A1491" s="49">
        <v>45036.297939027776</v>
      </c>
      <c r="B1491" s="50">
        <v>45036.4229093981</v>
      </c>
      <c r="C1491" s="51">
        <v>1.043</v>
      </c>
      <c r="D1491" s="51">
        <v>63.0</v>
      </c>
      <c r="E1491" s="52" t="s">
        <v>25</v>
      </c>
      <c r="F1491" s="52" t="s">
        <v>26</v>
      </c>
      <c r="G1491" s="54"/>
    </row>
    <row r="1492">
      <c r="A1492" s="49">
        <v>45036.30835039352</v>
      </c>
      <c r="B1492" s="50">
        <v>45036.4333305324</v>
      </c>
      <c r="C1492" s="51">
        <v>1.043</v>
      </c>
      <c r="D1492" s="51">
        <v>63.0</v>
      </c>
      <c r="E1492" s="52" t="s">
        <v>25</v>
      </c>
      <c r="F1492" s="52" t="s">
        <v>26</v>
      </c>
      <c r="G1492" s="54"/>
    </row>
    <row r="1493">
      <c r="A1493" s="49">
        <v>45036.31879275463</v>
      </c>
      <c r="B1493" s="50">
        <v>45036.4437637268</v>
      </c>
      <c r="C1493" s="51">
        <v>1.043</v>
      </c>
      <c r="D1493" s="51">
        <v>63.0</v>
      </c>
      <c r="E1493" s="52" t="s">
        <v>25</v>
      </c>
      <c r="F1493" s="52" t="s">
        <v>26</v>
      </c>
      <c r="G1493" s="54"/>
    </row>
    <row r="1494">
      <c r="A1494" s="49">
        <v>45036.32920778936</v>
      </c>
      <c r="B1494" s="50">
        <v>45036.4541838888</v>
      </c>
      <c r="C1494" s="51">
        <v>1.044</v>
      </c>
      <c r="D1494" s="51">
        <v>63.0</v>
      </c>
      <c r="E1494" s="52" t="s">
        <v>25</v>
      </c>
      <c r="F1494" s="52" t="s">
        <v>26</v>
      </c>
      <c r="G1494" s="54"/>
    </row>
    <row r="1495">
      <c r="A1495" s="49">
        <v>45036.33963505787</v>
      </c>
      <c r="B1495" s="50">
        <v>45036.4646046527</v>
      </c>
      <c r="C1495" s="51">
        <v>1.043</v>
      </c>
      <c r="D1495" s="51">
        <v>63.0</v>
      </c>
      <c r="E1495" s="52" t="s">
        <v>25</v>
      </c>
      <c r="F1495" s="52" t="s">
        <v>26</v>
      </c>
      <c r="G1495" s="54"/>
    </row>
    <row r="1496">
      <c r="A1496" s="49">
        <v>45036.35005162037</v>
      </c>
      <c r="B1496" s="50">
        <v>45036.4750242013</v>
      </c>
      <c r="C1496" s="51">
        <v>1.043</v>
      </c>
      <c r="D1496" s="51">
        <v>63.0</v>
      </c>
      <c r="E1496" s="52" t="s">
        <v>25</v>
      </c>
      <c r="F1496" s="52" t="s">
        <v>26</v>
      </c>
      <c r="G1496" s="54"/>
    </row>
    <row r="1497">
      <c r="A1497" s="49">
        <v>45036.36046415509</v>
      </c>
      <c r="B1497" s="50">
        <v>45036.4854462731</v>
      </c>
      <c r="C1497" s="51">
        <v>1.043</v>
      </c>
      <c r="D1497" s="51">
        <v>63.0</v>
      </c>
      <c r="E1497" s="52" t="s">
        <v>25</v>
      </c>
      <c r="F1497" s="52" t="s">
        <v>26</v>
      </c>
      <c r="G1497" s="54"/>
    </row>
    <row r="1498">
      <c r="A1498" s="49">
        <v>45036.370900567126</v>
      </c>
      <c r="B1498" s="50">
        <v>45036.495868449</v>
      </c>
      <c r="C1498" s="51">
        <v>1.043</v>
      </c>
      <c r="D1498" s="51">
        <v>63.0</v>
      </c>
      <c r="E1498" s="52" t="s">
        <v>25</v>
      </c>
      <c r="F1498" s="52" t="s">
        <v>26</v>
      </c>
      <c r="G1498" s="54"/>
    </row>
    <row r="1499">
      <c r="A1499" s="49">
        <v>45036.38131133102</v>
      </c>
      <c r="B1499" s="50">
        <v>45036.5062893402</v>
      </c>
      <c r="C1499" s="51">
        <v>1.043</v>
      </c>
      <c r="D1499" s="51">
        <v>63.0</v>
      </c>
      <c r="E1499" s="52" t="s">
        <v>25</v>
      </c>
      <c r="F1499" s="52" t="s">
        <v>26</v>
      </c>
      <c r="G1499" s="54"/>
    </row>
    <row r="1500">
      <c r="A1500" s="49">
        <v>45036.39174201389</v>
      </c>
      <c r="B1500" s="50">
        <v>45036.5167095486</v>
      </c>
      <c r="C1500" s="51">
        <v>1.043</v>
      </c>
      <c r="D1500" s="51">
        <v>63.0</v>
      </c>
      <c r="E1500" s="52" t="s">
        <v>25</v>
      </c>
      <c r="F1500" s="52" t="s">
        <v>26</v>
      </c>
      <c r="G1500" s="54"/>
    </row>
    <row r="1501">
      <c r="A1501" s="49">
        <v>45036.402158807876</v>
      </c>
      <c r="B1501" s="50">
        <v>45036.5271316898</v>
      </c>
      <c r="C1501" s="51">
        <v>1.043</v>
      </c>
      <c r="D1501" s="51">
        <v>63.0</v>
      </c>
      <c r="E1501" s="52" t="s">
        <v>25</v>
      </c>
      <c r="F1501" s="52" t="s">
        <v>26</v>
      </c>
      <c r="G1501" s="54"/>
    </row>
    <row r="1502">
      <c r="A1502" s="49">
        <v>45036.41257785879</v>
      </c>
      <c r="B1502" s="50">
        <v>45036.5375533564</v>
      </c>
      <c r="C1502" s="51">
        <v>1.043</v>
      </c>
      <c r="D1502" s="51">
        <v>63.0</v>
      </c>
      <c r="E1502" s="52" t="s">
        <v>25</v>
      </c>
      <c r="F1502" s="52" t="s">
        <v>26</v>
      </c>
      <c r="G1502" s="54"/>
    </row>
    <row r="1503">
      <c r="A1503" s="49">
        <v>45036.42299864584</v>
      </c>
      <c r="B1503" s="50">
        <v>45036.5479753009</v>
      </c>
      <c r="C1503" s="51">
        <v>1.043</v>
      </c>
      <c r="D1503" s="51">
        <v>63.0</v>
      </c>
      <c r="E1503" s="52" t="s">
        <v>25</v>
      </c>
      <c r="F1503" s="52" t="s">
        <v>26</v>
      </c>
      <c r="G1503" s="54"/>
    </row>
    <row r="1504">
      <c r="A1504" s="49">
        <v>45036.433421469905</v>
      </c>
      <c r="B1504" s="50">
        <v>45036.5583962847</v>
      </c>
      <c r="C1504" s="51">
        <v>1.043</v>
      </c>
      <c r="D1504" s="51">
        <v>63.0</v>
      </c>
      <c r="E1504" s="52" t="s">
        <v>25</v>
      </c>
      <c r="F1504" s="52" t="s">
        <v>26</v>
      </c>
      <c r="G1504" s="54"/>
    </row>
    <row r="1505">
      <c r="A1505" s="49">
        <v>45036.44384349537</v>
      </c>
      <c r="B1505" s="50">
        <v>45036.568816875</v>
      </c>
      <c r="C1505" s="51">
        <v>1.043</v>
      </c>
      <c r="D1505" s="51">
        <v>63.0</v>
      </c>
      <c r="E1505" s="52" t="s">
        <v>25</v>
      </c>
      <c r="F1505" s="52" t="s">
        <v>26</v>
      </c>
      <c r="G1505" s="54"/>
    </row>
    <row r="1506">
      <c r="A1506" s="49">
        <v>45036.454266562505</v>
      </c>
      <c r="B1506" s="50">
        <v>45036.579238287</v>
      </c>
      <c r="C1506" s="51">
        <v>1.043</v>
      </c>
      <c r="D1506" s="51">
        <v>63.0</v>
      </c>
      <c r="E1506" s="52" t="s">
        <v>25</v>
      </c>
      <c r="F1506" s="52" t="s">
        <v>26</v>
      </c>
      <c r="G1506" s="54"/>
    </row>
    <row r="1507">
      <c r="A1507" s="49">
        <v>45036.464688576394</v>
      </c>
      <c r="B1507" s="50">
        <v>45036.5896595486</v>
      </c>
      <c r="C1507" s="51">
        <v>1.043</v>
      </c>
      <c r="D1507" s="51">
        <v>63.0</v>
      </c>
      <c r="E1507" s="52" t="s">
        <v>25</v>
      </c>
      <c r="F1507" s="52" t="s">
        <v>26</v>
      </c>
      <c r="G1507" s="54"/>
    </row>
    <row r="1508">
      <c r="A1508" s="49">
        <v>45036.47510481482</v>
      </c>
      <c r="B1508" s="50">
        <v>45036.6000806481</v>
      </c>
      <c r="C1508" s="51">
        <v>1.043</v>
      </c>
      <c r="D1508" s="51">
        <v>63.0</v>
      </c>
      <c r="E1508" s="52" t="s">
        <v>25</v>
      </c>
      <c r="F1508" s="52" t="s">
        <v>26</v>
      </c>
      <c r="G1508" s="54"/>
    </row>
    <row r="1509">
      <c r="A1509" s="49">
        <v>45036.48553200232</v>
      </c>
      <c r="B1509" s="50">
        <v>45036.6105004282</v>
      </c>
      <c r="C1509" s="51">
        <v>1.043</v>
      </c>
      <c r="D1509" s="51">
        <v>63.0</v>
      </c>
      <c r="E1509" s="52" t="s">
        <v>25</v>
      </c>
      <c r="F1509" s="52" t="s">
        <v>26</v>
      </c>
      <c r="G1509" s="54"/>
    </row>
    <row r="1510">
      <c r="A1510" s="49">
        <v>45036.49595038194</v>
      </c>
      <c r="B1510" s="50">
        <v>45036.6209208449</v>
      </c>
      <c r="C1510" s="51">
        <v>1.043</v>
      </c>
      <c r="D1510" s="51">
        <v>63.0</v>
      </c>
      <c r="E1510" s="52" t="s">
        <v>25</v>
      </c>
      <c r="F1510" s="52" t="s">
        <v>26</v>
      </c>
      <c r="G1510" s="54"/>
    </row>
    <row r="1511">
      <c r="A1511" s="49">
        <v>45036.506367326394</v>
      </c>
      <c r="B1511" s="50">
        <v>45036.6313424652</v>
      </c>
      <c r="C1511" s="51">
        <v>1.042</v>
      </c>
      <c r="D1511" s="51">
        <v>63.0</v>
      </c>
      <c r="E1511" s="52" t="s">
        <v>25</v>
      </c>
      <c r="F1511" s="52" t="s">
        <v>26</v>
      </c>
      <c r="G1511" s="54"/>
    </row>
    <row r="1512">
      <c r="A1512" s="49">
        <v>45036.51680758102</v>
      </c>
      <c r="B1512" s="50">
        <v>45036.64177603</v>
      </c>
      <c r="C1512" s="51">
        <v>1.043</v>
      </c>
      <c r="D1512" s="51">
        <v>63.0</v>
      </c>
      <c r="E1512" s="52" t="s">
        <v>25</v>
      </c>
      <c r="F1512" s="52" t="s">
        <v>26</v>
      </c>
      <c r="G1512" s="54"/>
    </row>
    <row r="1513">
      <c r="A1513" s="49">
        <v>45036.527221111115</v>
      </c>
      <c r="B1513" s="50">
        <v>45036.6521965509</v>
      </c>
      <c r="C1513" s="51">
        <v>1.043</v>
      </c>
      <c r="D1513" s="51">
        <v>63.0</v>
      </c>
      <c r="E1513" s="52" t="s">
        <v>25</v>
      </c>
      <c r="F1513" s="52" t="s">
        <v>26</v>
      </c>
      <c r="G1513" s="54"/>
    </row>
    <row r="1514">
      <c r="A1514" s="49">
        <v>45036.537645578705</v>
      </c>
      <c r="B1514" s="50">
        <v>45036.662617118</v>
      </c>
      <c r="C1514" s="51">
        <v>1.043</v>
      </c>
      <c r="D1514" s="51">
        <v>63.0</v>
      </c>
      <c r="E1514" s="52" t="s">
        <v>25</v>
      </c>
      <c r="F1514" s="52" t="s">
        <v>26</v>
      </c>
      <c r="G1514" s="54"/>
    </row>
    <row r="1515">
      <c r="A1515" s="49">
        <v>45036.54806320602</v>
      </c>
      <c r="B1515" s="50">
        <v>45036.6730386342</v>
      </c>
      <c r="C1515" s="51">
        <v>1.043</v>
      </c>
      <c r="D1515" s="51">
        <v>63.0</v>
      </c>
      <c r="E1515" s="52" t="s">
        <v>25</v>
      </c>
      <c r="F1515" s="52" t="s">
        <v>26</v>
      </c>
      <c r="G1515" s="54"/>
    </row>
    <row r="1516">
      <c r="A1516" s="49">
        <v>45036.55849136574</v>
      </c>
      <c r="B1516" s="50">
        <v>45036.6834601041</v>
      </c>
      <c r="C1516" s="51">
        <v>1.042</v>
      </c>
      <c r="D1516" s="51">
        <v>63.0</v>
      </c>
      <c r="E1516" s="52" t="s">
        <v>25</v>
      </c>
      <c r="F1516" s="52" t="s">
        <v>26</v>
      </c>
      <c r="G1516" s="54"/>
    </row>
    <row r="1517">
      <c r="A1517" s="49">
        <v>45036.56890920139</v>
      </c>
      <c r="B1517" s="50">
        <v>45036.6938819791</v>
      </c>
      <c r="C1517" s="51">
        <v>1.043</v>
      </c>
      <c r="D1517" s="51">
        <v>63.0</v>
      </c>
      <c r="E1517" s="52" t="s">
        <v>25</v>
      </c>
      <c r="F1517" s="52" t="s">
        <v>26</v>
      </c>
      <c r="G1517" s="54"/>
    </row>
    <row r="1518">
      <c r="A1518" s="49">
        <v>45036.57933543982</v>
      </c>
      <c r="B1518" s="50">
        <v>45036.7043028009</v>
      </c>
      <c r="C1518" s="51">
        <v>1.043</v>
      </c>
      <c r="D1518" s="51">
        <v>63.0</v>
      </c>
      <c r="E1518" s="52" t="s">
        <v>25</v>
      </c>
      <c r="F1518" s="52" t="s">
        <v>26</v>
      </c>
      <c r="G1518" s="54"/>
    </row>
    <row r="1519">
      <c r="A1519" s="49">
        <v>45036.589754479166</v>
      </c>
      <c r="B1519" s="50">
        <v>45036.7147240625</v>
      </c>
      <c r="C1519" s="51">
        <v>1.043</v>
      </c>
      <c r="D1519" s="51">
        <v>63.0</v>
      </c>
      <c r="E1519" s="52" t="s">
        <v>25</v>
      </c>
      <c r="F1519" s="52" t="s">
        <v>26</v>
      </c>
      <c r="G1519" s="54"/>
    </row>
    <row r="1520">
      <c r="A1520" s="49">
        <v>45036.60017258102</v>
      </c>
      <c r="B1520" s="50">
        <v>45036.725144456</v>
      </c>
      <c r="C1520" s="51">
        <v>1.043</v>
      </c>
      <c r="D1520" s="51">
        <v>63.0</v>
      </c>
      <c r="E1520" s="52" t="s">
        <v>25</v>
      </c>
      <c r="F1520" s="52" t="s">
        <v>26</v>
      </c>
      <c r="G1520" s="54"/>
    </row>
    <row r="1521">
      <c r="A1521" s="49">
        <v>45036.6105916088</v>
      </c>
      <c r="B1521" s="50">
        <v>45036.7355657291</v>
      </c>
      <c r="C1521" s="51">
        <v>1.043</v>
      </c>
      <c r="D1521" s="51">
        <v>63.0</v>
      </c>
      <c r="E1521" s="52" t="s">
        <v>25</v>
      </c>
      <c r="F1521" s="52" t="s">
        <v>26</v>
      </c>
      <c r="G1521" s="54"/>
    </row>
    <row r="1522">
      <c r="A1522" s="49">
        <v>45036.62101954861</v>
      </c>
      <c r="B1522" s="50">
        <v>45036.7459990277</v>
      </c>
      <c r="C1522" s="51">
        <v>1.042</v>
      </c>
      <c r="D1522" s="51">
        <v>63.0</v>
      </c>
      <c r="E1522" s="52" t="s">
        <v>25</v>
      </c>
      <c r="F1522" s="52" t="s">
        <v>26</v>
      </c>
      <c r="G1522" s="54"/>
    </row>
    <row r="1523">
      <c r="A1523" s="49">
        <v>45036.63148344908</v>
      </c>
      <c r="B1523" s="50">
        <v>45036.756455949</v>
      </c>
      <c r="C1523" s="51">
        <v>1.042</v>
      </c>
      <c r="D1523" s="51">
        <v>63.0</v>
      </c>
      <c r="E1523" s="52" t="s">
        <v>25</v>
      </c>
      <c r="F1523" s="52" t="s">
        <v>26</v>
      </c>
      <c r="G1523" s="54"/>
    </row>
    <row r="1524">
      <c r="A1524" s="49">
        <v>45036.64190224537</v>
      </c>
      <c r="B1524" s="50">
        <v>45036.7668754398</v>
      </c>
      <c r="C1524" s="51">
        <v>1.042</v>
      </c>
      <c r="D1524" s="51">
        <v>63.0</v>
      </c>
      <c r="E1524" s="52" t="s">
        <v>25</v>
      </c>
      <c r="F1524" s="52" t="s">
        <v>26</v>
      </c>
      <c r="G1524" s="54"/>
    </row>
    <row r="1525">
      <c r="A1525" s="49">
        <v>45036.652326157404</v>
      </c>
      <c r="B1525" s="50">
        <v>45036.7772967129</v>
      </c>
      <c r="C1525" s="51">
        <v>1.042</v>
      </c>
      <c r="D1525" s="51">
        <v>63.0</v>
      </c>
      <c r="E1525" s="52" t="s">
        <v>25</v>
      </c>
      <c r="F1525" s="52" t="s">
        <v>26</v>
      </c>
      <c r="G1525" s="54"/>
    </row>
    <row r="1526">
      <c r="A1526" s="49">
        <v>45036.66274622685</v>
      </c>
      <c r="B1526" s="50">
        <v>45036.7877178356</v>
      </c>
      <c r="C1526" s="51">
        <v>1.042</v>
      </c>
      <c r="D1526" s="51">
        <v>63.0</v>
      </c>
      <c r="E1526" s="52" t="s">
        <v>25</v>
      </c>
      <c r="F1526" s="52" t="s">
        <v>26</v>
      </c>
      <c r="G1526" s="54"/>
    </row>
    <row r="1527">
      <c r="A1527" s="49">
        <v>45036.6731722338</v>
      </c>
      <c r="B1527" s="50">
        <v>45036.798141412</v>
      </c>
      <c r="C1527" s="51">
        <v>1.042</v>
      </c>
      <c r="D1527" s="51">
        <v>63.0</v>
      </c>
      <c r="E1527" s="52" t="s">
        <v>25</v>
      </c>
      <c r="F1527" s="52" t="s">
        <v>26</v>
      </c>
      <c r="G1527" s="54"/>
    </row>
    <row r="1528">
      <c r="A1528" s="49">
        <v>45036.683589340275</v>
      </c>
      <c r="B1528" s="50">
        <v>45036.8085633912</v>
      </c>
      <c r="C1528" s="51">
        <v>1.042</v>
      </c>
      <c r="D1528" s="51">
        <v>63.0</v>
      </c>
      <c r="E1528" s="52" t="s">
        <v>25</v>
      </c>
      <c r="F1528" s="52" t="s">
        <v>26</v>
      </c>
      <c r="G1528" s="54"/>
    </row>
    <row r="1529">
      <c r="A1529" s="49">
        <v>45036.69401349537</v>
      </c>
      <c r="B1529" s="50">
        <v>45036.8189855555</v>
      </c>
      <c r="C1529" s="51">
        <v>1.042</v>
      </c>
      <c r="D1529" s="51">
        <v>63.0</v>
      </c>
      <c r="E1529" s="52" t="s">
        <v>25</v>
      </c>
      <c r="F1529" s="52" t="s">
        <v>26</v>
      </c>
      <c r="G1529" s="54"/>
    </row>
    <row r="1530">
      <c r="A1530" s="49">
        <v>45036.70444671296</v>
      </c>
      <c r="B1530" s="50">
        <v>45036.8294187615</v>
      </c>
      <c r="C1530" s="51">
        <v>1.042</v>
      </c>
      <c r="D1530" s="51">
        <v>63.0</v>
      </c>
      <c r="E1530" s="52" t="s">
        <v>25</v>
      </c>
      <c r="F1530" s="52" t="s">
        <v>26</v>
      </c>
      <c r="G1530" s="54"/>
    </row>
    <row r="1531">
      <c r="A1531" s="49">
        <v>45036.714864270834</v>
      </c>
      <c r="B1531" s="50">
        <v>45036.83984</v>
      </c>
      <c r="C1531" s="51">
        <v>1.042</v>
      </c>
      <c r="D1531" s="51">
        <v>63.0</v>
      </c>
      <c r="E1531" s="52" t="s">
        <v>25</v>
      </c>
      <c r="F1531" s="52" t="s">
        <v>26</v>
      </c>
      <c r="G1531" s="54"/>
    </row>
    <row r="1532">
      <c r="A1532" s="49">
        <v>45036.72528363426</v>
      </c>
      <c r="B1532" s="50">
        <v>45036.8502617245</v>
      </c>
      <c r="C1532" s="51">
        <v>1.042</v>
      </c>
      <c r="D1532" s="51">
        <v>63.0</v>
      </c>
      <c r="E1532" s="52" t="s">
        <v>25</v>
      </c>
      <c r="F1532" s="52" t="s">
        <v>26</v>
      </c>
      <c r="G1532" s="54"/>
    </row>
    <row r="1533">
      <c r="A1533" s="49">
        <v>45036.735712430556</v>
      </c>
      <c r="B1533" s="50">
        <v>45036.8606930092</v>
      </c>
      <c r="C1533" s="51">
        <v>1.042</v>
      </c>
      <c r="D1533" s="51">
        <v>63.0</v>
      </c>
      <c r="E1533" s="52" t="s">
        <v>25</v>
      </c>
      <c r="F1533" s="52" t="s">
        <v>26</v>
      </c>
      <c r="G1533" s="54"/>
    </row>
    <row r="1534">
      <c r="A1534" s="49">
        <v>45036.746154050925</v>
      </c>
      <c r="B1534" s="50">
        <v>45036.8711248842</v>
      </c>
      <c r="C1534" s="51">
        <v>1.042</v>
      </c>
      <c r="D1534" s="51">
        <v>63.0</v>
      </c>
      <c r="E1534" s="52" t="s">
        <v>25</v>
      </c>
      <c r="F1534" s="52" t="s">
        <v>26</v>
      </c>
      <c r="G1534" s="54"/>
    </row>
    <row r="1535">
      <c r="A1535" s="49">
        <v>45036.75658439814</v>
      </c>
      <c r="B1535" s="50">
        <v>45036.8815569791</v>
      </c>
      <c r="C1535" s="51">
        <v>1.042</v>
      </c>
      <c r="D1535" s="51">
        <v>63.0</v>
      </c>
      <c r="E1535" s="52" t="s">
        <v>25</v>
      </c>
      <c r="F1535" s="52" t="s">
        <v>26</v>
      </c>
      <c r="G1535" s="54"/>
    </row>
    <row r="1536">
      <c r="A1536" s="49">
        <v>45036.76699923611</v>
      </c>
      <c r="B1536" s="50">
        <v>45036.8919794097</v>
      </c>
      <c r="C1536" s="51">
        <v>1.042</v>
      </c>
      <c r="D1536" s="51">
        <v>63.0</v>
      </c>
      <c r="E1536" s="52" t="s">
        <v>25</v>
      </c>
      <c r="F1536" s="52" t="s">
        <v>26</v>
      </c>
      <c r="G1536" s="54"/>
    </row>
    <row r="1537">
      <c r="A1537" s="49">
        <v>45036.77743379629</v>
      </c>
      <c r="B1537" s="50">
        <v>45036.9024003356</v>
      </c>
      <c r="C1537" s="51">
        <v>1.042</v>
      </c>
      <c r="D1537" s="51">
        <v>63.0</v>
      </c>
      <c r="E1537" s="52" t="s">
        <v>25</v>
      </c>
      <c r="F1537" s="52" t="s">
        <v>26</v>
      </c>
      <c r="G1537" s="54"/>
    </row>
    <row r="1538">
      <c r="A1538" s="49">
        <v>45036.787841377314</v>
      </c>
      <c r="B1538" s="50">
        <v>45036.9128225925</v>
      </c>
      <c r="C1538" s="51">
        <v>1.042</v>
      </c>
      <c r="D1538" s="51">
        <v>63.0</v>
      </c>
      <c r="E1538" s="52" t="s">
        <v>25</v>
      </c>
      <c r="F1538" s="52" t="s">
        <v>26</v>
      </c>
      <c r="G1538" s="54"/>
    </row>
    <row r="1539">
      <c r="A1539" s="49">
        <v>45036.79826516204</v>
      </c>
      <c r="B1539" s="50">
        <v>45036.9232457291</v>
      </c>
      <c r="C1539" s="51">
        <v>1.042</v>
      </c>
      <c r="D1539" s="51">
        <v>63.0</v>
      </c>
      <c r="E1539" s="52" t="s">
        <v>25</v>
      </c>
      <c r="F1539" s="52" t="s">
        <v>26</v>
      </c>
      <c r="G1539" s="54"/>
    </row>
    <row r="1540">
      <c r="A1540" s="49">
        <v>45036.8086884375</v>
      </c>
      <c r="B1540" s="50">
        <v>45036.93366625</v>
      </c>
      <c r="C1540" s="51">
        <v>1.042</v>
      </c>
      <c r="D1540" s="51">
        <v>63.0</v>
      </c>
      <c r="E1540" s="52" t="s">
        <v>25</v>
      </c>
      <c r="F1540" s="52" t="s">
        <v>26</v>
      </c>
      <c r="G1540" s="54"/>
    </row>
    <row r="1541">
      <c r="A1541" s="49">
        <v>45036.819113391204</v>
      </c>
      <c r="B1541" s="50">
        <v>45036.9440876388</v>
      </c>
      <c r="C1541" s="51">
        <v>1.042</v>
      </c>
      <c r="D1541" s="51">
        <v>63.0</v>
      </c>
      <c r="E1541" s="52" t="s">
        <v>25</v>
      </c>
      <c r="F1541" s="52" t="s">
        <v>26</v>
      </c>
      <c r="G1541" s="54"/>
    </row>
    <row r="1542">
      <c r="A1542" s="49">
        <v>45036.82953974537</v>
      </c>
      <c r="B1542" s="50">
        <v>45036.9545096643</v>
      </c>
      <c r="C1542" s="51">
        <v>1.042</v>
      </c>
      <c r="D1542" s="51">
        <v>63.0</v>
      </c>
      <c r="E1542" s="52" t="s">
        <v>25</v>
      </c>
      <c r="F1542" s="52" t="s">
        <v>26</v>
      </c>
      <c r="G1542" s="54"/>
    </row>
    <row r="1543">
      <c r="A1543" s="49">
        <v>45036.83995954861</v>
      </c>
      <c r="B1543" s="50">
        <v>45036.9649314467</v>
      </c>
      <c r="C1543" s="51">
        <v>1.042</v>
      </c>
      <c r="D1543" s="51">
        <v>63.0</v>
      </c>
      <c r="E1543" s="52" t="s">
        <v>25</v>
      </c>
      <c r="F1543" s="52" t="s">
        <v>26</v>
      </c>
      <c r="G1543" s="54"/>
    </row>
    <row r="1544">
      <c r="A1544" s="49">
        <v>45036.85039877315</v>
      </c>
      <c r="B1544" s="50">
        <v>45036.9753752083</v>
      </c>
      <c r="C1544" s="51">
        <v>1.042</v>
      </c>
      <c r="D1544" s="51">
        <v>63.0</v>
      </c>
      <c r="E1544" s="52" t="s">
        <v>25</v>
      </c>
      <c r="F1544" s="52" t="s">
        <v>26</v>
      </c>
      <c r="G1544" s="54"/>
    </row>
    <row r="1545">
      <c r="A1545" s="49">
        <v>45036.86083366898</v>
      </c>
      <c r="B1545" s="50">
        <v>45036.9858075231</v>
      </c>
      <c r="C1545" s="51">
        <v>1.042</v>
      </c>
      <c r="D1545" s="51">
        <v>63.0</v>
      </c>
      <c r="E1545" s="52" t="s">
        <v>25</v>
      </c>
      <c r="F1545" s="52" t="s">
        <v>26</v>
      </c>
      <c r="G1545" s="54"/>
    </row>
    <row r="1546">
      <c r="A1546" s="49">
        <v>45036.87126184028</v>
      </c>
      <c r="B1546" s="50">
        <v>45036.9962394675</v>
      </c>
      <c r="C1546" s="51">
        <v>1.042</v>
      </c>
      <c r="D1546" s="51">
        <v>63.0</v>
      </c>
      <c r="E1546" s="52" t="s">
        <v>25</v>
      </c>
      <c r="F1546" s="52" t="s">
        <v>26</v>
      </c>
      <c r="G1546" s="54"/>
    </row>
    <row r="1547">
      <c r="A1547" s="49">
        <v>45036.88168039352</v>
      </c>
      <c r="B1547" s="50">
        <v>45037.0066598379</v>
      </c>
      <c r="C1547" s="51">
        <v>1.042</v>
      </c>
      <c r="D1547" s="51">
        <v>63.0</v>
      </c>
      <c r="E1547" s="52" t="s">
        <v>25</v>
      </c>
      <c r="F1547" s="52" t="s">
        <v>26</v>
      </c>
      <c r="G1547" s="54"/>
    </row>
    <row r="1548">
      <c r="A1548" s="49">
        <v>45036.892123564816</v>
      </c>
      <c r="B1548" s="50">
        <v>45037.0171046064</v>
      </c>
      <c r="C1548" s="51">
        <v>1.042</v>
      </c>
      <c r="D1548" s="51">
        <v>63.0</v>
      </c>
      <c r="E1548" s="52" t="s">
        <v>25</v>
      </c>
      <c r="F1548" s="52" t="s">
        <v>26</v>
      </c>
      <c r="G1548" s="54"/>
    </row>
    <row r="1549">
      <c r="A1549" s="49">
        <v>45036.902550729166</v>
      </c>
      <c r="B1549" s="50">
        <v>45037.0275271412</v>
      </c>
      <c r="C1549" s="51">
        <v>1.042</v>
      </c>
      <c r="D1549" s="51">
        <v>63.0</v>
      </c>
      <c r="E1549" s="52" t="s">
        <v>25</v>
      </c>
      <c r="F1549" s="52" t="s">
        <v>26</v>
      </c>
      <c r="G1549" s="54"/>
    </row>
    <row r="1550">
      <c r="A1550" s="49">
        <v>45036.912995520834</v>
      </c>
      <c r="B1550" s="50">
        <v>45037.0379717476</v>
      </c>
      <c r="C1550" s="51">
        <v>1.042</v>
      </c>
      <c r="D1550" s="51">
        <v>63.0</v>
      </c>
      <c r="E1550" s="52" t="s">
        <v>25</v>
      </c>
      <c r="F1550" s="52" t="s">
        <v>26</v>
      </c>
      <c r="G1550" s="54"/>
    </row>
    <row r="1551">
      <c r="A1551" s="49">
        <v>45036.92341969907</v>
      </c>
      <c r="B1551" s="50">
        <v>45037.0483937731</v>
      </c>
      <c r="C1551" s="51">
        <v>1.042</v>
      </c>
      <c r="D1551" s="51">
        <v>63.0</v>
      </c>
      <c r="E1551" s="52" t="s">
        <v>25</v>
      </c>
      <c r="F1551" s="52" t="s">
        <v>26</v>
      </c>
      <c r="G1551" s="54"/>
    </row>
    <row r="1552">
      <c r="A1552" s="49">
        <v>45036.93383991898</v>
      </c>
      <c r="B1552" s="50">
        <v>45037.0588156713</v>
      </c>
      <c r="C1552" s="51">
        <v>1.042</v>
      </c>
      <c r="D1552" s="51">
        <v>63.0</v>
      </c>
      <c r="E1552" s="52" t="s">
        <v>25</v>
      </c>
      <c r="F1552" s="52" t="s">
        <v>26</v>
      </c>
      <c r="G1552" s="54"/>
    </row>
    <row r="1553">
      <c r="A1553" s="49">
        <v>45036.944275347225</v>
      </c>
      <c r="B1553" s="50">
        <v>45037.0692390393</v>
      </c>
      <c r="C1553" s="51">
        <v>1.042</v>
      </c>
      <c r="D1553" s="51">
        <v>63.0</v>
      </c>
      <c r="E1553" s="52" t="s">
        <v>25</v>
      </c>
      <c r="F1553" s="52" t="s">
        <v>26</v>
      </c>
      <c r="G1553" s="54"/>
    </row>
    <row r="1554">
      <c r="A1554" s="49">
        <v>45036.95469560185</v>
      </c>
      <c r="B1554" s="50">
        <v>45037.0796723611</v>
      </c>
      <c r="C1554" s="51">
        <v>1.042</v>
      </c>
      <c r="D1554" s="51">
        <v>63.0</v>
      </c>
      <c r="E1554" s="52" t="s">
        <v>25</v>
      </c>
      <c r="F1554" s="52" t="s">
        <v>26</v>
      </c>
      <c r="G1554" s="54"/>
    </row>
    <row r="1555">
      <c r="A1555" s="49">
        <v>45036.965132060184</v>
      </c>
      <c r="B1555" s="50">
        <v>45037.0900946527</v>
      </c>
      <c r="C1555" s="51">
        <v>1.042</v>
      </c>
      <c r="D1555" s="51">
        <v>63.0</v>
      </c>
      <c r="E1555" s="52" t="s">
        <v>25</v>
      </c>
      <c r="F1555" s="52" t="s">
        <v>26</v>
      </c>
      <c r="G1555" s="54"/>
    </row>
    <row r="1556">
      <c r="A1556" s="49">
        <v>45036.975538900464</v>
      </c>
      <c r="B1556" s="50">
        <v>45037.1005152083</v>
      </c>
      <c r="C1556" s="51">
        <v>1.042</v>
      </c>
      <c r="D1556" s="51">
        <v>63.0</v>
      </c>
      <c r="E1556" s="52" t="s">
        <v>25</v>
      </c>
      <c r="F1556" s="52" t="s">
        <v>26</v>
      </c>
      <c r="G1556" s="54"/>
    </row>
    <row r="1557">
      <c r="A1557" s="49">
        <v>45036.985979398145</v>
      </c>
      <c r="B1557" s="50">
        <v>45037.110948287</v>
      </c>
      <c r="C1557" s="51">
        <v>1.042</v>
      </c>
      <c r="D1557" s="51">
        <v>64.0</v>
      </c>
      <c r="E1557" s="52" t="s">
        <v>25</v>
      </c>
      <c r="F1557" s="52" t="s">
        <v>26</v>
      </c>
      <c r="G1557" s="54"/>
    </row>
    <row r="1558">
      <c r="A1558" s="49">
        <v>45036.99642809028</v>
      </c>
      <c r="B1558" s="50">
        <v>45037.1213794212</v>
      </c>
      <c r="C1558" s="51">
        <v>1.042</v>
      </c>
      <c r="D1558" s="51">
        <v>63.0</v>
      </c>
      <c r="E1558" s="52" t="s">
        <v>25</v>
      </c>
      <c r="F1558" s="52" t="s">
        <v>26</v>
      </c>
      <c r="G1558" s="54"/>
    </row>
    <row r="1559">
      <c r="A1559" s="49">
        <v>45037.006825868055</v>
      </c>
      <c r="B1559" s="50">
        <v>45037.1318004861</v>
      </c>
      <c r="C1559" s="51">
        <v>1.041</v>
      </c>
      <c r="D1559" s="51">
        <v>63.0</v>
      </c>
      <c r="E1559" s="52" t="s">
        <v>25</v>
      </c>
      <c r="F1559" s="52" t="s">
        <v>26</v>
      </c>
      <c r="G1559" s="54"/>
    </row>
    <row r="1560">
      <c r="A1560" s="49">
        <v>45037.017252245365</v>
      </c>
      <c r="B1560" s="50">
        <v>45037.1422216203</v>
      </c>
      <c r="C1560" s="51">
        <v>1.042</v>
      </c>
      <c r="D1560" s="51">
        <v>64.0</v>
      </c>
      <c r="E1560" s="52" t="s">
        <v>25</v>
      </c>
      <c r="F1560" s="52" t="s">
        <v>26</v>
      </c>
      <c r="G1560" s="54"/>
    </row>
    <row r="1561">
      <c r="A1561" s="49">
        <v>45037.02766770833</v>
      </c>
      <c r="B1561" s="50">
        <v>45037.1526428125</v>
      </c>
      <c r="C1561" s="51">
        <v>1.042</v>
      </c>
      <c r="D1561" s="51">
        <v>64.0</v>
      </c>
      <c r="E1561" s="52" t="s">
        <v>25</v>
      </c>
      <c r="F1561" s="52" t="s">
        <v>26</v>
      </c>
      <c r="G1561" s="54"/>
    </row>
    <row r="1562">
      <c r="A1562" s="49">
        <v>45037.0380844676</v>
      </c>
      <c r="B1562" s="50">
        <v>45037.1630643055</v>
      </c>
      <c r="C1562" s="51">
        <v>1.041</v>
      </c>
      <c r="D1562" s="51">
        <v>64.0</v>
      </c>
      <c r="E1562" s="52" t="s">
        <v>25</v>
      </c>
      <c r="F1562" s="52" t="s">
        <v>26</v>
      </c>
      <c r="G1562" s="54"/>
    </row>
    <row r="1563">
      <c r="A1563" s="49">
        <v>45037.04851655093</v>
      </c>
      <c r="B1563" s="50">
        <v>45037.1734857986</v>
      </c>
      <c r="C1563" s="51">
        <v>1.041</v>
      </c>
      <c r="D1563" s="51">
        <v>64.0</v>
      </c>
      <c r="E1563" s="52" t="s">
        <v>25</v>
      </c>
      <c r="F1563" s="52" t="s">
        <v>26</v>
      </c>
      <c r="G1563" s="54"/>
    </row>
    <row r="1564">
      <c r="A1564" s="49">
        <v>45037.058944143515</v>
      </c>
      <c r="B1564" s="50">
        <v>45037.1839172685</v>
      </c>
      <c r="C1564" s="51">
        <v>1.041</v>
      </c>
      <c r="D1564" s="51">
        <v>64.0</v>
      </c>
      <c r="E1564" s="52" t="s">
        <v>25</v>
      </c>
      <c r="F1564" s="52" t="s">
        <v>26</v>
      </c>
      <c r="G1564" s="54"/>
    </row>
    <row r="1565">
      <c r="A1565" s="49">
        <v>45037.069368020835</v>
      </c>
      <c r="B1565" s="50">
        <v>45037.1943372106</v>
      </c>
      <c r="C1565" s="51">
        <v>1.041</v>
      </c>
      <c r="D1565" s="51">
        <v>64.0</v>
      </c>
      <c r="E1565" s="52" t="s">
        <v>25</v>
      </c>
      <c r="F1565" s="52" t="s">
        <v>26</v>
      </c>
      <c r="G1565" s="54"/>
    </row>
    <row r="1566">
      <c r="A1566" s="49">
        <v>45037.07979379629</v>
      </c>
      <c r="B1566" s="50">
        <v>45037.2047586342</v>
      </c>
      <c r="C1566" s="51">
        <v>1.042</v>
      </c>
      <c r="D1566" s="51">
        <v>63.0</v>
      </c>
      <c r="E1566" s="52" t="s">
        <v>25</v>
      </c>
      <c r="F1566" s="52" t="s">
        <v>26</v>
      </c>
      <c r="G1566" s="54"/>
    </row>
    <row r="1567">
      <c r="A1567" s="49">
        <v>45037.09020987268</v>
      </c>
      <c r="B1567" s="50">
        <v>45037.215181331</v>
      </c>
      <c r="C1567" s="51">
        <v>1.041</v>
      </c>
      <c r="D1567" s="51">
        <v>64.0</v>
      </c>
      <c r="E1567" s="52" t="s">
        <v>25</v>
      </c>
      <c r="F1567" s="52" t="s">
        <v>26</v>
      </c>
      <c r="G1567" s="54"/>
    </row>
    <row r="1568">
      <c r="A1568" s="49">
        <v>45037.100624074075</v>
      </c>
      <c r="B1568" s="50">
        <v>45037.2256020717</v>
      </c>
      <c r="C1568" s="51">
        <v>1.041</v>
      </c>
      <c r="D1568" s="51">
        <v>64.0</v>
      </c>
      <c r="E1568" s="52" t="s">
        <v>25</v>
      </c>
      <c r="F1568" s="52" t="s">
        <v>26</v>
      </c>
      <c r="G1568" s="54"/>
    </row>
    <row r="1569">
      <c r="A1569" s="49">
        <v>45037.111045972226</v>
      </c>
      <c r="B1569" s="50">
        <v>45037.2360222337</v>
      </c>
      <c r="C1569" s="51">
        <v>1.041</v>
      </c>
      <c r="D1569" s="51">
        <v>64.0</v>
      </c>
      <c r="E1569" s="52" t="s">
        <v>25</v>
      </c>
      <c r="F1569" s="52" t="s">
        <v>26</v>
      </c>
      <c r="G1569" s="54"/>
    </row>
    <row r="1570">
      <c r="A1570" s="49">
        <v>45037.121471412036</v>
      </c>
      <c r="B1570" s="50">
        <v>45037.2464458796</v>
      </c>
      <c r="C1570" s="51">
        <v>1.041</v>
      </c>
      <c r="D1570" s="51">
        <v>64.0</v>
      </c>
      <c r="E1570" s="52" t="s">
        <v>25</v>
      </c>
      <c r="F1570" s="52" t="s">
        <v>26</v>
      </c>
      <c r="G1570" s="54"/>
    </row>
    <row r="1571">
      <c r="A1571" s="49">
        <v>45037.13194737268</v>
      </c>
      <c r="B1571" s="50">
        <v>45037.2568664699</v>
      </c>
      <c r="C1571" s="51">
        <v>1.041</v>
      </c>
      <c r="D1571" s="51">
        <v>64.0</v>
      </c>
      <c r="E1571" s="52" t="s">
        <v>25</v>
      </c>
      <c r="F1571" s="52" t="s">
        <v>26</v>
      </c>
      <c r="G1571" s="54"/>
    </row>
    <row r="1572">
      <c r="A1572" s="49">
        <v>45037.14232305555</v>
      </c>
      <c r="B1572" s="50">
        <v>45037.2672888888</v>
      </c>
      <c r="C1572" s="51">
        <v>1.041</v>
      </c>
      <c r="D1572" s="51">
        <v>64.0</v>
      </c>
      <c r="E1572" s="52" t="s">
        <v>25</v>
      </c>
      <c r="F1572" s="52" t="s">
        <v>26</v>
      </c>
      <c r="G1572" s="54"/>
    </row>
    <row r="1573">
      <c r="A1573" s="49">
        <v>45037.15274101852</v>
      </c>
      <c r="B1573" s="50">
        <v>45037.2777083912</v>
      </c>
      <c r="C1573" s="51">
        <v>1.041</v>
      </c>
      <c r="D1573" s="51">
        <v>64.0</v>
      </c>
      <c r="E1573" s="52" t="s">
        <v>25</v>
      </c>
      <c r="F1573" s="52" t="s">
        <v>26</v>
      </c>
      <c r="G1573" s="54"/>
    </row>
    <row r="1574">
      <c r="A1574" s="49">
        <v>45037.16315635417</v>
      </c>
      <c r="B1574" s="50">
        <v>45037.2881300925</v>
      </c>
      <c r="C1574" s="51">
        <v>1.041</v>
      </c>
      <c r="D1574" s="51">
        <v>64.0</v>
      </c>
      <c r="E1574" s="52" t="s">
        <v>25</v>
      </c>
      <c r="F1574" s="52" t="s">
        <v>26</v>
      </c>
      <c r="G1574" s="54"/>
    </row>
    <row r="1575">
      <c r="A1575" s="49">
        <v>45037.17362275463</v>
      </c>
      <c r="B1575" s="50">
        <v>45037.2985976157</v>
      </c>
      <c r="C1575" s="51">
        <v>1.041</v>
      </c>
      <c r="D1575" s="51">
        <v>64.0</v>
      </c>
      <c r="E1575" s="52" t="s">
        <v>25</v>
      </c>
      <c r="F1575" s="52" t="s">
        <v>26</v>
      </c>
      <c r="G1575" s="54"/>
    </row>
    <row r="1576">
      <c r="A1576" s="49">
        <v>45037.18404846065</v>
      </c>
      <c r="B1576" s="50">
        <v>45037.3090195717</v>
      </c>
      <c r="C1576" s="51">
        <v>1.041</v>
      </c>
      <c r="D1576" s="51">
        <v>64.0</v>
      </c>
      <c r="E1576" s="52" t="s">
        <v>25</v>
      </c>
      <c r="F1576" s="52" t="s">
        <v>26</v>
      </c>
      <c r="G1576" s="54"/>
    </row>
    <row r="1577">
      <c r="A1577" s="49">
        <v>45037.19446613426</v>
      </c>
      <c r="B1577" s="50">
        <v>45037.3194410879</v>
      </c>
      <c r="C1577" s="51">
        <v>1.041</v>
      </c>
      <c r="D1577" s="51">
        <v>64.0</v>
      </c>
      <c r="E1577" s="52" t="s">
        <v>25</v>
      </c>
      <c r="F1577" s="52" t="s">
        <v>26</v>
      </c>
      <c r="G1577" s="54"/>
    </row>
    <row r="1578">
      <c r="A1578" s="49">
        <v>45037.2048877662</v>
      </c>
      <c r="B1578" s="50">
        <v>45037.3298626967</v>
      </c>
      <c r="C1578" s="51">
        <v>1.041</v>
      </c>
      <c r="D1578" s="51">
        <v>64.0</v>
      </c>
      <c r="E1578" s="52" t="s">
        <v>25</v>
      </c>
      <c r="F1578" s="52" t="s">
        <v>26</v>
      </c>
      <c r="G1578" s="54"/>
    </row>
    <row r="1579">
      <c r="A1579" s="49">
        <v>45037.21530483796</v>
      </c>
      <c r="B1579" s="50">
        <v>45037.340283368</v>
      </c>
      <c r="C1579" s="51">
        <v>1.041</v>
      </c>
      <c r="D1579" s="51">
        <v>64.0</v>
      </c>
      <c r="E1579" s="52" t="s">
        <v>25</v>
      </c>
      <c r="F1579" s="52" t="s">
        <v>26</v>
      </c>
      <c r="G1579" s="54"/>
    </row>
    <row r="1580">
      <c r="A1580" s="49">
        <v>45037.22574233796</v>
      </c>
      <c r="B1580" s="50">
        <v>45037.3507047338</v>
      </c>
      <c r="C1580" s="51">
        <v>1.041</v>
      </c>
      <c r="D1580" s="51">
        <v>64.0</v>
      </c>
      <c r="E1580" s="52" t="s">
        <v>25</v>
      </c>
      <c r="F1580" s="52" t="s">
        <v>26</v>
      </c>
      <c r="G1580" s="54"/>
    </row>
    <row r="1581">
      <c r="A1581" s="49">
        <v>45037.23617952546</v>
      </c>
      <c r="B1581" s="50">
        <v>45037.3611469444</v>
      </c>
      <c r="C1581" s="51">
        <v>1.041</v>
      </c>
      <c r="D1581" s="51">
        <v>64.0</v>
      </c>
      <c r="E1581" s="52" t="s">
        <v>25</v>
      </c>
      <c r="F1581" s="52" t="s">
        <v>26</v>
      </c>
      <c r="G1581" s="54"/>
    </row>
    <row r="1582">
      <c r="A1582" s="49">
        <v>45037.24660445601</v>
      </c>
      <c r="B1582" s="50">
        <v>45037.3715670486</v>
      </c>
      <c r="C1582" s="51">
        <v>1.041</v>
      </c>
      <c r="D1582" s="51">
        <v>64.0</v>
      </c>
      <c r="E1582" s="52" t="s">
        <v>25</v>
      </c>
      <c r="F1582" s="52" t="s">
        <v>26</v>
      </c>
      <c r="G1582" s="54"/>
    </row>
    <row r="1583">
      <c r="A1583" s="49">
        <v>45037.25702128472</v>
      </c>
      <c r="B1583" s="50">
        <v>45037.3819879398</v>
      </c>
      <c r="C1583" s="51">
        <v>1.041</v>
      </c>
      <c r="D1583" s="51">
        <v>64.0</v>
      </c>
      <c r="E1583" s="52" t="s">
        <v>25</v>
      </c>
      <c r="F1583" s="52" t="s">
        <v>26</v>
      </c>
      <c r="G1583" s="54"/>
    </row>
    <row r="1584">
      <c r="A1584" s="49">
        <v>45037.26743548611</v>
      </c>
      <c r="B1584" s="50">
        <v>45037.3924103819</v>
      </c>
      <c r="C1584" s="51">
        <v>1.041</v>
      </c>
      <c r="D1584" s="51">
        <v>64.0</v>
      </c>
      <c r="E1584" s="52" t="s">
        <v>25</v>
      </c>
      <c r="F1584" s="52" t="s">
        <v>26</v>
      </c>
      <c r="G1584" s="54"/>
    </row>
    <row r="1585">
      <c r="A1585" s="49">
        <v>45037.277877824075</v>
      </c>
      <c r="B1585" s="50">
        <v>45037.4028433912</v>
      </c>
      <c r="C1585" s="51">
        <v>1.041</v>
      </c>
      <c r="D1585" s="51">
        <v>64.0</v>
      </c>
      <c r="E1585" s="52" t="s">
        <v>25</v>
      </c>
      <c r="F1585" s="52" t="s">
        <v>26</v>
      </c>
      <c r="G1585" s="54"/>
    </row>
    <row r="1586">
      <c r="A1586" s="49">
        <v>45037.288304155096</v>
      </c>
      <c r="B1586" s="50">
        <v>45037.4132742013</v>
      </c>
      <c r="C1586" s="51">
        <v>1.041</v>
      </c>
      <c r="D1586" s="51">
        <v>64.0</v>
      </c>
      <c r="E1586" s="52" t="s">
        <v>25</v>
      </c>
      <c r="F1586" s="52" t="s">
        <v>26</v>
      </c>
      <c r="G1586" s="54"/>
    </row>
    <row r="1587">
      <c r="A1587" s="49">
        <v>45037.29873887732</v>
      </c>
      <c r="B1587" s="50">
        <v>45037.4237063657</v>
      </c>
      <c r="C1587" s="51">
        <v>1.041</v>
      </c>
      <c r="D1587" s="51">
        <v>64.0</v>
      </c>
      <c r="E1587" s="52" t="s">
        <v>25</v>
      </c>
      <c r="F1587" s="52" t="s">
        <v>26</v>
      </c>
      <c r="G1587" s="54"/>
    </row>
    <row r="1588">
      <c r="A1588" s="49">
        <v>45037.30915592593</v>
      </c>
      <c r="B1588" s="50">
        <v>45037.4341277546</v>
      </c>
      <c r="C1588" s="51">
        <v>1.041</v>
      </c>
      <c r="D1588" s="51">
        <v>64.0</v>
      </c>
      <c r="E1588" s="52" t="s">
        <v>25</v>
      </c>
      <c r="F1588" s="52" t="s">
        <v>26</v>
      </c>
      <c r="G1588" s="54"/>
    </row>
    <row r="1589">
      <c r="A1589" s="49">
        <v>45037.31957585648</v>
      </c>
      <c r="B1589" s="50">
        <v>45037.4445487268</v>
      </c>
      <c r="C1589" s="51">
        <v>1.041</v>
      </c>
      <c r="D1589" s="51">
        <v>64.0</v>
      </c>
      <c r="E1589" s="52" t="s">
        <v>25</v>
      </c>
      <c r="F1589" s="52" t="s">
        <v>26</v>
      </c>
      <c r="G1589" s="54"/>
    </row>
    <row r="1590">
      <c r="A1590" s="49">
        <v>45037.32999861111</v>
      </c>
      <c r="B1590" s="50">
        <v>45037.4549680439</v>
      </c>
      <c r="C1590" s="51">
        <v>1.041</v>
      </c>
      <c r="D1590" s="51">
        <v>64.0</v>
      </c>
      <c r="E1590" s="52" t="s">
        <v>25</v>
      </c>
      <c r="F1590" s="52" t="s">
        <v>26</v>
      </c>
      <c r="G1590" s="54"/>
    </row>
    <row r="1591">
      <c r="A1591" s="49">
        <v>45037.34041975695</v>
      </c>
      <c r="B1591" s="50">
        <v>45037.4653889814</v>
      </c>
      <c r="C1591" s="51">
        <v>1.041</v>
      </c>
      <c r="D1591" s="51">
        <v>64.0</v>
      </c>
      <c r="E1591" s="52" t="s">
        <v>25</v>
      </c>
      <c r="F1591" s="52" t="s">
        <v>26</v>
      </c>
      <c r="G1591" s="54"/>
    </row>
    <row r="1592">
      <c r="A1592" s="49">
        <v>45037.35086201389</v>
      </c>
      <c r="B1592" s="50">
        <v>45037.4758339004</v>
      </c>
      <c r="C1592" s="51">
        <v>1.041</v>
      </c>
      <c r="D1592" s="51">
        <v>64.0</v>
      </c>
      <c r="E1592" s="52" t="s">
        <v>25</v>
      </c>
      <c r="F1592" s="52" t="s">
        <v>26</v>
      </c>
      <c r="G1592" s="54"/>
    </row>
    <row r="1593">
      <c r="A1593" s="49">
        <v>45037.36129584491</v>
      </c>
      <c r="B1593" s="50">
        <v>45037.486266875</v>
      </c>
      <c r="C1593" s="51">
        <v>1.041</v>
      </c>
      <c r="D1593" s="51">
        <v>64.0</v>
      </c>
      <c r="E1593" s="52" t="s">
        <v>25</v>
      </c>
      <c r="F1593" s="52" t="s">
        <v>26</v>
      </c>
      <c r="G1593" s="54"/>
    </row>
    <row r="1594">
      <c r="A1594" s="49">
        <v>45037.371718738425</v>
      </c>
      <c r="B1594" s="50">
        <v>45037.4966858564</v>
      </c>
      <c r="C1594" s="51">
        <v>1.041</v>
      </c>
      <c r="D1594" s="51">
        <v>64.0</v>
      </c>
      <c r="E1594" s="52" t="s">
        <v>25</v>
      </c>
      <c r="F1594" s="52" t="s">
        <v>26</v>
      </c>
      <c r="G1594" s="54"/>
    </row>
    <row r="1595">
      <c r="A1595" s="49">
        <v>45037.382141712966</v>
      </c>
      <c r="B1595" s="50">
        <v>45037.5071182986</v>
      </c>
      <c r="C1595" s="51">
        <v>1.041</v>
      </c>
      <c r="D1595" s="51">
        <v>64.0</v>
      </c>
      <c r="E1595" s="52" t="s">
        <v>25</v>
      </c>
      <c r="F1595" s="52" t="s">
        <v>26</v>
      </c>
      <c r="G1595" s="54"/>
    </row>
    <row r="1596">
      <c r="A1596" s="49">
        <v>45037.392568807874</v>
      </c>
      <c r="B1596" s="50">
        <v>45037.5175401851</v>
      </c>
      <c r="C1596" s="51">
        <v>1.041</v>
      </c>
      <c r="D1596" s="51">
        <v>64.0</v>
      </c>
      <c r="E1596" s="52" t="s">
        <v>25</v>
      </c>
      <c r="F1596" s="52" t="s">
        <v>26</v>
      </c>
      <c r="G1596" s="54"/>
    </row>
    <row r="1597">
      <c r="A1597" s="49">
        <v>45037.40301462963</v>
      </c>
      <c r="B1597" s="50">
        <v>45037.5279850115</v>
      </c>
      <c r="C1597" s="51">
        <v>1.04</v>
      </c>
      <c r="D1597" s="51">
        <v>64.0</v>
      </c>
      <c r="E1597" s="52" t="s">
        <v>25</v>
      </c>
      <c r="F1597" s="52" t="s">
        <v>26</v>
      </c>
      <c r="G1597" s="54"/>
    </row>
    <row r="1598">
      <c r="A1598" s="49">
        <v>45037.41343434028</v>
      </c>
      <c r="B1598" s="50">
        <v>45037.5384059722</v>
      </c>
      <c r="C1598" s="51">
        <v>1.041</v>
      </c>
      <c r="D1598" s="51">
        <v>64.0</v>
      </c>
      <c r="E1598" s="52" t="s">
        <v>25</v>
      </c>
      <c r="F1598" s="52" t="s">
        <v>26</v>
      </c>
      <c r="G1598" s="54"/>
    </row>
    <row r="1599">
      <c r="A1599" s="49">
        <v>45037.42385677084</v>
      </c>
      <c r="B1599" s="50">
        <v>45037.5488280324</v>
      </c>
      <c r="C1599" s="51">
        <v>1.041</v>
      </c>
      <c r="D1599" s="51">
        <v>64.0</v>
      </c>
      <c r="E1599" s="52" t="s">
        <v>25</v>
      </c>
      <c r="F1599" s="52" t="s">
        <v>26</v>
      </c>
      <c r="G1599" s="54"/>
    </row>
    <row r="1600">
      <c r="A1600" s="49">
        <v>45037.43427679398</v>
      </c>
      <c r="B1600" s="50">
        <v>45037.5592495949</v>
      </c>
      <c r="C1600" s="51">
        <v>1.041</v>
      </c>
      <c r="D1600" s="51">
        <v>64.0</v>
      </c>
      <c r="E1600" s="52" t="s">
        <v>25</v>
      </c>
      <c r="F1600" s="52" t="s">
        <v>26</v>
      </c>
      <c r="G1600" s="54"/>
    </row>
    <row r="1601">
      <c r="A1601" s="49">
        <v>45037.44470032408</v>
      </c>
      <c r="B1601" s="50">
        <v>45037.5696701736</v>
      </c>
      <c r="C1601" s="51">
        <v>1.041</v>
      </c>
      <c r="D1601" s="51">
        <v>64.0</v>
      </c>
      <c r="E1601" s="52" t="s">
        <v>25</v>
      </c>
      <c r="F1601" s="52" t="s">
        <v>26</v>
      </c>
      <c r="G1601" s="54"/>
    </row>
    <row r="1602">
      <c r="A1602" s="49">
        <v>45037.45512039352</v>
      </c>
      <c r="B1602" s="50">
        <v>45037.5800919213</v>
      </c>
      <c r="C1602" s="51">
        <v>1.041</v>
      </c>
      <c r="D1602" s="51">
        <v>64.0</v>
      </c>
      <c r="E1602" s="52" t="s">
        <v>25</v>
      </c>
      <c r="F1602" s="52" t="s">
        <v>26</v>
      </c>
      <c r="G1602" s="54"/>
    </row>
    <row r="1603">
      <c r="A1603" s="49">
        <v>45037.46554230324</v>
      </c>
      <c r="B1603" s="50">
        <v>45037.5905123032</v>
      </c>
      <c r="C1603" s="51">
        <v>1.041</v>
      </c>
      <c r="D1603" s="51">
        <v>64.0</v>
      </c>
      <c r="E1603" s="52" t="s">
        <v>25</v>
      </c>
      <c r="F1603" s="52" t="s">
        <v>26</v>
      </c>
      <c r="G1603" s="54"/>
    </row>
    <row r="1604">
      <c r="A1604" s="49">
        <v>45037.4759647801</v>
      </c>
      <c r="B1604" s="50">
        <v>45037.6009331018</v>
      </c>
      <c r="C1604" s="51">
        <v>1.041</v>
      </c>
      <c r="D1604" s="51">
        <v>64.0</v>
      </c>
      <c r="E1604" s="52" t="s">
        <v>25</v>
      </c>
      <c r="F1604" s="52" t="s">
        <v>26</v>
      </c>
      <c r="G1604" s="54"/>
    </row>
    <row r="1605">
      <c r="A1605" s="49">
        <v>45037.486401030095</v>
      </c>
      <c r="B1605" s="50">
        <v>45037.6113770949</v>
      </c>
      <c r="C1605" s="51">
        <v>1.041</v>
      </c>
      <c r="D1605" s="51">
        <v>64.0</v>
      </c>
      <c r="E1605" s="52" t="s">
        <v>25</v>
      </c>
      <c r="F1605" s="52" t="s">
        <v>26</v>
      </c>
      <c r="G1605" s="54"/>
    </row>
    <row r="1606">
      <c r="A1606" s="49">
        <v>45037.49681872685</v>
      </c>
      <c r="B1606" s="50">
        <v>45037.6217975347</v>
      </c>
      <c r="C1606" s="51">
        <v>1.041</v>
      </c>
      <c r="D1606" s="51">
        <v>64.0</v>
      </c>
      <c r="E1606" s="52" t="s">
        <v>25</v>
      </c>
      <c r="F1606" s="52" t="s">
        <v>26</v>
      </c>
      <c r="G1606" s="54"/>
    </row>
    <row r="1607">
      <c r="A1607" s="49">
        <v>45037.50726061343</v>
      </c>
      <c r="B1607" s="50">
        <v>45037.6322313426</v>
      </c>
      <c r="C1607" s="51">
        <v>1.04</v>
      </c>
      <c r="D1607" s="51">
        <v>64.0</v>
      </c>
      <c r="E1607" s="52" t="s">
        <v>25</v>
      </c>
      <c r="F1607" s="52" t="s">
        <v>26</v>
      </c>
      <c r="G1607" s="54"/>
    </row>
    <row r="1608">
      <c r="A1608" s="49">
        <v>45037.517678703705</v>
      </c>
      <c r="B1608" s="50">
        <v>45037.6426505439</v>
      </c>
      <c r="C1608" s="51">
        <v>1.04</v>
      </c>
      <c r="D1608" s="51">
        <v>64.0</v>
      </c>
      <c r="E1608" s="52" t="s">
        <v>25</v>
      </c>
      <c r="F1608" s="52" t="s">
        <v>26</v>
      </c>
      <c r="G1608" s="54"/>
    </row>
    <row r="1609">
      <c r="A1609" s="49">
        <v>45037.52811347222</v>
      </c>
      <c r="B1609" s="50">
        <v>45037.6530721296</v>
      </c>
      <c r="C1609" s="51">
        <v>1.04</v>
      </c>
      <c r="D1609" s="51">
        <v>64.0</v>
      </c>
      <c r="E1609" s="52" t="s">
        <v>25</v>
      </c>
      <c r="F1609" s="52" t="s">
        <v>26</v>
      </c>
      <c r="G1609" s="54"/>
    </row>
    <row r="1610">
      <c r="A1610" s="49">
        <v>45037.538518009256</v>
      </c>
      <c r="B1610" s="50">
        <v>45037.6634929629</v>
      </c>
      <c r="C1610" s="51">
        <v>1.04</v>
      </c>
      <c r="D1610" s="51">
        <v>64.0</v>
      </c>
      <c r="E1610" s="52" t="s">
        <v>25</v>
      </c>
      <c r="F1610" s="52" t="s">
        <v>26</v>
      </c>
      <c r="G1610" s="54"/>
    </row>
    <row r="1611">
      <c r="A1611" s="49">
        <v>45037.548945532406</v>
      </c>
      <c r="B1611" s="50">
        <v>45037.673915162</v>
      </c>
      <c r="C1611" s="51">
        <v>1.04</v>
      </c>
      <c r="D1611" s="51">
        <v>64.0</v>
      </c>
      <c r="E1611" s="52" t="s">
        <v>25</v>
      </c>
      <c r="F1611" s="52" t="s">
        <v>26</v>
      </c>
      <c r="G1611" s="54"/>
    </row>
    <row r="1612">
      <c r="A1612" s="49">
        <v>45037.55936408565</v>
      </c>
      <c r="B1612" s="50">
        <v>45037.6843357175</v>
      </c>
      <c r="C1612" s="51">
        <v>1.04</v>
      </c>
      <c r="D1612" s="51">
        <v>64.0</v>
      </c>
      <c r="E1612" s="52" t="s">
        <v>25</v>
      </c>
      <c r="F1612" s="52" t="s">
        <v>26</v>
      </c>
      <c r="G1612" s="54"/>
    </row>
    <row r="1613">
      <c r="A1613" s="49">
        <v>45037.56978634259</v>
      </c>
      <c r="B1613" s="50">
        <v>45037.6947574652</v>
      </c>
      <c r="C1613" s="51">
        <v>1.04</v>
      </c>
      <c r="D1613" s="51">
        <v>64.0</v>
      </c>
      <c r="E1613" s="52" t="s">
        <v>25</v>
      </c>
      <c r="F1613" s="52" t="s">
        <v>26</v>
      </c>
      <c r="G1613" s="54"/>
    </row>
    <row r="1614">
      <c r="A1614" s="49">
        <v>45037.580206921295</v>
      </c>
      <c r="B1614" s="50">
        <v>45037.7051789583</v>
      </c>
      <c r="C1614" s="51">
        <v>1.04</v>
      </c>
      <c r="D1614" s="51">
        <v>64.0</v>
      </c>
      <c r="E1614" s="52" t="s">
        <v>25</v>
      </c>
      <c r="F1614" s="52" t="s">
        <v>26</v>
      </c>
      <c r="G1614" s="54"/>
    </row>
    <row r="1615">
      <c r="A1615" s="49">
        <v>45037.59063363426</v>
      </c>
      <c r="B1615" s="50">
        <v>45037.7156123495</v>
      </c>
      <c r="C1615" s="51">
        <v>1.04</v>
      </c>
      <c r="D1615" s="51">
        <v>64.0</v>
      </c>
      <c r="E1615" s="52" t="s">
        <v>25</v>
      </c>
      <c r="F1615" s="52" t="s">
        <v>26</v>
      </c>
      <c r="G1615" s="54"/>
    </row>
    <row r="1616">
      <c r="A1616" s="49">
        <v>45037.60105891204</v>
      </c>
      <c r="B1616" s="50">
        <v>45037.7260330092</v>
      </c>
      <c r="C1616" s="51">
        <v>1.04</v>
      </c>
      <c r="D1616" s="51">
        <v>64.0</v>
      </c>
      <c r="E1616" s="52" t="s">
        <v>25</v>
      </c>
      <c r="F1616" s="52" t="s">
        <v>26</v>
      </c>
      <c r="G1616" s="54"/>
    </row>
    <row r="1617">
      <c r="A1617" s="49">
        <v>45037.61147650463</v>
      </c>
      <c r="B1617" s="50">
        <v>45037.7364544328</v>
      </c>
      <c r="C1617" s="51">
        <v>1.04</v>
      </c>
      <c r="D1617" s="51">
        <v>64.0</v>
      </c>
      <c r="E1617" s="52" t="s">
        <v>25</v>
      </c>
      <c r="F1617" s="52" t="s">
        <v>26</v>
      </c>
      <c r="G1617" s="54"/>
    </row>
    <row r="1618">
      <c r="A1618" s="49">
        <v>45037.62191395833</v>
      </c>
      <c r="B1618" s="50">
        <v>45037.7468876967</v>
      </c>
      <c r="C1618" s="51">
        <v>1.04</v>
      </c>
      <c r="D1618" s="51">
        <v>64.0</v>
      </c>
      <c r="E1618" s="52" t="s">
        <v>25</v>
      </c>
      <c r="F1618" s="52" t="s">
        <v>26</v>
      </c>
      <c r="G1618" s="54"/>
    </row>
    <row r="1619">
      <c r="A1619" s="49">
        <v>45037.63234950231</v>
      </c>
      <c r="B1619" s="50">
        <v>45037.7573192939</v>
      </c>
      <c r="C1619" s="51">
        <v>1.04</v>
      </c>
      <c r="D1619" s="51">
        <v>64.0</v>
      </c>
      <c r="E1619" s="52" t="s">
        <v>25</v>
      </c>
      <c r="F1619" s="52" t="s">
        <v>26</v>
      </c>
      <c r="G1619" s="54"/>
    </row>
    <row r="1620">
      <c r="A1620" s="49">
        <v>45037.64276180556</v>
      </c>
      <c r="B1620" s="50">
        <v>45037.7677395949</v>
      </c>
      <c r="C1620" s="51">
        <v>1.04</v>
      </c>
      <c r="D1620" s="51">
        <v>64.0</v>
      </c>
      <c r="E1620" s="52" t="s">
        <v>25</v>
      </c>
      <c r="F1620" s="52" t="s">
        <v>26</v>
      </c>
      <c r="G1620" s="54"/>
    </row>
    <row r="1621">
      <c r="A1621" s="49">
        <v>45037.65318844907</v>
      </c>
      <c r="B1621" s="50">
        <v>45037.778160706</v>
      </c>
      <c r="C1621" s="51">
        <v>1.04</v>
      </c>
      <c r="D1621" s="51">
        <v>64.0</v>
      </c>
      <c r="E1621" s="52" t="s">
        <v>25</v>
      </c>
      <c r="F1621" s="52" t="s">
        <v>26</v>
      </c>
      <c r="G1621" s="54"/>
    </row>
    <row r="1622">
      <c r="A1622" s="49">
        <v>45037.663599340274</v>
      </c>
      <c r="B1622" s="50">
        <v>45037.7885806597</v>
      </c>
      <c r="C1622" s="51">
        <v>1.04</v>
      </c>
      <c r="D1622" s="51">
        <v>64.0</v>
      </c>
      <c r="E1622" s="52" t="s">
        <v>25</v>
      </c>
      <c r="F1622" s="52" t="s">
        <v>26</v>
      </c>
      <c r="G1622" s="54"/>
    </row>
    <row r="1623">
      <c r="A1623" s="49">
        <v>45037.67402034722</v>
      </c>
      <c r="B1623" s="50">
        <v>45037.7990023263</v>
      </c>
      <c r="C1623" s="51">
        <v>1.04</v>
      </c>
      <c r="D1623" s="51">
        <v>64.0</v>
      </c>
      <c r="E1623" s="52" t="s">
        <v>25</v>
      </c>
      <c r="F1623" s="52" t="s">
        <v>26</v>
      </c>
      <c r="G1623" s="54"/>
    </row>
    <row r="1624">
      <c r="A1624" s="49">
        <v>45037.68444864583</v>
      </c>
      <c r="B1624" s="50">
        <v>45037.8094229166</v>
      </c>
      <c r="C1624" s="51">
        <v>1.04</v>
      </c>
      <c r="D1624" s="51">
        <v>64.0</v>
      </c>
      <c r="E1624" s="52" t="s">
        <v>25</v>
      </c>
      <c r="F1624" s="52" t="s">
        <v>26</v>
      </c>
      <c r="G1624" s="54"/>
    </row>
    <row r="1625">
      <c r="A1625" s="49">
        <v>45037.69487465278</v>
      </c>
      <c r="B1625" s="50">
        <v>45037.8198442245</v>
      </c>
      <c r="C1625" s="51">
        <v>1.04</v>
      </c>
      <c r="D1625" s="51">
        <v>64.0</v>
      </c>
      <c r="E1625" s="52" t="s">
        <v>25</v>
      </c>
      <c r="F1625" s="52" t="s">
        <v>26</v>
      </c>
      <c r="G1625" s="54"/>
    </row>
    <row r="1626">
      <c r="A1626" s="49">
        <v>45037.70529462963</v>
      </c>
      <c r="B1626" s="50">
        <v>45037.8302656134</v>
      </c>
      <c r="C1626" s="51">
        <v>1.04</v>
      </c>
      <c r="D1626" s="51">
        <v>64.0</v>
      </c>
      <c r="E1626" s="52" t="s">
        <v>25</v>
      </c>
      <c r="F1626" s="52" t="s">
        <v>26</v>
      </c>
      <c r="G1626" s="54"/>
    </row>
    <row r="1627">
      <c r="A1627" s="49">
        <v>45037.715713356476</v>
      </c>
      <c r="B1627" s="50">
        <v>45037.8406854976</v>
      </c>
      <c r="C1627" s="51">
        <v>1.04</v>
      </c>
      <c r="D1627" s="51">
        <v>64.0</v>
      </c>
      <c r="E1627" s="52" t="s">
        <v>25</v>
      </c>
      <c r="F1627" s="52" t="s">
        <v>26</v>
      </c>
      <c r="G1627" s="54"/>
    </row>
    <row r="1628">
      <c r="A1628" s="49">
        <v>45037.72614219907</v>
      </c>
      <c r="B1628" s="50">
        <v>45037.8511066088</v>
      </c>
      <c r="C1628" s="51">
        <v>1.04</v>
      </c>
      <c r="D1628" s="51">
        <v>64.0</v>
      </c>
      <c r="E1628" s="52" t="s">
        <v>25</v>
      </c>
      <c r="F1628" s="52" t="s">
        <v>26</v>
      </c>
      <c r="G1628" s="54"/>
    </row>
    <row r="1629">
      <c r="A1629" s="49">
        <v>45037.73655136574</v>
      </c>
      <c r="B1629" s="50">
        <v>45037.8615272453</v>
      </c>
      <c r="C1629" s="51">
        <v>1.04</v>
      </c>
      <c r="D1629" s="51">
        <v>64.0</v>
      </c>
      <c r="E1629" s="52" t="s">
        <v>25</v>
      </c>
      <c r="F1629" s="52" t="s">
        <v>26</v>
      </c>
      <c r="G1629" s="54"/>
    </row>
    <row r="1630">
      <c r="A1630" s="49">
        <v>45037.74697502315</v>
      </c>
      <c r="B1630" s="50">
        <v>45037.8719484259</v>
      </c>
      <c r="C1630" s="51">
        <v>1.04</v>
      </c>
      <c r="D1630" s="51">
        <v>64.0</v>
      </c>
      <c r="E1630" s="52" t="s">
        <v>25</v>
      </c>
      <c r="F1630" s="52" t="s">
        <v>26</v>
      </c>
      <c r="G1630" s="54"/>
    </row>
    <row r="1631">
      <c r="A1631" s="49">
        <v>45037.75740453704</v>
      </c>
      <c r="B1631" s="50">
        <v>45037.8823694675</v>
      </c>
      <c r="C1631" s="51">
        <v>1.04</v>
      </c>
      <c r="D1631" s="51">
        <v>64.0</v>
      </c>
      <c r="E1631" s="52" t="s">
        <v>25</v>
      </c>
      <c r="F1631" s="52" t="s">
        <v>26</v>
      </c>
      <c r="G1631" s="54"/>
    </row>
    <row r="1632">
      <c r="A1632" s="49">
        <v>45037.767818657405</v>
      </c>
      <c r="B1632" s="50">
        <v>45037.8927922916</v>
      </c>
      <c r="C1632" s="51">
        <v>1.04</v>
      </c>
      <c r="D1632" s="51">
        <v>64.0</v>
      </c>
      <c r="E1632" s="52" t="s">
        <v>25</v>
      </c>
      <c r="F1632" s="52" t="s">
        <v>26</v>
      </c>
      <c r="G1632" s="54"/>
    </row>
    <row r="1633">
      <c r="A1633" s="49">
        <v>45037.77823357639</v>
      </c>
      <c r="B1633" s="50">
        <v>45037.9032129166</v>
      </c>
      <c r="C1633" s="51">
        <v>1.04</v>
      </c>
      <c r="D1633" s="51">
        <v>64.0</v>
      </c>
      <c r="E1633" s="52" t="s">
        <v>25</v>
      </c>
      <c r="F1633" s="52" t="s">
        <v>26</v>
      </c>
      <c r="G1633" s="54"/>
    </row>
    <row r="1634">
      <c r="A1634" s="49">
        <v>45037.78867949074</v>
      </c>
      <c r="B1634" s="50">
        <v>45037.9136461689</v>
      </c>
      <c r="C1634" s="51">
        <v>1.04</v>
      </c>
      <c r="D1634" s="51">
        <v>64.0</v>
      </c>
      <c r="E1634" s="52" t="s">
        <v>25</v>
      </c>
      <c r="F1634" s="52" t="s">
        <v>26</v>
      </c>
      <c r="G1634" s="54"/>
    </row>
    <row r="1635">
      <c r="A1635" s="49">
        <v>45037.799092430556</v>
      </c>
      <c r="B1635" s="50">
        <v>45037.9240681828</v>
      </c>
      <c r="C1635" s="51">
        <v>1.04</v>
      </c>
      <c r="D1635" s="51">
        <v>64.0</v>
      </c>
      <c r="E1635" s="52" t="s">
        <v>25</v>
      </c>
      <c r="F1635" s="52" t="s">
        <v>26</v>
      </c>
      <c r="G1635" s="54"/>
    </row>
    <row r="1636">
      <c r="A1636" s="49">
        <v>45037.809525150464</v>
      </c>
      <c r="B1636" s="50">
        <v>45037.9344880324</v>
      </c>
      <c r="C1636" s="51">
        <v>1.04</v>
      </c>
      <c r="D1636" s="51">
        <v>64.0</v>
      </c>
      <c r="E1636" s="52" t="s">
        <v>25</v>
      </c>
      <c r="F1636" s="52" t="s">
        <v>26</v>
      </c>
      <c r="G1636" s="54"/>
    </row>
    <row r="1637">
      <c r="A1637" s="49">
        <v>45037.81993215278</v>
      </c>
      <c r="B1637" s="50">
        <v>45037.9449114351</v>
      </c>
      <c r="C1637" s="51">
        <v>1.04</v>
      </c>
      <c r="D1637" s="51">
        <v>64.0</v>
      </c>
      <c r="E1637" s="52" t="s">
        <v>25</v>
      </c>
      <c r="F1637" s="52" t="s">
        <v>26</v>
      </c>
      <c r="G1637" s="54"/>
    </row>
    <row r="1638">
      <c r="A1638" s="49">
        <v>45037.83035072917</v>
      </c>
      <c r="B1638" s="50">
        <v>45037.955333125</v>
      </c>
      <c r="C1638" s="51">
        <v>1.04</v>
      </c>
      <c r="D1638" s="51">
        <v>64.0</v>
      </c>
      <c r="E1638" s="52" t="s">
        <v>25</v>
      </c>
      <c r="F1638" s="52" t="s">
        <v>26</v>
      </c>
      <c r="G1638" s="54"/>
    </row>
    <row r="1639">
      <c r="A1639" s="49">
        <v>45037.840786458335</v>
      </c>
      <c r="B1639" s="50">
        <v>45037.9657552199</v>
      </c>
      <c r="C1639" s="51">
        <v>1.04</v>
      </c>
      <c r="D1639" s="51">
        <v>64.0</v>
      </c>
      <c r="E1639" s="52" t="s">
        <v>25</v>
      </c>
      <c r="F1639" s="52" t="s">
        <v>26</v>
      </c>
      <c r="G1639" s="54"/>
    </row>
    <row r="1640">
      <c r="A1640" s="49">
        <v>45037.851202743055</v>
      </c>
      <c r="B1640" s="50">
        <v>45037.976175243</v>
      </c>
      <c r="C1640" s="51">
        <v>1.04</v>
      </c>
      <c r="D1640" s="51">
        <v>64.0</v>
      </c>
      <c r="E1640" s="52" t="s">
        <v>25</v>
      </c>
      <c r="F1640" s="52" t="s">
        <v>26</v>
      </c>
      <c r="G1640" s="54"/>
    </row>
    <row r="1641">
      <c r="A1641" s="49">
        <v>45037.86162105324</v>
      </c>
      <c r="B1641" s="50">
        <v>45037.9865963425</v>
      </c>
      <c r="C1641" s="51">
        <v>1.04</v>
      </c>
      <c r="D1641" s="51">
        <v>64.0</v>
      </c>
      <c r="E1641" s="52" t="s">
        <v>25</v>
      </c>
      <c r="F1641" s="52" t="s">
        <v>26</v>
      </c>
      <c r="G1641" s="54"/>
    </row>
    <row r="1642">
      <c r="A1642" s="49">
        <v>45037.8720502662</v>
      </c>
      <c r="B1642" s="50">
        <v>45037.9970193981</v>
      </c>
      <c r="C1642" s="51">
        <v>1.04</v>
      </c>
      <c r="D1642" s="51">
        <v>64.0</v>
      </c>
      <c r="E1642" s="52" t="s">
        <v>25</v>
      </c>
      <c r="F1642" s="52" t="s">
        <v>26</v>
      </c>
      <c r="G1642" s="54"/>
    </row>
    <row r="1643">
      <c r="A1643" s="49">
        <v>45037.88248350694</v>
      </c>
      <c r="B1643" s="50">
        <v>45038.0074517013</v>
      </c>
      <c r="C1643" s="51">
        <v>1.04</v>
      </c>
      <c r="D1643" s="51">
        <v>64.0</v>
      </c>
      <c r="E1643" s="52" t="s">
        <v>25</v>
      </c>
      <c r="F1643" s="52" t="s">
        <v>26</v>
      </c>
      <c r="G1643" s="54"/>
    </row>
    <row r="1644">
      <c r="A1644" s="49">
        <v>45037.892901666666</v>
      </c>
      <c r="B1644" s="50">
        <v>45038.017873912</v>
      </c>
      <c r="C1644" s="51">
        <v>1.04</v>
      </c>
      <c r="D1644" s="51">
        <v>64.0</v>
      </c>
      <c r="E1644" s="52" t="s">
        <v>25</v>
      </c>
      <c r="F1644" s="52" t="s">
        <v>26</v>
      </c>
      <c r="G1644" s="54"/>
    </row>
    <row r="1645">
      <c r="A1645" s="49">
        <v>45037.90332753472</v>
      </c>
      <c r="B1645" s="50">
        <v>45038.0282960532</v>
      </c>
      <c r="C1645" s="51">
        <v>1.04</v>
      </c>
      <c r="D1645" s="51">
        <v>64.0</v>
      </c>
      <c r="E1645" s="52" t="s">
        <v>25</v>
      </c>
      <c r="F1645" s="52" t="s">
        <v>26</v>
      </c>
      <c r="G1645" s="54"/>
    </row>
    <row r="1646">
      <c r="A1646" s="49">
        <v>45037.91379861112</v>
      </c>
      <c r="B1646" s="50">
        <v>45038.0387742939</v>
      </c>
      <c r="C1646" s="51">
        <v>1.04</v>
      </c>
      <c r="D1646" s="51">
        <v>64.0</v>
      </c>
      <c r="E1646" s="52" t="s">
        <v>25</v>
      </c>
      <c r="F1646" s="52" t="s">
        <v>26</v>
      </c>
      <c r="G1646" s="54"/>
    </row>
    <row r="1647">
      <c r="A1647" s="49">
        <v>45037.92423133102</v>
      </c>
      <c r="B1647" s="50">
        <v>45038.0492051157</v>
      </c>
      <c r="C1647" s="51">
        <v>1.04</v>
      </c>
      <c r="D1647" s="51">
        <v>64.0</v>
      </c>
      <c r="E1647" s="52" t="s">
        <v>25</v>
      </c>
      <c r="F1647" s="52" t="s">
        <v>26</v>
      </c>
      <c r="G1647" s="54"/>
    </row>
    <row r="1648">
      <c r="A1648" s="49">
        <v>45037.934659502316</v>
      </c>
      <c r="B1648" s="50">
        <v>45038.0596373611</v>
      </c>
      <c r="C1648" s="51">
        <v>1.04</v>
      </c>
      <c r="D1648" s="51">
        <v>64.0</v>
      </c>
      <c r="E1648" s="52" t="s">
        <v>25</v>
      </c>
      <c r="F1648" s="52" t="s">
        <v>26</v>
      </c>
      <c r="G1648" s="54"/>
    </row>
    <row r="1649">
      <c r="A1649" s="49">
        <v>45037.945077847224</v>
      </c>
      <c r="B1649" s="50">
        <v>45038.0700568402</v>
      </c>
      <c r="C1649" s="51">
        <v>1.04</v>
      </c>
      <c r="D1649" s="51">
        <v>64.0</v>
      </c>
      <c r="E1649" s="52" t="s">
        <v>25</v>
      </c>
      <c r="F1649" s="52" t="s">
        <v>26</v>
      </c>
      <c r="G1649" s="54"/>
    </row>
    <row r="1650">
      <c r="A1650" s="49">
        <v>45037.95549893519</v>
      </c>
      <c r="B1650" s="50">
        <v>45038.0804762731</v>
      </c>
      <c r="C1650" s="51">
        <v>1.04</v>
      </c>
      <c r="D1650" s="51">
        <v>64.0</v>
      </c>
      <c r="E1650" s="52" t="s">
        <v>25</v>
      </c>
      <c r="F1650" s="52" t="s">
        <v>26</v>
      </c>
      <c r="G1650" s="54"/>
    </row>
    <row r="1651">
      <c r="A1651" s="49">
        <v>45037.9659279051</v>
      </c>
      <c r="B1651" s="50">
        <v>45038.0908970023</v>
      </c>
      <c r="C1651" s="51">
        <v>1.04</v>
      </c>
      <c r="D1651" s="51">
        <v>64.0</v>
      </c>
      <c r="E1651" s="52" t="s">
        <v>25</v>
      </c>
      <c r="F1651" s="52" t="s">
        <v>26</v>
      </c>
      <c r="G1651" s="54"/>
    </row>
    <row r="1652">
      <c r="A1652" s="49">
        <v>45037.97636122685</v>
      </c>
      <c r="B1652" s="50">
        <v>45038.1013305208</v>
      </c>
      <c r="C1652" s="51">
        <v>1.04</v>
      </c>
      <c r="D1652" s="51">
        <v>64.0</v>
      </c>
      <c r="E1652" s="52" t="s">
        <v>25</v>
      </c>
      <c r="F1652" s="52" t="s">
        <v>26</v>
      </c>
      <c r="G1652" s="54"/>
    </row>
    <row r="1653">
      <c r="A1653" s="49">
        <v>45037.98677746528</v>
      </c>
      <c r="B1653" s="50">
        <v>45038.1117507175</v>
      </c>
      <c r="C1653" s="51">
        <v>1.04</v>
      </c>
      <c r="D1653" s="51">
        <v>64.0</v>
      </c>
      <c r="E1653" s="52" t="s">
        <v>25</v>
      </c>
      <c r="F1653" s="52" t="s">
        <v>26</v>
      </c>
      <c r="G1653" s="54"/>
    </row>
    <row r="1654">
      <c r="A1654" s="49">
        <v>45037.99720510417</v>
      </c>
      <c r="B1654" s="50">
        <v>45038.1221834953</v>
      </c>
      <c r="C1654" s="51">
        <v>1.039</v>
      </c>
      <c r="D1654" s="51">
        <v>64.0</v>
      </c>
      <c r="E1654" s="52" t="s">
        <v>25</v>
      </c>
      <c r="F1654" s="52" t="s">
        <v>26</v>
      </c>
      <c r="G1654" s="54"/>
    </row>
    <row r="1655">
      <c r="A1655" s="49">
        <v>45038.00762496528</v>
      </c>
      <c r="B1655" s="50">
        <v>45038.1326039236</v>
      </c>
      <c r="C1655" s="51">
        <v>1.04</v>
      </c>
      <c r="D1655" s="51">
        <v>64.0</v>
      </c>
      <c r="E1655" s="52" t="s">
        <v>25</v>
      </c>
      <c r="F1655" s="52" t="s">
        <v>26</v>
      </c>
      <c r="G1655" s="54"/>
    </row>
    <row r="1656">
      <c r="A1656" s="49">
        <v>45038.018059062495</v>
      </c>
      <c r="B1656" s="50">
        <v>45038.1430265393</v>
      </c>
      <c r="C1656" s="51">
        <v>1.04</v>
      </c>
      <c r="D1656" s="51">
        <v>64.0</v>
      </c>
      <c r="E1656" s="52" t="s">
        <v>25</v>
      </c>
      <c r="F1656" s="52" t="s">
        <v>26</v>
      </c>
      <c r="G1656" s="54"/>
    </row>
    <row r="1657">
      <c r="A1657" s="49">
        <v>45038.02847773148</v>
      </c>
      <c r="B1657" s="50">
        <v>45038.1534477546</v>
      </c>
      <c r="C1657" s="51">
        <v>1.039</v>
      </c>
      <c r="D1657" s="51">
        <v>64.0</v>
      </c>
      <c r="E1657" s="52" t="s">
        <v>25</v>
      </c>
      <c r="F1657" s="52" t="s">
        <v>26</v>
      </c>
      <c r="G1657" s="54"/>
    </row>
    <row r="1658">
      <c r="A1658" s="49">
        <v>45038.03889971065</v>
      </c>
      <c r="B1658" s="50">
        <v>45038.1638694907</v>
      </c>
      <c r="C1658" s="51">
        <v>1.04</v>
      </c>
      <c r="D1658" s="51">
        <v>64.0</v>
      </c>
      <c r="E1658" s="52" t="s">
        <v>25</v>
      </c>
      <c r="F1658" s="52" t="s">
        <v>26</v>
      </c>
      <c r="G1658" s="54"/>
    </row>
    <row r="1659">
      <c r="A1659" s="49">
        <v>45038.049312731484</v>
      </c>
      <c r="B1659" s="50">
        <v>45038.1742901388</v>
      </c>
      <c r="C1659" s="51">
        <v>1.04</v>
      </c>
      <c r="D1659" s="51">
        <v>64.0</v>
      </c>
      <c r="E1659" s="52" t="s">
        <v>25</v>
      </c>
      <c r="F1659" s="52" t="s">
        <v>26</v>
      </c>
      <c r="G1659" s="54"/>
    </row>
    <row r="1660">
      <c r="A1660" s="49">
        <v>45038.059731898145</v>
      </c>
      <c r="B1660" s="50">
        <v>45038.1847095486</v>
      </c>
      <c r="C1660" s="51">
        <v>1.04</v>
      </c>
      <c r="D1660" s="51">
        <v>64.0</v>
      </c>
      <c r="E1660" s="52" t="s">
        <v>25</v>
      </c>
      <c r="F1660" s="52" t="s">
        <v>26</v>
      </c>
      <c r="G1660" s="54"/>
    </row>
    <row r="1661">
      <c r="A1661" s="49">
        <v>45038.070159571755</v>
      </c>
      <c r="B1661" s="50">
        <v>45038.1951331944</v>
      </c>
      <c r="C1661" s="51">
        <v>1.039</v>
      </c>
      <c r="D1661" s="51">
        <v>64.0</v>
      </c>
      <c r="E1661" s="52" t="s">
        <v>25</v>
      </c>
      <c r="F1661" s="52" t="s">
        <v>26</v>
      </c>
      <c r="G1661" s="54"/>
    </row>
    <row r="1662">
      <c r="A1662" s="49">
        <v>45038.08060126158</v>
      </c>
      <c r="B1662" s="50">
        <v>45038.2055778588</v>
      </c>
      <c r="C1662" s="51">
        <v>1.039</v>
      </c>
      <c r="D1662" s="51">
        <v>64.0</v>
      </c>
      <c r="E1662" s="52" t="s">
        <v>25</v>
      </c>
      <c r="F1662" s="52" t="s">
        <v>26</v>
      </c>
      <c r="G1662" s="54"/>
    </row>
    <row r="1663">
      <c r="A1663" s="49">
        <v>45038.09102585648</v>
      </c>
      <c r="B1663" s="50">
        <v>45038.2159981828</v>
      </c>
      <c r="C1663" s="51">
        <v>1.039</v>
      </c>
      <c r="D1663" s="51">
        <v>64.0</v>
      </c>
      <c r="E1663" s="52" t="s">
        <v>25</v>
      </c>
      <c r="F1663" s="52" t="s">
        <v>26</v>
      </c>
      <c r="G1663" s="54"/>
    </row>
    <row r="1664">
      <c r="A1664" s="49">
        <v>45038.101455462966</v>
      </c>
      <c r="B1664" s="50">
        <v>45038.22643353</v>
      </c>
      <c r="C1664" s="51">
        <v>1.039</v>
      </c>
      <c r="D1664" s="51">
        <v>64.0</v>
      </c>
      <c r="E1664" s="52" t="s">
        <v>25</v>
      </c>
      <c r="F1664" s="52" t="s">
        <v>26</v>
      </c>
      <c r="G1664" s="54"/>
    </row>
    <row r="1665">
      <c r="A1665" s="49">
        <v>45038.1118728125</v>
      </c>
      <c r="B1665" s="50">
        <v>45038.2368545717</v>
      </c>
      <c r="C1665" s="51">
        <v>1.039</v>
      </c>
      <c r="D1665" s="51">
        <v>64.0</v>
      </c>
      <c r="E1665" s="52" t="s">
        <v>25</v>
      </c>
      <c r="F1665" s="52" t="s">
        <v>26</v>
      </c>
      <c r="G1665" s="54"/>
    </row>
    <row r="1666">
      <c r="A1666" s="49">
        <v>45038.12230570602</v>
      </c>
      <c r="B1666" s="50">
        <v>45038.2472766319</v>
      </c>
      <c r="C1666" s="51">
        <v>1.039</v>
      </c>
      <c r="D1666" s="51">
        <v>64.0</v>
      </c>
      <c r="E1666" s="52" t="s">
        <v>25</v>
      </c>
      <c r="F1666" s="52" t="s">
        <v>26</v>
      </c>
      <c r="G1666" s="54"/>
    </row>
    <row r="1667">
      <c r="A1667" s="49">
        <v>45038.13273783565</v>
      </c>
      <c r="B1667" s="50">
        <v>45038.257709699</v>
      </c>
      <c r="C1667" s="51">
        <v>1.039</v>
      </c>
      <c r="D1667" s="51">
        <v>64.0</v>
      </c>
      <c r="E1667" s="52" t="s">
        <v>25</v>
      </c>
      <c r="F1667" s="52" t="s">
        <v>26</v>
      </c>
      <c r="G1667" s="54"/>
    </row>
    <row r="1668">
      <c r="A1668" s="49">
        <v>45038.143159837964</v>
      </c>
      <c r="B1668" s="50">
        <v>45038.2681308333</v>
      </c>
      <c r="C1668" s="51">
        <v>1.039</v>
      </c>
      <c r="D1668" s="51">
        <v>64.0</v>
      </c>
      <c r="E1668" s="52" t="s">
        <v>25</v>
      </c>
      <c r="F1668" s="52" t="s">
        <v>26</v>
      </c>
      <c r="G1668" s="54"/>
    </row>
    <row r="1669">
      <c r="A1669" s="49">
        <v>45038.15357008102</v>
      </c>
      <c r="B1669" s="50">
        <v>45038.2785523379</v>
      </c>
      <c r="C1669" s="51">
        <v>1.039</v>
      </c>
      <c r="D1669" s="51">
        <v>64.0</v>
      </c>
      <c r="E1669" s="52" t="s">
        <v>25</v>
      </c>
      <c r="F1669" s="52" t="s">
        <v>26</v>
      </c>
      <c r="G1669" s="54"/>
    </row>
    <row r="1670">
      <c r="A1670" s="49">
        <v>45038.16399328704</v>
      </c>
      <c r="B1670" s="50">
        <v>45038.2889746759</v>
      </c>
      <c r="C1670" s="51">
        <v>1.039</v>
      </c>
      <c r="D1670" s="51">
        <v>64.0</v>
      </c>
      <c r="E1670" s="52" t="s">
        <v>25</v>
      </c>
      <c r="F1670" s="52" t="s">
        <v>26</v>
      </c>
      <c r="G1670" s="54"/>
    </row>
    <row r="1671">
      <c r="A1671" s="49">
        <v>45038.17442335648</v>
      </c>
      <c r="B1671" s="50">
        <v>45038.2993954282</v>
      </c>
      <c r="C1671" s="51">
        <v>1.039</v>
      </c>
      <c r="D1671" s="51">
        <v>64.0</v>
      </c>
      <c r="E1671" s="52" t="s">
        <v>25</v>
      </c>
      <c r="F1671" s="52" t="s">
        <v>26</v>
      </c>
      <c r="G1671" s="54"/>
    </row>
    <row r="1672">
      <c r="A1672" s="49">
        <v>45038.18484427083</v>
      </c>
      <c r="B1672" s="50">
        <v>45038.3098163657</v>
      </c>
      <c r="C1672" s="51">
        <v>1.039</v>
      </c>
      <c r="D1672" s="51">
        <v>64.0</v>
      </c>
      <c r="E1672" s="52" t="s">
        <v>25</v>
      </c>
      <c r="F1672" s="52" t="s">
        <v>26</v>
      </c>
      <c r="G1672" s="54"/>
    </row>
    <row r="1673">
      <c r="A1673" s="49">
        <v>45038.19526729167</v>
      </c>
      <c r="B1673" s="50">
        <v>45038.3202399074</v>
      </c>
      <c r="C1673" s="51">
        <v>1.039</v>
      </c>
      <c r="D1673" s="51">
        <v>64.0</v>
      </c>
      <c r="E1673" s="52" t="s">
        <v>25</v>
      </c>
      <c r="F1673" s="52" t="s">
        <v>26</v>
      </c>
      <c r="G1673" s="54"/>
    </row>
    <row r="1674">
      <c r="A1674" s="49">
        <v>45038.20568309027</v>
      </c>
      <c r="B1674" s="50">
        <v>45038.330661412</v>
      </c>
      <c r="C1674" s="51">
        <v>1.039</v>
      </c>
      <c r="D1674" s="51">
        <v>64.0</v>
      </c>
      <c r="E1674" s="52" t="s">
        <v>25</v>
      </c>
      <c r="F1674" s="52" t="s">
        <v>26</v>
      </c>
      <c r="G1674" s="54"/>
    </row>
    <row r="1675">
      <c r="A1675" s="49">
        <v>45038.216121307865</v>
      </c>
      <c r="B1675" s="50">
        <v>45038.3410939236</v>
      </c>
      <c r="C1675" s="51">
        <v>1.039</v>
      </c>
      <c r="D1675" s="51">
        <v>64.0</v>
      </c>
      <c r="E1675" s="52" t="s">
        <v>25</v>
      </c>
      <c r="F1675" s="52" t="s">
        <v>26</v>
      </c>
      <c r="G1675" s="54"/>
    </row>
    <row r="1676">
      <c r="A1676" s="49">
        <v>45038.22654159722</v>
      </c>
      <c r="B1676" s="50">
        <v>45038.3515157175</v>
      </c>
      <c r="C1676" s="51">
        <v>1.039</v>
      </c>
      <c r="D1676" s="51">
        <v>64.0</v>
      </c>
      <c r="E1676" s="52" t="s">
        <v>25</v>
      </c>
      <c r="F1676" s="52" t="s">
        <v>26</v>
      </c>
      <c r="G1676" s="54"/>
    </row>
    <row r="1677">
      <c r="A1677" s="49">
        <v>45038.23696268519</v>
      </c>
      <c r="B1677" s="50">
        <v>45038.361936655</v>
      </c>
      <c r="C1677" s="51">
        <v>1.039</v>
      </c>
      <c r="D1677" s="51">
        <v>64.0</v>
      </c>
      <c r="E1677" s="52" t="s">
        <v>25</v>
      </c>
      <c r="F1677" s="52" t="s">
        <v>26</v>
      </c>
      <c r="G1677" s="54"/>
    </row>
    <row r="1678">
      <c r="A1678" s="49">
        <v>45038.24738396991</v>
      </c>
      <c r="B1678" s="50">
        <v>45038.3723554629</v>
      </c>
      <c r="C1678" s="51">
        <v>1.039</v>
      </c>
      <c r="D1678" s="51">
        <v>64.0</v>
      </c>
      <c r="E1678" s="52" t="s">
        <v>25</v>
      </c>
      <c r="F1678" s="52" t="s">
        <v>26</v>
      </c>
      <c r="G1678" s="54"/>
    </row>
    <row r="1679">
      <c r="A1679" s="49">
        <v>45038.257804733796</v>
      </c>
      <c r="B1679" s="50">
        <v>45038.3827776041</v>
      </c>
      <c r="C1679" s="51">
        <v>1.039</v>
      </c>
      <c r="D1679" s="51">
        <v>64.0</v>
      </c>
      <c r="E1679" s="52" t="s">
        <v>25</v>
      </c>
      <c r="F1679" s="52" t="s">
        <v>26</v>
      </c>
      <c r="G1679" s="54"/>
    </row>
    <row r="1680">
      <c r="A1680" s="49">
        <v>45038.26822290509</v>
      </c>
      <c r="B1680" s="50">
        <v>45038.3931994907</v>
      </c>
      <c r="C1680" s="51">
        <v>1.039</v>
      </c>
      <c r="D1680" s="51">
        <v>64.0</v>
      </c>
      <c r="E1680" s="52" t="s">
        <v>25</v>
      </c>
      <c r="F1680" s="52" t="s">
        <v>26</v>
      </c>
      <c r="G1680" s="54"/>
    </row>
    <row r="1681">
      <c r="A1681" s="49">
        <v>45038.27864927083</v>
      </c>
      <c r="B1681" s="50">
        <v>45038.4036203588</v>
      </c>
      <c r="C1681" s="51">
        <v>1.039</v>
      </c>
      <c r="D1681" s="51">
        <v>64.0</v>
      </c>
      <c r="E1681" s="52" t="s">
        <v>25</v>
      </c>
      <c r="F1681" s="52" t="s">
        <v>26</v>
      </c>
      <c r="G1681" s="54"/>
    </row>
    <row r="1682">
      <c r="A1682" s="49">
        <v>45038.289070706014</v>
      </c>
      <c r="B1682" s="50">
        <v>45038.4140399305</v>
      </c>
      <c r="C1682" s="51">
        <v>1.039</v>
      </c>
      <c r="D1682" s="51">
        <v>64.0</v>
      </c>
      <c r="E1682" s="52" t="s">
        <v>25</v>
      </c>
      <c r="F1682" s="52" t="s">
        <v>26</v>
      </c>
      <c r="G1682" s="54"/>
    </row>
    <row r="1683">
      <c r="A1683" s="49">
        <v>45038.299500821755</v>
      </c>
      <c r="B1683" s="50">
        <v>45038.4244728935</v>
      </c>
      <c r="C1683" s="51">
        <v>1.039</v>
      </c>
      <c r="D1683" s="51">
        <v>64.0</v>
      </c>
      <c r="E1683" s="52" t="s">
        <v>25</v>
      </c>
      <c r="F1683" s="52" t="s">
        <v>26</v>
      </c>
      <c r="G1683" s="54"/>
    </row>
    <row r="1684">
      <c r="A1684" s="49">
        <v>45038.309919872685</v>
      </c>
      <c r="B1684" s="50">
        <v>45038.4348950347</v>
      </c>
      <c r="C1684" s="51">
        <v>1.039</v>
      </c>
      <c r="D1684" s="51">
        <v>64.0</v>
      </c>
      <c r="E1684" s="52" t="s">
        <v>25</v>
      </c>
      <c r="F1684" s="52" t="s">
        <v>26</v>
      </c>
      <c r="G1684" s="54"/>
    </row>
    <row r="1685">
      <c r="A1685" s="49">
        <v>45038.32034428241</v>
      </c>
      <c r="B1685" s="50">
        <v>45038.4453149421</v>
      </c>
      <c r="C1685" s="51">
        <v>1.039</v>
      </c>
      <c r="D1685" s="51">
        <v>64.0</v>
      </c>
      <c r="E1685" s="52" t="s">
        <v>25</v>
      </c>
      <c r="F1685" s="52" t="s">
        <v>26</v>
      </c>
      <c r="G1685" s="54"/>
    </row>
    <row r="1686">
      <c r="A1686" s="49">
        <v>45038.330762638885</v>
      </c>
      <c r="B1686" s="50">
        <v>45038.4557341088</v>
      </c>
      <c r="C1686" s="51">
        <v>1.039</v>
      </c>
      <c r="D1686" s="51">
        <v>64.0</v>
      </c>
      <c r="E1686" s="52" t="s">
        <v>25</v>
      </c>
      <c r="F1686" s="52" t="s">
        <v>26</v>
      </c>
      <c r="G1686" s="54"/>
    </row>
    <row r="1687">
      <c r="A1687" s="49">
        <v>45038.34118412037</v>
      </c>
      <c r="B1687" s="50">
        <v>45038.4661555787</v>
      </c>
      <c r="C1687" s="51">
        <v>1.039</v>
      </c>
      <c r="D1687" s="51">
        <v>64.0</v>
      </c>
      <c r="E1687" s="52" t="s">
        <v>25</v>
      </c>
      <c r="F1687" s="52" t="s">
        <v>26</v>
      </c>
      <c r="G1687" s="54"/>
    </row>
    <row r="1688">
      <c r="A1688" s="49">
        <v>45038.35160550926</v>
      </c>
      <c r="B1688" s="50">
        <v>45038.4765764004</v>
      </c>
      <c r="C1688" s="51">
        <v>1.039</v>
      </c>
      <c r="D1688" s="51">
        <v>64.0</v>
      </c>
      <c r="E1688" s="52" t="s">
        <v>25</v>
      </c>
      <c r="F1688" s="52" t="s">
        <v>26</v>
      </c>
      <c r="G1688" s="54"/>
    </row>
    <row r="1689">
      <c r="A1689" s="49">
        <v>45038.36202881944</v>
      </c>
      <c r="B1689" s="50">
        <v>45038.4869983333</v>
      </c>
      <c r="C1689" s="51">
        <v>1.039</v>
      </c>
      <c r="D1689" s="51">
        <v>64.0</v>
      </c>
      <c r="E1689" s="52" t="s">
        <v>25</v>
      </c>
      <c r="F1689" s="52" t="s">
        <v>26</v>
      </c>
      <c r="G1689" s="54"/>
    </row>
    <row r="1690">
      <c r="A1690" s="49">
        <v>45038.372443125</v>
      </c>
      <c r="B1690" s="50">
        <v>45038.497418287</v>
      </c>
      <c r="C1690" s="51">
        <v>1.039</v>
      </c>
      <c r="D1690" s="51">
        <v>64.0</v>
      </c>
      <c r="E1690" s="52" t="s">
        <v>25</v>
      </c>
      <c r="F1690" s="52" t="s">
        <v>26</v>
      </c>
      <c r="G1690" s="54"/>
    </row>
    <row r="1691">
      <c r="A1691" s="49">
        <v>45038.38286806713</v>
      </c>
      <c r="B1691" s="50">
        <v>45038.5078399305</v>
      </c>
      <c r="C1691" s="51">
        <v>1.039</v>
      </c>
      <c r="D1691" s="51">
        <v>64.0</v>
      </c>
      <c r="E1691" s="52" t="s">
        <v>25</v>
      </c>
      <c r="F1691" s="52" t="s">
        <v>26</v>
      </c>
      <c r="G1691" s="54"/>
    </row>
    <row r="1692">
      <c r="A1692" s="49">
        <v>45038.39328591435</v>
      </c>
      <c r="B1692" s="50">
        <v>45038.5182615277</v>
      </c>
      <c r="C1692" s="51">
        <v>1.039</v>
      </c>
      <c r="D1692" s="51">
        <v>64.0</v>
      </c>
      <c r="E1692" s="52" t="s">
        <v>25</v>
      </c>
      <c r="F1692" s="52" t="s">
        <v>26</v>
      </c>
      <c r="G1692" s="54"/>
    </row>
    <row r="1693">
      <c r="A1693" s="49">
        <v>45038.4037071875</v>
      </c>
      <c r="B1693" s="50">
        <v>45038.5286818865</v>
      </c>
      <c r="C1693" s="51">
        <v>1.039</v>
      </c>
      <c r="D1693" s="51">
        <v>64.0</v>
      </c>
      <c r="E1693" s="52" t="s">
        <v>25</v>
      </c>
      <c r="F1693" s="52" t="s">
        <v>26</v>
      </c>
      <c r="G1693" s="54"/>
    </row>
    <row r="1694">
      <c r="A1694" s="49">
        <v>45038.41413114584</v>
      </c>
      <c r="B1694" s="50">
        <v>45038.5391029745</v>
      </c>
      <c r="C1694" s="51">
        <v>1.039</v>
      </c>
      <c r="D1694" s="51">
        <v>64.0</v>
      </c>
      <c r="E1694" s="52" t="s">
        <v>25</v>
      </c>
      <c r="F1694" s="52" t="s">
        <v>26</v>
      </c>
      <c r="G1694" s="54"/>
    </row>
    <row r="1695">
      <c r="A1695" s="49">
        <v>45038.42455447916</v>
      </c>
      <c r="B1695" s="50">
        <v>45038.5495242476</v>
      </c>
      <c r="C1695" s="51">
        <v>1.039</v>
      </c>
      <c r="D1695" s="51">
        <v>64.0</v>
      </c>
      <c r="E1695" s="52" t="s">
        <v>25</v>
      </c>
      <c r="F1695" s="52" t="s">
        <v>26</v>
      </c>
      <c r="G1695" s="54"/>
    </row>
    <row r="1696">
      <c r="A1696" s="49">
        <v>45038.43498085648</v>
      </c>
      <c r="B1696" s="50">
        <v>45038.5599435879</v>
      </c>
      <c r="C1696" s="51">
        <v>1.039</v>
      </c>
      <c r="D1696" s="51">
        <v>64.0</v>
      </c>
      <c r="E1696" s="52" t="s">
        <v>25</v>
      </c>
      <c r="F1696" s="52" t="s">
        <v>26</v>
      </c>
      <c r="G1696" s="54"/>
    </row>
    <row r="1697">
      <c r="A1697" s="49">
        <v>45038.44538725694</v>
      </c>
      <c r="B1697" s="50">
        <v>45038.5703648032</v>
      </c>
      <c r="C1697" s="51">
        <v>1.039</v>
      </c>
      <c r="D1697" s="51">
        <v>64.0</v>
      </c>
      <c r="E1697" s="52" t="s">
        <v>25</v>
      </c>
      <c r="F1697" s="52" t="s">
        <v>26</v>
      </c>
      <c r="G1697" s="54"/>
    </row>
    <row r="1698">
      <c r="A1698" s="49">
        <v>45038.45581053241</v>
      </c>
      <c r="B1698" s="50">
        <v>45038.580788206</v>
      </c>
      <c r="C1698" s="51">
        <v>1.039</v>
      </c>
      <c r="D1698" s="51">
        <v>64.0</v>
      </c>
      <c r="E1698" s="52" t="s">
        <v>25</v>
      </c>
      <c r="F1698" s="52" t="s">
        <v>26</v>
      </c>
      <c r="G1698" s="54"/>
    </row>
    <row r="1699">
      <c r="A1699" s="49">
        <v>45038.46624497685</v>
      </c>
      <c r="B1699" s="50">
        <v>45038.5912226041</v>
      </c>
      <c r="C1699" s="51">
        <v>1.039</v>
      </c>
      <c r="D1699" s="51">
        <v>64.0</v>
      </c>
      <c r="E1699" s="52" t="s">
        <v>25</v>
      </c>
      <c r="F1699" s="52" t="s">
        <v>26</v>
      </c>
      <c r="G1699" s="54"/>
    </row>
    <row r="1700">
      <c r="A1700" s="49">
        <v>45038.47667296296</v>
      </c>
      <c r="B1700" s="50">
        <v>45038.6016438078</v>
      </c>
      <c r="C1700" s="51">
        <v>1.039</v>
      </c>
      <c r="D1700" s="51">
        <v>64.0</v>
      </c>
      <c r="E1700" s="52" t="s">
        <v>25</v>
      </c>
      <c r="F1700" s="52" t="s">
        <v>26</v>
      </c>
      <c r="G1700" s="54"/>
    </row>
    <row r="1701">
      <c r="A1701" s="49">
        <v>45038.48708796296</v>
      </c>
      <c r="B1701" s="50">
        <v>45038.6120667129</v>
      </c>
      <c r="C1701" s="51">
        <v>1.039</v>
      </c>
      <c r="D1701" s="51">
        <v>64.0</v>
      </c>
      <c r="E1701" s="52" t="s">
        <v>25</v>
      </c>
      <c r="F1701" s="52" t="s">
        <v>26</v>
      </c>
      <c r="G1701" s="54"/>
    </row>
    <row r="1702">
      <c r="A1702" s="49">
        <v>45038.49752076389</v>
      </c>
      <c r="B1702" s="50">
        <v>45038.6224868865</v>
      </c>
      <c r="C1702" s="51">
        <v>1.039</v>
      </c>
      <c r="D1702" s="51">
        <v>64.0</v>
      </c>
      <c r="E1702" s="52" t="s">
        <v>25</v>
      </c>
      <c r="F1702" s="52" t="s">
        <v>26</v>
      </c>
      <c r="G1702" s="54"/>
    </row>
    <row r="1703">
      <c r="A1703" s="49">
        <v>45038.50793670139</v>
      </c>
      <c r="B1703" s="50">
        <v>45038.6329079513</v>
      </c>
      <c r="C1703" s="51">
        <v>1.039</v>
      </c>
      <c r="D1703" s="51">
        <v>64.0</v>
      </c>
      <c r="E1703" s="52" t="s">
        <v>25</v>
      </c>
      <c r="F1703" s="52" t="s">
        <v>26</v>
      </c>
      <c r="G1703" s="54"/>
    </row>
    <row r="1704">
      <c r="A1704" s="49">
        <v>45038.51835640046</v>
      </c>
      <c r="B1704" s="50">
        <v>45038.6433298379</v>
      </c>
      <c r="C1704" s="51">
        <v>1.039</v>
      </c>
      <c r="D1704" s="51">
        <v>64.0</v>
      </c>
      <c r="E1704" s="52" t="s">
        <v>25</v>
      </c>
      <c r="F1704" s="52" t="s">
        <v>26</v>
      </c>
      <c r="G1704" s="54"/>
    </row>
    <row r="1705">
      <c r="A1705" s="49">
        <v>45038.52877655093</v>
      </c>
      <c r="B1705" s="50">
        <v>45038.653751875</v>
      </c>
      <c r="C1705" s="51">
        <v>1.039</v>
      </c>
      <c r="D1705" s="51">
        <v>64.0</v>
      </c>
      <c r="E1705" s="52" t="s">
        <v>25</v>
      </c>
      <c r="F1705" s="52" t="s">
        <v>26</v>
      </c>
      <c r="G1705" s="54"/>
    </row>
    <row r="1706">
      <c r="A1706" s="49">
        <v>45038.53920564815</v>
      </c>
      <c r="B1706" s="50">
        <v>45038.6641724421</v>
      </c>
      <c r="C1706" s="51">
        <v>1.039</v>
      </c>
      <c r="D1706" s="51">
        <v>64.0</v>
      </c>
      <c r="E1706" s="52" t="s">
        <v>25</v>
      </c>
      <c r="F1706" s="52" t="s">
        <v>26</v>
      </c>
      <c r="G1706" s="54"/>
    </row>
    <row r="1707">
      <c r="A1707" s="49">
        <v>45038.54961637731</v>
      </c>
      <c r="B1707" s="50">
        <v>45038.6745933449</v>
      </c>
      <c r="C1707" s="51">
        <v>1.038</v>
      </c>
      <c r="D1707" s="51">
        <v>64.0</v>
      </c>
      <c r="E1707" s="52" t="s">
        <v>25</v>
      </c>
      <c r="F1707" s="52" t="s">
        <v>26</v>
      </c>
      <c r="G1707" s="54"/>
    </row>
    <row r="1708">
      <c r="A1708" s="49">
        <v>45038.56004467593</v>
      </c>
      <c r="B1708" s="50">
        <v>45038.6850148726</v>
      </c>
      <c r="C1708" s="51">
        <v>1.038</v>
      </c>
      <c r="D1708" s="51">
        <v>64.0</v>
      </c>
      <c r="E1708" s="52" t="s">
        <v>25</v>
      </c>
      <c r="F1708" s="52" t="s">
        <v>26</v>
      </c>
      <c r="G1708" s="54"/>
    </row>
    <row r="1709">
      <c r="A1709" s="49">
        <v>45038.57047167824</v>
      </c>
      <c r="B1709" s="50">
        <v>45038.6954488657</v>
      </c>
      <c r="C1709" s="51">
        <v>1.038</v>
      </c>
      <c r="D1709" s="51">
        <v>64.0</v>
      </c>
      <c r="E1709" s="52" t="s">
        <v>25</v>
      </c>
      <c r="F1709" s="52" t="s">
        <v>26</v>
      </c>
      <c r="G1709" s="54"/>
    </row>
    <row r="1710">
      <c r="A1710" s="49">
        <v>45038.580913356476</v>
      </c>
      <c r="B1710" s="50">
        <v>45038.7058817824</v>
      </c>
      <c r="C1710" s="51">
        <v>1.038</v>
      </c>
      <c r="D1710" s="51">
        <v>64.0</v>
      </c>
      <c r="E1710" s="52" t="s">
        <v>25</v>
      </c>
      <c r="F1710" s="52" t="s">
        <v>26</v>
      </c>
      <c r="G1710" s="54"/>
    </row>
    <row r="1711">
      <c r="A1711" s="49">
        <v>45038.59133016204</v>
      </c>
      <c r="B1711" s="50">
        <v>45038.7163025694</v>
      </c>
      <c r="C1711" s="51">
        <v>1.038</v>
      </c>
      <c r="D1711" s="51">
        <v>64.0</v>
      </c>
      <c r="E1711" s="52" t="s">
        <v>25</v>
      </c>
      <c r="F1711" s="52" t="s">
        <v>26</v>
      </c>
      <c r="G1711" s="54"/>
    </row>
    <row r="1712">
      <c r="A1712" s="49">
        <v>45038.601763969906</v>
      </c>
      <c r="B1712" s="50">
        <v>45038.7267367245</v>
      </c>
      <c r="C1712" s="51">
        <v>1.038</v>
      </c>
      <c r="D1712" s="51">
        <v>64.0</v>
      </c>
      <c r="E1712" s="52" t="s">
        <v>25</v>
      </c>
      <c r="F1712" s="52" t="s">
        <v>26</v>
      </c>
      <c r="G1712" s="54"/>
    </row>
    <row r="1713">
      <c r="A1713" s="49">
        <v>45038.612178807874</v>
      </c>
      <c r="B1713" s="50">
        <v>45038.7371579166</v>
      </c>
      <c r="C1713" s="51">
        <v>1.038</v>
      </c>
      <c r="D1713" s="51">
        <v>64.0</v>
      </c>
      <c r="E1713" s="52" t="s">
        <v>25</v>
      </c>
      <c r="F1713" s="52" t="s">
        <v>26</v>
      </c>
      <c r="G1713" s="54"/>
    </row>
    <row r="1714">
      <c r="A1714" s="49">
        <v>45038.62261341435</v>
      </c>
      <c r="B1714" s="50">
        <v>45038.7475891088</v>
      </c>
      <c r="C1714" s="51">
        <v>1.038</v>
      </c>
      <c r="D1714" s="51">
        <v>64.0</v>
      </c>
      <c r="E1714" s="52" t="s">
        <v>25</v>
      </c>
      <c r="F1714" s="52" t="s">
        <v>26</v>
      </c>
      <c r="G1714" s="54"/>
    </row>
    <row r="1715">
      <c r="A1715" s="49">
        <v>45038.63303357639</v>
      </c>
      <c r="B1715" s="50">
        <v>45038.758009618</v>
      </c>
      <c r="C1715" s="51">
        <v>1.038</v>
      </c>
      <c r="D1715" s="51">
        <v>64.0</v>
      </c>
      <c r="E1715" s="52" t="s">
        <v>25</v>
      </c>
      <c r="F1715" s="52" t="s">
        <v>26</v>
      </c>
      <c r="G1715" s="54"/>
    </row>
    <row r="1716">
      <c r="A1716" s="49">
        <v>45038.64345400463</v>
      </c>
      <c r="B1716" s="50">
        <v>45038.7684301388</v>
      </c>
      <c r="C1716" s="51">
        <v>1.038</v>
      </c>
      <c r="D1716" s="51">
        <v>64.0</v>
      </c>
      <c r="E1716" s="52" t="s">
        <v>25</v>
      </c>
      <c r="F1716" s="52" t="s">
        <v>26</v>
      </c>
      <c r="G1716" s="54"/>
    </row>
    <row r="1717">
      <c r="A1717" s="49">
        <v>45038.6538905787</v>
      </c>
      <c r="B1717" s="50">
        <v>45038.7788631597</v>
      </c>
      <c r="C1717" s="51">
        <v>1.038</v>
      </c>
      <c r="D1717" s="51">
        <v>64.0</v>
      </c>
      <c r="E1717" s="52" t="s">
        <v>25</v>
      </c>
      <c r="F1717" s="52" t="s">
        <v>26</v>
      </c>
      <c r="G1717" s="54"/>
    </row>
    <row r="1718">
      <c r="A1718" s="49">
        <v>45038.66432140046</v>
      </c>
      <c r="B1718" s="50">
        <v>45038.7892952546</v>
      </c>
      <c r="C1718" s="51">
        <v>1.038</v>
      </c>
      <c r="D1718" s="51">
        <v>64.0</v>
      </c>
      <c r="E1718" s="52" t="s">
        <v>25</v>
      </c>
      <c r="F1718" s="52" t="s">
        <v>26</v>
      </c>
      <c r="G1718" s="54"/>
    </row>
    <row r="1719">
      <c r="A1719" s="49">
        <v>45038.67474641204</v>
      </c>
      <c r="B1719" s="50">
        <v>45038.7997161574</v>
      </c>
      <c r="C1719" s="51">
        <v>1.038</v>
      </c>
      <c r="D1719" s="51">
        <v>64.0</v>
      </c>
      <c r="E1719" s="52" t="s">
        <v>25</v>
      </c>
      <c r="F1719" s="52" t="s">
        <v>26</v>
      </c>
      <c r="G1719" s="54"/>
    </row>
    <row r="1720">
      <c r="A1720" s="49">
        <v>45038.68517078704</v>
      </c>
      <c r="B1720" s="50">
        <v>45038.8101383796</v>
      </c>
      <c r="C1720" s="51">
        <v>1.038</v>
      </c>
      <c r="D1720" s="51">
        <v>64.0</v>
      </c>
      <c r="E1720" s="52" t="s">
        <v>25</v>
      </c>
      <c r="F1720" s="52" t="s">
        <v>26</v>
      </c>
      <c r="G1720" s="54"/>
    </row>
    <row r="1721">
      <c r="A1721" s="49">
        <v>45038.69559715278</v>
      </c>
      <c r="B1721" s="50">
        <v>45038.8205605439</v>
      </c>
      <c r="C1721" s="51">
        <v>1.038</v>
      </c>
      <c r="D1721" s="51">
        <v>64.0</v>
      </c>
      <c r="E1721" s="52" t="s">
        <v>25</v>
      </c>
      <c r="F1721" s="52" t="s">
        <v>26</v>
      </c>
      <c r="G1721" s="54"/>
    </row>
    <row r="1722">
      <c r="A1722" s="49">
        <v>45038.70601123842</v>
      </c>
      <c r="B1722" s="50">
        <v>45038.8309825925</v>
      </c>
      <c r="C1722" s="51">
        <v>1.038</v>
      </c>
      <c r="D1722" s="51">
        <v>64.0</v>
      </c>
      <c r="E1722" s="52" t="s">
        <v>25</v>
      </c>
      <c r="F1722" s="52" t="s">
        <v>26</v>
      </c>
      <c r="G1722" s="54"/>
    </row>
    <row r="1723">
      <c r="A1723" s="49">
        <v>45038.716431678244</v>
      </c>
      <c r="B1723" s="50">
        <v>45038.8414017245</v>
      </c>
      <c r="C1723" s="51">
        <v>1.038</v>
      </c>
      <c r="D1723" s="51">
        <v>64.0</v>
      </c>
      <c r="E1723" s="52" t="s">
        <v>25</v>
      </c>
      <c r="F1723" s="52" t="s">
        <v>26</v>
      </c>
      <c r="G1723" s="54"/>
    </row>
    <row r="1724">
      <c r="A1724" s="49">
        <v>45038.72684824074</v>
      </c>
      <c r="B1724" s="50">
        <v>45038.8518219213</v>
      </c>
      <c r="C1724" s="51">
        <v>1.038</v>
      </c>
      <c r="D1724" s="51">
        <v>64.0</v>
      </c>
      <c r="E1724" s="52" t="s">
        <v>25</v>
      </c>
      <c r="F1724" s="52" t="s">
        <v>26</v>
      </c>
      <c r="G1724" s="54"/>
    </row>
    <row r="1725">
      <c r="A1725" s="49">
        <v>45038.737271157406</v>
      </c>
      <c r="B1725" s="50">
        <v>45038.8622418055</v>
      </c>
      <c r="C1725" s="51">
        <v>1.038</v>
      </c>
      <c r="D1725" s="51">
        <v>65.0</v>
      </c>
      <c r="E1725" s="52" t="s">
        <v>25</v>
      </c>
      <c r="F1725" s="52" t="s">
        <v>26</v>
      </c>
      <c r="G1725" s="54"/>
    </row>
    <row r="1726">
      <c r="A1726" s="49">
        <v>45038.747712199074</v>
      </c>
      <c r="B1726" s="50">
        <v>45038.8726866435</v>
      </c>
      <c r="C1726" s="51">
        <v>1.038</v>
      </c>
      <c r="D1726" s="51">
        <v>64.0</v>
      </c>
      <c r="E1726" s="52" t="s">
        <v>25</v>
      </c>
      <c r="F1726" s="52" t="s">
        <v>26</v>
      </c>
      <c r="G1726" s="54"/>
    </row>
    <row r="1727">
      <c r="A1727" s="49">
        <v>45038.75813725694</v>
      </c>
      <c r="B1727" s="50">
        <v>45038.8831064583</v>
      </c>
      <c r="C1727" s="51">
        <v>1.038</v>
      </c>
      <c r="D1727" s="51">
        <v>64.0</v>
      </c>
      <c r="E1727" s="52" t="s">
        <v>25</v>
      </c>
      <c r="F1727" s="52" t="s">
        <v>26</v>
      </c>
      <c r="G1727" s="54"/>
    </row>
    <row r="1728">
      <c r="A1728" s="49">
        <v>45038.76856563658</v>
      </c>
      <c r="B1728" s="50">
        <v>45038.8935378472</v>
      </c>
      <c r="C1728" s="51">
        <v>1.038</v>
      </c>
      <c r="D1728" s="51">
        <v>64.0</v>
      </c>
      <c r="E1728" s="52" t="s">
        <v>25</v>
      </c>
      <c r="F1728" s="52" t="s">
        <v>26</v>
      </c>
      <c r="G1728" s="54"/>
    </row>
    <row r="1729">
      <c r="A1729" s="49">
        <v>45038.779007777775</v>
      </c>
      <c r="B1729" s="50">
        <v>45038.9039724768</v>
      </c>
      <c r="C1729" s="51">
        <v>1.038</v>
      </c>
      <c r="D1729" s="51">
        <v>64.0</v>
      </c>
      <c r="E1729" s="52" t="s">
        <v>25</v>
      </c>
      <c r="F1729" s="52" t="s">
        <v>26</v>
      </c>
      <c r="G1729" s="54"/>
    </row>
    <row r="1730">
      <c r="A1730" s="49">
        <v>45038.78941802084</v>
      </c>
      <c r="B1730" s="50">
        <v>45038.9143942476</v>
      </c>
      <c r="C1730" s="51">
        <v>1.038</v>
      </c>
      <c r="D1730" s="51">
        <v>65.0</v>
      </c>
      <c r="E1730" s="52" t="s">
        <v>25</v>
      </c>
      <c r="F1730" s="52" t="s">
        <v>26</v>
      </c>
      <c r="G1730" s="54"/>
    </row>
    <row r="1731">
      <c r="A1731" s="49">
        <v>45038.79984443287</v>
      </c>
      <c r="B1731" s="50">
        <v>45038.9248152662</v>
      </c>
      <c r="C1731" s="51">
        <v>1.038</v>
      </c>
      <c r="D1731" s="51">
        <v>65.0</v>
      </c>
      <c r="E1731" s="52" t="s">
        <v>25</v>
      </c>
      <c r="F1731" s="52" t="s">
        <v>26</v>
      </c>
      <c r="G1731" s="54"/>
    </row>
    <row r="1732">
      <c r="A1732" s="49">
        <v>45038.81026947917</v>
      </c>
      <c r="B1732" s="50">
        <v>45038.9352370949</v>
      </c>
      <c r="C1732" s="51">
        <v>1.038</v>
      </c>
      <c r="D1732" s="51">
        <v>65.0</v>
      </c>
      <c r="E1732" s="52" t="s">
        <v>25</v>
      </c>
      <c r="F1732" s="52" t="s">
        <v>26</v>
      </c>
      <c r="G1732" s="54"/>
    </row>
    <row r="1733">
      <c r="A1733" s="49">
        <v>45038.82068873843</v>
      </c>
      <c r="B1733" s="50">
        <v>45038.9456584143</v>
      </c>
      <c r="C1733" s="51">
        <v>1.038</v>
      </c>
      <c r="D1733" s="51">
        <v>65.0</v>
      </c>
      <c r="E1733" s="52" t="s">
        <v>25</v>
      </c>
      <c r="F1733" s="52" t="s">
        <v>26</v>
      </c>
      <c r="G1733" s="54"/>
    </row>
    <row r="1734">
      <c r="A1734" s="49">
        <v>45038.83110640047</v>
      </c>
      <c r="B1734" s="50">
        <v>45038.9560787615</v>
      </c>
      <c r="C1734" s="51">
        <v>1.038</v>
      </c>
      <c r="D1734" s="51">
        <v>64.0</v>
      </c>
      <c r="E1734" s="52" t="s">
        <v>25</v>
      </c>
      <c r="F1734" s="52" t="s">
        <v>26</v>
      </c>
      <c r="G1734" s="54"/>
    </row>
    <row r="1735">
      <c r="A1735" s="49">
        <v>45038.84153297453</v>
      </c>
      <c r="B1735" s="50">
        <v>45038.9664999305</v>
      </c>
      <c r="C1735" s="51">
        <v>1.038</v>
      </c>
      <c r="D1735" s="51">
        <v>65.0</v>
      </c>
      <c r="E1735" s="52" t="s">
        <v>25</v>
      </c>
      <c r="F1735" s="52" t="s">
        <v>26</v>
      </c>
      <c r="G1735" s="54"/>
    </row>
    <row r="1736">
      <c r="A1736" s="49">
        <v>45038.85194511574</v>
      </c>
      <c r="B1736" s="50">
        <v>45038.9769207754</v>
      </c>
      <c r="C1736" s="51">
        <v>1.038</v>
      </c>
      <c r="D1736" s="51">
        <v>64.0</v>
      </c>
      <c r="E1736" s="52" t="s">
        <v>25</v>
      </c>
      <c r="F1736" s="52" t="s">
        <v>26</v>
      </c>
      <c r="G1736" s="54"/>
    </row>
    <row r="1737">
      <c r="A1737" s="49">
        <v>45038.8623615625</v>
      </c>
      <c r="B1737" s="50">
        <v>45038.9873425694</v>
      </c>
      <c r="C1737" s="51">
        <v>1.038</v>
      </c>
      <c r="D1737" s="51">
        <v>64.0</v>
      </c>
      <c r="E1737" s="52" t="s">
        <v>25</v>
      </c>
      <c r="F1737" s="52" t="s">
        <v>26</v>
      </c>
      <c r="G1737" s="54"/>
    </row>
    <row r="1738">
      <c r="A1738" s="49">
        <v>45038.8727994213</v>
      </c>
      <c r="B1738" s="50">
        <v>45038.9977637731</v>
      </c>
      <c r="C1738" s="51">
        <v>1.038</v>
      </c>
      <c r="D1738" s="51">
        <v>65.0</v>
      </c>
      <c r="E1738" s="52" t="s">
        <v>25</v>
      </c>
      <c r="F1738" s="52" t="s">
        <v>26</v>
      </c>
      <c r="G1738" s="54"/>
    </row>
    <row r="1739">
      <c r="A1739" s="49">
        <v>45038.88321414352</v>
      </c>
      <c r="B1739" s="50">
        <v>45039.0081849768</v>
      </c>
      <c r="C1739" s="51">
        <v>1.038</v>
      </c>
      <c r="D1739" s="51">
        <v>65.0</v>
      </c>
      <c r="E1739" s="52" t="s">
        <v>25</v>
      </c>
      <c r="F1739" s="52" t="s">
        <v>26</v>
      </c>
      <c r="G1739" s="54"/>
    </row>
    <row r="1740">
      <c r="A1740" s="49">
        <v>45038.89362902778</v>
      </c>
      <c r="B1740" s="50">
        <v>45039.0186068171</v>
      </c>
      <c r="C1740" s="51">
        <v>1.038</v>
      </c>
      <c r="D1740" s="51">
        <v>64.0</v>
      </c>
      <c r="E1740" s="52" t="s">
        <v>25</v>
      </c>
      <c r="F1740" s="52" t="s">
        <v>26</v>
      </c>
      <c r="G1740" s="54"/>
    </row>
    <row r="1741">
      <c r="A1741" s="49">
        <v>45038.90404565972</v>
      </c>
      <c r="B1741" s="50">
        <v>45039.0290252083</v>
      </c>
      <c r="C1741" s="51">
        <v>1.038</v>
      </c>
      <c r="D1741" s="51">
        <v>64.0</v>
      </c>
      <c r="E1741" s="52" t="s">
        <v>25</v>
      </c>
      <c r="F1741" s="52" t="s">
        <v>26</v>
      </c>
      <c r="G1741" s="54"/>
    </row>
    <row r="1742">
      <c r="A1742" s="49">
        <v>45038.914474537036</v>
      </c>
      <c r="B1742" s="50">
        <v>45039.0394456481</v>
      </c>
      <c r="C1742" s="51">
        <v>1.038</v>
      </c>
      <c r="D1742" s="51">
        <v>64.0</v>
      </c>
      <c r="E1742" s="52" t="s">
        <v>25</v>
      </c>
      <c r="F1742" s="52" t="s">
        <v>26</v>
      </c>
      <c r="G1742" s="54"/>
    </row>
    <row r="1743">
      <c r="A1743" s="49">
        <v>45038.92490841435</v>
      </c>
      <c r="B1743" s="50">
        <v>45039.0498894444</v>
      </c>
      <c r="C1743" s="51">
        <v>1.038</v>
      </c>
      <c r="D1743" s="51">
        <v>65.0</v>
      </c>
      <c r="E1743" s="52" t="s">
        <v>25</v>
      </c>
      <c r="F1743" s="52" t="s">
        <v>26</v>
      </c>
      <c r="G1743" s="54"/>
    </row>
    <row r="1744">
      <c r="A1744" s="49">
        <v>45038.93533947917</v>
      </c>
      <c r="B1744" s="50">
        <v>45039.0603115972</v>
      </c>
      <c r="C1744" s="51">
        <v>1.038</v>
      </c>
      <c r="D1744" s="51">
        <v>64.0</v>
      </c>
      <c r="E1744" s="52" t="s">
        <v>25</v>
      </c>
      <c r="F1744" s="52" t="s">
        <v>26</v>
      </c>
      <c r="G1744" s="54"/>
    </row>
    <row r="1745">
      <c r="A1745" s="49">
        <v>45038.9457509375</v>
      </c>
      <c r="B1745" s="50">
        <v>45039.0707342361</v>
      </c>
      <c r="C1745" s="51">
        <v>1.038</v>
      </c>
      <c r="D1745" s="51">
        <v>65.0</v>
      </c>
      <c r="E1745" s="52" t="s">
        <v>25</v>
      </c>
      <c r="F1745" s="52" t="s">
        <v>26</v>
      </c>
      <c r="G1745" s="54"/>
    </row>
    <row r="1746">
      <c r="A1746" s="49">
        <v>45038.95618069444</v>
      </c>
      <c r="B1746" s="50">
        <v>45039.0811549768</v>
      </c>
      <c r="C1746" s="51">
        <v>1.038</v>
      </c>
      <c r="D1746" s="51">
        <v>64.0</v>
      </c>
      <c r="E1746" s="52" t="s">
        <v>25</v>
      </c>
      <c r="F1746" s="52" t="s">
        <v>26</v>
      </c>
      <c r="G1746" s="54"/>
    </row>
    <row r="1747">
      <c r="A1747" s="49">
        <v>45038.96660991898</v>
      </c>
      <c r="B1747" s="50">
        <v>45039.091586956</v>
      </c>
      <c r="C1747" s="51">
        <v>1.038</v>
      </c>
      <c r="D1747" s="51">
        <v>64.0</v>
      </c>
      <c r="E1747" s="52" t="s">
        <v>25</v>
      </c>
      <c r="F1747" s="52" t="s">
        <v>26</v>
      </c>
      <c r="G1747" s="54"/>
    </row>
    <row r="1748">
      <c r="A1748" s="49">
        <v>45038.97702583333</v>
      </c>
      <c r="B1748" s="50">
        <v>45039.1020056944</v>
      </c>
      <c r="C1748" s="51">
        <v>1.038</v>
      </c>
      <c r="D1748" s="51">
        <v>64.0</v>
      </c>
      <c r="E1748" s="52" t="s">
        <v>25</v>
      </c>
      <c r="F1748" s="52" t="s">
        <v>26</v>
      </c>
      <c r="G1748" s="54"/>
    </row>
    <row r="1749">
      <c r="A1749" s="49">
        <v>45038.98745717593</v>
      </c>
      <c r="B1749" s="50">
        <v>45039.1124288078</v>
      </c>
      <c r="C1749" s="51">
        <v>1.038</v>
      </c>
      <c r="D1749" s="51">
        <v>64.0</v>
      </c>
      <c r="E1749" s="52" t="s">
        <v>25</v>
      </c>
      <c r="F1749" s="52" t="s">
        <v>26</v>
      </c>
      <c r="G1749" s="54"/>
    </row>
    <row r="1750">
      <c r="A1750" s="49">
        <v>45038.99787975695</v>
      </c>
      <c r="B1750" s="50">
        <v>45039.1228490393</v>
      </c>
      <c r="C1750" s="51">
        <v>1.038</v>
      </c>
      <c r="D1750" s="51">
        <v>65.0</v>
      </c>
      <c r="E1750" s="52" t="s">
        <v>25</v>
      </c>
      <c r="F1750" s="52" t="s">
        <v>26</v>
      </c>
      <c r="G1750" s="54"/>
    </row>
    <row r="1751">
      <c r="A1751" s="49">
        <v>45039.00831866898</v>
      </c>
      <c r="B1751" s="50">
        <v>45039.1332937037</v>
      </c>
      <c r="C1751" s="51">
        <v>1.038</v>
      </c>
      <c r="D1751" s="51">
        <v>65.0</v>
      </c>
      <c r="E1751" s="52" t="s">
        <v>25</v>
      </c>
      <c r="F1751" s="52" t="s">
        <v>26</v>
      </c>
      <c r="G1751" s="54"/>
    </row>
    <row r="1752">
      <c r="A1752" s="49">
        <v>45039.01874305555</v>
      </c>
      <c r="B1752" s="50">
        <v>45039.1437152546</v>
      </c>
      <c r="C1752" s="51">
        <v>1.038</v>
      </c>
      <c r="D1752" s="51">
        <v>65.0</v>
      </c>
      <c r="E1752" s="52" t="s">
        <v>25</v>
      </c>
      <c r="F1752" s="52" t="s">
        <v>26</v>
      </c>
      <c r="G1752" s="54"/>
    </row>
    <row r="1753">
      <c r="A1753" s="49">
        <v>45039.02916652778</v>
      </c>
      <c r="B1753" s="50">
        <v>45039.1541365625</v>
      </c>
      <c r="C1753" s="51">
        <v>1.038</v>
      </c>
      <c r="D1753" s="51">
        <v>65.0</v>
      </c>
      <c r="E1753" s="52" t="s">
        <v>25</v>
      </c>
      <c r="F1753" s="52" t="s">
        <v>26</v>
      </c>
      <c r="G1753" s="54"/>
    </row>
    <row r="1754">
      <c r="A1754" s="49">
        <v>45039.03957658565</v>
      </c>
      <c r="B1754" s="50">
        <v>45039.1645568055</v>
      </c>
      <c r="C1754" s="51">
        <v>1.038</v>
      </c>
      <c r="D1754" s="51">
        <v>64.0</v>
      </c>
      <c r="E1754" s="52" t="s">
        <v>25</v>
      </c>
      <c r="F1754" s="52" t="s">
        <v>26</v>
      </c>
      <c r="G1754" s="54"/>
    </row>
    <row r="1755">
      <c r="A1755" s="49">
        <v>45039.04999924768</v>
      </c>
      <c r="B1755" s="50">
        <v>45039.1749772222</v>
      </c>
      <c r="C1755" s="51">
        <v>1.037</v>
      </c>
      <c r="D1755" s="51">
        <v>65.0</v>
      </c>
      <c r="E1755" s="52" t="s">
        <v>25</v>
      </c>
      <c r="F1755" s="52" t="s">
        <v>26</v>
      </c>
      <c r="G1755" s="54"/>
    </row>
    <row r="1756">
      <c r="A1756" s="49">
        <v>45039.06043915509</v>
      </c>
      <c r="B1756" s="50">
        <v>45039.1854087847</v>
      </c>
      <c r="C1756" s="51">
        <v>1.038</v>
      </c>
      <c r="D1756" s="51">
        <v>65.0</v>
      </c>
      <c r="E1756" s="52" t="s">
        <v>25</v>
      </c>
      <c r="F1756" s="52" t="s">
        <v>26</v>
      </c>
      <c r="G1756" s="54"/>
    </row>
    <row r="1757">
      <c r="A1757" s="49">
        <v>45039.070870625</v>
      </c>
      <c r="B1757" s="50">
        <v>45039.1958425694</v>
      </c>
      <c r="C1757" s="51">
        <v>1.038</v>
      </c>
      <c r="D1757" s="51">
        <v>64.0</v>
      </c>
      <c r="E1757" s="52" t="s">
        <v>25</v>
      </c>
      <c r="F1757" s="52" t="s">
        <v>26</v>
      </c>
      <c r="G1757" s="54"/>
    </row>
    <row r="1758">
      <c r="A1758" s="49">
        <v>45039.08129482639</v>
      </c>
      <c r="B1758" s="50">
        <v>45039.2062637963</v>
      </c>
      <c r="C1758" s="51">
        <v>1.038</v>
      </c>
      <c r="D1758" s="51">
        <v>64.0</v>
      </c>
      <c r="E1758" s="52" t="s">
        <v>25</v>
      </c>
      <c r="F1758" s="52" t="s">
        <v>26</v>
      </c>
      <c r="G1758" s="54"/>
    </row>
    <row r="1759">
      <c r="A1759" s="49">
        <v>45039.09171554398</v>
      </c>
      <c r="B1759" s="50">
        <v>45039.216685625</v>
      </c>
      <c r="C1759" s="51">
        <v>1.037</v>
      </c>
      <c r="D1759" s="51">
        <v>65.0</v>
      </c>
      <c r="E1759" s="52" t="s">
        <v>25</v>
      </c>
      <c r="F1759" s="52" t="s">
        <v>26</v>
      </c>
      <c r="G1759" s="54"/>
    </row>
    <row r="1760">
      <c r="A1760" s="49">
        <v>45039.10212805556</v>
      </c>
      <c r="B1760" s="50">
        <v>45039.227106493</v>
      </c>
      <c r="C1760" s="51">
        <v>1.037</v>
      </c>
      <c r="D1760" s="51">
        <v>65.0</v>
      </c>
      <c r="E1760" s="52" t="s">
        <v>25</v>
      </c>
      <c r="F1760" s="52" t="s">
        <v>26</v>
      </c>
      <c r="G1760" s="54"/>
    </row>
    <row r="1761">
      <c r="A1761" s="49">
        <v>45039.11255803241</v>
      </c>
      <c r="B1761" s="50">
        <v>45039.2375281712</v>
      </c>
      <c r="C1761" s="51">
        <v>1.037</v>
      </c>
      <c r="D1761" s="51">
        <v>64.0</v>
      </c>
      <c r="E1761" s="52" t="s">
        <v>25</v>
      </c>
      <c r="F1761" s="52" t="s">
        <v>26</v>
      </c>
      <c r="G1761" s="54"/>
    </row>
    <row r="1762">
      <c r="A1762" s="49">
        <v>45039.12297855324</v>
      </c>
      <c r="B1762" s="50">
        <v>45039.247950081</v>
      </c>
      <c r="C1762" s="51">
        <v>1.038</v>
      </c>
      <c r="D1762" s="51">
        <v>65.0</v>
      </c>
      <c r="E1762" s="52" t="s">
        <v>25</v>
      </c>
      <c r="F1762" s="52" t="s">
        <v>26</v>
      </c>
      <c r="G1762" s="54"/>
    </row>
    <row r="1763">
      <c r="A1763" s="49">
        <v>45039.1334109375</v>
      </c>
      <c r="B1763" s="50">
        <v>45039.2583817476</v>
      </c>
      <c r="C1763" s="51">
        <v>1.037</v>
      </c>
      <c r="D1763" s="51">
        <v>64.0</v>
      </c>
      <c r="E1763" s="52" t="s">
        <v>25</v>
      </c>
      <c r="F1763" s="52" t="s">
        <v>26</v>
      </c>
      <c r="G1763" s="54"/>
    </row>
    <row r="1764">
      <c r="A1764" s="49">
        <v>45039.14383269676</v>
      </c>
      <c r="B1764" s="50">
        <v>45039.2688037037</v>
      </c>
      <c r="C1764" s="51">
        <v>1.037</v>
      </c>
      <c r="D1764" s="51">
        <v>64.0</v>
      </c>
      <c r="E1764" s="52" t="s">
        <v>25</v>
      </c>
      <c r="F1764" s="52" t="s">
        <v>26</v>
      </c>
      <c r="G1764" s="54"/>
    </row>
    <row r="1765">
      <c r="A1765" s="49">
        <v>45039.15425016204</v>
      </c>
      <c r="B1765" s="50">
        <v>45039.2792235763</v>
      </c>
      <c r="C1765" s="51">
        <v>1.037</v>
      </c>
      <c r="D1765" s="51">
        <v>64.0</v>
      </c>
      <c r="E1765" s="52" t="s">
        <v>25</v>
      </c>
      <c r="F1765" s="52" t="s">
        <v>26</v>
      </c>
      <c r="G1765" s="54"/>
    </row>
    <row r="1766">
      <c r="A1766" s="49">
        <v>45039.16468391204</v>
      </c>
      <c r="B1766" s="50">
        <v>45039.2896547569</v>
      </c>
      <c r="C1766" s="51">
        <v>1.038</v>
      </c>
      <c r="D1766" s="51">
        <v>65.0</v>
      </c>
      <c r="E1766" s="52" t="s">
        <v>25</v>
      </c>
      <c r="F1766" s="52" t="s">
        <v>26</v>
      </c>
      <c r="G1766" s="54"/>
    </row>
    <row r="1767">
      <c r="A1767" s="49">
        <v>45039.17510201389</v>
      </c>
      <c r="B1767" s="50">
        <v>45039.3000765393</v>
      </c>
      <c r="C1767" s="51">
        <v>1.037</v>
      </c>
      <c r="D1767" s="51">
        <v>64.0</v>
      </c>
      <c r="E1767" s="52" t="s">
        <v>25</v>
      </c>
      <c r="F1767" s="52" t="s">
        <v>26</v>
      </c>
      <c r="G1767" s="54"/>
    </row>
    <row r="1768">
      <c r="A1768" s="49">
        <v>45039.18552140046</v>
      </c>
      <c r="B1768" s="50">
        <v>45039.3104977777</v>
      </c>
      <c r="C1768" s="51">
        <v>1.038</v>
      </c>
      <c r="D1768" s="51">
        <v>64.0</v>
      </c>
      <c r="E1768" s="52" t="s">
        <v>25</v>
      </c>
      <c r="F1768" s="52" t="s">
        <v>26</v>
      </c>
      <c r="G1768" s="54"/>
    </row>
    <row r="1769">
      <c r="A1769" s="49">
        <v>45039.195963125</v>
      </c>
      <c r="B1769" s="50">
        <v>45039.3209306944</v>
      </c>
      <c r="C1769" s="51">
        <v>1.037</v>
      </c>
      <c r="D1769" s="51">
        <v>65.0</v>
      </c>
      <c r="E1769" s="52" t="s">
        <v>25</v>
      </c>
      <c r="F1769" s="52" t="s">
        <v>26</v>
      </c>
      <c r="G1769" s="54"/>
    </row>
    <row r="1770">
      <c r="A1770" s="49">
        <v>45039.20637851852</v>
      </c>
      <c r="B1770" s="50">
        <v>45039.3313514814</v>
      </c>
      <c r="C1770" s="51">
        <v>1.037</v>
      </c>
      <c r="D1770" s="51">
        <v>65.0</v>
      </c>
      <c r="E1770" s="52" t="s">
        <v>25</v>
      </c>
      <c r="F1770" s="52" t="s">
        <v>26</v>
      </c>
      <c r="G1770" s="54"/>
    </row>
    <row r="1771">
      <c r="A1771" s="49">
        <v>45039.21681804398</v>
      </c>
      <c r="B1771" s="50">
        <v>45039.3417836574</v>
      </c>
      <c r="C1771" s="51">
        <v>1.037</v>
      </c>
      <c r="D1771" s="51">
        <v>64.0</v>
      </c>
      <c r="E1771" s="52" t="s">
        <v>25</v>
      </c>
      <c r="F1771" s="52" t="s">
        <v>26</v>
      </c>
      <c r="G1771" s="54"/>
    </row>
    <row r="1772">
      <c r="A1772" s="49">
        <v>45039.227234687496</v>
      </c>
      <c r="B1772" s="50">
        <v>45039.3522031828</v>
      </c>
      <c r="C1772" s="51">
        <v>1.037</v>
      </c>
      <c r="D1772" s="51">
        <v>64.0</v>
      </c>
      <c r="E1772" s="52" t="s">
        <v>25</v>
      </c>
      <c r="F1772" s="52" t="s">
        <v>26</v>
      </c>
      <c r="G1772" s="54"/>
    </row>
    <row r="1773">
      <c r="A1773" s="49">
        <v>45039.23765313657</v>
      </c>
      <c r="B1773" s="50">
        <v>45039.362623912</v>
      </c>
      <c r="C1773" s="51">
        <v>1.037</v>
      </c>
      <c r="D1773" s="51">
        <v>64.0</v>
      </c>
      <c r="E1773" s="52" t="s">
        <v>25</v>
      </c>
      <c r="F1773" s="52" t="s">
        <v>26</v>
      </c>
      <c r="G1773" s="54"/>
    </row>
    <row r="1774">
      <c r="A1774" s="49">
        <v>45039.248061377315</v>
      </c>
      <c r="B1774" s="50">
        <v>45039.3730451967</v>
      </c>
      <c r="C1774" s="51">
        <v>1.037</v>
      </c>
      <c r="D1774" s="51">
        <v>64.0</v>
      </c>
      <c r="E1774" s="52" t="s">
        <v>25</v>
      </c>
      <c r="F1774" s="52" t="s">
        <v>26</v>
      </c>
      <c r="G1774" s="54"/>
    </row>
    <row r="1775">
      <c r="A1775" s="49">
        <v>45039.25848795139</v>
      </c>
      <c r="B1775" s="50">
        <v>45039.3834665046</v>
      </c>
      <c r="C1775" s="51">
        <v>1.037</v>
      </c>
      <c r="D1775" s="51">
        <v>64.0</v>
      </c>
      <c r="E1775" s="52" t="s">
        <v>25</v>
      </c>
      <c r="F1775" s="52" t="s">
        <v>26</v>
      </c>
      <c r="G1775" s="54"/>
    </row>
    <row r="1776">
      <c r="A1776" s="49">
        <v>45039.26892003472</v>
      </c>
      <c r="B1776" s="50">
        <v>45039.3938990509</v>
      </c>
      <c r="C1776" s="51">
        <v>1.037</v>
      </c>
      <c r="D1776" s="51">
        <v>64.0</v>
      </c>
      <c r="E1776" s="52" t="s">
        <v>25</v>
      </c>
      <c r="F1776" s="52" t="s">
        <v>26</v>
      </c>
      <c r="G1776" s="54"/>
    </row>
    <row r="1777">
      <c r="A1777" s="49">
        <v>45039.279338865745</v>
      </c>
      <c r="B1777" s="50">
        <v>45039.4043184259</v>
      </c>
      <c r="C1777" s="51">
        <v>1.037</v>
      </c>
      <c r="D1777" s="51">
        <v>64.0</v>
      </c>
      <c r="E1777" s="52" t="s">
        <v>25</v>
      </c>
      <c r="F1777" s="52" t="s">
        <v>26</v>
      </c>
      <c r="G1777" s="54"/>
    </row>
    <row r="1778">
      <c r="A1778" s="49">
        <v>45039.28976033565</v>
      </c>
      <c r="B1778" s="50">
        <v>45039.414741412</v>
      </c>
      <c r="C1778" s="51">
        <v>1.037</v>
      </c>
      <c r="D1778" s="51">
        <v>64.0</v>
      </c>
      <c r="E1778" s="52" t="s">
        <v>25</v>
      </c>
      <c r="F1778" s="52" t="s">
        <v>26</v>
      </c>
      <c r="G1778" s="54"/>
    </row>
    <row r="1779">
      <c r="A1779" s="49">
        <v>45039.300197442135</v>
      </c>
      <c r="B1779" s="50">
        <v>45039.4251631944</v>
      </c>
      <c r="C1779" s="51">
        <v>1.037</v>
      </c>
      <c r="D1779" s="51">
        <v>64.0</v>
      </c>
      <c r="E1779" s="52" t="s">
        <v>25</v>
      </c>
      <c r="F1779" s="52" t="s">
        <v>26</v>
      </c>
      <c r="G1779" s="54"/>
    </row>
    <row r="1780">
      <c r="A1780" s="49">
        <v>45039.31060891204</v>
      </c>
      <c r="B1780" s="50">
        <v>45039.4355852777</v>
      </c>
      <c r="C1780" s="51">
        <v>1.037</v>
      </c>
      <c r="D1780" s="51">
        <v>64.0</v>
      </c>
      <c r="E1780" s="52" t="s">
        <v>25</v>
      </c>
      <c r="F1780" s="52" t="s">
        <v>26</v>
      </c>
      <c r="G1780" s="54"/>
    </row>
    <row r="1781">
      <c r="A1781" s="49">
        <v>45039.32104563658</v>
      </c>
      <c r="B1781" s="50">
        <v>45039.4460163426</v>
      </c>
      <c r="C1781" s="51">
        <v>1.037</v>
      </c>
      <c r="D1781" s="51">
        <v>64.0</v>
      </c>
      <c r="E1781" s="52" t="s">
        <v>25</v>
      </c>
      <c r="F1781" s="52" t="s">
        <v>26</v>
      </c>
      <c r="G1781" s="54"/>
    </row>
    <row r="1782">
      <c r="A1782" s="49">
        <v>45039.331490717595</v>
      </c>
      <c r="B1782" s="50">
        <v>45039.4564373379</v>
      </c>
      <c r="C1782" s="51">
        <v>1.037</v>
      </c>
      <c r="D1782" s="51">
        <v>64.0</v>
      </c>
      <c r="E1782" s="52" t="s">
        <v>25</v>
      </c>
      <c r="F1782" s="52" t="s">
        <v>26</v>
      </c>
      <c r="G1782" s="54"/>
    </row>
    <row r="1783">
      <c r="A1783" s="49">
        <v>45039.34190679398</v>
      </c>
      <c r="B1783" s="50">
        <v>45039.4668706018</v>
      </c>
      <c r="C1783" s="51">
        <v>1.037</v>
      </c>
      <c r="D1783" s="51">
        <v>64.0</v>
      </c>
      <c r="E1783" s="52" t="s">
        <v>25</v>
      </c>
      <c r="F1783" s="52" t="s">
        <v>26</v>
      </c>
      <c r="G1783" s="54"/>
    </row>
    <row r="1784">
      <c r="A1784" s="49">
        <v>45039.352322453706</v>
      </c>
      <c r="B1784" s="50">
        <v>45039.4772929513</v>
      </c>
      <c r="C1784" s="51">
        <v>1.037</v>
      </c>
      <c r="D1784" s="51">
        <v>64.0</v>
      </c>
      <c r="E1784" s="52" t="s">
        <v>25</v>
      </c>
      <c r="F1784" s="52" t="s">
        <v>26</v>
      </c>
      <c r="G1784" s="54"/>
    </row>
    <row r="1785">
      <c r="A1785" s="49">
        <v>45039.36275180556</v>
      </c>
      <c r="B1785" s="50">
        <v>45039.4877140162</v>
      </c>
      <c r="C1785" s="51">
        <v>1.037</v>
      </c>
      <c r="D1785" s="51">
        <v>64.0</v>
      </c>
      <c r="E1785" s="52" t="s">
        <v>25</v>
      </c>
      <c r="F1785" s="52" t="s">
        <v>26</v>
      </c>
      <c r="G1785" s="54"/>
    </row>
    <row r="1786">
      <c r="A1786" s="49">
        <v>45039.37315835648</v>
      </c>
      <c r="B1786" s="50">
        <v>45039.4981353703</v>
      </c>
      <c r="C1786" s="51">
        <v>1.037</v>
      </c>
      <c r="D1786" s="51">
        <v>64.0</v>
      </c>
      <c r="E1786" s="52" t="s">
        <v>25</v>
      </c>
      <c r="F1786" s="52" t="s">
        <v>26</v>
      </c>
      <c r="G1786" s="54"/>
    </row>
    <row r="1787">
      <c r="A1787" s="49">
        <v>45039.38358233796</v>
      </c>
      <c r="B1787" s="50">
        <v>45039.5085555324</v>
      </c>
      <c r="C1787" s="51">
        <v>1.037</v>
      </c>
      <c r="D1787" s="51">
        <v>64.0</v>
      </c>
      <c r="E1787" s="52" t="s">
        <v>25</v>
      </c>
      <c r="F1787" s="52" t="s">
        <v>26</v>
      </c>
      <c r="G1787" s="54"/>
    </row>
    <row r="1788">
      <c r="A1788" s="49">
        <v>45039.39399856482</v>
      </c>
      <c r="B1788" s="50">
        <v>45039.5189781828</v>
      </c>
      <c r="C1788" s="51">
        <v>1.037</v>
      </c>
      <c r="D1788" s="51">
        <v>64.0</v>
      </c>
      <c r="E1788" s="52" t="s">
        <v>25</v>
      </c>
      <c r="F1788" s="52" t="s">
        <v>26</v>
      </c>
      <c r="G1788" s="54"/>
    </row>
    <row r="1789">
      <c r="A1789" s="49">
        <v>45039.40444048611</v>
      </c>
      <c r="B1789" s="50">
        <v>45039.5294128819</v>
      </c>
      <c r="C1789" s="51">
        <v>1.037</v>
      </c>
      <c r="D1789" s="51">
        <v>64.0</v>
      </c>
      <c r="E1789" s="52" t="s">
        <v>25</v>
      </c>
      <c r="F1789" s="52" t="s">
        <v>26</v>
      </c>
      <c r="G1789" s="54"/>
    </row>
    <row r="1790">
      <c r="A1790" s="49">
        <v>45039.41487085648</v>
      </c>
      <c r="B1790" s="50">
        <v>45039.5398474652</v>
      </c>
      <c r="C1790" s="51">
        <v>1.037</v>
      </c>
      <c r="D1790" s="51">
        <v>64.0</v>
      </c>
      <c r="E1790" s="52" t="s">
        <v>25</v>
      </c>
      <c r="F1790" s="52" t="s">
        <v>26</v>
      </c>
      <c r="G1790" s="54"/>
    </row>
    <row r="1791">
      <c r="A1791" s="49">
        <v>45039.42531612268</v>
      </c>
      <c r="B1791" s="50">
        <v>45039.5502893634</v>
      </c>
      <c r="C1791" s="51">
        <v>1.037</v>
      </c>
      <c r="D1791" s="51">
        <v>64.0</v>
      </c>
      <c r="E1791" s="52" t="s">
        <v>25</v>
      </c>
      <c r="F1791" s="52" t="s">
        <v>26</v>
      </c>
      <c r="G1791" s="54"/>
    </row>
    <row r="1792">
      <c r="A1792" s="49">
        <v>45039.43573380787</v>
      </c>
      <c r="B1792" s="50">
        <v>45039.5607104629</v>
      </c>
      <c r="C1792" s="51">
        <v>1.037</v>
      </c>
      <c r="D1792" s="51">
        <v>64.0</v>
      </c>
      <c r="E1792" s="52" t="s">
        <v>25</v>
      </c>
      <c r="F1792" s="52" t="s">
        <v>26</v>
      </c>
      <c r="G1792" s="54"/>
    </row>
    <row r="1793">
      <c r="A1793" s="49">
        <v>45039.44615927083</v>
      </c>
      <c r="B1793" s="50">
        <v>45039.5711329166</v>
      </c>
      <c r="C1793" s="51">
        <v>1.037</v>
      </c>
      <c r="D1793" s="51">
        <v>64.0</v>
      </c>
      <c r="E1793" s="52" t="s">
        <v>25</v>
      </c>
      <c r="F1793" s="52" t="s">
        <v>26</v>
      </c>
      <c r="G1793" s="54"/>
    </row>
    <row r="1794">
      <c r="A1794" s="49">
        <v>45039.45657616898</v>
      </c>
      <c r="B1794" s="50">
        <v>45039.581553831</v>
      </c>
      <c r="C1794" s="51">
        <v>1.037</v>
      </c>
      <c r="D1794" s="51">
        <v>64.0</v>
      </c>
      <c r="E1794" s="52" t="s">
        <v>25</v>
      </c>
      <c r="F1794" s="52" t="s">
        <v>26</v>
      </c>
      <c r="G1794" s="54"/>
    </row>
    <row r="1795">
      <c r="A1795" s="49">
        <v>45039.46700824074</v>
      </c>
      <c r="B1795" s="50">
        <v>45039.591975243</v>
      </c>
      <c r="C1795" s="51">
        <v>1.037</v>
      </c>
      <c r="D1795" s="51">
        <v>64.0</v>
      </c>
      <c r="E1795" s="52" t="s">
        <v>25</v>
      </c>
      <c r="F1795" s="52" t="s">
        <v>26</v>
      </c>
      <c r="G1795" s="54"/>
    </row>
    <row r="1796">
      <c r="A1796" s="49">
        <v>45039.4774690162</v>
      </c>
      <c r="B1796" s="50">
        <v>45039.6024307754</v>
      </c>
      <c r="C1796" s="51">
        <v>1.037</v>
      </c>
      <c r="D1796" s="51">
        <v>64.0</v>
      </c>
      <c r="E1796" s="52" t="s">
        <v>25</v>
      </c>
      <c r="F1796" s="52" t="s">
        <v>26</v>
      </c>
      <c r="G1796" s="54"/>
    </row>
    <row r="1797">
      <c r="A1797" s="49">
        <v>45039.48787863426</v>
      </c>
      <c r="B1797" s="50">
        <v>45039.6128515972</v>
      </c>
      <c r="C1797" s="51">
        <v>1.037</v>
      </c>
      <c r="D1797" s="51">
        <v>64.0</v>
      </c>
      <c r="E1797" s="52" t="s">
        <v>25</v>
      </c>
      <c r="F1797" s="52" t="s">
        <v>26</v>
      </c>
      <c r="G1797" s="54"/>
    </row>
    <row r="1798">
      <c r="A1798" s="49">
        <v>45039.49829609954</v>
      </c>
      <c r="B1798" s="50">
        <v>45039.6232737037</v>
      </c>
      <c r="C1798" s="51">
        <v>1.037</v>
      </c>
      <c r="D1798" s="51">
        <v>64.0</v>
      </c>
      <c r="E1798" s="52" t="s">
        <v>25</v>
      </c>
      <c r="F1798" s="52" t="s">
        <v>26</v>
      </c>
      <c r="G1798" s="54"/>
    </row>
    <row r="1799">
      <c r="A1799" s="49">
        <v>45039.50872462963</v>
      </c>
      <c r="B1799" s="50">
        <v>45039.6336949652</v>
      </c>
      <c r="C1799" s="51">
        <v>1.037</v>
      </c>
      <c r="D1799" s="51">
        <v>64.0</v>
      </c>
      <c r="E1799" s="52" t="s">
        <v>25</v>
      </c>
      <c r="F1799" s="52" t="s">
        <v>26</v>
      </c>
      <c r="G1799" s="54"/>
    </row>
    <row r="1800">
      <c r="A1800" s="49">
        <v>45039.51914142361</v>
      </c>
      <c r="B1800" s="50">
        <v>45039.6441162615</v>
      </c>
      <c r="C1800" s="51">
        <v>1.037</v>
      </c>
      <c r="D1800" s="51">
        <v>64.0</v>
      </c>
      <c r="E1800" s="52" t="s">
        <v>25</v>
      </c>
      <c r="F1800" s="52" t="s">
        <v>26</v>
      </c>
      <c r="G1800" s="54"/>
    </row>
    <row r="1801">
      <c r="A1801" s="49">
        <v>45039.52956039352</v>
      </c>
      <c r="B1801" s="50">
        <v>45039.6545370601</v>
      </c>
      <c r="C1801" s="51">
        <v>1.037</v>
      </c>
      <c r="D1801" s="51">
        <v>64.0</v>
      </c>
      <c r="E1801" s="52" t="s">
        <v>25</v>
      </c>
      <c r="F1801" s="52" t="s">
        <v>26</v>
      </c>
      <c r="G1801" s="54"/>
    </row>
    <row r="1802">
      <c r="A1802" s="49">
        <v>45039.53998746528</v>
      </c>
      <c r="B1802" s="50">
        <v>45039.6649602546</v>
      </c>
      <c r="C1802" s="51">
        <v>1.037</v>
      </c>
      <c r="D1802" s="51">
        <v>64.0</v>
      </c>
      <c r="E1802" s="52" t="s">
        <v>25</v>
      </c>
      <c r="F1802" s="52" t="s">
        <v>26</v>
      </c>
      <c r="G1802" s="54"/>
    </row>
    <row r="1803">
      <c r="A1803" s="49">
        <v>45039.55041642361</v>
      </c>
      <c r="B1803" s="50">
        <v>45039.675380625</v>
      </c>
      <c r="C1803" s="51">
        <v>1.037</v>
      </c>
      <c r="D1803" s="51">
        <v>64.0</v>
      </c>
      <c r="E1803" s="52" t="s">
        <v>25</v>
      </c>
      <c r="F1803" s="52" t="s">
        <v>26</v>
      </c>
      <c r="G1803" s="54"/>
    </row>
    <row r="1804">
      <c r="A1804" s="49">
        <v>45039.56083106481</v>
      </c>
      <c r="B1804" s="50">
        <v>45039.6858010879</v>
      </c>
      <c r="C1804" s="51">
        <v>1.037</v>
      </c>
      <c r="D1804" s="51">
        <v>64.0</v>
      </c>
      <c r="E1804" s="52" t="s">
        <v>25</v>
      </c>
      <c r="F1804" s="52" t="s">
        <v>26</v>
      </c>
      <c r="G1804" s="54"/>
    </row>
    <row r="1805">
      <c r="A1805" s="49">
        <v>45039.57124331019</v>
      </c>
      <c r="B1805" s="50">
        <v>45039.6962220717</v>
      </c>
      <c r="C1805" s="51">
        <v>1.037</v>
      </c>
      <c r="D1805" s="51">
        <v>64.0</v>
      </c>
      <c r="E1805" s="52" t="s">
        <v>25</v>
      </c>
      <c r="F1805" s="52" t="s">
        <v>26</v>
      </c>
      <c r="G1805" s="54"/>
    </row>
    <row r="1806">
      <c r="A1806" s="49">
        <v>45039.58167989583</v>
      </c>
      <c r="B1806" s="50">
        <v>45039.7066450115</v>
      </c>
      <c r="C1806" s="51">
        <v>1.037</v>
      </c>
      <c r="D1806" s="51">
        <v>64.0</v>
      </c>
      <c r="E1806" s="52" t="s">
        <v>25</v>
      </c>
      <c r="F1806" s="52" t="s">
        <v>26</v>
      </c>
      <c r="G1806" s="54"/>
    </row>
    <row r="1807">
      <c r="A1807" s="49">
        <v>45039.5921046875</v>
      </c>
      <c r="B1807" s="50">
        <v>45039.7170762847</v>
      </c>
      <c r="C1807" s="51">
        <v>1.037</v>
      </c>
      <c r="D1807" s="51">
        <v>64.0</v>
      </c>
      <c r="E1807" s="52" t="s">
        <v>25</v>
      </c>
      <c r="F1807" s="52" t="s">
        <v>26</v>
      </c>
      <c r="G1807" s="54"/>
    </row>
    <row r="1808">
      <c r="A1808" s="49">
        <v>45039.60252969907</v>
      </c>
      <c r="B1808" s="50">
        <v>45039.7274965972</v>
      </c>
      <c r="C1808" s="51">
        <v>1.037</v>
      </c>
      <c r="D1808" s="51">
        <v>64.0</v>
      </c>
      <c r="E1808" s="52" t="s">
        <v>25</v>
      </c>
      <c r="F1808" s="52" t="s">
        <v>26</v>
      </c>
      <c r="G1808" s="54"/>
    </row>
    <row r="1809">
      <c r="A1809" s="49">
        <v>45039.612933344906</v>
      </c>
      <c r="B1809" s="50">
        <v>45039.7379159837</v>
      </c>
      <c r="C1809" s="51">
        <v>1.037</v>
      </c>
      <c r="D1809" s="51">
        <v>64.0</v>
      </c>
      <c r="E1809" s="52" t="s">
        <v>25</v>
      </c>
      <c r="F1809" s="52" t="s">
        <v>26</v>
      </c>
      <c r="G1809" s="54"/>
    </row>
    <row r="1810">
      <c r="A1810" s="49">
        <v>45039.62336498842</v>
      </c>
      <c r="B1810" s="50">
        <v>45039.7483364351</v>
      </c>
      <c r="C1810" s="51">
        <v>1.037</v>
      </c>
      <c r="D1810" s="51">
        <v>64.0</v>
      </c>
      <c r="E1810" s="52" t="s">
        <v>25</v>
      </c>
      <c r="F1810" s="52" t="s">
        <v>26</v>
      </c>
      <c r="G1810" s="54"/>
    </row>
    <row r="1811">
      <c r="A1811" s="49">
        <v>45039.63377947916</v>
      </c>
      <c r="B1811" s="50">
        <v>45039.7587566666</v>
      </c>
      <c r="C1811" s="51">
        <v>1.037</v>
      </c>
      <c r="D1811" s="51">
        <v>64.0</v>
      </c>
      <c r="E1811" s="52" t="s">
        <v>25</v>
      </c>
      <c r="F1811" s="52" t="s">
        <v>26</v>
      </c>
      <c r="G1811" s="54"/>
    </row>
    <row r="1812">
      <c r="A1812" s="49">
        <v>45039.64419489584</v>
      </c>
      <c r="B1812" s="50">
        <v>45039.7691767361</v>
      </c>
      <c r="C1812" s="51">
        <v>1.036</v>
      </c>
      <c r="D1812" s="51">
        <v>64.0</v>
      </c>
      <c r="E1812" s="52" t="s">
        <v>25</v>
      </c>
      <c r="F1812" s="52" t="s">
        <v>26</v>
      </c>
      <c r="G1812" s="54"/>
    </row>
    <row r="1813">
      <c r="A1813" s="49">
        <v>45039.654632210644</v>
      </c>
      <c r="B1813" s="50">
        <v>45039.7795977314</v>
      </c>
      <c r="C1813" s="51">
        <v>1.037</v>
      </c>
      <c r="D1813" s="51">
        <v>64.0</v>
      </c>
      <c r="E1813" s="52" t="s">
        <v>25</v>
      </c>
      <c r="F1813" s="52" t="s">
        <v>26</v>
      </c>
      <c r="G1813" s="54"/>
    </row>
    <row r="1814">
      <c r="A1814" s="49">
        <v>45039.665045173606</v>
      </c>
      <c r="B1814" s="50">
        <v>45039.7900184953</v>
      </c>
      <c r="C1814" s="51">
        <v>1.037</v>
      </c>
      <c r="D1814" s="51">
        <v>64.0</v>
      </c>
      <c r="E1814" s="52" t="s">
        <v>25</v>
      </c>
      <c r="F1814" s="52" t="s">
        <v>26</v>
      </c>
      <c r="G1814" s="54"/>
    </row>
    <row r="1815">
      <c r="A1815" s="49">
        <v>45039.67546108796</v>
      </c>
      <c r="B1815" s="50">
        <v>45039.8004395023</v>
      </c>
      <c r="C1815" s="51">
        <v>1.037</v>
      </c>
      <c r="D1815" s="51">
        <v>64.0</v>
      </c>
      <c r="E1815" s="52" t="s">
        <v>25</v>
      </c>
      <c r="F1815" s="52" t="s">
        <v>26</v>
      </c>
      <c r="G1815" s="54"/>
    </row>
    <row r="1816">
      <c r="A1816" s="49">
        <v>45039.68588966435</v>
      </c>
      <c r="B1816" s="50">
        <v>45039.810860868</v>
      </c>
      <c r="C1816" s="51">
        <v>1.037</v>
      </c>
      <c r="D1816" s="51">
        <v>64.0</v>
      </c>
      <c r="E1816" s="52" t="s">
        <v>25</v>
      </c>
      <c r="F1816" s="52" t="s">
        <v>26</v>
      </c>
      <c r="G1816" s="54"/>
    </row>
    <row r="1817">
      <c r="A1817" s="49">
        <v>45039.69630627315</v>
      </c>
      <c r="B1817" s="50">
        <v>45039.8212824884</v>
      </c>
      <c r="C1817" s="51">
        <v>1.037</v>
      </c>
      <c r="D1817" s="51">
        <v>64.0</v>
      </c>
      <c r="E1817" s="52" t="s">
        <v>25</v>
      </c>
      <c r="F1817" s="52" t="s">
        <v>26</v>
      </c>
      <c r="G1817" s="54"/>
    </row>
    <row r="1818">
      <c r="A1818" s="49">
        <v>45039.706723668976</v>
      </c>
      <c r="B1818" s="50">
        <v>45039.8317032638</v>
      </c>
      <c r="C1818" s="51">
        <v>1.037</v>
      </c>
      <c r="D1818" s="51">
        <v>64.0</v>
      </c>
      <c r="E1818" s="52" t="s">
        <v>25</v>
      </c>
      <c r="F1818" s="52" t="s">
        <v>26</v>
      </c>
      <c r="G1818" s="54"/>
    </row>
    <row r="1819">
      <c r="A1819" s="49">
        <v>45039.71715888889</v>
      </c>
      <c r="B1819" s="50">
        <v>45039.8421224421</v>
      </c>
      <c r="C1819" s="51">
        <v>1.036</v>
      </c>
      <c r="D1819" s="51">
        <v>64.0</v>
      </c>
      <c r="E1819" s="52" t="s">
        <v>25</v>
      </c>
      <c r="F1819" s="52" t="s">
        <v>26</v>
      </c>
      <c r="G1819" s="54"/>
    </row>
    <row r="1820">
      <c r="A1820" s="49">
        <v>45039.727572407406</v>
      </c>
      <c r="B1820" s="50">
        <v>45039.85254353</v>
      </c>
      <c r="C1820" s="51">
        <v>1.036</v>
      </c>
      <c r="D1820" s="51">
        <v>64.0</v>
      </c>
      <c r="E1820" s="52" t="s">
        <v>25</v>
      </c>
      <c r="F1820" s="52" t="s">
        <v>26</v>
      </c>
      <c r="G1820" s="54"/>
    </row>
    <row r="1821">
      <c r="A1821" s="49">
        <v>45039.737989016205</v>
      </c>
      <c r="B1821" s="50">
        <v>45039.8629645601</v>
      </c>
      <c r="C1821" s="51">
        <v>1.036</v>
      </c>
      <c r="D1821" s="51">
        <v>64.0</v>
      </c>
      <c r="E1821" s="52" t="s">
        <v>25</v>
      </c>
      <c r="F1821" s="52" t="s">
        <v>26</v>
      </c>
      <c r="G1821" s="54"/>
    </row>
    <row r="1822">
      <c r="A1822" s="49">
        <v>45039.74840729167</v>
      </c>
      <c r="B1822" s="50">
        <v>45039.8733841319</v>
      </c>
      <c r="C1822" s="51">
        <v>1.036</v>
      </c>
      <c r="D1822" s="51">
        <v>64.0</v>
      </c>
      <c r="E1822" s="52" t="s">
        <v>25</v>
      </c>
      <c r="F1822" s="52" t="s">
        <v>26</v>
      </c>
      <c r="G1822" s="54"/>
    </row>
    <row r="1823">
      <c r="A1823" s="49">
        <v>45039.75883731482</v>
      </c>
      <c r="B1823" s="50">
        <v>45039.8838047916</v>
      </c>
      <c r="C1823" s="51">
        <v>1.036</v>
      </c>
      <c r="D1823" s="51">
        <v>64.0</v>
      </c>
      <c r="E1823" s="52" t="s">
        <v>25</v>
      </c>
      <c r="F1823" s="52" t="s">
        <v>26</v>
      </c>
      <c r="G1823" s="54"/>
    </row>
    <row r="1824">
      <c r="A1824" s="49">
        <v>45039.769257465276</v>
      </c>
      <c r="B1824" s="50">
        <v>45039.894226412</v>
      </c>
      <c r="C1824" s="51">
        <v>1.036</v>
      </c>
      <c r="D1824" s="51">
        <v>64.0</v>
      </c>
      <c r="E1824" s="52" t="s">
        <v>25</v>
      </c>
      <c r="F1824" s="52" t="s">
        <v>26</v>
      </c>
      <c r="G1824" s="54"/>
    </row>
    <row r="1825">
      <c r="A1825" s="49">
        <v>45039.77967791667</v>
      </c>
      <c r="B1825" s="50">
        <v>45039.9046466319</v>
      </c>
      <c r="C1825" s="51">
        <v>1.036</v>
      </c>
      <c r="D1825" s="51">
        <v>64.0</v>
      </c>
      <c r="E1825" s="52" t="s">
        <v>25</v>
      </c>
      <c r="F1825" s="52" t="s">
        <v>26</v>
      </c>
      <c r="G1825" s="54"/>
    </row>
    <row r="1826">
      <c r="A1826" s="49">
        <v>45039.79009877315</v>
      </c>
      <c r="B1826" s="50">
        <v>45039.9150671527</v>
      </c>
      <c r="C1826" s="51">
        <v>1.036</v>
      </c>
      <c r="D1826" s="51">
        <v>64.0</v>
      </c>
      <c r="E1826" s="52" t="s">
        <v>25</v>
      </c>
      <c r="F1826" s="52" t="s">
        <v>26</v>
      </c>
      <c r="G1826" s="54"/>
    </row>
    <row r="1827">
      <c r="A1827" s="49">
        <v>45039.80051489583</v>
      </c>
      <c r="B1827" s="50">
        <v>45039.925488368</v>
      </c>
      <c r="C1827" s="51">
        <v>1.036</v>
      </c>
      <c r="D1827" s="51">
        <v>64.0</v>
      </c>
      <c r="E1827" s="52" t="s">
        <v>25</v>
      </c>
      <c r="F1827" s="52" t="s">
        <v>26</v>
      </c>
      <c r="G1827" s="54"/>
    </row>
    <row r="1828">
      <c r="A1828" s="49">
        <v>45039.810938333336</v>
      </c>
      <c r="B1828" s="50">
        <v>45039.9359081713</v>
      </c>
      <c r="C1828" s="51">
        <v>1.036</v>
      </c>
      <c r="D1828" s="51">
        <v>64.0</v>
      </c>
      <c r="E1828" s="52" t="s">
        <v>25</v>
      </c>
      <c r="F1828" s="52" t="s">
        <v>26</v>
      </c>
      <c r="G1828" s="54"/>
    </row>
    <row r="1829">
      <c r="A1829" s="49">
        <v>45039.821356863424</v>
      </c>
      <c r="B1829" s="50">
        <v>45039.946328449</v>
      </c>
      <c r="C1829" s="51">
        <v>1.036</v>
      </c>
      <c r="D1829" s="51">
        <v>64.0</v>
      </c>
      <c r="E1829" s="52" t="s">
        <v>25</v>
      </c>
      <c r="F1829" s="52" t="s">
        <v>26</v>
      </c>
      <c r="G1829" s="54"/>
    </row>
    <row r="1830">
      <c r="A1830" s="49">
        <v>45039.83177849537</v>
      </c>
      <c r="B1830" s="50">
        <v>45039.9567501504</v>
      </c>
      <c r="C1830" s="51">
        <v>1.036</v>
      </c>
      <c r="D1830" s="51">
        <v>64.0</v>
      </c>
      <c r="E1830" s="52" t="s">
        <v>25</v>
      </c>
      <c r="F1830" s="52" t="s">
        <v>26</v>
      </c>
      <c r="G1830" s="54"/>
    </row>
    <row r="1831">
      <c r="A1831" s="49">
        <v>45039.842194826386</v>
      </c>
      <c r="B1831" s="50">
        <v>45039.9671736342</v>
      </c>
      <c r="C1831" s="51">
        <v>1.036</v>
      </c>
      <c r="D1831" s="51">
        <v>64.0</v>
      </c>
      <c r="E1831" s="52" t="s">
        <v>25</v>
      </c>
      <c r="F1831" s="52" t="s">
        <v>26</v>
      </c>
      <c r="G1831" s="54"/>
    </row>
    <row r="1832">
      <c r="A1832" s="49">
        <v>45039.85261944444</v>
      </c>
      <c r="B1832" s="50">
        <v>45039.9775939583</v>
      </c>
      <c r="C1832" s="51">
        <v>1.036</v>
      </c>
      <c r="D1832" s="51">
        <v>64.0</v>
      </c>
      <c r="E1832" s="52" t="s">
        <v>25</v>
      </c>
      <c r="F1832" s="52" t="s">
        <v>26</v>
      </c>
      <c r="G1832" s="54"/>
    </row>
    <row r="1833">
      <c r="A1833" s="49">
        <v>45039.863043958336</v>
      </c>
      <c r="B1833" s="50">
        <v>45039.9880169097</v>
      </c>
      <c r="C1833" s="51">
        <v>1.036</v>
      </c>
      <c r="D1833" s="51">
        <v>64.0</v>
      </c>
      <c r="E1833" s="52" t="s">
        <v>25</v>
      </c>
      <c r="F1833" s="52" t="s">
        <v>26</v>
      </c>
      <c r="G1833" s="54"/>
    </row>
    <row r="1834">
      <c r="A1834" s="49">
        <v>45039.873458912036</v>
      </c>
      <c r="B1834" s="50">
        <v>45039.9984378935</v>
      </c>
      <c r="C1834" s="51">
        <v>1.036</v>
      </c>
      <c r="D1834" s="51">
        <v>64.0</v>
      </c>
      <c r="E1834" s="52" t="s">
        <v>25</v>
      </c>
      <c r="F1834" s="52" t="s">
        <v>26</v>
      </c>
      <c r="G1834" s="54"/>
    </row>
    <row r="1835">
      <c r="A1835" s="49">
        <v>45039.88387975695</v>
      </c>
      <c r="B1835" s="50">
        <v>45040.0088593634</v>
      </c>
      <c r="C1835" s="51">
        <v>1.036</v>
      </c>
      <c r="D1835" s="51">
        <v>64.0</v>
      </c>
      <c r="E1835" s="52" t="s">
        <v>25</v>
      </c>
      <c r="F1835" s="52" t="s">
        <v>26</v>
      </c>
      <c r="G1835" s="54"/>
    </row>
    <row r="1836">
      <c r="A1836" s="49">
        <v>45039.89431408565</v>
      </c>
      <c r="B1836" s="50">
        <v>45040.0192915393</v>
      </c>
      <c r="C1836" s="51">
        <v>1.036</v>
      </c>
      <c r="D1836" s="51">
        <v>64.0</v>
      </c>
      <c r="E1836" s="52" t="s">
        <v>25</v>
      </c>
      <c r="F1836" s="52" t="s">
        <v>26</v>
      </c>
      <c r="G1836" s="54"/>
    </row>
    <row r="1837">
      <c r="A1837" s="49">
        <v>45039.904746099535</v>
      </c>
      <c r="B1837" s="50">
        <v>45040.0297137384</v>
      </c>
      <c r="C1837" s="51">
        <v>1.036</v>
      </c>
      <c r="D1837" s="51">
        <v>64.0</v>
      </c>
      <c r="E1837" s="52" t="s">
        <v>25</v>
      </c>
      <c r="F1837" s="52" t="s">
        <v>26</v>
      </c>
      <c r="G1837" s="54"/>
    </row>
    <row r="1838">
      <c r="A1838" s="49">
        <v>45039.91516259259</v>
      </c>
      <c r="B1838" s="50">
        <v>45040.0401339583</v>
      </c>
      <c r="C1838" s="51">
        <v>1.036</v>
      </c>
      <c r="D1838" s="51">
        <v>64.0</v>
      </c>
      <c r="E1838" s="52" t="s">
        <v>25</v>
      </c>
      <c r="F1838" s="52" t="s">
        <v>26</v>
      </c>
      <c r="G1838" s="54"/>
    </row>
    <row r="1839">
      <c r="A1839" s="49">
        <v>45039.9255808912</v>
      </c>
      <c r="B1839" s="50">
        <v>45040.0505538426</v>
      </c>
      <c r="C1839" s="51">
        <v>1.036</v>
      </c>
      <c r="D1839" s="51">
        <v>64.0</v>
      </c>
      <c r="E1839" s="52" t="s">
        <v>25</v>
      </c>
      <c r="F1839" s="52" t="s">
        <v>26</v>
      </c>
      <c r="G1839" s="54"/>
    </row>
    <row r="1840">
      <c r="A1840" s="49">
        <v>45039.93600582176</v>
      </c>
      <c r="B1840" s="50">
        <v>45040.0609745717</v>
      </c>
      <c r="C1840" s="51">
        <v>1.036</v>
      </c>
      <c r="D1840" s="51">
        <v>64.0</v>
      </c>
      <c r="E1840" s="52" t="s">
        <v>25</v>
      </c>
      <c r="F1840" s="52" t="s">
        <v>26</v>
      </c>
      <c r="G1840" s="54"/>
    </row>
    <row r="1841">
      <c r="A1841" s="49">
        <v>45039.94641582176</v>
      </c>
      <c r="B1841" s="50">
        <v>45040.0713940046</v>
      </c>
      <c r="C1841" s="51">
        <v>1.036</v>
      </c>
      <c r="D1841" s="51">
        <v>64.0</v>
      </c>
      <c r="E1841" s="52" t="s">
        <v>25</v>
      </c>
      <c r="F1841" s="52" t="s">
        <v>26</v>
      </c>
      <c r="G1841" s="54"/>
    </row>
    <row r="1842">
      <c r="A1842" s="49">
        <v>45039.95685681713</v>
      </c>
      <c r="B1842" s="50">
        <v>45040.0818272916</v>
      </c>
      <c r="C1842" s="51">
        <v>1.036</v>
      </c>
      <c r="D1842" s="51">
        <v>64.0</v>
      </c>
      <c r="E1842" s="52" t="s">
        <v>25</v>
      </c>
      <c r="F1842" s="52" t="s">
        <v>26</v>
      </c>
      <c r="G1842" s="54"/>
    </row>
    <row r="1843">
      <c r="A1843" s="49">
        <v>45039.967277442134</v>
      </c>
      <c r="B1843" s="50">
        <v>45040.0922486921</v>
      </c>
      <c r="C1843" s="51">
        <v>1.036</v>
      </c>
      <c r="D1843" s="51">
        <v>64.0</v>
      </c>
      <c r="E1843" s="52" t="s">
        <v>25</v>
      </c>
      <c r="F1843" s="52" t="s">
        <v>26</v>
      </c>
      <c r="G1843" s="54"/>
    </row>
    <row r="1844">
      <c r="A1844" s="49">
        <v>45039.977713263885</v>
      </c>
      <c r="B1844" s="50">
        <v>45040.1026809143</v>
      </c>
      <c r="C1844" s="51">
        <v>1.036</v>
      </c>
      <c r="D1844" s="51">
        <v>64.0</v>
      </c>
      <c r="E1844" s="52" t="s">
        <v>25</v>
      </c>
      <c r="F1844" s="52" t="s">
        <v>26</v>
      </c>
      <c r="G1844" s="54"/>
    </row>
    <row r="1845">
      <c r="A1845" s="49">
        <v>45039.98812175926</v>
      </c>
      <c r="B1845" s="50">
        <v>45040.1130999305</v>
      </c>
      <c r="C1845" s="51">
        <v>1.036</v>
      </c>
      <c r="D1845" s="51">
        <v>64.0</v>
      </c>
      <c r="E1845" s="52" t="s">
        <v>25</v>
      </c>
      <c r="F1845" s="52" t="s">
        <v>26</v>
      </c>
      <c r="G1845" s="54"/>
    </row>
    <row r="1846">
      <c r="A1846" s="49">
        <v>45039.99854880787</v>
      </c>
      <c r="B1846" s="50">
        <v>45040.1235199189</v>
      </c>
      <c r="C1846" s="51">
        <v>1.036</v>
      </c>
      <c r="D1846" s="51">
        <v>64.0</v>
      </c>
      <c r="E1846" s="52" t="s">
        <v>25</v>
      </c>
      <c r="F1846" s="52" t="s">
        <v>26</v>
      </c>
      <c r="G1846" s="54"/>
    </row>
    <row r="1847">
      <c r="A1847" s="49">
        <v>45040.00897012731</v>
      </c>
      <c r="B1847" s="50">
        <v>45040.1339428703</v>
      </c>
      <c r="C1847" s="51">
        <v>1.036</v>
      </c>
      <c r="D1847" s="51">
        <v>64.0</v>
      </c>
      <c r="E1847" s="52" t="s">
        <v>25</v>
      </c>
      <c r="F1847" s="52" t="s">
        <v>26</v>
      </c>
      <c r="G1847" s="54"/>
    </row>
    <row r="1848">
      <c r="A1848" s="49">
        <v>45040.01939290509</v>
      </c>
      <c r="B1848" s="50">
        <v>45040.1443658449</v>
      </c>
      <c r="C1848" s="51">
        <v>1.036</v>
      </c>
      <c r="D1848" s="51">
        <v>64.0</v>
      </c>
      <c r="E1848" s="52" t="s">
        <v>25</v>
      </c>
      <c r="F1848" s="52" t="s">
        <v>26</v>
      </c>
      <c r="G1848" s="54"/>
    </row>
    <row r="1849">
      <c r="A1849" s="49">
        <v>45040.02981482639</v>
      </c>
      <c r="B1849" s="50">
        <v>45040.1547867129</v>
      </c>
      <c r="C1849" s="51">
        <v>1.036</v>
      </c>
      <c r="D1849" s="51">
        <v>64.0</v>
      </c>
      <c r="E1849" s="52" t="s">
        <v>25</v>
      </c>
      <c r="F1849" s="52" t="s">
        <v>26</v>
      </c>
      <c r="G1849" s="54"/>
    </row>
    <row r="1850">
      <c r="A1850" s="49">
        <v>45040.04023105324</v>
      </c>
      <c r="B1850" s="50">
        <v>45040.1652068981</v>
      </c>
      <c r="C1850" s="51">
        <v>1.036</v>
      </c>
      <c r="D1850" s="51">
        <v>64.0</v>
      </c>
      <c r="E1850" s="52" t="s">
        <v>25</v>
      </c>
      <c r="F1850" s="52" t="s">
        <v>26</v>
      </c>
      <c r="G1850" s="54"/>
    </row>
    <row r="1851">
      <c r="A1851" s="49">
        <v>45040.050663981485</v>
      </c>
      <c r="B1851" s="50">
        <v>45040.175639074</v>
      </c>
      <c r="C1851" s="51">
        <v>1.036</v>
      </c>
      <c r="D1851" s="51">
        <v>64.0</v>
      </c>
      <c r="E1851" s="52" t="s">
        <v>25</v>
      </c>
      <c r="F1851" s="52" t="s">
        <v>26</v>
      </c>
      <c r="G1851" s="54"/>
    </row>
    <row r="1852">
      <c r="A1852" s="49">
        <v>45040.06108328704</v>
      </c>
      <c r="B1852" s="50">
        <v>45040.1860606944</v>
      </c>
      <c r="C1852" s="51">
        <v>1.036</v>
      </c>
      <c r="D1852" s="51">
        <v>64.0</v>
      </c>
      <c r="E1852" s="52" t="s">
        <v>25</v>
      </c>
      <c r="F1852" s="52" t="s">
        <v>26</v>
      </c>
      <c r="G1852" s="54"/>
    </row>
    <row r="1853">
      <c r="A1853" s="49">
        <v>45040.07151337963</v>
      </c>
      <c r="B1853" s="50">
        <v>45040.1964817129</v>
      </c>
      <c r="C1853" s="51">
        <v>1.036</v>
      </c>
      <c r="D1853" s="51">
        <v>64.0</v>
      </c>
      <c r="E1853" s="52" t="s">
        <v>25</v>
      </c>
      <c r="F1853" s="52" t="s">
        <v>26</v>
      </c>
      <c r="G1853" s="54"/>
    </row>
    <row r="1854">
      <c r="A1854" s="49">
        <v>45040.08193230324</v>
      </c>
      <c r="B1854" s="50">
        <v>45040.2069019444</v>
      </c>
      <c r="C1854" s="51">
        <v>1.036</v>
      </c>
      <c r="D1854" s="51">
        <v>64.0</v>
      </c>
      <c r="E1854" s="52" t="s">
        <v>25</v>
      </c>
      <c r="F1854" s="52" t="s">
        <v>26</v>
      </c>
      <c r="G1854" s="54"/>
    </row>
    <row r="1855">
      <c r="A1855" s="49">
        <v>45040.09235195602</v>
      </c>
      <c r="B1855" s="50">
        <v>45040.2173230671</v>
      </c>
      <c r="C1855" s="51">
        <v>1.036</v>
      </c>
      <c r="D1855" s="51">
        <v>64.0</v>
      </c>
      <c r="E1855" s="52" t="s">
        <v>25</v>
      </c>
      <c r="F1855" s="52" t="s">
        <v>26</v>
      </c>
      <c r="G1855" s="54"/>
    </row>
    <row r="1856">
      <c r="A1856" s="49">
        <v>45040.102769606485</v>
      </c>
      <c r="B1856" s="50">
        <v>45040.2277445254</v>
      </c>
      <c r="C1856" s="51">
        <v>1.036</v>
      </c>
      <c r="D1856" s="51">
        <v>64.0</v>
      </c>
      <c r="E1856" s="52" t="s">
        <v>25</v>
      </c>
      <c r="F1856" s="52" t="s">
        <v>26</v>
      </c>
      <c r="G1856" s="54"/>
    </row>
    <row r="1857">
      <c r="A1857" s="49">
        <v>45040.113196886574</v>
      </c>
      <c r="B1857" s="50">
        <v>45040.2381678125</v>
      </c>
      <c r="C1857" s="51">
        <v>1.036</v>
      </c>
      <c r="D1857" s="51">
        <v>64.0</v>
      </c>
      <c r="E1857" s="52" t="s">
        <v>25</v>
      </c>
      <c r="F1857" s="52" t="s">
        <v>26</v>
      </c>
      <c r="G1857" s="54"/>
    </row>
    <row r="1858">
      <c r="A1858" s="49">
        <v>45040.123614675926</v>
      </c>
      <c r="B1858" s="50">
        <v>45040.2485880671</v>
      </c>
      <c r="C1858" s="51">
        <v>1.036</v>
      </c>
      <c r="D1858" s="51">
        <v>64.0</v>
      </c>
      <c r="E1858" s="52" t="s">
        <v>25</v>
      </c>
      <c r="F1858" s="52" t="s">
        <v>26</v>
      </c>
      <c r="G1858" s="54"/>
    </row>
    <row r="1859">
      <c r="A1859" s="49">
        <v>45040.134033298615</v>
      </c>
      <c r="B1859" s="50">
        <v>45040.2590089699</v>
      </c>
      <c r="C1859" s="51">
        <v>1.036</v>
      </c>
      <c r="D1859" s="51">
        <v>64.0</v>
      </c>
      <c r="E1859" s="52" t="s">
        <v>25</v>
      </c>
      <c r="F1859" s="52" t="s">
        <v>26</v>
      </c>
      <c r="G1859" s="54"/>
    </row>
    <row r="1860">
      <c r="A1860" s="49">
        <v>45040.14447193287</v>
      </c>
      <c r="B1860" s="50">
        <v>45040.2694293055</v>
      </c>
      <c r="C1860" s="51">
        <v>1.036</v>
      </c>
      <c r="D1860" s="51">
        <v>64.0</v>
      </c>
      <c r="E1860" s="52" t="s">
        <v>25</v>
      </c>
      <c r="F1860" s="52" t="s">
        <v>26</v>
      </c>
      <c r="G1860" s="54"/>
    </row>
    <row r="1861">
      <c r="A1861" s="49">
        <v>45040.15487540509</v>
      </c>
      <c r="B1861" s="50">
        <v>45040.2798474652</v>
      </c>
      <c r="C1861" s="51">
        <v>1.036</v>
      </c>
      <c r="D1861" s="51">
        <v>64.0</v>
      </c>
      <c r="E1861" s="52" t="s">
        <v>25</v>
      </c>
      <c r="F1861" s="52" t="s">
        <v>26</v>
      </c>
      <c r="G1861" s="54"/>
    </row>
    <row r="1862">
      <c r="A1862" s="49">
        <v>45040.165298692125</v>
      </c>
      <c r="B1862" s="50">
        <v>45040.2902680555</v>
      </c>
      <c r="C1862" s="51">
        <v>1.036</v>
      </c>
      <c r="D1862" s="51">
        <v>64.0</v>
      </c>
      <c r="E1862" s="52" t="s">
        <v>25</v>
      </c>
      <c r="F1862" s="52" t="s">
        <v>26</v>
      </c>
      <c r="G1862" s="54"/>
    </row>
    <row r="1863">
      <c r="A1863" s="49">
        <v>45040.175745625005</v>
      </c>
      <c r="B1863" s="50">
        <v>45040.3007129745</v>
      </c>
      <c r="C1863" s="51">
        <v>1.036</v>
      </c>
      <c r="D1863" s="51">
        <v>64.0</v>
      </c>
      <c r="E1863" s="52" t="s">
        <v>25</v>
      </c>
      <c r="F1863" s="52" t="s">
        <v>26</v>
      </c>
      <c r="G1863" s="54"/>
    </row>
    <row r="1864">
      <c r="A1864" s="49">
        <v>45040.18616550926</v>
      </c>
      <c r="B1864" s="50">
        <v>45040.3111333564</v>
      </c>
      <c r="C1864" s="51">
        <v>1.036</v>
      </c>
      <c r="D1864" s="51">
        <v>64.0</v>
      </c>
      <c r="E1864" s="52" t="s">
        <v>25</v>
      </c>
      <c r="F1864" s="52" t="s">
        <v>26</v>
      </c>
      <c r="G1864" s="54"/>
    </row>
    <row r="1865">
      <c r="A1865" s="49">
        <v>45040.19658537037</v>
      </c>
      <c r="B1865" s="50">
        <v>45040.3215537615</v>
      </c>
      <c r="C1865" s="51">
        <v>1.036</v>
      </c>
      <c r="D1865" s="51">
        <v>64.0</v>
      </c>
      <c r="E1865" s="52" t="s">
        <v>25</v>
      </c>
      <c r="F1865" s="52" t="s">
        <v>26</v>
      </c>
      <c r="G1865" s="54"/>
    </row>
    <row r="1866">
      <c r="A1866" s="49">
        <v>45040.20701707176</v>
      </c>
      <c r="B1866" s="50">
        <v>45040.3319872801</v>
      </c>
      <c r="C1866" s="51">
        <v>1.036</v>
      </c>
      <c r="D1866" s="51">
        <v>64.0</v>
      </c>
      <c r="E1866" s="52" t="s">
        <v>25</v>
      </c>
      <c r="F1866" s="52" t="s">
        <v>26</v>
      </c>
      <c r="G1866" s="54"/>
    </row>
    <row r="1867">
      <c r="A1867" s="49">
        <v>45040.21743587963</v>
      </c>
      <c r="B1867" s="50">
        <v>45040.3424084838</v>
      </c>
      <c r="C1867" s="51">
        <v>1.036</v>
      </c>
      <c r="D1867" s="51">
        <v>64.0</v>
      </c>
      <c r="E1867" s="52" t="s">
        <v>25</v>
      </c>
      <c r="F1867" s="52" t="s">
        <v>26</v>
      </c>
      <c r="G1867" s="54"/>
    </row>
    <row r="1868">
      <c r="A1868" s="49">
        <v>45040.22785604167</v>
      </c>
      <c r="B1868" s="50">
        <v>45040.3528287615</v>
      </c>
      <c r="C1868" s="51">
        <v>1.036</v>
      </c>
      <c r="D1868" s="51">
        <v>64.0</v>
      </c>
      <c r="E1868" s="52" t="s">
        <v>25</v>
      </c>
      <c r="F1868" s="52" t="s">
        <v>26</v>
      </c>
      <c r="G1868" s="54"/>
    </row>
    <row r="1869">
      <c r="A1869" s="49">
        <v>45040.238281087964</v>
      </c>
      <c r="B1869" s="50">
        <v>45040.3632489467</v>
      </c>
      <c r="C1869" s="51">
        <v>1.036</v>
      </c>
      <c r="D1869" s="51">
        <v>64.0</v>
      </c>
      <c r="E1869" s="52" t="s">
        <v>25</v>
      </c>
      <c r="F1869" s="52" t="s">
        <v>26</v>
      </c>
      <c r="G1869" s="54"/>
    </row>
    <row r="1870">
      <c r="A1870" s="49">
        <v>45040.2487071875</v>
      </c>
      <c r="B1870" s="50">
        <v>45040.3736699074</v>
      </c>
      <c r="C1870" s="51">
        <v>1.036</v>
      </c>
      <c r="D1870" s="51">
        <v>64.0</v>
      </c>
      <c r="E1870" s="52" t="s">
        <v>25</v>
      </c>
      <c r="F1870" s="52" t="s">
        <v>26</v>
      </c>
      <c r="G1870" s="54"/>
    </row>
    <row r="1871">
      <c r="A1871" s="49">
        <v>45040.25911480324</v>
      </c>
      <c r="B1871" s="50">
        <v>45040.3840917361</v>
      </c>
      <c r="C1871" s="51">
        <v>1.036</v>
      </c>
      <c r="D1871" s="51">
        <v>64.0</v>
      </c>
      <c r="E1871" s="52" t="s">
        <v>25</v>
      </c>
      <c r="F1871" s="52" t="s">
        <v>26</v>
      </c>
      <c r="G1871" s="54"/>
    </row>
    <row r="1872">
      <c r="A1872" s="49">
        <v>45040.26953917824</v>
      </c>
      <c r="B1872" s="50">
        <v>45040.3945097569</v>
      </c>
      <c r="C1872" s="51">
        <v>1.035</v>
      </c>
      <c r="D1872" s="51">
        <v>64.0</v>
      </c>
      <c r="E1872" s="52" t="s">
        <v>25</v>
      </c>
      <c r="F1872" s="52" t="s">
        <v>26</v>
      </c>
      <c r="G1872" s="54"/>
    </row>
    <row r="1873">
      <c r="A1873" s="49">
        <v>45040.27996135417</v>
      </c>
      <c r="B1873" s="50">
        <v>45040.4049280787</v>
      </c>
      <c r="C1873" s="51">
        <v>1.036</v>
      </c>
      <c r="D1873" s="51">
        <v>64.0</v>
      </c>
      <c r="E1873" s="52" t="s">
        <v>25</v>
      </c>
      <c r="F1873" s="52" t="s">
        <v>26</v>
      </c>
      <c r="G1873" s="54"/>
    </row>
    <row r="1874">
      <c r="A1874" s="49">
        <v>45040.2903837037</v>
      </c>
      <c r="B1874" s="50">
        <v>45040.415351493</v>
      </c>
      <c r="C1874" s="51">
        <v>1.035</v>
      </c>
      <c r="D1874" s="51">
        <v>64.0</v>
      </c>
      <c r="E1874" s="52" t="s">
        <v>25</v>
      </c>
      <c r="F1874" s="52" t="s">
        <v>26</v>
      </c>
      <c r="G1874" s="54"/>
    </row>
    <row r="1875">
      <c r="A1875" s="49">
        <v>45040.30079684028</v>
      </c>
      <c r="B1875" s="50">
        <v>45040.4257735069</v>
      </c>
      <c r="C1875" s="51">
        <v>1.035</v>
      </c>
      <c r="D1875" s="51">
        <v>63.0</v>
      </c>
      <c r="E1875" s="52" t="s">
        <v>25</v>
      </c>
      <c r="F1875" s="52" t="s">
        <v>26</v>
      </c>
      <c r="G1875" s="54"/>
    </row>
    <row r="1876">
      <c r="A1876" s="49">
        <v>45040.31121958334</v>
      </c>
      <c r="B1876" s="50">
        <v>45040.4361943171</v>
      </c>
      <c r="C1876" s="51">
        <v>1.035</v>
      </c>
      <c r="D1876" s="51">
        <v>64.0</v>
      </c>
      <c r="E1876" s="52" t="s">
        <v>25</v>
      </c>
      <c r="F1876" s="52" t="s">
        <v>26</v>
      </c>
      <c r="G1876" s="54"/>
    </row>
    <row r="1877">
      <c r="A1877" s="49">
        <v>45040.3216434375</v>
      </c>
      <c r="B1877" s="50">
        <v>45040.4466160763</v>
      </c>
      <c r="C1877" s="51">
        <v>1.035</v>
      </c>
      <c r="D1877" s="51">
        <v>64.0</v>
      </c>
      <c r="E1877" s="52" t="s">
        <v>25</v>
      </c>
      <c r="F1877" s="52" t="s">
        <v>26</v>
      </c>
      <c r="G1877" s="54"/>
    </row>
    <row r="1878">
      <c r="A1878" s="49">
        <v>45040.332066365736</v>
      </c>
      <c r="B1878" s="50">
        <v>45040.4570375231</v>
      </c>
      <c r="C1878" s="51">
        <v>1.035</v>
      </c>
      <c r="D1878" s="51">
        <v>63.0</v>
      </c>
      <c r="E1878" s="52" t="s">
        <v>25</v>
      </c>
      <c r="F1878" s="52" t="s">
        <v>26</v>
      </c>
      <c r="G1878" s="54"/>
    </row>
    <row r="1879">
      <c r="A1879" s="49">
        <v>45040.34249790509</v>
      </c>
      <c r="B1879" s="50">
        <v>45040.4674713194</v>
      </c>
      <c r="C1879" s="51">
        <v>1.036</v>
      </c>
      <c r="D1879" s="51">
        <v>63.0</v>
      </c>
      <c r="E1879" s="52" t="s">
        <v>25</v>
      </c>
      <c r="F1879" s="52" t="s">
        <v>26</v>
      </c>
      <c r="G1879" s="54"/>
    </row>
    <row r="1880">
      <c r="A1880" s="49">
        <v>45040.35293444444</v>
      </c>
      <c r="B1880" s="50">
        <v>45040.4779036226</v>
      </c>
      <c r="C1880" s="51">
        <v>1.035</v>
      </c>
      <c r="D1880" s="51">
        <v>63.0</v>
      </c>
      <c r="E1880" s="52" t="s">
        <v>25</v>
      </c>
      <c r="F1880" s="52" t="s">
        <v>26</v>
      </c>
      <c r="G1880" s="54"/>
    </row>
    <row r="1881">
      <c r="A1881" s="49">
        <v>45040.363372708336</v>
      </c>
      <c r="B1881" s="50">
        <v>45040.4883346759</v>
      </c>
      <c r="C1881" s="51">
        <v>1.035</v>
      </c>
      <c r="D1881" s="51">
        <v>64.0</v>
      </c>
      <c r="E1881" s="52" t="s">
        <v>25</v>
      </c>
      <c r="F1881" s="52" t="s">
        <v>26</v>
      </c>
      <c r="G1881" s="54"/>
    </row>
    <row r="1882">
      <c r="A1882" s="49">
        <v>45040.37377844907</v>
      </c>
      <c r="B1882" s="50">
        <v>45040.498756956</v>
      </c>
      <c r="C1882" s="51">
        <v>1.036</v>
      </c>
      <c r="D1882" s="51">
        <v>63.0</v>
      </c>
      <c r="E1882" s="52" t="s">
        <v>25</v>
      </c>
      <c r="F1882" s="52" t="s">
        <v>26</v>
      </c>
      <c r="G1882" s="54"/>
    </row>
    <row r="1883">
      <c r="A1883" s="49">
        <v>45040.38421046296</v>
      </c>
      <c r="B1883" s="50">
        <v>45040.5091768634</v>
      </c>
      <c r="C1883" s="51">
        <v>1.035</v>
      </c>
      <c r="D1883" s="51">
        <v>63.0</v>
      </c>
      <c r="E1883" s="52" t="s">
        <v>25</v>
      </c>
      <c r="F1883" s="52" t="s">
        <v>26</v>
      </c>
      <c r="G1883" s="54"/>
    </row>
    <row r="1884">
      <c r="A1884" s="49">
        <v>45040.394622210646</v>
      </c>
      <c r="B1884" s="50">
        <v>45040.5195965162</v>
      </c>
      <c r="C1884" s="51">
        <v>1.035</v>
      </c>
      <c r="D1884" s="51">
        <v>63.0</v>
      </c>
      <c r="E1884" s="52" t="s">
        <v>25</v>
      </c>
      <c r="F1884" s="52" t="s">
        <v>26</v>
      </c>
      <c r="G1884" s="54"/>
    </row>
    <row r="1885">
      <c r="A1885" s="49">
        <v>45040.40504546296</v>
      </c>
      <c r="B1885" s="50">
        <v>45040.5300185995</v>
      </c>
      <c r="C1885" s="51">
        <v>1.035</v>
      </c>
      <c r="D1885" s="51">
        <v>63.0</v>
      </c>
      <c r="E1885" s="52" t="s">
        <v>25</v>
      </c>
      <c r="F1885" s="52" t="s">
        <v>26</v>
      </c>
      <c r="G1885" s="54"/>
    </row>
    <row r="1886">
      <c r="A1886" s="49">
        <v>45040.415469976855</v>
      </c>
      <c r="B1886" s="50">
        <v>45040.5404402199</v>
      </c>
      <c r="C1886" s="51">
        <v>1.035</v>
      </c>
      <c r="D1886" s="51">
        <v>63.0</v>
      </c>
      <c r="E1886" s="52" t="s">
        <v>25</v>
      </c>
      <c r="F1886" s="52" t="s">
        <v>26</v>
      </c>
      <c r="G1886" s="54"/>
    </row>
    <row r="1887">
      <c r="A1887" s="49">
        <v>45040.425897442125</v>
      </c>
      <c r="B1887" s="50">
        <v>45040.550860625</v>
      </c>
      <c r="C1887" s="51">
        <v>1.035</v>
      </c>
      <c r="D1887" s="51">
        <v>63.0</v>
      </c>
      <c r="E1887" s="52" t="s">
        <v>25</v>
      </c>
      <c r="F1887" s="52" t="s">
        <v>26</v>
      </c>
      <c r="G1887" s="54"/>
    </row>
    <row r="1888">
      <c r="A1888" s="49">
        <v>45040.43631071759</v>
      </c>
      <c r="B1888" s="50">
        <v>45040.561281655</v>
      </c>
      <c r="C1888" s="51">
        <v>1.035</v>
      </c>
      <c r="D1888" s="51">
        <v>63.0</v>
      </c>
      <c r="E1888" s="52" t="s">
        <v>25</v>
      </c>
      <c r="F1888" s="52" t="s">
        <v>26</v>
      </c>
      <c r="G1888" s="54"/>
    </row>
    <row r="1889">
      <c r="A1889" s="49">
        <v>45040.44674339121</v>
      </c>
      <c r="B1889" s="50">
        <v>45040.5717022453</v>
      </c>
      <c r="C1889" s="51">
        <v>1.035</v>
      </c>
      <c r="D1889" s="51">
        <v>63.0</v>
      </c>
      <c r="E1889" s="52" t="s">
        <v>25</v>
      </c>
      <c r="F1889" s="52" t="s">
        <v>26</v>
      </c>
      <c r="G1889" s="54"/>
    </row>
    <row r="1890">
      <c r="A1890" s="49">
        <v>45040.45715527778</v>
      </c>
      <c r="B1890" s="50">
        <v>45040.582123449</v>
      </c>
      <c r="C1890" s="51">
        <v>1.035</v>
      </c>
      <c r="D1890" s="51">
        <v>63.0</v>
      </c>
      <c r="E1890" s="52" t="s">
        <v>25</v>
      </c>
      <c r="F1890" s="52" t="s">
        <v>26</v>
      </c>
      <c r="G1890" s="54"/>
    </row>
    <row r="1891">
      <c r="A1891" s="49">
        <v>45040.46757516204</v>
      </c>
      <c r="B1891" s="50">
        <v>45040.5925440856</v>
      </c>
      <c r="C1891" s="51">
        <v>1.035</v>
      </c>
      <c r="D1891" s="51">
        <v>63.0</v>
      </c>
      <c r="E1891" s="52" t="s">
        <v>25</v>
      </c>
      <c r="F1891" s="52" t="s">
        <v>26</v>
      </c>
      <c r="G1891" s="54"/>
    </row>
    <row r="1892">
      <c r="A1892" s="49">
        <v>45040.47799773148</v>
      </c>
      <c r="B1892" s="50">
        <v>45040.6029650578</v>
      </c>
      <c r="C1892" s="51">
        <v>1.035</v>
      </c>
      <c r="D1892" s="51">
        <v>63.0</v>
      </c>
      <c r="E1892" s="52" t="s">
        <v>25</v>
      </c>
      <c r="F1892" s="52" t="s">
        <v>26</v>
      </c>
      <c r="G1892" s="54"/>
    </row>
    <row r="1893">
      <c r="A1893" s="49">
        <v>45040.488438333334</v>
      </c>
      <c r="B1893" s="50">
        <v>45040.6134110069</v>
      </c>
      <c r="C1893" s="51">
        <v>1.035</v>
      </c>
      <c r="D1893" s="51">
        <v>63.0</v>
      </c>
      <c r="E1893" s="52" t="s">
        <v>25</v>
      </c>
      <c r="F1893" s="52" t="s">
        <v>26</v>
      </c>
      <c r="G1893" s="54"/>
    </row>
    <row r="1894">
      <c r="A1894" s="49">
        <v>45040.49886738426</v>
      </c>
      <c r="B1894" s="50">
        <v>45040.6238311458</v>
      </c>
      <c r="C1894" s="51">
        <v>1.035</v>
      </c>
      <c r="D1894" s="51">
        <v>63.0</v>
      </c>
      <c r="E1894" s="52" t="s">
        <v>25</v>
      </c>
      <c r="F1894" s="52" t="s">
        <v>26</v>
      </c>
      <c r="G1894" s="54"/>
    </row>
    <row r="1895">
      <c r="A1895" s="49">
        <v>45040.50927753472</v>
      </c>
      <c r="B1895" s="50">
        <v>45040.6342512731</v>
      </c>
      <c r="C1895" s="51">
        <v>1.035</v>
      </c>
      <c r="D1895" s="51">
        <v>63.0</v>
      </c>
      <c r="E1895" s="52" t="s">
        <v>25</v>
      </c>
      <c r="F1895" s="52" t="s">
        <v>26</v>
      </c>
      <c r="G1895" s="54"/>
    </row>
    <row r="1896">
      <c r="A1896" s="49">
        <v>45040.51971467593</v>
      </c>
      <c r="B1896" s="50">
        <v>45040.6446758449</v>
      </c>
      <c r="C1896" s="51">
        <v>1.035</v>
      </c>
      <c r="D1896" s="51">
        <v>63.0</v>
      </c>
      <c r="E1896" s="52" t="s">
        <v>25</v>
      </c>
      <c r="F1896" s="52" t="s">
        <v>26</v>
      </c>
      <c r="G1896" s="54"/>
    </row>
    <row r="1897">
      <c r="A1897" s="49">
        <v>45040.53012201389</v>
      </c>
      <c r="B1897" s="50">
        <v>45040.6550984259</v>
      </c>
      <c r="C1897" s="51">
        <v>1.035</v>
      </c>
      <c r="D1897" s="51">
        <v>63.0</v>
      </c>
      <c r="E1897" s="52" t="s">
        <v>25</v>
      </c>
      <c r="F1897" s="52" t="s">
        <v>26</v>
      </c>
      <c r="G1897" s="54"/>
    </row>
    <row r="1898">
      <c r="A1898" s="49">
        <v>45040.540547557874</v>
      </c>
      <c r="B1898" s="50">
        <v>45040.6655181481</v>
      </c>
      <c r="C1898" s="51">
        <v>1.035</v>
      </c>
      <c r="D1898" s="51">
        <v>63.0</v>
      </c>
      <c r="E1898" s="52" t="s">
        <v>25</v>
      </c>
      <c r="F1898" s="52" t="s">
        <v>26</v>
      </c>
      <c r="G1898" s="54"/>
    </row>
    <row r="1899">
      <c r="A1899" s="49">
        <v>45040.550970763885</v>
      </c>
      <c r="B1899" s="50">
        <v>45040.675940324</v>
      </c>
      <c r="C1899" s="51">
        <v>1.035</v>
      </c>
      <c r="D1899" s="51">
        <v>63.0</v>
      </c>
      <c r="E1899" s="52" t="s">
        <v>25</v>
      </c>
      <c r="F1899" s="52" t="s">
        <v>26</v>
      </c>
      <c r="G1899" s="54"/>
    </row>
    <row r="1900">
      <c r="A1900" s="49">
        <v>45040.56139307871</v>
      </c>
      <c r="B1900" s="50">
        <v>45040.6863585879</v>
      </c>
      <c r="C1900" s="51">
        <v>1.035</v>
      </c>
      <c r="D1900" s="51">
        <v>63.0</v>
      </c>
      <c r="E1900" s="52" t="s">
        <v>25</v>
      </c>
      <c r="F1900" s="52" t="s">
        <v>26</v>
      </c>
      <c r="G1900" s="54"/>
    </row>
    <row r="1901">
      <c r="A1901" s="49">
        <v>45040.57180341435</v>
      </c>
      <c r="B1901" s="50">
        <v>45040.6967797569</v>
      </c>
      <c r="C1901" s="51">
        <v>1.035</v>
      </c>
      <c r="D1901" s="51">
        <v>63.0</v>
      </c>
      <c r="E1901" s="52" t="s">
        <v>25</v>
      </c>
      <c r="F1901" s="52" t="s">
        <v>26</v>
      </c>
      <c r="G1901" s="54"/>
    </row>
    <row r="1902">
      <c r="A1902" s="49">
        <v>45040.582231736116</v>
      </c>
      <c r="B1902" s="50">
        <v>45040.7072010301</v>
      </c>
      <c r="C1902" s="51">
        <v>1.035</v>
      </c>
      <c r="D1902" s="51">
        <v>63.0</v>
      </c>
      <c r="E1902" s="52" t="s">
        <v>25</v>
      </c>
      <c r="F1902" s="52" t="s">
        <v>26</v>
      </c>
      <c r="G1902" s="54"/>
    </row>
    <row r="1903">
      <c r="A1903" s="49">
        <v>45040.5926496875</v>
      </c>
      <c r="B1903" s="50">
        <v>45040.7176230787</v>
      </c>
      <c r="C1903" s="51">
        <v>1.035</v>
      </c>
      <c r="D1903" s="51">
        <v>63.0</v>
      </c>
      <c r="E1903" s="52" t="s">
        <v>25</v>
      </c>
      <c r="F1903" s="52" t="s">
        <v>26</v>
      </c>
      <c r="G1903" s="54"/>
    </row>
    <row r="1904">
      <c r="A1904" s="49">
        <v>45040.60307505787</v>
      </c>
      <c r="B1904" s="50">
        <v>45040.7280432407</v>
      </c>
      <c r="C1904" s="51">
        <v>1.035</v>
      </c>
      <c r="D1904" s="51">
        <v>63.0</v>
      </c>
      <c r="E1904" s="52" t="s">
        <v>25</v>
      </c>
      <c r="F1904" s="52" t="s">
        <v>26</v>
      </c>
      <c r="G1904" s="54"/>
    </row>
    <row r="1905">
      <c r="A1905" s="49">
        <v>45040.61348856481</v>
      </c>
      <c r="B1905" s="50">
        <v>45040.7384633912</v>
      </c>
      <c r="C1905" s="51">
        <v>1.035</v>
      </c>
      <c r="D1905" s="51">
        <v>63.0</v>
      </c>
      <c r="E1905" s="52" t="s">
        <v>25</v>
      </c>
      <c r="F1905" s="52" t="s">
        <v>26</v>
      </c>
      <c r="G1905" s="54"/>
    </row>
    <row r="1906">
      <c r="A1906" s="49">
        <v>45040.62392449074</v>
      </c>
      <c r="B1906" s="50">
        <v>45040.7488942708</v>
      </c>
      <c r="C1906" s="51">
        <v>1.035</v>
      </c>
      <c r="D1906" s="51">
        <v>63.0</v>
      </c>
      <c r="E1906" s="52" t="s">
        <v>25</v>
      </c>
      <c r="F1906" s="52" t="s">
        <v>26</v>
      </c>
      <c r="G1906" s="54"/>
    </row>
    <row r="1907">
      <c r="A1907" s="49">
        <v>45040.63434716435</v>
      </c>
      <c r="B1907" s="50">
        <v>45040.7593143402</v>
      </c>
      <c r="C1907" s="51">
        <v>1.035</v>
      </c>
      <c r="D1907" s="51">
        <v>63.0</v>
      </c>
      <c r="E1907" s="52" t="s">
        <v>25</v>
      </c>
      <c r="F1907" s="52" t="s">
        <v>26</v>
      </c>
      <c r="G1907" s="54"/>
    </row>
    <row r="1908">
      <c r="A1908" s="49">
        <v>45040.64476945602</v>
      </c>
      <c r="B1908" s="50">
        <v>45040.7697351041</v>
      </c>
      <c r="C1908" s="51">
        <v>1.035</v>
      </c>
      <c r="D1908" s="51">
        <v>63.0</v>
      </c>
      <c r="E1908" s="52" t="s">
        <v>25</v>
      </c>
      <c r="F1908" s="52" t="s">
        <v>26</v>
      </c>
      <c r="G1908" s="54"/>
    </row>
    <row r="1909">
      <c r="A1909" s="49">
        <v>45040.65518234954</v>
      </c>
      <c r="B1909" s="50">
        <v>45040.7801564236</v>
      </c>
      <c r="C1909" s="51">
        <v>1.035</v>
      </c>
      <c r="D1909" s="51">
        <v>63.0</v>
      </c>
      <c r="E1909" s="52" t="s">
        <v>25</v>
      </c>
      <c r="F1909" s="52" t="s">
        <v>26</v>
      </c>
      <c r="G1909" s="54"/>
    </row>
    <row r="1910">
      <c r="A1910" s="49">
        <v>45040.665616921295</v>
      </c>
      <c r="B1910" s="50">
        <v>45040.7905899189</v>
      </c>
      <c r="C1910" s="51">
        <v>1.035</v>
      </c>
      <c r="D1910" s="51">
        <v>63.0</v>
      </c>
      <c r="E1910" s="52" t="s">
        <v>25</v>
      </c>
      <c r="F1910" s="52" t="s">
        <v>26</v>
      </c>
      <c r="G1910" s="54"/>
    </row>
    <row r="1911">
      <c r="A1911" s="49">
        <v>45040.67603766204</v>
      </c>
      <c r="B1911" s="50">
        <v>45040.8010132175</v>
      </c>
      <c r="C1911" s="51">
        <v>1.035</v>
      </c>
      <c r="D1911" s="51">
        <v>63.0</v>
      </c>
      <c r="E1911" s="52" t="s">
        <v>25</v>
      </c>
      <c r="F1911" s="52" t="s">
        <v>26</v>
      </c>
      <c r="G1911" s="54"/>
    </row>
    <row r="1912">
      <c r="A1912" s="49">
        <v>45040.686476539355</v>
      </c>
      <c r="B1912" s="50">
        <v>45040.8114460648</v>
      </c>
      <c r="C1912" s="51">
        <v>1.035</v>
      </c>
      <c r="D1912" s="51">
        <v>63.0</v>
      </c>
      <c r="E1912" s="52" t="s">
        <v>25</v>
      </c>
      <c r="F1912" s="52" t="s">
        <v>26</v>
      </c>
      <c r="G1912" s="54"/>
    </row>
    <row r="1913">
      <c r="A1913" s="49">
        <v>45040.69689349537</v>
      </c>
      <c r="B1913" s="50">
        <v>45040.821867824</v>
      </c>
      <c r="C1913" s="51">
        <v>1.035</v>
      </c>
      <c r="D1913" s="51">
        <v>63.0</v>
      </c>
      <c r="E1913" s="52" t="s">
        <v>25</v>
      </c>
      <c r="F1913" s="52" t="s">
        <v>26</v>
      </c>
      <c r="G1913" s="54"/>
    </row>
    <row r="1914">
      <c r="A1914" s="49">
        <v>45040.707325509255</v>
      </c>
      <c r="B1914" s="50">
        <v>45040.8322878472</v>
      </c>
      <c r="C1914" s="51">
        <v>1.035</v>
      </c>
      <c r="D1914" s="51">
        <v>63.0</v>
      </c>
      <c r="E1914" s="52" t="s">
        <v>25</v>
      </c>
      <c r="F1914" s="52" t="s">
        <v>26</v>
      </c>
      <c r="G1914" s="54"/>
    </row>
    <row r="1915">
      <c r="A1915" s="49">
        <v>45040.71774128472</v>
      </c>
      <c r="B1915" s="50">
        <v>45040.8427092476</v>
      </c>
      <c r="C1915" s="51">
        <v>1.035</v>
      </c>
      <c r="D1915" s="51">
        <v>63.0</v>
      </c>
      <c r="E1915" s="52" t="s">
        <v>25</v>
      </c>
      <c r="F1915" s="52" t="s">
        <v>26</v>
      </c>
      <c r="G1915" s="54"/>
    </row>
    <row r="1916">
      <c r="A1916" s="49">
        <v>45040.72816280092</v>
      </c>
      <c r="B1916" s="50">
        <v>45040.8531302546</v>
      </c>
      <c r="C1916" s="51">
        <v>1.035</v>
      </c>
      <c r="D1916" s="51">
        <v>63.0</v>
      </c>
      <c r="E1916" s="52" t="s">
        <v>25</v>
      </c>
      <c r="F1916" s="52" t="s">
        <v>26</v>
      </c>
      <c r="G1916" s="54"/>
    </row>
    <row r="1917">
      <c r="A1917" s="49">
        <v>45040.73857994213</v>
      </c>
      <c r="B1917" s="50">
        <v>45040.8635524884</v>
      </c>
      <c r="C1917" s="51">
        <v>1.035</v>
      </c>
      <c r="D1917" s="51">
        <v>63.0</v>
      </c>
      <c r="E1917" s="52" t="s">
        <v>25</v>
      </c>
      <c r="F1917" s="52" t="s">
        <v>26</v>
      </c>
      <c r="G1917" s="54"/>
    </row>
    <row r="1918">
      <c r="A1918" s="49">
        <v>45040.74899746528</v>
      </c>
      <c r="B1918" s="50">
        <v>45040.8739745717</v>
      </c>
      <c r="C1918" s="51">
        <v>1.035</v>
      </c>
      <c r="D1918" s="51">
        <v>63.0</v>
      </c>
      <c r="E1918" s="52" t="s">
        <v>25</v>
      </c>
      <c r="F1918" s="52" t="s">
        <v>26</v>
      </c>
      <c r="G1918" s="54"/>
    </row>
    <row r="1919">
      <c r="A1919" s="49">
        <v>45040.75942913194</v>
      </c>
      <c r="B1919" s="50">
        <v>45040.8843952893</v>
      </c>
      <c r="C1919" s="51">
        <v>1.035</v>
      </c>
      <c r="D1919" s="51">
        <v>63.0</v>
      </c>
      <c r="E1919" s="52" t="s">
        <v>25</v>
      </c>
      <c r="F1919" s="52" t="s">
        <v>26</v>
      </c>
      <c r="G1919" s="54"/>
    </row>
    <row r="1920">
      <c r="A1920" s="49">
        <v>45040.76984337963</v>
      </c>
      <c r="B1920" s="50">
        <v>45040.8948164699</v>
      </c>
      <c r="C1920" s="51">
        <v>1.035</v>
      </c>
      <c r="D1920" s="51">
        <v>63.0</v>
      </c>
      <c r="E1920" s="52" t="s">
        <v>25</v>
      </c>
      <c r="F1920" s="52" t="s">
        <v>26</v>
      </c>
      <c r="G1920" s="54"/>
    </row>
    <row r="1921">
      <c r="A1921" s="49">
        <v>45040.78027885417</v>
      </c>
      <c r="B1921" s="50">
        <v>45040.9052506134</v>
      </c>
      <c r="C1921" s="51">
        <v>1.035</v>
      </c>
      <c r="D1921" s="51">
        <v>63.0</v>
      </c>
      <c r="E1921" s="52" t="s">
        <v>25</v>
      </c>
      <c r="F1921" s="52" t="s">
        <v>26</v>
      </c>
      <c r="G1921" s="54"/>
    </row>
    <row r="1922">
      <c r="A1922" s="49">
        <v>45040.790693877316</v>
      </c>
      <c r="B1922" s="50">
        <v>45040.9156720717</v>
      </c>
      <c r="C1922" s="51">
        <v>1.035</v>
      </c>
      <c r="D1922" s="51">
        <v>63.0</v>
      </c>
      <c r="E1922" s="52" t="s">
        <v>25</v>
      </c>
      <c r="F1922" s="52" t="s">
        <v>26</v>
      </c>
      <c r="G1922" s="54"/>
    </row>
    <row r="1923">
      <c r="A1923" s="49">
        <v>45040.80113636574</v>
      </c>
      <c r="B1923" s="50">
        <v>45040.9261035416</v>
      </c>
      <c r="C1923" s="51">
        <v>1.035</v>
      </c>
      <c r="D1923" s="51">
        <v>63.0</v>
      </c>
      <c r="E1923" s="52" t="s">
        <v>25</v>
      </c>
      <c r="F1923" s="52" t="s">
        <v>26</v>
      </c>
      <c r="G1923" s="54"/>
    </row>
    <row r="1924">
      <c r="A1924" s="49">
        <v>45040.811554699074</v>
      </c>
      <c r="B1924" s="50">
        <v>45040.9365240162</v>
      </c>
      <c r="C1924" s="51">
        <v>1.035</v>
      </c>
      <c r="D1924" s="51">
        <v>63.0</v>
      </c>
      <c r="E1924" s="52" t="s">
        <v>25</v>
      </c>
      <c r="F1924" s="52" t="s">
        <v>26</v>
      </c>
      <c r="G1924" s="54"/>
    </row>
    <row r="1925">
      <c r="A1925" s="49">
        <v>45040.821967129625</v>
      </c>
      <c r="B1925" s="50">
        <v>45040.9469461921</v>
      </c>
      <c r="C1925" s="51">
        <v>1.034</v>
      </c>
      <c r="D1925" s="51">
        <v>63.0</v>
      </c>
      <c r="E1925" s="52" t="s">
        <v>25</v>
      </c>
      <c r="F1925" s="52" t="s">
        <v>26</v>
      </c>
      <c r="G1925" s="54"/>
    </row>
    <row r="1926">
      <c r="A1926" s="49">
        <v>45040.832424050925</v>
      </c>
      <c r="B1926" s="50">
        <v>45040.9573911689</v>
      </c>
      <c r="C1926" s="51">
        <v>1.035</v>
      </c>
      <c r="D1926" s="51">
        <v>63.0</v>
      </c>
      <c r="E1926" s="52" t="s">
        <v>25</v>
      </c>
      <c r="F1926" s="52" t="s">
        <v>26</v>
      </c>
      <c r="G1926" s="54"/>
    </row>
    <row r="1927">
      <c r="A1927" s="49">
        <v>45040.84284162037</v>
      </c>
      <c r="B1927" s="50">
        <v>45040.9678136226</v>
      </c>
      <c r="C1927" s="51">
        <v>1.034</v>
      </c>
      <c r="D1927" s="51">
        <v>63.0</v>
      </c>
      <c r="E1927" s="52" t="s">
        <v>25</v>
      </c>
      <c r="F1927" s="52" t="s">
        <v>26</v>
      </c>
      <c r="G1927" s="54"/>
    </row>
    <row r="1928">
      <c r="A1928" s="49">
        <v>45040.85325872686</v>
      </c>
      <c r="B1928" s="50">
        <v>45040.9782344791</v>
      </c>
      <c r="C1928" s="51">
        <v>1.034</v>
      </c>
      <c r="D1928" s="51">
        <v>63.0</v>
      </c>
      <c r="E1928" s="52" t="s">
        <v>25</v>
      </c>
      <c r="F1928" s="52" t="s">
        <v>26</v>
      </c>
      <c r="G1928" s="54"/>
    </row>
    <row r="1929">
      <c r="A1929" s="49">
        <v>45040.86368496528</v>
      </c>
      <c r="B1929" s="50">
        <v>45040.9886577546</v>
      </c>
      <c r="C1929" s="51">
        <v>1.034</v>
      </c>
      <c r="D1929" s="51">
        <v>63.0</v>
      </c>
      <c r="E1929" s="52" t="s">
        <v>25</v>
      </c>
      <c r="F1929" s="52" t="s">
        <v>26</v>
      </c>
      <c r="G1929" s="54"/>
    </row>
    <row r="1930">
      <c r="A1930" s="49">
        <v>45040.87413362268</v>
      </c>
      <c r="B1930" s="50">
        <v>45040.9991037037</v>
      </c>
      <c r="C1930" s="51">
        <v>1.034</v>
      </c>
      <c r="D1930" s="51">
        <v>63.0</v>
      </c>
      <c r="E1930" s="52" t="s">
        <v>25</v>
      </c>
      <c r="F1930" s="52" t="s">
        <v>26</v>
      </c>
      <c r="G1930" s="54"/>
    </row>
    <row r="1931">
      <c r="A1931" s="49">
        <v>45040.88457846065</v>
      </c>
      <c r="B1931" s="50">
        <v>45041.0095492245</v>
      </c>
      <c r="C1931" s="51">
        <v>1.034</v>
      </c>
      <c r="D1931" s="51">
        <v>63.0</v>
      </c>
      <c r="E1931" s="52" t="s">
        <v>25</v>
      </c>
      <c r="F1931" s="52" t="s">
        <v>26</v>
      </c>
      <c r="G1931" s="54"/>
    </row>
    <row r="1932">
      <c r="A1932" s="49">
        <v>45040.895003564816</v>
      </c>
      <c r="B1932" s="50">
        <v>45041.0199698726</v>
      </c>
      <c r="C1932" s="51">
        <v>1.034</v>
      </c>
      <c r="D1932" s="51">
        <v>63.0</v>
      </c>
      <c r="E1932" s="52" t="s">
        <v>25</v>
      </c>
      <c r="F1932" s="52" t="s">
        <v>26</v>
      </c>
      <c r="G1932" s="54"/>
    </row>
    <row r="1933">
      <c r="A1933" s="49">
        <v>45040.90541869213</v>
      </c>
      <c r="B1933" s="50">
        <v>45041.0303902083</v>
      </c>
      <c r="C1933" s="51">
        <v>1.034</v>
      </c>
      <c r="D1933" s="51">
        <v>63.0</v>
      </c>
      <c r="E1933" s="52" t="s">
        <v>25</v>
      </c>
      <c r="F1933" s="52" t="s">
        <v>26</v>
      </c>
      <c r="G1933" s="54"/>
    </row>
    <row r="1934">
      <c r="A1934" s="49">
        <v>45040.915843993054</v>
      </c>
      <c r="B1934" s="50">
        <v>45041.0408119907</v>
      </c>
      <c r="C1934" s="51">
        <v>1.034</v>
      </c>
      <c r="D1934" s="51">
        <v>63.0</v>
      </c>
      <c r="E1934" s="52" t="s">
        <v>25</v>
      </c>
      <c r="F1934" s="52" t="s">
        <v>26</v>
      </c>
      <c r="G1934" s="54"/>
    </row>
    <row r="1935">
      <c r="A1935" s="49">
        <v>45040.92626153935</v>
      </c>
      <c r="B1935" s="50">
        <v>45041.0512340393</v>
      </c>
      <c r="C1935" s="51">
        <v>1.034</v>
      </c>
      <c r="D1935" s="51">
        <v>63.0</v>
      </c>
      <c r="E1935" s="52" t="s">
        <v>25</v>
      </c>
      <c r="F1935" s="52" t="s">
        <v>26</v>
      </c>
      <c r="G1935" s="54"/>
    </row>
    <row r="1936">
      <c r="A1936" s="49">
        <v>45040.93668762731</v>
      </c>
      <c r="B1936" s="50">
        <v>45041.0616562615</v>
      </c>
      <c r="C1936" s="51">
        <v>1.034</v>
      </c>
      <c r="D1936" s="51">
        <v>63.0</v>
      </c>
      <c r="E1936" s="52" t="s">
        <v>25</v>
      </c>
      <c r="F1936" s="52" t="s">
        <v>26</v>
      </c>
      <c r="G1936" s="54"/>
    </row>
    <row r="1937">
      <c r="A1937" s="49">
        <v>45040.94710305556</v>
      </c>
      <c r="B1937" s="50">
        <v>45041.0720775</v>
      </c>
      <c r="C1937" s="51">
        <v>1.034</v>
      </c>
      <c r="D1937" s="51">
        <v>63.0</v>
      </c>
      <c r="E1937" s="52" t="s">
        <v>25</v>
      </c>
      <c r="F1937" s="52" t="s">
        <v>26</v>
      </c>
      <c r="G1937" s="54"/>
    </row>
    <row r="1938">
      <c r="A1938" s="49">
        <v>45040.95753</v>
      </c>
      <c r="B1938" s="50">
        <v>45041.0824997222</v>
      </c>
      <c r="C1938" s="51">
        <v>1.034</v>
      </c>
      <c r="D1938" s="51">
        <v>63.0</v>
      </c>
      <c r="E1938" s="52" t="s">
        <v>25</v>
      </c>
      <c r="F1938" s="52" t="s">
        <v>26</v>
      </c>
      <c r="G1938" s="54"/>
    </row>
    <row r="1939">
      <c r="A1939" s="49">
        <v>45040.96794908565</v>
      </c>
      <c r="B1939" s="50">
        <v>45041.0929197106</v>
      </c>
      <c r="C1939" s="51">
        <v>1.034</v>
      </c>
      <c r="D1939" s="51">
        <v>63.0</v>
      </c>
      <c r="E1939" s="52" t="s">
        <v>25</v>
      </c>
      <c r="F1939" s="52" t="s">
        <v>26</v>
      </c>
      <c r="G1939" s="54"/>
    </row>
    <row r="1940">
      <c r="A1940" s="49">
        <v>45040.97838399306</v>
      </c>
      <c r="B1940" s="50">
        <v>45041.1033529513</v>
      </c>
      <c r="C1940" s="51">
        <v>1.034</v>
      </c>
      <c r="D1940" s="51">
        <v>63.0</v>
      </c>
      <c r="E1940" s="52" t="s">
        <v>25</v>
      </c>
      <c r="F1940" s="52" t="s">
        <v>26</v>
      </c>
      <c r="G1940" s="54"/>
    </row>
    <row r="1941">
      <c r="A1941" s="49">
        <v>45040.98879914352</v>
      </c>
      <c r="B1941" s="50">
        <v>45041.1137738888</v>
      </c>
      <c r="C1941" s="51">
        <v>1.034</v>
      </c>
      <c r="D1941" s="51">
        <v>63.0</v>
      </c>
      <c r="E1941" s="52" t="s">
        <v>25</v>
      </c>
      <c r="F1941" s="52" t="s">
        <v>26</v>
      </c>
      <c r="G1941" s="54"/>
    </row>
    <row r="1942">
      <c r="A1942" s="49">
        <v>45040.99923635417</v>
      </c>
      <c r="B1942" s="50">
        <v>45041.1241970254</v>
      </c>
      <c r="C1942" s="51">
        <v>1.034</v>
      </c>
      <c r="D1942" s="51">
        <v>63.0</v>
      </c>
      <c r="E1942" s="52" t="s">
        <v>25</v>
      </c>
      <c r="F1942" s="52" t="s">
        <v>26</v>
      </c>
      <c r="G1942" s="54"/>
    </row>
    <row r="1943">
      <c r="A1943" s="49">
        <v>45041.00964570601</v>
      </c>
      <c r="B1943" s="50">
        <v>45041.1346181481</v>
      </c>
      <c r="C1943" s="51">
        <v>1.034</v>
      </c>
      <c r="D1943" s="51">
        <v>63.0</v>
      </c>
      <c r="E1943" s="52" t="s">
        <v>25</v>
      </c>
      <c r="F1943" s="52" t="s">
        <v>26</v>
      </c>
      <c r="G1943" s="54"/>
    </row>
    <row r="1944">
      <c r="A1944" s="49">
        <v>45041.02007599537</v>
      </c>
      <c r="B1944" s="50">
        <v>45041.1450522685</v>
      </c>
      <c r="C1944" s="51">
        <v>1.034</v>
      </c>
      <c r="D1944" s="51">
        <v>63.0</v>
      </c>
      <c r="E1944" s="52" t="s">
        <v>25</v>
      </c>
      <c r="F1944" s="52" t="s">
        <v>26</v>
      </c>
      <c r="G1944" s="54"/>
    </row>
    <row r="1945">
      <c r="A1945" s="49">
        <v>45041.030502152775</v>
      </c>
      <c r="B1945" s="50">
        <v>45041.1554721875</v>
      </c>
      <c r="C1945" s="51">
        <v>1.034</v>
      </c>
      <c r="D1945" s="51">
        <v>63.0</v>
      </c>
      <c r="E1945" s="52" t="s">
        <v>25</v>
      </c>
      <c r="F1945" s="52" t="s">
        <v>26</v>
      </c>
      <c r="G1945" s="54"/>
    </row>
    <row r="1946">
      <c r="A1946" s="49">
        <v>45041.04092613426</v>
      </c>
      <c r="B1946" s="50">
        <v>45041.1658928819</v>
      </c>
      <c r="C1946" s="51">
        <v>1.034</v>
      </c>
      <c r="D1946" s="51">
        <v>63.0</v>
      </c>
      <c r="E1946" s="52" t="s">
        <v>25</v>
      </c>
      <c r="F1946" s="52" t="s">
        <v>26</v>
      </c>
      <c r="G1946" s="54"/>
    </row>
    <row r="1947">
      <c r="A1947" s="49">
        <v>45041.051351574075</v>
      </c>
      <c r="B1947" s="50">
        <v>45041.176314375</v>
      </c>
      <c r="C1947" s="51">
        <v>1.034</v>
      </c>
      <c r="D1947" s="51">
        <v>63.0</v>
      </c>
      <c r="E1947" s="52" t="s">
        <v>25</v>
      </c>
      <c r="F1947" s="52" t="s">
        <v>26</v>
      </c>
      <c r="G1947" s="54"/>
    </row>
    <row r="1948">
      <c r="A1948" s="49">
        <v>45041.06176162037</v>
      </c>
      <c r="B1948" s="50">
        <v>45041.1867380324</v>
      </c>
      <c r="C1948" s="51">
        <v>1.034</v>
      </c>
      <c r="D1948" s="51">
        <v>63.0</v>
      </c>
      <c r="E1948" s="52" t="s">
        <v>25</v>
      </c>
      <c r="F1948" s="52" t="s">
        <v>26</v>
      </c>
      <c r="G1948" s="54"/>
    </row>
    <row r="1949">
      <c r="A1949" s="49">
        <v>45041.07219342593</v>
      </c>
      <c r="B1949" s="50">
        <v>45041.1971710879</v>
      </c>
      <c r="C1949" s="51">
        <v>1.034</v>
      </c>
      <c r="D1949" s="51">
        <v>63.0</v>
      </c>
      <c r="E1949" s="52" t="s">
        <v>25</v>
      </c>
      <c r="F1949" s="52" t="s">
        <v>26</v>
      </c>
      <c r="G1949" s="54"/>
    </row>
    <row r="1950">
      <c r="A1950" s="49">
        <v>45041.08261940972</v>
      </c>
      <c r="B1950" s="50">
        <v>45041.2075930787</v>
      </c>
      <c r="C1950" s="51">
        <v>1.034</v>
      </c>
      <c r="D1950" s="51">
        <v>63.0</v>
      </c>
      <c r="E1950" s="52" t="s">
        <v>25</v>
      </c>
      <c r="F1950" s="52" t="s">
        <v>26</v>
      </c>
      <c r="G1950" s="54"/>
    </row>
    <row r="1951">
      <c r="A1951" s="49">
        <v>45041.09304792824</v>
      </c>
      <c r="B1951" s="50">
        <v>45041.2180139004</v>
      </c>
      <c r="C1951" s="51">
        <v>1.034</v>
      </c>
      <c r="D1951" s="51">
        <v>63.0</v>
      </c>
      <c r="E1951" s="52" t="s">
        <v>25</v>
      </c>
      <c r="F1951" s="52" t="s">
        <v>26</v>
      </c>
      <c r="G1951" s="54"/>
    </row>
    <row r="1952">
      <c r="A1952" s="49">
        <v>45041.10347537037</v>
      </c>
      <c r="B1952" s="50">
        <v>45041.228434537</v>
      </c>
      <c r="C1952" s="51">
        <v>1.034</v>
      </c>
      <c r="D1952" s="51">
        <v>63.0</v>
      </c>
      <c r="E1952" s="52" t="s">
        <v>25</v>
      </c>
      <c r="F1952" s="52" t="s">
        <v>26</v>
      </c>
      <c r="G1952" s="54"/>
    </row>
    <row r="1953">
      <c r="A1953" s="49">
        <v>45041.113887569445</v>
      </c>
      <c r="B1953" s="50">
        <v>45041.2388572453</v>
      </c>
      <c r="C1953" s="51">
        <v>1.034</v>
      </c>
      <c r="D1953" s="51">
        <v>63.0</v>
      </c>
      <c r="E1953" s="52" t="s">
        <v>25</v>
      </c>
      <c r="F1953" s="52" t="s">
        <v>26</v>
      </c>
      <c r="G1953" s="54"/>
    </row>
    <row r="1954">
      <c r="A1954" s="49">
        <v>45041.12431216435</v>
      </c>
      <c r="B1954" s="50">
        <v>45041.2492795601</v>
      </c>
      <c r="C1954" s="51">
        <v>1.034</v>
      </c>
      <c r="D1954" s="51">
        <v>63.0</v>
      </c>
      <c r="E1954" s="52" t="s">
        <v>25</v>
      </c>
      <c r="F1954" s="52" t="s">
        <v>26</v>
      </c>
      <c r="G1954" s="54"/>
    </row>
    <row r="1955">
      <c r="A1955" s="49">
        <v>45041.134732175924</v>
      </c>
      <c r="B1955" s="50">
        <v>45041.2597016319</v>
      </c>
      <c r="C1955" s="51">
        <v>1.034</v>
      </c>
      <c r="D1955" s="51">
        <v>63.0</v>
      </c>
      <c r="E1955" s="52" t="s">
        <v>25</v>
      </c>
      <c r="F1955" s="52" t="s">
        <v>26</v>
      </c>
      <c r="G1955" s="54"/>
    </row>
    <row r="1956">
      <c r="A1956" s="49">
        <v>45041.1451678125</v>
      </c>
      <c r="B1956" s="50">
        <v>45041.2701343981</v>
      </c>
      <c r="C1956" s="51">
        <v>1.034</v>
      </c>
      <c r="D1956" s="51">
        <v>63.0</v>
      </c>
      <c r="E1956" s="52" t="s">
        <v>25</v>
      </c>
      <c r="F1956" s="52" t="s">
        <v>26</v>
      </c>
      <c r="G1956" s="54"/>
    </row>
    <row r="1957">
      <c r="A1957" s="49">
        <v>45041.155582430554</v>
      </c>
      <c r="B1957" s="50">
        <v>45041.280554699</v>
      </c>
      <c r="C1957" s="51">
        <v>1.034</v>
      </c>
      <c r="D1957" s="51">
        <v>63.0</v>
      </c>
      <c r="E1957" s="52" t="s">
        <v>25</v>
      </c>
      <c r="F1957" s="52" t="s">
        <v>26</v>
      </c>
      <c r="G1957" s="54"/>
    </row>
    <row r="1958">
      <c r="A1958" s="49">
        <v>45041.166010925925</v>
      </c>
      <c r="B1958" s="50">
        <v>45041.2909765856</v>
      </c>
      <c r="C1958" s="51">
        <v>1.034</v>
      </c>
      <c r="D1958" s="51">
        <v>63.0</v>
      </c>
      <c r="E1958" s="52" t="s">
        <v>25</v>
      </c>
      <c r="F1958" s="52" t="s">
        <v>26</v>
      </c>
      <c r="G1958" s="54"/>
    </row>
    <row r="1959">
      <c r="A1959" s="49">
        <v>45041.17642822917</v>
      </c>
      <c r="B1959" s="50">
        <v>45041.3013985995</v>
      </c>
      <c r="C1959" s="51">
        <v>1.034</v>
      </c>
      <c r="D1959" s="51">
        <v>63.0</v>
      </c>
      <c r="E1959" s="52" t="s">
        <v>25</v>
      </c>
      <c r="F1959" s="52" t="s">
        <v>26</v>
      </c>
      <c r="G1959" s="54"/>
    </row>
    <row r="1960">
      <c r="A1960" s="49">
        <v>45041.18685420138</v>
      </c>
      <c r="B1960" s="50">
        <v>45041.3118212037</v>
      </c>
      <c r="C1960" s="51">
        <v>1.034</v>
      </c>
      <c r="D1960" s="51">
        <v>63.0</v>
      </c>
      <c r="E1960" s="52" t="s">
        <v>25</v>
      </c>
      <c r="F1960" s="52" t="s">
        <v>26</v>
      </c>
      <c r="G1960" s="54"/>
    </row>
    <row r="1961">
      <c r="A1961" s="49">
        <v>45041.197268379634</v>
      </c>
      <c r="B1961" s="50">
        <v>45041.3222422222</v>
      </c>
      <c r="C1961" s="51">
        <v>1.034</v>
      </c>
      <c r="D1961" s="51">
        <v>63.0</v>
      </c>
      <c r="E1961" s="52" t="s">
        <v>25</v>
      </c>
      <c r="F1961" s="52" t="s">
        <v>26</v>
      </c>
      <c r="G1961" s="54"/>
    </row>
    <row r="1962">
      <c r="A1962" s="49">
        <v>45041.20769556713</v>
      </c>
      <c r="B1962" s="50">
        <v>45041.3326627199</v>
      </c>
      <c r="C1962" s="51">
        <v>1.034</v>
      </c>
      <c r="D1962" s="51">
        <v>63.0</v>
      </c>
      <c r="E1962" s="52" t="s">
        <v>25</v>
      </c>
      <c r="F1962" s="52" t="s">
        <v>26</v>
      </c>
      <c r="G1962" s="54"/>
    </row>
    <row r="1963">
      <c r="A1963" s="49">
        <v>45041.21811421296</v>
      </c>
      <c r="B1963" s="50">
        <v>45041.3430860069</v>
      </c>
      <c r="C1963" s="51">
        <v>1.034</v>
      </c>
      <c r="D1963" s="51">
        <v>62.0</v>
      </c>
      <c r="E1963" s="52" t="s">
        <v>25</v>
      </c>
      <c r="F1963" s="52" t="s">
        <v>26</v>
      </c>
      <c r="G1963" s="54"/>
    </row>
    <row r="1964">
      <c r="A1964" s="49">
        <v>45041.22853886574</v>
      </c>
      <c r="B1964" s="50">
        <v>45041.353506493</v>
      </c>
      <c r="C1964" s="51">
        <v>1.034</v>
      </c>
      <c r="D1964" s="51">
        <v>62.0</v>
      </c>
      <c r="E1964" s="52" t="s">
        <v>25</v>
      </c>
      <c r="F1964" s="52" t="s">
        <v>26</v>
      </c>
      <c r="G1964" s="54"/>
    </row>
    <row r="1965">
      <c r="A1965" s="49">
        <v>45041.2389512963</v>
      </c>
      <c r="B1965" s="50">
        <v>45041.363928449</v>
      </c>
      <c r="C1965" s="51">
        <v>1.034</v>
      </c>
      <c r="D1965" s="51">
        <v>62.0</v>
      </c>
      <c r="E1965" s="52" t="s">
        <v>25</v>
      </c>
      <c r="F1965" s="52" t="s">
        <v>26</v>
      </c>
      <c r="G1965" s="54"/>
    </row>
    <row r="1966">
      <c r="A1966" s="49">
        <v>45041.24937671296</v>
      </c>
      <c r="B1966" s="50">
        <v>45041.3743511226</v>
      </c>
      <c r="C1966" s="51">
        <v>1.034</v>
      </c>
      <c r="D1966" s="51">
        <v>63.0</v>
      </c>
      <c r="E1966" s="52" t="s">
        <v>25</v>
      </c>
      <c r="F1966" s="52" t="s">
        <v>26</v>
      </c>
      <c r="G1966" s="54"/>
    </row>
    <row r="1967">
      <c r="A1967" s="49">
        <v>45041.25980905093</v>
      </c>
      <c r="B1967" s="50">
        <v>45041.3847836574</v>
      </c>
      <c r="C1967" s="51">
        <v>1.034</v>
      </c>
      <c r="D1967" s="51">
        <v>62.0</v>
      </c>
      <c r="E1967" s="52" t="s">
        <v>25</v>
      </c>
      <c r="F1967" s="52" t="s">
        <v>26</v>
      </c>
      <c r="G1967" s="54"/>
    </row>
    <row r="1968">
      <c r="A1968" s="49">
        <v>45041.27024012731</v>
      </c>
      <c r="B1968" s="50">
        <v>45041.3952037962</v>
      </c>
      <c r="C1968" s="51">
        <v>1.034</v>
      </c>
      <c r="D1968" s="51">
        <v>62.0</v>
      </c>
      <c r="E1968" s="52" t="s">
        <v>25</v>
      </c>
      <c r="F1968" s="52" t="s">
        <v>26</v>
      </c>
      <c r="G1968" s="54"/>
    </row>
    <row r="1969">
      <c r="A1969" s="49">
        <v>45041.28065570602</v>
      </c>
      <c r="B1969" s="50">
        <v>45041.4056262037</v>
      </c>
      <c r="C1969" s="51">
        <v>1.034</v>
      </c>
      <c r="D1969" s="51">
        <v>62.0</v>
      </c>
      <c r="E1969" s="52" t="s">
        <v>25</v>
      </c>
      <c r="F1969" s="52" t="s">
        <v>26</v>
      </c>
      <c r="G1969" s="54"/>
    </row>
    <row r="1970">
      <c r="A1970" s="49">
        <v>45041.29108736111</v>
      </c>
      <c r="B1970" s="50">
        <v>45041.4160461458</v>
      </c>
      <c r="C1970" s="51">
        <v>1.034</v>
      </c>
      <c r="D1970" s="51">
        <v>62.0</v>
      </c>
      <c r="E1970" s="52" t="s">
        <v>25</v>
      </c>
      <c r="F1970" s="52" t="s">
        <v>26</v>
      </c>
      <c r="G1970" s="54"/>
    </row>
    <row r="1971">
      <c r="A1971" s="49">
        <v>45041.301499444446</v>
      </c>
      <c r="B1971" s="50">
        <v>45041.4264678356</v>
      </c>
      <c r="C1971" s="51">
        <v>1.034</v>
      </c>
      <c r="D1971" s="51">
        <v>62.0</v>
      </c>
      <c r="E1971" s="52" t="s">
        <v>25</v>
      </c>
      <c r="F1971" s="52" t="s">
        <v>26</v>
      </c>
      <c r="G1971" s="54"/>
    </row>
    <row r="1972">
      <c r="A1972" s="49">
        <v>45041.31193111111</v>
      </c>
      <c r="B1972" s="50">
        <v>45041.4369003935</v>
      </c>
      <c r="C1972" s="51">
        <v>1.034</v>
      </c>
      <c r="D1972" s="51">
        <v>62.0</v>
      </c>
      <c r="E1972" s="52" t="s">
        <v>25</v>
      </c>
      <c r="F1972" s="52" t="s">
        <v>26</v>
      </c>
      <c r="G1972" s="54"/>
    </row>
    <row r="1973">
      <c r="A1973" s="49">
        <v>45041.32236409722</v>
      </c>
      <c r="B1973" s="50">
        <v>45041.4473328819</v>
      </c>
      <c r="C1973" s="51">
        <v>1.034</v>
      </c>
      <c r="D1973" s="51">
        <v>62.0</v>
      </c>
      <c r="E1973" s="52" t="s">
        <v>25</v>
      </c>
      <c r="F1973" s="52" t="s">
        <v>26</v>
      </c>
      <c r="G1973" s="54"/>
    </row>
    <row r="1974">
      <c r="A1974" s="49">
        <v>45041.33278563658</v>
      </c>
      <c r="B1974" s="50">
        <v>45041.4577533564</v>
      </c>
      <c r="C1974" s="51">
        <v>1.034</v>
      </c>
      <c r="D1974" s="51">
        <v>62.0</v>
      </c>
      <c r="E1974" s="52" t="s">
        <v>25</v>
      </c>
      <c r="F1974" s="52" t="s">
        <v>26</v>
      </c>
      <c r="G1974" s="54"/>
    </row>
    <row r="1975">
      <c r="A1975" s="49">
        <v>45041.34322033565</v>
      </c>
      <c r="B1975" s="50">
        <v>45041.4681856018</v>
      </c>
      <c r="C1975" s="51">
        <v>1.034</v>
      </c>
      <c r="D1975" s="51">
        <v>62.0</v>
      </c>
      <c r="E1975" s="52" t="s">
        <v>25</v>
      </c>
      <c r="F1975" s="52" t="s">
        <v>26</v>
      </c>
      <c r="G1975" s="54"/>
    </row>
    <row r="1976">
      <c r="A1976" s="49">
        <v>45041.35363733796</v>
      </c>
      <c r="B1976" s="50">
        <v>45041.4786058333</v>
      </c>
      <c r="C1976" s="51">
        <v>1.034</v>
      </c>
      <c r="D1976" s="51">
        <v>62.0</v>
      </c>
      <c r="E1976" s="52" t="s">
        <v>25</v>
      </c>
      <c r="F1976" s="52" t="s">
        <v>26</v>
      </c>
      <c r="G1976" s="54"/>
    </row>
    <row r="1977">
      <c r="A1977" s="49">
        <v>45041.36407099537</v>
      </c>
      <c r="B1977" s="50">
        <v>45041.48904103</v>
      </c>
      <c r="C1977" s="51">
        <v>1.034</v>
      </c>
      <c r="D1977" s="51">
        <v>62.0</v>
      </c>
      <c r="E1977" s="52" t="s">
        <v>25</v>
      </c>
      <c r="F1977" s="52" t="s">
        <v>26</v>
      </c>
      <c r="G1977" s="54"/>
    </row>
    <row r="1978">
      <c r="A1978" s="49">
        <v>45041.374483101856</v>
      </c>
      <c r="B1978" s="50">
        <v>45041.4994610416</v>
      </c>
      <c r="C1978" s="51">
        <v>1.034</v>
      </c>
      <c r="D1978" s="51">
        <v>62.0</v>
      </c>
      <c r="E1978" s="52" t="s">
        <v>25</v>
      </c>
      <c r="F1978" s="52" t="s">
        <v>26</v>
      </c>
      <c r="G1978" s="54"/>
    </row>
    <row r="1979">
      <c r="A1979" s="49">
        <v>45041.384919641205</v>
      </c>
      <c r="B1979" s="50">
        <v>45041.5098816435</v>
      </c>
      <c r="C1979" s="51">
        <v>1.034</v>
      </c>
      <c r="D1979" s="51">
        <v>62.0</v>
      </c>
      <c r="E1979" s="52" t="s">
        <v>25</v>
      </c>
      <c r="F1979" s="52" t="s">
        <v>26</v>
      </c>
      <c r="G1979" s="54"/>
    </row>
    <row r="1980">
      <c r="A1980" s="49">
        <v>45041.395335567126</v>
      </c>
      <c r="B1980" s="50">
        <v>45041.5203030902</v>
      </c>
      <c r="C1980" s="51">
        <v>1.034</v>
      </c>
      <c r="D1980" s="51">
        <v>62.0</v>
      </c>
      <c r="E1980" s="52" t="s">
        <v>25</v>
      </c>
      <c r="F1980" s="52" t="s">
        <v>26</v>
      </c>
      <c r="G1980" s="54"/>
    </row>
    <row r="1981">
      <c r="A1981" s="49">
        <v>45041.405773969906</v>
      </c>
      <c r="B1981" s="50">
        <v>45041.5307355787</v>
      </c>
      <c r="C1981" s="51">
        <v>1.033</v>
      </c>
      <c r="D1981" s="51">
        <v>62.0</v>
      </c>
      <c r="E1981" s="52" t="s">
        <v>25</v>
      </c>
      <c r="F1981" s="52" t="s">
        <v>26</v>
      </c>
      <c r="G1981" s="54"/>
    </row>
    <row r="1982">
      <c r="A1982" s="49">
        <v>45041.41618894676</v>
      </c>
      <c r="B1982" s="50">
        <v>45041.5411568287</v>
      </c>
      <c r="C1982" s="51">
        <v>1.034</v>
      </c>
      <c r="D1982" s="51">
        <v>62.0</v>
      </c>
      <c r="E1982" s="52" t="s">
        <v>25</v>
      </c>
      <c r="F1982" s="52" t="s">
        <v>26</v>
      </c>
      <c r="G1982" s="54"/>
    </row>
    <row r="1983">
      <c r="A1983" s="49">
        <v>45041.42660203704</v>
      </c>
      <c r="B1983" s="50">
        <v>45041.5515772338</v>
      </c>
      <c r="C1983" s="51">
        <v>1.033</v>
      </c>
      <c r="D1983" s="51">
        <v>62.0</v>
      </c>
      <c r="E1983" s="52" t="s">
        <v>25</v>
      </c>
      <c r="F1983" s="52" t="s">
        <v>26</v>
      </c>
      <c r="G1983" s="54"/>
    </row>
    <row r="1984">
      <c r="A1984" s="49">
        <v>45041.43703732639</v>
      </c>
      <c r="B1984" s="50">
        <v>45041.5620087847</v>
      </c>
      <c r="C1984" s="51">
        <v>1.034</v>
      </c>
      <c r="D1984" s="51">
        <v>62.0</v>
      </c>
      <c r="E1984" s="52" t="s">
        <v>25</v>
      </c>
      <c r="F1984" s="52" t="s">
        <v>26</v>
      </c>
      <c r="G1984" s="54"/>
    </row>
    <row r="1985">
      <c r="A1985" s="49">
        <v>45041.447460787036</v>
      </c>
      <c r="B1985" s="50">
        <v>45041.572429537</v>
      </c>
      <c r="C1985" s="51">
        <v>1.034</v>
      </c>
      <c r="D1985" s="51">
        <v>62.0</v>
      </c>
      <c r="E1985" s="52" t="s">
        <v>25</v>
      </c>
      <c r="F1985" s="52" t="s">
        <v>26</v>
      </c>
      <c r="G1985" s="54"/>
    </row>
    <row r="1986">
      <c r="A1986" s="49">
        <v>45041.457888784724</v>
      </c>
      <c r="B1986" s="50">
        <v>45041.5828611921</v>
      </c>
      <c r="C1986" s="51">
        <v>1.033</v>
      </c>
      <c r="D1986" s="51">
        <v>62.0</v>
      </c>
      <c r="E1986" s="52" t="s">
        <v>25</v>
      </c>
      <c r="F1986" s="52" t="s">
        <v>26</v>
      </c>
      <c r="G1986" s="54"/>
    </row>
    <row r="1987">
      <c r="A1987" s="49">
        <v>45041.46831319445</v>
      </c>
      <c r="B1987" s="50">
        <v>45041.5932827893</v>
      </c>
      <c r="C1987" s="51">
        <v>1.034</v>
      </c>
      <c r="D1987" s="51">
        <v>62.0</v>
      </c>
      <c r="E1987" s="52" t="s">
        <v>25</v>
      </c>
      <c r="F1987" s="52" t="s">
        <v>26</v>
      </c>
      <c r="G1987" s="54"/>
    </row>
    <row r="1988">
      <c r="A1988" s="49">
        <v>45041.47872694445</v>
      </c>
      <c r="B1988" s="50">
        <v>45041.6037050578</v>
      </c>
      <c r="C1988" s="51">
        <v>1.033</v>
      </c>
      <c r="D1988" s="51">
        <v>62.0</v>
      </c>
      <c r="E1988" s="52" t="s">
        <v>25</v>
      </c>
      <c r="F1988" s="52" t="s">
        <v>26</v>
      </c>
      <c r="G1988" s="54"/>
    </row>
    <row r="1989">
      <c r="A1989" s="49">
        <v>45041.48916355324</v>
      </c>
      <c r="B1989" s="50">
        <v>45041.6141275231</v>
      </c>
      <c r="C1989" s="51">
        <v>1.033</v>
      </c>
      <c r="D1989" s="51">
        <v>62.0</v>
      </c>
      <c r="E1989" s="52" t="s">
        <v>25</v>
      </c>
      <c r="F1989" s="52" t="s">
        <v>26</v>
      </c>
      <c r="G1989" s="54"/>
    </row>
    <row r="1990">
      <c r="A1990" s="49">
        <v>45041.49959752314</v>
      </c>
      <c r="B1990" s="50">
        <v>45041.6245481134</v>
      </c>
      <c r="C1990" s="51">
        <v>1.033</v>
      </c>
      <c r="D1990" s="51">
        <v>62.0</v>
      </c>
      <c r="E1990" s="52" t="s">
        <v>25</v>
      </c>
      <c r="F1990" s="52" t="s">
        <v>26</v>
      </c>
      <c r="G1990" s="54"/>
    </row>
    <row r="1991">
      <c r="A1991" s="49">
        <v>45041.51001695602</v>
      </c>
      <c r="B1991" s="50">
        <v>45041.6349804398</v>
      </c>
      <c r="C1991" s="51">
        <v>1.033</v>
      </c>
      <c r="D1991" s="51">
        <v>62.0</v>
      </c>
      <c r="E1991" s="52" t="s">
        <v>25</v>
      </c>
      <c r="F1991" s="52" t="s">
        <v>26</v>
      </c>
      <c r="G1991" s="54"/>
    </row>
    <row r="1992">
      <c r="A1992" s="49">
        <v>45041.52042793982</v>
      </c>
      <c r="B1992" s="50">
        <v>45041.6454017129</v>
      </c>
      <c r="C1992" s="51">
        <v>1.034</v>
      </c>
      <c r="D1992" s="51">
        <v>62.0</v>
      </c>
      <c r="E1992" s="52" t="s">
        <v>25</v>
      </c>
      <c r="F1992" s="52" t="s">
        <v>26</v>
      </c>
      <c r="G1992" s="54"/>
    </row>
    <row r="1993">
      <c r="A1993" s="49">
        <v>45041.53085186343</v>
      </c>
      <c r="B1993" s="50">
        <v>45041.6558229861</v>
      </c>
      <c r="C1993" s="51">
        <v>1.033</v>
      </c>
      <c r="D1993" s="51">
        <v>62.0</v>
      </c>
      <c r="E1993" s="52" t="s">
        <v>25</v>
      </c>
      <c r="F1993" s="52" t="s">
        <v>26</v>
      </c>
      <c r="G1993" s="54"/>
    </row>
    <row r="1994">
      <c r="A1994" s="49">
        <v>45041.54128158565</v>
      </c>
      <c r="B1994" s="50">
        <v>45041.6662458796</v>
      </c>
      <c r="C1994" s="51">
        <v>1.033</v>
      </c>
      <c r="D1994" s="51">
        <v>62.0</v>
      </c>
      <c r="E1994" s="52" t="s">
        <v>25</v>
      </c>
      <c r="F1994" s="52" t="s">
        <v>26</v>
      </c>
      <c r="G1994" s="54"/>
    </row>
    <row r="1995">
      <c r="A1995" s="49">
        <v>45041.55172844908</v>
      </c>
      <c r="B1995" s="50">
        <v>45041.6766904745</v>
      </c>
      <c r="C1995" s="51">
        <v>1.033</v>
      </c>
      <c r="D1995" s="51">
        <v>62.0</v>
      </c>
      <c r="E1995" s="52" t="s">
        <v>25</v>
      </c>
      <c r="F1995" s="52" t="s">
        <v>26</v>
      </c>
      <c r="G1995" s="54"/>
    </row>
    <row r="1996">
      <c r="A1996" s="49">
        <v>45041.5621415162</v>
      </c>
      <c r="B1996" s="50">
        <v>45041.6871108912</v>
      </c>
      <c r="C1996" s="51">
        <v>1.033</v>
      </c>
      <c r="D1996" s="51">
        <v>62.0</v>
      </c>
      <c r="E1996" s="52" t="s">
        <v>25</v>
      </c>
      <c r="F1996" s="52" t="s">
        <v>26</v>
      </c>
      <c r="G1996" s="54"/>
    </row>
    <row r="1997">
      <c r="A1997" s="49">
        <v>45041.57256917824</v>
      </c>
      <c r="B1997" s="50">
        <v>45041.6975325925</v>
      </c>
      <c r="C1997" s="51">
        <v>1.033</v>
      </c>
      <c r="D1997" s="51">
        <v>62.0</v>
      </c>
      <c r="E1997" s="52" t="s">
        <v>25</v>
      </c>
      <c r="F1997" s="52" t="s">
        <v>26</v>
      </c>
      <c r="G1997" s="54"/>
    </row>
    <row r="1998">
      <c r="A1998" s="49">
        <v>45041.582987002315</v>
      </c>
      <c r="B1998" s="50">
        <v>45041.7079534953</v>
      </c>
      <c r="C1998" s="51">
        <v>1.033</v>
      </c>
      <c r="D1998" s="51">
        <v>62.0</v>
      </c>
      <c r="E1998" s="52" t="s">
        <v>25</v>
      </c>
      <c r="F1998" s="52" t="s">
        <v>26</v>
      </c>
      <c r="G1998" s="54"/>
    </row>
    <row r="1999">
      <c r="A1999" s="49">
        <v>45041.59340881945</v>
      </c>
      <c r="B1999" s="50">
        <v>45041.7183753356</v>
      </c>
      <c r="C1999" s="51">
        <v>1.033</v>
      </c>
      <c r="D1999" s="51">
        <v>62.0</v>
      </c>
      <c r="E1999" s="52" t="s">
        <v>25</v>
      </c>
      <c r="F1999" s="52" t="s">
        <v>26</v>
      </c>
      <c r="G1999" s="54"/>
    </row>
    <row r="2000">
      <c r="A2000" s="49">
        <v>45041.603838553245</v>
      </c>
      <c r="B2000" s="50">
        <v>45041.7288077777</v>
      </c>
      <c r="C2000" s="51">
        <v>1.033</v>
      </c>
      <c r="D2000" s="51">
        <v>62.0</v>
      </c>
      <c r="E2000" s="52" t="s">
        <v>25</v>
      </c>
      <c r="F2000" s="52" t="s">
        <v>26</v>
      </c>
      <c r="G2000" s="54"/>
    </row>
    <row r="2001">
      <c r="A2001" s="49">
        <v>45041.614245833334</v>
      </c>
      <c r="B2001" s="50">
        <v>45041.7392280902</v>
      </c>
      <c r="C2001" s="51">
        <v>1.033</v>
      </c>
      <c r="D2001" s="51">
        <v>62.0</v>
      </c>
      <c r="E2001" s="52" t="s">
        <v>25</v>
      </c>
      <c r="F2001" s="52" t="s">
        <v>26</v>
      </c>
      <c r="G2001" s="54"/>
    </row>
    <row r="2002">
      <c r="A2002" s="49">
        <v>45041.624675266205</v>
      </c>
      <c r="B2002" s="50">
        <v>45041.7496488888</v>
      </c>
      <c r="C2002" s="51">
        <v>1.033</v>
      </c>
      <c r="D2002" s="51">
        <v>62.0</v>
      </c>
      <c r="E2002" s="52" t="s">
        <v>25</v>
      </c>
      <c r="F2002" s="52" t="s">
        <v>26</v>
      </c>
      <c r="G2002" s="54"/>
    </row>
    <row r="2003">
      <c r="A2003" s="49">
        <v>45041.63510344907</v>
      </c>
      <c r="B2003" s="50">
        <v>45041.7600711574</v>
      </c>
      <c r="C2003" s="51">
        <v>1.033</v>
      </c>
      <c r="D2003" s="51">
        <v>62.0</v>
      </c>
      <c r="E2003" s="52" t="s">
        <v>25</v>
      </c>
      <c r="F2003" s="52" t="s">
        <v>26</v>
      </c>
      <c r="G2003" s="54"/>
    </row>
    <row r="2004">
      <c r="A2004" s="49">
        <v>45041.645536365744</v>
      </c>
      <c r="B2004" s="50">
        <v>45041.770504456</v>
      </c>
      <c r="C2004" s="51">
        <v>1.033</v>
      </c>
      <c r="D2004" s="51">
        <v>62.0</v>
      </c>
      <c r="E2004" s="52" t="s">
        <v>25</v>
      </c>
      <c r="F2004" s="52" t="s">
        <v>26</v>
      </c>
      <c r="G2004" s="54"/>
    </row>
    <row r="2005">
      <c r="A2005" s="49">
        <v>45041.65595454861</v>
      </c>
      <c r="B2005" s="50">
        <v>45041.7809267708</v>
      </c>
      <c r="C2005" s="51">
        <v>1.033</v>
      </c>
      <c r="D2005" s="51">
        <v>62.0</v>
      </c>
      <c r="E2005" s="52" t="s">
        <v>25</v>
      </c>
      <c r="F2005" s="52" t="s">
        <v>26</v>
      </c>
      <c r="G2005" s="54"/>
    </row>
    <row r="2006">
      <c r="A2006" s="49">
        <v>45041.66638221065</v>
      </c>
      <c r="B2006" s="50">
        <v>45041.7913489583</v>
      </c>
      <c r="C2006" s="51">
        <v>1.033</v>
      </c>
      <c r="D2006" s="51">
        <v>62.0</v>
      </c>
      <c r="E2006" s="52" t="s">
        <v>25</v>
      </c>
      <c r="F2006" s="52" t="s">
        <v>26</v>
      </c>
      <c r="G2006" s="54"/>
    </row>
    <row r="2007">
      <c r="A2007" s="49">
        <v>45041.67679402778</v>
      </c>
      <c r="B2007" s="50">
        <v>45041.8017701851</v>
      </c>
      <c r="C2007" s="51">
        <v>1.033</v>
      </c>
      <c r="D2007" s="51">
        <v>62.0</v>
      </c>
      <c r="E2007" s="52" t="s">
        <v>25</v>
      </c>
      <c r="F2007" s="52" t="s">
        <v>26</v>
      </c>
      <c r="G2007" s="54"/>
    </row>
    <row r="2008">
      <c r="A2008" s="49">
        <v>45041.68720872686</v>
      </c>
      <c r="B2008" s="50">
        <v>45041.8121892708</v>
      </c>
      <c r="C2008" s="51">
        <v>1.033</v>
      </c>
      <c r="D2008" s="51">
        <v>62.0</v>
      </c>
      <c r="E2008" s="52" t="s">
        <v>25</v>
      </c>
      <c r="F2008" s="52" t="s">
        <v>26</v>
      </c>
      <c r="G2008" s="54"/>
    </row>
    <row r="2009">
      <c r="A2009" s="49">
        <v>45041.69763844907</v>
      </c>
      <c r="B2009" s="50">
        <v>45041.8226100925</v>
      </c>
      <c r="C2009" s="51">
        <v>1.033</v>
      </c>
      <c r="D2009" s="51">
        <v>62.0</v>
      </c>
      <c r="E2009" s="52" t="s">
        <v>25</v>
      </c>
      <c r="F2009" s="52" t="s">
        <v>26</v>
      </c>
      <c r="G2009" s="54"/>
    </row>
    <row r="2010">
      <c r="A2010" s="49">
        <v>45041.70805685185</v>
      </c>
      <c r="B2010" s="50">
        <v>45041.8330310532</v>
      </c>
      <c r="C2010" s="51">
        <v>1.033</v>
      </c>
      <c r="D2010" s="51">
        <v>62.0</v>
      </c>
      <c r="E2010" s="52" t="s">
        <v>25</v>
      </c>
      <c r="F2010" s="52" t="s">
        <v>26</v>
      </c>
      <c r="G2010" s="54"/>
    </row>
    <row r="2011">
      <c r="A2011" s="49">
        <v>45041.718483425924</v>
      </c>
      <c r="B2011" s="50">
        <v>45041.8434530324</v>
      </c>
      <c r="C2011" s="51">
        <v>1.033</v>
      </c>
      <c r="D2011" s="51">
        <v>62.0</v>
      </c>
      <c r="E2011" s="52" t="s">
        <v>25</v>
      </c>
      <c r="F2011" s="52" t="s">
        <v>26</v>
      </c>
      <c r="G2011" s="54"/>
    </row>
    <row r="2012">
      <c r="A2012" s="49">
        <v>45041.728897824076</v>
      </c>
      <c r="B2012" s="50">
        <v>45041.8538739351</v>
      </c>
      <c r="C2012" s="51">
        <v>1.033</v>
      </c>
      <c r="D2012" s="51">
        <v>62.0</v>
      </c>
      <c r="E2012" s="52" t="s">
        <v>25</v>
      </c>
      <c r="F2012" s="52" t="s">
        <v>26</v>
      </c>
      <c r="G2012" s="54"/>
    </row>
    <row r="2013">
      <c r="A2013" s="49">
        <v>45041.73933265047</v>
      </c>
      <c r="B2013" s="50">
        <v>45041.864305162</v>
      </c>
      <c r="C2013" s="51">
        <v>1.033</v>
      </c>
      <c r="D2013" s="51">
        <v>62.0</v>
      </c>
      <c r="E2013" s="52" t="s">
        <v>25</v>
      </c>
      <c r="F2013" s="52" t="s">
        <v>26</v>
      </c>
      <c r="G2013" s="54"/>
    </row>
    <row r="2014">
      <c r="A2014" s="49">
        <v>45041.74975631945</v>
      </c>
      <c r="B2014" s="50">
        <v>45041.8747277314</v>
      </c>
      <c r="C2014" s="51">
        <v>1.033</v>
      </c>
      <c r="D2014" s="51">
        <v>62.0</v>
      </c>
      <c r="E2014" s="52" t="s">
        <v>25</v>
      </c>
      <c r="F2014" s="52" t="s">
        <v>26</v>
      </c>
      <c r="G2014" s="54"/>
    </row>
    <row r="2015">
      <c r="A2015" s="49">
        <v>45041.76017775463</v>
      </c>
      <c r="B2015" s="50">
        <v>45041.8851478703</v>
      </c>
      <c r="C2015" s="51">
        <v>1.033</v>
      </c>
      <c r="D2015" s="51">
        <v>62.0</v>
      </c>
      <c r="E2015" s="52" t="s">
        <v>25</v>
      </c>
      <c r="F2015" s="52" t="s">
        <v>26</v>
      </c>
      <c r="G2015" s="54"/>
    </row>
    <row r="2016">
      <c r="A2016" s="49">
        <v>45041.77059209491</v>
      </c>
      <c r="B2016" s="50">
        <v>45041.8955697569</v>
      </c>
      <c r="C2016" s="51">
        <v>1.033</v>
      </c>
      <c r="D2016" s="51">
        <v>62.0</v>
      </c>
      <c r="E2016" s="52" t="s">
        <v>25</v>
      </c>
      <c r="F2016" s="52" t="s">
        <v>26</v>
      </c>
      <c r="G2016" s="54"/>
    </row>
    <row r="2017">
      <c r="A2017" s="49">
        <v>45041.78103253472</v>
      </c>
      <c r="B2017" s="50">
        <v>45041.9060025115</v>
      </c>
      <c r="C2017" s="51">
        <v>1.033</v>
      </c>
      <c r="D2017" s="51">
        <v>62.0</v>
      </c>
      <c r="E2017" s="52" t="s">
        <v>25</v>
      </c>
      <c r="F2017" s="52" t="s">
        <v>26</v>
      </c>
      <c r="G2017" s="54"/>
    </row>
    <row r="2018">
      <c r="A2018" s="49">
        <v>45041.79145050926</v>
      </c>
      <c r="B2018" s="50">
        <v>45041.9164241087</v>
      </c>
      <c r="C2018" s="51">
        <v>1.033</v>
      </c>
      <c r="D2018" s="51">
        <v>62.0</v>
      </c>
      <c r="E2018" s="52" t="s">
        <v>25</v>
      </c>
      <c r="F2018" s="52" t="s">
        <v>26</v>
      </c>
      <c r="G2018" s="54"/>
    </row>
    <row r="2019">
      <c r="A2019" s="49">
        <v>45041.801865925925</v>
      </c>
      <c r="B2019" s="50">
        <v>45041.9268445949</v>
      </c>
      <c r="C2019" s="51">
        <v>1.033</v>
      </c>
      <c r="D2019" s="51">
        <v>62.0</v>
      </c>
      <c r="E2019" s="52" t="s">
        <v>25</v>
      </c>
      <c r="F2019" s="52" t="s">
        <v>26</v>
      </c>
      <c r="G2019" s="54"/>
    </row>
    <row r="2020">
      <c r="A2020" s="49">
        <v>45041.81229826389</v>
      </c>
      <c r="B2020" s="50">
        <v>45041.937266331</v>
      </c>
      <c r="C2020" s="51">
        <v>1.033</v>
      </c>
      <c r="D2020" s="51">
        <v>62.0</v>
      </c>
      <c r="E2020" s="52" t="s">
        <v>25</v>
      </c>
      <c r="F2020" s="52" t="s">
        <v>26</v>
      </c>
      <c r="G2020" s="54"/>
    </row>
    <row r="2021">
      <c r="A2021" s="49">
        <v>45041.82272027778</v>
      </c>
      <c r="B2021" s="50">
        <v>45041.9476885763</v>
      </c>
      <c r="C2021" s="51">
        <v>1.033</v>
      </c>
      <c r="D2021" s="51">
        <v>62.0</v>
      </c>
      <c r="E2021" s="52" t="s">
        <v>25</v>
      </c>
      <c r="F2021" s="52" t="s">
        <v>26</v>
      </c>
      <c r="G2021" s="54"/>
    </row>
    <row r="2022">
      <c r="A2022" s="49">
        <v>45041.83314369213</v>
      </c>
      <c r="B2022" s="50">
        <v>45041.9581096643</v>
      </c>
      <c r="C2022" s="51">
        <v>1.033</v>
      </c>
      <c r="D2022" s="51">
        <v>62.0</v>
      </c>
      <c r="E2022" s="52" t="s">
        <v>25</v>
      </c>
      <c r="F2022" s="52" t="s">
        <v>26</v>
      </c>
      <c r="G2022" s="54"/>
    </row>
    <row r="2023">
      <c r="A2023" s="49">
        <v>45041.843566400465</v>
      </c>
      <c r="B2023" s="50">
        <v>45041.9685437615</v>
      </c>
      <c r="C2023" s="51">
        <v>1.033</v>
      </c>
      <c r="D2023" s="51">
        <v>62.0</v>
      </c>
      <c r="E2023" s="52" t="s">
        <v>25</v>
      </c>
      <c r="F2023" s="52" t="s">
        <v>26</v>
      </c>
      <c r="G2023" s="54"/>
    </row>
    <row r="2024">
      <c r="A2024" s="49">
        <v>45041.85400290509</v>
      </c>
      <c r="B2024" s="50">
        <v>45041.9789761458</v>
      </c>
      <c r="C2024" s="51">
        <v>1.033</v>
      </c>
      <c r="D2024" s="51">
        <v>62.0</v>
      </c>
      <c r="E2024" s="52" t="s">
        <v>25</v>
      </c>
      <c r="F2024" s="52" t="s">
        <v>26</v>
      </c>
      <c r="G2024" s="54"/>
    </row>
    <row r="2025">
      <c r="A2025" s="49">
        <v>45041.8644137963</v>
      </c>
      <c r="B2025" s="50">
        <v>45041.9893960069</v>
      </c>
      <c r="C2025" s="51">
        <v>1.033</v>
      </c>
      <c r="D2025" s="51">
        <v>62.0</v>
      </c>
      <c r="E2025" s="52" t="s">
        <v>25</v>
      </c>
      <c r="F2025" s="52" t="s">
        <v>26</v>
      </c>
      <c r="G2025" s="54"/>
    </row>
    <row r="2026">
      <c r="A2026" s="49">
        <v>45041.874841111116</v>
      </c>
      <c r="B2026" s="50">
        <v>45041.9998198611</v>
      </c>
      <c r="C2026" s="51">
        <v>1.033</v>
      </c>
      <c r="D2026" s="51">
        <v>62.0</v>
      </c>
      <c r="E2026" s="52" t="s">
        <v>25</v>
      </c>
      <c r="F2026" s="52" t="s">
        <v>26</v>
      </c>
      <c r="G2026" s="54"/>
    </row>
    <row r="2027">
      <c r="A2027" s="49">
        <v>45041.885267731486</v>
      </c>
      <c r="B2027" s="50">
        <v>45042.0102403472</v>
      </c>
      <c r="C2027" s="51">
        <v>1.033</v>
      </c>
      <c r="D2027" s="51">
        <v>62.0</v>
      </c>
      <c r="E2027" s="52" t="s">
        <v>25</v>
      </c>
      <c r="F2027" s="52" t="s">
        <v>26</v>
      </c>
      <c r="G2027" s="54"/>
    </row>
    <row r="2028">
      <c r="A2028" s="49">
        <v>45041.8956883912</v>
      </c>
      <c r="B2028" s="50">
        <v>45042.0206618171</v>
      </c>
      <c r="C2028" s="51">
        <v>1.033</v>
      </c>
      <c r="D2028" s="51">
        <v>62.0</v>
      </c>
      <c r="E2028" s="52" t="s">
        <v>25</v>
      </c>
      <c r="F2028" s="52" t="s">
        <v>26</v>
      </c>
      <c r="G2028" s="54"/>
    </row>
    <row r="2029">
      <c r="A2029" s="49">
        <v>45041.90611174768</v>
      </c>
      <c r="B2029" s="50">
        <v>45042.0310819328</v>
      </c>
      <c r="C2029" s="51">
        <v>1.033</v>
      </c>
      <c r="D2029" s="51">
        <v>62.0</v>
      </c>
      <c r="E2029" s="52" t="s">
        <v>25</v>
      </c>
      <c r="F2029" s="52" t="s">
        <v>26</v>
      </c>
      <c r="G2029" s="54"/>
    </row>
    <row r="2030">
      <c r="A2030" s="49">
        <v>45041.916532083334</v>
      </c>
      <c r="B2030" s="50">
        <v>45042.0415026851</v>
      </c>
      <c r="C2030" s="51">
        <v>1.033</v>
      </c>
      <c r="D2030" s="51">
        <v>62.0</v>
      </c>
      <c r="E2030" s="52" t="s">
        <v>25</v>
      </c>
      <c r="F2030" s="52" t="s">
        <v>26</v>
      </c>
      <c r="G2030" s="54"/>
    </row>
    <row r="2031">
      <c r="A2031" s="49">
        <v>45041.92694965278</v>
      </c>
      <c r="B2031" s="50">
        <v>45042.0519224652</v>
      </c>
      <c r="C2031" s="51">
        <v>1.033</v>
      </c>
      <c r="D2031" s="51">
        <v>62.0</v>
      </c>
      <c r="E2031" s="52" t="s">
        <v>25</v>
      </c>
      <c r="F2031" s="52" t="s">
        <v>26</v>
      </c>
      <c r="G2031" s="54"/>
    </row>
    <row r="2032">
      <c r="A2032" s="49">
        <v>45041.93736520833</v>
      </c>
      <c r="B2032" s="50">
        <v>45042.0623435763</v>
      </c>
      <c r="C2032" s="51">
        <v>1.033</v>
      </c>
      <c r="D2032" s="51">
        <v>62.0</v>
      </c>
      <c r="E2032" s="52" t="s">
        <v>25</v>
      </c>
      <c r="F2032" s="52" t="s">
        <v>26</v>
      </c>
      <c r="G2032" s="54"/>
    </row>
    <row r="2033">
      <c r="A2033" s="49">
        <v>45041.947795995366</v>
      </c>
      <c r="B2033" s="50">
        <v>45042.0727639583</v>
      </c>
      <c r="C2033" s="51">
        <v>1.033</v>
      </c>
      <c r="D2033" s="51">
        <v>62.0</v>
      </c>
      <c r="E2033" s="52" t="s">
        <v>25</v>
      </c>
      <c r="F2033" s="52" t="s">
        <v>26</v>
      </c>
      <c r="G2033" s="54"/>
    </row>
    <row r="2034">
      <c r="A2034" s="49">
        <v>45041.958213645834</v>
      </c>
      <c r="B2034" s="50">
        <v>45042.0831856134</v>
      </c>
      <c r="C2034" s="51">
        <v>1.033</v>
      </c>
      <c r="D2034" s="51">
        <v>62.0</v>
      </c>
      <c r="E2034" s="52" t="s">
        <v>25</v>
      </c>
      <c r="F2034" s="52" t="s">
        <v>26</v>
      </c>
      <c r="G2034" s="54"/>
    </row>
    <row r="2035">
      <c r="A2035" s="49">
        <v>45041.96863368056</v>
      </c>
      <c r="B2035" s="50">
        <v>45042.0936063888</v>
      </c>
      <c r="C2035" s="51">
        <v>1.033</v>
      </c>
      <c r="D2035" s="51">
        <v>62.0</v>
      </c>
      <c r="E2035" s="52" t="s">
        <v>25</v>
      </c>
      <c r="F2035" s="52" t="s">
        <v>26</v>
      </c>
      <c r="G2035" s="54"/>
    </row>
    <row r="2036">
      <c r="A2036" s="49">
        <v>45041.979076041665</v>
      </c>
      <c r="B2036" s="50">
        <v>45042.104050162</v>
      </c>
      <c r="C2036" s="51">
        <v>1.033</v>
      </c>
      <c r="D2036" s="51">
        <v>62.0</v>
      </c>
      <c r="E2036" s="52" t="s">
        <v>25</v>
      </c>
      <c r="F2036" s="52" t="s">
        <v>26</v>
      </c>
      <c r="G2036" s="54"/>
    </row>
    <row r="2037">
      <c r="A2037" s="49">
        <v>45041.98949630787</v>
      </c>
      <c r="B2037" s="50">
        <v>45042.1144724305</v>
      </c>
      <c r="C2037" s="51">
        <v>1.033</v>
      </c>
      <c r="D2037" s="51">
        <v>62.0</v>
      </c>
      <c r="E2037" s="52" t="s">
        <v>25</v>
      </c>
      <c r="F2037" s="52" t="s">
        <v>26</v>
      </c>
      <c r="G2037" s="54"/>
    </row>
    <row r="2038">
      <c r="A2038" s="49">
        <v>45041.9999215625</v>
      </c>
      <c r="B2038" s="50">
        <v>45042.1248944213</v>
      </c>
      <c r="C2038" s="51">
        <v>1.033</v>
      </c>
      <c r="D2038" s="51">
        <v>62.0</v>
      </c>
      <c r="E2038" s="52" t="s">
        <v>25</v>
      </c>
      <c r="F2038" s="52" t="s">
        <v>26</v>
      </c>
      <c r="G2038" s="54"/>
    </row>
    <row r="2039">
      <c r="A2039" s="49">
        <v>45042.010344421295</v>
      </c>
      <c r="B2039" s="50">
        <v>45042.1353157176</v>
      </c>
      <c r="C2039" s="51">
        <v>1.033</v>
      </c>
      <c r="D2039" s="51">
        <v>62.0</v>
      </c>
      <c r="E2039" s="52" t="s">
        <v>25</v>
      </c>
      <c r="F2039" s="52" t="s">
        <v>26</v>
      </c>
      <c r="G2039" s="54"/>
    </row>
    <row r="2040">
      <c r="A2040" s="49">
        <v>45042.02075658565</v>
      </c>
      <c r="B2040" s="50">
        <v>45042.1457374421</v>
      </c>
      <c r="C2040" s="51">
        <v>1.033</v>
      </c>
      <c r="D2040" s="51">
        <v>62.0</v>
      </c>
      <c r="E2040" s="52" t="s">
        <v>25</v>
      </c>
      <c r="F2040" s="52" t="s">
        <v>26</v>
      </c>
      <c r="G2040" s="54"/>
    </row>
    <row r="2041">
      <c r="A2041" s="49">
        <v>45042.03119570602</v>
      </c>
      <c r="B2041" s="50">
        <v>45042.1561701967</v>
      </c>
      <c r="C2041" s="51">
        <v>1.033</v>
      </c>
      <c r="D2041" s="51">
        <v>62.0</v>
      </c>
      <c r="E2041" s="52" t="s">
        <v>25</v>
      </c>
      <c r="F2041" s="52" t="s">
        <v>26</v>
      </c>
      <c r="G2041" s="54"/>
    </row>
    <row r="2042">
      <c r="A2042" s="49">
        <v>45042.04162027778</v>
      </c>
      <c r="B2042" s="50">
        <v>45042.1665899768</v>
      </c>
      <c r="C2042" s="51">
        <v>1.033</v>
      </c>
      <c r="D2042" s="51">
        <v>62.0</v>
      </c>
      <c r="E2042" s="52" t="s">
        <v>25</v>
      </c>
      <c r="F2042" s="52" t="s">
        <v>26</v>
      </c>
      <c r="G2042" s="54"/>
    </row>
    <row r="2043">
      <c r="A2043" s="49">
        <v>45042.05204038194</v>
      </c>
      <c r="B2043" s="50">
        <v>45042.1770112731</v>
      </c>
      <c r="C2043" s="51">
        <v>1.033</v>
      </c>
      <c r="D2043" s="51">
        <v>62.0</v>
      </c>
      <c r="E2043" s="52" t="s">
        <v>25</v>
      </c>
      <c r="F2043" s="52" t="s">
        <v>26</v>
      </c>
      <c r="G2043" s="54"/>
    </row>
    <row r="2044">
      <c r="A2044" s="49">
        <v>45042.062462256945</v>
      </c>
      <c r="B2044" s="50">
        <v>45042.1874322569</v>
      </c>
      <c r="C2044" s="51">
        <v>1.033</v>
      </c>
      <c r="D2044" s="51">
        <v>62.0</v>
      </c>
      <c r="E2044" s="52" t="s">
        <v>25</v>
      </c>
      <c r="F2044" s="52" t="s">
        <v>26</v>
      </c>
      <c r="G2044" s="54"/>
    </row>
    <row r="2045">
      <c r="A2045" s="49">
        <v>45042.0728924537</v>
      </c>
      <c r="B2045" s="50">
        <v>45042.1978664467</v>
      </c>
      <c r="C2045" s="51">
        <v>1.033</v>
      </c>
      <c r="D2045" s="51">
        <v>62.0</v>
      </c>
      <c r="E2045" s="52" t="s">
        <v>25</v>
      </c>
      <c r="F2045" s="52" t="s">
        <v>26</v>
      </c>
      <c r="G2045" s="54"/>
    </row>
    <row r="2046">
      <c r="A2046" s="49">
        <v>45042.08333528935</v>
      </c>
      <c r="B2046" s="50">
        <v>45042.2083109953</v>
      </c>
      <c r="C2046" s="51">
        <v>1.033</v>
      </c>
      <c r="D2046" s="51">
        <v>62.0</v>
      </c>
      <c r="E2046" s="52" t="s">
        <v>25</v>
      </c>
      <c r="F2046" s="52" t="s">
        <v>26</v>
      </c>
      <c r="G2046" s="54"/>
    </row>
    <row r="2047">
      <c r="A2047" s="49">
        <v>45042.09375836806</v>
      </c>
      <c r="B2047" s="50">
        <v>45042.2187329398</v>
      </c>
      <c r="C2047" s="51">
        <v>1.033</v>
      </c>
      <c r="D2047" s="51">
        <v>62.0</v>
      </c>
      <c r="E2047" s="52" t="s">
        <v>25</v>
      </c>
      <c r="F2047" s="52" t="s">
        <v>26</v>
      </c>
      <c r="G2047" s="54"/>
    </row>
    <row r="2048">
      <c r="A2048" s="49">
        <v>45042.104181863426</v>
      </c>
      <c r="B2048" s="50">
        <v>45042.2291546412</v>
      </c>
      <c r="C2048" s="51">
        <v>1.033</v>
      </c>
      <c r="D2048" s="51">
        <v>62.0</v>
      </c>
      <c r="E2048" s="52" t="s">
        <v>25</v>
      </c>
      <c r="F2048" s="52" t="s">
        <v>26</v>
      </c>
      <c r="G2048" s="54"/>
    </row>
    <row r="2049">
      <c r="A2049" s="49">
        <v>45042.11462070602</v>
      </c>
      <c r="B2049" s="50">
        <v>45042.2395886111</v>
      </c>
      <c r="C2049" s="51">
        <v>1.033</v>
      </c>
      <c r="D2049" s="51">
        <v>62.0</v>
      </c>
      <c r="E2049" s="52" t="s">
        <v>25</v>
      </c>
      <c r="F2049" s="52" t="s">
        <v>26</v>
      </c>
      <c r="G2049" s="54"/>
    </row>
    <row r="2050">
      <c r="A2050" s="49">
        <v>45042.125037777776</v>
      </c>
      <c r="B2050" s="50">
        <v>45042.2500112037</v>
      </c>
      <c r="C2050" s="51">
        <v>1.033</v>
      </c>
      <c r="D2050" s="51">
        <v>62.0</v>
      </c>
      <c r="E2050" s="52" t="s">
        <v>25</v>
      </c>
      <c r="F2050" s="52" t="s">
        <v>26</v>
      </c>
      <c r="G2050" s="54"/>
    </row>
    <row r="2051">
      <c r="A2051" s="49">
        <v>45042.135456585645</v>
      </c>
      <c r="B2051" s="50">
        <v>45042.2604330208</v>
      </c>
      <c r="C2051" s="51">
        <v>1.033</v>
      </c>
      <c r="D2051" s="51">
        <v>62.0</v>
      </c>
      <c r="E2051" s="52" t="s">
        <v>25</v>
      </c>
      <c r="F2051" s="52" t="s">
        <v>26</v>
      </c>
      <c r="G2051" s="54"/>
    </row>
    <row r="2052">
      <c r="A2052" s="49">
        <v>45042.145877766205</v>
      </c>
      <c r="B2052" s="50">
        <v>45042.2708552777</v>
      </c>
      <c r="C2052" s="51">
        <v>1.033</v>
      </c>
      <c r="D2052" s="51">
        <v>62.0</v>
      </c>
      <c r="E2052" s="52" t="s">
        <v>25</v>
      </c>
      <c r="F2052" s="52" t="s">
        <v>26</v>
      </c>
      <c r="G2052" s="54"/>
    </row>
    <row r="2053">
      <c r="A2053" s="49">
        <v>45042.15630431713</v>
      </c>
      <c r="B2053" s="50">
        <v>45042.2812766898</v>
      </c>
      <c r="C2053" s="51">
        <v>1.033</v>
      </c>
      <c r="D2053" s="51">
        <v>62.0</v>
      </c>
      <c r="E2053" s="52" t="s">
        <v>25</v>
      </c>
      <c r="F2053" s="52" t="s">
        <v>26</v>
      </c>
      <c r="G2053" s="54"/>
    </row>
    <row r="2054">
      <c r="A2054" s="49">
        <v>45042.16672658565</v>
      </c>
      <c r="B2054" s="50">
        <v>45042.2916971064</v>
      </c>
      <c r="C2054" s="51">
        <v>1.033</v>
      </c>
      <c r="D2054" s="51">
        <v>62.0</v>
      </c>
      <c r="E2054" s="52" t="s">
        <v>25</v>
      </c>
      <c r="F2054" s="52" t="s">
        <v>26</v>
      </c>
      <c r="G2054" s="54"/>
    </row>
    <row r="2055">
      <c r="A2055" s="49">
        <v>45042.17715574074</v>
      </c>
      <c r="B2055" s="50">
        <v>45042.3021298726</v>
      </c>
      <c r="C2055" s="51">
        <v>1.033</v>
      </c>
      <c r="D2055" s="51">
        <v>62.0</v>
      </c>
      <c r="E2055" s="52" t="s">
        <v>25</v>
      </c>
      <c r="F2055" s="52" t="s">
        <v>26</v>
      </c>
      <c r="G2055" s="54"/>
    </row>
    <row r="2056">
      <c r="A2056" s="49">
        <v>45042.187571539354</v>
      </c>
      <c r="B2056" s="50">
        <v>45042.3125493287</v>
      </c>
      <c r="C2056" s="51">
        <v>1.033</v>
      </c>
      <c r="D2056" s="51">
        <v>62.0</v>
      </c>
      <c r="E2056" s="52" t="s">
        <v>25</v>
      </c>
      <c r="F2056" s="52" t="s">
        <v>26</v>
      </c>
      <c r="G2056" s="54"/>
    </row>
    <row r="2057">
      <c r="A2057" s="49">
        <v>45042.1980108912</v>
      </c>
      <c r="B2057" s="50">
        <v>45042.3229939699</v>
      </c>
      <c r="C2057" s="51">
        <v>1.033</v>
      </c>
      <c r="D2057" s="51">
        <v>62.0</v>
      </c>
      <c r="E2057" s="52" t="s">
        <v>25</v>
      </c>
      <c r="F2057" s="52" t="s">
        <v>26</v>
      </c>
      <c r="G2057" s="54"/>
    </row>
    <row r="2058">
      <c r="A2058" s="49">
        <v>45042.20844458333</v>
      </c>
      <c r="B2058" s="50">
        <v>45042.3334159722</v>
      </c>
      <c r="C2058" s="51">
        <v>1.033</v>
      </c>
      <c r="D2058" s="51">
        <v>62.0</v>
      </c>
      <c r="E2058" s="52" t="s">
        <v>25</v>
      </c>
      <c r="F2058" s="52" t="s">
        <v>26</v>
      </c>
      <c r="G2058" s="54"/>
    </row>
    <row r="2059">
      <c r="A2059" s="49">
        <v>45042.218868310185</v>
      </c>
      <c r="B2059" s="50">
        <v>45042.3438364467</v>
      </c>
      <c r="C2059" s="51">
        <v>1.033</v>
      </c>
      <c r="D2059" s="51">
        <v>62.0</v>
      </c>
      <c r="E2059" s="52" t="s">
        <v>25</v>
      </c>
      <c r="F2059" s="52" t="s">
        <v>26</v>
      </c>
      <c r="G2059" s="54"/>
    </row>
    <row r="2060">
      <c r="A2060" s="49">
        <v>45042.22928987269</v>
      </c>
      <c r="B2060" s="50">
        <v>45042.3542575231</v>
      </c>
      <c r="C2060" s="51">
        <v>1.033</v>
      </c>
      <c r="D2060" s="51">
        <v>62.0</v>
      </c>
      <c r="E2060" s="52" t="s">
        <v>25</v>
      </c>
      <c r="F2060" s="52" t="s">
        <v>26</v>
      </c>
      <c r="G2060" s="54"/>
    </row>
    <row r="2061">
      <c r="A2061" s="49">
        <v>45042.2397049537</v>
      </c>
      <c r="B2061" s="50">
        <v>45042.3646788541</v>
      </c>
      <c r="C2061" s="51">
        <v>1.033</v>
      </c>
      <c r="D2061" s="51">
        <v>62.0</v>
      </c>
      <c r="E2061" s="52" t="s">
        <v>25</v>
      </c>
      <c r="F2061" s="52" t="s">
        <v>26</v>
      </c>
      <c r="G2061" s="54"/>
    </row>
    <row r="2062">
      <c r="A2062" s="49">
        <v>45042.25012203703</v>
      </c>
      <c r="B2062" s="50">
        <v>45042.3750992245</v>
      </c>
      <c r="C2062" s="51">
        <v>1.033</v>
      </c>
      <c r="D2062" s="51">
        <v>62.0</v>
      </c>
      <c r="E2062" s="52" t="s">
        <v>25</v>
      </c>
      <c r="F2062" s="52" t="s">
        <v>26</v>
      </c>
      <c r="G2062" s="54"/>
    </row>
    <row r="2063">
      <c r="A2063" s="49">
        <v>45042.260548969905</v>
      </c>
      <c r="B2063" s="50">
        <v>45042.3855191782</v>
      </c>
      <c r="C2063" s="51">
        <v>1.033</v>
      </c>
      <c r="D2063" s="51">
        <v>62.0</v>
      </c>
      <c r="E2063" s="52" t="s">
        <v>25</v>
      </c>
      <c r="F2063" s="52" t="s">
        <v>26</v>
      </c>
      <c r="G2063" s="54"/>
    </row>
    <row r="2064">
      <c r="A2064" s="49">
        <v>45042.27096392361</v>
      </c>
      <c r="B2064" s="50">
        <v>45042.3959403472</v>
      </c>
      <c r="C2064" s="51">
        <v>1.033</v>
      </c>
      <c r="D2064" s="51">
        <v>62.0</v>
      </c>
      <c r="E2064" s="52" t="s">
        <v>25</v>
      </c>
      <c r="F2064" s="52" t="s">
        <v>26</v>
      </c>
      <c r="G2064" s="54"/>
    </row>
    <row r="2065">
      <c r="A2065" s="49">
        <v>45042.28139251158</v>
      </c>
      <c r="B2065" s="50">
        <v>45042.4063606712</v>
      </c>
      <c r="C2065" s="51">
        <v>1.032</v>
      </c>
      <c r="D2065" s="51">
        <v>62.0</v>
      </c>
      <c r="E2065" s="52" t="s">
        <v>25</v>
      </c>
      <c r="F2065" s="52" t="s">
        <v>26</v>
      </c>
      <c r="G2065" s="54"/>
    </row>
    <row r="2066">
      <c r="A2066" s="49">
        <v>45042.291806354166</v>
      </c>
      <c r="B2066" s="50">
        <v>45042.4167819791</v>
      </c>
      <c r="C2066" s="51">
        <v>1.032</v>
      </c>
      <c r="D2066" s="51">
        <v>62.0</v>
      </c>
      <c r="E2066" s="52" t="s">
        <v>25</v>
      </c>
      <c r="F2066" s="52" t="s">
        <v>26</v>
      </c>
      <c r="G2066" s="54"/>
    </row>
    <row r="2067">
      <c r="A2067" s="49">
        <v>45042.30222326389</v>
      </c>
      <c r="B2067" s="50">
        <v>45042.427202824</v>
      </c>
      <c r="C2067" s="51">
        <v>1.032</v>
      </c>
      <c r="D2067" s="51">
        <v>62.0</v>
      </c>
      <c r="E2067" s="52" t="s">
        <v>25</v>
      </c>
      <c r="F2067" s="52" t="s">
        <v>26</v>
      </c>
      <c r="G2067" s="54"/>
    </row>
    <row r="2068">
      <c r="A2068" s="49">
        <v>45042.31265047454</v>
      </c>
      <c r="B2068" s="50">
        <v>45042.4376231597</v>
      </c>
      <c r="C2068" s="51">
        <v>1.033</v>
      </c>
      <c r="D2068" s="51">
        <v>62.0</v>
      </c>
      <c r="E2068" s="52" t="s">
        <v>25</v>
      </c>
      <c r="F2068" s="52" t="s">
        <v>26</v>
      </c>
      <c r="G2068" s="54"/>
    </row>
    <row r="2069">
      <c r="A2069" s="49">
        <v>45042.323068645834</v>
      </c>
      <c r="B2069" s="50">
        <v>45042.4480443055</v>
      </c>
      <c r="C2069" s="51">
        <v>1.032</v>
      </c>
      <c r="D2069" s="51">
        <v>62.0</v>
      </c>
      <c r="E2069" s="52" t="s">
        <v>25</v>
      </c>
      <c r="F2069" s="52" t="s">
        <v>26</v>
      </c>
      <c r="G2069" s="54"/>
    </row>
    <row r="2070">
      <c r="A2070" s="49">
        <v>45042.33351306713</v>
      </c>
      <c r="B2070" s="50">
        <v>45042.4584898958</v>
      </c>
      <c r="C2070" s="51">
        <v>1.032</v>
      </c>
      <c r="D2070" s="51">
        <v>62.0</v>
      </c>
      <c r="E2070" s="52" t="s">
        <v>25</v>
      </c>
      <c r="F2070" s="52" t="s">
        <v>26</v>
      </c>
      <c r="G2070" s="54"/>
    </row>
    <row r="2071">
      <c r="A2071" s="49">
        <v>45042.34392868055</v>
      </c>
      <c r="B2071" s="50">
        <v>45042.4689098495</v>
      </c>
      <c r="C2071" s="51">
        <v>1.032</v>
      </c>
      <c r="D2071" s="51">
        <v>62.0</v>
      </c>
      <c r="E2071" s="52" t="s">
        <v>25</v>
      </c>
      <c r="F2071" s="52" t="s">
        <v>26</v>
      </c>
      <c r="G2071" s="54"/>
    </row>
    <row r="2072">
      <c r="A2072" s="49">
        <v>45042.35435984954</v>
      </c>
      <c r="B2072" s="50">
        <v>45042.4793300694</v>
      </c>
      <c r="C2072" s="51">
        <v>1.032</v>
      </c>
      <c r="D2072" s="51">
        <v>62.0</v>
      </c>
      <c r="E2072" s="52" t="s">
        <v>25</v>
      </c>
      <c r="F2072" s="52" t="s">
        <v>26</v>
      </c>
      <c r="G2072" s="54"/>
    </row>
    <row r="2073">
      <c r="A2073" s="49">
        <v>45042.36478103009</v>
      </c>
      <c r="B2073" s="50">
        <v>45042.4897510185</v>
      </c>
      <c r="C2073" s="51">
        <v>1.032</v>
      </c>
      <c r="D2073" s="51">
        <v>62.0</v>
      </c>
      <c r="E2073" s="52" t="s">
        <v>25</v>
      </c>
      <c r="F2073" s="52" t="s">
        <v>26</v>
      </c>
      <c r="G2073" s="54"/>
    </row>
    <row r="2074">
      <c r="A2074" s="49">
        <v>45042.375203055555</v>
      </c>
      <c r="B2074" s="50">
        <v>45042.5001705671</v>
      </c>
      <c r="C2074" s="51">
        <v>1.032</v>
      </c>
      <c r="D2074" s="51">
        <v>62.0</v>
      </c>
      <c r="E2074" s="52" t="s">
        <v>25</v>
      </c>
      <c r="F2074" s="52" t="s">
        <v>26</v>
      </c>
      <c r="G2074" s="54"/>
    </row>
    <row r="2075">
      <c r="A2075" s="49">
        <v>45042.3856278125</v>
      </c>
      <c r="B2075" s="50">
        <v>45042.5106021643</v>
      </c>
      <c r="C2075" s="51">
        <v>1.032</v>
      </c>
      <c r="D2075" s="51">
        <v>62.0</v>
      </c>
      <c r="E2075" s="52" t="s">
        <v>25</v>
      </c>
      <c r="F2075" s="52" t="s">
        <v>26</v>
      </c>
      <c r="G2075" s="54"/>
    </row>
    <row r="2076">
      <c r="A2076" s="49">
        <v>45042.39607001157</v>
      </c>
      <c r="B2076" s="50">
        <v>45042.5210341088</v>
      </c>
      <c r="C2076" s="51">
        <v>1.032</v>
      </c>
      <c r="D2076" s="51">
        <v>62.0</v>
      </c>
      <c r="E2076" s="52" t="s">
        <v>25</v>
      </c>
      <c r="F2076" s="52" t="s">
        <v>26</v>
      </c>
      <c r="G2076" s="54"/>
    </row>
    <row r="2077">
      <c r="A2077" s="49">
        <v>45042.40648244213</v>
      </c>
      <c r="B2077" s="50">
        <v>45042.5314568518</v>
      </c>
      <c r="C2077" s="51">
        <v>1.032</v>
      </c>
      <c r="D2077" s="51">
        <v>62.0</v>
      </c>
      <c r="E2077" s="52" t="s">
        <v>25</v>
      </c>
      <c r="F2077" s="52" t="s">
        <v>26</v>
      </c>
      <c r="G2077" s="54"/>
    </row>
    <row r="2078">
      <c r="A2078" s="49">
        <v>45042.41689579861</v>
      </c>
      <c r="B2078" s="50">
        <v>45042.541878206</v>
      </c>
      <c r="C2078" s="51">
        <v>1.032</v>
      </c>
      <c r="D2078" s="51">
        <v>62.0</v>
      </c>
      <c r="E2078" s="52" t="s">
        <v>25</v>
      </c>
      <c r="F2078" s="52" t="s">
        <v>26</v>
      </c>
      <c r="G2078" s="54"/>
    </row>
    <row r="2079">
      <c r="A2079" s="49">
        <v>45042.427336423614</v>
      </c>
      <c r="B2079" s="50">
        <v>45042.5523094791</v>
      </c>
      <c r="C2079" s="51">
        <v>1.032</v>
      </c>
      <c r="D2079" s="51">
        <v>62.0</v>
      </c>
      <c r="E2079" s="52" t="s">
        <v>25</v>
      </c>
      <c r="F2079" s="52" t="s">
        <v>26</v>
      </c>
      <c r="G2079" s="54"/>
    </row>
    <row r="2080">
      <c r="A2080" s="49">
        <v>45042.4377702662</v>
      </c>
      <c r="B2080" s="50">
        <v>45042.5627308333</v>
      </c>
      <c r="C2080" s="51">
        <v>1.032</v>
      </c>
      <c r="D2080" s="51">
        <v>62.0</v>
      </c>
      <c r="E2080" s="52" t="s">
        <v>25</v>
      </c>
      <c r="F2080" s="52" t="s">
        <v>26</v>
      </c>
      <c r="G2080" s="54"/>
    </row>
    <row r="2081">
      <c r="A2081" s="49">
        <v>45042.44817920139</v>
      </c>
      <c r="B2081" s="50">
        <v>45042.5731520486</v>
      </c>
      <c r="C2081" s="51">
        <v>1.032</v>
      </c>
      <c r="D2081" s="51">
        <v>62.0</v>
      </c>
      <c r="E2081" s="52" t="s">
        <v>25</v>
      </c>
      <c r="F2081" s="52" t="s">
        <v>26</v>
      </c>
      <c r="G2081" s="54"/>
    </row>
    <row r="2082">
      <c r="A2082" s="49">
        <v>45042.45858923611</v>
      </c>
      <c r="B2082" s="50">
        <v>45042.5835731712</v>
      </c>
      <c r="C2082" s="51">
        <v>1.032</v>
      </c>
      <c r="D2082" s="51">
        <v>62.0</v>
      </c>
      <c r="E2082" s="52" t="s">
        <v>25</v>
      </c>
      <c r="F2082" s="52" t="s">
        <v>26</v>
      </c>
      <c r="G2082" s="54"/>
    </row>
    <row r="2083">
      <c r="A2083" s="49">
        <v>45042.46901811342</v>
      </c>
      <c r="B2083" s="50">
        <v>45042.5939946875</v>
      </c>
      <c r="C2083" s="51">
        <v>1.032</v>
      </c>
      <c r="D2083" s="51">
        <v>62.0</v>
      </c>
      <c r="E2083" s="52" t="s">
        <v>25</v>
      </c>
      <c r="F2083" s="52" t="s">
        <v>26</v>
      </c>
      <c r="G2083" s="54"/>
    </row>
    <row r="2084">
      <c r="A2084" s="49">
        <v>45042.47946616898</v>
      </c>
      <c r="B2084" s="50">
        <v>45042.6044286458</v>
      </c>
      <c r="C2084" s="51">
        <v>1.032</v>
      </c>
      <c r="D2084" s="51">
        <v>62.0</v>
      </c>
      <c r="E2084" s="52" t="s">
        <v>25</v>
      </c>
      <c r="F2084" s="52" t="s">
        <v>26</v>
      </c>
      <c r="G2084" s="54"/>
    </row>
    <row r="2085">
      <c r="A2085" s="49">
        <v>45042.48987431713</v>
      </c>
      <c r="B2085" s="50">
        <v>45042.6148504282</v>
      </c>
      <c r="C2085" s="51">
        <v>1.032</v>
      </c>
      <c r="D2085" s="51">
        <v>62.0</v>
      </c>
      <c r="E2085" s="52" t="s">
        <v>25</v>
      </c>
      <c r="F2085" s="52" t="s">
        <v>26</v>
      </c>
      <c r="G2085" s="54"/>
    </row>
    <row r="2086">
      <c r="A2086" s="49">
        <v>45042.50029902778</v>
      </c>
      <c r="B2086" s="50">
        <v>45042.6252723379</v>
      </c>
      <c r="C2086" s="51">
        <v>1.032</v>
      </c>
      <c r="D2086" s="51">
        <v>62.0</v>
      </c>
      <c r="E2086" s="52" t="s">
        <v>25</v>
      </c>
      <c r="F2086" s="52" t="s">
        <v>26</v>
      </c>
      <c r="G2086" s="54"/>
    </row>
    <row r="2087">
      <c r="A2087" s="49">
        <v>45042.51071099537</v>
      </c>
      <c r="B2087" s="50">
        <v>45042.6356941203</v>
      </c>
      <c r="C2087" s="51">
        <v>1.032</v>
      </c>
      <c r="D2087" s="51">
        <v>62.0</v>
      </c>
      <c r="E2087" s="52" t="s">
        <v>25</v>
      </c>
      <c r="F2087" s="52" t="s">
        <v>26</v>
      </c>
      <c r="G2087" s="54"/>
    </row>
    <row r="2088">
      <c r="A2088" s="49">
        <v>45042.52114162037</v>
      </c>
      <c r="B2088" s="50">
        <v>45042.6461145717</v>
      </c>
      <c r="C2088" s="51">
        <v>1.032</v>
      </c>
      <c r="D2088" s="51">
        <v>62.0</v>
      </c>
      <c r="E2088" s="52" t="s">
        <v>25</v>
      </c>
      <c r="F2088" s="52" t="s">
        <v>26</v>
      </c>
      <c r="G2088" s="54"/>
    </row>
    <row r="2089">
      <c r="A2089" s="49">
        <v>45042.53157579861</v>
      </c>
      <c r="B2089" s="50">
        <v>45042.6565467361</v>
      </c>
      <c r="C2089" s="51">
        <v>1.032</v>
      </c>
      <c r="D2089" s="51">
        <v>62.0</v>
      </c>
      <c r="E2089" s="52" t="s">
        <v>25</v>
      </c>
      <c r="F2089" s="52" t="s">
        <v>26</v>
      </c>
      <c r="G2089" s="54"/>
    </row>
    <row r="2090">
      <c r="A2090" s="49">
        <v>45042.54198628472</v>
      </c>
      <c r="B2090" s="50">
        <v>45042.6669683449</v>
      </c>
      <c r="C2090" s="51">
        <v>1.032</v>
      </c>
      <c r="D2090" s="51">
        <v>62.0</v>
      </c>
      <c r="E2090" s="52" t="s">
        <v>25</v>
      </c>
      <c r="F2090" s="52" t="s">
        <v>26</v>
      </c>
      <c r="G2090" s="54"/>
    </row>
    <row r="2091">
      <c r="A2091" s="49">
        <v>45042.55241002315</v>
      </c>
      <c r="B2091" s="50">
        <v>45042.6773893287</v>
      </c>
      <c r="C2091" s="51">
        <v>1.032</v>
      </c>
      <c r="D2091" s="51">
        <v>62.0</v>
      </c>
      <c r="E2091" s="52" t="s">
        <v>25</v>
      </c>
      <c r="F2091" s="52" t="s">
        <v>26</v>
      </c>
      <c r="G2091" s="54"/>
    </row>
    <row r="2092">
      <c r="A2092" s="49">
        <v>45042.562836400466</v>
      </c>
      <c r="B2092" s="50">
        <v>45042.687811875</v>
      </c>
      <c r="C2092" s="51">
        <v>1.032</v>
      </c>
      <c r="D2092" s="51">
        <v>62.0</v>
      </c>
      <c r="E2092" s="52" t="s">
        <v>25</v>
      </c>
      <c r="F2092" s="52" t="s">
        <v>26</v>
      </c>
      <c r="G2092" s="54"/>
    </row>
    <row r="2093">
      <c r="A2093" s="49">
        <v>45042.573256585645</v>
      </c>
      <c r="B2093" s="50">
        <v>45042.6982340625</v>
      </c>
      <c r="C2093" s="51">
        <v>1.032</v>
      </c>
      <c r="D2093" s="51">
        <v>62.0</v>
      </c>
      <c r="E2093" s="52" t="s">
        <v>25</v>
      </c>
      <c r="F2093" s="52" t="s">
        <v>26</v>
      </c>
      <c r="G2093" s="54"/>
    </row>
    <row r="2094">
      <c r="A2094" s="49">
        <v>45042.58367784722</v>
      </c>
      <c r="B2094" s="50">
        <v>45042.7086546412</v>
      </c>
      <c r="C2094" s="51">
        <v>1.032</v>
      </c>
      <c r="D2094" s="51">
        <v>62.0</v>
      </c>
      <c r="E2094" s="52" t="s">
        <v>25</v>
      </c>
      <c r="F2094" s="52" t="s">
        <v>26</v>
      </c>
      <c r="G2094" s="54"/>
    </row>
    <row r="2095">
      <c r="A2095" s="49">
        <v>45042.594104641204</v>
      </c>
      <c r="B2095" s="50">
        <v>45042.7190755555</v>
      </c>
      <c r="C2095" s="51">
        <v>1.032</v>
      </c>
      <c r="D2095" s="51">
        <v>62.0</v>
      </c>
      <c r="E2095" s="52" t="s">
        <v>25</v>
      </c>
      <c r="F2095" s="52" t="s">
        <v>26</v>
      </c>
      <c r="G2095" s="54"/>
    </row>
    <row r="2096">
      <c r="A2096" s="49">
        <v>45042.604524317125</v>
      </c>
      <c r="B2096" s="50">
        <v>45042.729495405</v>
      </c>
      <c r="C2096" s="51">
        <v>1.032</v>
      </c>
      <c r="D2096" s="51">
        <v>62.0</v>
      </c>
      <c r="E2096" s="52" t="s">
        <v>25</v>
      </c>
      <c r="F2096" s="52" t="s">
        <v>26</v>
      </c>
      <c r="G2096" s="54"/>
    </row>
    <row r="2097">
      <c r="A2097" s="49">
        <v>45042.61493473379</v>
      </c>
      <c r="B2097" s="50">
        <v>45042.7399167476</v>
      </c>
      <c r="C2097" s="51">
        <v>1.032</v>
      </c>
      <c r="D2097" s="51">
        <v>62.0</v>
      </c>
      <c r="E2097" s="52" t="s">
        <v>25</v>
      </c>
      <c r="F2097" s="52" t="s">
        <v>26</v>
      </c>
      <c r="G2097" s="54"/>
    </row>
    <row r="2098">
      <c r="A2098" s="49">
        <v>45042.6253649537</v>
      </c>
      <c r="B2098" s="50">
        <v>45042.750338449</v>
      </c>
      <c r="C2098" s="51">
        <v>1.032</v>
      </c>
      <c r="D2098" s="51">
        <v>62.0</v>
      </c>
      <c r="E2098" s="52" t="s">
        <v>25</v>
      </c>
      <c r="F2098" s="52" t="s">
        <v>26</v>
      </c>
      <c r="G2098" s="54"/>
    </row>
    <row r="2099">
      <c r="A2099" s="49">
        <v>45042.63578861111</v>
      </c>
      <c r="B2099" s="50">
        <v>45042.7607608101</v>
      </c>
      <c r="C2099" s="51">
        <v>1.032</v>
      </c>
      <c r="D2099" s="51">
        <v>62.0</v>
      </c>
      <c r="E2099" s="52" t="s">
        <v>25</v>
      </c>
      <c r="F2099" s="52" t="s">
        <v>26</v>
      </c>
      <c r="G2099" s="54"/>
    </row>
    <row r="2100">
      <c r="A2100" s="49">
        <v>45042.64621694444</v>
      </c>
      <c r="B2100" s="50">
        <v>45042.7711917939</v>
      </c>
      <c r="C2100" s="51">
        <v>1.032</v>
      </c>
      <c r="D2100" s="51">
        <v>62.0</v>
      </c>
      <c r="E2100" s="52" t="s">
        <v>25</v>
      </c>
      <c r="F2100" s="52" t="s">
        <v>26</v>
      </c>
      <c r="G2100" s="54"/>
    </row>
    <row r="2101">
      <c r="A2101" s="49">
        <v>45042.656643912036</v>
      </c>
      <c r="B2101" s="50">
        <v>45042.7816134259</v>
      </c>
      <c r="C2101" s="51">
        <v>1.032</v>
      </c>
      <c r="D2101" s="51">
        <v>62.0</v>
      </c>
      <c r="E2101" s="52" t="s">
        <v>25</v>
      </c>
      <c r="F2101" s="52" t="s">
        <v>26</v>
      </c>
      <c r="G2101" s="54"/>
    </row>
    <row r="2102">
      <c r="A2102" s="49">
        <v>45042.667053391204</v>
      </c>
      <c r="B2102" s="50">
        <v>45042.7920342129</v>
      </c>
      <c r="C2102" s="51">
        <v>1.032</v>
      </c>
      <c r="D2102" s="51">
        <v>62.0</v>
      </c>
      <c r="E2102" s="52" t="s">
        <v>25</v>
      </c>
      <c r="F2102" s="52" t="s">
        <v>26</v>
      </c>
      <c r="G2102" s="54"/>
    </row>
    <row r="2103">
      <c r="A2103" s="49">
        <v>45042.67749707176</v>
      </c>
      <c r="B2103" s="50">
        <v>45042.8024688773</v>
      </c>
      <c r="C2103" s="51">
        <v>1.032</v>
      </c>
      <c r="D2103" s="51">
        <v>62.0</v>
      </c>
      <c r="E2103" s="52" t="s">
        <v>25</v>
      </c>
      <c r="F2103" s="52" t="s">
        <v>26</v>
      </c>
      <c r="G2103" s="54"/>
    </row>
    <row r="2104">
      <c r="A2104" s="49">
        <v>45042.68791628472</v>
      </c>
      <c r="B2104" s="50">
        <v>45042.8128891666</v>
      </c>
      <c r="C2104" s="51">
        <v>1.032</v>
      </c>
      <c r="D2104" s="51">
        <v>62.0</v>
      </c>
      <c r="E2104" s="52" t="s">
        <v>25</v>
      </c>
      <c r="F2104" s="52" t="s">
        <v>26</v>
      </c>
      <c r="G2104" s="54"/>
    </row>
    <row r="2105">
      <c r="A2105" s="49">
        <v>45042.69834984954</v>
      </c>
      <c r="B2105" s="50">
        <v>45042.823323287</v>
      </c>
      <c r="C2105" s="51">
        <v>1.032</v>
      </c>
      <c r="D2105" s="51">
        <v>62.0</v>
      </c>
      <c r="E2105" s="52" t="s">
        <v>25</v>
      </c>
      <c r="F2105" s="52" t="s">
        <v>26</v>
      </c>
      <c r="G2105" s="54"/>
    </row>
    <row r="2106">
      <c r="A2106" s="49">
        <v>45042.70877034722</v>
      </c>
      <c r="B2106" s="50">
        <v>45042.8337436342</v>
      </c>
      <c r="C2106" s="51">
        <v>1.032</v>
      </c>
      <c r="D2106" s="51">
        <v>62.0</v>
      </c>
      <c r="E2106" s="52" t="s">
        <v>25</v>
      </c>
      <c r="F2106" s="52" t="s">
        <v>26</v>
      </c>
      <c r="G2106" s="54"/>
    </row>
    <row r="2107">
      <c r="A2107" s="49">
        <v>45042.71918003472</v>
      </c>
      <c r="B2107" s="50">
        <v>45042.8441638425</v>
      </c>
      <c r="C2107" s="51">
        <v>1.032</v>
      </c>
      <c r="D2107" s="51">
        <v>62.0</v>
      </c>
      <c r="E2107" s="52" t="s">
        <v>25</v>
      </c>
      <c r="F2107" s="52" t="s">
        <v>26</v>
      </c>
      <c r="G2107" s="54"/>
    </row>
    <row r="2108">
      <c r="A2108" s="49">
        <v>45042.729604004635</v>
      </c>
      <c r="B2108" s="50">
        <v>45042.854586331</v>
      </c>
      <c r="C2108" s="51">
        <v>1.032</v>
      </c>
      <c r="D2108" s="51">
        <v>62.0</v>
      </c>
      <c r="E2108" s="52" t="s">
        <v>25</v>
      </c>
      <c r="F2108" s="52" t="s">
        <v>26</v>
      </c>
      <c r="G2108" s="54"/>
    </row>
    <row r="2109">
      <c r="A2109" s="49">
        <v>45042.74003372685</v>
      </c>
      <c r="B2109" s="50">
        <v>45042.8650071064</v>
      </c>
      <c r="C2109" s="51">
        <v>1.032</v>
      </c>
      <c r="D2109" s="51">
        <v>62.0</v>
      </c>
      <c r="E2109" s="52" t="s">
        <v>25</v>
      </c>
      <c r="F2109" s="52" t="s">
        <v>26</v>
      </c>
      <c r="G2109" s="54"/>
    </row>
    <row r="2110">
      <c r="A2110" s="49">
        <v>45042.750453506946</v>
      </c>
      <c r="B2110" s="50">
        <v>45042.8754293634</v>
      </c>
      <c r="C2110" s="51">
        <v>1.032</v>
      </c>
      <c r="D2110" s="51">
        <v>62.0</v>
      </c>
      <c r="E2110" s="52" t="s">
        <v>25</v>
      </c>
      <c r="F2110" s="52" t="s">
        <v>26</v>
      </c>
      <c r="G2110" s="54"/>
    </row>
    <row r="2111">
      <c r="A2111" s="49">
        <v>45042.760866875</v>
      </c>
      <c r="B2111" s="50">
        <v>45042.8858492824</v>
      </c>
      <c r="C2111" s="51">
        <v>1.032</v>
      </c>
      <c r="D2111" s="51">
        <v>62.0</v>
      </c>
      <c r="E2111" s="52" t="s">
        <v>25</v>
      </c>
      <c r="F2111" s="52" t="s">
        <v>26</v>
      </c>
      <c r="G2111" s="54"/>
    </row>
    <row r="2112">
      <c r="A2112" s="49">
        <v>45042.771295046296</v>
      </c>
      <c r="B2112" s="50">
        <v>45042.8962709838</v>
      </c>
      <c r="C2112" s="51">
        <v>1.032</v>
      </c>
      <c r="D2112" s="51">
        <v>62.0</v>
      </c>
      <c r="E2112" s="52" t="s">
        <v>25</v>
      </c>
      <c r="F2112" s="52" t="s">
        <v>26</v>
      </c>
      <c r="G2112" s="54"/>
    </row>
    <row r="2113">
      <c r="A2113" s="49">
        <v>45042.78172752315</v>
      </c>
      <c r="B2113" s="50">
        <v>45042.9067011574</v>
      </c>
      <c r="C2113" s="51">
        <v>1.032</v>
      </c>
      <c r="D2113" s="51">
        <v>62.0</v>
      </c>
      <c r="E2113" s="52" t="s">
        <v>25</v>
      </c>
      <c r="F2113" s="52" t="s">
        <v>26</v>
      </c>
      <c r="G2113" s="54"/>
    </row>
    <row r="2114">
      <c r="A2114" s="49">
        <v>45042.79214236111</v>
      </c>
      <c r="B2114" s="50">
        <v>45042.9171208217</v>
      </c>
      <c r="C2114" s="51">
        <v>1.032</v>
      </c>
      <c r="D2114" s="51">
        <v>62.0</v>
      </c>
      <c r="E2114" s="52" t="s">
        <v>25</v>
      </c>
      <c r="F2114" s="52" t="s">
        <v>26</v>
      </c>
      <c r="G2114" s="54"/>
    </row>
    <row r="2115">
      <c r="A2115" s="49">
        <v>45042.80255788194</v>
      </c>
      <c r="B2115" s="50">
        <v>45042.9275423264</v>
      </c>
      <c r="C2115" s="51">
        <v>1.032</v>
      </c>
      <c r="D2115" s="51">
        <v>62.0</v>
      </c>
      <c r="E2115" s="52" t="s">
        <v>25</v>
      </c>
      <c r="F2115" s="52" t="s">
        <v>26</v>
      </c>
      <c r="G2115" s="54"/>
    </row>
    <row r="2116">
      <c r="A2116" s="49">
        <v>45042.81299329861</v>
      </c>
      <c r="B2116" s="50">
        <v>45042.9379637152</v>
      </c>
      <c r="C2116" s="51">
        <v>1.032</v>
      </c>
      <c r="D2116" s="51">
        <v>62.0</v>
      </c>
      <c r="E2116" s="52" t="s">
        <v>25</v>
      </c>
      <c r="F2116" s="52" t="s">
        <v>26</v>
      </c>
      <c r="G2116" s="54"/>
    </row>
    <row r="2117">
      <c r="A2117" s="49">
        <v>45042.823409062505</v>
      </c>
      <c r="B2117" s="50">
        <v>45042.9483852546</v>
      </c>
      <c r="C2117" s="51">
        <v>1.032</v>
      </c>
      <c r="D2117" s="51">
        <v>62.0</v>
      </c>
      <c r="E2117" s="52" t="s">
        <v>25</v>
      </c>
      <c r="F2117" s="52" t="s">
        <v>26</v>
      </c>
      <c r="G2117" s="54"/>
    </row>
    <row r="2118">
      <c r="A2118" s="49">
        <v>45042.83382417824</v>
      </c>
      <c r="B2118" s="50">
        <v>45042.9588054398</v>
      </c>
      <c r="C2118" s="51">
        <v>1.032</v>
      </c>
      <c r="D2118" s="51">
        <v>62.0</v>
      </c>
      <c r="E2118" s="52" t="s">
        <v>25</v>
      </c>
      <c r="F2118" s="52" t="s">
        <v>26</v>
      </c>
      <c r="G2118" s="54"/>
    </row>
    <row r="2119">
      <c r="A2119" s="49">
        <v>45042.84424924769</v>
      </c>
      <c r="B2119" s="50">
        <v>45042.9692270949</v>
      </c>
      <c r="C2119" s="51">
        <v>1.032</v>
      </c>
      <c r="D2119" s="51">
        <v>62.0</v>
      </c>
      <c r="E2119" s="52" t="s">
        <v>25</v>
      </c>
      <c r="F2119" s="52" t="s">
        <v>26</v>
      </c>
      <c r="G2119" s="54"/>
    </row>
    <row r="2120">
      <c r="A2120" s="49">
        <v>45042.85467822917</v>
      </c>
      <c r="B2120" s="50">
        <v>45042.9796452662</v>
      </c>
      <c r="C2120" s="51">
        <v>1.031</v>
      </c>
      <c r="D2120" s="51">
        <v>62.0</v>
      </c>
      <c r="E2120" s="52" t="s">
        <v>25</v>
      </c>
      <c r="F2120" s="52" t="s">
        <v>26</v>
      </c>
      <c r="G2120" s="54"/>
    </row>
    <row r="2121">
      <c r="A2121" s="49">
        <v>45042.86510957176</v>
      </c>
      <c r="B2121" s="50">
        <v>45042.9900782407</v>
      </c>
      <c r="C2121" s="51">
        <v>1.032</v>
      </c>
      <c r="D2121" s="51">
        <v>62.0</v>
      </c>
      <c r="E2121" s="52" t="s">
        <v>25</v>
      </c>
      <c r="F2121" s="52" t="s">
        <v>26</v>
      </c>
      <c r="G2121" s="54"/>
    </row>
    <row r="2122">
      <c r="A2122" s="49">
        <v>45042.87553672453</v>
      </c>
      <c r="B2122" s="50">
        <v>45043.0005115972</v>
      </c>
      <c r="C2122" s="51">
        <v>1.032</v>
      </c>
      <c r="D2122" s="51">
        <v>62.0</v>
      </c>
      <c r="E2122" s="52" t="s">
        <v>25</v>
      </c>
      <c r="F2122" s="52" t="s">
        <v>26</v>
      </c>
      <c r="G2122" s="54"/>
    </row>
    <row r="2123">
      <c r="A2123" s="49">
        <v>45042.88597405092</v>
      </c>
      <c r="B2123" s="50">
        <v>45043.0109441203</v>
      </c>
      <c r="C2123" s="51">
        <v>1.032</v>
      </c>
      <c r="D2123" s="51">
        <v>62.0</v>
      </c>
      <c r="E2123" s="52" t="s">
        <v>25</v>
      </c>
      <c r="F2123" s="52" t="s">
        <v>26</v>
      </c>
      <c r="G2123" s="54"/>
    </row>
    <row r="2124">
      <c r="A2124" s="49">
        <v>45042.89640232639</v>
      </c>
      <c r="B2124" s="50">
        <v>45043.021376875</v>
      </c>
      <c r="C2124" s="51">
        <v>1.032</v>
      </c>
      <c r="D2124" s="51">
        <v>62.0</v>
      </c>
      <c r="E2124" s="52" t="s">
        <v>25</v>
      </c>
      <c r="F2124" s="52" t="s">
        <v>26</v>
      </c>
      <c r="G2124" s="54"/>
    </row>
    <row r="2125">
      <c r="A2125" s="49">
        <v>45042.906826342594</v>
      </c>
      <c r="B2125" s="50">
        <v>45043.0317980555</v>
      </c>
      <c r="C2125" s="51">
        <v>1.032</v>
      </c>
      <c r="D2125" s="51">
        <v>62.0</v>
      </c>
      <c r="E2125" s="52" t="s">
        <v>25</v>
      </c>
      <c r="F2125" s="52" t="s">
        <v>26</v>
      </c>
      <c r="G2125" s="54"/>
    </row>
    <row r="2126">
      <c r="A2126" s="49">
        <v>45042.91724592593</v>
      </c>
      <c r="B2126" s="50">
        <v>45043.0422192476</v>
      </c>
      <c r="C2126" s="51">
        <v>1.032</v>
      </c>
      <c r="D2126" s="51">
        <v>62.0</v>
      </c>
      <c r="E2126" s="52" t="s">
        <v>25</v>
      </c>
      <c r="F2126" s="52" t="s">
        <v>26</v>
      </c>
      <c r="G2126" s="54"/>
    </row>
    <row r="2127">
      <c r="A2127" s="49">
        <v>45042.92766671296</v>
      </c>
      <c r="B2127" s="50">
        <v>45043.0526409027</v>
      </c>
      <c r="C2127" s="51">
        <v>1.031</v>
      </c>
      <c r="D2127" s="51">
        <v>62.0</v>
      </c>
      <c r="E2127" s="52" t="s">
        <v>25</v>
      </c>
      <c r="F2127" s="52" t="s">
        <v>26</v>
      </c>
      <c r="G2127" s="54"/>
    </row>
    <row r="2128">
      <c r="A2128" s="49">
        <v>45042.9380906713</v>
      </c>
      <c r="B2128" s="50">
        <v>45043.0630612384</v>
      </c>
      <c r="C2128" s="51">
        <v>1.031</v>
      </c>
      <c r="D2128" s="51">
        <v>62.0</v>
      </c>
      <c r="E2128" s="52" t="s">
        <v>25</v>
      </c>
      <c r="F2128" s="52" t="s">
        <v>26</v>
      </c>
      <c r="G2128" s="54"/>
    </row>
    <row r="2129">
      <c r="A2129" s="49">
        <v>45042.94851912037</v>
      </c>
      <c r="B2129" s="50">
        <v>45043.0734935185</v>
      </c>
      <c r="C2129" s="51">
        <v>1.032</v>
      </c>
      <c r="D2129" s="51">
        <v>62.0</v>
      </c>
      <c r="E2129" s="52" t="s">
        <v>25</v>
      </c>
      <c r="F2129" s="52" t="s">
        <v>26</v>
      </c>
      <c r="G2129" s="54"/>
    </row>
    <row r="2130">
      <c r="A2130" s="49">
        <v>45042.95894511574</v>
      </c>
      <c r="B2130" s="50">
        <v>45043.0839157176</v>
      </c>
      <c r="C2130" s="51">
        <v>1.031</v>
      </c>
      <c r="D2130" s="51">
        <v>62.0</v>
      </c>
      <c r="E2130" s="52" t="s">
        <v>25</v>
      </c>
      <c r="F2130" s="52" t="s">
        <v>26</v>
      </c>
      <c r="G2130" s="54"/>
    </row>
    <row r="2131">
      <c r="A2131" s="49">
        <v>45042.96935587963</v>
      </c>
      <c r="B2131" s="50">
        <v>45043.0943359259</v>
      </c>
      <c r="C2131" s="51">
        <v>1.032</v>
      </c>
      <c r="D2131" s="51">
        <v>62.0</v>
      </c>
      <c r="E2131" s="52" t="s">
        <v>25</v>
      </c>
      <c r="F2131" s="52" t="s">
        <v>26</v>
      </c>
      <c r="G2131" s="54"/>
    </row>
    <row r="2132">
      <c r="A2132" s="49">
        <v>45042.979815949075</v>
      </c>
      <c r="B2132" s="50">
        <v>45043.1047932638</v>
      </c>
      <c r="C2132" s="51">
        <v>1.031</v>
      </c>
      <c r="D2132" s="51">
        <v>62.0</v>
      </c>
      <c r="E2132" s="52" t="s">
        <v>25</v>
      </c>
      <c r="F2132" s="52" t="s">
        <v>26</v>
      </c>
      <c r="G2132" s="54"/>
    </row>
    <row r="2133">
      <c r="A2133" s="49">
        <v>45042.9902396875</v>
      </c>
      <c r="B2133" s="50">
        <v>45043.1152143981</v>
      </c>
      <c r="C2133" s="51">
        <v>1.031</v>
      </c>
      <c r="D2133" s="51">
        <v>62.0</v>
      </c>
      <c r="E2133" s="52" t="s">
        <v>25</v>
      </c>
      <c r="F2133" s="52" t="s">
        <v>26</v>
      </c>
      <c r="G2133" s="54"/>
    </row>
    <row r="2134">
      <c r="A2134" s="49">
        <v>45043.00066627315</v>
      </c>
      <c r="B2134" s="50">
        <v>45043.1256352314</v>
      </c>
      <c r="C2134" s="51">
        <v>1.031</v>
      </c>
      <c r="D2134" s="51">
        <v>62.0</v>
      </c>
      <c r="E2134" s="52" t="s">
        <v>25</v>
      </c>
      <c r="F2134" s="52" t="s">
        <v>26</v>
      </c>
      <c r="G2134" s="54"/>
    </row>
    <row r="2135">
      <c r="A2135" s="49">
        <v>45043.01108113426</v>
      </c>
      <c r="B2135" s="50">
        <v>45043.1360563425</v>
      </c>
      <c r="C2135" s="51">
        <v>1.031</v>
      </c>
      <c r="D2135" s="51">
        <v>62.0</v>
      </c>
      <c r="E2135" s="52" t="s">
        <v>25</v>
      </c>
      <c r="F2135" s="52" t="s">
        <v>26</v>
      </c>
      <c r="G2135" s="54"/>
    </row>
    <row r="2136">
      <c r="A2136" s="49">
        <v>45043.02150130787</v>
      </c>
      <c r="B2136" s="50">
        <v>45043.1464774768</v>
      </c>
      <c r="C2136" s="51">
        <v>1.031</v>
      </c>
      <c r="D2136" s="51">
        <v>62.0</v>
      </c>
      <c r="E2136" s="52" t="s">
        <v>25</v>
      </c>
      <c r="F2136" s="52" t="s">
        <v>26</v>
      </c>
      <c r="G2136" s="54"/>
    </row>
    <row r="2137">
      <c r="A2137" s="49">
        <v>45043.03193848379</v>
      </c>
      <c r="B2137" s="50">
        <v>45043.1569111921</v>
      </c>
      <c r="C2137" s="51">
        <v>1.031</v>
      </c>
      <c r="D2137" s="51">
        <v>62.0</v>
      </c>
      <c r="E2137" s="52" t="s">
        <v>25</v>
      </c>
      <c r="F2137" s="52" t="s">
        <v>26</v>
      </c>
      <c r="G2137" s="54"/>
    </row>
    <row r="2138">
      <c r="A2138" s="49">
        <v>45043.04235130787</v>
      </c>
      <c r="B2138" s="50">
        <v>45043.1673334953</v>
      </c>
      <c r="C2138" s="51">
        <v>1.031</v>
      </c>
      <c r="D2138" s="51">
        <v>62.0</v>
      </c>
      <c r="E2138" s="52" t="s">
        <v>25</v>
      </c>
      <c r="F2138" s="52" t="s">
        <v>26</v>
      </c>
      <c r="G2138" s="54"/>
    </row>
    <row r="2139">
      <c r="A2139" s="49">
        <v>45043.05279203704</v>
      </c>
      <c r="B2139" s="50">
        <v>45043.1777652199</v>
      </c>
      <c r="C2139" s="51">
        <v>1.031</v>
      </c>
      <c r="D2139" s="51">
        <v>62.0</v>
      </c>
      <c r="E2139" s="52" t="s">
        <v>25</v>
      </c>
      <c r="F2139" s="52" t="s">
        <v>26</v>
      </c>
      <c r="G2139" s="54"/>
    </row>
    <row r="2140">
      <c r="A2140" s="49">
        <v>45043.063220717595</v>
      </c>
      <c r="B2140" s="50">
        <v>45043.1881984259</v>
      </c>
      <c r="C2140" s="51">
        <v>1.031</v>
      </c>
      <c r="D2140" s="51">
        <v>62.0</v>
      </c>
      <c r="E2140" s="52" t="s">
        <v>25</v>
      </c>
      <c r="F2140" s="52" t="s">
        <v>26</v>
      </c>
      <c r="G2140" s="54"/>
    </row>
    <row r="2141">
      <c r="A2141" s="49">
        <v>45043.073651631945</v>
      </c>
      <c r="B2141" s="50">
        <v>45043.1986327083</v>
      </c>
      <c r="C2141" s="51">
        <v>1.031</v>
      </c>
      <c r="D2141" s="51">
        <v>62.0</v>
      </c>
      <c r="E2141" s="52" t="s">
        <v>25</v>
      </c>
      <c r="F2141" s="52" t="s">
        <v>26</v>
      </c>
      <c r="G2141" s="54"/>
    </row>
    <row r="2142">
      <c r="A2142" s="49">
        <v>45043.08409924769</v>
      </c>
      <c r="B2142" s="50">
        <v>45043.2090777662</v>
      </c>
      <c r="C2142" s="51">
        <v>1.031</v>
      </c>
      <c r="D2142" s="51">
        <v>62.0</v>
      </c>
      <c r="E2142" s="52" t="s">
        <v>25</v>
      </c>
      <c r="F2142" s="52" t="s">
        <v>26</v>
      </c>
      <c r="G2142" s="54"/>
    </row>
    <row r="2143">
      <c r="A2143" s="49">
        <v>45043.09451844907</v>
      </c>
      <c r="B2143" s="50">
        <v>45043.2194993518</v>
      </c>
      <c r="C2143" s="51">
        <v>1.031</v>
      </c>
      <c r="D2143" s="51">
        <v>62.0</v>
      </c>
      <c r="E2143" s="52" t="s">
        <v>25</v>
      </c>
      <c r="F2143" s="52" t="s">
        <v>26</v>
      </c>
      <c r="G2143" s="54"/>
    </row>
    <row r="2144">
      <c r="A2144" s="49">
        <v>45043.10494016204</v>
      </c>
      <c r="B2144" s="50">
        <v>45043.2299200926</v>
      </c>
      <c r="C2144" s="51">
        <v>1.031</v>
      </c>
      <c r="D2144" s="51">
        <v>62.0</v>
      </c>
      <c r="E2144" s="52" t="s">
        <v>25</v>
      </c>
      <c r="F2144" s="52" t="s">
        <v>26</v>
      </c>
      <c r="G2144" s="54"/>
    </row>
    <row r="2145">
      <c r="A2145" s="49">
        <v>45043.115356875</v>
      </c>
      <c r="B2145" s="50">
        <v>45043.2403411342</v>
      </c>
      <c r="C2145" s="51">
        <v>1.031</v>
      </c>
      <c r="D2145" s="51">
        <v>62.0</v>
      </c>
      <c r="E2145" s="52" t="s">
        <v>25</v>
      </c>
      <c r="F2145" s="52" t="s">
        <v>26</v>
      </c>
      <c r="G2145" s="54"/>
    </row>
    <row r="2146">
      <c r="A2146" s="49">
        <v>45043.125790763894</v>
      </c>
      <c r="B2146" s="50">
        <v>45043.2507627546</v>
      </c>
      <c r="C2146" s="51">
        <v>1.031</v>
      </c>
      <c r="D2146" s="51">
        <v>62.0</v>
      </c>
      <c r="E2146" s="52" t="s">
        <v>25</v>
      </c>
      <c r="F2146" s="52" t="s">
        <v>26</v>
      </c>
      <c r="G2146" s="54"/>
    </row>
    <row r="2147">
      <c r="A2147" s="49">
        <v>45043.13620703704</v>
      </c>
      <c r="B2147" s="50">
        <v>45043.2611847453</v>
      </c>
      <c r="C2147" s="51">
        <v>1.031</v>
      </c>
      <c r="D2147" s="51">
        <v>62.0</v>
      </c>
      <c r="E2147" s="52" t="s">
        <v>25</v>
      </c>
      <c r="F2147" s="52" t="s">
        <v>26</v>
      </c>
      <c r="G2147" s="54"/>
    </row>
    <row r="2148">
      <c r="A2148" s="49">
        <v>45043.14664814815</v>
      </c>
      <c r="B2148" s="50">
        <v>45043.2716290393</v>
      </c>
      <c r="C2148" s="51">
        <v>1.031</v>
      </c>
      <c r="D2148" s="51">
        <v>62.0</v>
      </c>
      <c r="E2148" s="52" t="s">
        <v>25</v>
      </c>
      <c r="F2148" s="52" t="s">
        <v>26</v>
      </c>
      <c r="G2148" s="54"/>
    </row>
    <row r="2149">
      <c r="A2149" s="49">
        <v>45043.15706784722</v>
      </c>
      <c r="B2149" s="50">
        <v>45043.282050162</v>
      </c>
      <c r="C2149" s="51">
        <v>1.031</v>
      </c>
      <c r="D2149" s="51">
        <v>62.0</v>
      </c>
      <c r="E2149" s="52" t="s">
        <v>25</v>
      </c>
      <c r="F2149" s="52" t="s">
        <v>26</v>
      </c>
      <c r="G2149" s="54"/>
    </row>
    <row r="2150">
      <c r="A2150" s="49">
        <v>45043.16748827546</v>
      </c>
      <c r="B2150" s="50">
        <v>45043.2924712731</v>
      </c>
      <c r="C2150" s="51">
        <v>1.031</v>
      </c>
      <c r="D2150" s="51">
        <v>62.0</v>
      </c>
      <c r="E2150" s="52" t="s">
        <v>25</v>
      </c>
      <c r="F2150" s="52" t="s">
        <v>26</v>
      </c>
      <c r="G2150" s="54"/>
    </row>
    <row r="2151">
      <c r="A2151" s="49">
        <v>45043.177922303235</v>
      </c>
      <c r="B2151" s="50">
        <v>45043.3028933101</v>
      </c>
      <c r="C2151" s="51">
        <v>1.031</v>
      </c>
      <c r="D2151" s="51">
        <v>62.0</v>
      </c>
      <c r="E2151" s="52" t="s">
        <v>25</v>
      </c>
      <c r="F2151" s="52" t="s">
        <v>26</v>
      </c>
      <c r="G2151" s="54"/>
    </row>
    <row r="2152">
      <c r="A2152" s="49">
        <v>45043.18833880787</v>
      </c>
      <c r="B2152" s="50">
        <v>45043.3133148495</v>
      </c>
      <c r="C2152" s="51">
        <v>1.031</v>
      </c>
      <c r="D2152" s="51">
        <v>62.0</v>
      </c>
      <c r="E2152" s="52" t="s">
        <v>25</v>
      </c>
      <c r="F2152" s="52" t="s">
        <v>26</v>
      </c>
      <c r="G2152" s="54"/>
    </row>
    <row r="2153">
      <c r="A2153" s="49">
        <v>45043.19875675926</v>
      </c>
      <c r="B2153" s="50">
        <v>45043.3237377662</v>
      </c>
      <c r="C2153" s="51">
        <v>1.031</v>
      </c>
      <c r="D2153" s="51">
        <v>62.0</v>
      </c>
      <c r="E2153" s="52" t="s">
        <v>25</v>
      </c>
      <c r="F2153" s="52" t="s">
        <v>26</v>
      </c>
      <c r="G2153" s="54"/>
    </row>
    <row r="2154">
      <c r="A2154" s="49">
        <v>45043.20917821759</v>
      </c>
      <c r="B2154" s="50">
        <v>45043.3341593171</v>
      </c>
      <c r="C2154" s="51">
        <v>1.031</v>
      </c>
      <c r="D2154" s="51">
        <v>62.0</v>
      </c>
      <c r="E2154" s="52" t="s">
        <v>25</v>
      </c>
      <c r="F2154" s="52" t="s">
        <v>26</v>
      </c>
      <c r="G2154" s="54"/>
    </row>
    <row r="2155">
      <c r="A2155" s="49">
        <v>45043.21960297454</v>
      </c>
      <c r="B2155" s="50">
        <v>45043.3445808449</v>
      </c>
      <c r="C2155" s="51">
        <v>1.031</v>
      </c>
      <c r="D2155" s="51">
        <v>62.0</v>
      </c>
      <c r="E2155" s="52" t="s">
        <v>25</v>
      </c>
      <c r="F2155" s="52" t="s">
        <v>26</v>
      </c>
      <c r="G2155" s="54"/>
    </row>
    <row r="2156">
      <c r="A2156" s="49">
        <v>45043.230025625</v>
      </c>
      <c r="B2156" s="50">
        <v>45043.3550021412</v>
      </c>
      <c r="C2156" s="51">
        <v>1.031</v>
      </c>
      <c r="D2156" s="51">
        <v>62.0</v>
      </c>
      <c r="E2156" s="52" t="s">
        <v>25</v>
      </c>
      <c r="F2156" s="52" t="s">
        <v>26</v>
      </c>
      <c r="G2156" s="54"/>
    </row>
    <row r="2157">
      <c r="A2157" s="49">
        <v>45043.240461724534</v>
      </c>
      <c r="B2157" s="50">
        <v>45043.3654356828</v>
      </c>
      <c r="C2157" s="51">
        <v>1.031</v>
      </c>
      <c r="D2157" s="51">
        <v>62.0</v>
      </c>
      <c r="E2157" s="52" t="s">
        <v>25</v>
      </c>
      <c r="F2157" s="52" t="s">
        <v>26</v>
      </c>
      <c r="G2157" s="54"/>
    </row>
    <row r="2158">
      <c r="A2158" s="49">
        <v>45043.25088261574</v>
      </c>
      <c r="B2158" s="50">
        <v>45043.3758567361</v>
      </c>
      <c r="C2158" s="51">
        <v>1.031</v>
      </c>
      <c r="D2158" s="51">
        <v>62.0</v>
      </c>
      <c r="E2158" s="52" t="s">
        <v>25</v>
      </c>
      <c r="F2158" s="52" t="s">
        <v>26</v>
      </c>
      <c r="G2158" s="54"/>
    </row>
    <row r="2159">
      <c r="A2159" s="49">
        <v>45043.26130457176</v>
      </c>
      <c r="B2159" s="50">
        <v>45043.3862779398</v>
      </c>
      <c r="C2159" s="51">
        <v>1.031</v>
      </c>
      <c r="D2159" s="51">
        <v>62.0</v>
      </c>
      <c r="E2159" s="52" t="s">
        <v>25</v>
      </c>
      <c r="F2159" s="52" t="s">
        <v>26</v>
      </c>
      <c r="G2159" s="54"/>
    </row>
    <row r="2160">
      <c r="A2160" s="49">
        <v>45043.27173690972</v>
      </c>
      <c r="B2160" s="50">
        <v>45043.3967113426</v>
      </c>
      <c r="C2160" s="51">
        <v>1.031</v>
      </c>
      <c r="D2160" s="51">
        <v>62.0</v>
      </c>
      <c r="E2160" s="52" t="s">
        <v>25</v>
      </c>
      <c r="F2160" s="52" t="s">
        <v>26</v>
      </c>
      <c r="G2160" s="54"/>
    </row>
    <row r="2161">
      <c r="A2161" s="49">
        <v>45043.28217320602</v>
      </c>
      <c r="B2161" s="50">
        <v>45043.4071572916</v>
      </c>
      <c r="C2161" s="51">
        <v>1.031</v>
      </c>
      <c r="D2161" s="51">
        <v>62.0</v>
      </c>
      <c r="E2161" s="52" t="s">
        <v>25</v>
      </c>
      <c r="F2161" s="52" t="s">
        <v>26</v>
      </c>
      <c r="G2161" s="54"/>
    </row>
    <row r="2162">
      <c r="A2162" s="49">
        <v>45043.292600347224</v>
      </c>
      <c r="B2162" s="50">
        <v>45043.4175821875</v>
      </c>
      <c r="C2162" s="51">
        <v>1.031</v>
      </c>
      <c r="D2162" s="51">
        <v>62.0</v>
      </c>
      <c r="E2162" s="52" t="s">
        <v>25</v>
      </c>
      <c r="F2162" s="52" t="s">
        <v>26</v>
      </c>
      <c r="G2162" s="54"/>
    </row>
    <row r="2163">
      <c r="A2163" s="49">
        <v>45043.30301938657</v>
      </c>
      <c r="B2163" s="50">
        <v>45043.4280015509</v>
      </c>
      <c r="C2163" s="51">
        <v>1.031</v>
      </c>
      <c r="D2163" s="51">
        <v>62.0</v>
      </c>
      <c r="E2163" s="52" t="s">
        <v>25</v>
      </c>
      <c r="F2163" s="52" t="s">
        <v>26</v>
      </c>
      <c r="G2163" s="54"/>
    </row>
    <row r="2164">
      <c r="A2164" s="49">
        <v>45043.313451469905</v>
      </c>
      <c r="B2164" s="50">
        <v>45043.4384341782</v>
      </c>
      <c r="C2164" s="51">
        <v>1.031</v>
      </c>
      <c r="D2164" s="51">
        <v>62.0</v>
      </c>
      <c r="E2164" s="52" t="s">
        <v>25</v>
      </c>
      <c r="F2164" s="52" t="s">
        <v>26</v>
      </c>
      <c r="G2164" s="54"/>
    </row>
    <row r="2165">
      <c r="A2165" s="49">
        <v>45043.32388258102</v>
      </c>
      <c r="B2165" s="50">
        <v>45043.4488551736</v>
      </c>
      <c r="C2165" s="51">
        <v>1.031</v>
      </c>
      <c r="D2165" s="51">
        <v>62.0</v>
      </c>
      <c r="E2165" s="52" t="s">
        <v>25</v>
      </c>
      <c r="F2165" s="52" t="s">
        <v>26</v>
      </c>
      <c r="G2165" s="54"/>
    </row>
    <row r="2166">
      <c r="A2166" s="49">
        <v>45043.33429648148</v>
      </c>
      <c r="B2166" s="50">
        <v>45043.4592774884</v>
      </c>
      <c r="C2166" s="51">
        <v>1.031</v>
      </c>
      <c r="D2166" s="51">
        <v>62.0</v>
      </c>
      <c r="E2166" s="52" t="s">
        <v>25</v>
      </c>
      <c r="F2166" s="52" t="s">
        <v>26</v>
      </c>
      <c r="G2166" s="54"/>
    </row>
    <row r="2167">
      <c r="A2167" s="49">
        <v>45043.344726400464</v>
      </c>
      <c r="B2167" s="50">
        <v>45043.4696992361</v>
      </c>
      <c r="C2167" s="51">
        <v>1.031</v>
      </c>
      <c r="D2167" s="51">
        <v>62.0</v>
      </c>
      <c r="E2167" s="52" t="s">
        <v>25</v>
      </c>
      <c r="F2167" s="52" t="s">
        <v>26</v>
      </c>
      <c r="G2167" s="54"/>
    </row>
    <row r="2168">
      <c r="A2168" s="49">
        <v>45043.35515744213</v>
      </c>
      <c r="B2168" s="50">
        <v>45043.4801323148</v>
      </c>
      <c r="C2168" s="51">
        <v>1.031</v>
      </c>
      <c r="D2168" s="51">
        <v>62.0</v>
      </c>
      <c r="E2168" s="52" t="s">
        <v>25</v>
      </c>
      <c r="F2168" s="52" t="s">
        <v>26</v>
      </c>
      <c r="G2168" s="54"/>
    </row>
    <row r="2169">
      <c r="A2169" s="49">
        <v>45043.365593379625</v>
      </c>
      <c r="B2169" s="50">
        <v>45043.4905666435</v>
      </c>
      <c r="C2169" s="51">
        <v>1.031</v>
      </c>
      <c r="D2169" s="51">
        <v>62.0</v>
      </c>
      <c r="E2169" s="52" t="s">
        <v>25</v>
      </c>
      <c r="F2169" s="52" t="s">
        <v>26</v>
      </c>
      <c r="G2169" s="54"/>
    </row>
    <row r="2170">
      <c r="A2170" s="49">
        <v>45043.37601872685</v>
      </c>
      <c r="B2170" s="50">
        <v>45043.5009884722</v>
      </c>
      <c r="C2170" s="51">
        <v>1.031</v>
      </c>
      <c r="D2170" s="51">
        <v>62.0</v>
      </c>
      <c r="E2170" s="52" t="s">
        <v>25</v>
      </c>
      <c r="F2170" s="52" t="s">
        <v>26</v>
      </c>
      <c r="G2170" s="54"/>
    </row>
    <row r="2171">
      <c r="A2171" s="49">
        <v>45043.38644103009</v>
      </c>
      <c r="B2171" s="50">
        <v>45043.5114087384</v>
      </c>
      <c r="C2171" s="51">
        <v>1.031</v>
      </c>
      <c r="D2171" s="51">
        <v>62.0</v>
      </c>
      <c r="E2171" s="52" t="s">
        <v>25</v>
      </c>
      <c r="F2171" s="52" t="s">
        <v>26</v>
      </c>
      <c r="G2171" s="54"/>
    </row>
    <row r="2172">
      <c r="A2172" s="49">
        <v>45043.39686649306</v>
      </c>
      <c r="B2172" s="50">
        <v>45043.5218426389</v>
      </c>
      <c r="C2172" s="51">
        <v>1.031</v>
      </c>
      <c r="D2172" s="51">
        <v>62.0</v>
      </c>
      <c r="E2172" s="52" t="s">
        <v>25</v>
      </c>
      <c r="F2172" s="52" t="s">
        <v>26</v>
      </c>
      <c r="G2172" s="54"/>
    </row>
    <row r="2173">
      <c r="A2173" s="49">
        <v>45043.407284050925</v>
      </c>
      <c r="B2173" s="50">
        <v>45043.5322641088</v>
      </c>
      <c r="C2173" s="51">
        <v>1.031</v>
      </c>
      <c r="D2173" s="51">
        <v>62.0</v>
      </c>
      <c r="E2173" s="52" t="s">
        <v>25</v>
      </c>
      <c r="F2173" s="52" t="s">
        <v>26</v>
      </c>
      <c r="G2173" s="54"/>
    </row>
    <row r="2174">
      <c r="A2174" s="49">
        <v>45043.41770464121</v>
      </c>
      <c r="B2174" s="50">
        <v>45043.5426838773</v>
      </c>
      <c r="C2174" s="51">
        <v>1.031</v>
      </c>
      <c r="D2174" s="51">
        <v>62.0</v>
      </c>
      <c r="E2174" s="52" t="s">
        <v>25</v>
      </c>
      <c r="F2174" s="52" t="s">
        <v>26</v>
      </c>
      <c r="G2174" s="54"/>
    </row>
    <row r="2175">
      <c r="A2175" s="49">
        <v>45043.428125555554</v>
      </c>
      <c r="B2175" s="50">
        <v>45043.5531052546</v>
      </c>
      <c r="C2175" s="51">
        <v>1.031</v>
      </c>
      <c r="D2175" s="51">
        <v>62.0</v>
      </c>
      <c r="E2175" s="52" t="s">
        <v>25</v>
      </c>
      <c r="F2175" s="52" t="s">
        <v>26</v>
      </c>
      <c r="G2175" s="54"/>
    </row>
    <row r="2176">
      <c r="A2176" s="49">
        <v>45043.438547673606</v>
      </c>
      <c r="B2176" s="50">
        <v>45043.5635277083</v>
      </c>
      <c r="C2176" s="51">
        <v>1.031</v>
      </c>
      <c r="D2176" s="51">
        <v>62.0</v>
      </c>
      <c r="E2176" s="52" t="s">
        <v>25</v>
      </c>
      <c r="F2176" s="52" t="s">
        <v>26</v>
      </c>
      <c r="G2176" s="54"/>
    </row>
    <row r="2177">
      <c r="A2177" s="49">
        <v>45043.448973356484</v>
      </c>
      <c r="B2177" s="50">
        <v>45043.5739488888</v>
      </c>
      <c r="C2177" s="51">
        <v>1.031</v>
      </c>
      <c r="D2177" s="51">
        <v>62.0</v>
      </c>
      <c r="E2177" s="52" t="s">
        <v>25</v>
      </c>
      <c r="F2177" s="52" t="s">
        <v>26</v>
      </c>
      <c r="G2177" s="54"/>
    </row>
    <row r="2178">
      <c r="A2178" s="49">
        <v>45043.45939758102</v>
      </c>
      <c r="B2178" s="50">
        <v>45043.5843702546</v>
      </c>
      <c r="C2178" s="51">
        <v>1.031</v>
      </c>
      <c r="D2178" s="51">
        <v>62.0</v>
      </c>
      <c r="E2178" s="52" t="s">
        <v>25</v>
      </c>
      <c r="F2178" s="52" t="s">
        <v>26</v>
      </c>
      <c r="G2178" s="54"/>
    </row>
    <row r="2179">
      <c r="A2179" s="49">
        <v>45043.46981603009</v>
      </c>
      <c r="B2179" s="50">
        <v>45043.5947915277</v>
      </c>
      <c r="C2179" s="51">
        <v>1.031</v>
      </c>
      <c r="D2179" s="51">
        <v>62.0</v>
      </c>
      <c r="E2179" s="52" t="s">
        <v>25</v>
      </c>
      <c r="F2179" s="52" t="s">
        <v>26</v>
      </c>
      <c r="G2179" s="54"/>
    </row>
    <row r="2180">
      <c r="A2180" s="49">
        <v>45043.48024174769</v>
      </c>
      <c r="B2180" s="50">
        <v>45043.6052237615</v>
      </c>
      <c r="C2180" s="51">
        <v>1.031</v>
      </c>
      <c r="D2180" s="51">
        <v>62.0</v>
      </c>
      <c r="E2180" s="52" t="s">
        <v>25</v>
      </c>
      <c r="F2180" s="52" t="s">
        <v>26</v>
      </c>
      <c r="G2180" s="54"/>
    </row>
    <row r="2181">
      <c r="A2181" s="49">
        <v>45043.49067194444</v>
      </c>
      <c r="B2181" s="50">
        <v>45043.6156442939</v>
      </c>
      <c r="C2181" s="51">
        <v>1.031</v>
      </c>
      <c r="D2181" s="51">
        <v>62.0</v>
      </c>
      <c r="E2181" s="52" t="s">
        <v>25</v>
      </c>
      <c r="F2181" s="52" t="s">
        <v>26</v>
      </c>
      <c r="G2181" s="54"/>
    </row>
    <row r="2182">
      <c r="A2182" s="49">
        <v>45043.50108903935</v>
      </c>
      <c r="B2182" s="50">
        <v>45043.6260648263</v>
      </c>
      <c r="C2182" s="51">
        <v>1.031</v>
      </c>
      <c r="D2182" s="51">
        <v>62.0</v>
      </c>
      <c r="E2182" s="52" t="s">
        <v>25</v>
      </c>
      <c r="F2182" s="52" t="s">
        <v>26</v>
      </c>
      <c r="G2182" s="54"/>
    </row>
    <row r="2183">
      <c r="A2183" s="49">
        <v>45043.511511944445</v>
      </c>
      <c r="B2183" s="50">
        <v>45043.6364851041</v>
      </c>
      <c r="C2183" s="51">
        <v>1.031</v>
      </c>
      <c r="D2183" s="51">
        <v>62.0</v>
      </c>
      <c r="E2183" s="52" t="s">
        <v>25</v>
      </c>
      <c r="F2183" s="52" t="s">
        <v>26</v>
      </c>
      <c r="G2183" s="54"/>
    </row>
    <row r="2184">
      <c r="A2184" s="49">
        <v>45043.52192820601</v>
      </c>
      <c r="B2184" s="50">
        <v>45043.6469065393</v>
      </c>
      <c r="C2184" s="51">
        <v>1.031</v>
      </c>
      <c r="D2184" s="51">
        <v>62.0</v>
      </c>
      <c r="E2184" s="52" t="s">
        <v>25</v>
      </c>
      <c r="F2184" s="52" t="s">
        <v>26</v>
      </c>
      <c r="G2184" s="54"/>
    </row>
    <row r="2185">
      <c r="A2185" s="49">
        <v>45043.53235127315</v>
      </c>
      <c r="B2185" s="50">
        <v>45043.6573289351</v>
      </c>
      <c r="C2185" s="51">
        <v>1.031</v>
      </c>
      <c r="D2185" s="51">
        <v>62.0</v>
      </c>
      <c r="E2185" s="52" t="s">
        <v>25</v>
      </c>
      <c r="F2185" s="52" t="s">
        <v>26</v>
      </c>
      <c r="G2185" s="54"/>
    </row>
    <row r="2186">
      <c r="A2186" s="49">
        <v>45043.54277962963</v>
      </c>
      <c r="B2186" s="50">
        <v>45043.6677505671</v>
      </c>
      <c r="C2186" s="51">
        <v>1.031</v>
      </c>
      <c r="D2186" s="51">
        <v>62.0</v>
      </c>
      <c r="E2186" s="52" t="s">
        <v>25</v>
      </c>
      <c r="F2186" s="52" t="s">
        <v>26</v>
      </c>
      <c r="G2186" s="54"/>
    </row>
    <row r="2187">
      <c r="A2187" s="49">
        <v>45043.55320912037</v>
      </c>
      <c r="B2187" s="50">
        <v>45043.6781811458</v>
      </c>
      <c r="C2187" s="51">
        <v>1.031</v>
      </c>
      <c r="D2187" s="51">
        <v>62.0</v>
      </c>
      <c r="E2187" s="52" t="s">
        <v>25</v>
      </c>
      <c r="F2187" s="52" t="s">
        <v>26</v>
      </c>
      <c r="G2187" s="54"/>
    </row>
    <row r="2188">
      <c r="A2188" s="49">
        <v>45043.56363224537</v>
      </c>
      <c r="B2188" s="50">
        <v>45043.6886007638</v>
      </c>
      <c r="C2188" s="51">
        <v>1.031</v>
      </c>
      <c r="D2188" s="51">
        <v>62.0</v>
      </c>
      <c r="E2188" s="52" t="s">
        <v>25</v>
      </c>
      <c r="F2188" s="52" t="s">
        <v>26</v>
      </c>
      <c r="G2188" s="54"/>
    </row>
    <row r="2189">
      <c r="A2189" s="49">
        <v>45043.574042685184</v>
      </c>
      <c r="B2189" s="50">
        <v>45043.6990234722</v>
      </c>
      <c r="C2189" s="51">
        <v>1.031</v>
      </c>
      <c r="D2189" s="51">
        <v>62.0</v>
      </c>
      <c r="E2189" s="52" t="s">
        <v>25</v>
      </c>
      <c r="F2189" s="52" t="s">
        <v>26</v>
      </c>
      <c r="G2189" s="54"/>
    </row>
    <row r="2190">
      <c r="A2190" s="49">
        <v>45043.584474884265</v>
      </c>
      <c r="B2190" s="50">
        <v>45043.7094447916</v>
      </c>
      <c r="C2190" s="51">
        <v>1.031</v>
      </c>
      <c r="D2190" s="51">
        <v>62.0</v>
      </c>
      <c r="E2190" s="52" t="s">
        <v>25</v>
      </c>
      <c r="F2190" s="52" t="s">
        <v>26</v>
      </c>
      <c r="G2190" s="54"/>
    </row>
    <row r="2191">
      <c r="A2191" s="49">
        <v>45043.59490386574</v>
      </c>
      <c r="B2191" s="50">
        <v>45043.7198760648</v>
      </c>
      <c r="C2191" s="51">
        <v>1.031</v>
      </c>
      <c r="D2191" s="51">
        <v>62.0</v>
      </c>
      <c r="E2191" s="52" t="s">
        <v>25</v>
      </c>
      <c r="F2191" s="52" t="s">
        <v>26</v>
      </c>
      <c r="G2191" s="54"/>
    </row>
    <row r="2192">
      <c r="A2192" s="49">
        <v>45043.60531753472</v>
      </c>
      <c r="B2192" s="50">
        <v>45043.7302981597</v>
      </c>
      <c r="C2192" s="51">
        <v>1.031</v>
      </c>
      <c r="D2192" s="51">
        <v>62.0</v>
      </c>
      <c r="E2192" s="52" t="s">
        <v>25</v>
      </c>
      <c r="F2192" s="52" t="s">
        <v>26</v>
      </c>
      <c r="G2192" s="54"/>
    </row>
    <row r="2193">
      <c r="A2193" s="49">
        <v>45043.615747407406</v>
      </c>
      <c r="B2193" s="50">
        <v>45043.7407327893</v>
      </c>
      <c r="C2193" s="51">
        <v>1.031</v>
      </c>
      <c r="D2193" s="51">
        <v>62.0</v>
      </c>
      <c r="E2193" s="52" t="s">
        <v>25</v>
      </c>
      <c r="F2193" s="52" t="s">
        <v>26</v>
      </c>
      <c r="G2193" s="54"/>
    </row>
    <row r="2194">
      <c r="A2194" s="49">
        <v>45043.62617690972</v>
      </c>
      <c r="B2194" s="50">
        <v>45043.7511535763</v>
      </c>
      <c r="C2194" s="51">
        <v>1.031</v>
      </c>
      <c r="D2194" s="51">
        <v>62.0</v>
      </c>
      <c r="E2194" s="52" t="s">
        <v>25</v>
      </c>
      <c r="F2194" s="52" t="s">
        <v>26</v>
      </c>
      <c r="G2194" s="54"/>
    </row>
    <row r="2195">
      <c r="A2195" s="49">
        <v>45043.63659700232</v>
      </c>
      <c r="B2195" s="50">
        <v>45043.7615732291</v>
      </c>
      <c r="C2195" s="51">
        <v>1.031</v>
      </c>
      <c r="D2195" s="51">
        <v>62.0</v>
      </c>
      <c r="E2195" s="52" t="s">
        <v>25</v>
      </c>
      <c r="F2195" s="52" t="s">
        <v>26</v>
      </c>
      <c r="G2195" s="54"/>
    </row>
    <row r="2196">
      <c r="A2196" s="49">
        <v>45043.64703574074</v>
      </c>
      <c r="B2196" s="50">
        <v>45043.7720168865</v>
      </c>
      <c r="C2196" s="51">
        <v>1.031</v>
      </c>
      <c r="D2196" s="51">
        <v>62.0</v>
      </c>
      <c r="E2196" s="52" t="s">
        <v>25</v>
      </c>
      <c r="F2196" s="52" t="s">
        <v>26</v>
      </c>
      <c r="G2196" s="54"/>
    </row>
    <row r="2197">
      <c r="A2197" s="49">
        <v>45043.657463275464</v>
      </c>
      <c r="B2197" s="50">
        <v>45043.7824381828</v>
      </c>
      <c r="C2197" s="51">
        <v>1.031</v>
      </c>
      <c r="D2197" s="51">
        <v>62.0</v>
      </c>
      <c r="E2197" s="52" t="s">
        <v>25</v>
      </c>
      <c r="F2197" s="52" t="s">
        <v>26</v>
      </c>
      <c r="G2197" s="54"/>
    </row>
    <row r="2198">
      <c r="A2198" s="49">
        <v>45043.66788072917</v>
      </c>
      <c r="B2198" s="50">
        <v>45043.7928571296</v>
      </c>
      <c r="C2198" s="51">
        <v>1.031</v>
      </c>
      <c r="D2198" s="51">
        <v>62.0</v>
      </c>
      <c r="E2198" s="52" t="s">
        <v>25</v>
      </c>
      <c r="F2198" s="52" t="s">
        <v>26</v>
      </c>
      <c r="G2198" s="54"/>
    </row>
    <row r="2199">
      <c r="A2199" s="49">
        <v>45043.678305891204</v>
      </c>
      <c r="B2199" s="50">
        <v>45043.8032792939</v>
      </c>
      <c r="C2199" s="51">
        <v>1.031</v>
      </c>
      <c r="D2199" s="51">
        <v>62.0</v>
      </c>
      <c r="E2199" s="52" t="s">
        <v>25</v>
      </c>
      <c r="F2199" s="52" t="s">
        <v>26</v>
      </c>
      <c r="G2199" s="54"/>
    </row>
    <row r="2200">
      <c r="A2200" s="49">
        <v>45043.6887265625</v>
      </c>
      <c r="B2200" s="50">
        <v>45043.8136992939</v>
      </c>
      <c r="C2200" s="51">
        <v>1.031</v>
      </c>
      <c r="D2200" s="51">
        <v>62.0</v>
      </c>
      <c r="E2200" s="52" t="s">
        <v>25</v>
      </c>
      <c r="F2200" s="52" t="s">
        <v>26</v>
      </c>
      <c r="G2200" s="54"/>
    </row>
    <row r="2201">
      <c r="A2201" s="49">
        <v>45043.69914199074</v>
      </c>
      <c r="B2201" s="50">
        <v>45043.8241199652</v>
      </c>
      <c r="C2201" s="51">
        <v>1.031</v>
      </c>
      <c r="D2201" s="51">
        <v>62.0</v>
      </c>
      <c r="E2201" s="52" t="s">
        <v>25</v>
      </c>
      <c r="F2201" s="52" t="s">
        <v>26</v>
      </c>
      <c r="G2201" s="54"/>
    </row>
    <row r="2202">
      <c r="A2202" s="49">
        <v>45043.70957413194</v>
      </c>
      <c r="B2202" s="50">
        <v>45043.8345525925</v>
      </c>
      <c r="C2202" s="51">
        <v>1.031</v>
      </c>
      <c r="D2202" s="51">
        <v>62.0</v>
      </c>
      <c r="E2202" s="52" t="s">
        <v>25</v>
      </c>
      <c r="F2202" s="52" t="s">
        <v>26</v>
      </c>
      <c r="G2202" s="54"/>
    </row>
    <row r="2203">
      <c r="A2203" s="49">
        <v>45043.71999354167</v>
      </c>
      <c r="B2203" s="50">
        <v>45043.8449746643</v>
      </c>
      <c r="C2203" s="51">
        <v>1.031</v>
      </c>
      <c r="D2203" s="51">
        <v>62.0</v>
      </c>
      <c r="E2203" s="52" t="s">
        <v>25</v>
      </c>
      <c r="F2203" s="52" t="s">
        <v>26</v>
      </c>
      <c r="G2203" s="54"/>
    </row>
    <row r="2204">
      <c r="A2204" s="49">
        <v>45043.730428738425</v>
      </c>
      <c r="B2204" s="50">
        <v>45043.8553980208</v>
      </c>
      <c r="C2204" s="51">
        <v>1.031</v>
      </c>
      <c r="D2204" s="51">
        <v>62.0</v>
      </c>
      <c r="E2204" s="52" t="s">
        <v>25</v>
      </c>
      <c r="F2204" s="52" t="s">
        <v>26</v>
      </c>
      <c r="G2204" s="54"/>
    </row>
    <row r="2205">
      <c r="A2205" s="49">
        <v>45043.74084270833</v>
      </c>
      <c r="B2205" s="50">
        <v>45043.8658176736</v>
      </c>
      <c r="C2205" s="51">
        <v>1.031</v>
      </c>
      <c r="D2205" s="51">
        <v>62.0</v>
      </c>
      <c r="E2205" s="52" t="s">
        <v>25</v>
      </c>
      <c r="F2205" s="52" t="s">
        <v>26</v>
      </c>
      <c r="G2205" s="54"/>
    </row>
    <row r="2206">
      <c r="A2206" s="49">
        <v>45043.75126851852</v>
      </c>
      <c r="B2206" s="50">
        <v>45043.8762372338</v>
      </c>
      <c r="C2206" s="51">
        <v>1.03</v>
      </c>
      <c r="D2206" s="51">
        <v>62.0</v>
      </c>
      <c r="E2206" s="52" t="s">
        <v>25</v>
      </c>
      <c r="F2206" s="52" t="s">
        <v>26</v>
      </c>
      <c r="G2206" s="54"/>
    </row>
    <row r="2207">
      <c r="A2207" s="49">
        <v>45043.76168581018</v>
      </c>
      <c r="B2207" s="50">
        <v>45043.886658368</v>
      </c>
      <c r="C2207" s="51">
        <v>1.03</v>
      </c>
      <c r="D2207" s="51">
        <v>62.0</v>
      </c>
      <c r="E2207" s="52" t="s">
        <v>25</v>
      </c>
      <c r="F2207" s="52" t="s">
        <v>26</v>
      </c>
      <c r="G2207" s="54"/>
    </row>
    <row r="2208">
      <c r="A2208" s="49">
        <v>45043.77211135416</v>
      </c>
      <c r="B2208" s="50">
        <v>45043.8970910416</v>
      </c>
      <c r="C2208" s="51">
        <v>1.031</v>
      </c>
      <c r="D2208" s="51">
        <v>62.0</v>
      </c>
      <c r="E2208" s="52" t="s">
        <v>25</v>
      </c>
      <c r="F2208" s="52" t="s">
        <v>26</v>
      </c>
      <c r="G2208" s="54"/>
    </row>
    <row r="2209">
      <c r="A2209" s="49">
        <v>45043.78252981482</v>
      </c>
      <c r="B2209" s="50">
        <v>45043.9075113773</v>
      </c>
      <c r="C2209" s="51">
        <v>1.03</v>
      </c>
      <c r="D2209" s="51">
        <v>62.0</v>
      </c>
      <c r="E2209" s="52" t="s">
        <v>25</v>
      </c>
      <c r="F2209" s="52" t="s">
        <v>26</v>
      </c>
      <c r="G2209" s="54"/>
    </row>
    <row r="2210">
      <c r="A2210" s="49">
        <v>45043.792959074075</v>
      </c>
      <c r="B2210" s="50">
        <v>45043.9179331944</v>
      </c>
      <c r="C2210" s="51">
        <v>1.031</v>
      </c>
      <c r="D2210" s="51">
        <v>62.0</v>
      </c>
      <c r="E2210" s="52" t="s">
        <v>25</v>
      </c>
      <c r="F2210" s="52" t="s">
        <v>26</v>
      </c>
      <c r="G2210" s="54"/>
    </row>
    <row r="2211">
      <c r="A2211" s="49">
        <v>45043.80338524305</v>
      </c>
      <c r="B2211" s="50">
        <v>45043.928353831</v>
      </c>
      <c r="C2211" s="51">
        <v>1.031</v>
      </c>
      <c r="D2211" s="51">
        <v>62.0</v>
      </c>
      <c r="E2211" s="52" t="s">
        <v>25</v>
      </c>
      <c r="F2211" s="52" t="s">
        <v>26</v>
      </c>
      <c r="G2211" s="54"/>
    </row>
    <row r="2212">
      <c r="A2212" s="49">
        <v>45043.81380046296</v>
      </c>
      <c r="B2212" s="50">
        <v>45043.9387759027</v>
      </c>
      <c r="C2212" s="51">
        <v>1.03</v>
      </c>
      <c r="D2212" s="51">
        <v>62.0</v>
      </c>
      <c r="E2212" s="52" t="s">
        <v>25</v>
      </c>
      <c r="F2212" s="52" t="s">
        <v>26</v>
      </c>
      <c r="G2212" s="54"/>
    </row>
    <row r="2213">
      <c r="A2213" s="49">
        <v>45043.82422009259</v>
      </c>
      <c r="B2213" s="50">
        <v>45043.9491974768</v>
      </c>
      <c r="C2213" s="51">
        <v>1.031</v>
      </c>
      <c r="D2213" s="51">
        <v>62.0</v>
      </c>
      <c r="E2213" s="52" t="s">
        <v>25</v>
      </c>
      <c r="F2213" s="52" t="s">
        <v>26</v>
      </c>
      <c r="G2213" s="54"/>
    </row>
    <row r="2214">
      <c r="A2214" s="49">
        <v>45043.834644780094</v>
      </c>
      <c r="B2214" s="50">
        <v>45043.9596188078</v>
      </c>
      <c r="C2214" s="51">
        <v>1.03</v>
      </c>
      <c r="D2214" s="51">
        <v>62.0</v>
      </c>
      <c r="E2214" s="52" t="s">
        <v>25</v>
      </c>
      <c r="F2214" s="52" t="s">
        <v>26</v>
      </c>
      <c r="G2214" s="54"/>
    </row>
    <row r="2215">
      <c r="A2215" s="49">
        <v>45043.84506443287</v>
      </c>
      <c r="B2215" s="50">
        <v>45043.9700401736</v>
      </c>
      <c r="C2215" s="51">
        <v>1.03</v>
      </c>
      <c r="D2215" s="51">
        <v>62.0</v>
      </c>
      <c r="E2215" s="52" t="s">
        <v>25</v>
      </c>
      <c r="F2215" s="52" t="s">
        <v>26</v>
      </c>
      <c r="G2215" s="54"/>
    </row>
    <row r="2216">
      <c r="A2216" s="49">
        <v>45043.85548143518</v>
      </c>
      <c r="B2216" s="50">
        <v>45043.980460868</v>
      </c>
      <c r="C2216" s="51">
        <v>1.03</v>
      </c>
      <c r="D2216" s="51">
        <v>62.0</v>
      </c>
      <c r="E2216" s="52" t="s">
        <v>25</v>
      </c>
      <c r="F2216" s="52" t="s">
        <v>26</v>
      </c>
      <c r="G2216" s="54"/>
    </row>
    <row r="2217">
      <c r="A2217" s="49">
        <v>45043.86590609954</v>
      </c>
      <c r="B2217" s="50">
        <v>45043.9908812037</v>
      </c>
      <c r="C2217" s="51">
        <v>1.03</v>
      </c>
      <c r="D2217" s="51">
        <v>62.0</v>
      </c>
      <c r="E2217" s="52" t="s">
        <v>25</v>
      </c>
      <c r="F2217" s="52" t="s">
        <v>26</v>
      </c>
      <c r="G2217" s="54"/>
    </row>
    <row r="2218">
      <c r="A2218" s="49">
        <v>45043.87632743055</v>
      </c>
      <c r="B2218" s="50">
        <v>45044.0013025</v>
      </c>
      <c r="C2218" s="51">
        <v>1.03</v>
      </c>
      <c r="D2218" s="51">
        <v>62.0</v>
      </c>
      <c r="E2218" s="52" t="s">
        <v>25</v>
      </c>
      <c r="F2218" s="52" t="s">
        <v>26</v>
      </c>
      <c r="G2218" s="54"/>
    </row>
    <row r="2219">
      <c r="A2219" s="49">
        <v>45043.886765717594</v>
      </c>
      <c r="B2219" s="50">
        <v>45044.0117348958</v>
      </c>
      <c r="C2219" s="51">
        <v>1.03</v>
      </c>
      <c r="D2219" s="51">
        <v>62.0</v>
      </c>
      <c r="E2219" s="52" t="s">
        <v>25</v>
      </c>
      <c r="F2219" s="52" t="s">
        <v>26</v>
      </c>
      <c r="G2219" s="54"/>
    </row>
    <row r="2220">
      <c r="A2220" s="49">
        <v>45043.89718673611</v>
      </c>
      <c r="B2220" s="50">
        <v>45044.0221553356</v>
      </c>
      <c r="C2220" s="51">
        <v>1.03</v>
      </c>
      <c r="D2220" s="51">
        <v>62.0</v>
      </c>
      <c r="E2220" s="52" t="s">
        <v>25</v>
      </c>
      <c r="F2220" s="52" t="s">
        <v>26</v>
      </c>
      <c r="G2220" s="54"/>
    </row>
    <row r="2221">
      <c r="A2221" s="49">
        <v>45043.907605960645</v>
      </c>
      <c r="B2221" s="50">
        <v>45044.0325773726</v>
      </c>
      <c r="C2221" s="51">
        <v>1.03</v>
      </c>
      <c r="D2221" s="51">
        <v>62.0</v>
      </c>
      <c r="E2221" s="52" t="s">
        <v>25</v>
      </c>
      <c r="F2221" s="52" t="s">
        <v>26</v>
      </c>
      <c r="G2221" s="54"/>
    </row>
    <row r="2222">
      <c r="A2222" s="49">
        <v>45043.91803310185</v>
      </c>
      <c r="B2222" s="50">
        <v>45044.0430111111</v>
      </c>
      <c r="C2222" s="51">
        <v>1.03</v>
      </c>
      <c r="D2222" s="51">
        <v>62.0</v>
      </c>
      <c r="E2222" s="52" t="s">
        <v>25</v>
      </c>
      <c r="F2222" s="52" t="s">
        <v>26</v>
      </c>
      <c r="G2222" s="54"/>
    </row>
    <row r="2223">
      <c r="A2223" s="49">
        <v>45043.9284612037</v>
      </c>
      <c r="B2223" s="50">
        <v>45044.0534322106</v>
      </c>
      <c r="C2223" s="51">
        <v>1.03</v>
      </c>
      <c r="D2223" s="51">
        <v>62.0</v>
      </c>
      <c r="E2223" s="52" t="s">
        <v>25</v>
      </c>
      <c r="F2223" s="52" t="s">
        <v>26</v>
      </c>
      <c r="G2223" s="54"/>
    </row>
    <row r="2224">
      <c r="A2224" s="49">
        <v>45043.93887246528</v>
      </c>
      <c r="B2224" s="50">
        <v>45044.0638525</v>
      </c>
      <c r="C2224" s="51">
        <v>1.03</v>
      </c>
      <c r="D2224" s="51">
        <v>62.0</v>
      </c>
      <c r="E2224" s="52" t="s">
        <v>25</v>
      </c>
      <c r="F2224" s="52" t="s">
        <v>26</v>
      </c>
      <c r="G2224" s="54"/>
    </row>
    <row r="2225">
      <c r="A2225" s="49">
        <v>45043.94931599537</v>
      </c>
      <c r="B2225" s="50">
        <v>45044.0742883217</v>
      </c>
      <c r="C2225" s="51">
        <v>1.03</v>
      </c>
      <c r="D2225" s="51">
        <v>62.0</v>
      </c>
      <c r="E2225" s="52" t="s">
        <v>25</v>
      </c>
      <c r="F2225" s="52" t="s">
        <v>26</v>
      </c>
      <c r="G2225" s="54"/>
    </row>
    <row r="2226">
      <c r="A2226" s="49">
        <v>45043.95973418982</v>
      </c>
      <c r="B2226" s="50">
        <v>45044.084708993</v>
      </c>
      <c r="C2226" s="51">
        <v>1.03</v>
      </c>
      <c r="D2226" s="51">
        <v>62.0</v>
      </c>
      <c r="E2226" s="52" t="s">
        <v>25</v>
      </c>
      <c r="F2226" s="52" t="s">
        <v>26</v>
      </c>
      <c r="G2226" s="54"/>
    </row>
    <row r="2227">
      <c r="A2227" s="49">
        <v>45043.97016096065</v>
      </c>
      <c r="B2227" s="50">
        <v>45044.0951320254</v>
      </c>
      <c r="C2227" s="51">
        <v>1.03</v>
      </c>
      <c r="D2227" s="51">
        <v>62.0</v>
      </c>
      <c r="E2227" s="52" t="s">
        <v>25</v>
      </c>
      <c r="F2227" s="52" t="s">
        <v>26</v>
      </c>
      <c r="G2227" s="54"/>
    </row>
    <row r="2228">
      <c r="A2228" s="49">
        <v>45043.98059114583</v>
      </c>
      <c r="B2228" s="50">
        <v>45044.10556375</v>
      </c>
      <c r="C2228" s="51">
        <v>1.03</v>
      </c>
      <c r="D2228" s="51">
        <v>62.0</v>
      </c>
      <c r="E2228" s="52" t="s">
        <v>25</v>
      </c>
      <c r="F2228" s="52" t="s">
        <v>26</v>
      </c>
      <c r="G2228" s="54"/>
    </row>
    <row r="2229">
      <c r="A2229" s="49">
        <v>45043.991006226854</v>
      </c>
      <c r="B2229" s="50">
        <v>45044.11598603</v>
      </c>
      <c r="C2229" s="51">
        <v>1.03</v>
      </c>
      <c r="D2229" s="51">
        <v>62.0</v>
      </c>
      <c r="E2229" s="52" t="s">
        <v>25</v>
      </c>
      <c r="F2229" s="52" t="s">
        <v>26</v>
      </c>
      <c r="G2229" s="54"/>
    </row>
    <row r="2230">
      <c r="A2230" s="49">
        <v>45044.00144040509</v>
      </c>
      <c r="B2230" s="50">
        <v>45044.1264071412</v>
      </c>
      <c r="C2230" s="51">
        <v>1.03</v>
      </c>
      <c r="D2230" s="51">
        <v>62.0</v>
      </c>
      <c r="E2230" s="52" t="s">
        <v>25</v>
      </c>
      <c r="F2230" s="52" t="s">
        <v>26</v>
      </c>
      <c r="G2230" s="54"/>
    </row>
    <row r="2231">
      <c r="A2231" s="49">
        <v>45044.01185097222</v>
      </c>
      <c r="B2231" s="50">
        <v>45044.1368282754</v>
      </c>
      <c r="C2231" s="51">
        <v>1.03</v>
      </c>
      <c r="D2231" s="51">
        <v>62.0</v>
      </c>
      <c r="E2231" s="52" t="s">
        <v>25</v>
      </c>
      <c r="F2231" s="52" t="s">
        <v>26</v>
      </c>
      <c r="G2231" s="54"/>
    </row>
    <row r="2232">
      <c r="A2232" s="49">
        <v>45044.02227555556</v>
      </c>
      <c r="B2232" s="50">
        <v>45044.1472500463</v>
      </c>
      <c r="C2232" s="51">
        <v>1.03</v>
      </c>
      <c r="D2232" s="51">
        <v>62.0</v>
      </c>
      <c r="E2232" s="52" t="s">
        <v>25</v>
      </c>
      <c r="F2232" s="52" t="s">
        <v>26</v>
      </c>
      <c r="G2232" s="54"/>
    </row>
    <row r="2233">
      <c r="A2233" s="49">
        <v>45044.03270241898</v>
      </c>
      <c r="B2233" s="50">
        <v>45044.1576715856</v>
      </c>
      <c r="C2233" s="51">
        <v>1.03</v>
      </c>
      <c r="D2233" s="51">
        <v>62.0</v>
      </c>
      <c r="E2233" s="52" t="s">
        <v>25</v>
      </c>
      <c r="F2233" s="52" t="s">
        <v>26</v>
      </c>
      <c r="G2233" s="54"/>
    </row>
    <row r="2234">
      <c r="A2234" s="49">
        <v>45044.04311709491</v>
      </c>
      <c r="B2234" s="50">
        <v>45044.1680922916</v>
      </c>
      <c r="C2234" s="51">
        <v>1.03</v>
      </c>
      <c r="D2234" s="51">
        <v>62.0</v>
      </c>
      <c r="E2234" s="52" t="s">
        <v>25</v>
      </c>
      <c r="F2234" s="52" t="s">
        <v>26</v>
      </c>
      <c r="G2234" s="54"/>
    </row>
    <row r="2235">
      <c r="A2235" s="49">
        <v>45044.05354217593</v>
      </c>
      <c r="B2235" s="50">
        <v>45044.1785135416</v>
      </c>
      <c r="C2235" s="51">
        <v>1.03</v>
      </c>
      <c r="D2235" s="51">
        <v>62.0</v>
      </c>
      <c r="E2235" s="52" t="s">
        <v>25</v>
      </c>
      <c r="F2235" s="52" t="s">
        <v>26</v>
      </c>
      <c r="G2235" s="54"/>
    </row>
    <row r="2236">
      <c r="A2236" s="49">
        <v>45044.06396054398</v>
      </c>
      <c r="B2236" s="50">
        <v>45044.1889336574</v>
      </c>
      <c r="C2236" s="51">
        <v>1.03</v>
      </c>
      <c r="D2236" s="51">
        <v>62.0</v>
      </c>
      <c r="E2236" s="52" t="s">
        <v>25</v>
      </c>
      <c r="F2236" s="52" t="s">
        <v>26</v>
      </c>
      <c r="G2236" s="54"/>
    </row>
    <row r="2237">
      <c r="A2237" s="49">
        <v>45044.07438976852</v>
      </c>
      <c r="B2237" s="50">
        <v>45044.1993557175</v>
      </c>
      <c r="C2237" s="51">
        <v>1.03</v>
      </c>
      <c r="D2237" s="51">
        <v>62.0</v>
      </c>
      <c r="E2237" s="52" t="s">
        <v>25</v>
      </c>
      <c r="F2237" s="52" t="s">
        <v>26</v>
      </c>
      <c r="G2237" s="54"/>
    </row>
    <row r="2238">
      <c r="A2238" s="49">
        <v>45044.08480685185</v>
      </c>
      <c r="B2238" s="50">
        <v>45044.2097755671</v>
      </c>
      <c r="C2238" s="51">
        <v>1.03</v>
      </c>
      <c r="D2238" s="51">
        <v>62.0</v>
      </c>
      <c r="E2238" s="52" t="s">
        <v>25</v>
      </c>
      <c r="F2238" s="52" t="s">
        <v>26</v>
      </c>
      <c r="G2238" s="54"/>
    </row>
    <row r="2239">
      <c r="A2239" s="49">
        <v>45044.095230983796</v>
      </c>
      <c r="B2239" s="50">
        <v>45044.2201984606</v>
      </c>
      <c r="C2239" s="51">
        <v>1.03</v>
      </c>
      <c r="D2239" s="51">
        <v>62.0</v>
      </c>
      <c r="E2239" s="52" t="s">
        <v>25</v>
      </c>
      <c r="F2239" s="52" t="s">
        <v>26</v>
      </c>
      <c r="G2239" s="54"/>
    </row>
    <row r="2240">
      <c r="A2240" s="49">
        <v>45044.10564761574</v>
      </c>
      <c r="B2240" s="50">
        <v>45044.2306174768</v>
      </c>
      <c r="C2240" s="51">
        <v>1.03</v>
      </c>
      <c r="D2240" s="51">
        <v>62.0</v>
      </c>
      <c r="E2240" s="52" t="s">
        <v>25</v>
      </c>
      <c r="F2240" s="52" t="s">
        <v>26</v>
      </c>
      <c r="G2240" s="54"/>
    </row>
    <row r="2241">
      <c r="A2241" s="49">
        <v>45044.11607002315</v>
      </c>
      <c r="B2241" s="50">
        <v>45044.2410393518</v>
      </c>
      <c r="C2241" s="51">
        <v>1.03</v>
      </c>
      <c r="D2241" s="51">
        <v>62.0</v>
      </c>
      <c r="E2241" s="52" t="s">
        <v>25</v>
      </c>
      <c r="F2241" s="52" t="s">
        <v>26</v>
      </c>
      <c r="G2241" s="54"/>
    </row>
    <row r="2242">
      <c r="A2242" s="49">
        <v>45044.126489490736</v>
      </c>
      <c r="B2242" s="50">
        <v>45044.2514598958</v>
      </c>
      <c r="C2242" s="51">
        <v>1.03</v>
      </c>
      <c r="D2242" s="51">
        <v>62.0</v>
      </c>
      <c r="E2242" s="52" t="s">
        <v>25</v>
      </c>
      <c r="F2242" s="52" t="s">
        <v>26</v>
      </c>
      <c r="G2242" s="54"/>
    </row>
    <row r="2243">
      <c r="A2243" s="49">
        <v>45044.13690900463</v>
      </c>
      <c r="B2243" s="50">
        <v>45044.2618821412</v>
      </c>
      <c r="C2243" s="51">
        <v>1.03</v>
      </c>
      <c r="D2243" s="51">
        <v>62.0</v>
      </c>
      <c r="E2243" s="52" t="s">
        <v>25</v>
      </c>
      <c r="F2243" s="52" t="s">
        <v>26</v>
      </c>
      <c r="G2243" s="54"/>
    </row>
    <row r="2244">
      <c r="A2244" s="49">
        <v>45044.147321192126</v>
      </c>
      <c r="B2244" s="50">
        <v>45044.2723037847</v>
      </c>
      <c r="C2244" s="51">
        <v>1.03</v>
      </c>
      <c r="D2244" s="51">
        <v>62.0</v>
      </c>
      <c r="E2244" s="52" t="s">
        <v>25</v>
      </c>
      <c r="F2244" s="52" t="s">
        <v>26</v>
      </c>
      <c r="G2244" s="54"/>
    </row>
    <row r="2245">
      <c r="A2245" s="49">
        <v>45044.15775540509</v>
      </c>
      <c r="B2245" s="50">
        <v>45044.2827251736</v>
      </c>
      <c r="C2245" s="51">
        <v>1.03</v>
      </c>
      <c r="D2245" s="51">
        <v>62.0</v>
      </c>
      <c r="E2245" s="52" t="s">
        <v>25</v>
      </c>
      <c r="F2245" s="52" t="s">
        <v>26</v>
      </c>
      <c r="G2245" s="54"/>
    </row>
    <row r="2246">
      <c r="A2246" s="49">
        <v>45044.168176875</v>
      </c>
      <c r="B2246" s="50">
        <v>45044.2931466435</v>
      </c>
      <c r="C2246" s="51">
        <v>1.03</v>
      </c>
      <c r="D2246" s="51">
        <v>62.0</v>
      </c>
      <c r="E2246" s="52" t="s">
        <v>25</v>
      </c>
      <c r="F2246" s="52" t="s">
        <v>26</v>
      </c>
      <c r="G2246" s="54"/>
    </row>
    <row r="2247">
      <c r="A2247" s="49">
        <v>45044.17858518519</v>
      </c>
      <c r="B2247" s="50">
        <v>45044.3035685416</v>
      </c>
      <c r="C2247" s="51">
        <v>1.03</v>
      </c>
      <c r="D2247" s="51">
        <v>62.0</v>
      </c>
      <c r="E2247" s="52" t="s">
        <v>25</v>
      </c>
      <c r="F2247" s="52" t="s">
        <v>26</v>
      </c>
      <c r="G2247" s="54"/>
    </row>
    <row r="2248">
      <c r="A2248" s="49">
        <v>45044.18900886574</v>
      </c>
      <c r="B2248" s="50">
        <v>45044.3139894675</v>
      </c>
      <c r="C2248" s="51">
        <v>1.03</v>
      </c>
      <c r="D2248" s="51">
        <v>62.0</v>
      </c>
      <c r="E2248" s="52" t="s">
        <v>25</v>
      </c>
      <c r="F2248" s="52" t="s">
        <v>26</v>
      </c>
      <c r="G2248" s="54"/>
    </row>
    <row r="2249">
      <c r="A2249" s="49">
        <v>45044.19943961805</v>
      </c>
      <c r="B2249" s="50">
        <v>45044.3244104629</v>
      </c>
      <c r="C2249" s="51">
        <v>1.03</v>
      </c>
      <c r="D2249" s="51">
        <v>62.0</v>
      </c>
      <c r="E2249" s="52" t="s">
        <v>25</v>
      </c>
      <c r="F2249" s="52" t="s">
        <v>26</v>
      </c>
      <c r="G2249" s="54"/>
    </row>
    <row r="2250">
      <c r="A2250" s="49">
        <v>45044.20985994213</v>
      </c>
      <c r="B2250" s="50">
        <v>45044.3348312384</v>
      </c>
      <c r="C2250" s="51">
        <v>1.03</v>
      </c>
      <c r="D2250" s="51">
        <v>62.0</v>
      </c>
      <c r="E2250" s="52" t="s">
        <v>25</v>
      </c>
      <c r="F2250" s="52" t="s">
        <v>26</v>
      </c>
      <c r="G2250" s="54"/>
    </row>
    <row r="2251">
      <c r="A2251" s="49">
        <v>45044.22028292824</v>
      </c>
      <c r="B2251" s="50">
        <v>45044.3452514236</v>
      </c>
      <c r="C2251" s="51">
        <v>1.03</v>
      </c>
      <c r="D2251" s="51">
        <v>62.0</v>
      </c>
      <c r="E2251" s="52" t="s">
        <v>25</v>
      </c>
      <c r="F2251" s="52" t="s">
        <v>26</v>
      </c>
      <c r="G2251" s="54"/>
    </row>
    <row r="2252">
      <c r="A2252" s="49">
        <v>45044.23071211806</v>
      </c>
      <c r="B2252" s="50">
        <v>45044.355685162</v>
      </c>
      <c r="C2252" s="51">
        <v>1.03</v>
      </c>
      <c r="D2252" s="51">
        <v>62.0</v>
      </c>
      <c r="E2252" s="52" t="s">
        <v>25</v>
      </c>
      <c r="F2252" s="52" t="s">
        <v>26</v>
      </c>
      <c r="G2252" s="54"/>
    </row>
    <row r="2253">
      <c r="A2253" s="49">
        <v>45044.24113172454</v>
      </c>
      <c r="B2253" s="50">
        <v>45044.3661074421</v>
      </c>
      <c r="C2253" s="51">
        <v>1.03</v>
      </c>
      <c r="D2253" s="51">
        <v>62.0</v>
      </c>
      <c r="E2253" s="52" t="s">
        <v>25</v>
      </c>
      <c r="F2253" s="52" t="s">
        <v>26</v>
      </c>
      <c r="G2253" s="54"/>
    </row>
    <row r="2254">
      <c r="A2254" s="49">
        <v>45044.25156229167</v>
      </c>
      <c r="B2254" s="50">
        <v>45044.3765275463</v>
      </c>
      <c r="C2254" s="51">
        <v>1.03</v>
      </c>
      <c r="D2254" s="51">
        <v>62.0</v>
      </c>
      <c r="E2254" s="52" t="s">
        <v>25</v>
      </c>
      <c r="F2254" s="52" t="s">
        <v>26</v>
      </c>
      <c r="G2254" s="54"/>
    </row>
    <row r="2255">
      <c r="A2255" s="49">
        <v>45044.26197303241</v>
      </c>
      <c r="B2255" s="50">
        <v>45044.3869465972</v>
      </c>
      <c r="C2255" s="51">
        <v>1.03</v>
      </c>
      <c r="D2255" s="51">
        <v>62.0</v>
      </c>
      <c r="E2255" s="52" t="s">
        <v>25</v>
      </c>
      <c r="F2255" s="52" t="s">
        <v>26</v>
      </c>
      <c r="G2255" s="54"/>
    </row>
    <row r="2256">
      <c r="A2256" s="49">
        <v>45044.27239532408</v>
      </c>
      <c r="B2256" s="50">
        <v>45044.3973667361</v>
      </c>
      <c r="C2256" s="51">
        <v>1.03</v>
      </c>
      <c r="D2256" s="51">
        <v>62.0</v>
      </c>
      <c r="E2256" s="52" t="s">
        <v>25</v>
      </c>
      <c r="F2256" s="52" t="s">
        <v>26</v>
      </c>
      <c r="G2256" s="54"/>
    </row>
    <row r="2257">
      <c r="A2257" s="49">
        <v>45044.28283016203</v>
      </c>
      <c r="B2257" s="50">
        <v>45044.4077980439</v>
      </c>
      <c r="C2257" s="51">
        <v>1.03</v>
      </c>
      <c r="D2257" s="51">
        <v>62.0</v>
      </c>
      <c r="E2257" s="52" t="s">
        <v>25</v>
      </c>
      <c r="F2257" s="52" t="s">
        <v>26</v>
      </c>
      <c r="G2257" s="54"/>
    </row>
    <row r="2258">
      <c r="A2258" s="49">
        <v>45044.293250567134</v>
      </c>
      <c r="B2258" s="50">
        <v>45044.4182195138</v>
      </c>
      <c r="C2258" s="51">
        <v>1.03</v>
      </c>
      <c r="D2258" s="51">
        <v>62.0</v>
      </c>
      <c r="E2258" s="52" t="s">
        <v>25</v>
      </c>
      <c r="F2258" s="52" t="s">
        <v>26</v>
      </c>
      <c r="G2258" s="54"/>
    </row>
    <row r="2259">
      <c r="A2259" s="49">
        <v>45044.30368196759</v>
      </c>
      <c r="B2259" s="50">
        <v>45044.4286534837</v>
      </c>
      <c r="C2259" s="51">
        <v>1.03</v>
      </c>
      <c r="D2259" s="51">
        <v>62.0</v>
      </c>
      <c r="E2259" s="52" t="s">
        <v>25</v>
      </c>
      <c r="F2259" s="52" t="s">
        <v>26</v>
      </c>
      <c r="G2259" s="54"/>
    </row>
    <row r="2260">
      <c r="A2260" s="49">
        <v>45044.31410113426</v>
      </c>
      <c r="B2260" s="50">
        <v>45044.4390759606</v>
      </c>
      <c r="C2260" s="51">
        <v>1.03</v>
      </c>
      <c r="D2260" s="51">
        <v>62.0</v>
      </c>
      <c r="E2260" s="52" t="s">
        <v>25</v>
      </c>
      <c r="F2260" s="52" t="s">
        <v>26</v>
      </c>
      <c r="G2260" s="54"/>
    </row>
    <row r="2261">
      <c r="A2261" s="49">
        <v>45044.3245277199</v>
      </c>
      <c r="B2261" s="50">
        <v>45044.4494972801</v>
      </c>
      <c r="C2261" s="51">
        <v>1.03</v>
      </c>
      <c r="D2261" s="51">
        <v>62.0</v>
      </c>
      <c r="E2261" s="52" t="s">
        <v>25</v>
      </c>
      <c r="F2261" s="52" t="s">
        <v>26</v>
      </c>
      <c r="G2261" s="54"/>
    </row>
    <row r="2262">
      <c r="A2262" s="49">
        <v>45044.33496569445</v>
      </c>
      <c r="B2262" s="50">
        <v>45044.4599296643</v>
      </c>
      <c r="C2262" s="51">
        <v>1.03</v>
      </c>
      <c r="D2262" s="51">
        <v>62.0</v>
      </c>
      <c r="E2262" s="52" t="s">
        <v>25</v>
      </c>
      <c r="F2262" s="52" t="s">
        <v>26</v>
      </c>
      <c r="G2262" s="54"/>
    </row>
    <row r="2263">
      <c r="A2263" s="49">
        <v>45044.345382060186</v>
      </c>
      <c r="B2263" s="50">
        <v>45044.47034978</v>
      </c>
      <c r="C2263" s="51">
        <v>1.03</v>
      </c>
      <c r="D2263" s="51">
        <v>62.0</v>
      </c>
      <c r="E2263" s="52" t="s">
        <v>25</v>
      </c>
      <c r="F2263" s="52" t="s">
        <v>26</v>
      </c>
      <c r="G2263" s="54"/>
    </row>
    <row r="2264">
      <c r="A2264" s="49">
        <v>45044.35579277777</v>
      </c>
      <c r="B2264" s="50">
        <v>45044.4807711921</v>
      </c>
      <c r="C2264" s="51">
        <v>1.03</v>
      </c>
      <c r="D2264" s="51">
        <v>62.0</v>
      </c>
      <c r="E2264" s="52" t="s">
        <v>25</v>
      </c>
      <c r="F2264" s="52" t="s">
        <v>26</v>
      </c>
      <c r="G2264" s="54"/>
    </row>
    <row r="2265">
      <c r="A2265" s="49">
        <v>45044.366224513884</v>
      </c>
      <c r="B2265" s="50">
        <v>45044.4911908333</v>
      </c>
      <c r="C2265" s="51">
        <v>1.03</v>
      </c>
      <c r="D2265" s="51">
        <v>62.0</v>
      </c>
      <c r="E2265" s="52" t="s">
        <v>25</v>
      </c>
      <c r="F2265" s="52" t="s">
        <v>26</v>
      </c>
      <c r="G2265" s="54"/>
    </row>
    <row r="2266">
      <c r="A2266" s="49">
        <v>45044.37665873843</v>
      </c>
      <c r="B2266" s="50">
        <v>45044.5016341435</v>
      </c>
      <c r="C2266" s="51">
        <v>1.03</v>
      </c>
      <c r="D2266" s="51">
        <v>62.0</v>
      </c>
      <c r="E2266" s="52" t="s">
        <v>25</v>
      </c>
      <c r="F2266" s="52" t="s">
        <v>26</v>
      </c>
      <c r="G2266" s="54"/>
    </row>
    <row r="2267">
      <c r="A2267" s="49">
        <v>45044.38709991898</v>
      </c>
      <c r="B2267" s="50">
        <v>45044.5120667824</v>
      </c>
      <c r="C2267" s="51">
        <v>1.03</v>
      </c>
      <c r="D2267" s="51">
        <v>62.0</v>
      </c>
      <c r="E2267" s="52" t="s">
        <v>25</v>
      </c>
      <c r="F2267" s="52" t="s">
        <v>26</v>
      </c>
      <c r="G2267" s="54"/>
    </row>
    <row r="2268">
      <c r="A2268" s="49">
        <v>45044.39751787037</v>
      </c>
      <c r="B2268" s="50">
        <v>45044.5224883449</v>
      </c>
      <c r="C2268" s="51">
        <v>1.03</v>
      </c>
      <c r="D2268" s="51">
        <v>62.0</v>
      </c>
      <c r="E2268" s="52" t="s">
        <v>25</v>
      </c>
      <c r="F2268" s="52" t="s">
        <v>26</v>
      </c>
      <c r="G2268" s="54"/>
    </row>
    <row r="2269">
      <c r="A2269" s="49">
        <v>45044.40795273148</v>
      </c>
      <c r="B2269" s="50">
        <v>45044.5329215972</v>
      </c>
      <c r="C2269" s="51">
        <v>1.029</v>
      </c>
      <c r="D2269" s="51">
        <v>62.0</v>
      </c>
      <c r="E2269" s="52" t="s">
        <v>25</v>
      </c>
      <c r="F2269" s="52" t="s">
        <v>26</v>
      </c>
      <c r="G2269" s="54"/>
    </row>
    <row r="2270">
      <c r="A2270" s="49">
        <v>45044.41836268519</v>
      </c>
      <c r="B2270" s="50">
        <v>45044.5433423611</v>
      </c>
      <c r="C2270" s="51">
        <v>1.029</v>
      </c>
      <c r="D2270" s="51">
        <v>62.0</v>
      </c>
      <c r="E2270" s="52" t="s">
        <v>25</v>
      </c>
      <c r="F2270" s="52" t="s">
        <v>26</v>
      </c>
      <c r="G2270" s="54"/>
    </row>
    <row r="2271">
      <c r="A2271" s="49">
        <v>45044.42878501157</v>
      </c>
      <c r="B2271" s="50">
        <v>45044.553764074</v>
      </c>
      <c r="C2271" s="51">
        <v>1.03</v>
      </c>
      <c r="D2271" s="51">
        <v>62.0</v>
      </c>
      <c r="E2271" s="52" t="s">
        <v>25</v>
      </c>
      <c r="F2271" s="52" t="s">
        <v>26</v>
      </c>
      <c r="G2271" s="54"/>
    </row>
    <row r="2272">
      <c r="A2272" s="49">
        <v>45044.439208842596</v>
      </c>
      <c r="B2272" s="50">
        <v>45044.5641846759</v>
      </c>
      <c r="C2272" s="51">
        <v>1.03</v>
      </c>
      <c r="D2272" s="51">
        <v>62.0</v>
      </c>
      <c r="E2272" s="52" t="s">
        <v>25</v>
      </c>
      <c r="F2272" s="52" t="s">
        <v>26</v>
      </c>
      <c r="G2272" s="54"/>
    </row>
    <row r="2273">
      <c r="A2273" s="49">
        <v>45044.44963899306</v>
      </c>
      <c r="B2273" s="50">
        <v>45044.5746048726</v>
      </c>
      <c r="C2273" s="51">
        <v>1.029</v>
      </c>
      <c r="D2273" s="51">
        <v>62.0</v>
      </c>
      <c r="E2273" s="52" t="s">
        <v>25</v>
      </c>
      <c r="F2273" s="52" t="s">
        <v>26</v>
      </c>
      <c r="G2273" s="54"/>
    </row>
    <row r="2274">
      <c r="A2274" s="49">
        <v>45044.46005392361</v>
      </c>
      <c r="B2274" s="50">
        <v>45044.585026655</v>
      </c>
      <c r="C2274" s="51">
        <v>1.029</v>
      </c>
      <c r="D2274" s="51">
        <v>62.0</v>
      </c>
      <c r="E2274" s="52" t="s">
        <v>25</v>
      </c>
      <c r="F2274" s="52" t="s">
        <v>26</v>
      </c>
      <c r="G2274" s="54"/>
    </row>
    <row r="2275">
      <c r="A2275" s="49">
        <v>45044.47047571759</v>
      </c>
      <c r="B2275" s="50">
        <v>45044.5954491782</v>
      </c>
      <c r="C2275" s="51">
        <v>1.03</v>
      </c>
      <c r="D2275" s="51">
        <v>62.0</v>
      </c>
      <c r="E2275" s="52" t="s">
        <v>25</v>
      </c>
      <c r="F2275" s="52" t="s">
        <v>26</v>
      </c>
      <c r="G2275" s="54"/>
    </row>
    <row r="2276">
      <c r="A2276" s="49">
        <v>45044.48089851852</v>
      </c>
      <c r="B2276" s="50">
        <v>45044.605869155</v>
      </c>
      <c r="C2276" s="51">
        <v>1.03</v>
      </c>
      <c r="D2276" s="51">
        <v>62.0</v>
      </c>
      <c r="E2276" s="52" t="s">
        <v>25</v>
      </c>
      <c r="F2276" s="52" t="s">
        <v>26</v>
      </c>
      <c r="G2276" s="54"/>
    </row>
    <row r="2277">
      <c r="A2277" s="49">
        <v>45044.49132983796</v>
      </c>
      <c r="B2277" s="50">
        <v>45044.6162916898</v>
      </c>
      <c r="C2277" s="51">
        <v>1.03</v>
      </c>
      <c r="D2277" s="51">
        <v>62.0</v>
      </c>
      <c r="E2277" s="52" t="s">
        <v>25</v>
      </c>
      <c r="F2277" s="52" t="s">
        <v>26</v>
      </c>
      <c r="G2277" s="54"/>
    </row>
    <row r="2278">
      <c r="A2278" s="49">
        <v>45044.50175556713</v>
      </c>
      <c r="B2278" s="50">
        <v>45044.6267249537</v>
      </c>
      <c r="C2278" s="51">
        <v>1.029</v>
      </c>
      <c r="D2278" s="51">
        <v>62.0</v>
      </c>
      <c r="E2278" s="52" t="s">
        <v>25</v>
      </c>
      <c r="F2278" s="52" t="s">
        <v>26</v>
      </c>
      <c r="G2278" s="54"/>
    </row>
    <row r="2279">
      <c r="A2279" s="49">
        <v>45044.51217483796</v>
      </c>
      <c r="B2279" s="50">
        <v>45044.6371473032</v>
      </c>
      <c r="C2279" s="51">
        <v>1.029</v>
      </c>
      <c r="D2279" s="51">
        <v>62.0</v>
      </c>
      <c r="E2279" s="52" t="s">
        <v>25</v>
      </c>
      <c r="F2279" s="52" t="s">
        <v>26</v>
      </c>
      <c r="G2279" s="54"/>
    </row>
    <row r="2280">
      <c r="A2280" s="49">
        <v>45044.52259388889</v>
      </c>
      <c r="B2280" s="50">
        <v>45044.647567118</v>
      </c>
      <c r="C2280" s="51">
        <v>1.029</v>
      </c>
      <c r="D2280" s="51">
        <v>62.0</v>
      </c>
      <c r="E2280" s="52" t="s">
        <v>25</v>
      </c>
      <c r="F2280" s="52" t="s">
        <v>26</v>
      </c>
      <c r="G2280" s="54"/>
    </row>
    <row r="2281">
      <c r="A2281" s="49">
        <v>45044.53301493055</v>
      </c>
      <c r="B2281" s="50">
        <v>45044.6579871296</v>
      </c>
      <c r="C2281" s="51">
        <v>1.03</v>
      </c>
      <c r="D2281" s="51">
        <v>62.0</v>
      </c>
      <c r="E2281" s="52" t="s">
        <v>25</v>
      </c>
      <c r="F2281" s="52" t="s">
        <v>26</v>
      </c>
      <c r="G2281" s="54"/>
    </row>
    <row r="2282">
      <c r="A2282" s="49">
        <v>45044.54343078704</v>
      </c>
      <c r="B2282" s="50">
        <v>45044.6684082523</v>
      </c>
      <c r="C2282" s="51">
        <v>1.03</v>
      </c>
      <c r="D2282" s="51">
        <v>62.0</v>
      </c>
      <c r="E2282" s="52" t="s">
        <v>25</v>
      </c>
      <c r="F2282" s="52" t="s">
        <v>26</v>
      </c>
      <c r="G2282" s="54"/>
    </row>
    <row r="2283">
      <c r="A2283" s="49">
        <v>45044.553869282405</v>
      </c>
      <c r="B2283" s="50">
        <v>45044.6788426967</v>
      </c>
      <c r="C2283" s="51">
        <v>1.029</v>
      </c>
      <c r="D2283" s="51">
        <v>62.0</v>
      </c>
      <c r="E2283" s="52" t="s">
        <v>25</v>
      </c>
      <c r="F2283" s="52" t="s">
        <v>26</v>
      </c>
      <c r="G2283" s="54"/>
    </row>
    <row r="2284">
      <c r="A2284" s="49">
        <v>45044.56429241898</v>
      </c>
      <c r="B2284" s="50">
        <v>45044.689262118</v>
      </c>
      <c r="C2284" s="51">
        <v>1.029</v>
      </c>
      <c r="D2284" s="51">
        <v>62.0</v>
      </c>
      <c r="E2284" s="52" t="s">
        <v>25</v>
      </c>
      <c r="F2284" s="52" t="s">
        <v>26</v>
      </c>
      <c r="G2284" s="54"/>
    </row>
    <row r="2285">
      <c r="A2285" s="49">
        <v>45044.574717048614</v>
      </c>
      <c r="B2285" s="50">
        <v>45044.6996959375</v>
      </c>
      <c r="C2285" s="51">
        <v>1.029</v>
      </c>
      <c r="D2285" s="51">
        <v>62.0</v>
      </c>
      <c r="E2285" s="52" t="s">
        <v>25</v>
      </c>
      <c r="F2285" s="52" t="s">
        <v>26</v>
      </c>
      <c r="G2285" s="54"/>
    </row>
    <row r="2286">
      <c r="A2286" s="49">
        <v>45044.585157800924</v>
      </c>
      <c r="B2286" s="50">
        <v>45044.7101281713</v>
      </c>
      <c r="C2286" s="51">
        <v>1.029</v>
      </c>
      <c r="D2286" s="51">
        <v>62.0</v>
      </c>
      <c r="E2286" s="52" t="s">
        <v>25</v>
      </c>
      <c r="F2286" s="52" t="s">
        <v>26</v>
      </c>
      <c r="G2286" s="54"/>
    </row>
    <row r="2287">
      <c r="A2287" s="49">
        <v>45044.59557373842</v>
      </c>
      <c r="B2287" s="50">
        <v>45044.7205493055</v>
      </c>
      <c r="C2287" s="51">
        <v>1.029</v>
      </c>
      <c r="D2287" s="51">
        <v>62.0</v>
      </c>
      <c r="E2287" s="52" t="s">
        <v>25</v>
      </c>
      <c r="F2287" s="52" t="s">
        <v>26</v>
      </c>
      <c r="G2287" s="54"/>
    </row>
    <row r="2288">
      <c r="A2288" s="49">
        <v>45044.60599127314</v>
      </c>
      <c r="B2288" s="50">
        <v>45044.7309710879</v>
      </c>
      <c r="C2288" s="51">
        <v>1.029</v>
      </c>
      <c r="D2288" s="51">
        <v>62.0</v>
      </c>
      <c r="E2288" s="52" t="s">
        <v>25</v>
      </c>
      <c r="F2288" s="52" t="s">
        <v>26</v>
      </c>
      <c r="G2288" s="54"/>
    </row>
    <row r="2289">
      <c r="A2289" s="49">
        <v>45044.616420624996</v>
      </c>
      <c r="B2289" s="50">
        <v>45044.741392743</v>
      </c>
      <c r="C2289" s="51">
        <v>1.029</v>
      </c>
      <c r="D2289" s="51">
        <v>62.0</v>
      </c>
      <c r="E2289" s="52" t="s">
        <v>25</v>
      </c>
      <c r="F2289" s="52" t="s">
        <v>26</v>
      </c>
      <c r="G2289" s="54"/>
    </row>
    <row r="2290">
      <c r="A2290" s="49">
        <v>45044.62684091435</v>
      </c>
      <c r="B2290" s="50">
        <v>45044.7518133217</v>
      </c>
      <c r="C2290" s="51">
        <v>1.029</v>
      </c>
      <c r="D2290" s="51">
        <v>62.0</v>
      </c>
      <c r="E2290" s="52" t="s">
        <v>25</v>
      </c>
      <c r="F2290" s="52" t="s">
        <v>26</v>
      </c>
      <c r="G2290" s="54"/>
    </row>
    <row r="2291">
      <c r="A2291" s="49">
        <v>45044.63726094908</v>
      </c>
      <c r="B2291" s="50">
        <v>45044.7622344676</v>
      </c>
      <c r="C2291" s="51">
        <v>1.029</v>
      </c>
      <c r="D2291" s="51">
        <v>62.0</v>
      </c>
      <c r="E2291" s="52" t="s">
        <v>25</v>
      </c>
      <c r="F2291" s="52" t="s">
        <v>26</v>
      </c>
      <c r="G2291" s="54"/>
    </row>
    <row r="2292">
      <c r="A2292" s="49">
        <v>45044.64767708333</v>
      </c>
      <c r="B2292" s="50">
        <v>45044.7726538426</v>
      </c>
      <c r="C2292" s="51">
        <v>1.029</v>
      </c>
      <c r="D2292" s="51">
        <v>62.0</v>
      </c>
      <c r="E2292" s="52" t="s">
        <v>25</v>
      </c>
      <c r="F2292" s="52" t="s">
        <v>26</v>
      </c>
      <c r="G2292" s="54"/>
    </row>
    <row r="2293">
      <c r="A2293" s="49">
        <v>45044.65809498842</v>
      </c>
      <c r="B2293" s="50">
        <v>45044.7830748148</v>
      </c>
      <c r="C2293" s="51">
        <v>1.029</v>
      </c>
      <c r="D2293" s="51">
        <v>62.0</v>
      </c>
      <c r="E2293" s="52" t="s">
        <v>25</v>
      </c>
      <c r="F2293" s="52" t="s">
        <v>26</v>
      </c>
      <c r="G2293" s="54"/>
    </row>
    <row r="2294">
      <c r="A2294" s="49">
        <v>45044.66851246528</v>
      </c>
      <c r="B2294" s="50">
        <v>45044.7934944444</v>
      </c>
      <c r="C2294" s="51">
        <v>1.029</v>
      </c>
      <c r="D2294" s="51">
        <v>62.0</v>
      </c>
      <c r="E2294" s="52" t="s">
        <v>25</v>
      </c>
      <c r="F2294" s="52" t="s">
        <v>26</v>
      </c>
      <c r="G2294" s="54"/>
    </row>
    <row r="2295">
      <c r="A2295" s="49">
        <v>45044.678944583335</v>
      </c>
      <c r="B2295" s="50">
        <v>45044.8039161921</v>
      </c>
      <c r="C2295" s="51">
        <v>1.029</v>
      </c>
      <c r="D2295" s="51">
        <v>62.0</v>
      </c>
      <c r="E2295" s="52" t="s">
        <v>25</v>
      </c>
      <c r="F2295" s="52" t="s">
        <v>26</v>
      </c>
      <c r="G2295" s="54"/>
    </row>
    <row r="2296">
      <c r="A2296" s="49">
        <v>45044.68935858796</v>
      </c>
      <c r="B2296" s="50">
        <v>45044.8143377199</v>
      </c>
      <c r="C2296" s="51">
        <v>1.029</v>
      </c>
      <c r="D2296" s="51">
        <v>62.0</v>
      </c>
      <c r="E2296" s="52" t="s">
        <v>25</v>
      </c>
      <c r="F2296" s="52" t="s">
        <v>26</v>
      </c>
      <c r="G2296" s="54"/>
    </row>
    <row r="2297">
      <c r="A2297" s="49">
        <v>45044.699801875</v>
      </c>
      <c r="B2297" s="50">
        <v>45044.8247833796</v>
      </c>
      <c r="C2297" s="51">
        <v>1.029</v>
      </c>
      <c r="D2297" s="51">
        <v>62.0</v>
      </c>
      <c r="E2297" s="52" t="s">
        <v>25</v>
      </c>
      <c r="F2297" s="52" t="s">
        <v>26</v>
      </c>
      <c r="G2297" s="54"/>
    </row>
    <row r="2298">
      <c r="A2298" s="49">
        <v>45044.71022995371</v>
      </c>
      <c r="B2298" s="50">
        <v>45044.8352035069</v>
      </c>
      <c r="C2298" s="51">
        <v>1.029</v>
      </c>
      <c r="D2298" s="51">
        <v>62.0</v>
      </c>
      <c r="E2298" s="52" t="s">
        <v>25</v>
      </c>
      <c r="F2298" s="52" t="s">
        <v>26</v>
      </c>
      <c r="G2298" s="54"/>
    </row>
    <row r="2299">
      <c r="A2299" s="49">
        <v>45044.72065296296</v>
      </c>
      <c r="B2299" s="50">
        <v>45044.8456259027</v>
      </c>
      <c r="C2299" s="51">
        <v>1.029</v>
      </c>
      <c r="D2299" s="51">
        <v>62.0</v>
      </c>
      <c r="E2299" s="52" t="s">
        <v>25</v>
      </c>
      <c r="F2299" s="52" t="s">
        <v>26</v>
      </c>
      <c r="G2299" s="54"/>
    </row>
    <row r="2300">
      <c r="A2300" s="49">
        <v>45044.73106936342</v>
      </c>
      <c r="B2300" s="50">
        <v>45044.8560476273</v>
      </c>
      <c r="C2300" s="51">
        <v>1.029</v>
      </c>
      <c r="D2300" s="51">
        <v>62.0</v>
      </c>
      <c r="E2300" s="52" t="s">
        <v>25</v>
      </c>
      <c r="F2300" s="52" t="s">
        <v>26</v>
      </c>
      <c r="G2300" s="54"/>
    </row>
    <row r="2301">
      <c r="A2301" s="49">
        <v>45044.74148818287</v>
      </c>
      <c r="B2301" s="50">
        <v>45044.8664674189</v>
      </c>
      <c r="C2301" s="51">
        <v>1.029</v>
      </c>
      <c r="D2301" s="51">
        <v>62.0</v>
      </c>
      <c r="E2301" s="52" t="s">
        <v>25</v>
      </c>
      <c r="F2301" s="52" t="s">
        <v>26</v>
      </c>
      <c r="G2301" s="54"/>
    </row>
    <row r="2302">
      <c r="A2302" s="49">
        <v>45044.75190982639</v>
      </c>
      <c r="B2302" s="50">
        <v>45044.8768884143</v>
      </c>
      <c r="C2302" s="51">
        <v>1.029</v>
      </c>
      <c r="D2302" s="51">
        <v>62.0</v>
      </c>
      <c r="E2302" s="52" t="s">
        <v>25</v>
      </c>
      <c r="F2302" s="52" t="s">
        <v>26</v>
      </c>
      <c r="G2302" s="54"/>
    </row>
    <row r="2303">
      <c r="A2303" s="49">
        <v>45044.76233924768</v>
      </c>
      <c r="B2303" s="50">
        <v>45044.8873103125</v>
      </c>
      <c r="C2303" s="51">
        <v>1.029</v>
      </c>
      <c r="D2303" s="51">
        <v>62.0</v>
      </c>
      <c r="E2303" s="52" t="s">
        <v>25</v>
      </c>
      <c r="F2303" s="52" t="s">
        <v>26</v>
      </c>
      <c r="G2303" s="54"/>
    </row>
    <row r="2304">
      <c r="A2304" s="49">
        <v>45044.77275721065</v>
      </c>
      <c r="B2304" s="50">
        <v>45044.8977313657</v>
      </c>
      <c r="C2304" s="51">
        <v>1.029</v>
      </c>
      <c r="D2304" s="51">
        <v>62.0</v>
      </c>
      <c r="E2304" s="52" t="s">
        <v>25</v>
      </c>
      <c r="F2304" s="52" t="s">
        <v>26</v>
      </c>
      <c r="G2304" s="54"/>
    </row>
    <row r="2305">
      <c r="A2305" s="49">
        <v>45044.78317728009</v>
      </c>
      <c r="B2305" s="50">
        <v>45044.9081520949</v>
      </c>
      <c r="C2305" s="51">
        <v>1.029</v>
      </c>
      <c r="D2305" s="51">
        <v>62.0</v>
      </c>
      <c r="E2305" s="52" t="s">
        <v>25</v>
      </c>
      <c r="F2305" s="52" t="s">
        <v>26</v>
      </c>
      <c r="G2305" s="54"/>
    </row>
    <row r="2306">
      <c r="A2306" s="49">
        <v>45044.793595173614</v>
      </c>
      <c r="B2306" s="50">
        <v>45044.9185719907</v>
      </c>
      <c r="C2306" s="51">
        <v>1.029</v>
      </c>
      <c r="D2306" s="51">
        <v>62.0</v>
      </c>
      <c r="E2306" s="52" t="s">
        <v>25</v>
      </c>
      <c r="F2306" s="52" t="s">
        <v>26</v>
      </c>
      <c r="G2306" s="54"/>
    </row>
    <row r="2307">
      <c r="A2307" s="49">
        <v>45044.80401715278</v>
      </c>
      <c r="B2307" s="50">
        <v>45044.9289933217</v>
      </c>
      <c r="C2307" s="51">
        <v>1.029</v>
      </c>
      <c r="D2307" s="51">
        <v>62.0</v>
      </c>
      <c r="E2307" s="52" t="s">
        <v>25</v>
      </c>
      <c r="F2307" s="52" t="s">
        <v>26</v>
      </c>
      <c r="G2307" s="54"/>
    </row>
    <row r="2308">
      <c r="A2308" s="49">
        <v>45044.81443486111</v>
      </c>
      <c r="B2308" s="50">
        <v>45044.9394155439</v>
      </c>
      <c r="C2308" s="51">
        <v>1.029</v>
      </c>
      <c r="D2308" s="51">
        <v>62.0</v>
      </c>
      <c r="E2308" s="52" t="s">
        <v>25</v>
      </c>
      <c r="F2308" s="52" t="s">
        <v>26</v>
      </c>
      <c r="G2308" s="54"/>
    </row>
    <row r="2309">
      <c r="A2309" s="49">
        <v>45044.82486644676</v>
      </c>
      <c r="B2309" s="50">
        <v>45044.9498477893</v>
      </c>
      <c r="C2309" s="51">
        <v>1.029</v>
      </c>
      <c r="D2309" s="51">
        <v>62.0</v>
      </c>
      <c r="E2309" s="52" t="s">
        <v>25</v>
      </c>
      <c r="F2309" s="52" t="s">
        <v>26</v>
      </c>
      <c r="G2309" s="54"/>
    </row>
    <row r="2310">
      <c r="A2310" s="49">
        <v>45044.83529260417</v>
      </c>
      <c r="B2310" s="50">
        <v>45044.9602683333</v>
      </c>
      <c r="C2310" s="51">
        <v>1.029</v>
      </c>
      <c r="D2310" s="51">
        <v>62.0</v>
      </c>
      <c r="E2310" s="52" t="s">
        <v>25</v>
      </c>
      <c r="F2310" s="52" t="s">
        <v>26</v>
      </c>
      <c r="G2310" s="54"/>
    </row>
    <row r="2311">
      <c r="A2311" s="49">
        <v>45044.84571195602</v>
      </c>
      <c r="B2311" s="50">
        <v>45044.9706885532</v>
      </c>
      <c r="C2311" s="51">
        <v>1.029</v>
      </c>
      <c r="D2311" s="51">
        <v>62.0</v>
      </c>
      <c r="E2311" s="52" t="s">
        <v>25</v>
      </c>
      <c r="F2311" s="52" t="s">
        <v>26</v>
      </c>
      <c r="G2311" s="54"/>
    </row>
    <row r="2312">
      <c r="A2312" s="49">
        <v>45044.85612759259</v>
      </c>
      <c r="B2312" s="50">
        <v>45044.9811082638</v>
      </c>
      <c r="C2312" s="51">
        <v>1.029</v>
      </c>
      <c r="D2312" s="51">
        <v>62.0</v>
      </c>
      <c r="E2312" s="52" t="s">
        <v>25</v>
      </c>
      <c r="F2312" s="52" t="s">
        <v>26</v>
      </c>
      <c r="G2312" s="54"/>
    </row>
    <row r="2313">
      <c r="A2313" s="49">
        <v>45044.866589247686</v>
      </c>
      <c r="B2313" s="50">
        <v>45044.9915540046</v>
      </c>
      <c r="C2313" s="51">
        <v>1.029</v>
      </c>
      <c r="D2313" s="51">
        <v>62.0</v>
      </c>
      <c r="E2313" s="52" t="s">
        <v>25</v>
      </c>
      <c r="F2313" s="52" t="s">
        <v>26</v>
      </c>
      <c r="G2313" s="54"/>
    </row>
    <row r="2314">
      <c r="A2314" s="49">
        <v>45044.87701658565</v>
      </c>
      <c r="B2314" s="50">
        <v>45045.0019869675</v>
      </c>
      <c r="C2314" s="51">
        <v>1.029</v>
      </c>
      <c r="D2314" s="51">
        <v>62.0</v>
      </c>
      <c r="E2314" s="52" t="s">
        <v>25</v>
      </c>
      <c r="F2314" s="52" t="s">
        <v>26</v>
      </c>
      <c r="G2314" s="54"/>
    </row>
    <row r="2315">
      <c r="A2315" s="49">
        <v>45044.88743872685</v>
      </c>
      <c r="B2315" s="50">
        <v>45045.0124180902</v>
      </c>
      <c r="C2315" s="51">
        <v>1.029</v>
      </c>
      <c r="D2315" s="51">
        <v>62.0</v>
      </c>
      <c r="E2315" s="52" t="s">
        <v>25</v>
      </c>
      <c r="F2315" s="52" t="s">
        <v>26</v>
      </c>
      <c r="G2315" s="54"/>
    </row>
    <row r="2316">
      <c r="A2316" s="49">
        <v>45044.89788875</v>
      </c>
      <c r="B2316" s="50">
        <v>45045.022860868</v>
      </c>
      <c r="C2316" s="51">
        <v>1.029</v>
      </c>
      <c r="D2316" s="51">
        <v>62.0</v>
      </c>
      <c r="E2316" s="52" t="s">
        <v>25</v>
      </c>
      <c r="F2316" s="52" t="s">
        <v>26</v>
      </c>
      <c r="G2316" s="54"/>
    </row>
    <row r="2317">
      <c r="A2317" s="49">
        <v>45044.90830594907</v>
      </c>
      <c r="B2317" s="50">
        <v>45045.0332837384</v>
      </c>
      <c r="C2317" s="51">
        <v>1.029</v>
      </c>
      <c r="D2317" s="51">
        <v>62.0</v>
      </c>
      <c r="E2317" s="52" t="s">
        <v>25</v>
      </c>
      <c r="F2317" s="52" t="s">
        <v>26</v>
      </c>
      <c r="G2317" s="54"/>
    </row>
    <row r="2318">
      <c r="A2318" s="49">
        <v>45044.91873716435</v>
      </c>
      <c r="B2318" s="50">
        <v>45045.0437049884</v>
      </c>
      <c r="C2318" s="51">
        <v>1.029</v>
      </c>
      <c r="D2318" s="51">
        <v>62.0</v>
      </c>
      <c r="E2318" s="52" t="s">
        <v>25</v>
      </c>
      <c r="F2318" s="52" t="s">
        <v>26</v>
      </c>
      <c r="G2318" s="54"/>
    </row>
    <row r="2319">
      <c r="A2319" s="49">
        <v>45044.92915471065</v>
      </c>
      <c r="B2319" s="50">
        <v>45045.0541250694</v>
      </c>
      <c r="C2319" s="51">
        <v>1.029</v>
      </c>
      <c r="D2319" s="51">
        <v>62.0</v>
      </c>
      <c r="E2319" s="52" t="s">
        <v>25</v>
      </c>
      <c r="F2319" s="52" t="s">
        <v>26</v>
      </c>
      <c r="G2319" s="54"/>
    </row>
    <row r="2320">
      <c r="A2320" s="49">
        <v>45044.93957361111</v>
      </c>
      <c r="B2320" s="50">
        <v>45045.0645467824</v>
      </c>
      <c r="C2320" s="51">
        <v>1.029</v>
      </c>
      <c r="D2320" s="51">
        <v>62.0</v>
      </c>
      <c r="E2320" s="52" t="s">
        <v>25</v>
      </c>
      <c r="F2320" s="52" t="s">
        <v>26</v>
      </c>
      <c r="G2320" s="54"/>
    </row>
    <row r="2321">
      <c r="A2321" s="49">
        <v>45044.94999282407</v>
      </c>
      <c r="B2321" s="50">
        <v>45045.0749677662</v>
      </c>
      <c r="C2321" s="51">
        <v>1.029</v>
      </c>
      <c r="D2321" s="51">
        <v>62.0</v>
      </c>
      <c r="E2321" s="52" t="s">
        <v>25</v>
      </c>
      <c r="F2321" s="52" t="s">
        <v>26</v>
      </c>
      <c r="G2321" s="54"/>
    </row>
    <row r="2322">
      <c r="A2322" s="49">
        <v>45044.960422523145</v>
      </c>
      <c r="B2322" s="50">
        <v>45045.0854000694</v>
      </c>
      <c r="C2322" s="51">
        <v>1.029</v>
      </c>
      <c r="D2322" s="51">
        <v>62.0</v>
      </c>
      <c r="E2322" s="52" t="s">
        <v>25</v>
      </c>
      <c r="F2322" s="52" t="s">
        <v>26</v>
      </c>
      <c r="G2322" s="54"/>
    </row>
    <row r="2323">
      <c r="A2323" s="49">
        <v>45044.97084357639</v>
      </c>
      <c r="B2323" s="50">
        <v>45045.095818912</v>
      </c>
      <c r="C2323" s="51">
        <v>1.029</v>
      </c>
      <c r="D2323" s="51">
        <v>62.0</v>
      </c>
      <c r="E2323" s="52" t="s">
        <v>25</v>
      </c>
      <c r="F2323" s="52" t="s">
        <v>26</v>
      </c>
      <c r="G2323" s="54"/>
    </row>
    <row r="2324">
      <c r="A2324" s="49">
        <v>45044.98128165509</v>
      </c>
      <c r="B2324" s="50">
        <v>45045.1062510416</v>
      </c>
      <c r="C2324" s="51">
        <v>1.029</v>
      </c>
      <c r="D2324" s="51">
        <v>62.0</v>
      </c>
      <c r="E2324" s="52" t="s">
        <v>25</v>
      </c>
      <c r="F2324" s="52" t="s">
        <v>26</v>
      </c>
      <c r="G2324" s="54"/>
    </row>
    <row r="2325">
      <c r="A2325" s="49">
        <v>45044.99169915509</v>
      </c>
      <c r="B2325" s="50">
        <v>45045.1166703472</v>
      </c>
      <c r="C2325" s="51">
        <v>1.029</v>
      </c>
      <c r="D2325" s="51">
        <v>62.0</v>
      </c>
      <c r="E2325" s="52" t="s">
        <v>25</v>
      </c>
      <c r="F2325" s="52" t="s">
        <v>26</v>
      </c>
      <c r="G2325" s="54"/>
    </row>
    <row r="2326">
      <c r="A2326" s="49">
        <v>45045.00211523148</v>
      </c>
      <c r="B2326" s="50">
        <v>45045.1270907986</v>
      </c>
      <c r="C2326" s="51">
        <v>1.029</v>
      </c>
      <c r="D2326" s="51">
        <v>62.0</v>
      </c>
      <c r="E2326" s="52" t="s">
        <v>25</v>
      </c>
      <c r="F2326" s="52" t="s">
        <v>26</v>
      </c>
      <c r="G2326" s="54"/>
    </row>
    <row r="2327">
      <c r="A2327" s="49">
        <v>45045.012546377315</v>
      </c>
      <c r="B2327" s="50">
        <v>45045.1375259375</v>
      </c>
      <c r="C2327" s="51">
        <v>1.029</v>
      </c>
      <c r="D2327" s="51">
        <v>62.0</v>
      </c>
      <c r="E2327" s="52" t="s">
        <v>25</v>
      </c>
      <c r="F2327" s="52" t="s">
        <v>26</v>
      </c>
      <c r="G2327" s="54"/>
    </row>
    <row r="2328">
      <c r="A2328" s="49">
        <v>45045.02297651621</v>
      </c>
      <c r="B2328" s="50">
        <v>45045.1479466319</v>
      </c>
      <c r="C2328" s="51">
        <v>1.029</v>
      </c>
      <c r="D2328" s="51">
        <v>62.0</v>
      </c>
      <c r="E2328" s="52" t="s">
        <v>25</v>
      </c>
      <c r="F2328" s="52" t="s">
        <v>26</v>
      </c>
      <c r="G2328" s="54"/>
    </row>
    <row r="2329">
      <c r="A2329" s="49">
        <v>45045.03339506945</v>
      </c>
      <c r="B2329" s="50">
        <v>45045.1583686111</v>
      </c>
      <c r="C2329" s="51">
        <v>1.029</v>
      </c>
      <c r="D2329" s="51">
        <v>62.0</v>
      </c>
      <c r="E2329" s="52" t="s">
        <v>25</v>
      </c>
      <c r="F2329" s="52" t="s">
        <v>26</v>
      </c>
      <c r="G2329" s="54"/>
    </row>
    <row r="2330">
      <c r="A2330" s="49">
        <v>45045.04382453704</v>
      </c>
      <c r="B2330" s="50">
        <v>45045.1687919907</v>
      </c>
      <c r="C2330" s="51">
        <v>1.029</v>
      </c>
      <c r="D2330" s="51">
        <v>62.0</v>
      </c>
      <c r="E2330" s="52" t="s">
        <v>25</v>
      </c>
      <c r="F2330" s="52" t="s">
        <v>26</v>
      </c>
      <c r="G2330" s="54"/>
    </row>
    <row r="2331">
      <c r="A2331" s="49">
        <v>45045.05424834491</v>
      </c>
      <c r="B2331" s="50">
        <v>45045.1792128935</v>
      </c>
      <c r="C2331" s="51">
        <v>1.029</v>
      </c>
      <c r="D2331" s="51">
        <v>62.0</v>
      </c>
      <c r="E2331" s="52" t="s">
        <v>25</v>
      </c>
      <c r="F2331" s="52" t="s">
        <v>26</v>
      </c>
      <c r="G2331" s="54"/>
    </row>
    <row r="2332">
      <c r="A2332" s="49">
        <v>45045.06465748843</v>
      </c>
      <c r="B2332" s="50">
        <v>45045.1896335416</v>
      </c>
      <c r="C2332" s="51">
        <v>1.029</v>
      </c>
      <c r="D2332" s="51">
        <v>62.0</v>
      </c>
      <c r="E2332" s="52" t="s">
        <v>25</v>
      </c>
      <c r="F2332" s="52" t="s">
        <v>26</v>
      </c>
      <c r="G2332" s="54"/>
    </row>
    <row r="2333">
      <c r="A2333" s="49">
        <v>45045.07507774305</v>
      </c>
      <c r="B2333" s="50">
        <v>45045.2000537962</v>
      </c>
      <c r="C2333" s="51">
        <v>1.029</v>
      </c>
      <c r="D2333" s="51">
        <v>62.0</v>
      </c>
      <c r="E2333" s="52" t="s">
        <v>25</v>
      </c>
      <c r="F2333" s="52" t="s">
        <v>26</v>
      </c>
      <c r="G2333" s="54"/>
    </row>
    <row r="2334">
      <c r="A2334" s="49">
        <v>45045.08550806713</v>
      </c>
      <c r="B2334" s="50">
        <v>45045.2104762037</v>
      </c>
      <c r="C2334" s="51">
        <v>1.029</v>
      </c>
      <c r="D2334" s="51">
        <v>62.0</v>
      </c>
      <c r="E2334" s="52" t="s">
        <v>25</v>
      </c>
      <c r="F2334" s="52" t="s">
        <v>26</v>
      </c>
      <c r="G2334" s="54"/>
    </row>
    <row r="2335">
      <c r="A2335" s="49">
        <v>45045.0959269213</v>
      </c>
      <c r="B2335" s="50">
        <v>45045.22089853</v>
      </c>
      <c r="C2335" s="51">
        <v>1.029</v>
      </c>
      <c r="D2335" s="51">
        <v>62.0</v>
      </c>
      <c r="E2335" s="52" t="s">
        <v>25</v>
      </c>
      <c r="F2335" s="52" t="s">
        <v>26</v>
      </c>
      <c r="G2335" s="54"/>
    </row>
    <row r="2336">
      <c r="A2336" s="49">
        <v>45045.106341875</v>
      </c>
      <c r="B2336" s="50">
        <v>45045.2313201041</v>
      </c>
      <c r="C2336" s="51">
        <v>1.029</v>
      </c>
      <c r="D2336" s="51">
        <v>62.0</v>
      </c>
      <c r="E2336" s="52" t="s">
        <v>25</v>
      </c>
      <c r="F2336" s="52" t="s">
        <v>26</v>
      </c>
      <c r="G2336" s="54"/>
    </row>
    <row r="2337">
      <c r="A2337" s="49">
        <v>45045.116772650465</v>
      </c>
      <c r="B2337" s="50">
        <v>45045.2417420138</v>
      </c>
      <c r="C2337" s="51">
        <v>1.029</v>
      </c>
      <c r="D2337" s="51">
        <v>62.0</v>
      </c>
      <c r="E2337" s="52" t="s">
        <v>25</v>
      </c>
      <c r="F2337" s="52" t="s">
        <v>26</v>
      </c>
      <c r="G2337" s="54"/>
    </row>
    <row r="2338">
      <c r="A2338" s="49">
        <v>45045.12719153935</v>
      </c>
      <c r="B2338" s="50">
        <v>45045.2521638194</v>
      </c>
      <c r="C2338" s="51">
        <v>1.029</v>
      </c>
      <c r="D2338" s="51">
        <v>62.0</v>
      </c>
      <c r="E2338" s="52" t="s">
        <v>25</v>
      </c>
      <c r="F2338" s="52" t="s">
        <v>26</v>
      </c>
      <c r="G2338" s="54"/>
    </row>
    <row r="2339">
      <c r="A2339" s="49">
        <v>45045.13761075231</v>
      </c>
      <c r="B2339" s="50">
        <v>45045.2625852083</v>
      </c>
      <c r="C2339" s="51">
        <v>1.028</v>
      </c>
      <c r="D2339" s="51">
        <v>62.0</v>
      </c>
      <c r="E2339" s="52" t="s">
        <v>25</v>
      </c>
      <c r="F2339" s="52" t="s">
        <v>26</v>
      </c>
      <c r="G2339" s="54"/>
    </row>
    <row r="2340">
      <c r="A2340" s="49">
        <v>45045.14804130787</v>
      </c>
      <c r="B2340" s="50">
        <v>45045.2730169212</v>
      </c>
      <c r="C2340" s="51">
        <v>1.029</v>
      </c>
      <c r="D2340" s="51">
        <v>62.0</v>
      </c>
      <c r="E2340" s="52" t="s">
        <v>25</v>
      </c>
      <c r="F2340" s="52" t="s">
        <v>26</v>
      </c>
      <c r="G2340" s="54"/>
    </row>
    <row r="2341">
      <c r="A2341" s="49">
        <v>45045.15845811342</v>
      </c>
      <c r="B2341" s="50">
        <v>45045.2834371643</v>
      </c>
      <c r="C2341" s="51">
        <v>1.029</v>
      </c>
      <c r="D2341" s="51">
        <v>62.0</v>
      </c>
      <c r="E2341" s="52" t="s">
        <v>25</v>
      </c>
      <c r="F2341" s="52" t="s">
        <v>26</v>
      </c>
      <c r="G2341" s="54"/>
    </row>
    <row r="2342">
      <c r="A2342" s="49">
        <v>45045.168875717594</v>
      </c>
      <c r="B2342" s="50">
        <v>45045.2938568865</v>
      </c>
      <c r="C2342" s="51">
        <v>1.029</v>
      </c>
      <c r="D2342" s="51">
        <v>62.0</v>
      </c>
      <c r="E2342" s="52" t="s">
        <v>25</v>
      </c>
      <c r="F2342" s="52" t="s">
        <v>26</v>
      </c>
      <c r="G2342" s="54"/>
    </row>
    <row r="2343">
      <c r="A2343" s="49">
        <v>45045.17930638889</v>
      </c>
      <c r="B2343" s="50">
        <v>45045.3042787037</v>
      </c>
      <c r="C2343" s="51">
        <v>1.028</v>
      </c>
      <c r="D2343" s="51">
        <v>62.0</v>
      </c>
      <c r="E2343" s="52" t="s">
        <v>25</v>
      </c>
      <c r="F2343" s="52" t="s">
        <v>26</v>
      </c>
      <c r="G2343" s="54"/>
    </row>
    <row r="2344">
      <c r="A2344" s="49">
        <v>45045.18972415509</v>
      </c>
      <c r="B2344" s="50">
        <v>45045.3147002199</v>
      </c>
      <c r="C2344" s="51">
        <v>1.028</v>
      </c>
      <c r="D2344" s="51">
        <v>62.0</v>
      </c>
      <c r="E2344" s="52" t="s">
        <v>25</v>
      </c>
      <c r="F2344" s="52" t="s">
        <v>26</v>
      </c>
      <c r="G2344" s="54"/>
    </row>
    <row r="2345">
      <c r="A2345" s="49">
        <v>45045.200142222224</v>
      </c>
      <c r="B2345" s="50">
        <v>45045.3251214004</v>
      </c>
      <c r="C2345" s="51">
        <v>1.028</v>
      </c>
      <c r="D2345" s="51">
        <v>62.0</v>
      </c>
      <c r="E2345" s="52" t="s">
        <v>25</v>
      </c>
      <c r="F2345" s="52" t="s">
        <v>26</v>
      </c>
      <c r="G2345" s="54"/>
    </row>
    <row r="2346">
      <c r="A2346" s="49">
        <v>45045.21057283565</v>
      </c>
      <c r="B2346" s="50">
        <v>45045.3355440162</v>
      </c>
      <c r="C2346" s="51">
        <v>1.028</v>
      </c>
      <c r="D2346" s="51">
        <v>62.0</v>
      </c>
      <c r="E2346" s="52" t="s">
        <v>25</v>
      </c>
      <c r="F2346" s="52" t="s">
        <v>26</v>
      </c>
      <c r="G2346" s="54"/>
    </row>
    <row r="2347">
      <c r="A2347" s="49">
        <v>45045.2209928588</v>
      </c>
      <c r="B2347" s="50">
        <v>45045.3459652546</v>
      </c>
      <c r="C2347" s="51">
        <v>1.029</v>
      </c>
      <c r="D2347" s="51">
        <v>62.0</v>
      </c>
      <c r="E2347" s="52" t="s">
        <v>25</v>
      </c>
      <c r="F2347" s="52" t="s">
        <v>26</v>
      </c>
      <c r="G2347" s="54"/>
    </row>
    <row r="2348">
      <c r="A2348" s="49">
        <v>45045.23140502315</v>
      </c>
      <c r="B2348" s="50">
        <v>45045.3563870486</v>
      </c>
      <c r="C2348" s="51">
        <v>1.028</v>
      </c>
      <c r="D2348" s="51">
        <v>62.0</v>
      </c>
      <c r="E2348" s="52" t="s">
        <v>25</v>
      </c>
      <c r="F2348" s="52" t="s">
        <v>26</v>
      </c>
      <c r="G2348" s="54"/>
    </row>
    <row r="2349">
      <c r="A2349" s="49">
        <v>45045.241824571756</v>
      </c>
      <c r="B2349" s="50">
        <v>45045.3668066782</v>
      </c>
      <c r="C2349" s="51">
        <v>1.028</v>
      </c>
      <c r="D2349" s="51">
        <v>62.0</v>
      </c>
      <c r="E2349" s="52" t="s">
        <v>25</v>
      </c>
      <c r="F2349" s="52" t="s">
        <v>26</v>
      </c>
      <c r="G2349" s="54"/>
    </row>
    <row r="2350">
      <c r="A2350" s="49">
        <v>45045.25225802083</v>
      </c>
      <c r="B2350" s="50">
        <v>45045.3772277777</v>
      </c>
      <c r="C2350" s="51">
        <v>1.028</v>
      </c>
      <c r="D2350" s="51">
        <v>62.0</v>
      </c>
      <c r="E2350" s="52" t="s">
        <v>25</v>
      </c>
      <c r="F2350" s="52" t="s">
        <v>26</v>
      </c>
      <c r="G2350" s="54"/>
    </row>
    <row r="2351">
      <c r="A2351" s="49">
        <v>45045.26267277778</v>
      </c>
      <c r="B2351" s="50">
        <v>45045.387648125</v>
      </c>
      <c r="C2351" s="51">
        <v>1.028</v>
      </c>
      <c r="D2351" s="51">
        <v>62.0</v>
      </c>
      <c r="E2351" s="52" t="s">
        <v>25</v>
      </c>
      <c r="F2351" s="52" t="s">
        <v>26</v>
      </c>
      <c r="G2351" s="54"/>
    </row>
    <row r="2352">
      <c r="A2352" s="49">
        <v>45045.273091828705</v>
      </c>
      <c r="B2352" s="50">
        <v>45045.3980693287</v>
      </c>
      <c r="C2352" s="51">
        <v>1.028</v>
      </c>
      <c r="D2352" s="51">
        <v>62.0</v>
      </c>
      <c r="E2352" s="52" t="s">
        <v>25</v>
      </c>
      <c r="F2352" s="52" t="s">
        <v>26</v>
      </c>
      <c r="G2352" s="54"/>
    </row>
    <row r="2353">
      <c r="A2353" s="49">
        <v>45045.283520150464</v>
      </c>
      <c r="B2353" s="50">
        <v>45045.4085014699</v>
      </c>
      <c r="C2353" s="51">
        <v>1.028</v>
      </c>
      <c r="D2353" s="51">
        <v>62.0</v>
      </c>
      <c r="E2353" s="52" t="s">
        <v>25</v>
      </c>
      <c r="F2353" s="52" t="s">
        <v>26</v>
      </c>
      <c r="G2353" s="54"/>
    </row>
    <row r="2354">
      <c r="A2354" s="49">
        <v>45045.29395457176</v>
      </c>
      <c r="B2354" s="50">
        <v>45045.4189345023</v>
      </c>
      <c r="C2354" s="51">
        <v>1.028</v>
      </c>
      <c r="D2354" s="51">
        <v>62.0</v>
      </c>
      <c r="E2354" s="52" t="s">
        <v>25</v>
      </c>
      <c r="F2354" s="52" t="s">
        <v>26</v>
      </c>
      <c r="G2354" s="54"/>
    </row>
    <row r="2355">
      <c r="A2355" s="49">
        <v>45045.30437521991</v>
      </c>
      <c r="B2355" s="50">
        <v>45045.4293559259</v>
      </c>
      <c r="C2355" s="51">
        <v>1.028</v>
      </c>
      <c r="D2355" s="51">
        <v>62.0</v>
      </c>
      <c r="E2355" s="52" t="s">
        <v>25</v>
      </c>
      <c r="F2355" s="52" t="s">
        <v>26</v>
      </c>
      <c r="G2355" s="54"/>
    </row>
    <row r="2356">
      <c r="A2356" s="49">
        <v>45045.31480723379</v>
      </c>
      <c r="B2356" s="50">
        <v>45045.4397789467</v>
      </c>
      <c r="C2356" s="51">
        <v>1.028</v>
      </c>
      <c r="D2356" s="51">
        <v>62.0</v>
      </c>
      <c r="E2356" s="52" t="s">
        <v>25</v>
      </c>
      <c r="F2356" s="52" t="s">
        <v>26</v>
      </c>
      <c r="G2356" s="54"/>
    </row>
    <row r="2357">
      <c r="A2357" s="49">
        <v>45045.325226863424</v>
      </c>
      <c r="B2357" s="50">
        <v>45045.4501988426</v>
      </c>
      <c r="C2357" s="51">
        <v>1.028</v>
      </c>
      <c r="D2357" s="51">
        <v>62.0</v>
      </c>
      <c r="E2357" s="52" t="s">
        <v>25</v>
      </c>
      <c r="F2357" s="52" t="s">
        <v>26</v>
      </c>
      <c r="G2357" s="54"/>
    </row>
    <row r="2358">
      <c r="A2358" s="49">
        <v>45045.33563681713</v>
      </c>
      <c r="B2358" s="50">
        <v>45045.4606200115</v>
      </c>
      <c r="C2358" s="51">
        <v>1.028</v>
      </c>
      <c r="D2358" s="51">
        <v>62.0</v>
      </c>
      <c r="E2358" s="52" t="s">
        <v>25</v>
      </c>
      <c r="F2358" s="52" t="s">
        <v>26</v>
      </c>
      <c r="G2358" s="54"/>
    </row>
    <row r="2359">
      <c r="A2359" s="49">
        <v>45045.34606898148</v>
      </c>
      <c r="B2359" s="50">
        <v>45045.4710394791</v>
      </c>
      <c r="C2359" s="51">
        <v>1.028</v>
      </c>
      <c r="D2359" s="51">
        <v>62.0</v>
      </c>
      <c r="E2359" s="52" t="s">
        <v>25</v>
      </c>
      <c r="F2359" s="52" t="s">
        <v>26</v>
      </c>
      <c r="G2359" s="54"/>
    </row>
    <row r="2360">
      <c r="A2360" s="49">
        <v>45045.35648103009</v>
      </c>
      <c r="B2360" s="50">
        <v>45045.4814603587</v>
      </c>
      <c r="C2360" s="51">
        <v>1.028</v>
      </c>
      <c r="D2360" s="51">
        <v>62.0</v>
      </c>
      <c r="E2360" s="52" t="s">
        <v>25</v>
      </c>
      <c r="F2360" s="52" t="s">
        <v>26</v>
      </c>
      <c r="G2360" s="54"/>
    </row>
    <row r="2361">
      <c r="A2361" s="49">
        <v>45045.36690528935</v>
      </c>
      <c r="B2361" s="50">
        <v>45045.4918815046</v>
      </c>
      <c r="C2361" s="51">
        <v>1.028</v>
      </c>
      <c r="D2361" s="51">
        <v>62.0</v>
      </c>
      <c r="E2361" s="52" t="s">
        <v>25</v>
      </c>
      <c r="F2361" s="52" t="s">
        <v>26</v>
      </c>
      <c r="G2361" s="54"/>
    </row>
    <row r="2362">
      <c r="A2362" s="49">
        <v>45045.377326875</v>
      </c>
      <c r="B2362" s="50">
        <v>45045.5023021412</v>
      </c>
      <c r="C2362" s="51">
        <v>1.028</v>
      </c>
      <c r="D2362" s="51">
        <v>62.0</v>
      </c>
      <c r="E2362" s="52" t="s">
        <v>25</v>
      </c>
      <c r="F2362" s="52" t="s">
        <v>26</v>
      </c>
      <c r="G2362" s="54"/>
    </row>
    <row r="2363">
      <c r="A2363" s="49">
        <v>45045.39818596064</v>
      </c>
      <c r="B2363" s="50">
        <v>45045.52315603</v>
      </c>
      <c r="C2363" s="51">
        <v>1.028</v>
      </c>
      <c r="D2363" s="51">
        <v>62.0</v>
      </c>
      <c r="E2363" s="52" t="s">
        <v>25</v>
      </c>
      <c r="F2363" s="52" t="s">
        <v>26</v>
      </c>
      <c r="G2363" s="54"/>
    </row>
    <row r="2364">
      <c r="A2364" s="49">
        <v>45045.40860782407</v>
      </c>
      <c r="B2364" s="50">
        <v>45045.5335774652</v>
      </c>
      <c r="C2364" s="51">
        <v>1.028</v>
      </c>
      <c r="D2364" s="51">
        <v>62.0</v>
      </c>
      <c r="E2364" s="52" t="s">
        <v>25</v>
      </c>
      <c r="F2364" s="52" t="s">
        <v>26</v>
      </c>
      <c r="G2364" s="54"/>
    </row>
    <row r="2365">
      <c r="A2365" s="49">
        <v>45045.41902917824</v>
      </c>
      <c r="B2365" s="50">
        <v>45045.5439984143</v>
      </c>
      <c r="C2365" s="51">
        <v>1.028</v>
      </c>
      <c r="D2365" s="51">
        <v>62.0</v>
      </c>
      <c r="E2365" s="52" t="s">
        <v>25</v>
      </c>
      <c r="F2365" s="52" t="s">
        <v>26</v>
      </c>
      <c r="G2365" s="54"/>
    </row>
    <row r="2366">
      <c r="A2366" s="49">
        <v>45045.42944600694</v>
      </c>
      <c r="B2366" s="50">
        <v>45045.5544197106</v>
      </c>
      <c r="C2366" s="51">
        <v>1.028</v>
      </c>
      <c r="D2366" s="51">
        <v>62.0</v>
      </c>
      <c r="E2366" s="52" t="s">
        <v>25</v>
      </c>
      <c r="F2366" s="52" t="s">
        <v>26</v>
      </c>
      <c r="G2366" s="54"/>
    </row>
    <row r="2367">
      <c r="A2367" s="49">
        <v>45045.43988034722</v>
      </c>
      <c r="B2367" s="50">
        <v>45045.5648525347</v>
      </c>
      <c r="C2367" s="51">
        <v>1.028</v>
      </c>
      <c r="D2367" s="51">
        <v>62.0</v>
      </c>
      <c r="E2367" s="52" t="s">
        <v>25</v>
      </c>
      <c r="F2367" s="52" t="s">
        <v>26</v>
      </c>
      <c r="G2367" s="54"/>
    </row>
    <row r="2368">
      <c r="A2368" s="49">
        <v>45045.45030096065</v>
      </c>
      <c r="B2368" s="50">
        <v>45045.5752722916</v>
      </c>
      <c r="C2368" s="51">
        <v>1.028</v>
      </c>
      <c r="D2368" s="51">
        <v>62.0</v>
      </c>
      <c r="E2368" s="52" t="s">
        <v>25</v>
      </c>
      <c r="F2368" s="52" t="s">
        <v>26</v>
      </c>
      <c r="G2368" s="54"/>
    </row>
    <row r="2369">
      <c r="A2369" s="49">
        <v>45045.46071678241</v>
      </c>
      <c r="B2369" s="50">
        <v>45045.5856939467</v>
      </c>
      <c r="C2369" s="51">
        <v>1.028</v>
      </c>
      <c r="D2369" s="51">
        <v>62.0</v>
      </c>
      <c r="E2369" s="52" t="s">
        <v>25</v>
      </c>
      <c r="F2369" s="52" t="s">
        <v>26</v>
      </c>
      <c r="G2369" s="54"/>
    </row>
    <row r="2370">
      <c r="A2370" s="49">
        <v>45045.47114795139</v>
      </c>
      <c r="B2370" s="50">
        <v>45045.596125949</v>
      </c>
      <c r="C2370" s="51">
        <v>1.028</v>
      </c>
      <c r="D2370" s="51">
        <v>62.0</v>
      </c>
      <c r="E2370" s="52" t="s">
        <v>25</v>
      </c>
      <c r="F2370" s="52" t="s">
        <v>26</v>
      </c>
      <c r="G2370" s="54"/>
    </row>
    <row r="2371">
      <c r="A2371" s="49">
        <v>45045.48157795139</v>
      </c>
      <c r="B2371" s="50">
        <v>45045.606556331</v>
      </c>
      <c r="C2371" s="51">
        <v>1.028</v>
      </c>
      <c r="D2371" s="51">
        <v>62.0</v>
      </c>
      <c r="E2371" s="52" t="s">
        <v>25</v>
      </c>
      <c r="F2371" s="52" t="s">
        <v>26</v>
      </c>
      <c r="G2371" s="54"/>
    </row>
    <row r="2372">
      <c r="A2372" s="49">
        <v>45045.492000150465</v>
      </c>
      <c r="B2372" s="50">
        <v>45045.6169759953</v>
      </c>
      <c r="C2372" s="51">
        <v>1.028</v>
      </c>
      <c r="D2372" s="51">
        <v>62.0</v>
      </c>
      <c r="E2372" s="52" t="s">
        <v>25</v>
      </c>
      <c r="F2372" s="52" t="s">
        <v>26</v>
      </c>
      <c r="G2372" s="54"/>
    </row>
    <row r="2373">
      <c r="A2373" s="49">
        <v>45045.502428368054</v>
      </c>
      <c r="B2373" s="50">
        <v>45045.6273970949</v>
      </c>
      <c r="C2373" s="51">
        <v>1.028</v>
      </c>
      <c r="D2373" s="51">
        <v>62.0</v>
      </c>
      <c r="E2373" s="52" t="s">
        <v>25</v>
      </c>
      <c r="F2373" s="52" t="s">
        <v>26</v>
      </c>
      <c r="G2373" s="54"/>
    </row>
    <row r="2374">
      <c r="A2374" s="49">
        <v>45045.512847129634</v>
      </c>
      <c r="B2374" s="50">
        <v>45045.6378176273</v>
      </c>
      <c r="C2374" s="51">
        <v>1.028</v>
      </c>
      <c r="D2374" s="51">
        <v>62.0</v>
      </c>
      <c r="E2374" s="52" t="s">
        <v>25</v>
      </c>
      <c r="F2374" s="52" t="s">
        <v>26</v>
      </c>
      <c r="G2374" s="54"/>
    </row>
    <row r="2375">
      <c r="A2375" s="49">
        <v>45045.52326122685</v>
      </c>
      <c r="B2375" s="50">
        <v>45045.6482386689</v>
      </c>
      <c r="C2375" s="51">
        <v>1.028</v>
      </c>
      <c r="D2375" s="51">
        <v>62.0</v>
      </c>
      <c r="E2375" s="52" t="s">
        <v>25</v>
      </c>
      <c r="F2375" s="52" t="s">
        <v>26</v>
      </c>
      <c r="G2375" s="54"/>
    </row>
    <row r="2376">
      <c r="A2376" s="49">
        <v>45045.53369077547</v>
      </c>
      <c r="B2376" s="50">
        <v>45045.6586602199</v>
      </c>
      <c r="C2376" s="51">
        <v>1.028</v>
      </c>
      <c r="D2376" s="51">
        <v>62.0</v>
      </c>
      <c r="E2376" s="52" t="s">
        <v>25</v>
      </c>
      <c r="F2376" s="52" t="s">
        <v>26</v>
      </c>
      <c r="G2376" s="54"/>
    </row>
    <row r="2377">
      <c r="A2377" s="49">
        <v>45045.5441105787</v>
      </c>
      <c r="B2377" s="50">
        <v>45045.6690815625</v>
      </c>
      <c r="C2377" s="51">
        <v>1.028</v>
      </c>
      <c r="D2377" s="51">
        <v>62.0</v>
      </c>
      <c r="E2377" s="52" t="s">
        <v>25</v>
      </c>
      <c r="F2377" s="52" t="s">
        <v>26</v>
      </c>
      <c r="G2377" s="54"/>
    </row>
    <row r="2378">
      <c r="A2378" s="49">
        <v>45045.55455429398</v>
      </c>
      <c r="B2378" s="50">
        <v>45045.6795268055</v>
      </c>
      <c r="C2378" s="51">
        <v>1.028</v>
      </c>
      <c r="D2378" s="51">
        <v>62.0</v>
      </c>
      <c r="E2378" s="52" t="s">
        <v>25</v>
      </c>
      <c r="F2378" s="52" t="s">
        <v>26</v>
      </c>
      <c r="G2378" s="54"/>
    </row>
    <row r="2379">
      <c r="A2379" s="49">
        <v>45045.564967025464</v>
      </c>
      <c r="B2379" s="50">
        <v>45045.6899480208</v>
      </c>
      <c r="C2379" s="51">
        <v>1.028</v>
      </c>
      <c r="D2379" s="51">
        <v>62.0</v>
      </c>
      <c r="E2379" s="52" t="s">
        <v>25</v>
      </c>
      <c r="F2379" s="52" t="s">
        <v>26</v>
      </c>
      <c r="G2379" s="54"/>
    </row>
    <row r="2380">
      <c r="A2380" s="49">
        <v>45045.575400173606</v>
      </c>
      <c r="B2380" s="50">
        <v>45045.7003690393</v>
      </c>
      <c r="C2380" s="51">
        <v>1.028</v>
      </c>
      <c r="D2380" s="51">
        <v>62.0</v>
      </c>
      <c r="E2380" s="52" t="s">
        <v>25</v>
      </c>
      <c r="F2380" s="52" t="s">
        <v>26</v>
      </c>
      <c r="G2380" s="54"/>
    </row>
    <row r="2381">
      <c r="A2381" s="49">
        <v>45045.585819050924</v>
      </c>
      <c r="B2381" s="50">
        <v>45045.7107893055</v>
      </c>
      <c r="C2381" s="51">
        <v>1.028</v>
      </c>
      <c r="D2381" s="51">
        <v>62.0</v>
      </c>
      <c r="E2381" s="52" t="s">
        <v>25</v>
      </c>
      <c r="F2381" s="52" t="s">
        <v>26</v>
      </c>
      <c r="G2381" s="54"/>
    </row>
    <row r="2382">
      <c r="A2382" s="49">
        <v>45045.59623734954</v>
      </c>
      <c r="B2382" s="50">
        <v>45045.7212099999</v>
      </c>
      <c r="C2382" s="51">
        <v>1.028</v>
      </c>
      <c r="D2382" s="51">
        <v>62.0</v>
      </c>
      <c r="E2382" s="52" t="s">
        <v>25</v>
      </c>
      <c r="F2382" s="52" t="s">
        <v>26</v>
      </c>
      <c r="G2382" s="54"/>
    </row>
    <row r="2383">
      <c r="A2383" s="49">
        <v>45045.60666708333</v>
      </c>
      <c r="B2383" s="50">
        <v>45045.7316307754</v>
      </c>
      <c r="C2383" s="51">
        <v>1.028</v>
      </c>
      <c r="D2383" s="51">
        <v>62.0</v>
      </c>
      <c r="E2383" s="52" t="s">
        <v>25</v>
      </c>
      <c r="F2383" s="52" t="s">
        <v>26</v>
      </c>
      <c r="G2383" s="54"/>
    </row>
    <row r="2384">
      <c r="A2384" s="49">
        <v>45045.62752674769</v>
      </c>
      <c r="B2384" s="50">
        <v>45045.7524992939</v>
      </c>
      <c r="C2384" s="51">
        <v>1.028</v>
      </c>
      <c r="D2384" s="51">
        <v>62.0</v>
      </c>
      <c r="E2384" s="52" t="s">
        <v>25</v>
      </c>
      <c r="F2384" s="52" t="s">
        <v>26</v>
      </c>
      <c r="G2384" s="54"/>
    </row>
    <row r="2385">
      <c r="A2385" s="49">
        <v>45045.637947372685</v>
      </c>
      <c r="B2385" s="50">
        <v>45045.7629215509</v>
      </c>
      <c r="C2385" s="51">
        <v>1.028</v>
      </c>
      <c r="D2385" s="51">
        <v>62.0</v>
      </c>
      <c r="E2385" s="52" t="s">
        <v>25</v>
      </c>
      <c r="F2385" s="52" t="s">
        <v>26</v>
      </c>
      <c r="G2385" s="54"/>
    </row>
    <row r="2386">
      <c r="A2386" s="49">
        <v>45045.64836943287</v>
      </c>
      <c r="B2386" s="50">
        <v>45045.7733435185</v>
      </c>
      <c r="C2386" s="51">
        <v>1.028</v>
      </c>
      <c r="D2386" s="51">
        <v>62.0</v>
      </c>
      <c r="E2386" s="52" t="s">
        <v>25</v>
      </c>
      <c r="F2386" s="52" t="s">
        <v>26</v>
      </c>
      <c r="G2386" s="54"/>
    </row>
    <row r="2387">
      <c r="A2387" s="49">
        <v>45045.658783217594</v>
      </c>
      <c r="B2387" s="50">
        <v>45045.7837654282</v>
      </c>
      <c r="C2387" s="51">
        <v>1.028</v>
      </c>
      <c r="D2387" s="51">
        <v>62.0</v>
      </c>
      <c r="E2387" s="52" t="s">
        <v>25</v>
      </c>
      <c r="F2387" s="52" t="s">
        <v>26</v>
      </c>
      <c r="G2387" s="54"/>
    </row>
    <row r="2388">
      <c r="A2388" s="49">
        <v>45045.66920883102</v>
      </c>
      <c r="B2388" s="50">
        <v>45045.7941874074</v>
      </c>
      <c r="C2388" s="51">
        <v>1.028</v>
      </c>
      <c r="D2388" s="51">
        <v>62.0</v>
      </c>
      <c r="E2388" s="52" t="s">
        <v>25</v>
      </c>
      <c r="F2388" s="52" t="s">
        <v>26</v>
      </c>
      <c r="G2388" s="54"/>
    </row>
    <row r="2389">
      <c r="A2389" s="49">
        <v>45045.67964083333</v>
      </c>
      <c r="B2389" s="50">
        <v>45045.80462</v>
      </c>
      <c r="C2389" s="51">
        <v>1.028</v>
      </c>
      <c r="D2389" s="51">
        <v>62.0</v>
      </c>
      <c r="E2389" s="52" t="s">
        <v>25</v>
      </c>
      <c r="F2389" s="52" t="s">
        <v>26</v>
      </c>
      <c r="G2389" s="54"/>
    </row>
    <row r="2390">
      <c r="A2390" s="49">
        <v>45045.69006363426</v>
      </c>
      <c r="B2390" s="50">
        <v>45045.8150416782</v>
      </c>
      <c r="C2390" s="51">
        <v>1.028</v>
      </c>
      <c r="D2390" s="51">
        <v>62.0</v>
      </c>
      <c r="E2390" s="52" t="s">
        <v>25</v>
      </c>
      <c r="F2390" s="52" t="s">
        <v>26</v>
      </c>
      <c r="G2390" s="54"/>
    </row>
    <row r="2391">
      <c r="A2391" s="49">
        <v>45045.70048306713</v>
      </c>
      <c r="B2391" s="50">
        <v>45045.8254622222</v>
      </c>
      <c r="C2391" s="51">
        <v>1.028</v>
      </c>
      <c r="D2391" s="51">
        <v>62.0</v>
      </c>
      <c r="E2391" s="52" t="s">
        <v>25</v>
      </c>
      <c r="F2391" s="52" t="s">
        <v>26</v>
      </c>
      <c r="G2391" s="54"/>
    </row>
    <row r="2392">
      <c r="A2392" s="49">
        <v>45045.71091555555</v>
      </c>
      <c r="B2392" s="50">
        <v>45045.8358830787</v>
      </c>
      <c r="C2392" s="51">
        <v>1.028</v>
      </c>
      <c r="D2392" s="51">
        <v>62.0</v>
      </c>
      <c r="E2392" s="52" t="s">
        <v>25</v>
      </c>
      <c r="F2392" s="52" t="s">
        <v>26</v>
      </c>
      <c r="G2392" s="54"/>
    </row>
    <row r="2393">
      <c r="A2393" s="49">
        <v>45045.73175622685</v>
      </c>
      <c r="B2393" s="50">
        <v>45045.8567281018</v>
      </c>
      <c r="C2393" s="51">
        <v>1.028</v>
      </c>
      <c r="D2393" s="51">
        <v>62.0</v>
      </c>
      <c r="E2393" s="52" t="s">
        <v>25</v>
      </c>
      <c r="F2393" s="52" t="s">
        <v>26</v>
      </c>
      <c r="G2393" s="54"/>
    </row>
    <row r="2394">
      <c r="A2394" s="49">
        <v>45045.74217186343</v>
      </c>
      <c r="B2394" s="50">
        <v>45045.8671478356</v>
      </c>
      <c r="C2394" s="51">
        <v>1.028</v>
      </c>
      <c r="D2394" s="51">
        <v>62.0</v>
      </c>
      <c r="E2394" s="52" t="s">
        <v>25</v>
      </c>
      <c r="F2394" s="52" t="s">
        <v>26</v>
      </c>
      <c r="G2394" s="54"/>
    </row>
    <row r="2395">
      <c r="A2395" s="49">
        <v>45045.752588206014</v>
      </c>
      <c r="B2395" s="50">
        <v>45045.8775686689</v>
      </c>
      <c r="C2395" s="51">
        <v>1.028</v>
      </c>
      <c r="D2395" s="51">
        <v>62.0</v>
      </c>
      <c r="E2395" s="52" t="s">
        <v>25</v>
      </c>
      <c r="F2395" s="52" t="s">
        <v>26</v>
      </c>
      <c r="G2395" s="54"/>
    </row>
    <row r="2396">
      <c r="A2396" s="49">
        <v>45045.763033020834</v>
      </c>
      <c r="B2396" s="50">
        <v>45045.8880034259</v>
      </c>
      <c r="C2396" s="51">
        <v>1.028</v>
      </c>
      <c r="D2396" s="51">
        <v>62.0</v>
      </c>
      <c r="E2396" s="52" t="s">
        <v>25</v>
      </c>
      <c r="F2396" s="52" t="s">
        <v>26</v>
      </c>
      <c r="G2396" s="54"/>
    </row>
    <row r="2397">
      <c r="A2397" s="49">
        <v>45045.78386738426</v>
      </c>
      <c r="B2397" s="50">
        <v>45045.908844456</v>
      </c>
      <c r="C2397" s="51">
        <v>1.028</v>
      </c>
      <c r="D2397" s="51">
        <v>62.0</v>
      </c>
      <c r="E2397" s="52" t="s">
        <v>25</v>
      </c>
      <c r="F2397" s="52" t="s">
        <v>26</v>
      </c>
      <c r="G2397" s="54"/>
    </row>
    <row r="2398">
      <c r="A2398" s="49">
        <v>45045.79428410879</v>
      </c>
      <c r="B2398" s="50">
        <v>45045.9192645023</v>
      </c>
      <c r="C2398" s="51">
        <v>1.028</v>
      </c>
      <c r="D2398" s="51">
        <v>62.0</v>
      </c>
      <c r="E2398" s="52" t="s">
        <v>25</v>
      </c>
      <c r="F2398" s="52" t="s">
        <v>26</v>
      </c>
      <c r="G2398" s="54"/>
    </row>
    <row r="2399">
      <c r="A2399" s="49">
        <v>45045.80472569444</v>
      </c>
      <c r="B2399" s="50">
        <v>45045.9296973726</v>
      </c>
      <c r="C2399" s="51">
        <v>1.028</v>
      </c>
      <c r="D2399" s="51">
        <v>62.0</v>
      </c>
      <c r="E2399" s="52" t="s">
        <v>25</v>
      </c>
      <c r="F2399" s="52" t="s">
        <v>26</v>
      </c>
      <c r="G2399" s="54"/>
    </row>
    <row r="2400">
      <c r="A2400" s="49">
        <v>45045.81514357639</v>
      </c>
      <c r="B2400" s="50">
        <v>45045.9401180902</v>
      </c>
      <c r="C2400" s="51">
        <v>1.028</v>
      </c>
      <c r="D2400" s="51">
        <v>62.0</v>
      </c>
      <c r="E2400" s="52" t="s">
        <v>25</v>
      </c>
      <c r="F2400" s="52" t="s">
        <v>26</v>
      </c>
      <c r="G2400" s="54"/>
    </row>
    <row r="2401">
      <c r="A2401" s="49">
        <v>45045.82556077546</v>
      </c>
      <c r="B2401" s="50">
        <v>45045.9505410416</v>
      </c>
      <c r="C2401" s="51">
        <v>1.028</v>
      </c>
      <c r="D2401" s="51">
        <v>62.0</v>
      </c>
      <c r="E2401" s="52" t="s">
        <v>25</v>
      </c>
      <c r="F2401" s="52" t="s">
        <v>26</v>
      </c>
      <c r="G2401" s="54"/>
    </row>
    <row r="2402">
      <c r="A2402" s="49">
        <v>45045.836010451385</v>
      </c>
      <c r="B2402" s="50">
        <v>45045.9609741203</v>
      </c>
      <c r="C2402" s="51">
        <v>1.028</v>
      </c>
      <c r="D2402" s="51">
        <v>62.0</v>
      </c>
      <c r="E2402" s="52" t="s">
        <v>25</v>
      </c>
      <c r="F2402" s="52" t="s">
        <v>26</v>
      </c>
      <c r="G2402" s="54"/>
    </row>
    <row r="2403">
      <c r="A2403" s="49">
        <v>45045.84642425926</v>
      </c>
      <c r="B2403" s="50">
        <v>45045.971395787</v>
      </c>
      <c r="C2403" s="51">
        <v>1.028</v>
      </c>
      <c r="D2403" s="51">
        <v>62.0</v>
      </c>
      <c r="E2403" s="52" t="s">
        <v>25</v>
      </c>
      <c r="F2403" s="52" t="s">
        <v>26</v>
      </c>
      <c r="G2403" s="54"/>
    </row>
    <row r="2404">
      <c r="A2404" s="49">
        <v>45045.85683873843</v>
      </c>
      <c r="B2404" s="50">
        <v>45045.9818140856</v>
      </c>
      <c r="C2404" s="51">
        <v>1.028</v>
      </c>
      <c r="D2404" s="51">
        <v>62.0</v>
      </c>
      <c r="E2404" s="52" t="s">
        <v>25</v>
      </c>
      <c r="F2404" s="52" t="s">
        <v>26</v>
      </c>
      <c r="G2404" s="54"/>
    </row>
    <row r="2405">
      <c r="A2405" s="49">
        <v>45045.8672631713</v>
      </c>
      <c r="B2405" s="50">
        <v>45045.9922339583</v>
      </c>
      <c r="C2405" s="51">
        <v>1.028</v>
      </c>
      <c r="D2405" s="51">
        <v>62.0</v>
      </c>
      <c r="E2405" s="52" t="s">
        <v>25</v>
      </c>
      <c r="F2405" s="52" t="s">
        <v>26</v>
      </c>
      <c r="G2405" s="54"/>
    </row>
    <row r="2406">
      <c r="A2406" s="49">
        <v>45045.877677083336</v>
      </c>
      <c r="B2406" s="50">
        <v>45046.0026544444</v>
      </c>
      <c r="C2406" s="51">
        <v>1.028</v>
      </c>
      <c r="D2406" s="51">
        <v>62.0</v>
      </c>
      <c r="E2406" s="52" t="s">
        <v>25</v>
      </c>
      <c r="F2406" s="52" t="s">
        <v>26</v>
      </c>
      <c r="G2406" s="54"/>
    </row>
    <row r="2407">
      <c r="A2407" s="49">
        <v>45045.88812178241</v>
      </c>
      <c r="B2407" s="50">
        <v>45046.0130985416</v>
      </c>
      <c r="C2407" s="51">
        <v>1.028</v>
      </c>
      <c r="D2407" s="51">
        <v>62.0</v>
      </c>
      <c r="E2407" s="52" t="s">
        <v>25</v>
      </c>
      <c r="F2407" s="52" t="s">
        <v>26</v>
      </c>
      <c r="G2407" s="54"/>
    </row>
    <row r="2408">
      <c r="A2408" s="49">
        <v>45045.89854127315</v>
      </c>
      <c r="B2408" s="50">
        <v>45046.0235207638</v>
      </c>
      <c r="C2408" s="51">
        <v>1.028</v>
      </c>
      <c r="D2408" s="51">
        <v>62.0</v>
      </c>
      <c r="E2408" s="52" t="s">
        <v>25</v>
      </c>
      <c r="F2408" s="52" t="s">
        <v>26</v>
      </c>
      <c r="G2408" s="54"/>
    </row>
    <row r="2409">
      <c r="A2409" s="49">
        <v>45045.908981099536</v>
      </c>
      <c r="B2409" s="50">
        <v>45046.0339532639</v>
      </c>
      <c r="C2409" s="51">
        <v>1.028</v>
      </c>
      <c r="D2409" s="51">
        <v>62.0</v>
      </c>
      <c r="E2409" s="52" t="s">
        <v>25</v>
      </c>
      <c r="F2409" s="52" t="s">
        <v>26</v>
      </c>
      <c r="G2409" s="54"/>
    </row>
    <row r="2410">
      <c r="A2410" s="49">
        <v>45045.919396875004</v>
      </c>
      <c r="B2410" s="50">
        <v>45046.0443737037</v>
      </c>
      <c r="C2410" s="51">
        <v>1.028</v>
      </c>
      <c r="D2410" s="51">
        <v>62.0</v>
      </c>
      <c r="E2410" s="52" t="s">
        <v>25</v>
      </c>
      <c r="F2410" s="52" t="s">
        <v>26</v>
      </c>
      <c r="G2410" s="54"/>
    </row>
    <row r="2411">
      <c r="A2411" s="49">
        <v>45045.929814999996</v>
      </c>
      <c r="B2411" s="50">
        <v>45046.0547951041</v>
      </c>
      <c r="C2411" s="51">
        <v>1.028</v>
      </c>
      <c r="D2411" s="51">
        <v>62.0</v>
      </c>
      <c r="E2411" s="52" t="s">
        <v>25</v>
      </c>
      <c r="F2411" s="52" t="s">
        <v>26</v>
      </c>
      <c r="G2411" s="54"/>
    </row>
    <row r="2412">
      <c r="A2412" s="49">
        <v>45045.94024241898</v>
      </c>
      <c r="B2412" s="50">
        <v>45046.0652155439</v>
      </c>
      <c r="C2412" s="51">
        <v>1.028</v>
      </c>
      <c r="D2412" s="51">
        <v>62.0</v>
      </c>
      <c r="E2412" s="52" t="s">
        <v>25</v>
      </c>
      <c r="F2412" s="52" t="s">
        <v>26</v>
      </c>
      <c r="G2412" s="54"/>
    </row>
    <row r="2413">
      <c r="A2413" s="49">
        <v>45045.95066243055</v>
      </c>
      <c r="B2413" s="50">
        <v>45046.0756356481</v>
      </c>
      <c r="C2413" s="51">
        <v>1.028</v>
      </c>
      <c r="D2413" s="51">
        <v>62.0</v>
      </c>
      <c r="E2413" s="52" t="s">
        <v>25</v>
      </c>
      <c r="F2413" s="52" t="s">
        <v>26</v>
      </c>
      <c r="G2413" s="54"/>
    </row>
    <row r="2414">
      <c r="A2414" s="49">
        <v>45045.96113096065</v>
      </c>
      <c r="B2414" s="50">
        <v>45046.086057037</v>
      </c>
      <c r="C2414" s="51">
        <v>1.028</v>
      </c>
      <c r="D2414" s="51">
        <v>62.0</v>
      </c>
      <c r="E2414" s="52" t="s">
        <v>25</v>
      </c>
      <c r="F2414" s="52" t="s">
        <v>26</v>
      </c>
      <c r="G2414" s="54"/>
    </row>
    <row r="2415">
      <c r="A2415" s="49">
        <v>45045.97149981481</v>
      </c>
      <c r="B2415" s="50">
        <v>45046.0964770601</v>
      </c>
      <c r="C2415" s="51">
        <v>1.028</v>
      </c>
      <c r="D2415" s="51">
        <v>62.0</v>
      </c>
      <c r="E2415" s="52" t="s">
        <v>25</v>
      </c>
      <c r="F2415" s="52" t="s">
        <v>26</v>
      </c>
      <c r="G2415" s="54"/>
    </row>
    <row r="2416">
      <c r="A2416" s="49">
        <v>45045.98192600695</v>
      </c>
      <c r="B2416" s="50">
        <v>45046.1068993865</v>
      </c>
      <c r="C2416" s="51">
        <v>1.028</v>
      </c>
      <c r="D2416" s="51">
        <v>62.0</v>
      </c>
      <c r="E2416" s="52" t="s">
        <v>25</v>
      </c>
      <c r="F2416" s="52" t="s">
        <v>26</v>
      </c>
      <c r="G2416" s="54"/>
    </row>
    <row r="2417">
      <c r="A2417" s="49">
        <v>45045.99234597222</v>
      </c>
      <c r="B2417" s="50">
        <v>45046.1173198611</v>
      </c>
      <c r="C2417" s="51">
        <v>1.027</v>
      </c>
      <c r="D2417" s="51">
        <v>62.0</v>
      </c>
      <c r="E2417" s="52" t="s">
        <v>25</v>
      </c>
      <c r="F2417" s="52" t="s">
        <v>26</v>
      </c>
      <c r="G2417" s="54"/>
    </row>
    <row r="2418">
      <c r="A2418" s="49">
        <v>45046.00276952546</v>
      </c>
      <c r="B2418" s="50">
        <v>45046.127740706</v>
      </c>
      <c r="C2418" s="51">
        <v>1.028</v>
      </c>
      <c r="D2418" s="51">
        <v>62.0</v>
      </c>
      <c r="E2418" s="52" t="s">
        <v>25</v>
      </c>
      <c r="F2418" s="52" t="s">
        <v>26</v>
      </c>
      <c r="G2418" s="54"/>
    </row>
    <row r="2419">
      <c r="A2419" s="49">
        <v>45046.013191087965</v>
      </c>
      <c r="B2419" s="50">
        <v>45046.1381736342</v>
      </c>
      <c r="C2419" s="51">
        <v>1.028</v>
      </c>
      <c r="D2419" s="51">
        <v>62.0</v>
      </c>
      <c r="E2419" s="52" t="s">
        <v>25</v>
      </c>
      <c r="F2419" s="52" t="s">
        <v>26</v>
      </c>
      <c r="G2419" s="54"/>
    </row>
    <row r="2420">
      <c r="A2420" s="49">
        <v>45046.04445695602</v>
      </c>
      <c r="B2420" s="50">
        <v>45046.1694366898</v>
      </c>
      <c r="C2420" s="51">
        <v>1.028</v>
      </c>
      <c r="D2420" s="51">
        <v>62.0</v>
      </c>
      <c r="E2420" s="52" t="s">
        <v>25</v>
      </c>
      <c r="F2420" s="52" t="s">
        <v>26</v>
      </c>
      <c r="G2420" s="54"/>
    </row>
    <row r="2421">
      <c r="A2421" s="49">
        <v>45046.054905729165</v>
      </c>
      <c r="B2421" s="50">
        <v>45046.179882118</v>
      </c>
      <c r="C2421" s="51">
        <v>1.028</v>
      </c>
      <c r="D2421" s="51">
        <v>62.0</v>
      </c>
      <c r="E2421" s="52" t="s">
        <v>25</v>
      </c>
      <c r="F2421" s="52" t="s">
        <v>26</v>
      </c>
      <c r="G2421" s="54"/>
    </row>
    <row r="2422">
      <c r="A2422" s="49">
        <v>45046.065330474536</v>
      </c>
      <c r="B2422" s="50">
        <v>45046.1903024305</v>
      </c>
      <c r="C2422" s="51">
        <v>1.028</v>
      </c>
      <c r="D2422" s="51">
        <v>62.0</v>
      </c>
      <c r="E2422" s="52" t="s">
        <v>25</v>
      </c>
      <c r="F2422" s="52" t="s">
        <v>26</v>
      </c>
      <c r="G2422" s="54"/>
    </row>
    <row r="2423">
      <c r="A2423" s="49">
        <v>45046.075749537034</v>
      </c>
      <c r="B2423" s="50">
        <v>45046.2007220023</v>
      </c>
      <c r="C2423" s="51">
        <v>1.028</v>
      </c>
      <c r="D2423" s="51">
        <v>62.0</v>
      </c>
      <c r="E2423" s="52" t="s">
        <v>25</v>
      </c>
      <c r="F2423" s="52" t="s">
        <v>26</v>
      </c>
      <c r="G2423" s="54"/>
    </row>
    <row r="2424">
      <c r="A2424" s="49">
        <v>45046.086183541665</v>
      </c>
      <c r="B2424" s="50">
        <v>45046.2111554166</v>
      </c>
      <c r="C2424" s="51">
        <v>1.028</v>
      </c>
      <c r="D2424" s="51">
        <v>62.0</v>
      </c>
      <c r="E2424" s="52" t="s">
        <v>25</v>
      </c>
      <c r="F2424" s="52" t="s">
        <v>26</v>
      </c>
      <c r="G2424" s="54"/>
    </row>
    <row r="2425">
      <c r="A2425" s="49">
        <v>45046.09660943287</v>
      </c>
      <c r="B2425" s="50">
        <v>45046.2215779282</v>
      </c>
      <c r="C2425" s="51">
        <v>1.028</v>
      </c>
      <c r="D2425" s="51">
        <v>62.0</v>
      </c>
      <c r="E2425" s="52" t="s">
        <v>25</v>
      </c>
      <c r="F2425" s="52" t="s">
        <v>26</v>
      </c>
      <c r="G2425" s="54"/>
    </row>
    <row r="2426">
      <c r="A2426" s="49">
        <v>45046.107016504626</v>
      </c>
      <c r="B2426" s="50">
        <v>45046.2319972916</v>
      </c>
      <c r="C2426" s="51">
        <v>1.027</v>
      </c>
      <c r="D2426" s="51">
        <v>62.0</v>
      </c>
      <c r="E2426" s="52" t="s">
        <v>25</v>
      </c>
      <c r="F2426" s="52" t="s">
        <v>26</v>
      </c>
      <c r="G2426" s="54"/>
    </row>
    <row r="2427">
      <c r="A2427" s="49">
        <v>45046.117455011576</v>
      </c>
      <c r="B2427" s="50">
        <v>45046.2424301388</v>
      </c>
      <c r="C2427" s="51">
        <v>1.028</v>
      </c>
      <c r="D2427" s="51">
        <v>62.0</v>
      </c>
      <c r="E2427" s="52" t="s">
        <v>25</v>
      </c>
      <c r="F2427" s="52" t="s">
        <v>26</v>
      </c>
      <c r="G2427" s="54"/>
    </row>
    <row r="2428">
      <c r="A2428" s="49">
        <v>45046.12787733796</v>
      </c>
      <c r="B2428" s="50">
        <v>45046.2528509837</v>
      </c>
      <c r="C2428" s="51">
        <v>1.027</v>
      </c>
      <c r="D2428" s="51">
        <v>62.0</v>
      </c>
      <c r="E2428" s="52" t="s">
        <v>25</v>
      </c>
      <c r="F2428" s="52" t="s">
        <v>26</v>
      </c>
      <c r="G2428" s="54"/>
    </row>
    <row r="2429">
      <c r="A2429" s="49">
        <v>45046.13830074074</v>
      </c>
      <c r="B2429" s="50">
        <v>45046.2632714004</v>
      </c>
      <c r="C2429" s="51">
        <v>1.028</v>
      </c>
      <c r="D2429" s="51">
        <v>62.0</v>
      </c>
      <c r="E2429" s="52" t="s">
        <v>25</v>
      </c>
      <c r="F2429" s="52" t="s">
        <v>26</v>
      </c>
      <c r="G2429" s="54"/>
    </row>
    <row r="2430">
      <c r="A2430" s="49">
        <v>45046.148712326394</v>
      </c>
      <c r="B2430" s="50">
        <v>45046.2736915277</v>
      </c>
      <c r="C2430" s="51">
        <v>1.027</v>
      </c>
      <c r="D2430" s="51">
        <v>62.0</v>
      </c>
      <c r="E2430" s="52" t="s">
        <v>25</v>
      </c>
      <c r="F2430" s="52" t="s">
        <v>26</v>
      </c>
      <c r="G2430" s="54"/>
    </row>
    <row r="2431">
      <c r="A2431" s="49">
        <v>45046.159136145834</v>
      </c>
      <c r="B2431" s="50">
        <v>45046.2841120254</v>
      </c>
      <c r="C2431" s="51">
        <v>1.028</v>
      </c>
      <c r="D2431" s="51">
        <v>62.0</v>
      </c>
      <c r="E2431" s="52" t="s">
        <v>25</v>
      </c>
      <c r="F2431" s="52" t="s">
        <v>26</v>
      </c>
      <c r="G2431" s="54"/>
    </row>
    <row r="2432">
      <c r="A2432" s="49">
        <v>45046.16956115741</v>
      </c>
      <c r="B2432" s="50">
        <v>45046.2945334838</v>
      </c>
      <c r="C2432" s="51">
        <v>1.027</v>
      </c>
      <c r="D2432" s="51">
        <v>62.0</v>
      </c>
      <c r="E2432" s="52" t="s">
        <v>25</v>
      </c>
      <c r="F2432" s="52" t="s">
        <v>26</v>
      </c>
      <c r="G2432" s="54"/>
    </row>
    <row r="2433">
      <c r="A2433" s="49">
        <v>45046.179989502314</v>
      </c>
      <c r="B2433" s="50">
        <v>45046.3049543518</v>
      </c>
      <c r="C2433" s="51">
        <v>1.027</v>
      </c>
      <c r="D2433" s="51">
        <v>62.0</v>
      </c>
      <c r="E2433" s="52" t="s">
        <v>25</v>
      </c>
      <c r="F2433" s="52" t="s">
        <v>26</v>
      </c>
      <c r="G2433" s="54"/>
    </row>
    <row r="2434">
      <c r="A2434" s="49">
        <v>45046.19040424768</v>
      </c>
      <c r="B2434" s="50">
        <v>45046.31537478</v>
      </c>
      <c r="C2434" s="51">
        <v>1.027</v>
      </c>
      <c r="D2434" s="51">
        <v>62.0</v>
      </c>
      <c r="E2434" s="52" t="s">
        <v>25</v>
      </c>
      <c r="F2434" s="52" t="s">
        <v>26</v>
      </c>
      <c r="G2434" s="54"/>
    </row>
    <row r="2435">
      <c r="A2435" s="49">
        <v>45046.20082438657</v>
      </c>
      <c r="B2435" s="50">
        <v>45046.3257970949</v>
      </c>
      <c r="C2435" s="51">
        <v>1.027</v>
      </c>
      <c r="D2435" s="51">
        <v>62.0</v>
      </c>
      <c r="E2435" s="52" t="s">
        <v>25</v>
      </c>
      <c r="F2435" s="52" t="s">
        <v>26</v>
      </c>
      <c r="G2435" s="54"/>
    </row>
    <row r="2436">
      <c r="A2436" s="49">
        <v>45046.2112475</v>
      </c>
      <c r="B2436" s="50">
        <v>45046.336219618</v>
      </c>
      <c r="C2436" s="51">
        <v>1.027</v>
      </c>
      <c r="D2436" s="51">
        <v>62.0</v>
      </c>
      <c r="E2436" s="52" t="s">
        <v>25</v>
      </c>
      <c r="F2436" s="52" t="s">
        <v>26</v>
      </c>
      <c r="G2436" s="54"/>
    </row>
    <row r="2437">
      <c r="A2437" s="49">
        <v>45046.22165825231</v>
      </c>
      <c r="B2437" s="50">
        <v>45046.3466417824</v>
      </c>
      <c r="C2437" s="51">
        <v>1.027</v>
      </c>
      <c r="D2437" s="51">
        <v>62.0</v>
      </c>
      <c r="E2437" s="52" t="s">
        <v>25</v>
      </c>
      <c r="F2437" s="52" t="s">
        <v>26</v>
      </c>
      <c r="G2437" s="54"/>
    </row>
    <row r="2438">
      <c r="A2438" s="49">
        <v>45046.232083993054</v>
      </c>
      <c r="B2438" s="50">
        <v>45046.3570631481</v>
      </c>
      <c r="C2438" s="51">
        <v>1.027</v>
      </c>
      <c r="D2438" s="51">
        <v>62.0</v>
      </c>
      <c r="E2438" s="52" t="s">
        <v>25</v>
      </c>
      <c r="F2438" s="52" t="s">
        <v>26</v>
      </c>
      <c r="G2438" s="54"/>
    </row>
    <row r="2439">
      <c r="A2439" s="49">
        <v>45046.24251795139</v>
      </c>
      <c r="B2439" s="50">
        <v>45046.3674959722</v>
      </c>
      <c r="C2439" s="51">
        <v>1.027</v>
      </c>
      <c r="D2439" s="51">
        <v>62.0</v>
      </c>
      <c r="E2439" s="52" t="s">
        <v>25</v>
      </c>
      <c r="F2439" s="52" t="s">
        <v>26</v>
      </c>
      <c r="G2439" s="54"/>
    </row>
    <row r="2440">
      <c r="A2440" s="49">
        <v>45046.25294355324</v>
      </c>
      <c r="B2440" s="50">
        <v>45046.3779165162</v>
      </c>
      <c r="C2440" s="51">
        <v>1.027</v>
      </c>
      <c r="D2440" s="51">
        <v>62.0</v>
      </c>
      <c r="E2440" s="52" t="s">
        <v>25</v>
      </c>
      <c r="F2440" s="52" t="s">
        <v>26</v>
      </c>
      <c r="G2440" s="54"/>
    </row>
    <row r="2441">
      <c r="A2441" s="49">
        <v>45046.26336113426</v>
      </c>
      <c r="B2441" s="50">
        <v>45046.3883381597</v>
      </c>
      <c r="C2441" s="51">
        <v>1.027</v>
      </c>
      <c r="D2441" s="51">
        <v>62.0</v>
      </c>
      <c r="E2441" s="52" t="s">
        <v>25</v>
      </c>
      <c r="F2441" s="52" t="s">
        <v>26</v>
      </c>
      <c r="G2441" s="54"/>
    </row>
    <row r="2442">
      <c r="A2442" s="49">
        <v>45046.273784467594</v>
      </c>
      <c r="B2442" s="50">
        <v>45046.3987582638</v>
      </c>
      <c r="C2442" s="51">
        <v>1.027</v>
      </c>
      <c r="D2442" s="51">
        <v>62.0</v>
      </c>
      <c r="E2442" s="52" t="s">
        <v>25</v>
      </c>
      <c r="F2442" s="52" t="s">
        <v>26</v>
      </c>
      <c r="G2442" s="54"/>
    </row>
    <row r="2443">
      <c r="A2443" s="49">
        <v>45046.284209467594</v>
      </c>
      <c r="B2443" s="50">
        <v>45046.4091790162</v>
      </c>
      <c r="C2443" s="51">
        <v>1.027</v>
      </c>
      <c r="D2443" s="51">
        <v>62.0</v>
      </c>
      <c r="E2443" s="52" t="s">
        <v>25</v>
      </c>
      <c r="F2443" s="52" t="s">
        <v>26</v>
      </c>
      <c r="G2443" s="54"/>
    </row>
    <row r="2444">
      <c r="A2444" s="49">
        <v>45046.29462526621</v>
      </c>
      <c r="B2444" s="50">
        <v>45046.4196001041</v>
      </c>
      <c r="C2444" s="51">
        <v>1.027</v>
      </c>
      <c r="D2444" s="51">
        <v>62.0</v>
      </c>
      <c r="E2444" s="52" t="s">
        <v>25</v>
      </c>
      <c r="F2444" s="52" t="s">
        <v>26</v>
      </c>
      <c r="G2444" s="54"/>
    </row>
    <row r="2445">
      <c r="A2445" s="49">
        <v>45046.30504020833</v>
      </c>
      <c r="B2445" s="50">
        <v>45046.4300216782</v>
      </c>
      <c r="C2445" s="51">
        <v>1.027</v>
      </c>
      <c r="D2445" s="51">
        <v>62.0</v>
      </c>
      <c r="E2445" s="52" t="s">
        <v>25</v>
      </c>
      <c r="F2445" s="52" t="s">
        <v>26</v>
      </c>
      <c r="G2445" s="54"/>
    </row>
    <row r="2446">
      <c r="A2446" s="49">
        <v>45046.31546637732</v>
      </c>
      <c r="B2446" s="50">
        <v>45046.4404424652</v>
      </c>
      <c r="C2446" s="51">
        <v>1.027</v>
      </c>
      <c r="D2446" s="51">
        <v>62.0</v>
      </c>
      <c r="E2446" s="52" t="s">
        <v>25</v>
      </c>
      <c r="F2446" s="52" t="s">
        <v>26</v>
      </c>
      <c r="G2446" s="54"/>
    </row>
    <row r="2447">
      <c r="A2447" s="49">
        <v>45046.32587984954</v>
      </c>
      <c r="B2447" s="50">
        <v>45046.4508628703</v>
      </c>
      <c r="C2447" s="51">
        <v>1.027</v>
      </c>
      <c r="D2447" s="51">
        <v>62.0</v>
      </c>
      <c r="E2447" s="52" t="s">
        <v>25</v>
      </c>
      <c r="F2447" s="52" t="s">
        <v>26</v>
      </c>
      <c r="G2447" s="54"/>
    </row>
    <row r="2448">
      <c r="A2448" s="49">
        <v>45046.336313946755</v>
      </c>
      <c r="B2448" s="50">
        <v>45046.4612843518</v>
      </c>
      <c r="C2448" s="51">
        <v>1.027</v>
      </c>
      <c r="D2448" s="51">
        <v>62.0</v>
      </c>
      <c r="E2448" s="52" t="s">
        <v>25</v>
      </c>
      <c r="F2448" s="52" t="s">
        <v>26</v>
      </c>
      <c r="G2448" s="54"/>
    </row>
    <row r="2449">
      <c r="A2449" s="49">
        <v>45046.34673346065</v>
      </c>
      <c r="B2449" s="50">
        <v>45046.4717054976</v>
      </c>
      <c r="C2449" s="51">
        <v>1.027</v>
      </c>
      <c r="D2449" s="51">
        <v>62.0</v>
      </c>
      <c r="E2449" s="52" t="s">
        <v>25</v>
      </c>
      <c r="F2449" s="52" t="s">
        <v>26</v>
      </c>
      <c r="G2449" s="54"/>
    </row>
    <row r="2450">
      <c r="A2450" s="49">
        <v>45046.36758451389</v>
      </c>
      <c r="B2450" s="50">
        <v>45046.4925599305</v>
      </c>
      <c r="C2450" s="51">
        <v>1.027</v>
      </c>
      <c r="D2450" s="51">
        <v>62.0</v>
      </c>
      <c r="E2450" s="52" t="s">
        <v>25</v>
      </c>
      <c r="F2450" s="52" t="s">
        <v>26</v>
      </c>
      <c r="G2450" s="54"/>
    </row>
    <row r="2451">
      <c r="A2451" s="49">
        <v>45046.37800353009</v>
      </c>
      <c r="B2451" s="50">
        <v>45046.5029815393</v>
      </c>
      <c r="C2451" s="51">
        <v>1.027</v>
      </c>
      <c r="D2451" s="51">
        <v>62.0</v>
      </c>
      <c r="E2451" s="52" t="s">
        <v>25</v>
      </c>
      <c r="F2451" s="52" t="s">
        <v>26</v>
      </c>
      <c r="G2451" s="54"/>
    </row>
    <row r="2452">
      <c r="A2452" s="49">
        <v>45046.38842458333</v>
      </c>
      <c r="B2452" s="50">
        <v>45046.5134037847</v>
      </c>
      <c r="C2452" s="51">
        <v>1.027</v>
      </c>
      <c r="D2452" s="51">
        <v>62.0</v>
      </c>
      <c r="E2452" s="52" t="s">
        <v>25</v>
      </c>
      <c r="F2452" s="52" t="s">
        <v>26</v>
      </c>
      <c r="G2452" s="54"/>
    </row>
    <row r="2453">
      <c r="A2453" s="49">
        <v>45046.39884212963</v>
      </c>
      <c r="B2453" s="50">
        <v>45046.52382603</v>
      </c>
      <c r="C2453" s="51">
        <v>1.027</v>
      </c>
      <c r="D2453" s="51">
        <v>62.0</v>
      </c>
      <c r="E2453" s="52" t="s">
        <v>25</v>
      </c>
      <c r="F2453" s="52" t="s">
        <v>26</v>
      </c>
      <c r="G2453" s="54"/>
    </row>
    <row r="2454">
      <c r="A2454" s="49">
        <v>45046.40927969907</v>
      </c>
      <c r="B2454" s="50">
        <v>45046.5342471759</v>
      </c>
      <c r="C2454" s="51">
        <v>1.027</v>
      </c>
      <c r="D2454" s="51">
        <v>62.0</v>
      </c>
      <c r="E2454" s="52" t="s">
        <v>25</v>
      </c>
      <c r="F2454" s="52" t="s">
        <v>26</v>
      </c>
      <c r="G2454" s="54"/>
    </row>
    <row r="2455">
      <c r="A2455" s="49">
        <v>45046.41969398149</v>
      </c>
      <c r="B2455" s="50">
        <v>45046.5446680902</v>
      </c>
      <c r="C2455" s="51">
        <v>1.027</v>
      </c>
      <c r="D2455" s="51">
        <v>62.0</v>
      </c>
      <c r="E2455" s="52" t="s">
        <v>25</v>
      </c>
      <c r="F2455" s="52" t="s">
        <v>26</v>
      </c>
      <c r="G2455" s="54"/>
    </row>
    <row r="2456">
      <c r="A2456" s="49">
        <v>45046.43011071759</v>
      </c>
      <c r="B2456" s="50">
        <v>45046.55508875</v>
      </c>
      <c r="C2456" s="51">
        <v>1.027</v>
      </c>
      <c r="D2456" s="51">
        <v>62.0</v>
      </c>
      <c r="E2456" s="52" t="s">
        <v>25</v>
      </c>
      <c r="F2456" s="52" t="s">
        <v>26</v>
      </c>
      <c r="G2456" s="54"/>
    </row>
    <row r="2457">
      <c r="A2457" s="49">
        <v>45046.4405372801</v>
      </c>
      <c r="B2457" s="50">
        <v>45046.5655092708</v>
      </c>
      <c r="C2457" s="51">
        <v>1.027</v>
      </c>
      <c r="D2457" s="51">
        <v>62.0</v>
      </c>
      <c r="E2457" s="52" t="s">
        <v>25</v>
      </c>
      <c r="F2457" s="52" t="s">
        <v>26</v>
      </c>
      <c r="G2457" s="54"/>
    </row>
    <row r="2458">
      <c r="A2458" s="49">
        <v>45046.45094869213</v>
      </c>
      <c r="B2458" s="50">
        <v>45046.5759295254</v>
      </c>
      <c r="C2458" s="51">
        <v>1.027</v>
      </c>
      <c r="D2458" s="51">
        <v>62.0</v>
      </c>
      <c r="E2458" s="52" t="s">
        <v>25</v>
      </c>
      <c r="F2458" s="52" t="s">
        <v>26</v>
      </c>
      <c r="G2458" s="54"/>
    </row>
    <row r="2459">
      <c r="A2459" s="49">
        <v>45046.461370833335</v>
      </c>
      <c r="B2459" s="50">
        <v>45046.586350949</v>
      </c>
      <c r="C2459" s="51">
        <v>1.027</v>
      </c>
      <c r="D2459" s="51">
        <v>62.0</v>
      </c>
      <c r="E2459" s="52" t="s">
        <v>25</v>
      </c>
      <c r="F2459" s="52" t="s">
        <v>26</v>
      </c>
      <c r="G2459" s="54"/>
    </row>
    <row r="2460">
      <c r="A2460" s="49">
        <v>45046.47178975695</v>
      </c>
      <c r="B2460" s="50">
        <v>45046.5967718865</v>
      </c>
      <c r="C2460" s="51">
        <v>1.027</v>
      </c>
      <c r="D2460" s="51">
        <v>62.0</v>
      </c>
      <c r="E2460" s="52" t="s">
        <v>25</v>
      </c>
      <c r="F2460" s="52" t="s">
        <v>26</v>
      </c>
      <c r="G2460" s="54"/>
    </row>
    <row r="2461">
      <c r="A2461" s="49">
        <v>45046.48222614583</v>
      </c>
      <c r="B2461" s="50">
        <v>45046.6072057523</v>
      </c>
      <c r="C2461" s="51">
        <v>1.027</v>
      </c>
      <c r="D2461" s="51">
        <v>62.0</v>
      </c>
      <c r="E2461" s="52" t="s">
        <v>25</v>
      </c>
      <c r="F2461" s="52" t="s">
        <v>26</v>
      </c>
      <c r="G2461" s="54"/>
    </row>
    <row r="2462">
      <c r="A2462" s="49">
        <v>45046.49265881944</v>
      </c>
      <c r="B2462" s="50">
        <v>45046.617640787</v>
      </c>
      <c r="C2462" s="51">
        <v>1.027</v>
      </c>
      <c r="D2462" s="51">
        <v>62.0</v>
      </c>
      <c r="E2462" s="52" t="s">
        <v>25</v>
      </c>
      <c r="F2462" s="52" t="s">
        <v>26</v>
      </c>
      <c r="G2462" s="54"/>
    </row>
    <row r="2463">
      <c r="A2463" s="49">
        <v>45046.503106041666</v>
      </c>
      <c r="B2463" s="50">
        <v>45046.6280737037</v>
      </c>
      <c r="C2463" s="51">
        <v>1.027</v>
      </c>
      <c r="D2463" s="51">
        <v>62.0</v>
      </c>
      <c r="E2463" s="52" t="s">
        <v>25</v>
      </c>
      <c r="F2463" s="52" t="s">
        <v>26</v>
      </c>
      <c r="G2463" s="54"/>
    </row>
    <row r="2464">
      <c r="A2464" s="49">
        <v>45046.52395520834</v>
      </c>
      <c r="B2464" s="50">
        <v>45046.648927905</v>
      </c>
      <c r="C2464" s="51">
        <v>1.027</v>
      </c>
      <c r="D2464" s="51">
        <v>62.0</v>
      </c>
      <c r="E2464" s="52" t="s">
        <v>25</v>
      </c>
      <c r="F2464" s="52" t="s">
        <v>26</v>
      </c>
      <c r="G2464" s="54"/>
    </row>
    <row r="2465">
      <c r="A2465" s="49">
        <v>45046.5343927662</v>
      </c>
      <c r="B2465" s="50">
        <v>45046.6593603935</v>
      </c>
      <c r="C2465" s="51">
        <v>1.027</v>
      </c>
      <c r="D2465" s="51">
        <v>62.0</v>
      </c>
      <c r="E2465" s="52" t="s">
        <v>25</v>
      </c>
      <c r="F2465" s="52" t="s">
        <v>26</v>
      </c>
      <c r="G2465" s="54"/>
    </row>
    <row r="2466">
      <c r="A2466" s="49">
        <v>45046.544802199074</v>
      </c>
      <c r="B2466" s="50">
        <v>45046.6697798032</v>
      </c>
      <c r="C2466" s="51">
        <v>1.027</v>
      </c>
      <c r="D2466" s="51">
        <v>62.0</v>
      </c>
      <c r="E2466" s="52" t="s">
        <v>25</v>
      </c>
      <c r="F2466" s="52" t="s">
        <v>26</v>
      </c>
      <c r="G2466" s="54"/>
    </row>
    <row r="2467">
      <c r="A2467" s="49">
        <v>45046.55522811343</v>
      </c>
      <c r="B2467" s="50">
        <v>45046.680200081</v>
      </c>
      <c r="C2467" s="51">
        <v>1.027</v>
      </c>
      <c r="D2467" s="51">
        <v>62.0</v>
      </c>
      <c r="E2467" s="52" t="s">
        <v>25</v>
      </c>
      <c r="F2467" s="52" t="s">
        <v>26</v>
      </c>
      <c r="G2467" s="54"/>
    </row>
    <row r="2468">
      <c r="A2468" s="49">
        <v>45046.565655185186</v>
      </c>
      <c r="B2468" s="50">
        <v>45046.6906210069</v>
      </c>
      <c r="C2468" s="51">
        <v>1.027</v>
      </c>
      <c r="D2468" s="51">
        <v>62.0</v>
      </c>
      <c r="E2468" s="52" t="s">
        <v>25</v>
      </c>
      <c r="F2468" s="52" t="s">
        <v>26</v>
      </c>
      <c r="G2468" s="54"/>
    </row>
    <row r="2469">
      <c r="A2469" s="49">
        <v>45046.576061851854</v>
      </c>
      <c r="B2469" s="50">
        <v>45046.7010421296</v>
      </c>
      <c r="C2469" s="51">
        <v>1.027</v>
      </c>
      <c r="D2469" s="51">
        <v>62.0</v>
      </c>
      <c r="E2469" s="52" t="s">
        <v>25</v>
      </c>
      <c r="F2469" s="52" t="s">
        <v>26</v>
      </c>
      <c r="G2469" s="54"/>
    </row>
    <row r="2470">
      <c r="A2470" s="49">
        <v>45046.586481192135</v>
      </c>
      <c r="B2470" s="50">
        <v>45046.7114641666</v>
      </c>
      <c r="C2470" s="51">
        <v>1.027</v>
      </c>
      <c r="D2470" s="51">
        <v>62.0</v>
      </c>
      <c r="E2470" s="52" t="s">
        <v>25</v>
      </c>
      <c r="F2470" s="52" t="s">
        <v>26</v>
      </c>
      <c r="G2470" s="54"/>
    </row>
    <row r="2471">
      <c r="A2471" s="49">
        <v>45046.60733633101</v>
      </c>
      <c r="B2471" s="50">
        <v>45046.732318912</v>
      </c>
      <c r="C2471" s="51">
        <v>1.027</v>
      </c>
      <c r="D2471" s="51">
        <v>62.0</v>
      </c>
      <c r="E2471" s="52" t="s">
        <v>25</v>
      </c>
      <c r="F2471" s="52" t="s">
        <v>26</v>
      </c>
      <c r="G2471" s="54"/>
    </row>
    <row r="2472">
      <c r="A2472" s="49">
        <v>45046.61776520833</v>
      </c>
      <c r="B2472" s="50">
        <v>45046.7427398842</v>
      </c>
      <c r="C2472" s="51">
        <v>1.027</v>
      </c>
      <c r="D2472" s="51">
        <v>62.0</v>
      </c>
      <c r="E2472" s="52" t="s">
        <v>25</v>
      </c>
      <c r="F2472" s="52" t="s">
        <v>26</v>
      </c>
      <c r="G2472" s="54"/>
    </row>
    <row r="2473">
      <c r="A2473" s="49">
        <v>45046.638602430554</v>
      </c>
      <c r="B2473" s="50">
        <v>45046.7635807523</v>
      </c>
      <c r="C2473" s="51">
        <v>1.027</v>
      </c>
      <c r="D2473" s="51">
        <v>62.0</v>
      </c>
      <c r="E2473" s="52" t="s">
        <v>25</v>
      </c>
      <c r="F2473" s="52" t="s">
        <v>26</v>
      </c>
      <c r="G2473" s="54"/>
    </row>
    <row r="2474">
      <c r="A2474" s="49">
        <v>45046.6490234838</v>
      </c>
      <c r="B2474" s="50">
        <v>45046.7740004629</v>
      </c>
      <c r="C2474" s="51">
        <v>1.027</v>
      </c>
      <c r="D2474" s="51">
        <v>62.0</v>
      </c>
      <c r="E2474" s="52" t="s">
        <v>25</v>
      </c>
      <c r="F2474" s="52" t="s">
        <v>26</v>
      </c>
      <c r="G2474" s="54"/>
    </row>
    <row r="2475">
      <c r="A2475" s="49">
        <v>45046.659441805554</v>
      </c>
      <c r="B2475" s="50">
        <v>45046.7844214699</v>
      </c>
      <c r="C2475" s="51">
        <v>1.027</v>
      </c>
      <c r="D2475" s="51">
        <v>62.0</v>
      </c>
      <c r="E2475" s="52" t="s">
        <v>25</v>
      </c>
      <c r="F2475" s="52" t="s">
        <v>26</v>
      </c>
      <c r="G2475" s="54"/>
    </row>
    <row r="2476">
      <c r="A2476" s="49">
        <v>45046.68028061342</v>
      </c>
      <c r="B2476" s="50">
        <v>45046.8052640625</v>
      </c>
      <c r="C2476" s="51">
        <v>1.027</v>
      </c>
      <c r="D2476" s="51">
        <v>62.0</v>
      </c>
      <c r="E2476" s="52" t="s">
        <v>25</v>
      </c>
      <c r="F2476" s="52" t="s">
        <v>26</v>
      </c>
      <c r="G2476" s="54"/>
    </row>
    <row r="2477">
      <c r="A2477" s="49">
        <v>45046.69074049768</v>
      </c>
      <c r="B2477" s="50">
        <v>45046.8156967245</v>
      </c>
      <c r="C2477" s="51">
        <v>1.027</v>
      </c>
      <c r="D2477" s="51">
        <v>62.0</v>
      </c>
      <c r="E2477" s="52" t="s">
        <v>25</v>
      </c>
      <c r="F2477" s="52" t="s">
        <v>26</v>
      </c>
      <c r="G2477" s="54"/>
    </row>
    <row r="2478">
      <c r="A2478" s="49">
        <v>45046.70115390046</v>
      </c>
      <c r="B2478" s="50">
        <v>45046.8261297685</v>
      </c>
      <c r="C2478" s="51">
        <v>1.027</v>
      </c>
      <c r="D2478" s="51">
        <v>62.0</v>
      </c>
      <c r="E2478" s="52" t="s">
        <v>25</v>
      </c>
      <c r="F2478" s="52" t="s">
        <v>26</v>
      </c>
      <c r="G2478" s="54"/>
    </row>
    <row r="2479">
      <c r="A2479" s="49">
        <v>45046.71161783565</v>
      </c>
      <c r="B2479" s="50">
        <v>45046.8365509953</v>
      </c>
      <c r="C2479" s="51">
        <v>1.027</v>
      </c>
      <c r="D2479" s="51">
        <v>62.0</v>
      </c>
      <c r="E2479" s="52" t="s">
        <v>25</v>
      </c>
      <c r="F2479" s="52" t="s">
        <v>26</v>
      </c>
      <c r="G2479" s="54"/>
    </row>
    <row r="2480">
      <c r="A2480" s="49">
        <v>45046.72200429398</v>
      </c>
      <c r="B2480" s="50">
        <v>45046.8469825347</v>
      </c>
      <c r="C2480" s="51">
        <v>1.027</v>
      </c>
      <c r="D2480" s="51">
        <v>62.0</v>
      </c>
      <c r="E2480" s="52" t="s">
        <v>25</v>
      </c>
      <c r="F2480" s="52" t="s">
        <v>26</v>
      </c>
      <c r="G2480" s="54"/>
    </row>
    <row r="2481">
      <c r="A2481" s="49">
        <v>45046.73242130787</v>
      </c>
      <c r="B2481" s="50">
        <v>45046.8574025462</v>
      </c>
      <c r="C2481" s="51">
        <v>1.027</v>
      </c>
      <c r="D2481" s="51">
        <v>62.0</v>
      </c>
      <c r="E2481" s="52" t="s">
        <v>25</v>
      </c>
      <c r="F2481" s="52" t="s">
        <v>26</v>
      </c>
      <c r="G2481" s="54"/>
    </row>
    <row r="2482">
      <c r="A2482" s="49">
        <v>45046.74283939815</v>
      </c>
      <c r="B2482" s="50">
        <v>45046.867822743</v>
      </c>
      <c r="C2482" s="51">
        <v>1.027</v>
      </c>
      <c r="D2482" s="51">
        <v>62.0</v>
      </c>
      <c r="E2482" s="52" t="s">
        <v>25</v>
      </c>
      <c r="F2482" s="52" t="s">
        <v>26</v>
      </c>
      <c r="G2482" s="54"/>
    </row>
    <row r="2483">
      <c r="A2483" s="49">
        <v>45046.75328626158</v>
      </c>
      <c r="B2483" s="50">
        <v>45046.8782549768</v>
      </c>
      <c r="C2483" s="51">
        <v>1.027</v>
      </c>
      <c r="D2483" s="51">
        <v>62.0</v>
      </c>
      <c r="E2483" s="52" t="s">
        <v>25</v>
      </c>
      <c r="F2483" s="52" t="s">
        <v>26</v>
      </c>
      <c r="G2483" s="54"/>
    </row>
    <row r="2484">
      <c r="A2484" s="49">
        <v>45046.76371078704</v>
      </c>
      <c r="B2484" s="50">
        <v>45046.8886759606</v>
      </c>
      <c r="C2484" s="51">
        <v>1.027</v>
      </c>
      <c r="D2484" s="51">
        <v>62.0</v>
      </c>
      <c r="E2484" s="52" t="s">
        <v>25</v>
      </c>
      <c r="F2484" s="52" t="s">
        <v>26</v>
      </c>
      <c r="G2484" s="54"/>
    </row>
    <row r="2485">
      <c r="A2485" s="49">
        <v>45046.794986423614</v>
      </c>
      <c r="B2485" s="50">
        <v>45046.919965</v>
      </c>
      <c r="C2485" s="51">
        <v>1.027</v>
      </c>
      <c r="D2485" s="51">
        <v>62.0</v>
      </c>
      <c r="E2485" s="52" t="s">
        <v>25</v>
      </c>
      <c r="F2485" s="52" t="s">
        <v>26</v>
      </c>
      <c r="G2485" s="54"/>
    </row>
    <row r="2486">
      <c r="A2486" s="49">
        <v>45046.80541361111</v>
      </c>
      <c r="B2486" s="50">
        <v>45046.9303865509</v>
      </c>
      <c r="C2486" s="51">
        <v>1.027</v>
      </c>
      <c r="D2486" s="51">
        <v>62.0</v>
      </c>
      <c r="E2486" s="52" t="s">
        <v>25</v>
      </c>
      <c r="F2486" s="52" t="s">
        <v>26</v>
      </c>
      <c r="G2486" s="54"/>
    </row>
    <row r="2487">
      <c r="A2487" s="49">
        <v>45046.81583910879</v>
      </c>
      <c r="B2487" s="50">
        <v>45046.940808206</v>
      </c>
      <c r="C2487" s="51">
        <v>1.027</v>
      </c>
      <c r="D2487" s="51">
        <v>62.0</v>
      </c>
      <c r="E2487" s="52" t="s">
        <v>25</v>
      </c>
      <c r="F2487" s="52" t="s">
        <v>26</v>
      </c>
      <c r="G2487" s="54"/>
    </row>
    <row r="2488">
      <c r="A2488" s="49">
        <v>45046.82626607639</v>
      </c>
      <c r="B2488" s="50">
        <v>45046.9512398148</v>
      </c>
      <c r="C2488" s="51">
        <v>1.027</v>
      </c>
      <c r="D2488" s="51">
        <v>62.0</v>
      </c>
      <c r="E2488" s="52" t="s">
        <v>25</v>
      </c>
      <c r="F2488" s="52" t="s">
        <v>26</v>
      </c>
      <c r="G2488" s="54"/>
    </row>
    <row r="2489">
      <c r="A2489" s="49">
        <v>45046.84710905093</v>
      </c>
      <c r="B2489" s="50">
        <v>45046.9720830555</v>
      </c>
      <c r="C2489" s="51">
        <v>1.027</v>
      </c>
      <c r="D2489" s="51">
        <v>62.0</v>
      </c>
      <c r="E2489" s="52" t="s">
        <v>25</v>
      </c>
      <c r="F2489" s="52" t="s">
        <v>26</v>
      </c>
      <c r="G2489" s="54"/>
    </row>
    <row r="2490">
      <c r="A2490" s="49">
        <v>45046.85752277778</v>
      </c>
      <c r="B2490" s="50">
        <v>45046.9825040393</v>
      </c>
      <c r="C2490" s="51">
        <v>1.027</v>
      </c>
      <c r="D2490" s="51">
        <v>62.0</v>
      </c>
      <c r="E2490" s="52" t="s">
        <v>25</v>
      </c>
      <c r="F2490" s="52" t="s">
        <v>26</v>
      </c>
      <c r="G2490" s="54"/>
    </row>
    <row r="2491">
      <c r="A2491" s="49">
        <v>45046.86794877315</v>
      </c>
      <c r="B2491" s="50">
        <v>45046.9929240509</v>
      </c>
      <c r="C2491" s="51">
        <v>1.027</v>
      </c>
      <c r="D2491" s="51">
        <v>62.0</v>
      </c>
      <c r="E2491" s="52" t="s">
        <v>25</v>
      </c>
      <c r="F2491" s="52" t="s">
        <v>26</v>
      </c>
      <c r="G2491" s="54"/>
    </row>
    <row r="2492">
      <c r="A2492" s="49">
        <v>45046.878372210645</v>
      </c>
      <c r="B2492" s="50">
        <v>45047.0033456828</v>
      </c>
      <c r="C2492" s="51">
        <v>1.026</v>
      </c>
      <c r="D2492" s="51">
        <v>62.0</v>
      </c>
      <c r="E2492" s="52" t="s">
        <v>25</v>
      </c>
      <c r="F2492" s="52" t="s">
        <v>26</v>
      </c>
      <c r="G2492" s="54"/>
    </row>
    <row r="2493">
      <c r="A2493" s="49">
        <v>45046.88879729167</v>
      </c>
      <c r="B2493" s="50">
        <v>45047.0137678125</v>
      </c>
      <c r="C2493" s="51">
        <v>1.027</v>
      </c>
      <c r="D2493" s="51">
        <v>62.0</v>
      </c>
      <c r="E2493" s="52" t="s">
        <v>25</v>
      </c>
      <c r="F2493" s="52" t="s">
        <v>26</v>
      </c>
      <c r="G2493" s="54"/>
    </row>
    <row r="2494">
      <c r="A2494" s="49">
        <v>45046.899210648146</v>
      </c>
      <c r="B2494" s="50">
        <v>45047.0241898611</v>
      </c>
      <c r="C2494" s="51">
        <v>1.027</v>
      </c>
      <c r="D2494" s="51">
        <v>62.0</v>
      </c>
      <c r="E2494" s="52" t="s">
        <v>25</v>
      </c>
      <c r="F2494" s="52" t="s">
        <v>26</v>
      </c>
      <c r="G2494" s="54"/>
    </row>
    <row r="2495">
      <c r="A2495" s="49">
        <v>45046.90968265047</v>
      </c>
      <c r="B2495" s="50">
        <v>45047.0346092708</v>
      </c>
      <c r="C2495" s="51">
        <v>1.027</v>
      </c>
      <c r="D2495" s="51">
        <v>62.0</v>
      </c>
      <c r="E2495" s="52" t="s">
        <v>25</v>
      </c>
      <c r="F2495" s="52" t="s">
        <v>26</v>
      </c>
      <c r="G2495" s="54"/>
    </row>
    <row r="2496">
      <c r="A2496" s="49">
        <v>45046.92006016204</v>
      </c>
      <c r="B2496" s="50">
        <v>45047.0450417361</v>
      </c>
      <c r="C2496" s="51">
        <v>1.026</v>
      </c>
      <c r="D2496" s="51">
        <v>62.0</v>
      </c>
      <c r="E2496" s="52" t="s">
        <v>25</v>
      </c>
      <c r="F2496" s="52" t="s">
        <v>26</v>
      </c>
      <c r="G2496" s="54"/>
    </row>
    <row r="2497">
      <c r="A2497" s="49">
        <v>45046.94091479167</v>
      </c>
      <c r="B2497" s="50">
        <v>45047.06588478</v>
      </c>
      <c r="C2497" s="51">
        <v>1.026</v>
      </c>
      <c r="D2497" s="51">
        <v>62.0</v>
      </c>
      <c r="E2497" s="52" t="s">
        <v>25</v>
      </c>
      <c r="F2497" s="52" t="s">
        <v>26</v>
      </c>
      <c r="G2497" s="54"/>
    </row>
    <row r="2498">
      <c r="A2498" s="49">
        <v>45046.95133711805</v>
      </c>
      <c r="B2498" s="50">
        <v>45047.0763046296</v>
      </c>
      <c r="C2498" s="51">
        <v>1.026</v>
      </c>
      <c r="D2498" s="51">
        <v>62.0</v>
      </c>
      <c r="E2498" s="52" t="s">
        <v>25</v>
      </c>
      <c r="F2498" s="52" t="s">
        <v>26</v>
      </c>
      <c r="G2498" s="54"/>
    </row>
    <row r="2499">
      <c r="A2499" s="49">
        <v>45046.96175224537</v>
      </c>
      <c r="B2499" s="50">
        <v>45047.0867256713</v>
      </c>
      <c r="C2499" s="51">
        <v>1.027</v>
      </c>
      <c r="D2499" s="51">
        <v>62.0</v>
      </c>
      <c r="E2499" s="52" t="s">
        <v>25</v>
      </c>
      <c r="F2499" s="52" t="s">
        <v>26</v>
      </c>
      <c r="G2499" s="54"/>
    </row>
    <row r="2500">
      <c r="A2500" s="49">
        <v>45046.972174525465</v>
      </c>
      <c r="B2500" s="50">
        <v>45047.097147905</v>
      </c>
      <c r="C2500" s="51">
        <v>1.026</v>
      </c>
      <c r="D2500" s="51">
        <v>62.0</v>
      </c>
      <c r="E2500" s="52" t="s">
        <v>25</v>
      </c>
      <c r="F2500" s="52" t="s">
        <v>26</v>
      </c>
      <c r="G2500" s="54"/>
    </row>
    <row r="2501">
      <c r="A2501" s="49">
        <v>45046.982593912035</v>
      </c>
      <c r="B2501" s="50">
        <v>45047.1075684722</v>
      </c>
      <c r="C2501" s="51">
        <v>1.026</v>
      </c>
      <c r="D2501" s="51">
        <v>62.0</v>
      </c>
      <c r="E2501" s="52" t="s">
        <v>25</v>
      </c>
      <c r="F2501" s="52" t="s">
        <v>26</v>
      </c>
      <c r="G2501" s="54"/>
    </row>
    <row r="2502">
      <c r="A2502" s="49">
        <v>45046.993030115744</v>
      </c>
      <c r="B2502" s="50">
        <v>45047.1179875578</v>
      </c>
      <c r="C2502" s="51">
        <v>1.026</v>
      </c>
      <c r="D2502" s="51">
        <v>62.0</v>
      </c>
      <c r="E2502" s="52" t="s">
        <v>25</v>
      </c>
      <c r="F2502" s="52" t="s">
        <v>26</v>
      </c>
      <c r="G2502" s="54"/>
    </row>
    <row r="2503">
      <c r="A2503" s="49">
        <v>45047.00342792824</v>
      </c>
      <c r="B2503" s="50">
        <v>45047.1284094791</v>
      </c>
      <c r="C2503" s="51">
        <v>1.026</v>
      </c>
      <c r="D2503" s="51">
        <v>62.0</v>
      </c>
      <c r="E2503" s="52" t="s">
        <v>25</v>
      </c>
      <c r="F2503" s="52" t="s">
        <v>26</v>
      </c>
      <c r="G2503" s="54"/>
    </row>
    <row r="2504">
      <c r="A2504" s="49">
        <v>45047.013846435184</v>
      </c>
      <c r="B2504" s="50">
        <v>45047.1388305439</v>
      </c>
      <c r="C2504" s="51">
        <v>1.026</v>
      </c>
      <c r="D2504" s="51">
        <v>62.0</v>
      </c>
      <c r="E2504" s="52" t="s">
        <v>25</v>
      </c>
      <c r="F2504" s="52" t="s">
        <v>26</v>
      </c>
      <c r="G2504" s="54"/>
    </row>
    <row r="2505">
      <c r="A2505" s="49">
        <v>45047.02427553241</v>
      </c>
      <c r="B2505" s="50">
        <v>45047.1492513773</v>
      </c>
      <c r="C2505" s="51">
        <v>1.026</v>
      </c>
      <c r="D2505" s="51">
        <v>62.0</v>
      </c>
      <c r="E2505" s="52" t="s">
        <v>25</v>
      </c>
      <c r="F2505" s="52" t="s">
        <v>26</v>
      </c>
      <c r="G2505" s="54"/>
    </row>
    <row r="2506">
      <c r="A2506" s="49">
        <v>45047.03470278935</v>
      </c>
      <c r="B2506" s="50">
        <v>45047.1596723842</v>
      </c>
      <c r="C2506" s="51">
        <v>1.026</v>
      </c>
      <c r="D2506" s="51">
        <v>62.0</v>
      </c>
      <c r="E2506" s="52" t="s">
        <v>25</v>
      </c>
      <c r="F2506" s="52" t="s">
        <v>26</v>
      </c>
      <c r="G2506" s="54"/>
    </row>
    <row r="2507">
      <c r="A2507" s="49">
        <v>45047.04512188658</v>
      </c>
      <c r="B2507" s="50">
        <v>45047.1701034838</v>
      </c>
      <c r="C2507" s="51">
        <v>1.026</v>
      </c>
      <c r="D2507" s="51">
        <v>62.0</v>
      </c>
      <c r="E2507" s="52" t="s">
        <v>25</v>
      </c>
      <c r="F2507" s="52" t="s">
        <v>26</v>
      </c>
      <c r="G2507" s="54"/>
    </row>
    <row r="2508">
      <c r="A2508" s="49">
        <v>45047.05554652778</v>
      </c>
      <c r="B2508" s="50">
        <v>45047.1805242824</v>
      </c>
      <c r="C2508" s="51">
        <v>1.026</v>
      </c>
      <c r="D2508" s="51">
        <v>62.0</v>
      </c>
      <c r="E2508" s="52" t="s">
        <v>25</v>
      </c>
      <c r="F2508" s="52" t="s">
        <v>26</v>
      </c>
      <c r="G2508" s="54"/>
    </row>
    <row r="2509">
      <c r="A2509" s="49">
        <v>45047.065969965275</v>
      </c>
      <c r="B2509" s="50">
        <v>45047.1909442824</v>
      </c>
      <c r="C2509" s="51">
        <v>1.026</v>
      </c>
      <c r="D2509" s="51">
        <v>62.0</v>
      </c>
      <c r="E2509" s="52" t="s">
        <v>25</v>
      </c>
      <c r="F2509" s="52" t="s">
        <v>26</v>
      </c>
      <c r="G2509" s="54"/>
    </row>
    <row r="2510">
      <c r="A2510" s="49">
        <v>45047.07641840278</v>
      </c>
      <c r="B2510" s="50">
        <v>45047.2013653703</v>
      </c>
      <c r="C2510" s="51">
        <v>1.026</v>
      </c>
      <c r="D2510" s="51">
        <v>62.0</v>
      </c>
      <c r="E2510" s="52" t="s">
        <v>25</v>
      </c>
      <c r="F2510" s="52" t="s">
        <v>26</v>
      </c>
      <c r="G2510" s="54"/>
    </row>
    <row r="2511">
      <c r="A2511" s="49">
        <v>45047.08680744213</v>
      </c>
      <c r="B2511" s="50">
        <v>45047.2117870138</v>
      </c>
      <c r="C2511" s="51">
        <v>1.026</v>
      </c>
      <c r="D2511" s="51">
        <v>62.0</v>
      </c>
      <c r="E2511" s="52" t="s">
        <v>25</v>
      </c>
      <c r="F2511" s="52" t="s">
        <v>26</v>
      </c>
      <c r="G2511" s="54"/>
    </row>
    <row r="2512">
      <c r="A2512" s="49">
        <v>45047.09725423611</v>
      </c>
      <c r="B2512" s="50">
        <v>45047.2222080787</v>
      </c>
      <c r="C2512" s="51">
        <v>1.026</v>
      </c>
      <c r="D2512" s="51">
        <v>62.0</v>
      </c>
      <c r="E2512" s="52" t="s">
        <v>25</v>
      </c>
      <c r="F2512" s="52" t="s">
        <v>26</v>
      </c>
      <c r="G2512" s="54"/>
    </row>
    <row r="2513">
      <c r="A2513" s="49">
        <v>45047.10765583333</v>
      </c>
      <c r="B2513" s="50">
        <v>45047.2326284838</v>
      </c>
      <c r="C2513" s="51">
        <v>1.026</v>
      </c>
      <c r="D2513" s="51">
        <v>62.0</v>
      </c>
      <c r="E2513" s="52" t="s">
        <v>25</v>
      </c>
      <c r="F2513" s="52" t="s">
        <v>26</v>
      </c>
      <c r="G2513" s="54"/>
    </row>
    <row r="2514">
      <c r="A2514" s="49">
        <v>45047.118075949074</v>
      </c>
      <c r="B2514" s="50">
        <v>45047.2430506944</v>
      </c>
      <c r="C2514" s="51">
        <v>1.026</v>
      </c>
      <c r="D2514" s="51">
        <v>62.0</v>
      </c>
      <c r="E2514" s="52" t="s">
        <v>25</v>
      </c>
      <c r="F2514" s="52" t="s">
        <v>26</v>
      </c>
      <c r="G2514" s="54"/>
    </row>
    <row r="2515">
      <c r="A2515" s="49">
        <v>45047.12848876158</v>
      </c>
      <c r="B2515" s="50">
        <v>45047.2534716898</v>
      </c>
      <c r="C2515" s="51">
        <v>1.026</v>
      </c>
      <c r="D2515" s="51">
        <v>62.0</v>
      </c>
      <c r="E2515" s="52" t="s">
        <v>25</v>
      </c>
      <c r="F2515" s="52" t="s">
        <v>26</v>
      </c>
      <c r="G2515" s="54"/>
    </row>
    <row r="2516">
      <c r="A2516" s="49">
        <v>45047.13891715278</v>
      </c>
      <c r="B2516" s="50">
        <v>45047.2638930555</v>
      </c>
      <c r="C2516" s="51">
        <v>1.026</v>
      </c>
      <c r="D2516" s="51">
        <v>62.0</v>
      </c>
      <c r="E2516" s="52" t="s">
        <v>25</v>
      </c>
      <c r="F2516" s="52" t="s">
        <v>26</v>
      </c>
      <c r="G2516" s="54"/>
    </row>
    <row r="2517">
      <c r="A2517" s="49">
        <v>45047.149349768515</v>
      </c>
      <c r="B2517" s="50">
        <v>45047.2743148379</v>
      </c>
      <c r="C2517" s="51">
        <v>1.026</v>
      </c>
      <c r="D2517" s="51">
        <v>62.0</v>
      </c>
      <c r="E2517" s="52" t="s">
        <v>25</v>
      </c>
      <c r="F2517" s="52" t="s">
        <v>26</v>
      </c>
      <c r="G2517" s="54"/>
    </row>
    <row r="2518">
      <c r="A2518" s="49">
        <v>45047.15977525463</v>
      </c>
      <c r="B2518" s="50">
        <v>45047.2847366666</v>
      </c>
      <c r="C2518" s="51">
        <v>1.026</v>
      </c>
      <c r="D2518" s="51">
        <v>62.0</v>
      </c>
      <c r="E2518" s="52" t="s">
        <v>25</v>
      </c>
      <c r="F2518" s="52" t="s">
        <v>26</v>
      </c>
      <c r="G2518" s="54"/>
    </row>
    <row r="2519">
      <c r="A2519" s="49">
        <v>45047.17018431713</v>
      </c>
      <c r="B2519" s="50">
        <v>45047.2951575347</v>
      </c>
      <c r="C2519" s="51">
        <v>1.026</v>
      </c>
      <c r="D2519" s="51">
        <v>62.0</v>
      </c>
      <c r="E2519" s="52" t="s">
        <v>25</v>
      </c>
      <c r="F2519" s="52" t="s">
        <v>26</v>
      </c>
      <c r="G2519" s="54"/>
    </row>
    <row r="2520">
      <c r="A2520" s="49">
        <v>45047.180601921296</v>
      </c>
      <c r="B2520" s="50">
        <v>45047.3055790162</v>
      </c>
      <c r="C2520" s="51">
        <v>1.026</v>
      </c>
      <c r="D2520" s="51">
        <v>62.0</v>
      </c>
      <c r="E2520" s="52" t="s">
        <v>25</v>
      </c>
      <c r="F2520" s="52" t="s">
        <v>26</v>
      </c>
      <c r="G2520" s="54"/>
    </row>
    <row r="2521">
      <c r="A2521" s="49">
        <v>45047.19102576389</v>
      </c>
      <c r="B2521" s="50">
        <v>45047.3159975</v>
      </c>
      <c r="C2521" s="51">
        <v>1.026</v>
      </c>
      <c r="D2521" s="51">
        <v>62.0</v>
      </c>
      <c r="E2521" s="52" t="s">
        <v>25</v>
      </c>
      <c r="F2521" s="52" t="s">
        <v>26</v>
      </c>
      <c r="G2521" s="54"/>
    </row>
    <row r="2522">
      <c r="A2522" s="49">
        <v>45047.20150648148</v>
      </c>
      <c r="B2522" s="50">
        <v>45047.3264182291</v>
      </c>
      <c r="C2522" s="51">
        <v>1.026</v>
      </c>
      <c r="D2522" s="51">
        <v>62.0</v>
      </c>
      <c r="E2522" s="52" t="s">
        <v>25</v>
      </c>
      <c r="F2522" s="52" t="s">
        <v>26</v>
      </c>
      <c r="G2522" s="54"/>
    </row>
    <row r="2523">
      <c r="A2523" s="49">
        <v>45047.21186951389</v>
      </c>
      <c r="B2523" s="50">
        <v>45047.3368393518</v>
      </c>
      <c r="C2523" s="51">
        <v>1.026</v>
      </c>
      <c r="D2523" s="51">
        <v>62.0</v>
      </c>
      <c r="E2523" s="52" t="s">
        <v>25</v>
      </c>
      <c r="F2523" s="52" t="s">
        <v>26</v>
      </c>
      <c r="G2523" s="54"/>
    </row>
    <row r="2524">
      <c r="A2524" s="49">
        <v>45047.22228825232</v>
      </c>
      <c r="B2524" s="50">
        <v>45047.34725978</v>
      </c>
      <c r="C2524" s="51">
        <v>1.026</v>
      </c>
      <c r="D2524" s="51">
        <v>62.0</v>
      </c>
      <c r="E2524" s="52" t="s">
        <v>25</v>
      </c>
      <c r="F2524" s="52" t="s">
        <v>26</v>
      </c>
      <c r="G2524" s="54"/>
    </row>
    <row r="2525">
      <c r="A2525" s="49">
        <v>45047.2327030787</v>
      </c>
      <c r="B2525" s="50">
        <v>45047.3576798379</v>
      </c>
      <c r="C2525" s="51">
        <v>1.026</v>
      </c>
      <c r="D2525" s="51">
        <v>62.0</v>
      </c>
      <c r="E2525" s="52" t="s">
        <v>25</v>
      </c>
      <c r="F2525" s="52" t="s">
        <v>26</v>
      </c>
      <c r="G2525" s="54"/>
    </row>
    <row r="2526">
      <c r="A2526" s="49">
        <v>45047.25356138889</v>
      </c>
      <c r="B2526" s="50">
        <v>45047.3785209722</v>
      </c>
      <c r="C2526" s="51">
        <v>1.026</v>
      </c>
      <c r="D2526" s="51">
        <v>62.0</v>
      </c>
      <c r="E2526" s="52" t="s">
        <v>25</v>
      </c>
      <c r="F2526" s="52" t="s">
        <v>26</v>
      </c>
      <c r="G2526" s="54"/>
    </row>
    <row r="2527">
      <c r="A2527" s="49">
        <v>45047.27444019676</v>
      </c>
      <c r="B2527" s="50">
        <v>45047.3993597685</v>
      </c>
      <c r="C2527" s="51">
        <v>1.026</v>
      </c>
      <c r="D2527" s="51">
        <v>62.0</v>
      </c>
      <c r="E2527" s="52" t="s">
        <v>25</v>
      </c>
      <c r="F2527" s="52" t="s">
        <v>26</v>
      </c>
      <c r="G2527" s="54"/>
    </row>
    <row r="2528">
      <c r="A2528" s="49">
        <v>45047.28481549768</v>
      </c>
      <c r="B2528" s="50">
        <v>45047.4097797453</v>
      </c>
      <c r="C2528" s="51">
        <v>1.026</v>
      </c>
      <c r="D2528" s="51">
        <v>62.0</v>
      </c>
      <c r="E2528" s="52" t="s">
        <v>25</v>
      </c>
      <c r="F2528" s="52" t="s">
        <v>26</v>
      </c>
      <c r="G2528" s="54"/>
    </row>
    <row r="2529">
      <c r="A2529" s="49">
        <v>45047.29522512732</v>
      </c>
      <c r="B2529" s="50">
        <v>45047.4202012963</v>
      </c>
      <c r="C2529" s="51">
        <v>1.026</v>
      </c>
      <c r="D2529" s="51">
        <v>62.0</v>
      </c>
      <c r="E2529" s="52" t="s">
        <v>25</v>
      </c>
      <c r="F2529" s="52" t="s">
        <v>26</v>
      </c>
      <c r="G2529" s="54"/>
    </row>
    <row r="2530">
      <c r="A2530" s="49">
        <v>45047.30565340278</v>
      </c>
      <c r="B2530" s="50">
        <v>45047.4306204861</v>
      </c>
      <c r="C2530" s="51">
        <v>1.026</v>
      </c>
      <c r="D2530" s="51">
        <v>62.0</v>
      </c>
      <c r="E2530" s="52" t="s">
        <v>25</v>
      </c>
      <c r="F2530" s="52" t="s">
        <v>26</v>
      </c>
      <c r="G2530" s="54"/>
    </row>
    <row r="2531">
      <c r="A2531" s="49">
        <v>45047.31607486111</v>
      </c>
      <c r="B2531" s="50">
        <v>45047.4410411111</v>
      </c>
      <c r="C2531" s="51">
        <v>1.026</v>
      </c>
      <c r="D2531" s="51">
        <v>62.0</v>
      </c>
      <c r="E2531" s="52" t="s">
        <v>25</v>
      </c>
      <c r="F2531" s="52" t="s">
        <v>26</v>
      </c>
      <c r="G2531" s="54"/>
    </row>
    <row r="2532">
      <c r="A2532" s="49">
        <v>45047.32649461806</v>
      </c>
      <c r="B2532" s="50">
        <v>45047.451463449</v>
      </c>
      <c r="C2532" s="51">
        <v>1.026</v>
      </c>
      <c r="D2532" s="51">
        <v>62.0</v>
      </c>
      <c r="E2532" s="52" t="s">
        <v>25</v>
      </c>
      <c r="F2532" s="52" t="s">
        <v>26</v>
      </c>
      <c r="G2532" s="54"/>
    </row>
    <row r="2533">
      <c r="A2533" s="49">
        <v>45047.336910011574</v>
      </c>
      <c r="B2533" s="50">
        <v>45047.4618825115</v>
      </c>
      <c r="C2533" s="51">
        <v>1.026</v>
      </c>
      <c r="D2533" s="51">
        <v>62.0</v>
      </c>
      <c r="E2533" s="52" t="s">
        <v>25</v>
      </c>
      <c r="F2533" s="52" t="s">
        <v>26</v>
      </c>
      <c r="G2533" s="54"/>
    </row>
    <row r="2534">
      <c r="A2534" s="49">
        <v>45047.347326284726</v>
      </c>
      <c r="B2534" s="50">
        <v>45047.4723028935</v>
      </c>
      <c r="C2534" s="51">
        <v>1.026</v>
      </c>
      <c r="D2534" s="51">
        <v>62.0</v>
      </c>
      <c r="E2534" s="52" t="s">
        <v>25</v>
      </c>
      <c r="F2534" s="52" t="s">
        <v>26</v>
      </c>
      <c r="G2534" s="54"/>
    </row>
    <row r="2535">
      <c r="A2535" s="49">
        <v>45047.35774565973</v>
      </c>
      <c r="B2535" s="50">
        <v>45047.4827240046</v>
      </c>
      <c r="C2535" s="51">
        <v>1.026</v>
      </c>
      <c r="D2535" s="51">
        <v>62.0</v>
      </c>
      <c r="E2535" s="52" t="s">
        <v>25</v>
      </c>
      <c r="F2535" s="52" t="s">
        <v>26</v>
      </c>
      <c r="G2535" s="54"/>
    </row>
    <row r="2536">
      <c r="A2536" s="49">
        <v>45047.36817674768</v>
      </c>
      <c r="B2536" s="50">
        <v>45047.4931450231</v>
      </c>
      <c r="C2536" s="51">
        <v>1.026</v>
      </c>
      <c r="D2536" s="51">
        <v>62.0</v>
      </c>
      <c r="E2536" s="52" t="s">
        <v>25</v>
      </c>
      <c r="F2536" s="52" t="s">
        <v>26</v>
      </c>
      <c r="G2536" s="54"/>
    </row>
    <row r="2537">
      <c r="A2537" s="49">
        <v>45047.37860590278</v>
      </c>
      <c r="B2537" s="50">
        <v>45047.503577037</v>
      </c>
      <c r="C2537" s="51">
        <v>1.026</v>
      </c>
      <c r="D2537" s="51">
        <v>62.0</v>
      </c>
      <c r="E2537" s="52" t="s">
        <v>25</v>
      </c>
      <c r="F2537" s="52" t="s">
        <v>26</v>
      </c>
      <c r="G2537" s="54"/>
    </row>
    <row r="2538">
      <c r="A2538" s="49">
        <v>45047.39948496528</v>
      </c>
      <c r="B2538" s="50">
        <v>45047.524455324</v>
      </c>
      <c r="C2538" s="51">
        <v>1.026</v>
      </c>
      <c r="D2538" s="51">
        <v>62.0</v>
      </c>
      <c r="E2538" s="52" t="s">
        <v>25</v>
      </c>
      <c r="F2538" s="52" t="s">
        <v>26</v>
      </c>
      <c r="G2538" s="54"/>
    </row>
    <row r="2539">
      <c r="A2539" s="49">
        <v>45047.40991275463</v>
      </c>
      <c r="B2539" s="50">
        <v>45047.5348766435</v>
      </c>
      <c r="C2539" s="51">
        <v>1.026</v>
      </c>
      <c r="D2539" s="51">
        <v>62.0</v>
      </c>
      <c r="E2539" s="52" t="s">
        <v>25</v>
      </c>
      <c r="F2539" s="52" t="s">
        <v>26</v>
      </c>
      <c r="G2539" s="54"/>
    </row>
    <row r="2540">
      <c r="A2540" s="49">
        <v>45047.42032797454</v>
      </c>
      <c r="B2540" s="50">
        <v>45047.5452994791</v>
      </c>
      <c r="C2540" s="51">
        <v>1.026</v>
      </c>
      <c r="D2540" s="51">
        <v>62.0</v>
      </c>
      <c r="E2540" s="52" t="s">
        <v>25</v>
      </c>
      <c r="F2540" s="52" t="s">
        <v>26</v>
      </c>
      <c r="G2540" s="54"/>
    </row>
    <row r="2541">
      <c r="A2541" s="49">
        <v>45047.43075511574</v>
      </c>
      <c r="B2541" s="50">
        <v>45047.5557202314</v>
      </c>
      <c r="C2541" s="51">
        <v>1.026</v>
      </c>
      <c r="D2541" s="51">
        <v>62.0</v>
      </c>
      <c r="E2541" s="52" t="s">
        <v>25</v>
      </c>
      <c r="F2541" s="52" t="s">
        <v>26</v>
      </c>
      <c r="G2541" s="54"/>
    </row>
    <row r="2542">
      <c r="A2542" s="49">
        <v>45047.441176203705</v>
      </c>
      <c r="B2542" s="50">
        <v>45047.5661421064</v>
      </c>
      <c r="C2542" s="51">
        <v>1.026</v>
      </c>
      <c r="D2542" s="51">
        <v>62.0</v>
      </c>
      <c r="E2542" s="52" t="s">
        <v>25</v>
      </c>
      <c r="F2542" s="52" t="s">
        <v>26</v>
      </c>
      <c r="G2542" s="54"/>
    </row>
    <row r="2543">
      <c r="A2543" s="49">
        <v>45047.462043645835</v>
      </c>
      <c r="B2543" s="50">
        <v>45047.5870184953</v>
      </c>
      <c r="C2543" s="51">
        <v>1.026</v>
      </c>
      <c r="D2543" s="51">
        <v>62.0</v>
      </c>
      <c r="E2543" s="52" t="s">
        <v>25</v>
      </c>
      <c r="F2543" s="52" t="s">
        <v>26</v>
      </c>
      <c r="G2543" s="54"/>
    </row>
    <row r="2544">
      <c r="A2544" s="49">
        <v>45047.47246667824</v>
      </c>
      <c r="B2544" s="50">
        <v>45047.5974385532</v>
      </c>
      <c r="C2544" s="51">
        <v>1.026</v>
      </c>
      <c r="D2544" s="51">
        <v>62.0</v>
      </c>
      <c r="E2544" s="52" t="s">
        <v>25</v>
      </c>
      <c r="F2544" s="52" t="s">
        <v>26</v>
      </c>
      <c r="G2544" s="54"/>
    </row>
    <row r="2545">
      <c r="A2545" s="49">
        <v>45047.48291427083</v>
      </c>
      <c r="B2545" s="50">
        <v>45047.6078609259</v>
      </c>
      <c r="C2545" s="51">
        <v>1.026</v>
      </c>
      <c r="D2545" s="51">
        <v>62.0</v>
      </c>
      <c r="E2545" s="52" t="s">
        <v>25</v>
      </c>
      <c r="F2545" s="52" t="s">
        <v>26</v>
      </c>
      <c r="G2545" s="54"/>
    </row>
    <row r="2546">
      <c r="A2546" s="49">
        <v>45047.49333033565</v>
      </c>
      <c r="B2546" s="50">
        <v>45047.6182920138</v>
      </c>
      <c r="C2546" s="51">
        <v>1.026</v>
      </c>
      <c r="D2546" s="51">
        <v>62.0</v>
      </c>
      <c r="E2546" s="52" t="s">
        <v>25</v>
      </c>
      <c r="F2546" s="52" t="s">
        <v>26</v>
      </c>
      <c r="G2546" s="54"/>
    </row>
    <row r="2547">
      <c r="A2547" s="49">
        <v>45047.50374460648</v>
      </c>
      <c r="B2547" s="50">
        <v>45047.6287120254</v>
      </c>
      <c r="C2547" s="51">
        <v>1.026</v>
      </c>
      <c r="D2547" s="51">
        <v>62.0</v>
      </c>
      <c r="E2547" s="52" t="s">
        <v>25</v>
      </c>
      <c r="F2547" s="52" t="s">
        <v>26</v>
      </c>
      <c r="G2547" s="54"/>
    </row>
    <row r="2548">
      <c r="A2548" s="49">
        <v>45047.51416269676</v>
      </c>
      <c r="B2548" s="50">
        <v>45047.6391338194</v>
      </c>
      <c r="C2548" s="51">
        <v>1.026</v>
      </c>
      <c r="D2548" s="51">
        <v>62.0</v>
      </c>
      <c r="E2548" s="52" t="s">
        <v>25</v>
      </c>
      <c r="F2548" s="52" t="s">
        <v>26</v>
      </c>
      <c r="G2548" s="54"/>
    </row>
    <row r="2549">
      <c r="A2549" s="49">
        <v>45047.52458884259</v>
      </c>
      <c r="B2549" s="50">
        <v>45047.6495662384</v>
      </c>
      <c r="C2549" s="51">
        <v>1.026</v>
      </c>
      <c r="D2549" s="51">
        <v>62.0</v>
      </c>
      <c r="E2549" s="52" t="s">
        <v>25</v>
      </c>
      <c r="F2549" s="52" t="s">
        <v>26</v>
      </c>
      <c r="G2549" s="54"/>
    </row>
    <row r="2550">
      <c r="A2550" s="49">
        <v>45047.53504315972</v>
      </c>
      <c r="B2550" s="50">
        <v>45047.6599867708</v>
      </c>
      <c r="C2550" s="51">
        <v>1.026</v>
      </c>
      <c r="D2550" s="51">
        <v>62.0</v>
      </c>
      <c r="E2550" s="52" t="s">
        <v>25</v>
      </c>
      <c r="F2550" s="52" t="s">
        <v>26</v>
      </c>
      <c r="G2550" s="54"/>
    </row>
    <row r="2551">
      <c r="A2551" s="49">
        <v>45047.54543827546</v>
      </c>
      <c r="B2551" s="50">
        <v>45047.6704084027</v>
      </c>
      <c r="C2551" s="51">
        <v>1.026</v>
      </c>
      <c r="D2551" s="51">
        <v>62.0</v>
      </c>
      <c r="E2551" s="52" t="s">
        <v>25</v>
      </c>
      <c r="F2551" s="52" t="s">
        <v>26</v>
      </c>
      <c r="G2551" s="54"/>
    </row>
    <row r="2552">
      <c r="A2552" s="49">
        <v>45047.55585157407</v>
      </c>
      <c r="B2552" s="50">
        <v>45047.6808292476</v>
      </c>
      <c r="C2552" s="51">
        <v>1.026</v>
      </c>
      <c r="D2552" s="51">
        <v>62.0</v>
      </c>
      <c r="E2552" s="52" t="s">
        <v>25</v>
      </c>
      <c r="F2552" s="52" t="s">
        <v>26</v>
      </c>
      <c r="G2552" s="54"/>
    </row>
    <row r="2553">
      <c r="A2553" s="49">
        <v>45047.566295682875</v>
      </c>
      <c r="B2553" s="50">
        <v>45047.6912634375</v>
      </c>
      <c r="C2553" s="51">
        <v>1.026</v>
      </c>
      <c r="D2553" s="51">
        <v>62.0</v>
      </c>
      <c r="E2553" s="52" t="s">
        <v>25</v>
      </c>
      <c r="F2553" s="52" t="s">
        <v>26</v>
      </c>
      <c r="G2553" s="54"/>
    </row>
    <row r="2554">
      <c r="A2554" s="49">
        <v>45047.576710625</v>
      </c>
      <c r="B2554" s="50">
        <v>45047.701684155</v>
      </c>
      <c r="C2554" s="51">
        <v>1.026</v>
      </c>
      <c r="D2554" s="51">
        <v>62.0</v>
      </c>
      <c r="E2554" s="52" t="s">
        <v>25</v>
      </c>
      <c r="F2554" s="52" t="s">
        <v>26</v>
      </c>
      <c r="G2554" s="54"/>
    </row>
    <row r="2555">
      <c r="A2555" s="49">
        <v>45047.58713395833</v>
      </c>
      <c r="B2555" s="50">
        <v>45047.7121061111</v>
      </c>
      <c r="C2555" s="51">
        <v>1.026</v>
      </c>
      <c r="D2555" s="51">
        <v>62.0</v>
      </c>
      <c r="E2555" s="52" t="s">
        <v>25</v>
      </c>
      <c r="F2555" s="52" t="s">
        <v>26</v>
      </c>
      <c r="G2555" s="54"/>
    </row>
    <row r="2556">
      <c r="A2556" s="49">
        <v>45047.59755424768</v>
      </c>
      <c r="B2556" s="50">
        <v>45047.7225278125</v>
      </c>
      <c r="C2556" s="51">
        <v>1.026</v>
      </c>
      <c r="D2556" s="51">
        <v>62.0</v>
      </c>
      <c r="E2556" s="52" t="s">
        <v>25</v>
      </c>
      <c r="F2556" s="52" t="s">
        <v>26</v>
      </c>
      <c r="G2556" s="54"/>
    </row>
    <row r="2557">
      <c r="A2557" s="49">
        <v>45047.607971562495</v>
      </c>
      <c r="B2557" s="50">
        <v>45047.7329504166</v>
      </c>
      <c r="C2557" s="51">
        <v>1.026</v>
      </c>
      <c r="D2557" s="51">
        <v>62.0</v>
      </c>
      <c r="E2557" s="52" t="s">
        <v>25</v>
      </c>
      <c r="F2557" s="52" t="s">
        <v>26</v>
      </c>
      <c r="G2557" s="54"/>
    </row>
    <row r="2558">
      <c r="A2558" s="49">
        <v>45047.61839314815</v>
      </c>
      <c r="B2558" s="50">
        <v>45047.7433706944</v>
      </c>
      <c r="C2558" s="51">
        <v>1.026</v>
      </c>
      <c r="D2558" s="51">
        <v>62.0</v>
      </c>
      <c r="E2558" s="52" t="s">
        <v>25</v>
      </c>
      <c r="F2558" s="52" t="s">
        <v>26</v>
      </c>
      <c r="G2558" s="54"/>
    </row>
    <row r="2559">
      <c r="A2559" s="49">
        <v>45047.62881744213</v>
      </c>
      <c r="B2559" s="50">
        <v>45047.7537911921</v>
      </c>
      <c r="C2559" s="51">
        <v>1.026</v>
      </c>
      <c r="D2559" s="51">
        <v>62.0</v>
      </c>
      <c r="E2559" s="52" t="s">
        <v>25</v>
      </c>
      <c r="F2559" s="52" t="s">
        <v>26</v>
      </c>
      <c r="G2559" s="54"/>
    </row>
    <row r="2560">
      <c r="A2560" s="49">
        <v>45047.63925814815</v>
      </c>
      <c r="B2560" s="50">
        <v>45047.7642150578</v>
      </c>
      <c r="C2560" s="51">
        <v>1.026</v>
      </c>
      <c r="D2560" s="51">
        <v>62.0</v>
      </c>
      <c r="E2560" s="52" t="s">
        <v>25</v>
      </c>
      <c r="F2560" s="52" t="s">
        <v>26</v>
      </c>
      <c r="G2560" s="54"/>
    </row>
    <row r="2561">
      <c r="A2561" s="49">
        <v>45047.64968688657</v>
      </c>
      <c r="B2561" s="50">
        <v>45047.7746586226</v>
      </c>
      <c r="C2561" s="51">
        <v>1.026</v>
      </c>
      <c r="D2561" s="51">
        <v>62.0</v>
      </c>
      <c r="E2561" s="52" t="s">
        <v>25</v>
      </c>
      <c r="F2561" s="52" t="s">
        <v>26</v>
      </c>
      <c r="G2561" s="54"/>
    </row>
    <row r="2562">
      <c r="A2562" s="49">
        <v>45047.660110219906</v>
      </c>
      <c r="B2562" s="50">
        <v>45047.7850794444</v>
      </c>
      <c r="C2562" s="51">
        <v>1.026</v>
      </c>
      <c r="D2562" s="51">
        <v>62.0</v>
      </c>
      <c r="E2562" s="52" t="s">
        <v>25</v>
      </c>
      <c r="F2562" s="52" t="s">
        <v>26</v>
      </c>
      <c r="G2562" s="54"/>
    </row>
    <row r="2563">
      <c r="A2563" s="49">
        <v>45047.67052148149</v>
      </c>
      <c r="B2563" s="50">
        <v>45047.7955001967</v>
      </c>
      <c r="C2563" s="51">
        <v>1.026</v>
      </c>
      <c r="D2563" s="51">
        <v>62.0</v>
      </c>
      <c r="E2563" s="52" t="s">
        <v>25</v>
      </c>
      <c r="F2563" s="52" t="s">
        <v>26</v>
      </c>
      <c r="G2563" s="54"/>
    </row>
    <row r="2564">
      <c r="A2564" s="49">
        <v>45047.68095121528</v>
      </c>
      <c r="B2564" s="50">
        <v>45047.8059219097</v>
      </c>
      <c r="C2564" s="51">
        <v>1.026</v>
      </c>
      <c r="D2564" s="51">
        <v>62.0</v>
      </c>
      <c r="E2564" s="52" t="s">
        <v>25</v>
      </c>
      <c r="F2564" s="52" t="s">
        <v>26</v>
      </c>
      <c r="G2564" s="54"/>
    </row>
    <row r="2565">
      <c r="A2565" s="49">
        <v>45047.69138208333</v>
      </c>
      <c r="B2565" s="50">
        <v>45047.8163557986</v>
      </c>
      <c r="C2565" s="51">
        <v>1.026</v>
      </c>
      <c r="D2565" s="51">
        <v>62.0</v>
      </c>
      <c r="E2565" s="52" t="s">
        <v>25</v>
      </c>
      <c r="F2565" s="52" t="s">
        <v>26</v>
      </c>
      <c r="G2565" s="54"/>
    </row>
    <row r="2566">
      <c r="A2566" s="49">
        <v>45047.70182002315</v>
      </c>
      <c r="B2566" s="50">
        <v>45047.826789375</v>
      </c>
      <c r="C2566" s="51">
        <v>1.026</v>
      </c>
      <c r="D2566" s="51">
        <v>62.0</v>
      </c>
      <c r="E2566" s="52" t="s">
        <v>25</v>
      </c>
      <c r="F2566" s="52" t="s">
        <v>26</v>
      </c>
      <c r="G2566" s="54"/>
    </row>
    <row r="2567">
      <c r="A2567" s="49">
        <v>45047.71223766204</v>
      </c>
      <c r="B2567" s="50">
        <v>45047.8372085995</v>
      </c>
      <c r="C2567" s="51">
        <v>1.026</v>
      </c>
      <c r="D2567" s="51">
        <v>62.0</v>
      </c>
      <c r="E2567" s="52" t="s">
        <v>25</v>
      </c>
      <c r="F2567" s="52" t="s">
        <v>26</v>
      </c>
      <c r="G2567" s="54"/>
    </row>
    <row r="2568">
      <c r="A2568" s="49">
        <v>45047.72265077547</v>
      </c>
      <c r="B2568" s="50">
        <v>45047.847628125</v>
      </c>
      <c r="C2568" s="51">
        <v>1.026</v>
      </c>
      <c r="D2568" s="51">
        <v>62.0</v>
      </c>
      <c r="E2568" s="52" t="s">
        <v>25</v>
      </c>
      <c r="F2568" s="52" t="s">
        <v>26</v>
      </c>
      <c r="G2568" s="54"/>
    </row>
    <row r="2569">
      <c r="A2569" s="49">
        <v>45047.73307555556</v>
      </c>
      <c r="B2569" s="50">
        <v>45047.8580496643</v>
      </c>
      <c r="C2569" s="51">
        <v>1.026</v>
      </c>
      <c r="D2569" s="51">
        <v>62.0</v>
      </c>
      <c r="E2569" s="52" t="s">
        <v>25</v>
      </c>
      <c r="F2569" s="52" t="s">
        <v>26</v>
      </c>
      <c r="G2569" s="54"/>
    </row>
    <row r="2570">
      <c r="A2570" s="49">
        <v>45047.74351888889</v>
      </c>
      <c r="B2570" s="50">
        <v>45047.8684917476</v>
      </c>
      <c r="C2570" s="51">
        <v>1.026</v>
      </c>
      <c r="D2570" s="51">
        <v>62.0</v>
      </c>
      <c r="E2570" s="52" t="s">
        <v>25</v>
      </c>
      <c r="F2570" s="52" t="s">
        <v>26</v>
      </c>
      <c r="G2570" s="54"/>
    </row>
    <row r="2571">
      <c r="A2571" s="49">
        <v>45047.76436690972</v>
      </c>
      <c r="B2571" s="50">
        <v>45047.8893460879</v>
      </c>
      <c r="C2571" s="51">
        <v>1.026</v>
      </c>
      <c r="D2571" s="51">
        <v>62.0</v>
      </c>
      <c r="E2571" s="52" t="s">
        <v>25</v>
      </c>
      <c r="F2571" s="52" t="s">
        <v>26</v>
      </c>
      <c r="G2571" s="54"/>
    </row>
    <row r="2572">
      <c r="A2572" s="49">
        <v>45047.77481113426</v>
      </c>
      <c r="B2572" s="50">
        <v>45047.8997790972</v>
      </c>
      <c r="C2572" s="51">
        <v>1.026</v>
      </c>
      <c r="D2572" s="51">
        <v>62.0</v>
      </c>
      <c r="E2572" s="52" t="s">
        <v>25</v>
      </c>
      <c r="F2572" s="52" t="s">
        <v>26</v>
      </c>
      <c r="G2572" s="54"/>
    </row>
    <row r="2573">
      <c r="A2573" s="49">
        <v>45047.78524190972</v>
      </c>
      <c r="B2573" s="50">
        <v>45047.9101985185</v>
      </c>
      <c r="C2573" s="51">
        <v>1.026</v>
      </c>
      <c r="D2573" s="51">
        <v>62.0</v>
      </c>
      <c r="E2573" s="52" t="s">
        <v>25</v>
      </c>
      <c r="F2573" s="52" t="s">
        <v>26</v>
      </c>
      <c r="G2573" s="54"/>
    </row>
    <row r="2574">
      <c r="A2574" s="49">
        <v>45047.79564725695</v>
      </c>
      <c r="B2574" s="50">
        <v>45047.9206196643</v>
      </c>
      <c r="C2574" s="51">
        <v>1.026</v>
      </c>
      <c r="D2574" s="51">
        <v>62.0</v>
      </c>
      <c r="E2574" s="52" t="s">
        <v>25</v>
      </c>
      <c r="F2574" s="52" t="s">
        <v>26</v>
      </c>
      <c r="G2574" s="54"/>
    </row>
    <row r="2575">
      <c r="A2575" s="49">
        <v>45047.80607074074</v>
      </c>
      <c r="B2575" s="50">
        <v>45047.9310403472</v>
      </c>
      <c r="C2575" s="51">
        <v>1.026</v>
      </c>
      <c r="D2575" s="51">
        <v>62.0</v>
      </c>
      <c r="E2575" s="52" t="s">
        <v>25</v>
      </c>
      <c r="F2575" s="52" t="s">
        <v>26</v>
      </c>
      <c r="G2575" s="54"/>
    </row>
    <row r="2576">
      <c r="A2576" s="49">
        <v>45047.816522256944</v>
      </c>
      <c r="B2576" s="50">
        <v>45047.9414736342</v>
      </c>
      <c r="C2576" s="51">
        <v>1.026</v>
      </c>
      <c r="D2576" s="51">
        <v>62.0</v>
      </c>
      <c r="E2576" s="52" t="s">
        <v>25</v>
      </c>
      <c r="F2576" s="52" t="s">
        <v>26</v>
      </c>
      <c r="G2576" s="54"/>
    </row>
    <row r="2577">
      <c r="A2577" s="49">
        <v>45047.82692144676</v>
      </c>
      <c r="B2577" s="50">
        <v>45047.9518942824</v>
      </c>
      <c r="C2577" s="51">
        <v>1.025</v>
      </c>
      <c r="D2577" s="51">
        <v>62.0</v>
      </c>
      <c r="E2577" s="52" t="s">
        <v>25</v>
      </c>
      <c r="F2577" s="52" t="s">
        <v>26</v>
      </c>
      <c r="G2577" s="54"/>
    </row>
    <row r="2578">
      <c r="A2578" s="49">
        <v>45047.837352766204</v>
      </c>
      <c r="B2578" s="50">
        <v>45047.9623280555</v>
      </c>
      <c r="C2578" s="51">
        <v>1.026</v>
      </c>
      <c r="D2578" s="51">
        <v>62.0</v>
      </c>
      <c r="E2578" s="52" t="s">
        <v>25</v>
      </c>
      <c r="F2578" s="52" t="s">
        <v>26</v>
      </c>
      <c r="G2578" s="54"/>
    </row>
    <row r="2579">
      <c r="A2579" s="49">
        <v>45047.847770625</v>
      </c>
      <c r="B2579" s="50">
        <v>45047.9727490972</v>
      </c>
      <c r="C2579" s="51">
        <v>1.025</v>
      </c>
      <c r="D2579" s="51">
        <v>62.0</v>
      </c>
      <c r="E2579" s="52" t="s">
        <v>25</v>
      </c>
      <c r="F2579" s="52" t="s">
        <v>26</v>
      </c>
      <c r="G2579" s="54"/>
    </row>
    <row r="2580">
      <c r="A2580" s="49">
        <v>45047.858191493055</v>
      </c>
      <c r="B2580" s="50">
        <v>45047.9831701504</v>
      </c>
      <c r="C2580" s="51">
        <v>1.026</v>
      </c>
      <c r="D2580" s="51">
        <v>62.0</v>
      </c>
      <c r="E2580" s="52" t="s">
        <v>25</v>
      </c>
      <c r="F2580" s="52" t="s">
        <v>26</v>
      </c>
      <c r="G2580" s="54"/>
    </row>
    <row r="2581">
      <c r="A2581" s="49">
        <v>45047.86860957176</v>
      </c>
      <c r="B2581" s="50">
        <v>45047.9935908912</v>
      </c>
      <c r="C2581" s="51">
        <v>1.025</v>
      </c>
      <c r="D2581" s="51">
        <v>62.0</v>
      </c>
      <c r="E2581" s="52" t="s">
        <v>25</v>
      </c>
      <c r="F2581" s="52" t="s">
        <v>26</v>
      </c>
      <c r="G2581" s="54"/>
    </row>
    <row r="2582">
      <c r="A2582" s="49">
        <v>45047.879039861116</v>
      </c>
      <c r="B2582" s="50">
        <v>45048.0040131481</v>
      </c>
      <c r="C2582" s="51">
        <v>1.025</v>
      </c>
      <c r="D2582" s="51">
        <v>62.0</v>
      </c>
      <c r="E2582" s="52" t="s">
        <v>25</v>
      </c>
      <c r="F2582" s="52" t="s">
        <v>26</v>
      </c>
      <c r="G2582" s="54"/>
    </row>
    <row r="2583">
      <c r="A2583" s="49">
        <v>45047.88946946759</v>
      </c>
      <c r="B2583" s="50">
        <v>45048.0144451041</v>
      </c>
      <c r="C2583" s="51">
        <v>1.025</v>
      </c>
      <c r="D2583" s="51">
        <v>62.0</v>
      </c>
      <c r="E2583" s="52" t="s">
        <v>25</v>
      </c>
      <c r="F2583" s="52" t="s">
        <v>26</v>
      </c>
      <c r="G2583" s="54"/>
    </row>
    <row r="2584">
      <c r="A2584" s="49">
        <v>45047.899889293985</v>
      </c>
      <c r="B2584" s="50">
        <v>45048.0248663657</v>
      </c>
      <c r="C2584" s="51">
        <v>1.025</v>
      </c>
      <c r="D2584" s="51">
        <v>62.0</v>
      </c>
      <c r="E2584" s="52" t="s">
        <v>25</v>
      </c>
      <c r="F2584" s="52" t="s">
        <v>26</v>
      </c>
      <c r="G2584" s="54"/>
    </row>
    <row r="2585">
      <c r="A2585" s="49">
        <v>45047.91031579861</v>
      </c>
      <c r="B2585" s="50">
        <v>45048.0352885069</v>
      </c>
      <c r="C2585" s="51">
        <v>1.025</v>
      </c>
      <c r="D2585" s="51">
        <v>62.0</v>
      </c>
      <c r="E2585" s="52" t="s">
        <v>25</v>
      </c>
      <c r="F2585" s="52" t="s">
        <v>26</v>
      </c>
      <c r="G2585" s="54"/>
    </row>
    <row r="2586">
      <c r="A2586" s="49">
        <v>45047.920736851855</v>
      </c>
      <c r="B2586" s="50">
        <v>45048.04571</v>
      </c>
      <c r="C2586" s="51">
        <v>1.025</v>
      </c>
      <c r="D2586" s="51">
        <v>62.0</v>
      </c>
      <c r="E2586" s="52" t="s">
        <v>25</v>
      </c>
      <c r="F2586" s="52" t="s">
        <v>26</v>
      </c>
      <c r="G2586" s="54"/>
    </row>
    <row r="2587">
      <c r="A2587" s="49">
        <v>45047.9311525463</v>
      </c>
      <c r="B2587" s="50">
        <v>45048.0561310648</v>
      </c>
      <c r="C2587" s="51">
        <v>1.025</v>
      </c>
      <c r="D2587" s="51">
        <v>62.0</v>
      </c>
      <c r="E2587" s="52" t="s">
        <v>25</v>
      </c>
      <c r="F2587" s="52" t="s">
        <v>26</v>
      </c>
      <c r="G2587" s="54"/>
    </row>
    <row r="2588">
      <c r="A2588" s="49">
        <v>45047.94158672454</v>
      </c>
      <c r="B2588" s="50">
        <v>45048.0665620139</v>
      </c>
      <c r="C2588" s="51">
        <v>1.025</v>
      </c>
      <c r="D2588" s="51">
        <v>62.0</v>
      </c>
      <c r="E2588" s="52" t="s">
        <v>25</v>
      </c>
      <c r="F2588" s="52" t="s">
        <v>26</v>
      </c>
      <c r="G2588" s="54"/>
    </row>
    <row r="2589">
      <c r="A2589" s="49">
        <v>45047.9520115625</v>
      </c>
      <c r="B2589" s="50">
        <v>45048.0769818518</v>
      </c>
      <c r="C2589" s="51">
        <v>1.026</v>
      </c>
      <c r="D2589" s="51">
        <v>62.0</v>
      </c>
      <c r="E2589" s="52" t="s">
        <v>25</v>
      </c>
      <c r="F2589" s="52" t="s">
        <v>26</v>
      </c>
      <c r="G2589" s="54"/>
    </row>
    <row r="2590">
      <c r="A2590" s="49">
        <v>45047.962430995365</v>
      </c>
      <c r="B2590" s="50">
        <v>45048.0874045601</v>
      </c>
      <c r="C2590" s="51">
        <v>1.025</v>
      </c>
      <c r="D2590" s="51">
        <v>62.0</v>
      </c>
      <c r="E2590" s="52" t="s">
        <v>25</v>
      </c>
      <c r="F2590" s="52" t="s">
        <v>26</v>
      </c>
      <c r="G2590" s="54"/>
    </row>
    <row r="2591">
      <c r="A2591" s="49">
        <v>45047.97284690972</v>
      </c>
      <c r="B2591" s="50">
        <v>45048.0978257754</v>
      </c>
      <c r="C2591" s="51">
        <v>1.025</v>
      </c>
      <c r="D2591" s="51">
        <v>62.0</v>
      </c>
      <c r="E2591" s="52" t="s">
        <v>25</v>
      </c>
      <c r="F2591" s="52" t="s">
        <v>26</v>
      </c>
      <c r="G2591" s="54"/>
    </row>
    <row r="2592">
      <c r="A2592" s="49">
        <v>45047.98326543982</v>
      </c>
      <c r="B2592" s="50">
        <v>45048.1082450115</v>
      </c>
      <c r="C2592" s="51">
        <v>1.025</v>
      </c>
      <c r="D2592" s="51">
        <v>62.0</v>
      </c>
      <c r="E2592" s="52" t="s">
        <v>25</v>
      </c>
      <c r="F2592" s="52" t="s">
        <v>26</v>
      </c>
      <c r="G2592" s="54"/>
    </row>
    <row r="2593">
      <c r="A2593" s="49">
        <v>45047.993694212964</v>
      </c>
      <c r="B2593" s="50">
        <v>45048.118668449</v>
      </c>
      <c r="C2593" s="51">
        <v>1.025</v>
      </c>
      <c r="D2593" s="51">
        <v>62.0</v>
      </c>
      <c r="E2593" s="52" t="s">
        <v>25</v>
      </c>
      <c r="F2593" s="52" t="s">
        <v>26</v>
      </c>
      <c r="G2593" s="54"/>
    </row>
    <row r="2594">
      <c r="A2594" s="49">
        <v>45048.00411658565</v>
      </c>
      <c r="B2594" s="50">
        <v>45048.1290894212</v>
      </c>
      <c r="C2594" s="51">
        <v>1.025</v>
      </c>
      <c r="D2594" s="51">
        <v>62.0</v>
      </c>
      <c r="E2594" s="52" t="s">
        <v>25</v>
      </c>
      <c r="F2594" s="52" t="s">
        <v>26</v>
      </c>
      <c r="G2594" s="54"/>
    </row>
    <row r="2595">
      <c r="A2595" s="49">
        <v>45048.01453241898</v>
      </c>
      <c r="B2595" s="50">
        <v>45048.1395111689</v>
      </c>
      <c r="C2595" s="51">
        <v>1.025</v>
      </c>
      <c r="D2595" s="51">
        <v>62.0</v>
      </c>
      <c r="E2595" s="52" t="s">
        <v>25</v>
      </c>
      <c r="F2595" s="52" t="s">
        <v>26</v>
      </c>
      <c r="G2595" s="54"/>
    </row>
    <row r="2596">
      <c r="A2596" s="49">
        <v>45048.02496995371</v>
      </c>
      <c r="B2596" s="50">
        <v>45048.1499322685</v>
      </c>
      <c r="C2596" s="51">
        <v>1.025</v>
      </c>
      <c r="D2596" s="51">
        <v>62.0</v>
      </c>
      <c r="E2596" s="52" t="s">
        <v>25</v>
      </c>
      <c r="F2596" s="52" t="s">
        <v>26</v>
      </c>
      <c r="G2596" s="54"/>
    </row>
    <row r="2597">
      <c r="A2597" s="49">
        <v>45048.035382974536</v>
      </c>
      <c r="B2597" s="50">
        <v>45048.1603516088</v>
      </c>
      <c r="C2597" s="51">
        <v>1.025</v>
      </c>
      <c r="D2597" s="51">
        <v>62.0</v>
      </c>
      <c r="E2597" s="52" t="s">
        <v>25</v>
      </c>
      <c r="F2597" s="52" t="s">
        <v>26</v>
      </c>
      <c r="G2597" s="54"/>
    </row>
    <row r="2598">
      <c r="A2598" s="49">
        <v>45048.045800057866</v>
      </c>
      <c r="B2598" s="50">
        <v>45048.1707724884</v>
      </c>
      <c r="C2598" s="51">
        <v>1.025</v>
      </c>
      <c r="D2598" s="51">
        <v>62.0</v>
      </c>
      <c r="E2598" s="52" t="s">
        <v>25</v>
      </c>
      <c r="F2598" s="52" t="s">
        <v>26</v>
      </c>
      <c r="G2598" s="54"/>
    </row>
    <row r="2599">
      <c r="A2599" s="49">
        <v>45048.05621918981</v>
      </c>
      <c r="B2599" s="50">
        <v>45048.1811934838</v>
      </c>
      <c r="C2599" s="51">
        <v>1.025</v>
      </c>
      <c r="D2599" s="51">
        <v>62.0</v>
      </c>
      <c r="E2599" s="52" t="s">
        <v>25</v>
      </c>
      <c r="F2599" s="52" t="s">
        <v>26</v>
      </c>
      <c r="G2599" s="54"/>
    </row>
    <row r="2600">
      <c r="A2600" s="49">
        <v>45048.06665042824</v>
      </c>
      <c r="B2600" s="50">
        <v>45048.1916152777</v>
      </c>
      <c r="C2600" s="51">
        <v>1.025</v>
      </c>
      <c r="D2600" s="51">
        <v>62.0</v>
      </c>
      <c r="E2600" s="52" t="s">
        <v>25</v>
      </c>
      <c r="F2600" s="52" t="s">
        <v>26</v>
      </c>
      <c r="G2600" s="54"/>
    </row>
    <row r="2601">
      <c r="A2601" s="49">
        <v>45048.07706694445</v>
      </c>
      <c r="B2601" s="50">
        <v>45048.2020364467</v>
      </c>
      <c r="C2601" s="51">
        <v>1.025</v>
      </c>
      <c r="D2601" s="51">
        <v>62.0</v>
      </c>
      <c r="E2601" s="52" t="s">
        <v>25</v>
      </c>
      <c r="F2601" s="52" t="s">
        <v>26</v>
      </c>
      <c r="G2601" s="54"/>
    </row>
    <row r="2602">
      <c r="A2602" s="49">
        <v>45048.0874946875</v>
      </c>
      <c r="B2602" s="50">
        <v>45048.2124692245</v>
      </c>
      <c r="C2602" s="51">
        <v>1.025</v>
      </c>
      <c r="D2602" s="51">
        <v>62.0</v>
      </c>
      <c r="E2602" s="52" t="s">
        <v>25</v>
      </c>
      <c r="F2602" s="52" t="s">
        <v>26</v>
      </c>
      <c r="G2602" s="54"/>
    </row>
    <row r="2603">
      <c r="A2603" s="49">
        <v>45048.0979121412</v>
      </c>
      <c r="B2603" s="50">
        <v>45048.2228900578</v>
      </c>
      <c r="C2603" s="51">
        <v>1.025</v>
      </c>
      <c r="D2603" s="51">
        <v>62.0</v>
      </c>
      <c r="E2603" s="52" t="s">
        <v>25</v>
      </c>
      <c r="F2603" s="52" t="s">
        <v>26</v>
      </c>
      <c r="G2603" s="54"/>
    </row>
    <row r="2604">
      <c r="A2604" s="49">
        <v>45048.108344039356</v>
      </c>
      <c r="B2604" s="50">
        <v>45048.2333125463</v>
      </c>
      <c r="C2604" s="51">
        <v>1.025</v>
      </c>
      <c r="D2604" s="51">
        <v>62.0</v>
      </c>
      <c r="E2604" s="52" t="s">
        <v>25</v>
      </c>
      <c r="F2604" s="52" t="s">
        <v>26</v>
      </c>
      <c r="G2604" s="54"/>
    </row>
    <row r="2605">
      <c r="A2605" s="49">
        <v>45048.11876548611</v>
      </c>
      <c r="B2605" s="50">
        <v>45048.2437320833</v>
      </c>
      <c r="C2605" s="51">
        <v>1.025</v>
      </c>
      <c r="D2605" s="51">
        <v>62.0</v>
      </c>
      <c r="E2605" s="52" t="s">
        <v>25</v>
      </c>
      <c r="F2605" s="52" t="s">
        <v>26</v>
      </c>
      <c r="G2605" s="54"/>
    </row>
    <row r="2606">
      <c r="A2606" s="49">
        <v>45048.12919032408</v>
      </c>
      <c r="B2606" s="50">
        <v>45048.2541518171</v>
      </c>
      <c r="C2606" s="51">
        <v>1.025</v>
      </c>
      <c r="D2606" s="51">
        <v>62.0</v>
      </c>
      <c r="E2606" s="52" t="s">
        <v>25</v>
      </c>
      <c r="F2606" s="52" t="s">
        <v>26</v>
      </c>
      <c r="G2606" s="54"/>
    </row>
    <row r="2607">
      <c r="A2607" s="49">
        <v>45048.13960050926</v>
      </c>
      <c r="B2607" s="50">
        <v>45048.2645723958</v>
      </c>
      <c r="C2607" s="51">
        <v>1.025</v>
      </c>
      <c r="D2607" s="51">
        <v>62.0</v>
      </c>
      <c r="E2607" s="52" t="s">
        <v>25</v>
      </c>
      <c r="F2607" s="52" t="s">
        <v>26</v>
      </c>
      <c r="G2607" s="54"/>
    </row>
    <row r="2608">
      <c r="A2608" s="49">
        <v>45048.15002168981</v>
      </c>
      <c r="B2608" s="50">
        <v>45048.2749916203</v>
      </c>
      <c r="C2608" s="51">
        <v>1.025</v>
      </c>
      <c r="D2608" s="51">
        <v>62.0</v>
      </c>
      <c r="E2608" s="52" t="s">
        <v>25</v>
      </c>
      <c r="F2608" s="52" t="s">
        <v>26</v>
      </c>
      <c r="G2608" s="54"/>
    </row>
    <row r="2609">
      <c r="A2609" s="49">
        <v>45048.16044284722</v>
      </c>
      <c r="B2609" s="50">
        <v>45048.2854148263</v>
      </c>
      <c r="C2609" s="51">
        <v>1.025</v>
      </c>
      <c r="D2609" s="51">
        <v>62.0</v>
      </c>
      <c r="E2609" s="52" t="s">
        <v>25</v>
      </c>
      <c r="F2609" s="52" t="s">
        <v>26</v>
      </c>
      <c r="G2609" s="54"/>
    </row>
    <row r="2610">
      <c r="A2610" s="49">
        <v>45048.170854317126</v>
      </c>
      <c r="B2610" s="50">
        <v>45048.2958344097</v>
      </c>
      <c r="C2610" s="51">
        <v>1.025</v>
      </c>
      <c r="D2610" s="51">
        <v>62.0</v>
      </c>
      <c r="E2610" s="52" t="s">
        <v>25</v>
      </c>
      <c r="F2610" s="52" t="s">
        <v>26</v>
      </c>
      <c r="G2610" s="54"/>
    </row>
    <row r="2611">
      <c r="A2611" s="49">
        <v>45048.18128868056</v>
      </c>
      <c r="B2611" s="50">
        <v>45048.3062560648</v>
      </c>
      <c r="C2611" s="51">
        <v>1.025</v>
      </c>
      <c r="D2611" s="51">
        <v>62.0</v>
      </c>
      <c r="E2611" s="52" t="s">
        <v>25</v>
      </c>
      <c r="F2611" s="52" t="s">
        <v>26</v>
      </c>
      <c r="G2611" s="54"/>
    </row>
    <row r="2612">
      <c r="A2612" s="49">
        <v>45048.19170940972</v>
      </c>
      <c r="B2612" s="50">
        <v>45048.3166757638</v>
      </c>
      <c r="C2612" s="51">
        <v>1.025</v>
      </c>
      <c r="D2612" s="51">
        <v>62.0</v>
      </c>
      <c r="E2612" s="52" t="s">
        <v>25</v>
      </c>
      <c r="F2612" s="52" t="s">
        <v>26</v>
      </c>
      <c r="G2612" s="54"/>
    </row>
    <row r="2613">
      <c r="A2613" s="49">
        <v>45048.20212004629</v>
      </c>
      <c r="B2613" s="50">
        <v>45048.3270964814</v>
      </c>
      <c r="C2613" s="51">
        <v>1.025</v>
      </c>
      <c r="D2613" s="51">
        <v>62.0</v>
      </c>
      <c r="E2613" s="52" t="s">
        <v>25</v>
      </c>
      <c r="F2613" s="52" t="s">
        <v>26</v>
      </c>
      <c r="G2613" s="54"/>
    </row>
    <row r="2614">
      <c r="A2614" s="49">
        <v>45048.212539444445</v>
      </c>
      <c r="B2614" s="50">
        <v>45048.3375175462</v>
      </c>
      <c r="C2614" s="51">
        <v>1.025</v>
      </c>
      <c r="D2614" s="51">
        <v>62.0</v>
      </c>
      <c r="E2614" s="52" t="s">
        <v>25</v>
      </c>
      <c r="F2614" s="52" t="s">
        <v>26</v>
      </c>
      <c r="G2614" s="54"/>
    </row>
    <row r="2615">
      <c r="A2615" s="49">
        <v>45048.22296008102</v>
      </c>
      <c r="B2615" s="50">
        <v>45048.3479393518</v>
      </c>
      <c r="C2615" s="51">
        <v>1.025</v>
      </c>
      <c r="D2615" s="51">
        <v>62.0</v>
      </c>
      <c r="E2615" s="52" t="s">
        <v>25</v>
      </c>
      <c r="F2615" s="52" t="s">
        <v>26</v>
      </c>
      <c r="G2615" s="54"/>
    </row>
    <row r="2616">
      <c r="A2616" s="49">
        <v>45048.23338982639</v>
      </c>
      <c r="B2616" s="50">
        <v>45048.3583602314</v>
      </c>
      <c r="C2616" s="51">
        <v>1.025</v>
      </c>
      <c r="D2616" s="51">
        <v>62.0</v>
      </c>
      <c r="E2616" s="52" t="s">
        <v>25</v>
      </c>
      <c r="F2616" s="52" t="s">
        <v>26</v>
      </c>
      <c r="G2616" s="54"/>
    </row>
    <row r="2617">
      <c r="A2617" s="49">
        <v>45048.24380979167</v>
      </c>
      <c r="B2617" s="50">
        <v>45048.3687828472</v>
      </c>
      <c r="C2617" s="51">
        <v>1.025</v>
      </c>
      <c r="D2617" s="51">
        <v>62.0</v>
      </c>
      <c r="E2617" s="52" t="s">
        <v>25</v>
      </c>
      <c r="F2617" s="52" t="s">
        <v>26</v>
      </c>
      <c r="G2617" s="54"/>
    </row>
    <row r="2618">
      <c r="A2618" s="49">
        <v>45048.254226226854</v>
      </c>
      <c r="B2618" s="50">
        <v>45048.3792043634</v>
      </c>
      <c r="C2618" s="51">
        <v>1.025</v>
      </c>
      <c r="D2618" s="51">
        <v>62.0</v>
      </c>
      <c r="E2618" s="52" t="s">
        <v>25</v>
      </c>
      <c r="F2618" s="52" t="s">
        <v>26</v>
      </c>
      <c r="G2618" s="54"/>
    </row>
    <row r="2619">
      <c r="A2619" s="49">
        <v>45048.26464543982</v>
      </c>
      <c r="B2619" s="50">
        <v>45048.3896249189</v>
      </c>
      <c r="C2619" s="51">
        <v>1.025</v>
      </c>
      <c r="D2619" s="51">
        <v>62.0</v>
      </c>
      <c r="E2619" s="52" t="s">
        <v>25</v>
      </c>
      <c r="F2619" s="52" t="s">
        <v>26</v>
      </c>
      <c r="G2619" s="54"/>
    </row>
    <row r="2620">
      <c r="A2620" s="49">
        <v>45048.27507164352</v>
      </c>
      <c r="B2620" s="50">
        <v>45048.4000451273</v>
      </c>
      <c r="C2620" s="51">
        <v>1.025</v>
      </c>
      <c r="D2620" s="51">
        <v>62.0</v>
      </c>
      <c r="E2620" s="52" t="s">
        <v>25</v>
      </c>
      <c r="F2620" s="52" t="s">
        <v>26</v>
      </c>
      <c r="G2620" s="54"/>
    </row>
    <row r="2621">
      <c r="A2621" s="49">
        <v>45048.285505775464</v>
      </c>
      <c r="B2621" s="50">
        <v>45048.4104793171</v>
      </c>
      <c r="C2621" s="51">
        <v>1.025</v>
      </c>
      <c r="D2621" s="51">
        <v>62.0</v>
      </c>
      <c r="E2621" s="52" t="s">
        <v>25</v>
      </c>
      <c r="F2621" s="52" t="s">
        <v>26</v>
      </c>
      <c r="G2621" s="54"/>
    </row>
    <row r="2622">
      <c r="A2622" s="49">
        <v>45048.295924351856</v>
      </c>
      <c r="B2622" s="50">
        <v>45048.4209010185</v>
      </c>
      <c r="C2622" s="51">
        <v>1.025</v>
      </c>
      <c r="D2622" s="51">
        <v>62.0</v>
      </c>
      <c r="E2622" s="52" t="s">
        <v>25</v>
      </c>
      <c r="F2622" s="52" t="s">
        <v>26</v>
      </c>
      <c r="G2622" s="54"/>
    </row>
    <row r="2623">
      <c r="A2623" s="49">
        <v>45048.30635949074</v>
      </c>
      <c r="B2623" s="50">
        <v>45048.431332118</v>
      </c>
      <c r="C2623" s="51">
        <v>1.025</v>
      </c>
      <c r="D2623" s="51">
        <v>62.0</v>
      </c>
      <c r="E2623" s="52" t="s">
        <v>25</v>
      </c>
      <c r="F2623" s="52" t="s">
        <v>26</v>
      </c>
      <c r="G2623" s="54"/>
    </row>
    <row r="2624">
      <c r="A2624" s="49">
        <v>45048.3167828125</v>
      </c>
      <c r="B2624" s="50">
        <v>45048.4417525926</v>
      </c>
      <c r="C2624" s="51">
        <v>1.025</v>
      </c>
      <c r="D2624" s="51">
        <v>62.0</v>
      </c>
      <c r="E2624" s="52" t="s">
        <v>25</v>
      </c>
      <c r="F2624" s="52" t="s">
        <v>26</v>
      </c>
      <c r="G2624" s="54"/>
    </row>
    <row r="2625">
      <c r="A2625" s="49">
        <v>45048.32720892361</v>
      </c>
      <c r="B2625" s="50">
        <v>45048.4521853935</v>
      </c>
      <c r="C2625" s="51">
        <v>1.025</v>
      </c>
      <c r="D2625" s="51">
        <v>62.0</v>
      </c>
      <c r="E2625" s="52" t="s">
        <v>25</v>
      </c>
      <c r="F2625" s="52" t="s">
        <v>26</v>
      </c>
      <c r="G2625" s="54"/>
    </row>
    <row r="2626">
      <c r="A2626" s="49">
        <v>45048.337636875</v>
      </c>
      <c r="B2626" s="50">
        <v>45048.4626064583</v>
      </c>
      <c r="C2626" s="51">
        <v>1.025</v>
      </c>
      <c r="D2626" s="51">
        <v>62.0</v>
      </c>
      <c r="E2626" s="52" t="s">
        <v>25</v>
      </c>
      <c r="F2626" s="52" t="s">
        <v>26</v>
      </c>
      <c r="G2626" s="54"/>
    </row>
    <row r="2627">
      <c r="A2627" s="49">
        <v>45048.34805527778</v>
      </c>
      <c r="B2627" s="50">
        <v>45048.4730279282</v>
      </c>
      <c r="C2627" s="51">
        <v>1.025</v>
      </c>
      <c r="D2627" s="51">
        <v>62.0</v>
      </c>
      <c r="E2627" s="52" t="s">
        <v>25</v>
      </c>
      <c r="F2627" s="52" t="s">
        <v>26</v>
      </c>
      <c r="G2627" s="54"/>
    </row>
    <row r="2628">
      <c r="A2628" s="49">
        <v>45048.35847415509</v>
      </c>
      <c r="B2628" s="50">
        <v>45048.4834493055</v>
      </c>
      <c r="C2628" s="51">
        <v>1.025</v>
      </c>
      <c r="D2628" s="51">
        <v>62.0</v>
      </c>
      <c r="E2628" s="52" t="s">
        <v>25</v>
      </c>
      <c r="F2628" s="52" t="s">
        <v>26</v>
      </c>
      <c r="G2628" s="54"/>
    </row>
    <row r="2629">
      <c r="A2629" s="49">
        <v>45048.36888900463</v>
      </c>
      <c r="B2629" s="50">
        <v>45048.4938696759</v>
      </c>
      <c r="C2629" s="51">
        <v>1.025</v>
      </c>
      <c r="D2629" s="51">
        <v>62.0</v>
      </c>
      <c r="E2629" s="52" t="s">
        <v>25</v>
      </c>
      <c r="F2629" s="52" t="s">
        <v>26</v>
      </c>
      <c r="G2629" s="54"/>
    </row>
    <row r="2630">
      <c r="A2630" s="49">
        <v>45048.379316597224</v>
      </c>
      <c r="B2630" s="50">
        <v>45048.504291956</v>
      </c>
      <c r="C2630" s="51">
        <v>1.025</v>
      </c>
      <c r="D2630" s="51">
        <v>62.0</v>
      </c>
      <c r="E2630" s="52" t="s">
        <v>25</v>
      </c>
      <c r="F2630" s="52" t="s">
        <v>26</v>
      </c>
      <c r="G2630" s="54"/>
    </row>
    <row r="2631">
      <c r="A2631" s="49">
        <v>45048.389736805555</v>
      </c>
      <c r="B2631" s="50">
        <v>45048.5147142245</v>
      </c>
      <c r="C2631" s="51">
        <v>1.025</v>
      </c>
      <c r="D2631" s="51">
        <v>62.0</v>
      </c>
      <c r="E2631" s="52" t="s">
        <v>25</v>
      </c>
      <c r="F2631" s="52" t="s">
        <v>26</v>
      </c>
      <c r="G2631" s="54"/>
    </row>
    <row r="2632">
      <c r="A2632" s="49">
        <v>45048.400153078706</v>
      </c>
      <c r="B2632" s="50">
        <v>45048.5251348379</v>
      </c>
      <c r="C2632" s="51">
        <v>1.025</v>
      </c>
      <c r="D2632" s="51">
        <v>62.0</v>
      </c>
      <c r="E2632" s="52" t="s">
        <v>25</v>
      </c>
      <c r="F2632" s="52" t="s">
        <v>26</v>
      </c>
      <c r="G2632" s="54"/>
    </row>
    <row r="2633">
      <c r="A2633" s="49">
        <v>45048.41058401621</v>
      </c>
      <c r="B2633" s="50">
        <v>45048.535557199</v>
      </c>
      <c r="C2633" s="51">
        <v>1.025</v>
      </c>
      <c r="D2633" s="51">
        <v>62.0</v>
      </c>
      <c r="E2633" s="52" t="s">
        <v>25</v>
      </c>
      <c r="F2633" s="52" t="s">
        <v>26</v>
      </c>
      <c r="G2633" s="54"/>
    </row>
    <row r="2634">
      <c r="A2634" s="49">
        <v>45048.421005208336</v>
      </c>
      <c r="B2634" s="50">
        <v>45048.5459776851</v>
      </c>
      <c r="C2634" s="51">
        <v>1.025</v>
      </c>
      <c r="D2634" s="51">
        <v>62.0</v>
      </c>
      <c r="E2634" s="52" t="s">
        <v>25</v>
      </c>
      <c r="F2634" s="52" t="s">
        <v>26</v>
      </c>
      <c r="G2634" s="54"/>
    </row>
    <row r="2635">
      <c r="A2635" s="49">
        <v>45048.43142204861</v>
      </c>
      <c r="B2635" s="50">
        <v>45048.5563981944</v>
      </c>
      <c r="C2635" s="51">
        <v>1.025</v>
      </c>
      <c r="D2635" s="51">
        <v>62.0</v>
      </c>
      <c r="E2635" s="52" t="s">
        <v>25</v>
      </c>
      <c r="F2635" s="52" t="s">
        <v>26</v>
      </c>
      <c r="G2635" s="54"/>
    </row>
    <row r="2636">
      <c r="A2636" s="49">
        <v>45048.441839907406</v>
      </c>
      <c r="B2636" s="50">
        <v>45048.5668192013</v>
      </c>
      <c r="C2636" s="51">
        <v>1.025</v>
      </c>
      <c r="D2636" s="51">
        <v>62.0</v>
      </c>
      <c r="E2636" s="52" t="s">
        <v>25</v>
      </c>
      <c r="F2636" s="52" t="s">
        <v>26</v>
      </c>
      <c r="G2636" s="54"/>
    </row>
    <row r="2637">
      <c r="A2637" s="49">
        <v>45048.452291469905</v>
      </c>
      <c r="B2637" s="50">
        <v>45048.5772653819</v>
      </c>
      <c r="C2637" s="51">
        <v>1.025</v>
      </c>
      <c r="D2637" s="51">
        <v>62.0</v>
      </c>
      <c r="E2637" s="52" t="s">
        <v>25</v>
      </c>
      <c r="F2637" s="52" t="s">
        <v>26</v>
      </c>
      <c r="G2637" s="54"/>
    </row>
    <row r="2638">
      <c r="A2638" s="49">
        <v>45048.462714189816</v>
      </c>
      <c r="B2638" s="50">
        <v>45048.5876859027</v>
      </c>
      <c r="C2638" s="51">
        <v>1.025</v>
      </c>
      <c r="D2638" s="51">
        <v>62.0</v>
      </c>
      <c r="E2638" s="52" t="s">
        <v>25</v>
      </c>
      <c r="F2638" s="52" t="s">
        <v>26</v>
      </c>
      <c r="G2638" s="54"/>
    </row>
    <row r="2639">
      <c r="A2639" s="49">
        <v>45048.4731275</v>
      </c>
      <c r="B2639" s="50">
        <v>45048.5981059953</v>
      </c>
      <c r="C2639" s="51">
        <v>1.025</v>
      </c>
      <c r="D2639" s="51">
        <v>62.0</v>
      </c>
      <c r="E2639" s="52" t="s">
        <v>25</v>
      </c>
      <c r="F2639" s="52" t="s">
        <v>26</v>
      </c>
      <c r="G2639" s="54"/>
    </row>
    <row r="2640">
      <c r="A2640" s="49">
        <v>45048.483547384254</v>
      </c>
      <c r="B2640" s="50">
        <v>45048.6085246875</v>
      </c>
      <c r="C2640" s="51">
        <v>1.025</v>
      </c>
      <c r="D2640" s="51">
        <v>62.0</v>
      </c>
      <c r="E2640" s="52" t="s">
        <v>25</v>
      </c>
      <c r="F2640" s="52" t="s">
        <v>26</v>
      </c>
      <c r="G2640" s="54"/>
    </row>
    <row r="2641">
      <c r="A2641" s="49">
        <v>45048.49397178241</v>
      </c>
      <c r="B2641" s="50">
        <v>45048.6189454398</v>
      </c>
      <c r="C2641" s="51">
        <v>1.025</v>
      </c>
      <c r="D2641" s="51">
        <v>62.0</v>
      </c>
      <c r="E2641" s="52" t="s">
        <v>25</v>
      </c>
      <c r="F2641" s="52" t="s">
        <v>26</v>
      </c>
      <c r="G2641" s="54"/>
    </row>
    <row r="2642">
      <c r="A2642" s="49">
        <v>45048.504407835644</v>
      </c>
      <c r="B2642" s="50">
        <v>45048.6293776736</v>
      </c>
      <c r="C2642" s="51">
        <v>1.025</v>
      </c>
      <c r="D2642" s="51">
        <v>62.0</v>
      </c>
      <c r="E2642" s="52" t="s">
        <v>25</v>
      </c>
      <c r="F2642" s="52" t="s">
        <v>26</v>
      </c>
      <c r="G2642" s="54"/>
    </row>
    <row r="2643">
      <c r="A2643" s="49">
        <v>45048.51482524305</v>
      </c>
      <c r="B2643" s="50">
        <v>45048.6398007175</v>
      </c>
      <c r="C2643" s="51">
        <v>1.025</v>
      </c>
      <c r="D2643" s="51">
        <v>62.0</v>
      </c>
      <c r="E2643" s="52" t="s">
        <v>25</v>
      </c>
      <c r="F2643" s="52" t="s">
        <v>26</v>
      </c>
      <c r="G2643" s="54"/>
    </row>
    <row r="2644">
      <c r="A2644" s="49">
        <v>45048.52524989583</v>
      </c>
      <c r="B2644" s="50">
        <v>45048.6502202199</v>
      </c>
      <c r="C2644" s="51">
        <v>1.025</v>
      </c>
      <c r="D2644" s="51">
        <v>62.0</v>
      </c>
      <c r="E2644" s="52" t="s">
        <v>25</v>
      </c>
      <c r="F2644" s="52" t="s">
        <v>26</v>
      </c>
      <c r="G2644" s="54"/>
    </row>
    <row r="2645">
      <c r="A2645" s="49">
        <v>45048.535675983796</v>
      </c>
      <c r="B2645" s="50">
        <v>45048.6606437963</v>
      </c>
      <c r="C2645" s="51">
        <v>1.025</v>
      </c>
      <c r="D2645" s="51">
        <v>62.0</v>
      </c>
      <c r="E2645" s="52" t="s">
        <v>25</v>
      </c>
      <c r="F2645" s="52" t="s">
        <v>26</v>
      </c>
      <c r="G2645" s="54"/>
    </row>
    <row r="2646">
      <c r="A2646" s="49">
        <v>45048.54610238426</v>
      </c>
      <c r="B2646" s="50">
        <v>45048.6710757176</v>
      </c>
      <c r="C2646" s="51">
        <v>1.025</v>
      </c>
      <c r="D2646" s="51">
        <v>62.0</v>
      </c>
      <c r="E2646" s="52" t="s">
        <v>25</v>
      </c>
      <c r="F2646" s="52" t="s">
        <v>26</v>
      </c>
      <c r="G2646" s="54"/>
    </row>
    <row r="2647">
      <c r="A2647" s="49">
        <v>45048.556524618056</v>
      </c>
      <c r="B2647" s="50">
        <v>45048.681496875</v>
      </c>
      <c r="C2647" s="51">
        <v>1.025</v>
      </c>
      <c r="D2647" s="51">
        <v>62.0</v>
      </c>
      <c r="E2647" s="52" t="s">
        <v>25</v>
      </c>
      <c r="F2647" s="52" t="s">
        <v>26</v>
      </c>
      <c r="G2647" s="54"/>
    </row>
    <row r="2648">
      <c r="A2648" s="49">
        <v>45048.56694659722</v>
      </c>
      <c r="B2648" s="50">
        <v>45048.6919177893</v>
      </c>
      <c r="C2648" s="51">
        <v>1.025</v>
      </c>
      <c r="D2648" s="51">
        <v>62.0</v>
      </c>
      <c r="E2648" s="52" t="s">
        <v>25</v>
      </c>
      <c r="F2648" s="52" t="s">
        <v>26</v>
      </c>
      <c r="G2648" s="54"/>
    </row>
    <row r="2649">
      <c r="A2649" s="49">
        <v>45048.57736069444</v>
      </c>
      <c r="B2649" s="50">
        <v>45048.7023386805</v>
      </c>
      <c r="C2649" s="51">
        <v>1.025</v>
      </c>
      <c r="D2649" s="51">
        <v>62.0</v>
      </c>
      <c r="E2649" s="52" t="s">
        <v>25</v>
      </c>
      <c r="F2649" s="52" t="s">
        <v>26</v>
      </c>
      <c r="G2649" s="54"/>
    </row>
    <row r="2650">
      <c r="A2650" s="49">
        <v>45048.58777923611</v>
      </c>
      <c r="B2650" s="50">
        <v>45048.7127602777</v>
      </c>
      <c r="C2650" s="51">
        <v>1.025</v>
      </c>
      <c r="D2650" s="51">
        <v>62.0</v>
      </c>
      <c r="E2650" s="52" t="s">
        <v>25</v>
      </c>
      <c r="F2650" s="52" t="s">
        <v>26</v>
      </c>
      <c r="G2650" s="54"/>
    </row>
    <row r="2651">
      <c r="A2651" s="49">
        <v>45048.59820123843</v>
      </c>
      <c r="B2651" s="50">
        <v>45048.7231810069</v>
      </c>
      <c r="C2651" s="51">
        <v>1.025</v>
      </c>
      <c r="D2651" s="51">
        <v>62.0</v>
      </c>
      <c r="E2651" s="52" t="s">
        <v>25</v>
      </c>
      <c r="F2651" s="52" t="s">
        <v>26</v>
      </c>
      <c r="G2651" s="54"/>
    </row>
    <row r="2652">
      <c r="A2652" s="49">
        <v>45048.60862810185</v>
      </c>
      <c r="B2652" s="50">
        <v>45048.7336126388</v>
      </c>
      <c r="C2652" s="51">
        <v>1.025</v>
      </c>
      <c r="D2652" s="51">
        <v>62.0</v>
      </c>
      <c r="E2652" s="52" t="s">
        <v>25</v>
      </c>
      <c r="F2652" s="52" t="s">
        <v>26</v>
      </c>
      <c r="G2652" s="54"/>
    </row>
    <row r="2653">
      <c r="A2653" s="49">
        <v>45048.61907458333</v>
      </c>
      <c r="B2653" s="50">
        <v>45048.7440460995</v>
      </c>
      <c r="C2653" s="51">
        <v>1.025</v>
      </c>
      <c r="D2653" s="51">
        <v>62.0</v>
      </c>
      <c r="E2653" s="52" t="s">
        <v>25</v>
      </c>
      <c r="F2653" s="52" t="s">
        <v>26</v>
      </c>
      <c r="G2653" s="54"/>
    </row>
    <row r="2654">
      <c r="A2654" s="49">
        <v>45048.629489479164</v>
      </c>
      <c r="B2654" s="50">
        <v>45048.7544667824</v>
      </c>
      <c r="C2654" s="51">
        <v>1.025</v>
      </c>
      <c r="D2654" s="51">
        <v>62.0</v>
      </c>
      <c r="E2654" s="52" t="s">
        <v>25</v>
      </c>
      <c r="F2654" s="52" t="s">
        <v>26</v>
      </c>
      <c r="G2654" s="54"/>
    </row>
    <row r="2655">
      <c r="A2655" s="49">
        <v>45048.639921724534</v>
      </c>
      <c r="B2655" s="50">
        <v>45048.7648996643</v>
      </c>
      <c r="C2655" s="51">
        <v>1.025</v>
      </c>
      <c r="D2655" s="51">
        <v>62.0</v>
      </c>
      <c r="E2655" s="52" t="s">
        <v>25</v>
      </c>
      <c r="F2655" s="52" t="s">
        <v>26</v>
      </c>
      <c r="G2655" s="54"/>
    </row>
    <row r="2656">
      <c r="A2656" s="49">
        <v>45048.65034612268</v>
      </c>
      <c r="B2656" s="50">
        <v>45048.7753203009</v>
      </c>
      <c r="C2656" s="51">
        <v>1.025</v>
      </c>
      <c r="D2656" s="51">
        <v>62.0</v>
      </c>
      <c r="E2656" s="52" t="s">
        <v>25</v>
      </c>
      <c r="F2656" s="52" t="s">
        <v>26</v>
      </c>
      <c r="G2656" s="54"/>
    </row>
    <row r="2657">
      <c r="A2657" s="49">
        <v>45048.660760416664</v>
      </c>
      <c r="B2657" s="50">
        <v>45048.785742662</v>
      </c>
      <c r="C2657" s="51">
        <v>1.025</v>
      </c>
      <c r="D2657" s="51">
        <v>62.0</v>
      </c>
      <c r="E2657" s="52" t="s">
        <v>25</v>
      </c>
      <c r="F2657" s="52" t="s">
        <v>26</v>
      </c>
      <c r="G2657" s="54"/>
    </row>
    <row r="2658">
      <c r="A2658" s="49">
        <v>45048.67119434028</v>
      </c>
      <c r="B2658" s="50">
        <v>45048.7961635879</v>
      </c>
      <c r="C2658" s="51">
        <v>1.025</v>
      </c>
      <c r="D2658" s="51">
        <v>62.0</v>
      </c>
      <c r="E2658" s="52" t="s">
        <v>25</v>
      </c>
      <c r="F2658" s="52" t="s">
        <v>26</v>
      </c>
      <c r="G2658" s="54"/>
    </row>
    <row r="2659">
      <c r="A2659" s="49">
        <v>45048.681607604165</v>
      </c>
      <c r="B2659" s="50">
        <v>45048.806583206</v>
      </c>
      <c r="C2659" s="51">
        <v>1.025</v>
      </c>
      <c r="D2659" s="51">
        <v>62.0</v>
      </c>
      <c r="E2659" s="52" t="s">
        <v>25</v>
      </c>
      <c r="F2659" s="52" t="s">
        <v>26</v>
      </c>
      <c r="G2659" s="54"/>
    </row>
    <row r="2660">
      <c r="A2660" s="49">
        <v>45048.692031666666</v>
      </c>
      <c r="B2660" s="50">
        <v>45048.8170029513</v>
      </c>
      <c r="C2660" s="51">
        <v>1.025</v>
      </c>
      <c r="D2660" s="51">
        <v>62.0</v>
      </c>
      <c r="E2660" s="52" t="s">
        <v>25</v>
      </c>
      <c r="F2660" s="52" t="s">
        <v>26</v>
      </c>
      <c r="G2660" s="54"/>
    </row>
    <row r="2661">
      <c r="A2661" s="49">
        <v>45048.70249306713</v>
      </c>
      <c r="B2661" s="50">
        <v>45048.8274596759</v>
      </c>
      <c r="C2661" s="51">
        <v>1.025</v>
      </c>
      <c r="D2661" s="51">
        <v>62.0</v>
      </c>
      <c r="E2661" s="52" t="s">
        <v>25</v>
      </c>
      <c r="F2661" s="52" t="s">
        <v>26</v>
      </c>
      <c r="G2661" s="54"/>
    </row>
    <row r="2662">
      <c r="A2662" s="49">
        <v>45048.71290402778</v>
      </c>
      <c r="B2662" s="50">
        <v>45048.8378804513</v>
      </c>
      <c r="C2662" s="51">
        <v>1.025</v>
      </c>
      <c r="D2662" s="51">
        <v>62.0</v>
      </c>
      <c r="E2662" s="52" t="s">
        <v>25</v>
      </c>
      <c r="F2662" s="52" t="s">
        <v>26</v>
      </c>
      <c r="G2662" s="54"/>
    </row>
    <row r="2663">
      <c r="A2663" s="49">
        <v>45048.72332763889</v>
      </c>
      <c r="B2663" s="50">
        <v>45048.8483026041</v>
      </c>
      <c r="C2663" s="51">
        <v>1.025</v>
      </c>
      <c r="D2663" s="51">
        <v>62.0</v>
      </c>
      <c r="E2663" s="52" t="s">
        <v>25</v>
      </c>
      <c r="F2663" s="52" t="s">
        <v>26</v>
      </c>
      <c r="G2663" s="54"/>
    </row>
    <row r="2664">
      <c r="A2664" s="49">
        <v>45048.733752789354</v>
      </c>
      <c r="B2664" s="50">
        <v>45048.8587240046</v>
      </c>
      <c r="C2664" s="51">
        <v>1.025</v>
      </c>
      <c r="D2664" s="51">
        <v>62.0</v>
      </c>
      <c r="E2664" s="52" t="s">
        <v>25</v>
      </c>
      <c r="F2664" s="52" t="s">
        <v>26</v>
      </c>
      <c r="G2664" s="54"/>
    </row>
    <row r="2665">
      <c r="A2665" s="49">
        <v>45048.74417247685</v>
      </c>
      <c r="B2665" s="50">
        <v>45048.8691460301</v>
      </c>
      <c r="C2665" s="51">
        <v>1.024</v>
      </c>
      <c r="D2665" s="51">
        <v>62.0</v>
      </c>
      <c r="E2665" s="52" t="s">
        <v>25</v>
      </c>
      <c r="F2665" s="52" t="s">
        <v>26</v>
      </c>
      <c r="G2665" s="54"/>
    </row>
    <row r="2666">
      <c r="A2666" s="49">
        <v>45048.75459318287</v>
      </c>
      <c r="B2666" s="50">
        <v>45048.8795663541</v>
      </c>
      <c r="C2666" s="51">
        <v>1.024</v>
      </c>
      <c r="D2666" s="51">
        <v>62.0</v>
      </c>
      <c r="E2666" s="52" t="s">
        <v>25</v>
      </c>
      <c r="F2666" s="52" t="s">
        <v>26</v>
      </c>
      <c r="G2666" s="54"/>
    </row>
    <row r="2667">
      <c r="A2667" s="49">
        <v>45048.765041377315</v>
      </c>
      <c r="B2667" s="50">
        <v>45048.8900106828</v>
      </c>
      <c r="C2667" s="51">
        <v>1.025</v>
      </c>
      <c r="D2667" s="51">
        <v>62.0</v>
      </c>
      <c r="E2667" s="52" t="s">
        <v>25</v>
      </c>
      <c r="F2667" s="52" t="s">
        <v>26</v>
      </c>
      <c r="G2667" s="54"/>
    </row>
    <row r="2668">
      <c r="A2668" s="49">
        <v>45048.77547064815</v>
      </c>
      <c r="B2668" s="50">
        <v>45048.9004441088</v>
      </c>
      <c r="C2668" s="51">
        <v>1.024</v>
      </c>
      <c r="D2668" s="51">
        <v>62.0</v>
      </c>
      <c r="E2668" s="52" t="s">
        <v>25</v>
      </c>
      <c r="F2668" s="52" t="s">
        <v>26</v>
      </c>
      <c r="G2668" s="54"/>
    </row>
    <row r="2669">
      <c r="A2669" s="49">
        <v>45048.7858899537</v>
      </c>
      <c r="B2669" s="50">
        <v>45048.9108660532</v>
      </c>
      <c r="C2669" s="51">
        <v>1.024</v>
      </c>
      <c r="D2669" s="51">
        <v>62.0</v>
      </c>
      <c r="E2669" s="52" t="s">
        <v>25</v>
      </c>
      <c r="F2669" s="52" t="s">
        <v>26</v>
      </c>
      <c r="G2669" s="54"/>
    </row>
    <row r="2670">
      <c r="A2670" s="49">
        <v>45048.79630825232</v>
      </c>
      <c r="B2670" s="50">
        <v>45048.9212864699</v>
      </c>
      <c r="C2670" s="51">
        <v>1.025</v>
      </c>
      <c r="D2670" s="51">
        <v>62.0</v>
      </c>
      <c r="E2670" s="52" t="s">
        <v>25</v>
      </c>
      <c r="F2670" s="52" t="s">
        <v>26</v>
      </c>
      <c r="G2670" s="54"/>
    </row>
    <row r="2671">
      <c r="A2671" s="49">
        <v>45048.80674266204</v>
      </c>
      <c r="B2671" s="50">
        <v>45048.9317191666</v>
      </c>
      <c r="C2671" s="51">
        <v>1.024</v>
      </c>
      <c r="D2671" s="51">
        <v>62.0</v>
      </c>
      <c r="E2671" s="52" t="s">
        <v>25</v>
      </c>
      <c r="F2671" s="52" t="s">
        <v>26</v>
      </c>
      <c r="G2671" s="54"/>
    </row>
    <row r="2672">
      <c r="A2672" s="49">
        <v>45048.817179861115</v>
      </c>
      <c r="B2672" s="50">
        <v>45048.9421523263</v>
      </c>
      <c r="C2672" s="51">
        <v>1.024</v>
      </c>
      <c r="D2672" s="51">
        <v>62.0</v>
      </c>
      <c r="E2672" s="52" t="s">
        <v>25</v>
      </c>
      <c r="F2672" s="52" t="s">
        <v>26</v>
      </c>
      <c r="G2672" s="54"/>
    </row>
    <row r="2673">
      <c r="A2673" s="49">
        <v>45048.827610821754</v>
      </c>
      <c r="B2673" s="50">
        <v>45048.9525853472</v>
      </c>
      <c r="C2673" s="51">
        <v>1.024</v>
      </c>
      <c r="D2673" s="51">
        <v>62.0</v>
      </c>
      <c r="E2673" s="52" t="s">
        <v>25</v>
      </c>
      <c r="F2673" s="52" t="s">
        <v>26</v>
      </c>
      <c r="G2673" s="54"/>
    </row>
    <row r="2674">
      <c r="A2674" s="49">
        <v>45048.83803688658</v>
      </c>
      <c r="B2674" s="50">
        <v>45048.9630061111</v>
      </c>
      <c r="C2674" s="51">
        <v>1.024</v>
      </c>
      <c r="D2674" s="51">
        <v>62.0</v>
      </c>
      <c r="E2674" s="52" t="s">
        <v>25</v>
      </c>
      <c r="F2674" s="52" t="s">
        <v>26</v>
      </c>
      <c r="G2674" s="54"/>
    </row>
    <row r="2675">
      <c r="A2675" s="49">
        <v>45048.84847892361</v>
      </c>
      <c r="B2675" s="50">
        <v>45048.9734292361</v>
      </c>
      <c r="C2675" s="51">
        <v>1.025</v>
      </c>
      <c r="D2675" s="51">
        <v>62.0</v>
      </c>
      <c r="E2675" s="52" t="s">
        <v>25</v>
      </c>
      <c r="F2675" s="52" t="s">
        <v>26</v>
      </c>
      <c r="G2675" s="54"/>
    </row>
    <row r="2676">
      <c r="A2676" s="49">
        <v>45048.85888850695</v>
      </c>
      <c r="B2676" s="50">
        <v>45048.9838622685</v>
      </c>
      <c r="C2676" s="51">
        <v>1.024</v>
      </c>
      <c r="D2676" s="51">
        <v>62.0</v>
      </c>
      <c r="E2676" s="52" t="s">
        <v>25</v>
      </c>
      <c r="F2676" s="52" t="s">
        <v>26</v>
      </c>
      <c r="G2676" s="54"/>
    </row>
    <row r="2677">
      <c r="A2677" s="49">
        <v>45048.869303368054</v>
      </c>
      <c r="B2677" s="50">
        <v>45048.9942836689</v>
      </c>
      <c r="C2677" s="51">
        <v>1.025</v>
      </c>
      <c r="D2677" s="51">
        <v>62.0</v>
      </c>
      <c r="E2677" s="52" t="s">
        <v>25</v>
      </c>
      <c r="F2677" s="52" t="s">
        <v>26</v>
      </c>
      <c r="G2677" s="54"/>
    </row>
    <row r="2678">
      <c r="A2678" s="49">
        <v>45048.879733368056</v>
      </c>
      <c r="B2678" s="50">
        <v>45049.0047050462</v>
      </c>
      <c r="C2678" s="51">
        <v>1.024</v>
      </c>
      <c r="D2678" s="51">
        <v>62.0</v>
      </c>
      <c r="E2678" s="52" t="s">
        <v>25</v>
      </c>
      <c r="F2678" s="52" t="s">
        <v>26</v>
      </c>
      <c r="G2678" s="54"/>
    </row>
    <row r="2679">
      <c r="A2679" s="49">
        <v>45048.89015133102</v>
      </c>
      <c r="B2679" s="50">
        <v>45049.0151259953</v>
      </c>
      <c r="C2679" s="51">
        <v>1.024</v>
      </c>
      <c r="D2679" s="51">
        <v>62.0</v>
      </c>
      <c r="E2679" s="52" t="s">
        <v>25</v>
      </c>
      <c r="F2679" s="52" t="s">
        <v>26</v>
      </c>
      <c r="G2679" s="54"/>
    </row>
    <row r="2680">
      <c r="A2680" s="49">
        <v>45048.90058099537</v>
      </c>
      <c r="B2680" s="50">
        <v>45049.0255577083</v>
      </c>
      <c r="C2680" s="51">
        <v>1.024</v>
      </c>
      <c r="D2680" s="51">
        <v>62.0</v>
      </c>
      <c r="E2680" s="52" t="s">
        <v>25</v>
      </c>
      <c r="F2680" s="52" t="s">
        <v>26</v>
      </c>
      <c r="G2680" s="54"/>
    </row>
    <row r="2681">
      <c r="A2681" s="49">
        <v>45048.91102141204</v>
      </c>
      <c r="B2681" s="50">
        <v>45049.0360027199</v>
      </c>
      <c r="C2681" s="51">
        <v>1.024</v>
      </c>
      <c r="D2681" s="51">
        <v>62.0</v>
      </c>
      <c r="E2681" s="52" t="s">
        <v>25</v>
      </c>
      <c r="F2681" s="52" t="s">
        <v>26</v>
      </c>
      <c r="G2681" s="54"/>
    </row>
    <row r="2682">
      <c r="A2682" s="49">
        <v>45048.921454421295</v>
      </c>
      <c r="B2682" s="50">
        <v>45049.0464236226</v>
      </c>
      <c r="C2682" s="51">
        <v>1.024</v>
      </c>
      <c r="D2682" s="51">
        <v>62.0</v>
      </c>
      <c r="E2682" s="52" t="s">
        <v>25</v>
      </c>
      <c r="F2682" s="52" t="s">
        <v>26</v>
      </c>
      <c r="G2682" s="54"/>
    </row>
    <row r="2683">
      <c r="A2683" s="49">
        <v>45048.93189304398</v>
      </c>
      <c r="B2683" s="50">
        <v>45049.0568689004</v>
      </c>
      <c r="C2683" s="51">
        <v>1.024</v>
      </c>
      <c r="D2683" s="51">
        <v>62.0</v>
      </c>
      <c r="E2683" s="52" t="s">
        <v>25</v>
      </c>
      <c r="F2683" s="52" t="s">
        <v>26</v>
      </c>
      <c r="G2683" s="54"/>
    </row>
    <row r="2684">
      <c r="A2684" s="49">
        <v>45048.94231479167</v>
      </c>
      <c r="B2684" s="50">
        <v>45049.0672899884</v>
      </c>
      <c r="C2684" s="51">
        <v>1.024</v>
      </c>
      <c r="D2684" s="51">
        <v>62.0</v>
      </c>
      <c r="E2684" s="52" t="s">
        <v>25</v>
      </c>
      <c r="F2684" s="52" t="s">
        <v>26</v>
      </c>
      <c r="G2684" s="54"/>
    </row>
    <row r="2685">
      <c r="A2685" s="49">
        <v>45048.95274003472</v>
      </c>
      <c r="B2685" s="50">
        <v>45049.077711875</v>
      </c>
      <c r="C2685" s="51">
        <v>1.024</v>
      </c>
      <c r="D2685" s="51">
        <v>62.0</v>
      </c>
      <c r="E2685" s="52" t="s">
        <v>25</v>
      </c>
      <c r="F2685" s="52" t="s">
        <v>26</v>
      </c>
      <c r="G2685" s="54"/>
    </row>
    <row r="2686">
      <c r="A2686" s="49">
        <v>45048.963157986116</v>
      </c>
      <c r="B2686" s="50">
        <v>45049.0881319213</v>
      </c>
      <c r="C2686" s="51">
        <v>1.024</v>
      </c>
      <c r="D2686" s="51">
        <v>62.0</v>
      </c>
      <c r="E2686" s="52" t="s">
        <v>25</v>
      </c>
      <c r="F2686" s="52" t="s">
        <v>26</v>
      </c>
      <c r="G2686" s="54"/>
    </row>
    <row r="2687">
      <c r="A2687" s="49">
        <v>45048.97357792824</v>
      </c>
      <c r="B2687" s="50">
        <v>45049.0985529282</v>
      </c>
      <c r="C2687" s="51">
        <v>1.024</v>
      </c>
      <c r="D2687" s="51">
        <v>61.0</v>
      </c>
      <c r="E2687" s="52" t="s">
        <v>25</v>
      </c>
      <c r="F2687" s="52" t="s">
        <v>26</v>
      </c>
      <c r="G2687" s="54"/>
    </row>
    <row r="2688">
      <c r="A2688" s="49">
        <v>45048.9840047801</v>
      </c>
      <c r="B2688" s="50">
        <v>45049.1089861342</v>
      </c>
      <c r="C2688" s="51">
        <v>1.024</v>
      </c>
      <c r="D2688" s="51">
        <v>62.0</v>
      </c>
      <c r="E2688" s="52" t="s">
        <v>25</v>
      </c>
      <c r="F2688" s="52" t="s">
        <v>26</v>
      </c>
      <c r="G2688" s="54"/>
    </row>
    <row r="2689">
      <c r="A2689" s="49">
        <v>45048.994434374996</v>
      </c>
      <c r="B2689" s="50">
        <v>45049.1194079976</v>
      </c>
      <c r="C2689" s="51">
        <v>1.024</v>
      </c>
      <c r="D2689" s="51">
        <v>62.0</v>
      </c>
      <c r="E2689" s="52" t="s">
        <v>25</v>
      </c>
      <c r="F2689" s="52" t="s">
        <v>26</v>
      </c>
      <c r="G2689" s="54"/>
    </row>
    <row r="2690">
      <c r="A2690" s="49">
        <v>45049.00485290509</v>
      </c>
      <c r="B2690" s="50">
        <v>45049.1298289583</v>
      </c>
      <c r="C2690" s="51">
        <v>1.024</v>
      </c>
      <c r="D2690" s="51">
        <v>62.0</v>
      </c>
      <c r="E2690" s="52" t="s">
        <v>25</v>
      </c>
      <c r="F2690" s="52" t="s">
        <v>26</v>
      </c>
      <c r="G2690" s="54"/>
    </row>
    <row r="2691">
      <c r="A2691" s="49">
        <v>45049.0152809375</v>
      </c>
      <c r="B2691" s="50">
        <v>45049.1402498611</v>
      </c>
      <c r="C2691" s="51">
        <v>1.024</v>
      </c>
      <c r="D2691" s="51">
        <v>62.0</v>
      </c>
      <c r="E2691" s="52" t="s">
        <v>25</v>
      </c>
      <c r="F2691" s="52" t="s">
        <v>26</v>
      </c>
      <c r="G2691" s="54"/>
    </row>
    <row r="2692">
      <c r="A2692" s="49">
        <v>45049.025698125</v>
      </c>
      <c r="B2692" s="50">
        <v>45049.1506704745</v>
      </c>
      <c r="C2692" s="51">
        <v>1.024</v>
      </c>
      <c r="D2692" s="51">
        <v>61.0</v>
      </c>
      <c r="E2692" s="52" t="s">
        <v>25</v>
      </c>
      <c r="F2692" s="52" t="s">
        <v>26</v>
      </c>
      <c r="G2692" s="54"/>
    </row>
    <row r="2693">
      <c r="A2693" s="49">
        <v>45049.03612927083</v>
      </c>
      <c r="B2693" s="50">
        <v>45049.1611032638</v>
      </c>
      <c r="C2693" s="51">
        <v>1.024</v>
      </c>
      <c r="D2693" s="51">
        <v>62.0</v>
      </c>
      <c r="E2693" s="52" t="s">
        <v>25</v>
      </c>
      <c r="F2693" s="52" t="s">
        <v>26</v>
      </c>
      <c r="G2693" s="54"/>
    </row>
    <row r="2694">
      <c r="A2694" s="49">
        <v>45049.04654947917</v>
      </c>
      <c r="B2694" s="50">
        <v>45049.1715227546</v>
      </c>
      <c r="C2694" s="51">
        <v>1.024</v>
      </c>
      <c r="D2694" s="51">
        <v>61.0</v>
      </c>
      <c r="E2694" s="52" t="s">
        <v>25</v>
      </c>
      <c r="F2694" s="52" t="s">
        <v>26</v>
      </c>
      <c r="G2694" s="54"/>
    </row>
    <row r="2695">
      <c r="A2695" s="49">
        <v>45049.056966793985</v>
      </c>
      <c r="B2695" s="50">
        <v>45049.1819463657</v>
      </c>
      <c r="C2695" s="51">
        <v>1.024</v>
      </c>
      <c r="D2695" s="51">
        <v>62.0</v>
      </c>
      <c r="E2695" s="52" t="s">
        <v>25</v>
      </c>
      <c r="F2695" s="52" t="s">
        <v>26</v>
      </c>
      <c r="G2695" s="54"/>
    </row>
    <row r="2696">
      <c r="A2696" s="49">
        <v>45049.06739013889</v>
      </c>
      <c r="B2696" s="50">
        <v>45049.1923667361</v>
      </c>
      <c r="C2696" s="51">
        <v>1.024</v>
      </c>
      <c r="D2696" s="51">
        <v>61.0</v>
      </c>
      <c r="E2696" s="52" t="s">
        <v>25</v>
      </c>
      <c r="F2696" s="52" t="s">
        <v>26</v>
      </c>
      <c r="G2696" s="54"/>
    </row>
    <row r="2697">
      <c r="A2697" s="49">
        <v>45049.07782303241</v>
      </c>
      <c r="B2697" s="50">
        <v>45049.2027860069</v>
      </c>
      <c r="C2697" s="51">
        <v>1.024</v>
      </c>
      <c r="D2697" s="51">
        <v>61.0</v>
      </c>
      <c r="E2697" s="52" t="s">
        <v>25</v>
      </c>
      <c r="F2697" s="52" t="s">
        <v>26</v>
      </c>
      <c r="G2697" s="54"/>
    </row>
    <row r="2698">
      <c r="A2698" s="49">
        <v>45049.088249328706</v>
      </c>
      <c r="B2698" s="50">
        <v>45049.2132201388</v>
      </c>
      <c r="C2698" s="51">
        <v>1.024</v>
      </c>
      <c r="D2698" s="51">
        <v>61.0</v>
      </c>
      <c r="E2698" s="52" t="s">
        <v>25</v>
      </c>
      <c r="F2698" s="52" t="s">
        <v>26</v>
      </c>
      <c r="G2698" s="54"/>
    </row>
    <row r="2699">
      <c r="A2699" s="49">
        <v>45049.098683495366</v>
      </c>
      <c r="B2699" s="50">
        <v>45049.2236529513</v>
      </c>
      <c r="C2699" s="51">
        <v>1.024</v>
      </c>
      <c r="D2699" s="51">
        <v>61.0</v>
      </c>
      <c r="E2699" s="52" t="s">
        <v>25</v>
      </c>
      <c r="F2699" s="52" t="s">
        <v>26</v>
      </c>
      <c r="G2699" s="54"/>
    </row>
    <row r="2700">
      <c r="A2700" s="49">
        <v>45049.10910357639</v>
      </c>
      <c r="B2700" s="50">
        <v>45049.2340743287</v>
      </c>
      <c r="C2700" s="51">
        <v>1.024</v>
      </c>
      <c r="D2700" s="51">
        <v>61.0</v>
      </c>
      <c r="E2700" s="52" t="s">
        <v>25</v>
      </c>
      <c r="F2700" s="52" t="s">
        <v>26</v>
      </c>
      <c r="G2700" s="54"/>
    </row>
    <row r="2701">
      <c r="A2701" s="49">
        <v>45049.11952951389</v>
      </c>
      <c r="B2701" s="50">
        <v>45049.2445074768</v>
      </c>
      <c r="C2701" s="51">
        <v>1.024</v>
      </c>
      <c r="D2701" s="51">
        <v>61.0</v>
      </c>
      <c r="E2701" s="52" t="s">
        <v>25</v>
      </c>
      <c r="F2701" s="52" t="s">
        <v>26</v>
      </c>
      <c r="G2701" s="54"/>
    </row>
    <row r="2702">
      <c r="A2702" s="49">
        <v>45049.129954143515</v>
      </c>
      <c r="B2702" s="50">
        <v>45049.2549291435</v>
      </c>
      <c r="C2702" s="51">
        <v>1.024</v>
      </c>
      <c r="D2702" s="51">
        <v>61.0</v>
      </c>
      <c r="E2702" s="52" t="s">
        <v>25</v>
      </c>
      <c r="F2702" s="52" t="s">
        <v>26</v>
      </c>
      <c r="G2702" s="54"/>
    </row>
    <row r="2703">
      <c r="A2703" s="49">
        <v>45049.14039032407</v>
      </c>
      <c r="B2703" s="50">
        <v>45049.2653613541</v>
      </c>
      <c r="C2703" s="51">
        <v>1.024</v>
      </c>
      <c r="D2703" s="51">
        <v>61.0</v>
      </c>
      <c r="E2703" s="52" t="s">
        <v>25</v>
      </c>
      <c r="F2703" s="52" t="s">
        <v>26</v>
      </c>
      <c r="G2703" s="54"/>
    </row>
    <row r="2704">
      <c r="A2704" s="49">
        <v>45049.15082692129</v>
      </c>
      <c r="B2704" s="50">
        <v>45049.2757955092</v>
      </c>
      <c r="C2704" s="51">
        <v>1.024</v>
      </c>
      <c r="D2704" s="51">
        <v>61.0</v>
      </c>
      <c r="E2704" s="52" t="s">
        <v>25</v>
      </c>
      <c r="F2704" s="52" t="s">
        <v>26</v>
      </c>
      <c r="G2704" s="54"/>
    </row>
    <row r="2705">
      <c r="A2705" s="49">
        <v>45049.16124203704</v>
      </c>
      <c r="B2705" s="50">
        <v>45049.2862166435</v>
      </c>
      <c r="C2705" s="51">
        <v>1.024</v>
      </c>
      <c r="D2705" s="51">
        <v>61.0</v>
      </c>
      <c r="E2705" s="52" t="s">
        <v>25</v>
      </c>
      <c r="F2705" s="52" t="s">
        <v>26</v>
      </c>
      <c r="G2705" s="54"/>
    </row>
    <row r="2706">
      <c r="A2706" s="49">
        <v>45049.17167966435</v>
      </c>
      <c r="B2706" s="50">
        <v>45049.2966518518</v>
      </c>
      <c r="C2706" s="51">
        <v>1.024</v>
      </c>
      <c r="D2706" s="51">
        <v>61.0</v>
      </c>
      <c r="E2706" s="52" t="s">
        <v>25</v>
      </c>
      <c r="F2706" s="52" t="s">
        <v>26</v>
      </c>
      <c r="G2706" s="54"/>
    </row>
    <row r="2707">
      <c r="A2707" s="49">
        <v>45049.18209835648</v>
      </c>
      <c r="B2707" s="50">
        <v>45049.3070740277</v>
      </c>
      <c r="C2707" s="51">
        <v>1.024</v>
      </c>
      <c r="D2707" s="51">
        <v>61.0</v>
      </c>
      <c r="E2707" s="52" t="s">
        <v>25</v>
      </c>
      <c r="F2707" s="52" t="s">
        <v>26</v>
      </c>
      <c r="G2707" s="54"/>
    </row>
    <row r="2708">
      <c r="A2708" s="49">
        <v>45049.19252949074</v>
      </c>
      <c r="B2708" s="50">
        <v>45049.3174950694</v>
      </c>
      <c r="C2708" s="51">
        <v>1.024</v>
      </c>
      <c r="D2708" s="51">
        <v>61.0</v>
      </c>
      <c r="E2708" s="52" t="s">
        <v>25</v>
      </c>
      <c r="F2708" s="52" t="s">
        <v>26</v>
      </c>
      <c r="G2708" s="54"/>
    </row>
    <row r="2709">
      <c r="A2709" s="49">
        <v>45049.20294446759</v>
      </c>
      <c r="B2709" s="50">
        <v>45049.327914699</v>
      </c>
      <c r="C2709" s="51">
        <v>1.024</v>
      </c>
      <c r="D2709" s="51">
        <v>61.0</v>
      </c>
      <c r="E2709" s="52" t="s">
        <v>25</v>
      </c>
      <c r="F2709" s="52" t="s">
        <v>26</v>
      </c>
      <c r="G2709" s="54"/>
    </row>
    <row r="2710">
      <c r="A2710" s="49">
        <v>45049.213362696755</v>
      </c>
      <c r="B2710" s="50">
        <v>45049.3383390046</v>
      </c>
      <c r="C2710" s="51">
        <v>1.024</v>
      </c>
      <c r="D2710" s="51">
        <v>61.0</v>
      </c>
      <c r="E2710" s="52" t="s">
        <v>25</v>
      </c>
      <c r="F2710" s="52" t="s">
        <v>26</v>
      </c>
      <c r="G2710" s="54"/>
    </row>
    <row r="2711">
      <c r="A2711" s="49">
        <v>45049.223822581014</v>
      </c>
      <c r="B2711" s="50">
        <v>45049.348785625</v>
      </c>
      <c r="C2711" s="51">
        <v>1.024</v>
      </c>
      <c r="D2711" s="51">
        <v>61.0</v>
      </c>
      <c r="E2711" s="52" t="s">
        <v>25</v>
      </c>
      <c r="F2711" s="52" t="s">
        <v>26</v>
      </c>
      <c r="G2711" s="54"/>
    </row>
    <row r="2712">
      <c r="A2712" s="49">
        <v>45049.234231145834</v>
      </c>
      <c r="B2712" s="50">
        <v>45049.3592066319</v>
      </c>
      <c r="C2712" s="51">
        <v>1.024</v>
      </c>
      <c r="D2712" s="51">
        <v>61.0</v>
      </c>
      <c r="E2712" s="52" t="s">
        <v>25</v>
      </c>
      <c r="F2712" s="52" t="s">
        <v>26</v>
      </c>
      <c r="G2712" s="54"/>
    </row>
    <row r="2713">
      <c r="A2713" s="49">
        <v>45049.24466635416</v>
      </c>
      <c r="B2713" s="50">
        <v>45049.3696381481</v>
      </c>
      <c r="C2713" s="51">
        <v>1.024</v>
      </c>
      <c r="D2713" s="51">
        <v>61.0</v>
      </c>
      <c r="E2713" s="52" t="s">
        <v>25</v>
      </c>
      <c r="F2713" s="52" t="s">
        <v>26</v>
      </c>
      <c r="G2713" s="54"/>
    </row>
    <row r="2714">
      <c r="A2714" s="49">
        <v>45049.25508416667</v>
      </c>
      <c r="B2714" s="50">
        <v>45049.3800586458</v>
      </c>
      <c r="C2714" s="51">
        <v>1.024</v>
      </c>
      <c r="D2714" s="51">
        <v>61.0</v>
      </c>
      <c r="E2714" s="52" t="s">
        <v>25</v>
      </c>
      <c r="F2714" s="52" t="s">
        <v>26</v>
      </c>
      <c r="G2714" s="54"/>
    </row>
    <row r="2715">
      <c r="A2715" s="49">
        <v>45049.265496747685</v>
      </c>
      <c r="B2715" s="50">
        <v>45049.3904781018</v>
      </c>
      <c r="C2715" s="51">
        <v>1.024</v>
      </c>
      <c r="D2715" s="51">
        <v>61.0</v>
      </c>
      <c r="E2715" s="52" t="s">
        <v>25</v>
      </c>
      <c r="F2715" s="52" t="s">
        <v>26</v>
      </c>
      <c r="G2715" s="54"/>
    </row>
    <row r="2716">
      <c r="A2716" s="49">
        <v>45049.275931041666</v>
      </c>
      <c r="B2716" s="50">
        <v>45049.4008999189</v>
      </c>
      <c r="C2716" s="51">
        <v>1.024</v>
      </c>
      <c r="D2716" s="51">
        <v>61.0</v>
      </c>
      <c r="E2716" s="52" t="s">
        <v>25</v>
      </c>
      <c r="F2716" s="52" t="s">
        <v>26</v>
      </c>
      <c r="G2716" s="54"/>
    </row>
    <row r="2717">
      <c r="A2717" s="49">
        <v>45049.286348877315</v>
      </c>
      <c r="B2717" s="50">
        <v>45049.4113213425</v>
      </c>
      <c r="C2717" s="51">
        <v>1.024</v>
      </c>
      <c r="D2717" s="51">
        <v>61.0</v>
      </c>
      <c r="E2717" s="52" t="s">
        <v>25</v>
      </c>
      <c r="F2717" s="52" t="s">
        <v>26</v>
      </c>
      <c r="G2717" s="54"/>
    </row>
    <row r="2718">
      <c r="A2718" s="49">
        <v>45049.29676738426</v>
      </c>
      <c r="B2718" s="50">
        <v>45049.4217414699</v>
      </c>
      <c r="C2718" s="51">
        <v>1.024</v>
      </c>
      <c r="D2718" s="51">
        <v>61.0</v>
      </c>
      <c r="E2718" s="52" t="s">
        <v>25</v>
      </c>
      <c r="F2718" s="52" t="s">
        <v>26</v>
      </c>
      <c r="G2718" s="54"/>
    </row>
    <row r="2719">
      <c r="A2719" s="49">
        <v>45049.30720480324</v>
      </c>
      <c r="B2719" s="50">
        <v>45049.4321620601</v>
      </c>
      <c r="C2719" s="51">
        <v>1.024</v>
      </c>
      <c r="D2719" s="51">
        <v>61.0</v>
      </c>
      <c r="E2719" s="52" t="s">
        <v>25</v>
      </c>
      <c r="F2719" s="52" t="s">
        <v>26</v>
      </c>
      <c r="G2719" s="54"/>
    </row>
    <row r="2720">
      <c r="A2720" s="49">
        <v>45049.31760359954</v>
      </c>
      <c r="B2720" s="50">
        <v>45049.4425825115</v>
      </c>
      <c r="C2720" s="51">
        <v>1.024</v>
      </c>
      <c r="D2720" s="51">
        <v>61.0</v>
      </c>
      <c r="E2720" s="52" t="s">
        <v>25</v>
      </c>
      <c r="F2720" s="52" t="s">
        <v>26</v>
      </c>
      <c r="G2720" s="54"/>
    </row>
    <row r="2721">
      <c r="A2721" s="49">
        <v>45049.328030833334</v>
      </c>
      <c r="B2721" s="50">
        <v>45049.4530027199</v>
      </c>
      <c r="C2721" s="51">
        <v>1.024</v>
      </c>
      <c r="D2721" s="51">
        <v>61.0</v>
      </c>
      <c r="E2721" s="52" t="s">
        <v>25</v>
      </c>
      <c r="F2721" s="52" t="s">
        <v>26</v>
      </c>
      <c r="G2721" s="54"/>
    </row>
    <row r="2722">
      <c r="A2722" s="49">
        <v>45049.33845134259</v>
      </c>
      <c r="B2722" s="50">
        <v>45049.4634234027</v>
      </c>
      <c r="C2722" s="51">
        <v>1.024</v>
      </c>
      <c r="D2722" s="51">
        <v>61.0</v>
      </c>
      <c r="E2722" s="52" t="s">
        <v>25</v>
      </c>
      <c r="F2722" s="52" t="s">
        <v>26</v>
      </c>
      <c r="G2722" s="54"/>
    </row>
    <row r="2723">
      <c r="A2723" s="49">
        <v>45049.34887537037</v>
      </c>
      <c r="B2723" s="50">
        <v>45049.4738445138</v>
      </c>
      <c r="C2723" s="51">
        <v>1.024</v>
      </c>
      <c r="D2723" s="51">
        <v>61.0</v>
      </c>
      <c r="E2723" s="52" t="s">
        <v>25</v>
      </c>
      <c r="F2723" s="52" t="s">
        <v>26</v>
      </c>
      <c r="G2723" s="54"/>
    </row>
    <row r="2724">
      <c r="A2724" s="49">
        <v>45049.35931950231</v>
      </c>
      <c r="B2724" s="50">
        <v>45049.4842781481</v>
      </c>
      <c r="C2724" s="51">
        <v>1.024</v>
      </c>
      <c r="D2724" s="51">
        <v>61.0</v>
      </c>
      <c r="E2724" s="52" t="s">
        <v>25</v>
      </c>
      <c r="F2724" s="52" t="s">
        <v>26</v>
      </c>
      <c r="G2724" s="54"/>
    </row>
    <row r="2725">
      <c r="A2725" s="49">
        <v>45049.369732499996</v>
      </c>
      <c r="B2725" s="50">
        <v>45049.4946997916</v>
      </c>
      <c r="C2725" s="51">
        <v>1.024</v>
      </c>
      <c r="D2725" s="51">
        <v>61.0</v>
      </c>
      <c r="E2725" s="52" t="s">
        <v>25</v>
      </c>
      <c r="F2725" s="52" t="s">
        <v>26</v>
      </c>
      <c r="G2725" s="54"/>
    </row>
    <row r="2726">
      <c r="A2726" s="49">
        <v>45049.38015319445</v>
      </c>
      <c r="B2726" s="50">
        <v>45049.5051201967</v>
      </c>
      <c r="C2726" s="51">
        <v>1.024</v>
      </c>
      <c r="D2726" s="51">
        <v>61.0</v>
      </c>
      <c r="E2726" s="52" t="s">
        <v>25</v>
      </c>
      <c r="F2726" s="52" t="s">
        <v>26</v>
      </c>
      <c r="G2726" s="54"/>
    </row>
    <row r="2727">
      <c r="A2727" s="49">
        <v>45049.39056421296</v>
      </c>
      <c r="B2727" s="50">
        <v>45049.5155401273</v>
      </c>
      <c r="C2727" s="51">
        <v>1.024</v>
      </c>
      <c r="D2727" s="51">
        <v>61.0</v>
      </c>
      <c r="E2727" s="52" t="s">
        <v>25</v>
      </c>
      <c r="F2727" s="52" t="s">
        <v>26</v>
      </c>
      <c r="G2727" s="54"/>
    </row>
    <row r="2728">
      <c r="A2728" s="49">
        <v>45049.40099246528</v>
      </c>
      <c r="B2728" s="50">
        <v>45049.5259615972</v>
      </c>
      <c r="C2728" s="51">
        <v>1.024</v>
      </c>
      <c r="D2728" s="51">
        <v>61.0</v>
      </c>
      <c r="E2728" s="52" t="s">
        <v>25</v>
      </c>
      <c r="F2728" s="52" t="s">
        <v>26</v>
      </c>
      <c r="G2728" s="54"/>
    </row>
    <row r="2729">
      <c r="A2729" s="49">
        <v>45049.41141728009</v>
      </c>
      <c r="B2729" s="50">
        <v>45049.5363838773</v>
      </c>
      <c r="C2729" s="51">
        <v>1.024</v>
      </c>
      <c r="D2729" s="51">
        <v>61.0</v>
      </c>
      <c r="E2729" s="52" t="s">
        <v>25</v>
      </c>
      <c r="F2729" s="52" t="s">
        <v>26</v>
      </c>
      <c r="G2729" s="54"/>
    </row>
    <row r="2730">
      <c r="A2730" s="49">
        <v>45049.42184480324</v>
      </c>
      <c r="B2730" s="50">
        <v>45049.5468140393</v>
      </c>
      <c r="C2730" s="51">
        <v>1.024</v>
      </c>
      <c r="D2730" s="51">
        <v>61.0</v>
      </c>
      <c r="E2730" s="52" t="s">
        <v>25</v>
      </c>
      <c r="F2730" s="52" t="s">
        <v>26</v>
      </c>
      <c r="G2730" s="54"/>
    </row>
    <row r="2731">
      <c r="A2731" s="49">
        <v>45049.43226652778</v>
      </c>
      <c r="B2731" s="50">
        <v>45049.5572350347</v>
      </c>
      <c r="C2731" s="51">
        <v>1.024</v>
      </c>
      <c r="D2731" s="51">
        <v>61.0</v>
      </c>
      <c r="E2731" s="52" t="s">
        <v>25</v>
      </c>
      <c r="F2731" s="52" t="s">
        <v>26</v>
      </c>
      <c r="G2731" s="54"/>
    </row>
    <row r="2732">
      <c r="A2732" s="49">
        <v>45049.44268305556</v>
      </c>
      <c r="B2732" s="50">
        <v>45049.5676567939</v>
      </c>
      <c r="C2732" s="51">
        <v>1.024</v>
      </c>
      <c r="D2732" s="51">
        <v>61.0</v>
      </c>
      <c r="E2732" s="52" t="s">
        <v>25</v>
      </c>
      <c r="F2732" s="52" t="s">
        <v>26</v>
      </c>
      <c r="G2732" s="54"/>
    </row>
    <row r="2733">
      <c r="A2733" s="49">
        <v>45049.45310388889</v>
      </c>
      <c r="B2733" s="50">
        <v>45049.5780786458</v>
      </c>
      <c r="C2733" s="51">
        <v>1.024</v>
      </c>
      <c r="D2733" s="51">
        <v>61.0</v>
      </c>
      <c r="E2733" s="52" t="s">
        <v>25</v>
      </c>
      <c r="F2733" s="52" t="s">
        <v>26</v>
      </c>
      <c r="G2733" s="54"/>
    </row>
    <row r="2734">
      <c r="A2734" s="49">
        <v>45049.463522465274</v>
      </c>
      <c r="B2734" s="50">
        <v>45049.5884995717</v>
      </c>
      <c r="C2734" s="51">
        <v>1.024</v>
      </c>
      <c r="D2734" s="51">
        <v>61.0</v>
      </c>
      <c r="E2734" s="52" t="s">
        <v>25</v>
      </c>
      <c r="F2734" s="52" t="s">
        <v>26</v>
      </c>
      <c r="G2734" s="54"/>
    </row>
    <row r="2735">
      <c r="A2735" s="49">
        <v>45049.47395140046</v>
      </c>
      <c r="B2735" s="50">
        <v>45049.5989209722</v>
      </c>
      <c r="C2735" s="51">
        <v>1.024</v>
      </c>
      <c r="D2735" s="51">
        <v>61.0</v>
      </c>
      <c r="E2735" s="52" t="s">
        <v>25</v>
      </c>
      <c r="F2735" s="52" t="s">
        <v>26</v>
      </c>
      <c r="G2735" s="54"/>
    </row>
    <row r="2736">
      <c r="A2736" s="49">
        <v>45049.484406724536</v>
      </c>
      <c r="B2736" s="50">
        <v>45049.6093750578</v>
      </c>
      <c r="C2736" s="51">
        <v>1.024</v>
      </c>
      <c r="D2736" s="51">
        <v>61.0</v>
      </c>
      <c r="E2736" s="52" t="s">
        <v>25</v>
      </c>
      <c r="F2736" s="52" t="s">
        <v>26</v>
      </c>
      <c r="G2736" s="54"/>
    </row>
    <row r="2737">
      <c r="A2737" s="49">
        <v>45049.494835833335</v>
      </c>
      <c r="B2737" s="50">
        <v>45049.6198080439</v>
      </c>
      <c r="C2737" s="51">
        <v>1.024</v>
      </c>
      <c r="D2737" s="51">
        <v>61.0</v>
      </c>
      <c r="E2737" s="52" t="s">
        <v>25</v>
      </c>
      <c r="F2737" s="52" t="s">
        <v>26</v>
      </c>
      <c r="G2737" s="54"/>
    </row>
    <row r="2738">
      <c r="A2738" s="49">
        <v>45049.505262164355</v>
      </c>
      <c r="B2738" s="50">
        <v>45049.6302401388</v>
      </c>
      <c r="C2738" s="51">
        <v>1.024</v>
      </c>
      <c r="D2738" s="51">
        <v>61.0</v>
      </c>
      <c r="E2738" s="52" t="s">
        <v>25</v>
      </c>
      <c r="F2738" s="52" t="s">
        <v>26</v>
      </c>
      <c r="G2738" s="54"/>
    </row>
    <row r="2739">
      <c r="A2739" s="49">
        <v>45049.51569028935</v>
      </c>
      <c r="B2739" s="50">
        <v>45049.640659456</v>
      </c>
      <c r="C2739" s="51">
        <v>1.024</v>
      </c>
      <c r="D2739" s="51">
        <v>61.0</v>
      </c>
      <c r="E2739" s="52" t="s">
        <v>25</v>
      </c>
      <c r="F2739" s="52" t="s">
        <v>26</v>
      </c>
      <c r="G2739" s="54"/>
    </row>
    <row r="2740">
      <c r="A2740" s="49">
        <v>45049.526103703705</v>
      </c>
      <c r="B2740" s="50">
        <v>45049.6510802662</v>
      </c>
      <c r="C2740" s="51">
        <v>1.024</v>
      </c>
      <c r="D2740" s="51">
        <v>61.0</v>
      </c>
      <c r="E2740" s="52" t="s">
        <v>25</v>
      </c>
      <c r="F2740" s="52" t="s">
        <v>26</v>
      </c>
      <c r="G2740" s="54"/>
    </row>
    <row r="2741">
      <c r="A2741" s="49">
        <v>45049.53653091435</v>
      </c>
      <c r="B2741" s="50">
        <v>45049.6614993981</v>
      </c>
      <c r="C2741" s="51">
        <v>1.024</v>
      </c>
      <c r="D2741" s="51">
        <v>61.0</v>
      </c>
      <c r="E2741" s="52" t="s">
        <v>25</v>
      </c>
      <c r="F2741" s="52" t="s">
        <v>26</v>
      </c>
      <c r="G2741" s="54"/>
    </row>
    <row r="2742">
      <c r="A2742" s="49">
        <v>45049.5469506713</v>
      </c>
      <c r="B2742" s="50">
        <v>45049.6719199884</v>
      </c>
      <c r="C2742" s="51">
        <v>1.024</v>
      </c>
      <c r="D2742" s="51">
        <v>61.0</v>
      </c>
      <c r="E2742" s="52" t="s">
        <v>25</v>
      </c>
      <c r="F2742" s="52" t="s">
        <v>26</v>
      </c>
      <c r="G2742" s="54"/>
    </row>
    <row r="2743">
      <c r="A2743" s="49">
        <v>45049.55737387732</v>
      </c>
      <c r="B2743" s="50">
        <v>45049.6823406481</v>
      </c>
      <c r="C2743" s="51">
        <v>1.024</v>
      </c>
      <c r="D2743" s="51">
        <v>61.0</v>
      </c>
      <c r="E2743" s="52" t="s">
        <v>25</v>
      </c>
      <c r="F2743" s="52" t="s">
        <v>26</v>
      </c>
      <c r="G2743" s="54"/>
    </row>
    <row r="2744">
      <c r="A2744" s="49">
        <v>45049.56779069445</v>
      </c>
      <c r="B2744" s="50">
        <v>45049.6927617939</v>
      </c>
      <c r="C2744" s="51">
        <v>1.024</v>
      </c>
      <c r="D2744" s="51">
        <v>61.0</v>
      </c>
      <c r="E2744" s="52" t="s">
        <v>25</v>
      </c>
      <c r="F2744" s="52" t="s">
        <v>26</v>
      </c>
      <c r="G2744" s="54"/>
    </row>
    <row r="2745">
      <c r="A2745" s="49">
        <v>45049.57824141203</v>
      </c>
      <c r="B2745" s="50">
        <v>45049.7032069444</v>
      </c>
      <c r="C2745" s="51">
        <v>1.024</v>
      </c>
      <c r="D2745" s="51">
        <v>61.0</v>
      </c>
      <c r="E2745" s="52" t="s">
        <v>25</v>
      </c>
      <c r="F2745" s="52" t="s">
        <v>26</v>
      </c>
      <c r="G2745" s="54"/>
    </row>
    <row r="2746">
      <c r="A2746" s="49">
        <v>45049.588652060185</v>
      </c>
      <c r="B2746" s="50">
        <v>45049.71362728</v>
      </c>
      <c r="C2746" s="51">
        <v>1.024</v>
      </c>
      <c r="D2746" s="51">
        <v>61.0</v>
      </c>
      <c r="E2746" s="52" t="s">
        <v>25</v>
      </c>
      <c r="F2746" s="52" t="s">
        <v>26</v>
      </c>
      <c r="G2746" s="54"/>
    </row>
    <row r="2747">
      <c r="A2747" s="49">
        <v>45049.599075844904</v>
      </c>
      <c r="B2747" s="50">
        <v>45049.7240476736</v>
      </c>
      <c r="C2747" s="51">
        <v>1.024</v>
      </c>
      <c r="D2747" s="51">
        <v>61.0</v>
      </c>
      <c r="E2747" s="52" t="s">
        <v>25</v>
      </c>
      <c r="F2747" s="52" t="s">
        <v>26</v>
      </c>
      <c r="G2747" s="54"/>
    </row>
    <row r="2748">
      <c r="A2748" s="49">
        <v>45049.609493993055</v>
      </c>
      <c r="B2748" s="50">
        <v>45049.7344685532</v>
      </c>
      <c r="C2748" s="51">
        <v>1.024</v>
      </c>
      <c r="D2748" s="51">
        <v>61.0</v>
      </c>
      <c r="E2748" s="52" t="s">
        <v>25</v>
      </c>
      <c r="F2748" s="52" t="s">
        <v>26</v>
      </c>
      <c r="G2748" s="54"/>
    </row>
    <row r="2749">
      <c r="A2749" s="49">
        <v>45049.619914675925</v>
      </c>
      <c r="B2749" s="50">
        <v>45049.7448890856</v>
      </c>
      <c r="C2749" s="51">
        <v>1.024</v>
      </c>
      <c r="D2749" s="51">
        <v>61.0</v>
      </c>
      <c r="E2749" s="52" t="s">
        <v>25</v>
      </c>
      <c r="F2749" s="52" t="s">
        <v>26</v>
      </c>
      <c r="G2749" s="54"/>
    </row>
    <row r="2750">
      <c r="A2750" s="49">
        <v>45049.630329837964</v>
      </c>
      <c r="B2750" s="50">
        <v>45049.7553110648</v>
      </c>
      <c r="C2750" s="51">
        <v>1.024</v>
      </c>
      <c r="D2750" s="51">
        <v>61.0</v>
      </c>
      <c r="E2750" s="52" t="s">
        <v>25</v>
      </c>
      <c r="F2750" s="52" t="s">
        <v>26</v>
      </c>
      <c r="G2750" s="54"/>
    </row>
    <row r="2751">
      <c r="A2751" s="49">
        <v>45049.640760497685</v>
      </c>
      <c r="B2751" s="50">
        <v>45049.7657333333</v>
      </c>
      <c r="C2751" s="51">
        <v>1.024</v>
      </c>
      <c r="D2751" s="51">
        <v>61.0</v>
      </c>
      <c r="E2751" s="52" t="s">
        <v>25</v>
      </c>
      <c r="F2751" s="52" t="s">
        <v>26</v>
      </c>
      <c r="G2751" s="54"/>
    </row>
    <row r="2752">
      <c r="A2752" s="49">
        <v>45049.65118569444</v>
      </c>
      <c r="B2752" s="50">
        <v>45049.7761540509</v>
      </c>
      <c r="C2752" s="51">
        <v>1.024</v>
      </c>
      <c r="D2752" s="51">
        <v>61.0</v>
      </c>
      <c r="E2752" s="52" t="s">
        <v>25</v>
      </c>
      <c r="F2752" s="52" t="s">
        <v>26</v>
      </c>
      <c r="G2752" s="54"/>
    </row>
    <row r="2753">
      <c r="A2753" s="49">
        <v>45049.661623368054</v>
      </c>
      <c r="B2753" s="50">
        <v>45049.786575324</v>
      </c>
      <c r="C2753" s="51">
        <v>1.024</v>
      </c>
      <c r="D2753" s="51">
        <v>61.0</v>
      </c>
      <c r="E2753" s="52" t="s">
        <v>25</v>
      </c>
      <c r="F2753" s="52" t="s">
        <v>26</v>
      </c>
      <c r="G2753" s="54"/>
    </row>
    <row r="2754">
      <c r="A2754" s="49">
        <v>45049.67204431713</v>
      </c>
      <c r="B2754" s="50">
        <v>45049.7969960995</v>
      </c>
      <c r="C2754" s="51">
        <v>1.024</v>
      </c>
      <c r="D2754" s="51">
        <v>61.0</v>
      </c>
      <c r="E2754" s="52" t="s">
        <v>25</v>
      </c>
      <c r="F2754" s="52" t="s">
        <v>26</v>
      </c>
      <c r="G2754" s="54"/>
    </row>
    <row r="2755">
      <c r="A2755" s="49">
        <v>45049.68247378472</v>
      </c>
      <c r="B2755" s="50">
        <v>45049.807439375</v>
      </c>
      <c r="C2755" s="51">
        <v>1.024</v>
      </c>
      <c r="D2755" s="51">
        <v>61.0</v>
      </c>
      <c r="E2755" s="52" t="s">
        <v>25</v>
      </c>
      <c r="F2755" s="52" t="s">
        <v>26</v>
      </c>
      <c r="G2755" s="54"/>
    </row>
    <row r="2756">
      <c r="A2756" s="49">
        <v>45049.69287857639</v>
      </c>
      <c r="B2756" s="50">
        <v>45049.8178612847</v>
      </c>
      <c r="C2756" s="51">
        <v>1.024</v>
      </c>
      <c r="D2756" s="51">
        <v>61.0</v>
      </c>
      <c r="E2756" s="52" t="s">
        <v>25</v>
      </c>
      <c r="F2756" s="52" t="s">
        <v>26</v>
      </c>
      <c r="G2756" s="54"/>
    </row>
    <row r="2757">
      <c r="A2757" s="49">
        <v>45049.703302291666</v>
      </c>
      <c r="B2757" s="50">
        <v>45049.8282821875</v>
      </c>
      <c r="C2757" s="51">
        <v>1.024</v>
      </c>
      <c r="D2757" s="51">
        <v>61.0</v>
      </c>
      <c r="E2757" s="52" t="s">
        <v>25</v>
      </c>
      <c r="F2757" s="52" t="s">
        <v>26</v>
      </c>
      <c r="G2757" s="54"/>
    </row>
    <row r="2758">
      <c r="A2758" s="49">
        <v>45049.713723611116</v>
      </c>
      <c r="B2758" s="50">
        <v>45049.8387025115</v>
      </c>
      <c r="C2758" s="51">
        <v>1.024</v>
      </c>
      <c r="D2758" s="51">
        <v>61.0</v>
      </c>
      <c r="E2758" s="52" t="s">
        <v>25</v>
      </c>
      <c r="F2758" s="52" t="s">
        <v>26</v>
      </c>
      <c r="G2758" s="54"/>
    </row>
    <row r="2759">
      <c r="A2759" s="49">
        <v>45049.72421042824</v>
      </c>
      <c r="B2759" s="50">
        <v>45049.8491251273</v>
      </c>
      <c r="C2759" s="51">
        <v>1.024</v>
      </c>
      <c r="D2759" s="51">
        <v>61.0</v>
      </c>
      <c r="E2759" s="52" t="s">
        <v>25</v>
      </c>
      <c r="F2759" s="52" t="s">
        <v>26</v>
      </c>
      <c r="G2759" s="54"/>
    </row>
    <row r="2760">
      <c r="A2760" s="49">
        <v>45049.73456759259</v>
      </c>
      <c r="B2760" s="50">
        <v>45049.8595460648</v>
      </c>
      <c r="C2760" s="51">
        <v>1.024</v>
      </c>
      <c r="D2760" s="51">
        <v>61.0</v>
      </c>
      <c r="E2760" s="52" t="s">
        <v>25</v>
      </c>
      <c r="F2760" s="52" t="s">
        <v>26</v>
      </c>
      <c r="G2760" s="54"/>
    </row>
    <row r="2761">
      <c r="A2761" s="49">
        <v>45049.744999918985</v>
      </c>
      <c r="B2761" s="50">
        <v>45049.8699800231</v>
      </c>
      <c r="C2761" s="51">
        <v>1.024</v>
      </c>
      <c r="D2761" s="51">
        <v>61.0</v>
      </c>
      <c r="E2761" s="52" t="s">
        <v>25</v>
      </c>
      <c r="F2761" s="52" t="s">
        <v>26</v>
      </c>
      <c r="G2761" s="54"/>
    </row>
    <row r="2762">
      <c r="A2762" s="49">
        <v>45049.7554908912</v>
      </c>
      <c r="B2762" s="50">
        <v>45049.880423912</v>
      </c>
      <c r="C2762" s="51">
        <v>1.024</v>
      </c>
      <c r="D2762" s="51">
        <v>61.0</v>
      </c>
      <c r="E2762" s="52" t="s">
        <v>25</v>
      </c>
      <c r="F2762" s="52" t="s">
        <v>26</v>
      </c>
      <c r="G2762" s="54"/>
    </row>
    <row r="2763">
      <c r="A2763" s="49">
        <v>45049.76591240741</v>
      </c>
      <c r="B2763" s="50">
        <v>45049.8908444907</v>
      </c>
      <c r="C2763" s="51">
        <v>1.024</v>
      </c>
      <c r="D2763" s="51">
        <v>61.0</v>
      </c>
      <c r="E2763" s="52" t="s">
        <v>25</v>
      </c>
      <c r="F2763" s="52" t="s">
        <v>26</v>
      </c>
      <c r="G2763" s="54"/>
    </row>
    <row r="2764">
      <c r="A2764" s="49">
        <v>45049.77634164352</v>
      </c>
      <c r="B2764" s="50">
        <v>45049.9012634837</v>
      </c>
      <c r="C2764" s="51">
        <v>1.024</v>
      </c>
      <c r="D2764" s="51">
        <v>61.0</v>
      </c>
      <c r="E2764" s="52" t="s">
        <v>25</v>
      </c>
      <c r="F2764" s="52" t="s">
        <v>26</v>
      </c>
      <c r="G2764" s="54"/>
    </row>
    <row r="2765">
      <c r="A2765" s="49">
        <v>45049.786761261574</v>
      </c>
      <c r="B2765" s="50">
        <v>45049.9116978125</v>
      </c>
      <c r="C2765" s="51">
        <v>1.024</v>
      </c>
      <c r="D2765" s="51">
        <v>61.0</v>
      </c>
      <c r="E2765" s="52" t="s">
        <v>25</v>
      </c>
      <c r="F2765" s="52" t="s">
        <v>26</v>
      </c>
      <c r="G2765" s="54"/>
    </row>
    <row r="2766">
      <c r="A2766" s="49">
        <v>45049.797182951384</v>
      </c>
      <c r="B2766" s="50">
        <v>45049.922118125</v>
      </c>
      <c r="C2766" s="51">
        <v>1.024</v>
      </c>
      <c r="D2766" s="51">
        <v>61.0</v>
      </c>
      <c r="E2766" s="52" t="s">
        <v>25</v>
      </c>
      <c r="F2766" s="52" t="s">
        <v>26</v>
      </c>
      <c r="G2766" s="54"/>
    </row>
    <row r="2767">
      <c r="A2767" s="49">
        <v>45049.807571122685</v>
      </c>
      <c r="B2767" s="50">
        <v>45049.9325393634</v>
      </c>
      <c r="C2767" s="51">
        <v>1.024</v>
      </c>
      <c r="D2767" s="51">
        <v>61.0</v>
      </c>
      <c r="E2767" s="52" t="s">
        <v>25</v>
      </c>
      <c r="F2767" s="52" t="s">
        <v>26</v>
      </c>
      <c r="G2767" s="54"/>
    </row>
    <row r="2768">
      <c r="A2768" s="49">
        <v>45049.81800646991</v>
      </c>
      <c r="B2768" s="50">
        <v>45049.9429824768</v>
      </c>
      <c r="C2768" s="51">
        <v>1.024</v>
      </c>
      <c r="D2768" s="51">
        <v>61.0</v>
      </c>
      <c r="E2768" s="52" t="s">
        <v>25</v>
      </c>
      <c r="F2768" s="52" t="s">
        <v>26</v>
      </c>
      <c r="G2768" s="54"/>
    </row>
    <row r="2769">
      <c r="A2769" s="49">
        <v>45049.82844679398</v>
      </c>
      <c r="B2769" s="50">
        <v>45049.9534158912</v>
      </c>
      <c r="C2769" s="51">
        <v>1.024</v>
      </c>
      <c r="D2769" s="51">
        <v>61.0</v>
      </c>
      <c r="E2769" s="52" t="s">
        <v>25</v>
      </c>
      <c r="F2769" s="52" t="s">
        <v>26</v>
      </c>
      <c r="G2769" s="54"/>
    </row>
    <row r="2770">
      <c r="A2770" s="49">
        <v>45049.838865833335</v>
      </c>
      <c r="B2770" s="50">
        <v>45049.9638371643</v>
      </c>
      <c r="C2770" s="51">
        <v>1.024</v>
      </c>
      <c r="D2770" s="51">
        <v>61.0</v>
      </c>
      <c r="E2770" s="52" t="s">
        <v>25</v>
      </c>
      <c r="F2770" s="52" t="s">
        <v>26</v>
      </c>
      <c r="G2770" s="54"/>
    </row>
    <row r="2771">
      <c r="A2771" s="49">
        <v>45049.849283159725</v>
      </c>
      <c r="B2771" s="50">
        <v>45049.9742579629</v>
      </c>
      <c r="C2771" s="51">
        <v>1.024</v>
      </c>
      <c r="D2771" s="51">
        <v>61.0</v>
      </c>
      <c r="E2771" s="52" t="s">
        <v>25</v>
      </c>
      <c r="F2771" s="52" t="s">
        <v>26</v>
      </c>
      <c r="G2771" s="54"/>
    </row>
    <row r="2772">
      <c r="A2772" s="49">
        <v>45049.85970598379</v>
      </c>
      <c r="B2772" s="50">
        <v>45049.9846800115</v>
      </c>
      <c r="C2772" s="51">
        <v>1.024</v>
      </c>
      <c r="D2772" s="51">
        <v>61.0</v>
      </c>
      <c r="E2772" s="52" t="s">
        <v>25</v>
      </c>
      <c r="F2772" s="52" t="s">
        <v>26</v>
      </c>
      <c r="G2772" s="54"/>
    </row>
    <row r="2773">
      <c r="A2773" s="49">
        <v>45049.870131539355</v>
      </c>
      <c r="B2773" s="50">
        <v>45049.9951017939</v>
      </c>
      <c r="C2773" s="51">
        <v>1.024</v>
      </c>
      <c r="D2773" s="51">
        <v>61.0</v>
      </c>
      <c r="E2773" s="52" t="s">
        <v>25</v>
      </c>
      <c r="F2773" s="52" t="s">
        <v>26</v>
      </c>
      <c r="G2773" s="54"/>
    </row>
    <row r="2774">
      <c r="A2774" s="49">
        <v>45049.88054751157</v>
      </c>
      <c r="B2774" s="50">
        <v>45050.00552228</v>
      </c>
      <c r="C2774" s="51">
        <v>1.024</v>
      </c>
      <c r="D2774" s="51">
        <v>61.0</v>
      </c>
      <c r="E2774" s="52" t="s">
        <v>25</v>
      </c>
      <c r="F2774" s="52" t="s">
        <v>26</v>
      </c>
      <c r="G2774" s="54"/>
    </row>
    <row r="2775">
      <c r="A2775" s="49">
        <v>45049.89096931713</v>
      </c>
      <c r="B2775" s="50">
        <v>45050.015944375</v>
      </c>
      <c r="C2775" s="51">
        <v>1.024</v>
      </c>
      <c r="D2775" s="51">
        <v>61.0</v>
      </c>
      <c r="E2775" s="52" t="s">
        <v>25</v>
      </c>
      <c r="F2775" s="52" t="s">
        <v>26</v>
      </c>
      <c r="G2775" s="54"/>
    </row>
    <row r="2776">
      <c r="A2776" s="49">
        <v>45049.90139511574</v>
      </c>
      <c r="B2776" s="50">
        <v>45050.0263771296</v>
      </c>
      <c r="C2776" s="51">
        <v>1.024</v>
      </c>
      <c r="D2776" s="51">
        <v>61.0</v>
      </c>
      <c r="E2776" s="52" t="s">
        <v>25</v>
      </c>
      <c r="F2776" s="52" t="s">
        <v>26</v>
      </c>
      <c r="G2776" s="54"/>
    </row>
    <row r="2777">
      <c r="A2777" s="49">
        <v>45049.911825821764</v>
      </c>
      <c r="B2777" s="50">
        <v>45050.0367989351</v>
      </c>
      <c r="C2777" s="51">
        <v>1.023</v>
      </c>
      <c r="D2777" s="51">
        <v>61.0</v>
      </c>
      <c r="E2777" s="52" t="s">
        <v>25</v>
      </c>
      <c r="F2777" s="52" t="s">
        <v>26</v>
      </c>
      <c r="G2777" s="54"/>
    </row>
    <row r="2778">
      <c r="A2778" s="49">
        <v>45049.92226543982</v>
      </c>
      <c r="B2778" s="50">
        <v>45050.0472434953</v>
      </c>
      <c r="C2778" s="51">
        <v>1.024</v>
      </c>
      <c r="D2778" s="51">
        <v>61.0</v>
      </c>
      <c r="E2778" s="52" t="s">
        <v>25</v>
      </c>
      <c r="F2778" s="52" t="s">
        <v>26</v>
      </c>
      <c r="G2778" s="54"/>
    </row>
    <row r="2779">
      <c r="A2779" s="49">
        <v>45049.9326941551</v>
      </c>
      <c r="B2779" s="50">
        <v>45050.0576641898</v>
      </c>
      <c r="C2779" s="51">
        <v>1.023</v>
      </c>
      <c r="D2779" s="51">
        <v>61.0</v>
      </c>
      <c r="E2779" s="52" t="s">
        <v>25</v>
      </c>
      <c r="F2779" s="52" t="s">
        <v>26</v>
      </c>
      <c r="G2779" s="54"/>
    </row>
    <row r="2780">
      <c r="A2780" s="49">
        <v>45049.943112974535</v>
      </c>
      <c r="B2780" s="50">
        <v>45050.0680851041</v>
      </c>
      <c r="C2780" s="51">
        <v>1.023</v>
      </c>
      <c r="D2780" s="51">
        <v>61.0</v>
      </c>
      <c r="E2780" s="52" t="s">
        <v>25</v>
      </c>
      <c r="F2780" s="52" t="s">
        <v>26</v>
      </c>
      <c r="G2780" s="54"/>
    </row>
    <row r="2781">
      <c r="A2781" s="49">
        <v>45049.95352820602</v>
      </c>
      <c r="B2781" s="50">
        <v>45050.0785066666</v>
      </c>
      <c r="C2781" s="51">
        <v>1.023</v>
      </c>
      <c r="D2781" s="51">
        <v>61.0</v>
      </c>
      <c r="E2781" s="52" t="s">
        <v>25</v>
      </c>
      <c r="F2781" s="52" t="s">
        <v>26</v>
      </c>
      <c r="G2781" s="54"/>
    </row>
    <row r="2782">
      <c r="A2782" s="49">
        <v>45049.96395466435</v>
      </c>
      <c r="B2782" s="50">
        <v>45050.0889265046</v>
      </c>
      <c r="C2782" s="51">
        <v>1.024</v>
      </c>
      <c r="D2782" s="51">
        <v>61.0</v>
      </c>
      <c r="E2782" s="52" t="s">
        <v>25</v>
      </c>
      <c r="F2782" s="52" t="s">
        <v>26</v>
      </c>
      <c r="G2782" s="54"/>
    </row>
    <row r="2783">
      <c r="A2783" s="49">
        <v>45049.97437030093</v>
      </c>
      <c r="B2783" s="50">
        <v>45050.0993461921</v>
      </c>
      <c r="C2783" s="51">
        <v>1.024</v>
      </c>
      <c r="D2783" s="51">
        <v>61.0</v>
      </c>
      <c r="E2783" s="52" t="s">
        <v>25</v>
      </c>
      <c r="F2783" s="52" t="s">
        <v>26</v>
      </c>
      <c r="G2783" s="54"/>
    </row>
    <row r="2784">
      <c r="A2784" s="49">
        <v>45049.984792442134</v>
      </c>
      <c r="B2784" s="50">
        <v>45050.109767581</v>
      </c>
      <c r="C2784" s="51">
        <v>1.023</v>
      </c>
      <c r="D2784" s="51">
        <v>61.0</v>
      </c>
      <c r="E2784" s="52" t="s">
        <v>25</v>
      </c>
      <c r="F2784" s="52" t="s">
        <v>26</v>
      </c>
      <c r="G2784" s="54"/>
    </row>
    <row r="2785">
      <c r="A2785" s="49">
        <v>45049.99521717592</v>
      </c>
      <c r="B2785" s="50">
        <v>45050.1201873958</v>
      </c>
      <c r="C2785" s="51">
        <v>1.023</v>
      </c>
      <c r="D2785" s="51">
        <v>61.0</v>
      </c>
      <c r="E2785" s="52" t="s">
        <v>25</v>
      </c>
      <c r="F2785" s="52" t="s">
        <v>26</v>
      </c>
      <c r="G2785" s="54"/>
    </row>
    <row r="2786">
      <c r="A2786" s="49">
        <v>45050.00563674769</v>
      </c>
      <c r="B2786" s="50">
        <v>45050.1306074768</v>
      </c>
      <c r="C2786" s="51">
        <v>1.023</v>
      </c>
      <c r="D2786" s="51">
        <v>61.0</v>
      </c>
      <c r="E2786" s="52" t="s">
        <v>25</v>
      </c>
      <c r="F2786" s="52" t="s">
        <v>26</v>
      </c>
      <c r="G2786" s="54"/>
    </row>
    <row r="2787">
      <c r="A2787" s="49">
        <v>45050.01606311343</v>
      </c>
      <c r="B2787" s="50">
        <v>45050.141030625</v>
      </c>
      <c r="C2787" s="51">
        <v>1.023</v>
      </c>
      <c r="D2787" s="51">
        <v>61.0</v>
      </c>
      <c r="E2787" s="52" t="s">
        <v>25</v>
      </c>
      <c r="F2787" s="52" t="s">
        <v>26</v>
      </c>
      <c r="G2787" s="54"/>
    </row>
    <row r="2788">
      <c r="A2788" s="49">
        <v>45050.02648032407</v>
      </c>
      <c r="B2788" s="50">
        <v>45050.1514534722</v>
      </c>
      <c r="C2788" s="51">
        <v>1.023</v>
      </c>
      <c r="D2788" s="51">
        <v>61.0</v>
      </c>
      <c r="E2788" s="52" t="s">
        <v>25</v>
      </c>
      <c r="F2788" s="52" t="s">
        <v>26</v>
      </c>
      <c r="G2788" s="54"/>
    </row>
    <row r="2789">
      <c r="A2789" s="49">
        <v>45050.03689695602</v>
      </c>
      <c r="B2789" s="50">
        <v>45050.161873912</v>
      </c>
      <c r="C2789" s="51">
        <v>1.023</v>
      </c>
      <c r="D2789" s="51">
        <v>61.0</v>
      </c>
      <c r="E2789" s="52" t="s">
        <v>25</v>
      </c>
      <c r="F2789" s="52" t="s">
        <v>26</v>
      </c>
      <c r="G2789" s="54"/>
    </row>
    <row r="2790">
      <c r="A2790" s="49">
        <v>45050.047323287035</v>
      </c>
      <c r="B2790" s="50">
        <v>45050.1722957175</v>
      </c>
      <c r="C2790" s="51">
        <v>1.024</v>
      </c>
      <c r="D2790" s="51">
        <v>61.0</v>
      </c>
      <c r="E2790" s="52" t="s">
        <v>25</v>
      </c>
      <c r="F2790" s="52" t="s">
        <v>26</v>
      </c>
      <c r="G2790" s="54"/>
    </row>
    <row r="2791">
      <c r="A2791" s="49">
        <v>45050.05774570601</v>
      </c>
      <c r="B2791" s="50">
        <v>45050.1827187152</v>
      </c>
      <c r="C2791" s="51">
        <v>1.023</v>
      </c>
      <c r="D2791" s="51">
        <v>61.0</v>
      </c>
      <c r="E2791" s="52" t="s">
        <v>25</v>
      </c>
      <c r="F2791" s="52" t="s">
        <v>26</v>
      </c>
      <c r="G2791" s="54"/>
    </row>
    <row r="2792">
      <c r="A2792" s="49">
        <v>45050.06819668981</v>
      </c>
      <c r="B2792" s="50">
        <v>45050.1931511805</v>
      </c>
      <c r="C2792" s="51">
        <v>1.023</v>
      </c>
      <c r="D2792" s="51">
        <v>61.0</v>
      </c>
      <c r="E2792" s="52" t="s">
        <v>25</v>
      </c>
      <c r="F2792" s="52" t="s">
        <v>26</v>
      </c>
      <c r="G2792" s="54"/>
    </row>
    <row r="2793">
      <c r="A2793" s="49">
        <v>45050.07859859953</v>
      </c>
      <c r="B2793" s="50">
        <v>45050.2035714814</v>
      </c>
      <c r="C2793" s="51">
        <v>1.023</v>
      </c>
      <c r="D2793" s="51">
        <v>61.0</v>
      </c>
      <c r="E2793" s="52" t="s">
        <v>25</v>
      </c>
      <c r="F2793" s="52" t="s">
        <v>26</v>
      </c>
      <c r="G2793" s="54"/>
    </row>
    <row r="2794">
      <c r="A2794" s="49">
        <v>45050.08901685185</v>
      </c>
      <c r="B2794" s="50">
        <v>45050.2139917824</v>
      </c>
      <c r="C2794" s="51">
        <v>1.023</v>
      </c>
      <c r="D2794" s="51">
        <v>61.0</v>
      </c>
      <c r="E2794" s="52" t="s">
        <v>25</v>
      </c>
      <c r="F2794" s="52" t="s">
        <v>26</v>
      </c>
      <c r="G2794" s="54"/>
    </row>
    <row r="2795">
      <c r="A2795" s="49">
        <v>45050.09943858796</v>
      </c>
      <c r="B2795" s="50">
        <v>45050.2244138657</v>
      </c>
      <c r="C2795" s="51">
        <v>1.023</v>
      </c>
      <c r="D2795" s="51">
        <v>61.0</v>
      </c>
      <c r="E2795" s="52" t="s">
        <v>25</v>
      </c>
      <c r="F2795" s="52" t="s">
        <v>26</v>
      </c>
      <c r="G2795" s="54"/>
    </row>
    <row r="2796">
      <c r="A2796" s="49">
        <v>45050.10985454862</v>
      </c>
      <c r="B2796" s="50">
        <v>45050.2348341203</v>
      </c>
      <c r="C2796" s="51">
        <v>1.023</v>
      </c>
      <c r="D2796" s="51">
        <v>61.0</v>
      </c>
      <c r="E2796" s="52" t="s">
        <v>25</v>
      </c>
      <c r="F2796" s="52" t="s">
        <v>26</v>
      </c>
      <c r="G2796" s="54"/>
    </row>
    <row r="2797">
      <c r="A2797" s="49">
        <v>45050.12029680556</v>
      </c>
      <c r="B2797" s="50">
        <v>45050.2452661458</v>
      </c>
      <c r="C2797" s="51">
        <v>1.023</v>
      </c>
      <c r="D2797" s="51">
        <v>61.0</v>
      </c>
      <c r="E2797" s="52" t="s">
        <v>25</v>
      </c>
      <c r="F2797" s="52" t="s">
        <v>26</v>
      </c>
      <c r="G2797" s="54"/>
    </row>
    <row r="2798">
      <c r="A2798" s="49">
        <v>45050.130715844905</v>
      </c>
      <c r="B2798" s="50">
        <v>45050.2556871412</v>
      </c>
      <c r="C2798" s="51">
        <v>1.023</v>
      </c>
      <c r="D2798" s="51">
        <v>61.0</v>
      </c>
      <c r="E2798" s="52" t="s">
        <v>25</v>
      </c>
      <c r="F2798" s="52" t="s">
        <v>26</v>
      </c>
      <c r="G2798" s="54"/>
    </row>
    <row r="2799">
      <c r="A2799" s="49">
        <v>45050.14113167824</v>
      </c>
      <c r="B2799" s="50">
        <v>45050.2661089583</v>
      </c>
      <c r="C2799" s="51">
        <v>1.023</v>
      </c>
      <c r="D2799" s="51">
        <v>61.0</v>
      </c>
      <c r="E2799" s="52" t="s">
        <v>25</v>
      </c>
      <c r="F2799" s="52" t="s">
        <v>26</v>
      </c>
      <c r="G2799" s="54"/>
    </row>
    <row r="2800">
      <c r="A2800" s="49">
        <v>45050.15155079861</v>
      </c>
      <c r="B2800" s="50">
        <v>45050.2765302893</v>
      </c>
      <c r="C2800" s="51">
        <v>1.023</v>
      </c>
      <c r="D2800" s="51">
        <v>61.0</v>
      </c>
      <c r="E2800" s="52" t="s">
        <v>25</v>
      </c>
      <c r="F2800" s="52" t="s">
        <v>26</v>
      </c>
      <c r="G2800" s="54"/>
    </row>
    <row r="2801">
      <c r="A2801" s="49">
        <v>45050.16198229167</v>
      </c>
      <c r="B2801" s="50">
        <v>45050.2869506134</v>
      </c>
      <c r="C2801" s="51">
        <v>1.023</v>
      </c>
      <c r="D2801" s="51">
        <v>61.0</v>
      </c>
      <c r="E2801" s="52" t="s">
        <v>25</v>
      </c>
      <c r="F2801" s="52" t="s">
        <v>26</v>
      </c>
      <c r="G2801" s="54"/>
    </row>
    <row r="2802">
      <c r="A2802" s="49">
        <v>45050.172398483795</v>
      </c>
      <c r="B2802" s="50">
        <v>45050.2973741203</v>
      </c>
      <c r="C2802" s="51">
        <v>1.023</v>
      </c>
      <c r="D2802" s="51">
        <v>61.0</v>
      </c>
      <c r="E2802" s="52" t="s">
        <v>25</v>
      </c>
      <c r="F2802" s="52" t="s">
        <v>26</v>
      </c>
      <c r="G2802" s="54"/>
    </row>
    <row r="2803">
      <c r="A2803" s="49">
        <v>45050.18281784722</v>
      </c>
      <c r="B2803" s="50">
        <v>45050.3077940972</v>
      </c>
      <c r="C2803" s="51">
        <v>1.023</v>
      </c>
      <c r="D2803" s="51">
        <v>61.0</v>
      </c>
      <c r="E2803" s="52" t="s">
        <v>25</v>
      </c>
      <c r="F2803" s="52" t="s">
        <v>26</v>
      </c>
      <c r="G2803" s="54"/>
    </row>
    <row r="2804">
      <c r="A2804" s="49">
        <v>45050.193242511574</v>
      </c>
      <c r="B2804" s="50">
        <v>45050.3182147338</v>
      </c>
      <c r="C2804" s="51">
        <v>1.023</v>
      </c>
      <c r="D2804" s="51">
        <v>61.0</v>
      </c>
      <c r="E2804" s="52" t="s">
        <v>25</v>
      </c>
      <c r="F2804" s="52" t="s">
        <v>26</v>
      </c>
      <c r="G2804" s="54"/>
    </row>
    <row r="2805">
      <c r="A2805" s="49">
        <v>45050.20365980324</v>
      </c>
      <c r="B2805" s="50">
        <v>45050.3286332176</v>
      </c>
      <c r="C2805" s="51">
        <v>1.023</v>
      </c>
      <c r="D2805" s="51">
        <v>61.0</v>
      </c>
      <c r="E2805" s="52" t="s">
        <v>25</v>
      </c>
      <c r="F2805" s="52" t="s">
        <v>26</v>
      </c>
      <c r="G2805" s="54"/>
    </row>
    <row r="2806">
      <c r="A2806" s="49">
        <v>45050.214082349536</v>
      </c>
      <c r="B2806" s="50">
        <v>45050.3390527314</v>
      </c>
      <c r="C2806" s="51">
        <v>1.023</v>
      </c>
      <c r="D2806" s="51">
        <v>61.0</v>
      </c>
      <c r="E2806" s="52" t="s">
        <v>25</v>
      </c>
      <c r="F2806" s="52" t="s">
        <v>26</v>
      </c>
      <c r="G2806" s="54"/>
    </row>
    <row r="2807">
      <c r="A2807" s="49">
        <v>45050.22449445602</v>
      </c>
      <c r="B2807" s="50">
        <v>45050.3494742592</v>
      </c>
      <c r="C2807" s="51">
        <v>1.023</v>
      </c>
      <c r="D2807" s="51">
        <v>61.0</v>
      </c>
      <c r="E2807" s="52" t="s">
        <v>25</v>
      </c>
      <c r="F2807" s="52" t="s">
        <v>26</v>
      </c>
      <c r="G2807" s="54"/>
    </row>
    <row r="2808">
      <c r="A2808" s="49">
        <v>45050.23493011574</v>
      </c>
      <c r="B2808" s="50">
        <v>45050.3599061574</v>
      </c>
      <c r="C2808" s="51">
        <v>1.023</v>
      </c>
      <c r="D2808" s="51">
        <v>61.0</v>
      </c>
      <c r="E2808" s="52" t="s">
        <v>25</v>
      </c>
      <c r="F2808" s="52" t="s">
        <v>26</v>
      </c>
      <c r="G2808" s="54"/>
    </row>
    <row r="2809">
      <c r="A2809" s="49">
        <v>45050.24535484954</v>
      </c>
      <c r="B2809" s="50">
        <v>45050.370328449</v>
      </c>
      <c r="C2809" s="51">
        <v>1.023</v>
      </c>
      <c r="D2809" s="51">
        <v>61.0</v>
      </c>
      <c r="E2809" s="52" t="s">
        <v>25</v>
      </c>
      <c r="F2809" s="52" t="s">
        <v>26</v>
      </c>
      <c r="G2809" s="54"/>
    </row>
    <row r="2810">
      <c r="A2810" s="49">
        <v>45050.25577912037</v>
      </c>
      <c r="B2810" s="50">
        <v>45050.3807496296</v>
      </c>
      <c r="C2810" s="51">
        <v>1.023</v>
      </c>
      <c r="D2810" s="51">
        <v>61.0</v>
      </c>
      <c r="E2810" s="52" t="s">
        <v>25</v>
      </c>
      <c r="F2810" s="52" t="s">
        <v>26</v>
      </c>
      <c r="G2810" s="54"/>
    </row>
    <row r="2811">
      <c r="A2811" s="49">
        <v>45050.2661968287</v>
      </c>
      <c r="B2811" s="50">
        <v>45050.3911709606</v>
      </c>
      <c r="C2811" s="51">
        <v>1.023</v>
      </c>
      <c r="D2811" s="51">
        <v>60.0</v>
      </c>
      <c r="E2811" s="52" t="s">
        <v>25</v>
      </c>
      <c r="F2811" s="52" t="s">
        <v>26</v>
      </c>
      <c r="G2811" s="54"/>
    </row>
    <row r="2812">
      <c r="A2812" s="49">
        <v>45050.27661981482</v>
      </c>
      <c r="B2812" s="50">
        <v>45050.4015935763</v>
      </c>
      <c r="C2812" s="51">
        <v>1.023</v>
      </c>
      <c r="D2812" s="51">
        <v>60.0</v>
      </c>
      <c r="E2812" s="52" t="s">
        <v>25</v>
      </c>
      <c r="F2812" s="52" t="s">
        <v>26</v>
      </c>
      <c r="G2812" s="54"/>
    </row>
    <row r="2813">
      <c r="A2813" s="49">
        <v>45050.28705077546</v>
      </c>
      <c r="B2813" s="50">
        <v>45050.41201603</v>
      </c>
      <c r="C2813" s="51">
        <v>1.023</v>
      </c>
      <c r="D2813" s="51">
        <v>61.0</v>
      </c>
      <c r="E2813" s="52" t="s">
        <v>25</v>
      </c>
      <c r="F2813" s="52" t="s">
        <v>26</v>
      </c>
      <c r="G2813" s="54"/>
    </row>
    <row r="2814">
      <c r="A2814" s="49">
        <v>45050.29745994213</v>
      </c>
      <c r="B2814" s="50">
        <v>45050.4224371759</v>
      </c>
      <c r="C2814" s="51">
        <v>1.023</v>
      </c>
      <c r="D2814" s="51">
        <v>60.0</v>
      </c>
      <c r="E2814" s="52" t="s">
        <v>25</v>
      </c>
      <c r="F2814" s="52" t="s">
        <v>26</v>
      </c>
      <c r="G2814" s="54"/>
    </row>
    <row r="2815">
      <c r="A2815" s="49">
        <v>45050.307889386575</v>
      </c>
      <c r="B2815" s="50">
        <v>45050.4328573263</v>
      </c>
      <c r="C2815" s="51">
        <v>1.023</v>
      </c>
      <c r="D2815" s="51">
        <v>60.0</v>
      </c>
      <c r="E2815" s="52" t="s">
        <v>25</v>
      </c>
      <c r="F2815" s="52" t="s">
        <v>26</v>
      </c>
      <c r="G2815" s="54"/>
    </row>
    <row r="2816">
      <c r="A2816" s="49">
        <v>45050.3183162037</v>
      </c>
      <c r="B2816" s="50">
        <v>45050.4432785879</v>
      </c>
      <c r="C2816" s="51">
        <v>1.023</v>
      </c>
      <c r="D2816" s="51">
        <v>60.0</v>
      </c>
      <c r="E2816" s="52" t="s">
        <v>25</v>
      </c>
      <c r="F2816" s="52" t="s">
        <v>26</v>
      </c>
      <c r="G2816" s="54"/>
    </row>
    <row r="2817">
      <c r="A2817" s="49">
        <v>45050.32872789352</v>
      </c>
      <c r="B2817" s="50">
        <v>45050.4537005092</v>
      </c>
      <c r="C2817" s="51">
        <v>1.023</v>
      </c>
      <c r="D2817" s="51">
        <v>60.0</v>
      </c>
      <c r="E2817" s="52" t="s">
        <v>25</v>
      </c>
      <c r="F2817" s="52" t="s">
        <v>26</v>
      </c>
      <c r="G2817" s="54"/>
    </row>
    <row r="2818">
      <c r="A2818" s="49">
        <v>45050.3391516088</v>
      </c>
      <c r="B2818" s="50">
        <v>45050.4641207638</v>
      </c>
      <c r="C2818" s="51">
        <v>1.023</v>
      </c>
      <c r="D2818" s="51">
        <v>60.0</v>
      </c>
      <c r="E2818" s="52" t="s">
        <v>25</v>
      </c>
      <c r="F2818" s="52" t="s">
        <v>26</v>
      </c>
      <c r="G2818" s="54"/>
    </row>
    <row r="2819">
      <c r="A2819" s="49">
        <v>45050.349583564814</v>
      </c>
      <c r="B2819" s="50">
        <v>45050.4745553819</v>
      </c>
      <c r="C2819" s="51">
        <v>1.023</v>
      </c>
      <c r="D2819" s="51">
        <v>60.0</v>
      </c>
      <c r="E2819" s="52" t="s">
        <v>25</v>
      </c>
      <c r="F2819" s="52" t="s">
        <v>26</v>
      </c>
      <c r="G2819" s="54"/>
    </row>
    <row r="2820">
      <c r="A2820" s="49">
        <v>45050.36001004629</v>
      </c>
      <c r="B2820" s="50">
        <v>45050.4849873148</v>
      </c>
      <c r="C2820" s="51">
        <v>1.023</v>
      </c>
      <c r="D2820" s="51">
        <v>60.0</v>
      </c>
      <c r="E2820" s="52" t="s">
        <v>25</v>
      </c>
      <c r="F2820" s="52" t="s">
        <v>26</v>
      </c>
      <c r="G2820" s="54"/>
    </row>
    <row r="2821">
      <c r="A2821" s="49">
        <v>45050.370446099536</v>
      </c>
      <c r="B2821" s="50">
        <v>45050.4954196875</v>
      </c>
      <c r="C2821" s="51">
        <v>1.023</v>
      </c>
      <c r="D2821" s="51">
        <v>60.0</v>
      </c>
      <c r="E2821" s="52" t="s">
        <v>25</v>
      </c>
      <c r="F2821" s="52" t="s">
        <v>26</v>
      </c>
      <c r="G2821" s="54"/>
    </row>
    <row r="2822">
      <c r="A2822" s="49">
        <v>45050.38088399306</v>
      </c>
      <c r="B2822" s="50">
        <v>45050.5058408333</v>
      </c>
      <c r="C2822" s="51">
        <v>1.023</v>
      </c>
      <c r="D2822" s="51">
        <v>60.0</v>
      </c>
      <c r="E2822" s="52" t="s">
        <v>25</v>
      </c>
      <c r="F2822" s="52" t="s">
        <v>26</v>
      </c>
      <c r="G2822" s="54"/>
    </row>
    <row r="2823">
      <c r="A2823" s="49">
        <v>45050.39130307871</v>
      </c>
      <c r="B2823" s="50">
        <v>45050.516273449</v>
      </c>
      <c r="C2823" s="51">
        <v>1.023</v>
      </c>
      <c r="D2823" s="51">
        <v>60.0</v>
      </c>
      <c r="E2823" s="52" t="s">
        <v>25</v>
      </c>
      <c r="F2823" s="52" t="s">
        <v>26</v>
      </c>
      <c r="G2823" s="54"/>
    </row>
    <row r="2824">
      <c r="A2824" s="49">
        <v>45050.40171572917</v>
      </c>
      <c r="B2824" s="50">
        <v>45050.5266943287</v>
      </c>
      <c r="C2824" s="51">
        <v>1.023</v>
      </c>
      <c r="D2824" s="51">
        <v>60.0</v>
      </c>
      <c r="E2824" s="52" t="s">
        <v>25</v>
      </c>
      <c r="F2824" s="52" t="s">
        <v>26</v>
      </c>
      <c r="G2824" s="54"/>
    </row>
    <row r="2825">
      <c r="A2825" s="49">
        <v>45050.412145891205</v>
      </c>
      <c r="B2825" s="50">
        <v>45050.5371150694</v>
      </c>
      <c r="C2825" s="51">
        <v>1.023</v>
      </c>
      <c r="D2825" s="51">
        <v>60.0</v>
      </c>
      <c r="E2825" s="52" t="s">
        <v>25</v>
      </c>
      <c r="F2825" s="52" t="s">
        <v>26</v>
      </c>
      <c r="G2825" s="54"/>
    </row>
    <row r="2826">
      <c r="A2826" s="49">
        <v>45050.42257890046</v>
      </c>
      <c r="B2826" s="50">
        <v>45050.5475477777</v>
      </c>
      <c r="C2826" s="51">
        <v>1.023</v>
      </c>
      <c r="D2826" s="51">
        <v>60.0</v>
      </c>
      <c r="E2826" s="52" t="s">
        <v>25</v>
      </c>
      <c r="F2826" s="52" t="s">
        <v>26</v>
      </c>
      <c r="G2826" s="54"/>
    </row>
    <row r="2827">
      <c r="A2827" s="49">
        <v>45050.433003275466</v>
      </c>
      <c r="B2827" s="50">
        <v>45050.5579700925</v>
      </c>
      <c r="C2827" s="51">
        <v>1.023</v>
      </c>
      <c r="D2827" s="51">
        <v>60.0</v>
      </c>
      <c r="E2827" s="52" t="s">
        <v>25</v>
      </c>
      <c r="F2827" s="52" t="s">
        <v>26</v>
      </c>
      <c r="G2827" s="54"/>
    </row>
    <row r="2828">
      <c r="A2828" s="49">
        <v>45050.443415752314</v>
      </c>
      <c r="B2828" s="50">
        <v>45050.5683910648</v>
      </c>
      <c r="C2828" s="51">
        <v>1.023</v>
      </c>
      <c r="D2828" s="51">
        <v>60.0</v>
      </c>
      <c r="E2828" s="52" t="s">
        <v>25</v>
      </c>
      <c r="F2828" s="52" t="s">
        <v>26</v>
      </c>
      <c r="G2828" s="54"/>
    </row>
    <row r="2829">
      <c r="A2829" s="49">
        <v>45050.45383929399</v>
      </c>
      <c r="B2829" s="50">
        <v>45050.5788109259</v>
      </c>
      <c r="C2829" s="51">
        <v>1.023</v>
      </c>
      <c r="D2829" s="51">
        <v>60.0</v>
      </c>
      <c r="E2829" s="52" t="s">
        <v>25</v>
      </c>
      <c r="F2829" s="52" t="s">
        <v>26</v>
      </c>
      <c r="G2829" s="54"/>
    </row>
    <row r="2830">
      <c r="A2830" s="49">
        <v>45050.46425739583</v>
      </c>
      <c r="B2830" s="50">
        <v>45050.5892316435</v>
      </c>
      <c r="C2830" s="51">
        <v>1.023</v>
      </c>
      <c r="D2830" s="51">
        <v>60.0</v>
      </c>
      <c r="E2830" s="52" t="s">
        <v>25</v>
      </c>
      <c r="F2830" s="52" t="s">
        <v>26</v>
      </c>
      <c r="G2830" s="54"/>
    </row>
    <row r="2831">
      <c r="A2831" s="49">
        <v>45050.47469043982</v>
      </c>
      <c r="B2831" s="50">
        <v>45050.5996519444</v>
      </c>
      <c r="C2831" s="51">
        <v>1.023</v>
      </c>
      <c r="D2831" s="51">
        <v>60.0</v>
      </c>
      <c r="E2831" s="52" t="s">
        <v>25</v>
      </c>
      <c r="F2831" s="52" t="s">
        <v>26</v>
      </c>
      <c r="G2831" s="54"/>
    </row>
    <row r="2832">
      <c r="A2832" s="49">
        <v>45050.48509989583</v>
      </c>
      <c r="B2832" s="50">
        <v>45050.6100730555</v>
      </c>
      <c r="C2832" s="51">
        <v>1.023</v>
      </c>
      <c r="D2832" s="51">
        <v>60.0</v>
      </c>
      <c r="E2832" s="52" t="s">
        <v>25</v>
      </c>
      <c r="F2832" s="52" t="s">
        <v>26</v>
      </c>
      <c r="G2832" s="54"/>
    </row>
    <row r="2833">
      <c r="A2833" s="49">
        <v>45050.49551877315</v>
      </c>
      <c r="B2833" s="50">
        <v>45050.620493912</v>
      </c>
      <c r="C2833" s="51">
        <v>1.023</v>
      </c>
      <c r="D2833" s="51">
        <v>60.0</v>
      </c>
      <c r="E2833" s="52" t="s">
        <v>25</v>
      </c>
      <c r="F2833" s="52" t="s">
        <v>26</v>
      </c>
      <c r="G2833" s="54"/>
    </row>
    <row r="2834">
      <c r="A2834" s="49">
        <v>45050.505938692135</v>
      </c>
      <c r="B2834" s="50">
        <v>45050.6309148726</v>
      </c>
      <c r="C2834" s="51">
        <v>1.023</v>
      </c>
      <c r="D2834" s="51">
        <v>60.0</v>
      </c>
      <c r="E2834" s="52" t="s">
        <v>25</v>
      </c>
      <c r="F2834" s="52" t="s">
        <v>26</v>
      </c>
      <c r="G2834" s="54"/>
    </row>
    <row r="2835">
      <c r="A2835" s="49">
        <v>45050.516362870374</v>
      </c>
      <c r="B2835" s="50">
        <v>45050.6413372337</v>
      </c>
      <c r="C2835" s="51">
        <v>1.023</v>
      </c>
      <c r="D2835" s="51">
        <v>60.0</v>
      </c>
      <c r="E2835" s="52" t="s">
        <v>25</v>
      </c>
      <c r="F2835" s="52" t="s">
        <v>26</v>
      </c>
      <c r="G2835" s="54"/>
    </row>
    <row r="2836">
      <c r="A2836" s="49">
        <v>45050.52677978009</v>
      </c>
      <c r="B2836" s="50">
        <v>45050.6517573032</v>
      </c>
      <c r="C2836" s="51">
        <v>1.023</v>
      </c>
      <c r="D2836" s="51">
        <v>60.0</v>
      </c>
      <c r="E2836" s="52" t="s">
        <v>25</v>
      </c>
      <c r="F2836" s="52" t="s">
        <v>26</v>
      </c>
      <c r="G2836" s="54"/>
    </row>
    <row r="2837">
      <c r="A2837" s="49">
        <v>45050.53721138889</v>
      </c>
      <c r="B2837" s="50">
        <v>45050.6621808912</v>
      </c>
      <c r="C2837" s="51">
        <v>1.023</v>
      </c>
      <c r="D2837" s="51">
        <v>60.0</v>
      </c>
      <c r="E2837" s="52" t="s">
        <v>25</v>
      </c>
      <c r="F2837" s="52" t="s">
        <v>26</v>
      </c>
      <c r="G2837" s="54"/>
    </row>
    <row r="2838">
      <c r="A2838" s="49">
        <v>45050.54763585648</v>
      </c>
      <c r="B2838" s="50">
        <v>45050.6726006828</v>
      </c>
      <c r="C2838" s="51">
        <v>1.023</v>
      </c>
      <c r="D2838" s="51">
        <v>60.0</v>
      </c>
      <c r="E2838" s="52" t="s">
        <v>25</v>
      </c>
      <c r="F2838" s="52" t="s">
        <v>26</v>
      </c>
      <c r="G2838" s="54"/>
    </row>
    <row r="2839">
      <c r="A2839" s="49">
        <v>45050.55805056713</v>
      </c>
      <c r="B2839" s="50">
        <v>45050.6830205787</v>
      </c>
      <c r="C2839" s="51">
        <v>1.023</v>
      </c>
      <c r="D2839" s="51">
        <v>60.0</v>
      </c>
      <c r="E2839" s="52" t="s">
        <v>25</v>
      </c>
      <c r="F2839" s="52" t="s">
        <v>26</v>
      </c>
      <c r="G2839" s="54"/>
    </row>
    <row r="2840">
      <c r="A2840" s="49">
        <v>45050.568468310186</v>
      </c>
      <c r="B2840" s="50">
        <v>45050.6934413888</v>
      </c>
      <c r="C2840" s="51">
        <v>1.023</v>
      </c>
      <c r="D2840" s="51">
        <v>60.0</v>
      </c>
      <c r="E2840" s="52" t="s">
        <v>25</v>
      </c>
      <c r="F2840" s="52" t="s">
        <v>26</v>
      </c>
      <c r="G2840" s="54"/>
    </row>
    <row r="2841">
      <c r="A2841" s="49">
        <v>45050.57889539352</v>
      </c>
      <c r="B2841" s="50">
        <v>45050.7038745949</v>
      </c>
      <c r="C2841" s="51">
        <v>1.023</v>
      </c>
      <c r="D2841" s="51">
        <v>60.0</v>
      </c>
      <c r="E2841" s="52" t="s">
        <v>25</v>
      </c>
      <c r="F2841" s="52" t="s">
        <v>26</v>
      </c>
      <c r="G2841" s="54"/>
    </row>
    <row r="2842">
      <c r="A2842" s="49">
        <v>45050.589311793985</v>
      </c>
      <c r="B2842" s="50">
        <v>45050.7142939814</v>
      </c>
      <c r="C2842" s="51">
        <v>1.023</v>
      </c>
      <c r="D2842" s="51">
        <v>60.0</v>
      </c>
      <c r="E2842" s="52" t="s">
        <v>25</v>
      </c>
      <c r="F2842" s="52" t="s">
        <v>26</v>
      </c>
      <c r="G2842" s="54"/>
    </row>
    <row r="2843">
      <c r="A2843" s="49">
        <v>45050.59973376157</v>
      </c>
      <c r="B2843" s="50">
        <v>45050.7247154398</v>
      </c>
      <c r="C2843" s="51">
        <v>1.023</v>
      </c>
      <c r="D2843" s="51">
        <v>60.0</v>
      </c>
      <c r="E2843" s="52" t="s">
        <v>25</v>
      </c>
      <c r="F2843" s="52" t="s">
        <v>26</v>
      </c>
      <c r="G2843" s="54"/>
    </row>
    <row r="2844">
      <c r="A2844" s="49">
        <v>45050.61015324074</v>
      </c>
      <c r="B2844" s="50">
        <v>45050.7351365162</v>
      </c>
      <c r="C2844" s="51">
        <v>1.023</v>
      </c>
      <c r="D2844" s="51">
        <v>60.0</v>
      </c>
      <c r="E2844" s="52" t="s">
        <v>25</v>
      </c>
      <c r="F2844" s="52" t="s">
        <v>26</v>
      </c>
      <c r="G2844" s="54"/>
    </row>
    <row r="2845">
      <c r="A2845" s="49">
        <v>45050.62057813657</v>
      </c>
      <c r="B2845" s="50">
        <v>45050.745558993</v>
      </c>
      <c r="C2845" s="51">
        <v>1.023</v>
      </c>
      <c r="D2845" s="51">
        <v>60.0</v>
      </c>
      <c r="E2845" s="52" t="s">
        <v>25</v>
      </c>
      <c r="F2845" s="52" t="s">
        <v>26</v>
      </c>
      <c r="G2845" s="54"/>
    </row>
    <row r="2846">
      <c r="A2846" s="49">
        <v>45050.63100627315</v>
      </c>
      <c r="B2846" s="50">
        <v>45050.7559798263</v>
      </c>
      <c r="C2846" s="51">
        <v>1.023</v>
      </c>
      <c r="D2846" s="51">
        <v>60.0</v>
      </c>
      <c r="E2846" s="52" t="s">
        <v>25</v>
      </c>
      <c r="F2846" s="52" t="s">
        <v>26</v>
      </c>
      <c r="G2846" s="54"/>
    </row>
    <row r="2847">
      <c r="A2847" s="49">
        <v>45050.64142537037</v>
      </c>
      <c r="B2847" s="50">
        <v>45050.7664005092</v>
      </c>
      <c r="C2847" s="51">
        <v>1.023</v>
      </c>
      <c r="D2847" s="51">
        <v>60.0</v>
      </c>
      <c r="E2847" s="52" t="s">
        <v>25</v>
      </c>
      <c r="F2847" s="52" t="s">
        <v>26</v>
      </c>
      <c r="G2847" s="54"/>
    </row>
    <row r="2848">
      <c r="A2848" s="49">
        <v>45050.651861666665</v>
      </c>
      <c r="B2848" s="50">
        <v>45050.7768438425</v>
      </c>
      <c r="C2848" s="51">
        <v>1.023</v>
      </c>
      <c r="D2848" s="51">
        <v>60.0</v>
      </c>
      <c r="E2848" s="52" t="s">
        <v>25</v>
      </c>
      <c r="F2848" s="52" t="s">
        <v>26</v>
      </c>
      <c r="G2848" s="54"/>
    </row>
    <row r="2849">
      <c r="A2849" s="49">
        <v>45050.662280543984</v>
      </c>
      <c r="B2849" s="50">
        <v>45050.7872636226</v>
      </c>
      <c r="C2849" s="51">
        <v>1.023</v>
      </c>
      <c r="D2849" s="51">
        <v>60.0</v>
      </c>
      <c r="E2849" s="52" t="s">
        <v>25</v>
      </c>
      <c r="F2849" s="52" t="s">
        <v>26</v>
      </c>
      <c r="G2849" s="54"/>
    </row>
    <row r="2850">
      <c r="A2850" s="49">
        <v>45050.67271434028</v>
      </c>
      <c r="B2850" s="50">
        <v>45050.7976972569</v>
      </c>
      <c r="C2850" s="51">
        <v>1.023</v>
      </c>
      <c r="D2850" s="51">
        <v>60.0</v>
      </c>
      <c r="E2850" s="52" t="s">
        <v>25</v>
      </c>
      <c r="F2850" s="52" t="s">
        <v>26</v>
      </c>
      <c r="G2850" s="54"/>
    </row>
    <row r="2851">
      <c r="A2851" s="49">
        <v>45050.68314039352</v>
      </c>
      <c r="B2851" s="50">
        <v>45050.8081196875</v>
      </c>
      <c r="C2851" s="51">
        <v>1.023</v>
      </c>
      <c r="D2851" s="51">
        <v>60.0</v>
      </c>
      <c r="E2851" s="52" t="s">
        <v>25</v>
      </c>
      <c r="F2851" s="52" t="s">
        <v>26</v>
      </c>
      <c r="G2851" s="54"/>
    </row>
    <row r="2852">
      <c r="A2852" s="49">
        <v>45050.69357866899</v>
      </c>
      <c r="B2852" s="50">
        <v>45050.8185421296</v>
      </c>
      <c r="C2852" s="51">
        <v>1.023</v>
      </c>
      <c r="D2852" s="51">
        <v>60.0</v>
      </c>
      <c r="E2852" s="52" t="s">
        <v>25</v>
      </c>
      <c r="F2852" s="52" t="s">
        <v>26</v>
      </c>
      <c r="G2852" s="54"/>
    </row>
    <row r="2853">
      <c r="A2853" s="49">
        <v>45050.70399386574</v>
      </c>
      <c r="B2853" s="50">
        <v>45050.8289643055</v>
      </c>
      <c r="C2853" s="51">
        <v>1.023</v>
      </c>
      <c r="D2853" s="51">
        <v>60.0</v>
      </c>
      <c r="E2853" s="52" t="s">
        <v>25</v>
      </c>
      <c r="F2853" s="52" t="s">
        <v>26</v>
      </c>
      <c r="G2853" s="54"/>
    </row>
    <row r="2854">
      <c r="A2854" s="49">
        <v>45050.714411574074</v>
      </c>
      <c r="B2854" s="50">
        <v>45050.8393861342</v>
      </c>
      <c r="C2854" s="51">
        <v>1.023</v>
      </c>
      <c r="D2854" s="51">
        <v>60.0</v>
      </c>
      <c r="E2854" s="52" t="s">
        <v>25</v>
      </c>
      <c r="F2854" s="52" t="s">
        <v>26</v>
      </c>
      <c r="G2854" s="54"/>
    </row>
    <row r="2855">
      <c r="A2855" s="49">
        <v>45050.72482960648</v>
      </c>
      <c r="B2855" s="50">
        <v>45050.8498054976</v>
      </c>
      <c r="C2855" s="51">
        <v>1.023</v>
      </c>
      <c r="D2855" s="51">
        <v>60.0</v>
      </c>
      <c r="E2855" s="52" t="s">
        <v>25</v>
      </c>
      <c r="F2855" s="52" t="s">
        <v>26</v>
      </c>
      <c r="G2855" s="54"/>
    </row>
    <row r="2856">
      <c r="A2856" s="49">
        <v>45050.735254976855</v>
      </c>
      <c r="B2856" s="50">
        <v>45050.8602263541</v>
      </c>
      <c r="C2856" s="51">
        <v>1.023</v>
      </c>
      <c r="D2856" s="51">
        <v>60.0</v>
      </c>
      <c r="E2856" s="52" t="s">
        <v>25</v>
      </c>
      <c r="F2856" s="52" t="s">
        <v>26</v>
      </c>
      <c r="G2856" s="54"/>
    </row>
    <row r="2857">
      <c r="A2857" s="49">
        <v>45050.74569658565</v>
      </c>
      <c r="B2857" s="50">
        <v>45050.8706708101</v>
      </c>
      <c r="C2857" s="51">
        <v>1.023</v>
      </c>
      <c r="D2857" s="51">
        <v>60.0</v>
      </c>
      <c r="E2857" s="52" t="s">
        <v>25</v>
      </c>
      <c r="F2857" s="52" t="s">
        <v>26</v>
      </c>
      <c r="G2857" s="54"/>
    </row>
    <row r="2858">
      <c r="A2858" s="49">
        <v>45050.756123935185</v>
      </c>
      <c r="B2858" s="50">
        <v>45050.8810943981</v>
      </c>
      <c r="C2858" s="51">
        <v>1.023</v>
      </c>
      <c r="D2858" s="51">
        <v>60.0</v>
      </c>
      <c r="E2858" s="52" t="s">
        <v>25</v>
      </c>
      <c r="F2858" s="52" t="s">
        <v>26</v>
      </c>
      <c r="G2858" s="54"/>
    </row>
    <row r="2859">
      <c r="A2859" s="49">
        <v>45050.76657881944</v>
      </c>
      <c r="B2859" s="50">
        <v>45050.891551331</v>
      </c>
      <c r="C2859" s="51">
        <v>1.023</v>
      </c>
      <c r="D2859" s="51">
        <v>61.0</v>
      </c>
      <c r="E2859" s="52" t="s">
        <v>25</v>
      </c>
      <c r="F2859" s="52" t="s">
        <v>26</v>
      </c>
      <c r="G2859" s="54"/>
    </row>
    <row r="2860">
      <c r="A2860" s="49">
        <v>45050.77700537037</v>
      </c>
      <c r="B2860" s="50">
        <v>45050.9019721064</v>
      </c>
      <c r="C2860" s="51">
        <v>1.023</v>
      </c>
      <c r="D2860" s="51">
        <v>61.0</v>
      </c>
      <c r="E2860" s="52" t="s">
        <v>25</v>
      </c>
      <c r="F2860" s="52" t="s">
        <v>26</v>
      </c>
      <c r="G2860" s="54"/>
    </row>
    <row r="2861">
      <c r="A2861" s="49">
        <v>45050.787416990745</v>
      </c>
      <c r="B2861" s="50">
        <v>45050.9123928125</v>
      </c>
      <c r="C2861" s="51">
        <v>1.023</v>
      </c>
      <c r="D2861" s="51">
        <v>61.0</v>
      </c>
      <c r="E2861" s="52" t="s">
        <v>25</v>
      </c>
      <c r="F2861" s="52" t="s">
        <v>26</v>
      </c>
      <c r="G2861" s="54"/>
    </row>
    <row r="2862">
      <c r="A2862" s="49">
        <v>45050.79784436343</v>
      </c>
      <c r="B2862" s="50">
        <v>45050.922815</v>
      </c>
      <c r="C2862" s="51">
        <v>1.023</v>
      </c>
      <c r="D2862" s="51">
        <v>61.0</v>
      </c>
      <c r="E2862" s="52" t="s">
        <v>25</v>
      </c>
      <c r="F2862" s="52" t="s">
        <v>26</v>
      </c>
      <c r="G2862" s="54"/>
    </row>
    <row r="2863">
      <c r="A2863" s="49">
        <v>45050.80826795139</v>
      </c>
      <c r="B2863" s="50">
        <v>45050.9332356944</v>
      </c>
      <c r="C2863" s="51">
        <v>1.023</v>
      </c>
      <c r="D2863" s="51">
        <v>61.0</v>
      </c>
      <c r="E2863" s="52" t="s">
        <v>25</v>
      </c>
      <c r="F2863" s="52" t="s">
        <v>26</v>
      </c>
      <c r="G2863" s="54"/>
    </row>
    <row r="2864">
      <c r="A2864" s="49">
        <v>45050.81868175926</v>
      </c>
      <c r="B2864" s="50">
        <v>45050.943657824</v>
      </c>
      <c r="C2864" s="51">
        <v>1.023</v>
      </c>
      <c r="D2864" s="51">
        <v>61.0</v>
      </c>
      <c r="E2864" s="52" t="s">
        <v>25</v>
      </c>
      <c r="F2864" s="52" t="s">
        <v>26</v>
      </c>
      <c r="G2864" s="54"/>
    </row>
    <row r="2865">
      <c r="A2865" s="49">
        <v>45050.82910826389</v>
      </c>
      <c r="B2865" s="50">
        <v>45050.9540790624</v>
      </c>
      <c r="C2865" s="51">
        <v>1.023</v>
      </c>
      <c r="D2865" s="51">
        <v>61.0</v>
      </c>
      <c r="E2865" s="52" t="s">
        <v>25</v>
      </c>
      <c r="F2865" s="52" t="s">
        <v>26</v>
      </c>
      <c r="G2865" s="54"/>
    </row>
    <row r="2866">
      <c r="A2866" s="49">
        <v>45050.83952326389</v>
      </c>
      <c r="B2866" s="50">
        <v>45050.9645011342</v>
      </c>
      <c r="C2866" s="51">
        <v>1.023</v>
      </c>
      <c r="D2866" s="51">
        <v>61.0</v>
      </c>
      <c r="E2866" s="52" t="s">
        <v>25</v>
      </c>
      <c r="F2866" s="52" t="s">
        <v>26</v>
      </c>
      <c r="G2866" s="54"/>
    </row>
    <row r="2867">
      <c r="A2867" s="49">
        <v>45050.84995091435</v>
      </c>
      <c r="B2867" s="50">
        <v>45050.9749213657</v>
      </c>
      <c r="C2867" s="51">
        <v>1.023</v>
      </c>
      <c r="D2867" s="51">
        <v>61.0</v>
      </c>
      <c r="E2867" s="52" t="s">
        <v>25</v>
      </c>
      <c r="F2867" s="52" t="s">
        <v>26</v>
      </c>
      <c r="G2867" s="54"/>
    </row>
    <row r="2868">
      <c r="A2868" s="49">
        <v>45050.86036196759</v>
      </c>
      <c r="B2868" s="50">
        <v>45050.9853421759</v>
      </c>
      <c r="C2868" s="51">
        <v>1.023</v>
      </c>
      <c r="D2868" s="51">
        <v>61.0</v>
      </c>
      <c r="E2868" s="52" t="s">
        <v>25</v>
      </c>
      <c r="F2868" s="52" t="s">
        <v>26</v>
      </c>
      <c r="G2868" s="54"/>
    </row>
    <row r="2869">
      <c r="A2869" s="49">
        <v>45050.8707892824</v>
      </c>
      <c r="B2869" s="50">
        <v>45050.9957622453</v>
      </c>
      <c r="C2869" s="51">
        <v>1.023</v>
      </c>
      <c r="D2869" s="51">
        <v>61.0</v>
      </c>
      <c r="E2869" s="52" t="s">
        <v>25</v>
      </c>
      <c r="F2869" s="52" t="s">
        <v>26</v>
      </c>
      <c r="G2869" s="54"/>
    </row>
    <row r="2870">
      <c r="A2870" s="49">
        <v>45050.881208182866</v>
      </c>
      <c r="B2870" s="50">
        <v>45051.0061830671</v>
      </c>
      <c r="C2870" s="51">
        <v>1.023</v>
      </c>
      <c r="D2870" s="51">
        <v>61.0</v>
      </c>
      <c r="E2870" s="52" t="s">
        <v>25</v>
      </c>
      <c r="F2870" s="52" t="s">
        <v>26</v>
      </c>
      <c r="G2870" s="54"/>
    </row>
    <row r="2871">
      <c r="A2871" s="49">
        <v>45050.89163142361</v>
      </c>
      <c r="B2871" s="50">
        <v>45051.0166054166</v>
      </c>
      <c r="C2871" s="51">
        <v>1.023</v>
      </c>
      <c r="D2871" s="51">
        <v>61.0</v>
      </c>
      <c r="E2871" s="52" t="s">
        <v>25</v>
      </c>
      <c r="F2871" s="52" t="s">
        <v>26</v>
      </c>
      <c r="G2871" s="54"/>
    </row>
    <row r="2872">
      <c r="A2872" s="49">
        <v>45050.902057314815</v>
      </c>
      <c r="B2872" s="50">
        <v>45051.0270363194</v>
      </c>
      <c r="C2872" s="51">
        <v>1.023</v>
      </c>
      <c r="D2872" s="51">
        <v>61.0</v>
      </c>
      <c r="E2872" s="52" t="s">
        <v>25</v>
      </c>
      <c r="F2872" s="52" t="s">
        <v>26</v>
      </c>
      <c r="G2872" s="54"/>
    </row>
    <row r="2873">
      <c r="A2873" s="49">
        <v>45050.91248857639</v>
      </c>
      <c r="B2873" s="50">
        <v>45051.0374672569</v>
      </c>
      <c r="C2873" s="51">
        <v>1.023</v>
      </c>
      <c r="D2873" s="51">
        <v>61.0</v>
      </c>
      <c r="E2873" s="52" t="s">
        <v>25</v>
      </c>
      <c r="F2873" s="52" t="s">
        <v>26</v>
      </c>
      <c r="G2873" s="54"/>
    </row>
    <row r="2874">
      <c r="A2874" s="49">
        <v>45050.922914826384</v>
      </c>
      <c r="B2874" s="50">
        <v>45051.0478888773</v>
      </c>
      <c r="C2874" s="51">
        <v>1.023</v>
      </c>
      <c r="D2874" s="51">
        <v>61.0</v>
      </c>
      <c r="E2874" s="52" t="s">
        <v>25</v>
      </c>
      <c r="F2874" s="52" t="s">
        <v>26</v>
      </c>
      <c r="G2874" s="54"/>
    </row>
    <row r="2875">
      <c r="A2875" s="49">
        <v>45050.933341111115</v>
      </c>
      <c r="B2875" s="50">
        <v>45051.0583090625</v>
      </c>
      <c r="C2875" s="51">
        <v>1.023</v>
      </c>
      <c r="D2875" s="51">
        <v>61.0</v>
      </c>
      <c r="E2875" s="52" t="s">
        <v>25</v>
      </c>
      <c r="F2875" s="52" t="s">
        <v>26</v>
      </c>
      <c r="G2875" s="54"/>
    </row>
    <row r="2876">
      <c r="A2876" s="49">
        <v>45050.94375225695</v>
      </c>
      <c r="B2876" s="50">
        <v>45051.0687299537</v>
      </c>
      <c r="C2876" s="51">
        <v>1.023</v>
      </c>
      <c r="D2876" s="51">
        <v>61.0</v>
      </c>
      <c r="E2876" s="52" t="s">
        <v>25</v>
      </c>
      <c r="F2876" s="52" t="s">
        <v>26</v>
      </c>
      <c r="G2876" s="54"/>
    </row>
    <row r="2877">
      <c r="A2877" s="49">
        <v>45050.95419246527</v>
      </c>
      <c r="B2877" s="50">
        <v>45051.0791640625</v>
      </c>
      <c r="C2877" s="51">
        <v>1.023</v>
      </c>
      <c r="D2877" s="51">
        <v>61.0</v>
      </c>
      <c r="E2877" s="52" t="s">
        <v>25</v>
      </c>
      <c r="F2877" s="52" t="s">
        <v>26</v>
      </c>
      <c r="G2877" s="54"/>
    </row>
    <row r="2878">
      <c r="A2878" s="49">
        <v>45050.964617199075</v>
      </c>
      <c r="B2878" s="50">
        <v>45051.0895853819</v>
      </c>
      <c r="C2878" s="51">
        <v>1.023</v>
      </c>
      <c r="D2878" s="51">
        <v>61.0</v>
      </c>
      <c r="E2878" s="52" t="s">
        <v>25</v>
      </c>
      <c r="F2878" s="52" t="s">
        <v>26</v>
      </c>
      <c r="G2878" s="54"/>
    </row>
    <row r="2879">
      <c r="A2879" s="49">
        <v>45050.97502804398</v>
      </c>
      <c r="B2879" s="50">
        <v>45051.1000066435</v>
      </c>
      <c r="C2879" s="51">
        <v>1.023</v>
      </c>
      <c r="D2879" s="51">
        <v>61.0</v>
      </c>
      <c r="E2879" s="52" t="s">
        <v>25</v>
      </c>
      <c r="F2879" s="52" t="s">
        <v>26</v>
      </c>
      <c r="G2879" s="54"/>
    </row>
    <row r="2880">
      <c r="A2880" s="49">
        <v>45050.98544895834</v>
      </c>
      <c r="B2880" s="50">
        <v>45051.1104290393</v>
      </c>
      <c r="C2880" s="51">
        <v>1.023</v>
      </c>
      <c r="D2880" s="51">
        <v>61.0</v>
      </c>
      <c r="E2880" s="52" t="s">
        <v>25</v>
      </c>
      <c r="F2880" s="52" t="s">
        <v>26</v>
      </c>
      <c r="G2880" s="54"/>
    </row>
    <row r="2881">
      <c r="A2881" s="49">
        <v>45050.99588203704</v>
      </c>
      <c r="B2881" s="50">
        <v>45051.1208487268</v>
      </c>
      <c r="C2881" s="51">
        <v>1.023</v>
      </c>
      <c r="D2881" s="51">
        <v>61.0</v>
      </c>
      <c r="E2881" s="52" t="s">
        <v>25</v>
      </c>
      <c r="F2881" s="52" t="s">
        <v>26</v>
      </c>
      <c r="G2881" s="54"/>
    </row>
    <row r="2882">
      <c r="A2882" s="49">
        <v>45051.006297361106</v>
      </c>
      <c r="B2882" s="50">
        <v>45051.1312710995</v>
      </c>
      <c r="C2882" s="51">
        <v>1.023</v>
      </c>
      <c r="D2882" s="51">
        <v>61.0</v>
      </c>
      <c r="E2882" s="52" t="s">
        <v>25</v>
      </c>
      <c r="F2882" s="52" t="s">
        <v>26</v>
      </c>
      <c r="G2882" s="54"/>
    </row>
    <row r="2883">
      <c r="A2883" s="49">
        <v>45051.016729166666</v>
      </c>
      <c r="B2883" s="50">
        <v>45051.1417057291</v>
      </c>
      <c r="C2883" s="51">
        <v>1.023</v>
      </c>
      <c r="D2883" s="51">
        <v>61.0</v>
      </c>
      <c r="E2883" s="52" t="s">
        <v>25</v>
      </c>
      <c r="F2883" s="52" t="s">
        <v>26</v>
      </c>
      <c r="G2883" s="54"/>
    </row>
    <row r="2884">
      <c r="A2884" s="49">
        <v>45051.02714869213</v>
      </c>
      <c r="B2884" s="50">
        <v>45051.1521245138</v>
      </c>
      <c r="C2884" s="51">
        <v>1.023</v>
      </c>
      <c r="D2884" s="51">
        <v>61.0</v>
      </c>
      <c r="E2884" s="52" t="s">
        <v>25</v>
      </c>
      <c r="F2884" s="52" t="s">
        <v>26</v>
      </c>
      <c r="G2884" s="54"/>
    </row>
    <row r="2885">
      <c r="A2885" s="49">
        <v>45051.03756994213</v>
      </c>
      <c r="B2885" s="50">
        <v>45051.162546412</v>
      </c>
      <c r="C2885" s="51">
        <v>1.023</v>
      </c>
      <c r="D2885" s="51">
        <v>61.0</v>
      </c>
      <c r="E2885" s="52" t="s">
        <v>25</v>
      </c>
      <c r="F2885" s="52" t="s">
        <v>26</v>
      </c>
      <c r="G2885" s="54"/>
    </row>
    <row r="2886">
      <c r="A2886" s="49">
        <v>45051.0479984375</v>
      </c>
      <c r="B2886" s="50">
        <v>45051.1729676388</v>
      </c>
      <c r="C2886" s="51">
        <v>1.023</v>
      </c>
      <c r="D2886" s="51">
        <v>60.0</v>
      </c>
      <c r="E2886" s="52" t="s">
        <v>25</v>
      </c>
      <c r="F2886" s="52" t="s">
        <v>26</v>
      </c>
      <c r="G2886" s="54"/>
    </row>
    <row r="2887">
      <c r="A2887" s="49">
        <v>45051.05840902778</v>
      </c>
      <c r="B2887" s="50">
        <v>45051.1833873032</v>
      </c>
      <c r="C2887" s="51">
        <v>1.023</v>
      </c>
      <c r="D2887" s="51">
        <v>60.0</v>
      </c>
      <c r="E2887" s="52" t="s">
        <v>25</v>
      </c>
      <c r="F2887" s="52" t="s">
        <v>26</v>
      </c>
      <c r="G2887" s="54"/>
    </row>
    <row r="2888">
      <c r="A2888" s="49">
        <v>45051.06883883102</v>
      </c>
      <c r="B2888" s="50">
        <v>45051.1938083449</v>
      </c>
      <c r="C2888" s="51">
        <v>1.023</v>
      </c>
      <c r="D2888" s="51">
        <v>61.0</v>
      </c>
      <c r="E2888" s="52" t="s">
        <v>25</v>
      </c>
      <c r="F2888" s="52" t="s">
        <v>26</v>
      </c>
      <c r="G2888" s="54"/>
    </row>
    <row r="2889">
      <c r="A2889" s="49">
        <v>45051.07925134259</v>
      </c>
      <c r="B2889" s="50">
        <v>45051.2042304398</v>
      </c>
      <c r="C2889" s="51">
        <v>1.023</v>
      </c>
      <c r="D2889" s="51">
        <v>61.0</v>
      </c>
      <c r="E2889" s="52" t="s">
        <v>25</v>
      </c>
      <c r="F2889" s="52" t="s">
        <v>26</v>
      </c>
      <c r="G2889" s="54"/>
    </row>
    <row r="2890">
      <c r="A2890" s="49">
        <v>45051.08969245371</v>
      </c>
      <c r="B2890" s="50">
        <v>45051.2146629976</v>
      </c>
      <c r="C2890" s="51">
        <v>1.023</v>
      </c>
      <c r="D2890" s="51">
        <v>61.0</v>
      </c>
      <c r="E2890" s="52" t="s">
        <v>25</v>
      </c>
      <c r="F2890" s="52" t="s">
        <v>26</v>
      </c>
      <c r="G2890" s="54"/>
    </row>
    <row r="2891">
      <c r="A2891" s="49">
        <v>45051.10012459491</v>
      </c>
      <c r="B2891" s="50">
        <v>45051.2250976389</v>
      </c>
      <c r="C2891" s="51">
        <v>1.023</v>
      </c>
      <c r="D2891" s="51">
        <v>60.0</v>
      </c>
      <c r="E2891" s="52" t="s">
        <v>25</v>
      </c>
      <c r="F2891" s="52" t="s">
        <v>26</v>
      </c>
      <c r="G2891" s="54"/>
    </row>
    <row r="2892">
      <c r="A2892" s="49">
        <v>45051.11054871528</v>
      </c>
      <c r="B2892" s="50">
        <v>45051.2355192245</v>
      </c>
      <c r="C2892" s="51">
        <v>1.023</v>
      </c>
      <c r="D2892" s="51">
        <v>60.0</v>
      </c>
      <c r="E2892" s="52" t="s">
        <v>25</v>
      </c>
      <c r="F2892" s="52" t="s">
        <v>26</v>
      </c>
      <c r="G2892" s="54"/>
    </row>
    <row r="2893">
      <c r="A2893" s="49">
        <v>45051.120962800924</v>
      </c>
      <c r="B2893" s="50">
        <v>45051.2459399305</v>
      </c>
      <c r="C2893" s="51">
        <v>1.023</v>
      </c>
      <c r="D2893" s="51">
        <v>61.0</v>
      </c>
      <c r="E2893" s="52" t="s">
        <v>25</v>
      </c>
      <c r="F2893" s="52" t="s">
        <v>26</v>
      </c>
      <c r="G2893" s="54"/>
    </row>
    <row r="2894">
      <c r="A2894" s="49">
        <v>45051.131402025465</v>
      </c>
      <c r="B2894" s="50">
        <v>45051.2563714699</v>
      </c>
      <c r="C2894" s="51">
        <v>1.023</v>
      </c>
      <c r="D2894" s="51">
        <v>61.0</v>
      </c>
      <c r="E2894" s="52" t="s">
        <v>25</v>
      </c>
      <c r="F2894" s="52" t="s">
        <v>26</v>
      </c>
      <c r="G2894" s="54"/>
    </row>
    <row r="2895">
      <c r="A2895" s="49">
        <v>45051.14182143519</v>
      </c>
      <c r="B2895" s="50">
        <v>45051.2667906828</v>
      </c>
      <c r="C2895" s="51">
        <v>1.023</v>
      </c>
      <c r="D2895" s="51">
        <v>60.0</v>
      </c>
      <c r="E2895" s="52" t="s">
        <v>25</v>
      </c>
      <c r="F2895" s="52" t="s">
        <v>26</v>
      </c>
      <c r="G2895" s="54"/>
    </row>
    <row r="2896">
      <c r="A2896" s="49">
        <v>45051.15225339121</v>
      </c>
      <c r="B2896" s="50">
        <v>45051.2772244213</v>
      </c>
      <c r="C2896" s="51">
        <v>1.023</v>
      </c>
      <c r="D2896" s="51">
        <v>61.0</v>
      </c>
      <c r="E2896" s="52" t="s">
        <v>25</v>
      </c>
      <c r="F2896" s="52" t="s">
        <v>26</v>
      </c>
      <c r="G2896" s="54"/>
    </row>
    <row r="2897">
      <c r="A2897" s="49">
        <v>45051.16268267361</v>
      </c>
      <c r="B2897" s="50">
        <v>45051.2876562037</v>
      </c>
      <c r="C2897" s="51">
        <v>1.023</v>
      </c>
      <c r="D2897" s="51">
        <v>60.0</v>
      </c>
      <c r="E2897" s="52" t="s">
        <v>25</v>
      </c>
      <c r="F2897" s="52" t="s">
        <v>26</v>
      </c>
      <c r="G2897" s="54"/>
    </row>
    <row r="2898">
      <c r="A2898" s="49">
        <v>45051.17310665509</v>
      </c>
      <c r="B2898" s="50">
        <v>45051.2980755092</v>
      </c>
      <c r="C2898" s="51">
        <v>1.023</v>
      </c>
      <c r="D2898" s="51">
        <v>60.0</v>
      </c>
      <c r="E2898" s="52" t="s">
        <v>25</v>
      </c>
      <c r="F2898" s="52" t="s">
        <v>26</v>
      </c>
      <c r="G2898" s="54"/>
    </row>
    <row r="2899">
      <c r="A2899" s="49">
        <v>45051.18352032408</v>
      </c>
      <c r="B2899" s="50">
        <v>45051.3084973842</v>
      </c>
      <c r="C2899" s="51">
        <v>1.023</v>
      </c>
      <c r="D2899" s="51">
        <v>61.0</v>
      </c>
      <c r="E2899" s="52" t="s">
        <v>25</v>
      </c>
      <c r="F2899" s="52" t="s">
        <v>26</v>
      </c>
      <c r="G2899" s="54"/>
    </row>
    <row r="2900">
      <c r="A2900" s="49">
        <v>45051.193960324075</v>
      </c>
      <c r="B2900" s="50">
        <v>45051.318930625</v>
      </c>
      <c r="C2900" s="51">
        <v>1.023</v>
      </c>
      <c r="D2900" s="51">
        <v>60.0</v>
      </c>
      <c r="E2900" s="52" t="s">
        <v>25</v>
      </c>
      <c r="F2900" s="52" t="s">
        <v>26</v>
      </c>
      <c r="G2900" s="54"/>
    </row>
    <row r="2901">
      <c r="A2901" s="49">
        <v>45051.20438472222</v>
      </c>
      <c r="B2901" s="50">
        <v>45051.329352743</v>
      </c>
      <c r="C2901" s="51">
        <v>1.023</v>
      </c>
      <c r="D2901" s="51">
        <v>60.0</v>
      </c>
      <c r="E2901" s="52" t="s">
        <v>25</v>
      </c>
      <c r="F2901" s="52" t="s">
        <v>26</v>
      </c>
      <c r="G2901" s="54"/>
    </row>
    <row r="2902">
      <c r="A2902" s="49">
        <v>45051.214809282406</v>
      </c>
      <c r="B2902" s="50">
        <v>45051.3397742939</v>
      </c>
      <c r="C2902" s="51">
        <v>1.023</v>
      </c>
      <c r="D2902" s="51">
        <v>60.0</v>
      </c>
      <c r="E2902" s="52" t="s">
        <v>25</v>
      </c>
      <c r="F2902" s="52" t="s">
        <v>26</v>
      </c>
      <c r="G2902" s="54"/>
    </row>
    <row r="2903">
      <c r="A2903" s="49">
        <v>45051.22522273148</v>
      </c>
      <c r="B2903" s="50">
        <v>45051.3501974074</v>
      </c>
      <c r="C2903" s="51">
        <v>1.023</v>
      </c>
      <c r="D2903" s="51">
        <v>60.0</v>
      </c>
      <c r="E2903" s="52" t="s">
        <v>25</v>
      </c>
      <c r="F2903" s="52" t="s">
        <v>26</v>
      </c>
      <c r="G2903" s="54"/>
    </row>
    <row r="2904">
      <c r="A2904" s="49">
        <v>45051.23565113426</v>
      </c>
      <c r="B2904" s="50">
        <v>45051.3606184722</v>
      </c>
      <c r="C2904" s="51">
        <v>1.023</v>
      </c>
      <c r="D2904" s="51">
        <v>60.0</v>
      </c>
      <c r="E2904" s="52" t="s">
        <v>25</v>
      </c>
      <c r="F2904" s="52" t="s">
        <v>26</v>
      </c>
      <c r="G2904" s="54"/>
    </row>
    <row r="2905">
      <c r="A2905" s="49">
        <v>45051.24607069444</v>
      </c>
      <c r="B2905" s="50">
        <v>45051.3710394097</v>
      </c>
      <c r="C2905" s="51">
        <v>1.023</v>
      </c>
      <c r="D2905" s="51">
        <v>60.0</v>
      </c>
      <c r="E2905" s="52" t="s">
        <v>25</v>
      </c>
      <c r="F2905" s="52" t="s">
        <v>26</v>
      </c>
      <c r="G2905" s="54"/>
    </row>
    <row r="2906">
      <c r="A2906" s="49">
        <v>45051.25648733796</v>
      </c>
      <c r="B2906" s="50">
        <v>45051.3814610416</v>
      </c>
      <c r="C2906" s="51">
        <v>1.023</v>
      </c>
      <c r="D2906" s="51">
        <v>60.0</v>
      </c>
      <c r="E2906" s="52" t="s">
        <v>25</v>
      </c>
      <c r="F2906" s="52" t="s">
        <v>26</v>
      </c>
      <c r="G2906" s="54"/>
    </row>
    <row r="2907">
      <c r="A2907" s="49">
        <v>45051.266900393515</v>
      </c>
      <c r="B2907" s="50">
        <v>45051.3918804166</v>
      </c>
      <c r="C2907" s="51">
        <v>1.023</v>
      </c>
      <c r="D2907" s="51">
        <v>60.0</v>
      </c>
      <c r="E2907" s="52" t="s">
        <v>25</v>
      </c>
      <c r="F2907" s="52" t="s">
        <v>26</v>
      </c>
      <c r="G2907" s="54"/>
    </row>
    <row r="2908">
      <c r="A2908" s="49">
        <v>45051.27732655093</v>
      </c>
      <c r="B2908" s="50">
        <v>45051.4023021759</v>
      </c>
      <c r="C2908" s="51">
        <v>1.023</v>
      </c>
      <c r="D2908" s="51">
        <v>60.0</v>
      </c>
      <c r="E2908" s="52" t="s">
        <v>25</v>
      </c>
      <c r="F2908" s="52" t="s">
        <v>26</v>
      </c>
      <c r="G2908" s="54"/>
    </row>
    <row r="2909">
      <c r="A2909" s="49">
        <v>45051.28776987268</v>
      </c>
      <c r="B2909" s="50">
        <v>45051.4127473842</v>
      </c>
      <c r="C2909" s="51">
        <v>1.023</v>
      </c>
      <c r="D2909" s="51">
        <v>60.0</v>
      </c>
      <c r="E2909" s="52" t="s">
        <v>25</v>
      </c>
      <c r="F2909" s="52" t="s">
        <v>26</v>
      </c>
      <c r="G2909" s="54"/>
    </row>
    <row r="2910">
      <c r="A2910" s="49">
        <v>45051.29819478009</v>
      </c>
      <c r="B2910" s="50">
        <v>45051.4231687037</v>
      </c>
      <c r="C2910" s="51">
        <v>1.023</v>
      </c>
      <c r="D2910" s="51">
        <v>60.0</v>
      </c>
      <c r="E2910" s="52" t="s">
        <v>25</v>
      </c>
      <c r="F2910" s="52" t="s">
        <v>26</v>
      </c>
      <c r="G2910" s="54"/>
    </row>
    <row r="2911">
      <c r="A2911" s="49">
        <v>45051.30864430555</v>
      </c>
      <c r="B2911" s="50">
        <v>45051.4336125926</v>
      </c>
      <c r="C2911" s="51">
        <v>1.023</v>
      </c>
      <c r="D2911" s="51">
        <v>60.0</v>
      </c>
      <c r="E2911" s="52" t="s">
        <v>25</v>
      </c>
      <c r="F2911" s="52" t="s">
        <v>26</v>
      </c>
      <c r="G2911" s="54"/>
    </row>
    <row r="2912">
      <c r="A2912" s="49">
        <v>45051.319059421294</v>
      </c>
      <c r="B2912" s="50">
        <v>45051.4440336458</v>
      </c>
      <c r="C2912" s="51">
        <v>1.023</v>
      </c>
      <c r="D2912" s="51">
        <v>60.0</v>
      </c>
      <c r="E2912" s="52" t="s">
        <v>25</v>
      </c>
      <c r="F2912" s="52" t="s">
        <v>26</v>
      </c>
      <c r="G2912" s="54"/>
    </row>
    <row r="2913">
      <c r="A2913" s="49">
        <v>45051.32950734954</v>
      </c>
      <c r="B2913" s="50">
        <v>45051.4544776851</v>
      </c>
      <c r="C2913" s="51">
        <v>1.023</v>
      </c>
      <c r="D2913" s="51">
        <v>60.0</v>
      </c>
      <c r="E2913" s="52" t="s">
        <v>25</v>
      </c>
      <c r="F2913" s="52" t="s">
        <v>26</v>
      </c>
      <c r="G2913" s="54"/>
    </row>
    <row r="2914">
      <c r="A2914" s="49">
        <v>45051.3399234838</v>
      </c>
      <c r="B2914" s="50">
        <v>45051.4648973611</v>
      </c>
      <c r="C2914" s="51">
        <v>1.023</v>
      </c>
      <c r="D2914" s="51">
        <v>60.0</v>
      </c>
      <c r="E2914" s="52" t="s">
        <v>25</v>
      </c>
      <c r="F2914" s="52" t="s">
        <v>26</v>
      </c>
      <c r="G2914" s="54"/>
    </row>
    <row r="2915">
      <c r="A2915" s="49">
        <v>45051.35034847222</v>
      </c>
      <c r="B2915" s="50">
        <v>45051.4753187037</v>
      </c>
      <c r="C2915" s="51">
        <v>1.023</v>
      </c>
      <c r="D2915" s="51">
        <v>60.0</v>
      </c>
      <c r="E2915" s="52" t="s">
        <v>25</v>
      </c>
      <c r="F2915" s="52" t="s">
        <v>26</v>
      </c>
      <c r="G2915" s="54"/>
    </row>
    <row r="2916">
      <c r="A2916" s="49">
        <v>45051.360780787036</v>
      </c>
      <c r="B2916" s="50">
        <v>45051.4857513078</v>
      </c>
      <c r="C2916" s="51">
        <v>1.023</v>
      </c>
      <c r="D2916" s="51">
        <v>60.0</v>
      </c>
      <c r="E2916" s="52" t="s">
        <v>25</v>
      </c>
      <c r="F2916" s="52" t="s">
        <v>26</v>
      </c>
      <c r="G2916" s="54"/>
    </row>
    <row r="2917">
      <c r="A2917" s="49">
        <v>45051.37120524306</v>
      </c>
      <c r="B2917" s="50">
        <v>45051.496172905</v>
      </c>
      <c r="C2917" s="51">
        <v>1.023</v>
      </c>
      <c r="D2917" s="51">
        <v>60.0</v>
      </c>
      <c r="E2917" s="52" t="s">
        <v>25</v>
      </c>
      <c r="F2917" s="52" t="s">
        <v>26</v>
      </c>
      <c r="G2917" s="54"/>
    </row>
    <row r="2918">
      <c r="A2918" s="49">
        <v>45051.38161700232</v>
      </c>
      <c r="B2918" s="50">
        <v>45051.5065940972</v>
      </c>
      <c r="C2918" s="51">
        <v>1.023</v>
      </c>
      <c r="D2918" s="51">
        <v>60.0</v>
      </c>
      <c r="E2918" s="52" t="s">
        <v>25</v>
      </c>
      <c r="F2918" s="52" t="s">
        <v>26</v>
      </c>
      <c r="G2918" s="54"/>
    </row>
    <row r="2919">
      <c r="A2919" s="49">
        <v>45051.39204236111</v>
      </c>
      <c r="B2919" s="50">
        <v>45051.5170153588</v>
      </c>
      <c r="C2919" s="51">
        <v>1.023</v>
      </c>
      <c r="D2919" s="51">
        <v>60.0</v>
      </c>
      <c r="E2919" s="52" t="s">
        <v>25</v>
      </c>
      <c r="F2919" s="52" t="s">
        <v>26</v>
      </c>
      <c r="G2919" s="54"/>
    </row>
    <row r="2920">
      <c r="A2920" s="49">
        <v>45051.402465590276</v>
      </c>
      <c r="B2920" s="50">
        <v>45051.5274349537</v>
      </c>
      <c r="C2920" s="51">
        <v>1.022</v>
      </c>
      <c r="D2920" s="51">
        <v>60.0</v>
      </c>
      <c r="E2920" s="52" t="s">
        <v>25</v>
      </c>
      <c r="F2920" s="52" t="s">
        <v>26</v>
      </c>
      <c r="G2920" s="54"/>
    </row>
    <row r="2921">
      <c r="A2921" s="49">
        <v>45051.412887094906</v>
      </c>
      <c r="B2921" s="50">
        <v>45051.5378551157</v>
      </c>
      <c r="C2921" s="51">
        <v>1.023</v>
      </c>
      <c r="D2921" s="51">
        <v>60.0</v>
      </c>
      <c r="E2921" s="52" t="s">
        <v>25</v>
      </c>
      <c r="F2921" s="52" t="s">
        <v>26</v>
      </c>
      <c r="G2921" s="54"/>
    </row>
    <row r="2922">
      <c r="A2922" s="49">
        <v>45051.423298912036</v>
      </c>
      <c r="B2922" s="50">
        <v>45051.5482755324</v>
      </c>
      <c r="C2922" s="51">
        <v>1.022</v>
      </c>
      <c r="D2922" s="51">
        <v>60.0</v>
      </c>
      <c r="E2922" s="52" t="s">
        <v>25</v>
      </c>
      <c r="F2922" s="52" t="s">
        <v>26</v>
      </c>
      <c r="G2922" s="54"/>
    </row>
    <row r="2923">
      <c r="A2923" s="49">
        <v>45051.43373016204</v>
      </c>
      <c r="B2923" s="50">
        <v>45051.5586981134</v>
      </c>
      <c r="C2923" s="51">
        <v>1.022</v>
      </c>
      <c r="D2923" s="51">
        <v>60.0</v>
      </c>
      <c r="E2923" s="52" t="s">
        <v>25</v>
      </c>
      <c r="F2923" s="52" t="s">
        <v>26</v>
      </c>
      <c r="G2923" s="54"/>
    </row>
    <row r="2924">
      <c r="A2924" s="49">
        <v>45051.44414528935</v>
      </c>
      <c r="B2924" s="50">
        <v>45051.5691181481</v>
      </c>
      <c r="C2924" s="51">
        <v>1.022</v>
      </c>
      <c r="D2924" s="51">
        <v>60.0</v>
      </c>
      <c r="E2924" s="52" t="s">
        <v>25</v>
      </c>
      <c r="F2924" s="52" t="s">
        <v>26</v>
      </c>
      <c r="G2924" s="54"/>
    </row>
    <row r="2925">
      <c r="A2925" s="49">
        <v>45051.45457012732</v>
      </c>
      <c r="B2925" s="50">
        <v>45051.5795390509</v>
      </c>
      <c r="C2925" s="51">
        <v>1.022</v>
      </c>
      <c r="D2925" s="51">
        <v>60.0</v>
      </c>
      <c r="E2925" s="52" t="s">
        <v>25</v>
      </c>
      <c r="F2925" s="52" t="s">
        <v>26</v>
      </c>
      <c r="G2925" s="54"/>
    </row>
    <row r="2926">
      <c r="A2926" s="49">
        <v>45051.464987141204</v>
      </c>
      <c r="B2926" s="50">
        <v>45051.5899594328</v>
      </c>
      <c r="C2926" s="51">
        <v>1.022</v>
      </c>
      <c r="D2926" s="51">
        <v>60.0</v>
      </c>
      <c r="E2926" s="52" t="s">
        <v>25</v>
      </c>
      <c r="F2926" s="52" t="s">
        <v>26</v>
      </c>
      <c r="G2926" s="54"/>
    </row>
    <row r="2927">
      <c r="A2927" s="49">
        <v>45051.47540635416</v>
      </c>
      <c r="B2927" s="50">
        <v>45051.6003814467</v>
      </c>
      <c r="C2927" s="51">
        <v>1.022</v>
      </c>
      <c r="D2927" s="51">
        <v>60.0</v>
      </c>
      <c r="E2927" s="52" t="s">
        <v>25</v>
      </c>
      <c r="F2927" s="52" t="s">
        <v>26</v>
      </c>
      <c r="G2927" s="54"/>
    </row>
    <row r="2928">
      <c r="A2928" s="49">
        <v>45051.48583615741</v>
      </c>
      <c r="B2928" s="50">
        <v>45051.610815625</v>
      </c>
      <c r="C2928" s="51">
        <v>1.022</v>
      </c>
      <c r="D2928" s="51">
        <v>60.0</v>
      </c>
      <c r="E2928" s="52" t="s">
        <v>25</v>
      </c>
      <c r="F2928" s="52" t="s">
        <v>26</v>
      </c>
      <c r="G2928" s="54"/>
    </row>
    <row r="2929">
      <c r="A2929" s="49">
        <v>45051.49627212963</v>
      </c>
      <c r="B2929" s="50">
        <v>45051.6212368055</v>
      </c>
      <c r="C2929" s="51">
        <v>1.022</v>
      </c>
      <c r="D2929" s="51">
        <v>60.0</v>
      </c>
      <c r="E2929" s="52" t="s">
        <v>25</v>
      </c>
      <c r="F2929" s="52" t="s">
        <v>26</v>
      </c>
      <c r="G2929" s="54"/>
    </row>
    <row r="2930">
      <c r="A2930" s="49">
        <v>45051.506683113425</v>
      </c>
      <c r="B2930" s="50">
        <v>45051.6316591203</v>
      </c>
      <c r="C2930" s="51">
        <v>1.023</v>
      </c>
      <c r="D2930" s="51">
        <v>60.0</v>
      </c>
      <c r="E2930" s="52" t="s">
        <v>25</v>
      </c>
      <c r="F2930" s="52" t="s">
        <v>26</v>
      </c>
      <c r="G2930" s="54"/>
    </row>
    <row r="2931">
      <c r="A2931" s="49">
        <v>45051.517121296296</v>
      </c>
      <c r="B2931" s="50">
        <v>45051.642091493</v>
      </c>
      <c r="C2931" s="51">
        <v>1.022</v>
      </c>
      <c r="D2931" s="51">
        <v>60.0</v>
      </c>
      <c r="E2931" s="52" t="s">
        <v>25</v>
      </c>
      <c r="F2931" s="52" t="s">
        <v>26</v>
      </c>
      <c r="G2931" s="54"/>
    </row>
    <row r="2932">
      <c r="A2932" s="49">
        <v>45051.52754418981</v>
      </c>
      <c r="B2932" s="50">
        <v>45051.6525133449</v>
      </c>
      <c r="C2932" s="51">
        <v>1.022</v>
      </c>
      <c r="D2932" s="51">
        <v>60.0</v>
      </c>
      <c r="E2932" s="52" t="s">
        <v>25</v>
      </c>
      <c r="F2932" s="52" t="s">
        <v>26</v>
      </c>
      <c r="G2932" s="54"/>
    </row>
    <row r="2933">
      <c r="A2933" s="49">
        <v>45051.53796731481</v>
      </c>
      <c r="B2933" s="50">
        <v>45051.6629476504</v>
      </c>
      <c r="C2933" s="51">
        <v>1.022</v>
      </c>
      <c r="D2933" s="51">
        <v>60.0</v>
      </c>
      <c r="E2933" s="52" t="s">
        <v>25</v>
      </c>
      <c r="F2933" s="52" t="s">
        <v>26</v>
      </c>
      <c r="G2933" s="54"/>
    </row>
    <row r="2934">
      <c r="A2934" s="49">
        <v>45051.548395798614</v>
      </c>
      <c r="B2934" s="50">
        <v>45051.6733690046</v>
      </c>
      <c r="C2934" s="51">
        <v>1.022</v>
      </c>
      <c r="D2934" s="51">
        <v>61.0</v>
      </c>
      <c r="E2934" s="52" t="s">
        <v>25</v>
      </c>
      <c r="F2934" s="52" t="s">
        <v>26</v>
      </c>
      <c r="G2934" s="54"/>
    </row>
    <row r="2935">
      <c r="A2935" s="49">
        <v>45051.558822164356</v>
      </c>
      <c r="B2935" s="50">
        <v>45051.6837905671</v>
      </c>
      <c r="C2935" s="51">
        <v>1.022</v>
      </c>
      <c r="D2935" s="51">
        <v>60.0</v>
      </c>
      <c r="E2935" s="52" t="s">
        <v>25</v>
      </c>
      <c r="F2935" s="52" t="s">
        <v>26</v>
      </c>
      <c r="G2935" s="54"/>
    </row>
    <row r="2936">
      <c r="A2936" s="49">
        <v>45051.56923194445</v>
      </c>
      <c r="B2936" s="50">
        <v>45051.6942131597</v>
      </c>
      <c r="C2936" s="51">
        <v>1.022</v>
      </c>
      <c r="D2936" s="51">
        <v>61.0</v>
      </c>
      <c r="E2936" s="52" t="s">
        <v>25</v>
      </c>
      <c r="F2936" s="52" t="s">
        <v>26</v>
      </c>
      <c r="G2936" s="54"/>
    </row>
    <row r="2937">
      <c r="A2937" s="49">
        <v>45051.579664571764</v>
      </c>
      <c r="B2937" s="50">
        <v>45051.7046333564</v>
      </c>
      <c r="C2937" s="51">
        <v>1.022</v>
      </c>
      <c r="D2937" s="51">
        <v>60.0</v>
      </c>
      <c r="E2937" s="52" t="s">
        <v>25</v>
      </c>
      <c r="F2937" s="52" t="s">
        <v>26</v>
      </c>
      <c r="G2937" s="54"/>
    </row>
    <row r="2938">
      <c r="A2938" s="49">
        <v>45051.59008383102</v>
      </c>
      <c r="B2938" s="50">
        <v>45051.7150545486</v>
      </c>
      <c r="C2938" s="51">
        <v>1.022</v>
      </c>
      <c r="D2938" s="51">
        <v>61.0</v>
      </c>
      <c r="E2938" s="52" t="s">
        <v>25</v>
      </c>
      <c r="F2938" s="52" t="s">
        <v>26</v>
      </c>
      <c r="G2938" s="54"/>
    </row>
    <row r="2939">
      <c r="A2939" s="49">
        <v>45051.60050540509</v>
      </c>
      <c r="B2939" s="50">
        <v>45051.7254753935</v>
      </c>
      <c r="C2939" s="51">
        <v>1.022</v>
      </c>
      <c r="D2939" s="51">
        <v>60.0</v>
      </c>
      <c r="E2939" s="52" t="s">
        <v>25</v>
      </c>
      <c r="F2939" s="52" t="s">
        <v>26</v>
      </c>
      <c r="G2939" s="54"/>
    </row>
    <row r="2940">
      <c r="A2940" s="49">
        <v>45051.61092122685</v>
      </c>
      <c r="B2940" s="50">
        <v>45051.7358961226</v>
      </c>
      <c r="C2940" s="51">
        <v>1.022</v>
      </c>
      <c r="D2940" s="51">
        <v>60.0</v>
      </c>
      <c r="E2940" s="52" t="s">
        <v>25</v>
      </c>
      <c r="F2940" s="52" t="s">
        <v>26</v>
      </c>
      <c r="G2940" s="54"/>
    </row>
    <row r="2941">
      <c r="A2941" s="49">
        <v>45051.6213430787</v>
      </c>
      <c r="B2941" s="50">
        <v>45051.7463177893</v>
      </c>
      <c r="C2941" s="51">
        <v>1.022</v>
      </c>
      <c r="D2941" s="51">
        <v>61.0</v>
      </c>
      <c r="E2941" s="52" t="s">
        <v>25</v>
      </c>
      <c r="F2941" s="52" t="s">
        <v>26</v>
      </c>
      <c r="G2941" s="54"/>
    </row>
    <row r="2942">
      <c r="A2942" s="49">
        <v>45051.631783495366</v>
      </c>
      <c r="B2942" s="50">
        <v>45051.7567501273</v>
      </c>
      <c r="C2942" s="51">
        <v>1.022</v>
      </c>
      <c r="D2942" s="51">
        <v>61.0</v>
      </c>
      <c r="E2942" s="52" t="s">
        <v>25</v>
      </c>
      <c r="F2942" s="52" t="s">
        <v>26</v>
      </c>
      <c r="G2942" s="54"/>
    </row>
    <row r="2943">
      <c r="A2943" s="49">
        <v>45051.64220159722</v>
      </c>
      <c r="B2943" s="50">
        <v>45051.7671714351</v>
      </c>
      <c r="C2943" s="51">
        <v>1.022</v>
      </c>
      <c r="D2943" s="51">
        <v>61.0</v>
      </c>
      <c r="E2943" s="52" t="s">
        <v>25</v>
      </c>
      <c r="F2943" s="52" t="s">
        <v>26</v>
      </c>
      <c r="G2943" s="54"/>
    </row>
    <row r="2944">
      <c r="A2944" s="49">
        <v>45051.65261917824</v>
      </c>
      <c r="B2944" s="50">
        <v>45051.7775919097</v>
      </c>
      <c r="C2944" s="51">
        <v>1.022</v>
      </c>
      <c r="D2944" s="51">
        <v>61.0</v>
      </c>
      <c r="E2944" s="52" t="s">
        <v>25</v>
      </c>
      <c r="F2944" s="52" t="s">
        <v>26</v>
      </c>
      <c r="G2944" s="54"/>
    </row>
    <row r="2945">
      <c r="A2945" s="49">
        <v>45051.66305209491</v>
      </c>
      <c r="B2945" s="50">
        <v>45051.7880254861</v>
      </c>
      <c r="C2945" s="51">
        <v>1.022</v>
      </c>
      <c r="D2945" s="51">
        <v>61.0</v>
      </c>
      <c r="E2945" s="52" t="s">
        <v>25</v>
      </c>
      <c r="F2945" s="52" t="s">
        <v>26</v>
      </c>
      <c r="G2945" s="54"/>
    </row>
    <row r="2946">
      <c r="A2946" s="49">
        <v>45051.673465092594</v>
      </c>
      <c r="B2946" s="50">
        <v>45051.7984454629</v>
      </c>
      <c r="C2946" s="51">
        <v>1.022</v>
      </c>
      <c r="D2946" s="51">
        <v>61.0</v>
      </c>
      <c r="E2946" s="52" t="s">
        <v>25</v>
      </c>
      <c r="F2946" s="52" t="s">
        <v>26</v>
      </c>
      <c r="G2946" s="54"/>
    </row>
    <row r="2947">
      <c r="A2947" s="49">
        <v>45051.68388827547</v>
      </c>
      <c r="B2947" s="50">
        <v>45051.8088660764</v>
      </c>
      <c r="C2947" s="51">
        <v>1.022</v>
      </c>
      <c r="D2947" s="51">
        <v>60.0</v>
      </c>
      <c r="E2947" s="52" t="s">
        <v>25</v>
      </c>
      <c r="F2947" s="52" t="s">
        <v>26</v>
      </c>
      <c r="G2947" s="54"/>
    </row>
    <row r="2948">
      <c r="A2948" s="49">
        <v>45051.69433412037</v>
      </c>
      <c r="B2948" s="50">
        <v>45051.8193086805</v>
      </c>
      <c r="C2948" s="51">
        <v>1.022</v>
      </c>
      <c r="D2948" s="51">
        <v>61.0</v>
      </c>
      <c r="E2948" s="52" t="s">
        <v>25</v>
      </c>
      <c r="F2948" s="52" t="s">
        <v>26</v>
      </c>
      <c r="G2948" s="54"/>
    </row>
    <row r="2949">
      <c r="A2949" s="49">
        <v>45051.704754074075</v>
      </c>
      <c r="B2949" s="50">
        <v>45051.8297288888</v>
      </c>
      <c r="C2949" s="51">
        <v>1.022</v>
      </c>
      <c r="D2949" s="51">
        <v>61.0</v>
      </c>
      <c r="E2949" s="52" t="s">
        <v>25</v>
      </c>
      <c r="F2949" s="52" t="s">
        <v>26</v>
      </c>
      <c r="G2949" s="54"/>
    </row>
    <row r="2950">
      <c r="A2950" s="49">
        <v>45051.715176134254</v>
      </c>
      <c r="B2950" s="50">
        <v>45051.8401494676</v>
      </c>
      <c r="C2950" s="51">
        <v>1.022</v>
      </c>
      <c r="D2950" s="51">
        <v>61.0</v>
      </c>
      <c r="E2950" s="52" t="s">
        <v>25</v>
      </c>
      <c r="F2950" s="52" t="s">
        <v>26</v>
      </c>
      <c r="G2950" s="54"/>
    </row>
    <row r="2951">
      <c r="A2951" s="49">
        <v>45051.72559810185</v>
      </c>
      <c r="B2951" s="50">
        <v>45051.850571493</v>
      </c>
      <c r="C2951" s="51">
        <v>1.022</v>
      </c>
      <c r="D2951" s="51">
        <v>61.0</v>
      </c>
      <c r="E2951" s="52" t="s">
        <v>25</v>
      </c>
      <c r="F2951" s="52" t="s">
        <v>26</v>
      </c>
      <c r="G2951" s="54"/>
    </row>
    <row r="2952">
      <c r="A2952" s="49">
        <v>45051.73601613426</v>
      </c>
      <c r="B2952" s="50">
        <v>45051.8609932523</v>
      </c>
      <c r="C2952" s="51">
        <v>1.022</v>
      </c>
      <c r="D2952" s="51">
        <v>61.0</v>
      </c>
      <c r="E2952" s="52" t="s">
        <v>25</v>
      </c>
      <c r="F2952" s="52" t="s">
        <v>26</v>
      </c>
      <c r="G2952" s="54"/>
    </row>
    <row r="2953">
      <c r="A2953" s="49">
        <v>45051.746451643514</v>
      </c>
      <c r="B2953" s="50">
        <v>45051.8714261921</v>
      </c>
      <c r="C2953" s="51">
        <v>1.022</v>
      </c>
      <c r="D2953" s="51">
        <v>61.0</v>
      </c>
      <c r="E2953" s="52" t="s">
        <v>25</v>
      </c>
      <c r="F2953" s="52" t="s">
        <v>26</v>
      </c>
      <c r="G2953" s="54"/>
    </row>
    <row r="2954">
      <c r="A2954" s="49">
        <v>45051.75686450231</v>
      </c>
      <c r="B2954" s="50">
        <v>45051.8818465625</v>
      </c>
      <c r="C2954" s="51">
        <v>1.022</v>
      </c>
      <c r="D2954" s="51">
        <v>61.0</v>
      </c>
      <c r="E2954" s="52" t="s">
        <v>25</v>
      </c>
      <c r="F2954" s="52" t="s">
        <v>26</v>
      </c>
      <c r="G2954" s="54"/>
    </row>
    <row r="2955">
      <c r="A2955" s="49">
        <v>45051.76731831019</v>
      </c>
      <c r="B2955" s="50">
        <v>45051.8922905671</v>
      </c>
      <c r="C2955" s="51">
        <v>1.022</v>
      </c>
      <c r="D2955" s="51">
        <v>61.0</v>
      </c>
      <c r="E2955" s="52" t="s">
        <v>25</v>
      </c>
      <c r="F2955" s="52" t="s">
        <v>26</v>
      </c>
      <c r="G2955" s="54"/>
    </row>
    <row r="2956">
      <c r="A2956" s="49">
        <v>45051.77773418982</v>
      </c>
      <c r="B2956" s="50">
        <v>45051.9027119675</v>
      </c>
      <c r="C2956" s="51">
        <v>1.022</v>
      </c>
      <c r="D2956" s="51">
        <v>61.0</v>
      </c>
      <c r="E2956" s="52" t="s">
        <v>25</v>
      </c>
      <c r="F2956" s="52" t="s">
        <v>26</v>
      </c>
      <c r="G2956" s="54"/>
    </row>
    <row r="2957">
      <c r="A2957" s="49">
        <v>45051.7881565162</v>
      </c>
      <c r="B2957" s="50">
        <v>45051.9131320949</v>
      </c>
      <c r="C2957" s="51">
        <v>1.022</v>
      </c>
      <c r="D2957" s="51">
        <v>61.0</v>
      </c>
      <c r="E2957" s="52" t="s">
        <v>25</v>
      </c>
      <c r="F2957" s="52" t="s">
        <v>26</v>
      </c>
      <c r="G2957" s="54"/>
    </row>
    <row r="2958">
      <c r="A2958" s="49">
        <v>45051.79858265046</v>
      </c>
      <c r="B2958" s="50">
        <v>45051.9235637268</v>
      </c>
      <c r="C2958" s="51">
        <v>1.022</v>
      </c>
      <c r="D2958" s="51">
        <v>61.0</v>
      </c>
      <c r="E2958" s="52" t="s">
        <v>25</v>
      </c>
      <c r="F2958" s="52" t="s">
        <v>26</v>
      </c>
      <c r="G2958" s="54"/>
    </row>
    <row r="2959">
      <c r="A2959" s="49">
        <v>45051.80899993055</v>
      </c>
      <c r="B2959" s="50">
        <v>45051.9339841203</v>
      </c>
      <c r="C2959" s="51">
        <v>1.022</v>
      </c>
      <c r="D2959" s="51">
        <v>61.0</v>
      </c>
      <c r="E2959" s="52" t="s">
        <v>25</v>
      </c>
      <c r="F2959" s="52" t="s">
        <v>26</v>
      </c>
      <c r="G2959" s="54"/>
    </row>
    <row r="2960">
      <c r="A2960" s="49">
        <v>45051.81943293981</v>
      </c>
      <c r="B2960" s="50">
        <v>45051.9444051967</v>
      </c>
      <c r="C2960" s="51">
        <v>1.022</v>
      </c>
      <c r="D2960" s="51">
        <v>61.0</v>
      </c>
      <c r="E2960" s="52" t="s">
        <v>25</v>
      </c>
      <c r="F2960" s="52" t="s">
        <v>26</v>
      </c>
      <c r="G2960" s="54"/>
    </row>
    <row r="2961">
      <c r="A2961" s="49">
        <v>45051.82985126157</v>
      </c>
      <c r="B2961" s="50">
        <v>45051.9548268287</v>
      </c>
      <c r="C2961" s="51">
        <v>1.022</v>
      </c>
      <c r="D2961" s="51">
        <v>61.0</v>
      </c>
      <c r="E2961" s="52" t="s">
        <v>25</v>
      </c>
      <c r="F2961" s="52" t="s">
        <v>26</v>
      </c>
      <c r="G2961" s="54"/>
    </row>
    <row r="2962">
      <c r="A2962" s="49">
        <v>45051.840266875</v>
      </c>
      <c r="B2962" s="50">
        <v>45051.9652474884</v>
      </c>
      <c r="C2962" s="51">
        <v>1.022</v>
      </c>
      <c r="D2962" s="51">
        <v>61.0</v>
      </c>
      <c r="E2962" s="52" t="s">
        <v>25</v>
      </c>
      <c r="F2962" s="52" t="s">
        <v>26</v>
      </c>
      <c r="G2962" s="54"/>
    </row>
    <row r="2963">
      <c r="A2963" s="49">
        <v>45051.850687604165</v>
      </c>
      <c r="B2963" s="50">
        <v>45051.9756660532</v>
      </c>
      <c r="C2963" s="51">
        <v>1.022</v>
      </c>
      <c r="D2963" s="51">
        <v>61.0</v>
      </c>
      <c r="E2963" s="52" t="s">
        <v>25</v>
      </c>
      <c r="F2963" s="52" t="s">
        <v>26</v>
      </c>
      <c r="G2963" s="54"/>
    </row>
    <row r="2964">
      <c r="A2964" s="49">
        <v>45051.861106041666</v>
      </c>
      <c r="B2964" s="50">
        <v>45051.9860883333</v>
      </c>
      <c r="C2964" s="51">
        <v>1.022</v>
      </c>
      <c r="D2964" s="51">
        <v>61.0</v>
      </c>
      <c r="E2964" s="52" t="s">
        <v>25</v>
      </c>
      <c r="F2964" s="52" t="s">
        <v>26</v>
      </c>
      <c r="G2964" s="54"/>
    </row>
    <row r="2965">
      <c r="A2965" s="49">
        <v>45051.87154072917</v>
      </c>
      <c r="B2965" s="50">
        <v>45051.9965076273</v>
      </c>
      <c r="C2965" s="51">
        <v>1.022</v>
      </c>
      <c r="D2965" s="51">
        <v>61.0</v>
      </c>
      <c r="E2965" s="52" t="s">
        <v>25</v>
      </c>
      <c r="F2965" s="52" t="s">
        <v>26</v>
      </c>
      <c r="G2965" s="54"/>
    </row>
    <row r="2966">
      <c r="A2966" s="49">
        <v>45051.88195505787</v>
      </c>
      <c r="B2966" s="50">
        <v>45052.0069296759</v>
      </c>
      <c r="C2966" s="51">
        <v>1.022</v>
      </c>
      <c r="D2966" s="51">
        <v>61.0</v>
      </c>
      <c r="E2966" s="52" t="s">
        <v>25</v>
      </c>
      <c r="F2966" s="52" t="s">
        <v>26</v>
      </c>
      <c r="G2966" s="54"/>
    </row>
    <row r="2967">
      <c r="A2967" s="49">
        <v>45051.89238300926</v>
      </c>
      <c r="B2967" s="50">
        <v>45052.0173648611</v>
      </c>
      <c r="C2967" s="51">
        <v>1.022</v>
      </c>
      <c r="D2967" s="51">
        <v>61.0</v>
      </c>
      <c r="E2967" s="52" t="s">
        <v>25</v>
      </c>
      <c r="F2967" s="52" t="s">
        <v>26</v>
      </c>
      <c r="G2967" s="54"/>
    </row>
    <row r="2968">
      <c r="A2968" s="49">
        <v>45051.90282700231</v>
      </c>
      <c r="B2968" s="50">
        <v>45052.0277973379</v>
      </c>
      <c r="C2968" s="51">
        <v>1.022</v>
      </c>
      <c r="D2968" s="51">
        <v>61.0</v>
      </c>
      <c r="E2968" s="52" t="s">
        <v>25</v>
      </c>
      <c r="F2968" s="52" t="s">
        <v>26</v>
      </c>
      <c r="G2968" s="54"/>
    </row>
    <row r="2969">
      <c r="A2969" s="49">
        <v>45051.91325601852</v>
      </c>
      <c r="B2969" s="50">
        <v>45052.0382304166</v>
      </c>
      <c r="C2969" s="51">
        <v>1.022</v>
      </c>
      <c r="D2969" s="51">
        <v>61.0</v>
      </c>
      <c r="E2969" s="52" t="s">
        <v>25</v>
      </c>
      <c r="F2969" s="52" t="s">
        <v>26</v>
      </c>
      <c r="G2969" s="54"/>
    </row>
    <row r="2970">
      <c r="A2970" s="49">
        <v>45051.92367766204</v>
      </c>
      <c r="B2970" s="50">
        <v>45052.0486526388</v>
      </c>
      <c r="C2970" s="51">
        <v>1.022</v>
      </c>
      <c r="D2970" s="51">
        <v>61.0</v>
      </c>
      <c r="E2970" s="52" t="s">
        <v>25</v>
      </c>
      <c r="F2970" s="52" t="s">
        <v>26</v>
      </c>
      <c r="G2970" s="54"/>
    </row>
    <row r="2971">
      <c r="A2971" s="49">
        <v>45051.93410442129</v>
      </c>
      <c r="B2971" s="50">
        <v>45052.0590844791</v>
      </c>
      <c r="C2971" s="51">
        <v>1.022</v>
      </c>
      <c r="D2971" s="51">
        <v>61.0</v>
      </c>
      <c r="E2971" s="52" t="s">
        <v>25</v>
      </c>
      <c r="F2971" s="52" t="s">
        <v>26</v>
      </c>
      <c r="G2971" s="54"/>
    </row>
    <row r="2972">
      <c r="A2972" s="49">
        <v>45051.94455541667</v>
      </c>
      <c r="B2972" s="50">
        <v>45052.0695279398</v>
      </c>
      <c r="C2972" s="51">
        <v>1.022</v>
      </c>
      <c r="D2972" s="51">
        <v>61.0</v>
      </c>
      <c r="E2972" s="52" t="s">
        <v>25</v>
      </c>
      <c r="F2972" s="52" t="s">
        <v>26</v>
      </c>
      <c r="G2972" s="54"/>
    </row>
    <row r="2973">
      <c r="A2973" s="49">
        <v>45051.95497503472</v>
      </c>
      <c r="B2973" s="50">
        <v>45052.0799493634</v>
      </c>
      <c r="C2973" s="51">
        <v>1.022</v>
      </c>
      <c r="D2973" s="51">
        <v>61.0</v>
      </c>
      <c r="E2973" s="52" t="s">
        <v>25</v>
      </c>
      <c r="F2973" s="52" t="s">
        <v>26</v>
      </c>
      <c r="G2973" s="54"/>
    </row>
    <row r="2974">
      <c r="A2974" s="49">
        <v>45051.965392060185</v>
      </c>
      <c r="B2974" s="50">
        <v>45052.0903720138</v>
      </c>
      <c r="C2974" s="51">
        <v>1.022</v>
      </c>
      <c r="D2974" s="51">
        <v>61.0</v>
      </c>
      <c r="E2974" s="52" t="s">
        <v>25</v>
      </c>
      <c r="F2974" s="52" t="s">
        <v>26</v>
      </c>
      <c r="G2974" s="54"/>
    </row>
    <row r="2975">
      <c r="A2975" s="49">
        <v>45051.97582443287</v>
      </c>
      <c r="B2975" s="50">
        <v>45052.1007959837</v>
      </c>
      <c r="C2975" s="51">
        <v>1.022</v>
      </c>
      <c r="D2975" s="51">
        <v>61.0</v>
      </c>
      <c r="E2975" s="52" t="s">
        <v>25</v>
      </c>
      <c r="F2975" s="52" t="s">
        <v>26</v>
      </c>
      <c r="G2975" s="54"/>
    </row>
    <row r="2976">
      <c r="A2976" s="49">
        <v>45051.986250671296</v>
      </c>
      <c r="B2976" s="50">
        <v>45052.1112274189</v>
      </c>
      <c r="C2976" s="51">
        <v>1.022</v>
      </c>
      <c r="D2976" s="51">
        <v>61.0</v>
      </c>
      <c r="E2976" s="52" t="s">
        <v>25</v>
      </c>
      <c r="F2976" s="52" t="s">
        <v>26</v>
      </c>
      <c r="G2976" s="54"/>
    </row>
    <row r="2977">
      <c r="A2977" s="49">
        <v>45051.99667962963</v>
      </c>
      <c r="B2977" s="50">
        <v>45052.1216480324</v>
      </c>
      <c r="C2977" s="51">
        <v>1.022</v>
      </c>
      <c r="D2977" s="51">
        <v>61.0</v>
      </c>
      <c r="E2977" s="52" t="s">
        <v>25</v>
      </c>
      <c r="F2977" s="52" t="s">
        <v>26</v>
      </c>
      <c r="G2977" s="54"/>
    </row>
    <row r="2978">
      <c r="A2978" s="49">
        <v>45052.00709462963</v>
      </c>
      <c r="B2978" s="50">
        <v>45052.1320700694</v>
      </c>
      <c r="C2978" s="51">
        <v>1.022</v>
      </c>
      <c r="D2978" s="51">
        <v>61.0</v>
      </c>
      <c r="E2978" s="52" t="s">
        <v>25</v>
      </c>
      <c r="F2978" s="52" t="s">
        <v>26</v>
      </c>
      <c r="G2978" s="54"/>
    </row>
    <row r="2979">
      <c r="A2979" s="49">
        <v>45052.01751824074</v>
      </c>
      <c r="B2979" s="50">
        <v>45052.1424918634</v>
      </c>
      <c r="C2979" s="51">
        <v>1.022</v>
      </c>
      <c r="D2979" s="51">
        <v>61.0</v>
      </c>
      <c r="E2979" s="52" t="s">
        <v>25</v>
      </c>
      <c r="F2979" s="52" t="s">
        <v>26</v>
      </c>
      <c r="G2979" s="54"/>
    </row>
    <row r="2980">
      <c r="A2980" s="49">
        <v>45052.0279525463</v>
      </c>
      <c r="B2980" s="50">
        <v>45052.1529251967</v>
      </c>
      <c r="C2980" s="51">
        <v>1.022</v>
      </c>
      <c r="D2980" s="51">
        <v>61.0</v>
      </c>
      <c r="E2980" s="52" t="s">
        <v>25</v>
      </c>
      <c r="F2980" s="52" t="s">
        <v>26</v>
      </c>
      <c r="G2980" s="54"/>
    </row>
    <row r="2981">
      <c r="A2981" s="49">
        <v>45052.03837037037</v>
      </c>
      <c r="B2981" s="50">
        <v>45052.1633466319</v>
      </c>
      <c r="C2981" s="51">
        <v>1.022</v>
      </c>
      <c r="D2981" s="51">
        <v>61.0</v>
      </c>
      <c r="E2981" s="52" t="s">
        <v>25</v>
      </c>
      <c r="F2981" s="52" t="s">
        <v>26</v>
      </c>
      <c r="G2981" s="54"/>
    </row>
    <row r="2982">
      <c r="A2982" s="49">
        <v>45052.048791099536</v>
      </c>
      <c r="B2982" s="50">
        <v>45052.1737678356</v>
      </c>
      <c r="C2982" s="51">
        <v>1.022</v>
      </c>
      <c r="D2982" s="51">
        <v>61.0</v>
      </c>
      <c r="E2982" s="52" t="s">
        <v>25</v>
      </c>
      <c r="F2982" s="52" t="s">
        <v>26</v>
      </c>
      <c r="G2982" s="54"/>
    </row>
    <row r="2983">
      <c r="A2983" s="49">
        <v>45052.059211342596</v>
      </c>
      <c r="B2983" s="50">
        <v>45052.1841879861</v>
      </c>
      <c r="C2983" s="51">
        <v>1.022</v>
      </c>
      <c r="D2983" s="51">
        <v>61.0</v>
      </c>
      <c r="E2983" s="52" t="s">
        <v>25</v>
      </c>
      <c r="F2983" s="52" t="s">
        <v>26</v>
      </c>
      <c r="G2983" s="54"/>
    </row>
    <row r="2984">
      <c r="A2984" s="49">
        <v>45052.06963629629</v>
      </c>
      <c r="B2984" s="50">
        <v>45052.1946080092</v>
      </c>
      <c r="C2984" s="51">
        <v>1.022</v>
      </c>
      <c r="D2984" s="51">
        <v>61.0</v>
      </c>
      <c r="E2984" s="52" t="s">
        <v>25</v>
      </c>
      <c r="F2984" s="52" t="s">
        <v>26</v>
      </c>
      <c r="G2984" s="54"/>
    </row>
    <row r="2985">
      <c r="A2985" s="49">
        <v>45052.08006127315</v>
      </c>
      <c r="B2985" s="50">
        <v>45052.2050292361</v>
      </c>
      <c r="C2985" s="51">
        <v>1.022</v>
      </c>
      <c r="D2985" s="51">
        <v>61.0</v>
      </c>
      <c r="E2985" s="52" t="s">
        <v>25</v>
      </c>
      <c r="F2985" s="52" t="s">
        <v>26</v>
      </c>
      <c r="G2985" s="54"/>
    </row>
    <row r="2986">
      <c r="A2986" s="49">
        <v>45052.09048292824</v>
      </c>
      <c r="B2986" s="50">
        <v>45052.2154517824</v>
      </c>
      <c r="C2986" s="51">
        <v>1.022</v>
      </c>
      <c r="D2986" s="51">
        <v>61.0</v>
      </c>
      <c r="E2986" s="52" t="s">
        <v>25</v>
      </c>
      <c r="F2986" s="52" t="s">
        <v>26</v>
      </c>
      <c r="G2986" s="54"/>
    </row>
    <row r="2987">
      <c r="A2987" s="49">
        <v>45052.10090204861</v>
      </c>
      <c r="B2987" s="50">
        <v>45052.2258725925</v>
      </c>
      <c r="C2987" s="51">
        <v>1.022</v>
      </c>
      <c r="D2987" s="51">
        <v>61.0</v>
      </c>
      <c r="E2987" s="52" t="s">
        <v>25</v>
      </c>
      <c r="F2987" s="52" t="s">
        <v>26</v>
      </c>
      <c r="G2987" s="54"/>
    </row>
    <row r="2988">
      <c r="A2988" s="49">
        <v>45052.1113225463</v>
      </c>
      <c r="B2988" s="50">
        <v>45052.2362945717</v>
      </c>
      <c r="C2988" s="51">
        <v>1.022</v>
      </c>
      <c r="D2988" s="51">
        <v>61.0</v>
      </c>
      <c r="E2988" s="52" t="s">
        <v>25</v>
      </c>
      <c r="F2988" s="52" t="s">
        <v>26</v>
      </c>
      <c r="G2988" s="54"/>
    </row>
    <row r="2989">
      <c r="A2989" s="49">
        <v>45052.12174471065</v>
      </c>
      <c r="B2989" s="50">
        <v>45052.246713993</v>
      </c>
      <c r="C2989" s="51">
        <v>1.022</v>
      </c>
      <c r="D2989" s="51">
        <v>61.0</v>
      </c>
      <c r="E2989" s="52" t="s">
        <v>25</v>
      </c>
      <c r="F2989" s="52" t="s">
        <v>26</v>
      </c>
      <c r="G2989" s="54"/>
    </row>
    <row r="2990">
      <c r="A2990" s="49">
        <v>45052.13216756945</v>
      </c>
      <c r="B2990" s="50">
        <v>45052.2571349074</v>
      </c>
      <c r="C2990" s="51">
        <v>1.022</v>
      </c>
      <c r="D2990" s="51">
        <v>61.0</v>
      </c>
      <c r="E2990" s="52" t="s">
        <v>25</v>
      </c>
      <c r="F2990" s="52" t="s">
        <v>26</v>
      </c>
      <c r="G2990" s="54"/>
    </row>
    <row r="2991">
      <c r="A2991" s="49">
        <v>45052.14258458333</v>
      </c>
      <c r="B2991" s="50">
        <v>45052.2675567476</v>
      </c>
      <c r="C2991" s="51">
        <v>1.022</v>
      </c>
      <c r="D2991" s="51">
        <v>61.0</v>
      </c>
      <c r="E2991" s="52" t="s">
        <v>25</v>
      </c>
      <c r="F2991" s="52" t="s">
        <v>26</v>
      </c>
      <c r="G2991" s="54"/>
    </row>
    <row r="2992">
      <c r="A2992" s="49">
        <v>45052.15300534722</v>
      </c>
      <c r="B2992" s="50">
        <v>45052.2779792592</v>
      </c>
      <c r="C2992" s="51">
        <v>1.022</v>
      </c>
      <c r="D2992" s="51">
        <v>61.0</v>
      </c>
      <c r="E2992" s="52" t="s">
        <v>25</v>
      </c>
      <c r="F2992" s="52" t="s">
        <v>26</v>
      </c>
      <c r="G2992" s="54"/>
    </row>
    <row r="2993">
      <c r="A2993" s="49">
        <v>45052.16341947917</v>
      </c>
      <c r="B2993" s="50">
        <v>45052.2884007754</v>
      </c>
      <c r="C2993" s="51">
        <v>1.022</v>
      </c>
      <c r="D2993" s="51">
        <v>61.0</v>
      </c>
      <c r="E2993" s="52" t="s">
        <v>25</v>
      </c>
      <c r="F2993" s="52" t="s">
        <v>26</v>
      </c>
      <c r="G2993" s="54"/>
    </row>
    <row r="2994">
      <c r="A2994" s="49">
        <v>45052.17385074074</v>
      </c>
      <c r="B2994" s="50">
        <v>45052.2988213194</v>
      </c>
      <c r="C2994" s="51">
        <v>1.022</v>
      </c>
      <c r="D2994" s="51">
        <v>61.0</v>
      </c>
      <c r="E2994" s="52" t="s">
        <v>25</v>
      </c>
      <c r="F2994" s="52" t="s">
        <v>26</v>
      </c>
      <c r="G2994" s="54"/>
    </row>
    <row r="2995">
      <c r="A2995" s="49">
        <v>45052.184257835645</v>
      </c>
      <c r="B2995" s="50">
        <v>45052.3092408449</v>
      </c>
      <c r="C2995" s="51">
        <v>1.022</v>
      </c>
      <c r="D2995" s="51">
        <v>61.0</v>
      </c>
      <c r="E2995" s="52" t="s">
        <v>25</v>
      </c>
      <c r="F2995" s="52" t="s">
        <v>26</v>
      </c>
      <c r="G2995" s="54"/>
    </row>
    <row r="2996">
      <c r="A2996" s="49">
        <v>45052.19469186343</v>
      </c>
      <c r="B2996" s="50">
        <v>45052.3196631018</v>
      </c>
      <c r="C2996" s="51">
        <v>1.022</v>
      </c>
      <c r="D2996" s="51">
        <v>61.0</v>
      </c>
      <c r="E2996" s="52" t="s">
        <v>25</v>
      </c>
      <c r="F2996" s="52" t="s">
        <v>26</v>
      </c>
      <c r="G2996" s="54"/>
    </row>
    <row r="2997">
      <c r="A2997" s="49">
        <v>45052.20511178241</v>
      </c>
      <c r="B2997" s="50">
        <v>45052.3300839004</v>
      </c>
      <c r="C2997" s="51">
        <v>1.022</v>
      </c>
      <c r="D2997" s="51">
        <v>61.0</v>
      </c>
      <c r="E2997" s="52" t="s">
        <v>25</v>
      </c>
      <c r="F2997" s="52" t="s">
        <v>26</v>
      </c>
      <c r="G2997" s="54"/>
    </row>
    <row r="2998">
      <c r="A2998" s="49">
        <v>45052.21554622686</v>
      </c>
      <c r="B2998" s="50">
        <v>45052.3405187731</v>
      </c>
      <c r="C2998" s="51">
        <v>1.022</v>
      </c>
      <c r="D2998" s="51">
        <v>61.0</v>
      </c>
      <c r="E2998" s="52" t="s">
        <v>25</v>
      </c>
      <c r="F2998" s="52" t="s">
        <v>26</v>
      </c>
      <c r="G2998" s="54"/>
    </row>
    <row r="2999">
      <c r="A2999" s="49">
        <v>45052.22596671296</v>
      </c>
      <c r="B2999" s="50">
        <v>45052.350939074</v>
      </c>
      <c r="C2999" s="51">
        <v>1.022</v>
      </c>
      <c r="D2999" s="51">
        <v>61.0</v>
      </c>
      <c r="E2999" s="52" t="s">
        <v>25</v>
      </c>
      <c r="F2999" s="52" t="s">
        <v>26</v>
      </c>
      <c r="G2999" s="54"/>
    </row>
    <row r="3000">
      <c r="A3000" s="49">
        <v>45052.23639568287</v>
      </c>
      <c r="B3000" s="50">
        <v>45052.3613601736</v>
      </c>
      <c r="C3000" s="51">
        <v>1.022</v>
      </c>
      <c r="D3000" s="51">
        <v>61.0</v>
      </c>
      <c r="E3000" s="52" t="s">
        <v>25</v>
      </c>
      <c r="F3000" s="52" t="s">
        <v>26</v>
      </c>
      <c r="G3000" s="54"/>
    </row>
    <row r="3001">
      <c r="A3001" s="49">
        <v>45052.24681116898</v>
      </c>
      <c r="B3001" s="50">
        <v>45052.3717809722</v>
      </c>
      <c r="C3001" s="51">
        <v>1.022</v>
      </c>
      <c r="D3001" s="51">
        <v>61.0</v>
      </c>
      <c r="E3001" s="52" t="s">
        <v>25</v>
      </c>
      <c r="F3001" s="52" t="s">
        <v>26</v>
      </c>
      <c r="G3001" s="54"/>
    </row>
    <row r="3002">
      <c r="A3002" s="49">
        <v>45052.25723363426</v>
      </c>
      <c r="B3002" s="50">
        <v>45052.3822040972</v>
      </c>
      <c r="C3002" s="51">
        <v>1.022</v>
      </c>
      <c r="D3002" s="51">
        <v>61.0</v>
      </c>
      <c r="E3002" s="52" t="s">
        <v>25</v>
      </c>
      <c r="F3002" s="52" t="s">
        <v>26</v>
      </c>
      <c r="G3002" s="54"/>
    </row>
    <row r="3003">
      <c r="A3003" s="49">
        <v>45052.26765731482</v>
      </c>
      <c r="B3003" s="50">
        <v>45052.3926248263</v>
      </c>
      <c r="C3003" s="51">
        <v>1.022</v>
      </c>
      <c r="D3003" s="51">
        <v>61.0</v>
      </c>
      <c r="E3003" s="52" t="s">
        <v>25</v>
      </c>
      <c r="F3003" s="52" t="s">
        <v>26</v>
      </c>
      <c r="G3003" s="54"/>
    </row>
    <row r="3004">
      <c r="A3004" s="49">
        <v>45052.27807587963</v>
      </c>
      <c r="B3004" s="50">
        <v>45052.4030575578</v>
      </c>
      <c r="C3004" s="51">
        <v>1.022</v>
      </c>
      <c r="D3004" s="51">
        <v>61.0</v>
      </c>
      <c r="E3004" s="52" t="s">
        <v>25</v>
      </c>
      <c r="F3004" s="52" t="s">
        <v>26</v>
      </c>
      <c r="G3004" s="54"/>
    </row>
    <row r="3005">
      <c r="A3005" s="49">
        <v>45052.2884993287</v>
      </c>
      <c r="B3005" s="50">
        <v>45052.4134790162</v>
      </c>
      <c r="C3005" s="51">
        <v>1.022</v>
      </c>
      <c r="D3005" s="51">
        <v>61.0</v>
      </c>
      <c r="E3005" s="52" t="s">
        <v>25</v>
      </c>
      <c r="F3005" s="52" t="s">
        <v>26</v>
      </c>
      <c r="G3005" s="54"/>
    </row>
    <row r="3006">
      <c r="A3006" s="49">
        <v>45052.29892952547</v>
      </c>
      <c r="B3006" s="50">
        <v>45052.4239025926</v>
      </c>
      <c r="C3006" s="51">
        <v>1.022</v>
      </c>
      <c r="D3006" s="51">
        <v>61.0</v>
      </c>
      <c r="E3006" s="52" t="s">
        <v>25</v>
      </c>
      <c r="F3006" s="52" t="s">
        <v>26</v>
      </c>
      <c r="G3006" s="54"/>
    </row>
    <row r="3007">
      <c r="A3007" s="49">
        <v>45052.30934734954</v>
      </c>
      <c r="B3007" s="50">
        <v>45052.4343231134</v>
      </c>
      <c r="C3007" s="51">
        <v>1.022</v>
      </c>
      <c r="D3007" s="51">
        <v>61.0</v>
      </c>
      <c r="E3007" s="52" t="s">
        <v>25</v>
      </c>
      <c r="F3007" s="52" t="s">
        <v>26</v>
      </c>
      <c r="G3007" s="54"/>
    </row>
    <row r="3008">
      <c r="A3008" s="49">
        <v>45052.31976400463</v>
      </c>
      <c r="B3008" s="50">
        <v>45052.4447441203</v>
      </c>
      <c r="C3008" s="51">
        <v>1.022</v>
      </c>
      <c r="D3008" s="51">
        <v>61.0</v>
      </c>
      <c r="E3008" s="52" t="s">
        <v>25</v>
      </c>
      <c r="F3008" s="52" t="s">
        <v>26</v>
      </c>
      <c r="G3008" s="54"/>
    </row>
    <row r="3009">
      <c r="A3009" s="49">
        <v>45052.330188946755</v>
      </c>
      <c r="B3009" s="50">
        <v>45052.4551662384</v>
      </c>
      <c r="C3009" s="51">
        <v>1.022</v>
      </c>
      <c r="D3009" s="51">
        <v>61.0</v>
      </c>
      <c r="E3009" s="52" t="s">
        <v>25</v>
      </c>
      <c r="F3009" s="52" t="s">
        <v>26</v>
      </c>
      <c r="G3009" s="54"/>
    </row>
    <row r="3010">
      <c r="A3010" s="49">
        <v>45052.34061296296</v>
      </c>
      <c r="B3010" s="50">
        <v>45052.4655855324</v>
      </c>
      <c r="C3010" s="51">
        <v>1.022</v>
      </c>
      <c r="D3010" s="51">
        <v>61.0</v>
      </c>
      <c r="E3010" s="52" t="s">
        <v>25</v>
      </c>
      <c r="F3010" s="52" t="s">
        <v>26</v>
      </c>
      <c r="G3010" s="54"/>
    </row>
    <row r="3011">
      <c r="A3011" s="49">
        <v>45052.351029722224</v>
      </c>
      <c r="B3011" s="50">
        <v>45052.4760058796</v>
      </c>
      <c r="C3011" s="51">
        <v>1.022</v>
      </c>
      <c r="D3011" s="51">
        <v>61.0</v>
      </c>
      <c r="E3011" s="52" t="s">
        <v>25</v>
      </c>
      <c r="F3011" s="52" t="s">
        <v>26</v>
      </c>
      <c r="G3011" s="54"/>
    </row>
    <row r="3012">
      <c r="A3012" s="49">
        <v>45052.36144840278</v>
      </c>
      <c r="B3012" s="50">
        <v>45052.4864286226</v>
      </c>
      <c r="C3012" s="51">
        <v>1.022</v>
      </c>
      <c r="D3012" s="51">
        <v>61.0</v>
      </c>
      <c r="E3012" s="52" t="s">
        <v>25</v>
      </c>
      <c r="F3012" s="52" t="s">
        <v>26</v>
      </c>
      <c r="G3012" s="54"/>
    </row>
    <row r="3013">
      <c r="A3013" s="49">
        <v>45052.37187253472</v>
      </c>
      <c r="B3013" s="50">
        <v>45052.4968474652</v>
      </c>
      <c r="C3013" s="51">
        <v>1.022</v>
      </c>
      <c r="D3013" s="51">
        <v>61.0</v>
      </c>
      <c r="E3013" s="52" t="s">
        <v>25</v>
      </c>
      <c r="F3013" s="52" t="s">
        <v>26</v>
      </c>
      <c r="G3013" s="54"/>
    </row>
    <row r="3014">
      <c r="A3014" s="49">
        <v>45052.3822949537</v>
      </c>
      <c r="B3014" s="50">
        <v>45052.5072678703</v>
      </c>
      <c r="C3014" s="51">
        <v>1.022</v>
      </c>
      <c r="D3014" s="51">
        <v>61.0</v>
      </c>
      <c r="E3014" s="52" t="s">
        <v>25</v>
      </c>
      <c r="F3014" s="52" t="s">
        <v>26</v>
      </c>
      <c r="G3014" s="54"/>
    </row>
    <row r="3015">
      <c r="A3015" s="49">
        <v>45052.39271539352</v>
      </c>
      <c r="B3015" s="50">
        <v>45052.5176884606</v>
      </c>
      <c r="C3015" s="51">
        <v>1.022</v>
      </c>
      <c r="D3015" s="51">
        <v>61.0</v>
      </c>
      <c r="E3015" s="52" t="s">
        <v>25</v>
      </c>
      <c r="F3015" s="52" t="s">
        <v>26</v>
      </c>
      <c r="G3015" s="54"/>
    </row>
    <row r="3016">
      <c r="A3016" s="49">
        <v>45052.40313385417</v>
      </c>
      <c r="B3016" s="50">
        <v>45052.5281093287</v>
      </c>
      <c r="C3016" s="51">
        <v>1.022</v>
      </c>
      <c r="D3016" s="51">
        <v>61.0</v>
      </c>
      <c r="E3016" s="52" t="s">
        <v>25</v>
      </c>
      <c r="F3016" s="52" t="s">
        <v>26</v>
      </c>
      <c r="G3016" s="54"/>
    </row>
    <row r="3017">
      <c r="A3017" s="49">
        <v>45052.413552673606</v>
      </c>
      <c r="B3017" s="50">
        <v>45052.5385309837</v>
      </c>
      <c r="C3017" s="51">
        <v>1.022</v>
      </c>
      <c r="D3017" s="51">
        <v>61.0</v>
      </c>
      <c r="E3017" s="52" t="s">
        <v>25</v>
      </c>
      <c r="F3017" s="52" t="s">
        <v>26</v>
      </c>
      <c r="G3017" s="54"/>
    </row>
    <row r="3018">
      <c r="A3018" s="49">
        <v>45052.42398380787</v>
      </c>
      <c r="B3018" s="50">
        <v>45052.5489534143</v>
      </c>
      <c r="C3018" s="51">
        <v>1.022</v>
      </c>
      <c r="D3018" s="51">
        <v>61.0</v>
      </c>
      <c r="E3018" s="52" t="s">
        <v>25</v>
      </c>
      <c r="F3018" s="52" t="s">
        <v>26</v>
      </c>
      <c r="G3018" s="54"/>
    </row>
    <row r="3019">
      <c r="A3019" s="49">
        <v>45052.4343977199</v>
      </c>
      <c r="B3019" s="50">
        <v>45052.5593768981</v>
      </c>
      <c r="C3019" s="51">
        <v>1.022</v>
      </c>
      <c r="D3019" s="51">
        <v>61.0</v>
      </c>
      <c r="E3019" s="52" t="s">
        <v>25</v>
      </c>
      <c r="F3019" s="52" t="s">
        <v>26</v>
      </c>
      <c r="G3019" s="54"/>
    </row>
    <row r="3020">
      <c r="A3020" s="49">
        <v>45052.44482464121</v>
      </c>
      <c r="B3020" s="50">
        <v>45052.5697972222</v>
      </c>
      <c r="C3020" s="51">
        <v>1.022</v>
      </c>
      <c r="D3020" s="51">
        <v>61.0</v>
      </c>
      <c r="E3020" s="52" t="s">
        <v>25</v>
      </c>
      <c r="F3020" s="52" t="s">
        <v>26</v>
      </c>
      <c r="G3020" s="54"/>
    </row>
    <row r="3021">
      <c r="A3021" s="49">
        <v>45052.4552427662</v>
      </c>
      <c r="B3021" s="50">
        <v>45052.5802183449</v>
      </c>
      <c r="C3021" s="51">
        <v>1.022</v>
      </c>
      <c r="D3021" s="51">
        <v>61.0</v>
      </c>
      <c r="E3021" s="52" t="s">
        <v>25</v>
      </c>
      <c r="F3021" s="52" t="s">
        <v>26</v>
      </c>
      <c r="G3021" s="54"/>
    </row>
    <row r="3022">
      <c r="A3022" s="49">
        <v>45052.46566622685</v>
      </c>
      <c r="B3022" s="50">
        <v>45052.5906395486</v>
      </c>
      <c r="C3022" s="51">
        <v>1.022</v>
      </c>
      <c r="D3022" s="51">
        <v>61.0</v>
      </c>
      <c r="E3022" s="52" t="s">
        <v>25</v>
      </c>
      <c r="F3022" s="52" t="s">
        <v>26</v>
      </c>
      <c r="G3022" s="54"/>
    </row>
    <row r="3023">
      <c r="A3023" s="49">
        <v>45052.47220496528</v>
      </c>
      <c r="B3023" s="50">
        <v>45052.5953710648</v>
      </c>
      <c r="C3023" s="51">
        <v>1.022</v>
      </c>
      <c r="D3023" s="51">
        <v>61.0</v>
      </c>
      <c r="E3023" s="52" t="s">
        <v>25</v>
      </c>
      <c r="F3023" s="52" t="s">
        <v>26</v>
      </c>
      <c r="G3023" s="54"/>
    </row>
    <row r="3024">
      <c r="A3024" s="49">
        <v>45052.48081150463</v>
      </c>
      <c r="B3024" s="50">
        <v>45052.6057930208</v>
      </c>
      <c r="C3024" s="51">
        <v>1.022</v>
      </c>
      <c r="D3024" s="51">
        <v>61.0</v>
      </c>
      <c r="E3024" s="52" t="s">
        <v>25</v>
      </c>
      <c r="F3024" s="52" t="s">
        <v>26</v>
      </c>
      <c r="G3024" s="54"/>
    </row>
    <row r="3025">
      <c r="A3025" s="49">
        <v>45052.49124162037</v>
      </c>
      <c r="B3025" s="50">
        <v>45052.6162152546</v>
      </c>
      <c r="C3025" s="51">
        <v>1.022</v>
      </c>
      <c r="D3025" s="51">
        <v>61.0</v>
      </c>
      <c r="E3025" s="52" t="s">
        <v>25</v>
      </c>
      <c r="F3025" s="52" t="s">
        <v>26</v>
      </c>
      <c r="G3025" s="54"/>
    </row>
    <row r="3026">
      <c r="A3026" s="49">
        <v>45052.501664062496</v>
      </c>
      <c r="B3026" s="50">
        <v>45052.6266356134</v>
      </c>
      <c r="C3026" s="51">
        <v>1.022</v>
      </c>
      <c r="D3026" s="51">
        <v>61.0</v>
      </c>
      <c r="E3026" s="52" t="s">
        <v>25</v>
      </c>
      <c r="F3026" s="52" t="s">
        <v>26</v>
      </c>
      <c r="G3026" s="54"/>
    </row>
    <row r="3027">
      <c r="A3027" s="49">
        <v>45052.512077719904</v>
      </c>
      <c r="B3027" s="50">
        <v>45052.6370571759</v>
      </c>
      <c r="C3027" s="51">
        <v>1.022</v>
      </c>
      <c r="D3027" s="51">
        <v>61.0</v>
      </c>
      <c r="E3027" s="52" t="s">
        <v>25</v>
      </c>
      <c r="F3027" s="52" t="s">
        <v>26</v>
      </c>
      <c r="G3027" s="54"/>
    </row>
    <row r="3028">
      <c r="A3028" s="49">
        <v>45052.52249541666</v>
      </c>
      <c r="B3028" s="50">
        <v>45052.6474771064</v>
      </c>
      <c r="C3028" s="51">
        <v>1.022</v>
      </c>
      <c r="D3028" s="51">
        <v>61.0</v>
      </c>
      <c r="E3028" s="52" t="s">
        <v>25</v>
      </c>
      <c r="F3028" s="52" t="s">
        <v>26</v>
      </c>
      <c r="G3028" s="54"/>
    </row>
    <row r="3029">
      <c r="A3029" s="49">
        <v>45052.53292646991</v>
      </c>
      <c r="B3029" s="50">
        <v>45052.6578976967</v>
      </c>
      <c r="C3029" s="51">
        <v>1.022</v>
      </c>
      <c r="D3029" s="51">
        <v>61.0</v>
      </c>
      <c r="E3029" s="52" t="s">
        <v>25</v>
      </c>
      <c r="F3029" s="52" t="s">
        <v>26</v>
      </c>
      <c r="G3029" s="54"/>
    </row>
    <row r="3030">
      <c r="A3030" s="49">
        <v>45052.54335436343</v>
      </c>
      <c r="B3030" s="50">
        <v>45052.6683294907</v>
      </c>
      <c r="C3030" s="51">
        <v>1.022</v>
      </c>
      <c r="D3030" s="51">
        <v>61.0</v>
      </c>
      <c r="E3030" s="52" t="s">
        <v>25</v>
      </c>
      <c r="F3030" s="52" t="s">
        <v>26</v>
      </c>
      <c r="G3030" s="54"/>
    </row>
    <row r="3031">
      <c r="A3031" s="49">
        <v>45052.55377866898</v>
      </c>
      <c r="B3031" s="50">
        <v>45052.6787487268</v>
      </c>
      <c r="C3031" s="51">
        <v>1.022</v>
      </c>
      <c r="D3031" s="51">
        <v>61.0</v>
      </c>
      <c r="E3031" s="52" t="s">
        <v>25</v>
      </c>
      <c r="F3031" s="52" t="s">
        <v>26</v>
      </c>
      <c r="G3031" s="54"/>
    </row>
    <row r="3032">
      <c r="A3032" s="49">
        <v>45052.56420068287</v>
      </c>
      <c r="B3032" s="50">
        <v>45052.6891817592</v>
      </c>
      <c r="C3032" s="51">
        <v>1.022</v>
      </c>
      <c r="D3032" s="51">
        <v>61.0</v>
      </c>
      <c r="E3032" s="52" t="s">
        <v>25</v>
      </c>
      <c r="F3032" s="52" t="s">
        <v>26</v>
      </c>
      <c r="G3032" s="54"/>
    </row>
    <row r="3033">
      <c r="A3033" s="49">
        <v>45052.5746287963</v>
      </c>
      <c r="B3033" s="50">
        <v>45052.6996031018</v>
      </c>
      <c r="C3033" s="51">
        <v>1.022</v>
      </c>
      <c r="D3033" s="51">
        <v>61.0</v>
      </c>
      <c r="E3033" s="52" t="s">
        <v>25</v>
      </c>
      <c r="F3033" s="52" t="s">
        <v>26</v>
      </c>
      <c r="G3033" s="54"/>
    </row>
    <row r="3034">
      <c r="A3034" s="49">
        <v>45052.585052083334</v>
      </c>
      <c r="B3034" s="50">
        <v>45052.7100239583</v>
      </c>
      <c r="C3034" s="51">
        <v>1.022</v>
      </c>
      <c r="D3034" s="51">
        <v>61.0</v>
      </c>
      <c r="E3034" s="52" t="s">
        <v>25</v>
      </c>
      <c r="F3034" s="52" t="s">
        <v>26</v>
      </c>
      <c r="G3034" s="54"/>
    </row>
    <row r="3035">
      <c r="A3035" s="49">
        <v>45052.59547542824</v>
      </c>
      <c r="B3035" s="50">
        <v>45052.7204451967</v>
      </c>
      <c r="C3035" s="51">
        <v>1.022</v>
      </c>
      <c r="D3035" s="51">
        <v>61.0</v>
      </c>
      <c r="E3035" s="52" t="s">
        <v>25</v>
      </c>
      <c r="F3035" s="52" t="s">
        <v>26</v>
      </c>
      <c r="G3035" s="54"/>
    </row>
    <row r="3036">
      <c r="A3036" s="49">
        <v>45052.60590520833</v>
      </c>
      <c r="B3036" s="50">
        <v>45052.7308781365</v>
      </c>
      <c r="C3036" s="51">
        <v>1.022</v>
      </c>
      <c r="D3036" s="51">
        <v>61.0</v>
      </c>
      <c r="E3036" s="52" t="s">
        <v>25</v>
      </c>
      <c r="F3036" s="52" t="s">
        <v>26</v>
      </c>
      <c r="G3036" s="54"/>
    </row>
    <row r="3037">
      <c r="A3037" s="49">
        <v>45052.61632609954</v>
      </c>
      <c r="B3037" s="50">
        <v>45052.741297581</v>
      </c>
      <c r="C3037" s="51">
        <v>1.022</v>
      </c>
      <c r="D3037" s="51">
        <v>61.0</v>
      </c>
      <c r="E3037" s="52" t="s">
        <v>25</v>
      </c>
      <c r="F3037" s="52" t="s">
        <v>26</v>
      </c>
      <c r="G3037" s="54"/>
    </row>
    <row r="3038">
      <c r="A3038" s="49">
        <v>45052.62674886574</v>
      </c>
      <c r="B3038" s="50">
        <v>45052.7517203935</v>
      </c>
      <c r="C3038" s="51">
        <v>1.022</v>
      </c>
      <c r="D3038" s="51">
        <v>61.0</v>
      </c>
      <c r="E3038" s="52" t="s">
        <v>25</v>
      </c>
      <c r="F3038" s="52" t="s">
        <v>26</v>
      </c>
      <c r="G3038" s="54"/>
    </row>
    <row r="3039">
      <c r="A3039" s="49">
        <v>45052.637170636575</v>
      </c>
      <c r="B3039" s="50">
        <v>45052.7621441203</v>
      </c>
      <c r="C3039" s="51">
        <v>1.022</v>
      </c>
      <c r="D3039" s="51">
        <v>61.0</v>
      </c>
      <c r="E3039" s="52" t="s">
        <v>25</v>
      </c>
      <c r="F3039" s="52" t="s">
        <v>26</v>
      </c>
      <c r="G3039" s="54"/>
    </row>
    <row r="3040">
      <c r="A3040" s="49">
        <v>45052.64759030093</v>
      </c>
      <c r="B3040" s="50">
        <v>45052.772565706</v>
      </c>
      <c r="C3040" s="51">
        <v>1.022</v>
      </c>
      <c r="D3040" s="51">
        <v>61.0</v>
      </c>
      <c r="E3040" s="52" t="s">
        <v>25</v>
      </c>
      <c r="F3040" s="52" t="s">
        <v>26</v>
      </c>
      <c r="G3040" s="54"/>
    </row>
    <row r="3041">
      <c r="A3041" s="49">
        <v>45052.65800778935</v>
      </c>
      <c r="B3041" s="50">
        <v>45052.78298875</v>
      </c>
      <c r="C3041" s="51">
        <v>1.022</v>
      </c>
      <c r="D3041" s="51">
        <v>61.0</v>
      </c>
      <c r="E3041" s="52" t="s">
        <v>25</v>
      </c>
      <c r="F3041" s="52" t="s">
        <v>26</v>
      </c>
      <c r="G3041" s="54"/>
    </row>
    <row r="3042">
      <c r="A3042" s="49">
        <v>45052.66843361111</v>
      </c>
      <c r="B3042" s="50">
        <v>45052.7934100926</v>
      </c>
      <c r="C3042" s="51">
        <v>1.022</v>
      </c>
      <c r="D3042" s="51">
        <v>61.0</v>
      </c>
      <c r="E3042" s="52" t="s">
        <v>25</v>
      </c>
      <c r="F3042" s="52" t="s">
        <v>26</v>
      </c>
      <c r="G3042" s="54"/>
    </row>
    <row r="3043">
      <c r="A3043" s="49">
        <v>45052.678849965276</v>
      </c>
      <c r="B3043" s="50">
        <v>45052.8038296759</v>
      </c>
      <c r="C3043" s="51">
        <v>1.022</v>
      </c>
      <c r="D3043" s="51">
        <v>61.0</v>
      </c>
      <c r="E3043" s="52" t="s">
        <v>25</v>
      </c>
      <c r="F3043" s="52" t="s">
        <v>26</v>
      </c>
      <c r="G3043" s="54"/>
    </row>
    <row r="3044">
      <c r="A3044" s="49">
        <v>45052.68927761574</v>
      </c>
      <c r="B3044" s="50">
        <v>45052.8142501273</v>
      </c>
      <c r="C3044" s="51">
        <v>1.021</v>
      </c>
      <c r="D3044" s="51">
        <v>61.0</v>
      </c>
      <c r="E3044" s="52" t="s">
        <v>25</v>
      </c>
      <c r="F3044" s="52" t="s">
        <v>26</v>
      </c>
      <c r="G3044" s="54"/>
    </row>
    <row r="3045">
      <c r="A3045" s="49">
        <v>45052.699693229166</v>
      </c>
      <c r="B3045" s="50">
        <v>45052.8246729398</v>
      </c>
      <c r="C3045" s="51">
        <v>1.022</v>
      </c>
      <c r="D3045" s="51">
        <v>61.0</v>
      </c>
      <c r="E3045" s="52" t="s">
        <v>25</v>
      </c>
      <c r="F3045" s="52" t="s">
        <v>26</v>
      </c>
      <c r="G3045" s="54"/>
    </row>
    <row r="3046">
      <c r="A3046" s="49">
        <v>45052.71012315972</v>
      </c>
      <c r="B3046" s="50">
        <v>45052.8350946759</v>
      </c>
      <c r="C3046" s="51">
        <v>1.022</v>
      </c>
      <c r="D3046" s="51">
        <v>61.0</v>
      </c>
      <c r="E3046" s="52" t="s">
        <v>25</v>
      </c>
      <c r="F3046" s="52" t="s">
        <v>26</v>
      </c>
      <c r="G3046" s="54"/>
    </row>
    <row r="3047">
      <c r="A3047" s="49">
        <v>45052.72054045139</v>
      </c>
      <c r="B3047" s="50">
        <v>45052.8455170833</v>
      </c>
      <c r="C3047" s="51">
        <v>1.022</v>
      </c>
      <c r="D3047" s="51">
        <v>61.0</v>
      </c>
      <c r="E3047" s="52" t="s">
        <v>25</v>
      </c>
      <c r="F3047" s="52" t="s">
        <v>26</v>
      </c>
      <c r="G3047" s="54"/>
    </row>
    <row r="3048">
      <c r="A3048" s="49">
        <v>45052.730959583336</v>
      </c>
      <c r="B3048" s="50">
        <v>45052.8559385185</v>
      </c>
      <c r="C3048" s="51">
        <v>1.022</v>
      </c>
      <c r="D3048" s="51">
        <v>61.0</v>
      </c>
      <c r="E3048" s="52" t="s">
        <v>25</v>
      </c>
      <c r="F3048" s="52" t="s">
        <v>26</v>
      </c>
      <c r="G3048" s="54"/>
    </row>
    <row r="3049">
      <c r="A3049" s="49">
        <v>45052.741378819446</v>
      </c>
      <c r="B3049" s="50">
        <v>45052.8663601157</v>
      </c>
      <c r="C3049" s="51">
        <v>1.022</v>
      </c>
      <c r="D3049" s="51">
        <v>61.0</v>
      </c>
      <c r="E3049" s="52" t="s">
        <v>25</v>
      </c>
      <c r="F3049" s="52" t="s">
        <v>26</v>
      </c>
      <c r="G3049" s="54"/>
    </row>
    <row r="3050">
      <c r="A3050" s="49">
        <v>45052.75181834491</v>
      </c>
      <c r="B3050" s="50">
        <v>45052.8767935532</v>
      </c>
      <c r="C3050" s="51">
        <v>1.022</v>
      </c>
      <c r="D3050" s="51">
        <v>61.0</v>
      </c>
      <c r="E3050" s="52" t="s">
        <v>25</v>
      </c>
      <c r="F3050" s="52" t="s">
        <v>26</v>
      </c>
      <c r="G3050" s="54"/>
    </row>
    <row r="3051">
      <c r="A3051" s="49">
        <v>45052.76223925926</v>
      </c>
      <c r="B3051" s="50">
        <v>45052.8872167245</v>
      </c>
      <c r="C3051" s="51">
        <v>1.021</v>
      </c>
      <c r="D3051" s="51">
        <v>61.0</v>
      </c>
      <c r="E3051" s="52" t="s">
        <v>25</v>
      </c>
      <c r="F3051" s="52" t="s">
        <v>26</v>
      </c>
      <c r="G3051" s="54"/>
    </row>
    <row r="3052">
      <c r="A3052" s="49">
        <v>45052.772665798606</v>
      </c>
      <c r="B3052" s="50">
        <v>45052.897635787</v>
      </c>
      <c r="C3052" s="51">
        <v>1.021</v>
      </c>
      <c r="D3052" s="51">
        <v>61.0</v>
      </c>
      <c r="E3052" s="52" t="s">
        <v>25</v>
      </c>
      <c r="F3052" s="52" t="s">
        <v>26</v>
      </c>
      <c r="G3052" s="54"/>
    </row>
    <row r="3053">
      <c r="A3053" s="49">
        <v>45052.7830790625</v>
      </c>
      <c r="B3053" s="50">
        <v>45052.9080562037</v>
      </c>
      <c r="C3053" s="51">
        <v>1.022</v>
      </c>
      <c r="D3053" s="51">
        <v>61.0</v>
      </c>
      <c r="E3053" s="52" t="s">
        <v>25</v>
      </c>
      <c r="F3053" s="52" t="s">
        <v>26</v>
      </c>
      <c r="G3053" s="54"/>
    </row>
    <row r="3054">
      <c r="A3054" s="49">
        <v>45052.793506250004</v>
      </c>
      <c r="B3054" s="50">
        <v>45052.9184762847</v>
      </c>
      <c r="C3054" s="51">
        <v>1.022</v>
      </c>
      <c r="D3054" s="51">
        <v>61.0</v>
      </c>
      <c r="E3054" s="52" t="s">
        <v>25</v>
      </c>
      <c r="F3054" s="52" t="s">
        <v>26</v>
      </c>
      <c r="G3054" s="54"/>
    </row>
    <row r="3055">
      <c r="A3055" s="49">
        <v>45052.80393576389</v>
      </c>
      <c r="B3055" s="50">
        <v>45052.9289097106</v>
      </c>
      <c r="C3055" s="51">
        <v>1.021</v>
      </c>
      <c r="D3055" s="51">
        <v>61.0</v>
      </c>
      <c r="E3055" s="52" t="s">
        <v>25</v>
      </c>
      <c r="F3055" s="52" t="s">
        <v>26</v>
      </c>
      <c r="G3055" s="54"/>
    </row>
    <row r="3056">
      <c r="A3056" s="49">
        <v>45052.81434869213</v>
      </c>
      <c r="B3056" s="50">
        <v>45052.9393305902</v>
      </c>
      <c r="C3056" s="51">
        <v>1.022</v>
      </c>
      <c r="D3056" s="51">
        <v>61.0</v>
      </c>
      <c r="E3056" s="52" t="s">
        <v>25</v>
      </c>
      <c r="F3056" s="52" t="s">
        <v>26</v>
      </c>
      <c r="G3056" s="54"/>
    </row>
    <row r="3057">
      <c r="A3057" s="49">
        <v>45052.82478063657</v>
      </c>
      <c r="B3057" s="50">
        <v>45052.9497513425</v>
      </c>
      <c r="C3057" s="51">
        <v>1.022</v>
      </c>
      <c r="D3057" s="51">
        <v>61.0</v>
      </c>
      <c r="E3057" s="52" t="s">
        <v>25</v>
      </c>
      <c r="F3057" s="52" t="s">
        <v>26</v>
      </c>
      <c r="G3057" s="54"/>
    </row>
    <row r="3058">
      <c r="A3058" s="49">
        <v>45052.83521456018</v>
      </c>
      <c r="B3058" s="50">
        <v>45052.9601856597</v>
      </c>
      <c r="C3058" s="51">
        <v>1.021</v>
      </c>
      <c r="D3058" s="51">
        <v>61.0</v>
      </c>
      <c r="E3058" s="52" t="s">
        <v>25</v>
      </c>
      <c r="F3058" s="52" t="s">
        <v>26</v>
      </c>
      <c r="G3058" s="54"/>
    </row>
    <row r="3059">
      <c r="A3059" s="49">
        <v>45052.84562261574</v>
      </c>
      <c r="B3059" s="50">
        <v>45052.9706049884</v>
      </c>
      <c r="C3059" s="51">
        <v>1.021</v>
      </c>
      <c r="D3059" s="51">
        <v>61.0</v>
      </c>
      <c r="E3059" s="52" t="s">
        <v>25</v>
      </c>
      <c r="F3059" s="52" t="s">
        <v>26</v>
      </c>
      <c r="G3059" s="54"/>
    </row>
    <row r="3060">
      <c r="A3060" s="49">
        <v>45052.85605480324</v>
      </c>
      <c r="B3060" s="50">
        <v>45052.9810258796</v>
      </c>
      <c r="C3060" s="51">
        <v>1.021</v>
      </c>
      <c r="D3060" s="51">
        <v>61.0</v>
      </c>
      <c r="E3060" s="52" t="s">
        <v>25</v>
      </c>
      <c r="F3060" s="52" t="s">
        <v>26</v>
      </c>
      <c r="G3060" s="54"/>
    </row>
    <row r="3061">
      <c r="A3061" s="49">
        <v>45052.866474236114</v>
      </c>
      <c r="B3061" s="50">
        <v>45052.991447905</v>
      </c>
      <c r="C3061" s="51">
        <v>1.022</v>
      </c>
      <c r="D3061" s="51">
        <v>61.0</v>
      </c>
      <c r="E3061" s="52" t="s">
        <v>25</v>
      </c>
      <c r="F3061" s="52" t="s">
        <v>26</v>
      </c>
      <c r="G3061" s="54"/>
    </row>
    <row r="3062">
      <c r="A3062" s="49">
        <v>45052.8768943287</v>
      </c>
      <c r="B3062" s="50">
        <v>45053.0018695601</v>
      </c>
      <c r="C3062" s="51">
        <v>1.022</v>
      </c>
      <c r="D3062" s="51">
        <v>61.0</v>
      </c>
      <c r="E3062" s="52" t="s">
        <v>25</v>
      </c>
      <c r="F3062" s="52" t="s">
        <v>26</v>
      </c>
      <c r="G3062" s="54"/>
    </row>
    <row r="3063">
      <c r="A3063" s="49">
        <v>45052.88731996527</v>
      </c>
      <c r="B3063" s="50">
        <v>45053.0122906944</v>
      </c>
      <c r="C3063" s="51">
        <v>1.021</v>
      </c>
      <c r="D3063" s="51">
        <v>61.0</v>
      </c>
      <c r="E3063" s="52" t="s">
        <v>25</v>
      </c>
      <c r="F3063" s="52" t="s">
        <v>26</v>
      </c>
      <c r="G3063" s="54"/>
    </row>
    <row r="3064">
      <c r="A3064" s="49">
        <v>45052.89774217593</v>
      </c>
      <c r="B3064" s="50">
        <v>45053.0227128125</v>
      </c>
      <c r="C3064" s="51">
        <v>1.022</v>
      </c>
      <c r="D3064" s="51">
        <v>61.0</v>
      </c>
      <c r="E3064" s="52" t="s">
        <v>25</v>
      </c>
      <c r="F3064" s="52" t="s">
        <v>26</v>
      </c>
      <c r="G3064" s="54"/>
    </row>
    <row r="3065">
      <c r="A3065" s="49">
        <v>45052.90816287037</v>
      </c>
      <c r="B3065" s="50">
        <v>45053.0331358217</v>
      </c>
      <c r="C3065" s="51">
        <v>1.022</v>
      </c>
      <c r="D3065" s="51">
        <v>61.0</v>
      </c>
      <c r="E3065" s="52" t="s">
        <v>25</v>
      </c>
      <c r="F3065" s="52" t="s">
        <v>26</v>
      </c>
      <c r="G3065" s="54"/>
    </row>
    <row r="3066">
      <c r="A3066" s="49">
        <v>45052.9185732176</v>
      </c>
      <c r="B3066" s="50">
        <v>45053.0435556018</v>
      </c>
      <c r="C3066" s="51">
        <v>1.022</v>
      </c>
      <c r="D3066" s="51">
        <v>61.0</v>
      </c>
      <c r="E3066" s="52" t="s">
        <v>25</v>
      </c>
      <c r="F3066" s="52" t="s">
        <v>26</v>
      </c>
      <c r="G3066" s="54"/>
    </row>
    <row r="3067">
      <c r="A3067" s="49">
        <v>45052.92900510417</v>
      </c>
      <c r="B3067" s="50">
        <v>45053.0539766782</v>
      </c>
      <c r="C3067" s="51">
        <v>1.021</v>
      </c>
      <c r="D3067" s="51">
        <v>61.0</v>
      </c>
      <c r="E3067" s="52" t="s">
        <v>25</v>
      </c>
      <c r="F3067" s="52" t="s">
        <v>26</v>
      </c>
      <c r="G3067" s="54"/>
    </row>
    <row r="3068">
      <c r="A3068" s="49">
        <v>45052.93942858797</v>
      </c>
      <c r="B3068" s="50">
        <v>45053.0643986111</v>
      </c>
      <c r="C3068" s="51">
        <v>1.021</v>
      </c>
      <c r="D3068" s="51">
        <v>61.0</v>
      </c>
      <c r="E3068" s="52" t="s">
        <v>25</v>
      </c>
      <c r="F3068" s="52" t="s">
        <v>26</v>
      </c>
      <c r="G3068" s="54"/>
    </row>
    <row r="3069">
      <c r="A3069" s="49">
        <v>45052.94984341435</v>
      </c>
      <c r="B3069" s="50">
        <v>45053.0748199537</v>
      </c>
      <c r="C3069" s="51">
        <v>1.022</v>
      </c>
      <c r="D3069" s="51">
        <v>61.0</v>
      </c>
      <c r="E3069" s="52" t="s">
        <v>25</v>
      </c>
      <c r="F3069" s="52" t="s">
        <v>26</v>
      </c>
      <c r="G3069" s="54"/>
    </row>
    <row r="3070">
      <c r="A3070" s="49">
        <v>45052.9602665162</v>
      </c>
      <c r="B3070" s="50">
        <v>45053.0852409722</v>
      </c>
      <c r="C3070" s="51">
        <v>1.021</v>
      </c>
      <c r="D3070" s="51">
        <v>61.0</v>
      </c>
      <c r="E3070" s="52" t="s">
        <v>25</v>
      </c>
      <c r="F3070" s="52" t="s">
        <v>26</v>
      </c>
      <c r="G3070" s="54"/>
    </row>
    <row r="3071">
      <c r="A3071" s="49">
        <v>45052.97068935185</v>
      </c>
      <c r="B3071" s="50">
        <v>45053.0956623379</v>
      </c>
      <c r="C3071" s="51">
        <v>1.021</v>
      </c>
      <c r="D3071" s="51">
        <v>61.0</v>
      </c>
      <c r="E3071" s="52" t="s">
        <v>25</v>
      </c>
      <c r="F3071" s="52" t="s">
        <v>26</v>
      </c>
      <c r="G3071" s="54"/>
    </row>
    <row r="3072">
      <c r="A3072" s="49">
        <v>45052.98111266203</v>
      </c>
      <c r="B3072" s="50">
        <v>45053.106095</v>
      </c>
      <c r="C3072" s="51">
        <v>1.021</v>
      </c>
      <c r="D3072" s="51">
        <v>61.0</v>
      </c>
      <c r="E3072" s="52" t="s">
        <v>25</v>
      </c>
      <c r="F3072" s="52" t="s">
        <v>26</v>
      </c>
      <c r="G3072" s="54"/>
    </row>
    <row r="3073">
      <c r="A3073" s="49">
        <v>45052.99155582176</v>
      </c>
      <c r="B3073" s="50">
        <v>45053.1165276157</v>
      </c>
      <c r="C3073" s="51">
        <v>1.021</v>
      </c>
      <c r="D3073" s="51">
        <v>61.0</v>
      </c>
      <c r="E3073" s="52" t="s">
        <v>25</v>
      </c>
      <c r="F3073" s="52" t="s">
        <v>26</v>
      </c>
      <c r="G3073" s="54"/>
    </row>
    <row r="3074">
      <c r="A3074" s="49">
        <v>45053.00197820602</v>
      </c>
      <c r="B3074" s="50">
        <v>45053.1269598842</v>
      </c>
      <c r="C3074" s="51">
        <v>1.022</v>
      </c>
      <c r="D3074" s="51">
        <v>61.0</v>
      </c>
      <c r="E3074" s="52" t="s">
        <v>25</v>
      </c>
      <c r="F3074" s="52" t="s">
        <v>26</v>
      </c>
      <c r="G3074" s="54"/>
    </row>
    <row r="3075">
      <c r="A3075" s="49">
        <v>45053.01240548611</v>
      </c>
      <c r="B3075" s="50">
        <v>45053.137378831</v>
      </c>
      <c r="C3075" s="51">
        <v>1.021</v>
      </c>
      <c r="D3075" s="51">
        <v>61.0</v>
      </c>
      <c r="E3075" s="52" t="s">
        <v>25</v>
      </c>
      <c r="F3075" s="52" t="s">
        <v>26</v>
      </c>
      <c r="G3075" s="54"/>
    </row>
    <row r="3076">
      <c r="A3076" s="49">
        <v>45053.02283260417</v>
      </c>
      <c r="B3076" s="50">
        <v>45053.1478006828</v>
      </c>
      <c r="C3076" s="51">
        <v>1.021</v>
      </c>
      <c r="D3076" s="51">
        <v>61.0</v>
      </c>
      <c r="E3076" s="52" t="s">
        <v>25</v>
      </c>
      <c r="F3076" s="52" t="s">
        <v>26</v>
      </c>
      <c r="G3076" s="54"/>
    </row>
    <row r="3077">
      <c r="A3077" s="49">
        <v>45053.033264259255</v>
      </c>
      <c r="B3077" s="50">
        <v>45053.1582351273</v>
      </c>
      <c r="C3077" s="51">
        <v>1.021</v>
      </c>
      <c r="D3077" s="51">
        <v>61.0</v>
      </c>
      <c r="E3077" s="52" t="s">
        <v>25</v>
      </c>
      <c r="F3077" s="52" t="s">
        <v>26</v>
      </c>
      <c r="G3077" s="54"/>
    </row>
    <row r="3078">
      <c r="A3078" s="49">
        <v>45053.043674016204</v>
      </c>
      <c r="B3078" s="50">
        <v>45053.1686557407</v>
      </c>
      <c r="C3078" s="51">
        <v>1.022</v>
      </c>
      <c r="D3078" s="51">
        <v>61.0</v>
      </c>
      <c r="E3078" s="52" t="s">
        <v>25</v>
      </c>
      <c r="F3078" s="52" t="s">
        <v>26</v>
      </c>
      <c r="G3078" s="54"/>
    </row>
    <row r="3079">
      <c r="A3079" s="49">
        <v>45053.05410010417</v>
      </c>
      <c r="B3079" s="50">
        <v>45053.1790776273</v>
      </c>
      <c r="C3079" s="51">
        <v>1.021</v>
      </c>
      <c r="D3079" s="51">
        <v>61.0</v>
      </c>
      <c r="E3079" s="52" t="s">
        <v>25</v>
      </c>
      <c r="F3079" s="52" t="s">
        <v>26</v>
      </c>
      <c r="G3079" s="54"/>
    </row>
    <row r="3080">
      <c r="A3080" s="49">
        <v>45053.06452068287</v>
      </c>
      <c r="B3080" s="50">
        <v>45053.1894979282</v>
      </c>
      <c r="C3080" s="51">
        <v>1.021</v>
      </c>
      <c r="D3080" s="51">
        <v>61.0</v>
      </c>
      <c r="E3080" s="52" t="s">
        <v>25</v>
      </c>
      <c r="F3080" s="52" t="s">
        <v>26</v>
      </c>
      <c r="G3080" s="54"/>
    </row>
    <row r="3081">
      <c r="A3081" s="49">
        <v>45053.07494640046</v>
      </c>
      <c r="B3081" s="50">
        <v>45053.1999178935</v>
      </c>
      <c r="C3081" s="51">
        <v>1.021</v>
      </c>
      <c r="D3081" s="51">
        <v>61.0</v>
      </c>
      <c r="E3081" s="52" t="s">
        <v>25</v>
      </c>
      <c r="F3081" s="52" t="s">
        <v>26</v>
      </c>
      <c r="G3081" s="54"/>
    </row>
    <row r="3082">
      <c r="A3082" s="49">
        <v>45053.085368368054</v>
      </c>
      <c r="B3082" s="50">
        <v>45053.2103396875</v>
      </c>
      <c r="C3082" s="51">
        <v>1.021</v>
      </c>
      <c r="D3082" s="51">
        <v>61.0</v>
      </c>
      <c r="E3082" s="52" t="s">
        <v>25</v>
      </c>
      <c r="F3082" s="52" t="s">
        <v>26</v>
      </c>
      <c r="G3082" s="54"/>
    </row>
    <row r="3083">
      <c r="A3083" s="49">
        <v>45053.09578567129</v>
      </c>
      <c r="B3083" s="50">
        <v>45053.2207603935</v>
      </c>
      <c r="C3083" s="51">
        <v>1.021</v>
      </c>
      <c r="D3083" s="51">
        <v>61.0</v>
      </c>
      <c r="E3083" s="52" t="s">
        <v>25</v>
      </c>
      <c r="F3083" s="52" t="s">
        <v>26</v>
      </c>
      <c r="G3083" s="54"/>
    </row>
    <row r="3084">
      <c r="A3084" s="49">
        <v>45053.11663575232</v>
      </c>
      <c r="B3084" s="50">
        <v>45053.2416031944</v>
      </c>
      <c r="C3084" s="51">
        <v>1.021</v>
      </c>
      <c r="D3084" s="51">
        <v>61.0</v>
      </c>
      <c r="E3084" s="52" t="s">
        <v>25</v>
      </c>
      <c r="F3084" s="52" t="s">
        <v>26</v>
      </c>
      <c r="G3084" s="54"/>
    </row>
    <row r="3085">
      <c r="A3085" s="49">
        <v>45053.12704358796</v>
      </c>
      <c r="B3085" s="50">
        <v>45053.2520250115</v>
      </c>
      <c r="C3085" s="51">
        <v>1.021</v>
      </c>
      <c r="D3085" s="51">
        <v>61.0</v>
      </c>
      <c r="E3085" s="52" t="s">
        <v>25</v>
      </c>
      <c r="F3085" s="52" t="s">
        <v>26</v>
      </c>
      <c r="G3085" s="54"/>
    </row>
    <row r="3086">
      <c r="A3086" s="49">
        <v>45053.13746966435</v>
      </c>
      <c r="B3086" s="50">
        <v>45053.2624486689</v>
      </c>
      <c r="C3086" s="51">
        <v>1.021</v>
      </c>
      <c r="D3086" s="51">
        <v>61.0</v>
      </c>
      <c r="E3086" s="52" t="s">
        <v>25</v>
      </c>
      <c r="F3086" s="52" t="s">
        <v>26</v>
      </c>
      <c r="G3086" s="54"/>
    </row>
    <row r="3087">
      <c r="A3087" s="49">
        <v>45053.14790270833</v>
      </c>
      <c r="B3087" s="50">
        <v>45053.2728815162</v>
      </c>
      <c r="C3087" s="51">
        <v>1.021</v>
      </c>
      <c r="D3087" s="51">
        <v>61.0</v>
      </c>
      <c r="E3087" s="52" t="s">
        <v>25</v>
      </c>
      <c r="F3087" s="52" t="s">
        <v>26</v>
      </c>
      <c r="G3087" s="54"/>
    </row>
    <row r="3088">
      <c r="A3088" s="49">
        <v>45053.15833232639</v>
      </c>
      <c r="B3088" s="50">
        <v>45053.2833036689</v>
      </c>
      <c r="C3088" s="51">
        <v>1.021</v>
      </c>
      <c r="D3088" s="51">
        <v>61.0</v>
      </c>
      <c r="E3088" s="52" t="s">
        <v>25</v>
      </c>
      <c r="F3088" s="52" t="s">
        <v>26</v>
      </c>
      <c r="G3088" s="54"/>
    </row>
    <row r="3089">
      <c r="A3089" s="49">
        <v>45053.168745856485</v>
      </c>
      <c r="B3089" s="50">
        <v>45053.2937236111</v>
      </c>
      <c r="C3089" s="51">
        <v>1.021</v>
      </c>
      <c r="D3089" s="51">
        <v>61.0</v>
      </c>
      <c r="E3089" s="52" t="s">
        <v>25</v>
      </c>
      <c r="F3089" s="52" t="s">
        <v>26</v>
      </c>
      <c r="G3089" s="54"/>
    </row>
    <row r="3090">
      <c r="A3090" s="49">
        <v>45053.1791831713</v>
      </c>
      <c r="B3090" s="50">
        <v>45053.3041558333</v>
      </c>
      <c r="C3090" s="51">
        <v>1.021</v>
      </c>
      <c r="D3090" s="51">
        <v>61.0</v>
      </c>
      <c r="E3090" s="52" t="s">
        <v>25</v>
      </c>
      <c r="F3090" s="52" t="s">
        <v>26</v>
      </c>
      <c r="G3090" s="54"/>
    </row>
    <row r="3091">
      <c r="A3091" s="49">
        <v>45053.189604618055</v>
      </c>
      <c r="B3091" s="50">
        <v>45053.3145775</v>
      </c>
      <c r="C3091" s="51">
        <v>1.021</v>
      </c>
      <c r="D3091" s="51">
        <v>61.0</v>
      </c>
      <c r="E3091" s="52" t="s">
        <v>25</v>
      </c>
      <c r="F3091" s="52" t="s">
        <v>26</v>
      </c>
      <c r="G3091" s="54"/>
    </row>
    <row r="3092">
      <c r="A3092" s="49">
        <v>45053.20002725694</v>
      </c>
      <c r="B3092" s="50">
        <v>45053.3249985995</v>
      </c>
      <c r="C3092" s="51">
        <v>1.021</v>
      </c>
      <c r="D3092" s="51">
        <v>61.0</v>
      </c>
      <c r="E3092" s="52" t="s">
        <v>25</v>
      </c>
      <c r="F3092" s="52" t="s">
        <v>26</v>
      </c>
      <c r="G3092" s="54"/>
    </row>
    <row r="3093">
      <c r="A3093" s="49">
        <v>45053.21045</v>
      </c>
      <c r="B3093" s="50">
        <v>45053.33542</v>
      </c>
      <c r="C3093" s="51">
        <v>1.021</v>
      </c>
      <c r="D3093" s="51">
        <v>61.0</v>
      </c>
      <c r="E3093" s="52" t="s">
        <v>25</v>
      </c>
      <c r="F3093" s="52" t="s">
        <v>26</v>
      </c>
      <c r="G3093" s="54"/>
    </row>
    <row r="3094">
      <c r="A3094" s="49">
        <v>45053.22094159722</v>
      </c>
      <c r="B3094" s="50">
        <v>45053.3458508912</v>
      </c>
      <c r="C3094" s="51">
        <v>1.021</v>
      </c>
      <c r="D3094" s="51">
        <v>61.0</v>
      </c>
      <c r="E3094" s="52" t="s">
        <v>25</v>
      </c>
      <c r="F3094" s="52" t="s">
        <v>26</v>
      </c>
      <c r="G3094" s="54"/>
    </row>
    <row r="3095">
      <c r="A3095" s="49">
        <v>45053.231290868054</v>
      </c>
      <c r="B3095" s="50">
        <v>45053.3562722453</v>
      </c>
      <c r="C3095" s="51">
        <v>1.021</v>
      </c>
      <c r="D3095" s="51">
        <v>61.0</v>
      </c>
      <c r="E3095" s="52" t="s">
        <v>25</v>
      </c>
      <c r="F3095" s="52" t="s">
        <v>26</v>
      </c>
      <c r="G3095" s="54"/>
    </row>
    <row r="3096">
      <c r="A3096" s="49">
        <v>45053.241722499995</v>
      </c>
      <c r="B3096" s="50">
        <v>45053.3666923611</v>
      </c>
      <c r="C3096" s="51">
        <v>1.021</v>
      </c>
      <c r="D3096" s="51">
        <v>61.0</v>
      </c>
      <c r="E3096" s="52" t="s">
        <v>25</v>
      </c>
      <c r="F3096" s="52" t="s">
        <v>26</v>
      </c>
      <c r="G3096" s="54"/>
    </row>
    <row r="3097">
      <c r="A3097" s="49">
        <v>45053.25214856482</v>
      </c>
      <c r="B3097" s="50">
        <v>45053.3771151504</v>
      </c>
      <c r="C3097" s="51">
        <v>1.021</v>
      </c>
      <c r="D3097" s="51">
        <v>61.0</v>
      </c>
      <c r="E3097" s="52" t="s">
        <v>25</v>
      </c>
      <c r="F3097" s="52" t="s">
        <v>26</v>
      </c>
      <c r="G3097" s="54"/>
    </row>
    <row r="3098">
      <c r="A3098" s="49">
        <v>45053.2625653125</v>
      </c>
      <c r="B3098" s="50">
        <v>45053.3875368634</v>
      </c>
      <c r="C3098" s="51">
        <v>1.021</v>
      </c>
      <c r="D3098" s="51">
        <v>61.0</v>
      </c>
      <c r="E3098" s="52" t="s">
        <v>25</v>
      </c>
      <c r="F3098" s="52" t="s">
        <v>26</v>
      </c>
      <c r="G3098" s="54"/>
    </row>
    <row r="3099">
      <c r="A3099" s="49">
        <v>45053.27298226852</v>
      </c>
      <c r="B3099" s="50">
        <v>45053.3979585879</v>
      </c>
      <c r="C3099" s="51">
        <v>1.021</v>
      </c>
      <c r="D3099" s="51">
        <v>61.0</v>
      </c>
      <c r="E3099" s="52" t="s">
        <v>25</v>
      </c>
      <c r="F3099" s="52" t="s">
        <v>26</v>
      </c>
      <c r="G3099" s="54"/>
    </row>
    <row r="3100">
      <c r="A3100" s="49">
        <v>45053.283402905094</v>
      </c>
      <c r="B3100" s="50">
        <v>45053.4083786111</v>
      </c>
      <c r="C3100" s="51">
        <v>1.021</v>
      </c>
      <c r="D3100" s="51">
        <v>61.0</v>
      </c>
      <c r="E3100" s="52" t="s">
        <v>25</v>
      </c>
      <c r="F3100" s="52" t="s">
        <v>26</v>
      </c>
      <c r="G3100" s="54"/>
    </row>
    <row r="3101">
      <c r="A3101" s="49">
        <v>45053.293827754635</v>
      </c>
      <c r="B3101" s="50">
        <v>45053.4187988194</v>
      </c>
      <c r="C3101" s="51">
        <v>1.021</v>
      </c>
      <c r="D3101" s="51">
        <v>61.0</v>
      </c>
      <c r="E3101" s="52" t="s">
        <v>25</v>
      </c>
      <c r="F3101" s="52" t="s">
        <v>26</v>
      </c>
      <c r="G3101" s="54"/>
    </row>
    <row r="3102">
      <c r="A3102" s="49">
        <v>45053.30424694445</v>
      </c>
      <c r="B3102" s="50">
        <v>45053.4292195601</v>
      </c>
      <c r="C3102" s="51">
        <v>1.021</v>
      </c>
      <c r="D3102" s="51">
        <v>61.0</v>
      </c>
      <c r="E3102" s="52" t="s">
        <v>25</v>
      </c>
      <c r="F3102" s="52" t="s">
        <v>26</v>
      </c>
      <c r="G3102" s="54"/>
    </row>
    <row r="3103">
      <c r="A3103" s="49">
        <v>45053.31466738426</v>
      </c>
      <c r="B3103" s="50">
        <v>45053.439638206</v>
      </c>
      <c r="C3103" s="51">
        <v>1.021</v>
      </c>
      <c r="D3103" s="51">
        <v>61.0</v>
      </c>
      <c r="E3103" s="52" t="s">
        <v>25</v>
      </c>
      <c r="F3103" s="52" t="s">
        <v>26</v>
      </c>
      <c r="G3103" s="54"/>
    </row>
    <row r="3104">
      <c r="A3104" s="49">
        <v>45053.325087453704</v>
      </c>
      <c r="B3104" s="50">
        <v>45053.4500598958</v>
      </c>
      <c r="C3104" s="51">
        <v>1.021</v>
      </c>
      <c r="D3104" s="51">
        <v>61.0</v>
      </c>
      <c r="E3104" s="52" t="s">
        <v>25</v>
      </c>
      <c r="F3104" s="52" t="s">
        <v>26</v>
      </c>
      <c r="G3104" s="54"/>
    </row>
    <row r="3105">
      <c r="A3105" s="49">
        <v>45053.335512418984</v>
      </c>
      <c r="B3105" s="50">
        <v>45053.4604810416</v>
      </c>
      <c r="C3105" s="51">
        <v>1.021</v>
      </c>
      <c r="D3105" s="51">
        <v>61.0</v>
      </c>
      <c r="E3105" s="52" t="s">
        <v>25</v>
      </c>
      <c r="F3105" s="52" t="s">
        <v>26</v>
      </c>
      <c r="G3105" s="54"/>
    </row>
    <row r="3106">
      <c r="A3106" s="49">
        <v>45053.345926504626</v>
      </c>
      <c r="B3106" s="50">
        <v>45053.4709009375</v>
      </c>
      <c r="C3106" s="51">
        <v>1.021</v>
      </c>
      <c r="D3106" s="51">
        <v>61.0</v>
      </c>
      <c r="E3106" s="52" t="s">
        <v>25</v>
      </c>
      <c r="F3106" s="52" t="s">
        <v>26</v>
      </c>
      <c r="G3106" s="54"/>
    </row>
    <row r="3107">
      <c r="A3107" s="49">
        <v>45053.35634857639</v>
      </c>
      <c r="B3107" s="50">
        <v>45053.4813209722</v>
      </c>
      <c r="C3107" s="51">
        <v>1.021</v>
      </c>
      <c r="D3107" s="51">
        <v>61.0</v>
      </c>
      <c r="E3107" s="52" t="s">
        <v>25</v>
      </c>
      <c r="F3107" s="52" t="s">
        <v>26</v>
      </c>
      <c r="G3107" s="54"/>
    </row>
    <row r="3108">
      <c r="A3108" s="49">
        <v>45053.366768761574</v>
      </c>
      <c r="B3108" s="50">
        <v>45053.4917404745</v>
      </c>
      <c r="C3108" s="51">
        <v>1.021</v>
      </c>
      <c r="D3108" s="51">
        <v>61.0</v>
      </c>
      <c r="E3108" s="52" t="s">
        <v>25</v>
      </c>
      <c r="F3108" s="52" t="s">
        <v>26</v>
      </c>
      <c r="G3108" s="54"/>
    </row>
    <row r="3109">
      <c r="A3109" s="49">
        <v>45053.377189108796</v>
      </c>
      <c r="B3109" s="50">
        <v>45053.5021611226</v>
      </c>
      <c r="C3109" s="51">
        <v>1.021</v>
      </c>
      <c r="D3109" s="51">
        <v>61.0</v>
      </c>
      <c r="E3109" s="52" t="s">
        <v>25</v>
      </c>
      <c r="F3109" s="52" t="s">
        <v>26</v>
      </c>
      <c r="G3109" s="54"/>
    </row>
    <row r="3110">
      <c r="A3110" s="49">
        <v>45053.387619375004</v>
      </c>
      <c r="B3110" s="50">
        <v>45053.5125942592</v>
      </c>
      <c r="C3110" s="51">
        <v>1.021</v>
      </c>
      <c r="D3110" s="51">
        <v>61.0</v>
      </c>
      <c r="E3110" s="52" t="s">
        <v>25</v>
      </c>
      <c r="F3110" s="52" t="s">
        <v>26</v>
      </c>
      <c r="G3110" s="54"/>
    </row>
    <row r="3111">
      <c r="A3111" s="49">
        <v>45053.39803783565</v>
      </c>
      <c r="B3111" s="50">
        <v>45053.5230163078</v>
      </c>
      <c r="C3111" s="51">
        <v>1.021</v>
      </c>
      <c r="D3111" s="51">
        <v>61.0</v>
      </c>
      <c r="E3111" s="52" t="s">
        <v>25</v>
      </c>
      <c r="F3111" s="52" t="s">
        <v>26</v>
      </c>
      <c r="G3111" s="54"/>
    </row>
    <row r="3112">
      <c r="A3112" s="49">
        <v>45053.408472615745</v>
      </c>
      <c r="B3112" s="50">
        <v>45053.5334406944</v>
      </c>
      <c r="C3112" s="51">
        <v>1.021</v>
      </c>
      <c r="D3112" s="51">
        <v>61.0</v>
      </c>
      <c r="E3112" s="52" t="s">
        <v>25</v>
      </c>
      <c r="F3112" s="52" t="s">
        <v>26</v>
      </c>
      <c r="G3112" s="54"/>
    </row>
    <row r="3113">
      <c r="A3113" s="49">
        <v>45053.418893553244</v>
      </c>
      <c r="B3113" s="50">
        <v>45053.5438625</v>
      </c>
      <c r="C3113" s="51">
        <v>1.021</v>
      </c>
      <c r="D3113" s="51">
        <v>61.0</v>
      </c>
      <c r="E3113" s="52" t="s">
        <v>25</v>
      </c>
      <c r="F3113" s="52" t="s">
        <v>26</v>
      </c>
      <c r="G3113" s="54"/>
    </row>
    <row r="3114">
      <c r="A3114" s="49">
        <v>45053.42931224537</v>
      </c>
      <c r="B3114" s="50">
        <v>45053.5542830671</v>
      </c>
      <c r="C3114" s="51">
        <v>1.021</v>
      </c>
      <c r="D3114" s="51">
        <v>61.0</v>
      </c>
      <c r="E3114" s="52" t="s">
        <v>25</v>
      </c>
      <c r="F3114" s="52" t="s">
        <v>26</v>
      </c>
      <c r="G3114" s="54"/>
    </row>
    <row r="3115">
      <c r="A3115" s="49">
        <v>45053.439721331015</v>
      </c>
      <c r="B3115" s="50">
        <v>45053.5647040625</v>
      </c>
      <c r="C3115" s="51">
        <v>1.021</v>
      </c>
      <c r="D3115" s="51">
        <v>61.0</v>
      </c>
      <c r="E3115" s="52" t="s">
        <v>25</v>
      </c>
      <c r="F3115" s="52" t="s">
        <v>26</v>
      </c>
      <c r="G3115" s="54"/>
    </row>
    <row r="3116">
      <c r="A3116" s="49">
        <v>45053.45015428241</v>
      </c>
      <c r="B3116" s="50">
        <v>45053.5751251967</v>
      </c>
      <c r="C3116" s="51">
        <v>1.021</v>
      </c>
      <c r="D3116" s="51">
        <v>61.0</v>
      </c>
      <c r="E3116" s="52" t="s">
        <v>25</v>
      </c>
      <c r="F3116" s="52" t="s">
        <v>26</v>
      </c>
      <c r="G3116" s="54"/>
    </row>
    <row r="3117">
      <c r="A3117" s="49">
        <v>45053.46059717593</v>
      </c>
      <c r="B3117" s="50">
        <v>45053.5855682523</v>
      </c>
      <c r="C3117" s="51">
        <v>1.021</v>
      </c>
      <c r="D3117" s="51">
        <v>61.0</v>
      </c>
      <c r="E3117" s="52" t="s">
        <v>25</v>
      </c>
      <c r="F3117" s="52" t="s">
        <v>26</v>
      </c>
      <c r="G3117" s="54"/>
    </row>
    <row r="3118">
      <c r="A3118" s="49">
        <v>45053.47102809028</v>
      </c>
      <c r="B3118" s="50">
        <v>45053.5960012847</v>
      </c>
      <c r="C3118" s="51">
        <v>1.021</v>
      </c>
      <c r="D3118" s="51">
        <v>61.0</v>
      </c>
      <c r="E3118" s="52" t="s">
        <v>25</v>
      </c>
      <c r="F3118" s="52" t="s">
        <v>26</v>
      </c>
      <c r="G3118" s="54"/>
    </row>
    <row r="3119">
      <c r="A3119" s="49">
        <v>45053.48145252315</v>
      </c>
      <c r="B3119" s="50">
        <v>45053.6064230555</v>
      </c>
      <c r="C3119" s="51">
        <v>1.021</v>
      </c>
      <c r="D3119" s="51">
        <v>61.0</v>
      </c>
      <c r="E3119" s="52" t="s">
        <v>25</v>
      </c>
      <c r="F3119" s="52" t="s">
        <v>26</v>
      </c>
      <c r="G3119" s="54"/>
    </row>
    <row r="3120">
      <c r="A3120" s="49">
        <v>45053.49186303241</v>
      </c>
      <c r="B3120" s="50">
        <v>45053.6168416435</v>
      </c>
      <c r="C3120" s="51">
        <v>1.021</v>
      </c>
      <c r="D3120" s="51">
        <v>61.0</v>
      </c>
      <c r="E3120" s="52" t="s">
        <v>25</v>
      </c>
      <c r="F3120" s="52" t="s">
        <v>26</v>
      </c>
      <c r="G3120" s="54"/>
    </row>
    <row r="3121">
      <c r="A3121" s="49">
        <v>45053.5022805787</v>
      </c>
      <c r="B3121" s="50">
        <v>45053.6272616203</v>
      </c>
      <c r="C3121" s="51">
        <v>1.021</v>
      </c>
      <c r="D3121" s="51">
        <v>61.0</v>
      </c>
      <c r="E3121" s="52" t="s">
        <v>25</v>
      </c>
      <c r="F3121" s="52" t="s">
        <v>26</v>
      </c>
      <c r="G3121" s="54"/>
    </row>
    <row r="3122">
      <c r="A3122" s="49">
        <v>45053.51271131945</v>
      </c>
      <c r="B3122" s="50">
        <v>45053.6376823958</v>
      </c>
      <c r="C3122" s="51">
        <v>1.021</v>
      </c>
      <c r="D3122" s="51">
        <v>61.0</v>
      </c>
      <c r="E3122" s="52" t="s">
        <v>25</v>
      </c>
      <c r="F3122" s="52" t="s">
        <v>26</v>
      </c>
      <c r="G3122" s="54"/>
    </row>
    <row r="3123">
      <c r="A3123" s="49">
        <v>45053.52314149306</v>
      </c>
      <c r="B3123" s="50">
        <v>45053.6481140393</v>
      </c>
      <c r="C3123" s="51">
        <v>1.021</v>
      </c>
      <c r="D3123" s="51">
        <v>61.0</v>
      </c>
      <c r="E3123" s="52" t="s">
        <v>25</v>
      </c>
      <c r="F3123" s="52" t="s">
        <v>26</v>
      </c>
      <c r="G3123" s="54"/>
    </row>
    <row r="3124">
      <c r="A3124" s="49">
        <v>45053.53357671296</v>
      </c>
      <c r="B3124" s="50">
        <v>45053.6585466898</v>
      </c>
      <c r="C3124" s="51">
        <v>1.021</v>
      </c>
      <c r="D3124" s="51">
        <v>61.0</v>
      </c>
      <c r="E3124" s="52" t="s">
        <v>25</v>
      </c>
      <c r="F3124" s="52" t="s">
        <v>26</v>
      </c>
      <c r="G3124" s="54"/>
    </row>
    <row r="3125">
      <c r="A3125" s="49">
        <v>45053.54399601852</v>
      </c>
      <c r="B3125" s="50">
        <v>45053.6689671064</v>
      </c>
      <c r="C3125" s="51">
        <v>1.021</v>
      </c>
      <c r="D3125" s="51">
        <v>61.0</v>
      </c>
      <c r="E3125" s="52" t="s">
        <v>25</v>
      </c>
      <c r="F3125" s="52" t="s">
        <v>26</v>
      </c>
      <c r="G3125" s="54"/>
    </row>
    <row r="3126">
      <c r="A3126" s="49">
        <v>45053.5544134838</v>
      </c>
      <c r="B3126" s="50">
        <v>45053.679388831</v>
      </c>
      <c r="C3126" s="51">
        <v>1.021</v>
      </c>
      <c r="D3126" s="51">
        <v>61.0</v>
      </c>
      <c r="E3126" s="52" t="s">
        <v>25</v>
      </c>
      <c r="F3126" s="52" t="s">
        <v>26</v>
      </c>
      <c r="G3126" s="54"/>
    </row>
    <row r="3127">
      <c r="A3127" s="49">
        <v>45053.5648300926</v>
      </c>
      <c r="B3127" s="50">
        <v>45053.6898098379</v>
      </c>
      <c r="C3127" s="51">
        <v>1.021</v>
      </c>
      <c r="D3127" s="51">
        <v>61.0</v>
      </c>
      <c r="E3127" s="52" t="s">
        <v>25</v>
      </c>
      <c r="F3127" s="52" t="s">
        <v>26</v>
      </c>
      <c r="G3127" s="54"/>
    </row>
    <row r="3128">
      <c r="A3128" s="49">
        <v>45053.57526297454</v>
      </c>
      <c r="B3128" s="50">
        <v>45053.7002417592</v>
      </c>
      <c r="C3128" s="51">
        <v>1.021</v>
      </c>
      <c r="D3128" s="51">
        <v>61.0</v>
      </c>
      <c r="E3128" s="52" t="s">
        <v>25</v>
      </c>
      <c r="F3128" s="52" t="s">
        <v>26</v>
      </c>
      <c r="G3128" s="54"/>
    </row>
    <row r="3129">
      <c r="A3129" s="49">
        <v>45053.585694016205</v>
      </c>
      <c r="B3129" s="50">
        <v>45053.7106642013</v>
      </c>
      <c r="C3129" s="51">
        <v>1.021</v>
      </c>
      <c r="D3129" s="51">
        <v>61.0</v>
      </c>
      <c r="E3129" s="52" t="s">
        <v>25</v>
      </c>
      <c r="F3129" s="52" t="s">
        <v>26</v>
      </c>
      <c r="G3129" s="54"/>
    </row>
    <row r="3130">
      <c r="A3130" s="49">
        <v>45053.59611384259</v>
      </c>
      <c r="B3130" s="50">
        <v>45053.7210857291</v>
      </c>
      <c r="C3130" s="51">
        <v>1.021</v>
      </c>
      <c r="D3130" s="51">
        <v>61.0</v>
      </c>
      <c r="E3130" s="52" t="s">
        <v>25</v>
      </c>
      <c r="F3130" s="52" t="s">
        <v>26</v>
      </c>
      <c r="G3130" s="54"/>
    </row>
    <row r="3131">
      <c r="A3131" s="49">
        <v>45053.60653701389</v>
      </c>
      <c r="B3131" s="50">
        <v>45053.7315070486</v>
      </c>
      <c r="C3131" s="51">
        <v>1.021</v>
      </c>
      <c r="D3131" s="51">
        <v>61.0</v>
      </c>
      <c r="E3131" s="52" t="s">
        <v>25</v>
      </c>
      <c r="F3131" s="52" t="s">
        <v>26</v>
      </c>
      <c r="G3131" s="54"/>
    </row>
    <row r="3132">
      <c r="A3132" s="49">
        <v>45053.61696130787</v>
      </c>
      <c r="B3132" s="50">
        <v>45053.7419401273</v>
      </c>
      <c r="C3132" s="51">
        <v>1.021</v>
      </c>
      <c r="D3132" s="51">
        <v>61.0</v>
      </c>
      <c r="E3132" s="52" t="s">
        <v>25</v>
      </c>
      <c r="F3132" s="52" t="s">
        <v>26</v>
      </c>
      <c r="G3132" s="54"/>
    </row>
    <row r="3133">
      <c r="A3133" s="49">
        <v>45053.63787041667</v>
      </c>
      <c r="B3133" s="50">
        <v>45053.7628375694</v>
      </c>
      <c r="C3133" s="51">
        <v>1.021</v>
      </c>
      <c r="D3133" s="51">
        <v>61.0</v>
      </c>
      <c r="E3133" s="52" t="s">
        <v>25</v>
      </c>
      <c r="F3133" s="52" t="s">
        <v>26</v>
      </c>
      <c r="G3133" s="54"/>
    </row>
    <row r="3134">
      <c r="A3134" s="49">
        <v>45053.64828913195</v>
      </c>
      <c r="B3134" s="50">
        <v>45053.7732590277</v>
      </c>
      <c r="C3134" s="51">
        <v>1.021</v>
      </c>
      <c r="D3134" s="51">
        <v>61.0</v>
      </c>
      <c r="E3134" s="52" t="s">
        <v>25</v>
      </c>
      <c r="F3134" s="52" t="s">
        <v>26</v>
      </c>
      <c r="G3134" s="54"/>
    </row>
    <row r="3135">
      <c r="A3135" s="49">
        <v>45053.66913361111</v>
      </c>
      <c r="B3135" s="50">
        <v>45053.7941127662</v>
      </c>
      <c r="C3135" s="51">
        <v>1.021</v>
      </c>
      <c r="D3135" s="51">
        <v>61.0</v>
      </c>
      <c r="E3135" s="52" t="s">
        <v>25</v>
      </c>
      <c r="F3135" s="52" t="s">
        <v>26</v>
      </c>
      <c r="G3135" s="54"/>
    </row>
    <row r="3136">
      <c r="A3136" s="49">
        <v>45053.679556550924</v>
      </c>
      <c r="B3136" s="50">
        <v>45053.8045342939</v>
      </c>
      <c r="C3136" s="51">
        <v>1.021</v>
      </c>
      <c r="D3136" s="51">
        <v>61.0</v>
      </c>
      <c r="E3136" s="52" t="s">
        <v>25</v>
      </c>
      <c r="F3136" s="52" t="s">
        <v>26</v>
      </c>
      <c r="G3136" s="54"/>
    </row>
    <row r="3137">
      <c r="A3137" s="49">
        <v>45053.689978634255</v>
      </c>
      <c r="B3137" s="50">
        <v>45053.8149564467</v>
      </c>
      <c r="C3137" s="51">
        <v>1.021</v>
      </c>
      <c r="D3137" s="51">
        <v>61.0</v>
      </c>
      <c r="E3137" s="52" t="s">
        <v>25</v>
      </c>
      <c r="F3137" s="52" t="s">
        <v>26</v>
      </c>
      <c r="G3137" s="54"/>
    </row>
    <row r="3138">
      <c r="A3138" s="49">
        <v>45053.71082324074</v>
      </c>
      <c r="B3138" s="50">
        <v>45053.8358002777</v>
      </c>
      <c r="C3138" s="51">
        <v>1.021</v>
      </c>
      <c r="D3138" s="51">
        <v>61.0</v>
      </c>
      <c r="E3138" s="52" t="s">
        <v>25</v>
      </c>
      <c r="F3138" s="52" t="s">
        <v>26</v>
      </c>
      <c r="G3138" s="54"/>
    </row>
    <row r="3139">
      <c r="A3139" s="49">
        <v>45053.72124333333</v>
      </c>
      <c r="B3139" s="50">
        <v>45053.8462209259</v>
      </c>
      <c r="C3139" s="51">
        <v>1.021</v>
      </c>
      <c r="D3139" s="51">
        <v>61.0</v>
      </c>
      <c r="E3139" s="52" t="s">
        <v>25</v>
      </c>
      <c r="F3139" s="52" t="s">
        <v>26</v>
      </c>
      <c r="G3139" s="54"/>
    </row>
    <row r="3140">
      <c r="A3140" s="49">
        <v>45053.73167508101</v>
      </c>
      <c r="B3140" s="50">
        <v>45053.8566414699</v>
      </c>
      <c r="C3140" s="51">
        <v>1.021</v>
      </c>
      <c r="D3140" s="51">
        <v>61.0</v>
      </c>
      <c r="E3140" s="52" t="s">
        <v>25</v>
      </c>
      <c r="F3140" s="52" t="s">
        <v>26</v>
      </c>
      <c r="G3140" s="54"/>
    </row>
    <row r="3141">
      <c r="A3141" s="49">
        <v>45053.75250700231</v>
      </c>
      <c r="B3141" s="50">
        <v>45053.8774849652</v>
      </c>
      <c r="C3141" s="51">
        <v>1.021</v>
      </c>
      <c r="D3141" s="51">
        <v>61.0</v>
      </c>
      <c r="E3141" s="52" t="s">
        <v>25</v>
      </c>
      <c r="F3141" s="52" t="s">
        <v>26</v>
      </c>
      <c r="G3141" s="54"/>
    </row>
    <row r="3142">
      <c r="A3142" s="49">
        <v>45053.76294675926</v>
      </c>
      <c r="B3142" s="50">
        <v>45053.8879201967</v>
      </c>
      <c r="C3142" s="51">
        <v>1.021</v>
      </c>
      <c r="D3142" s="51">
        <v>61.0</v>
      </c>
      <c r="E3142" s="52" t="s">
        <v>25</v>
      </c>
      <c r="F3142" s="52" t="s">
        <v>26</v>
      </c>
      <c r="G3142" s="54"/>
    </row>
    <row r="3143">
      <c r="A3143" s="49">
        <v>45053.773368483795</v>
      </c>
      <c r="B3143" s="50">
        <v>45053.8983410995</v>
      </c>
      <c r="C3143" s="51">
        <v>1.021</v>
      </c>
      <c r="D3143" s="51">
        <v>61.0</v>
      </c>
      <c r="E3143" s="52" t="s">
        <v>25</v>
      </c>
      <c r="F3143" s="52" t="s">
        <v>26</v>
      </c>
      <c r="G3143" s="54"/>
    </row>
    <row r="3144">
      <c r="A3144" s="49">
        <v>45053.78379614583</v>
      </c>
      <c r="B3144" s="50">
        <v>45053.9087747685</v>
      </c>
      <c r="C3144" s="51">
        <v>1.021</v>
      </c>
      <c r="D3144" s="51">
        <v>61.0</v>
      </c>
      <c r="E3144" s="52" t="s">
        <v>25</v>
      </c>
      <c r="F3144" s="52" t="s">
        <v>26</v>
      </c>
      <c r="G3144" s="54"/>
    </row>
    <row r="3145">
      <c r="A3145" s="49">
        <v>45053.79422673611</v>
      </c>
      <c r="B3145" s="50">
        <v>45053.9191972801</v>
      </c>
      <c r="C3145" s="51">
        <v>1.021</v>
      </c>
      <c r="D3145" s="51">
        <v>61.0</v>
      </c>
      <c r="E3145" s="52" t="s">
        <v>25</v>
      </c>
      <c r="F3145" s="52" t="s">
        <v>26</v>
      </c>
      <c r="G3145" s="54"/>
    </row>
    <row r="3146">
      <c r="A3146" s="49">
        <v>45053.81505849537</v>
      </c>
      <c r="B3146" s="50">
        <v>45053.9400397685</v>
      </c>
      <c r="C3146" s="51">
        <v>1.021</v>
      </c>
      <c r="D3146" s="51">
        <v>61.0</v>
      </c>
      <c r="E3146" s="52" t="s">
        <v>25</v>
      </c>
      <c r="F3146" s="52" t="s">
        <v>26</v>
      </c>
      <c r="G3146" s="54"/>
    </row>
    <row r="3147">
      <c r="A3147" s="49">
        <v>45053.83590128472</v>
      </c>
      <c r="B3147" s="50">
        <v>45053.9608800115</v>
      </c>
      <c r="C3147" s="51">
        <v>1.021</v>
      </c>
      <c r="D3147" s="51">
        <v>61.0</v>
      </c>
      <c r="E3147" s="52" t="s">
        <v>25</v>
      </c>
      <c r="F3147" s="52" t="s">
        <v>26</v>
      </c>
      <c r="G3147" s="54"/>
    </row>
    <row r="3148">
      <c r="A3148" s="49">
        <v>45053.84631517361</v>
      </c>
      <c r="B3148" s="50">
        <v>45053.9712996296</v>
      </c>
      <c r="C3148" s="51">
        <v>1.021</v>
      </c>
      <c r="D3148" s="51">
        <v>61.0</v>
      </c>
      <c r="E3148" s="52" t="s">
        <v>25</v>
      </c>
      <c r="F3148" s="52" t="s">
        <v>26</v>
      </c>
      <c r="G3148" s="54"/>
    </row>
    <row r="3149">
      <c r="A3149" s="49">
        <v>45053.85674474537</v>
      </c>
      <c r="B3149" s="50">
        <v>45053.9817218518</v>
      </c>
      <c r="C3149" s="51">
        <v>1.021</v>
      </c>
      <c r="D3149" s="51">
        <v>61.0</v>
      </c>
      <c r="E3149" s="52" t="s">
        <v>25</v>
      </c>
      <c r="F3149" s="52" t="s">
        <v>26</v>
      </c>
      <c r="G3149" s="54"/>
    </row>
    <row r="3150">
      <c r="A3150" s="49">
        <v>45053.867162395836</v>
      </c>
      <c r="B3150" s="50">
        <v>45053.9921431481</v>
      </c>
      <c r="C3150" s="51">
        <v>1.021</v>
      </c>
      <c r="D3150" s="51">
        <v>61.0</v>
      </c>
      <c r="E3150" s="52" t="s">
        <v>25</v>
      </c>
      <c r="F3150" s="52" t="s">
        <v>26</v>
      </c>
      <c r="G3150" s="54"/>
    </row>
    <row r="3151">
      <c r="A3151" s="49">
        <v>45053.87758733796</v>
      </c>
      <c r="B3151" s="50">
        <v>45054.0025636458</v>
      </c>
      <c r="C3151" s="51">
        <v>1.021</v>
      </c>
      <c r="D3151" s="51">
        <v>61.0</v>
      </c>
      <c r="E3151" s="52" t="s">
        <v>25</v>
      </c>
      <c r="F3151" s="52" t="s">
        <v>26</v>
      </c>
      <c r="G3151" s="54"/>
    </row>
    <row r="3152">
      <c r="A3152" s="49">
        <v>45053.888011574076</v>
      </c>
      <c r="B3152" s="50">
        <v>45054.0129850694</v>
      </c>
      <c r="C3152" s="51">
        <v>1.021</v>
      </c>
      <c r="D3152" s="51">
        <v>61.0</v>
      </c>
      <c r="E3152" s="52" t="s">
        <v>25</v>
      </c>
      <c r="F3152" s="52" t="s">
        <v>26</v>
      </c>
      <c r="G3152" s="54"/>
    </row>
    <row r="3153">
      <c r="A3153" s="49">
        <v>45053.898458020834</v>
      </c>
      <c r="B3153" s="50">
        <v>45054.0234066319</v>
      </c>
      <c r="C3153" s="51">
        <v>1.021</v>
      </c>
      <c r="D3153" s="51">
        <v>61.0</v>
      </c>
      <c r="E3153" s="52" t="s">
        <v>25</v>
      </c>
      <c r="F3153" s="52" t="s">
        <v>26</v>
      </c>
      <c r="G3153" s="54"/>
    </row>
    <row r="3154">
      <c r="A3154" s="49">
        <v>45053.908843599536</v>
      </c>
      <c r="B3154" s="50">
        <v>45054.0338273611</v>
      </c>
      <c r="C3154" s="51">
        <v>1.021</v>
      </c>
      <c r="D3154" s="51">
        <v>61.0</v>
      </c>
      <c r="E3154" s="52" t="s">
        <v>25</v>
      </c>
      <c r="F3154" s="52" t="s">
        <v>26</v>
      </c>
      <c r="G3154" s="54"/>
    </row>
    <row r="3155">
      <c r="A3155" s="49">
        <v>45053.91927378472</v>
      </c>
      <c r="B3155" s="50">
        <v>45054.0442489236</v>
      </c>
      <c r="C3155" s="51">
        <v>1.021</v>
      </c>
      <c r="D3155" s="51">
        <v>61.0</v>
      </c>
      <c r="E3155" s="52" t="s">
        <v>25</v>
      </c>
      <c r="F3155" s="52" t="s">
        <v>26</v>
      </c>
      <c r="G3155" s="54"/>
    </row>
    <row r="3156">
      <c r="A3156" s="49">
        <v>45053.929691655096</v>
      </c>
      <c r="B3156" s="50">
        <v>45054.0546702546</v>
      </c>
      <c r="C3156" s="51">
        <v>1.021</v>
      </c>
      <c r="D3156" s="51">
        <v>61.0</v>
      </c>
      <c r="E3156" s="52" t="s">
        <v>25</v>
      </c>
      <c r="F3156" s="52" t="s">
        <v>26</v>
      </c>
      <c r="G3156" s="54"/>
    </row>
    <row r="3157">
      <c r="A3157" s="49">
        <v>45053.950559930556</v>
      </c>
      <c r="B3157" s="50">
        <v>45054.0755342476</v>
      </c>
      <c r="C3157" s="51">
        <v>1.021</v>
      </c>
      <c r="D3157" s="51">
        <v>61.0</v>
      </c>
      <c r="E3157" s="52" t="s">
        <v>25</v>
      </c>
      <c r="F3157" s="52" t="s">
        <v>26</v>
      </c>
      <c r="G3157" s="54"/>
    </row>
    <row r="3158">
      <c r="A3158" s="49">
        <v>45053.9609746412</v>
      </c>
      <c r="B3158" s="50">
        <v>45054.0859545717</v>
      </c>
      <c r="C3158" s="51">
        <v>1.021</v>
      </c>
      <c r="D3158" s="51">
        <v>61.0</v>
      </c>
      <c r="E3158" s="52" t="s">
        <v>25</v>
      </c>
      <c r="F3158" s="52" t="s">
        <v>26</v>
      </c>
      <c r="G3158" s="54"/>
    </row>
    <row r="3159">
      <c r="A3159" s="49">
        <v>45053.971389791666</v>
      </c>
      <c r="B3159" s="50">
        <v>45054.096375324</v>
      </c>
      <c r="C3159" s="51">
        <v>1.021</v>
      </c>
      <c r="D3159" s="51">
        <v>61.0</v>
      </c>
      <c r="E3159" s="52" t="s">
        <v>25</v>
      </c>
      <c r="F3159" s="52" t="s">
        <v>26</v>
      </c>
      <c r="G3159" s="54"/>
    </row>
    <row r="3160">
      <c r="A3160" s="49">
        <v>45053.98182173611</v>
      </c>
      <c r="B3160" s="50">
        <v>45054.106795405</v>
      </c>
      <c r="C3160" s="51">
        <v>1.021</v>
      </c>
      <c r="D3160" s="51">
        <v>61.0</v>
      </c>
      <c r="E3160" s="52" t="s">
        <v>25</v>
      </c>
      <c r="F3160" s="52" t="s">
        <v>26</v>
      </c>
      <c r="G3160" s="54"/>
    </row>
    <row r="3161">
      <c r="A3161" s="49">
        <v>45053.9922503125</v>
      </c>
      <c r="B3161" s="50">
        <v>45054.1172274768</v>
      </c>
      <c r="C3161" s="51">
        <v>1.021</v>
      </c>
      <c r="D3161" s="51">
        <v>61.0</v>
      </c>
      <c r="E3161" s="52" t="s">
        <v>25</v>
      </c>
      <c r="F3161" s="52" t="s">
        <v>26</v>
      </c>
      <c r="G3161" s="54"/>
    </row>
    <row r="3162">
      <c r="A3162" s="49">
        <v>45054.00270506945</v>
      </c>
      <c r="B3162" s="50">
        <v>45054.1276479745</v>
      </c>
      <c r="C3162" s="51">
        <v>1.021</v>
      </c>
      <c r="D3162" s="51">
        <v>61.0</v>
      </c>
      <c r="E3162" s="52" t="s">
        <v>25</v>
      </c>
      <c r="F3162" s="52" t="s">
        <v>26</v>
      </c>
      <c r="G3162" s="54"/>
    </row>
    <row r="3163">
      <c r="A3163" s="49">
        <v>45054.013096689814</v>
      </c>
      <c r="B3163" s="50">
        <v>45054.1380689004</v>
      </c>
      <c r="C3163" s="51">
        <v>1.021</v>
      </c>
      <c r="D3163" s="51">
        <v>62.0</v>
      </c>
      <c r="E3163" s="52" t="s">
        <v>25</v>
      </c>
      <c r="F3163" s="52" t="s">
        <v>26</v>
      </c>
      <c r="G3163" s="54"/>
    </row>
    <row r="3164">
      <c r="A3164" s="49">
        <v>45054.02352530093</v>
      </c>
      <c r="B3164" s="50">
        <v>45054.1484911111</v>
      </c>
      <c r="C3164" s="51">
        <v>1.021</v>
      </c>
      <c r="D3164" s="51">
        <v>62.0</v>
      </c>
      <c r="E3164" s="52" t="s">
        <v>25</v>
      </c>
      <c r="F3164" s="52" t="s">
        <v>26</v>
      </c>
      <c r="G3164" s="54"/>
    </row>
    <row r="3165">
      <c r="A3165" s="49">
        <v>45054.03392903935</v>
      </c>
      <c r="B3165" s="50">
        <v>45054.1589108449</v>
      </c>
      <c r="C3165" s="51">
        <v>1.021</v>
      </c>
      <c r="D3165" s="51">
        <v>61.0</v>
      </c>
      <c r="E3165" s="52" t="s">
        <v>25</v>
      </c>
      <c r="F3165" s="52" t="s">
        <v>26</v>
      </c>
      <c r="G3165" s="54"/>
    </row>
    <row r="3166">
      <c r="A3166" s="49">
        <v>45054.044371157404</v>
      </c>
      <c r="B3166" s="50">
        <v>45054.1693440625</v>
      </c>
      <c r="C3166" s="51">
        <v>1.021</v>
      </c>
      <c r="D3166" s="51">
        <v>62.0</v>
      </c>
      <c r="E3166" s="52" t="s">
        <v>25</v>
      </c>
      <c r="F3166" s="52" t="s">
        <v>26</v>
      </c>
      <c r="G3166" s="54"/>
    </row>
    <row r="3167">
      <c r="A3167" s="49">
        <v>45054.05480067129</v>
      </c>
      <c r="B3167" s="50">
        <v>45054.179765243</v>
      </c>
      <c r="C3167" s="51">
        <v>1.021</v>
      </c>
      <c r="D3167" s="51">
        <v>62.0</v>
      </c>
      <c r="E3167" s="52" t="s">
        <v>25</v>
      </c>
      <c r="F3167" s="52" t="s">
        <v>26</v>
      </c>
      <c r="G3167" s="54"/>
    </row>
    <row r="3168">
      <c r="A3168" s="49">
        <v>45054.075633622684</v>
      </c>
      <c r="B3168" s="50">
        <v>45054.2006085879</v>
      </c>
      <c r="C3168" s="51">
        <v>1.021</v>
      </c>
      <c r="D3168" s="51">
        <v>62.0</v>
      </c>
      <c r="E3168" s="52" t="s">
        <v>25</v>
      </c>
      <c r="F3168" s="52" t="s">
        <v>26</v>
      </c>
      <c r="G3168" s="54"/>
    </row>
    <row r="3169">
      <c r="A3169" s="49">
        <v>45054.08605208334</v>
      </c>
      <c r="B3169" s="50">
        <v>45054.2110289699</v>
      </c>
      <c r="C3169" s="51">
        <v>1.021</v>
      </c>
      <c r="D3169" s="51">
        <v>62.0</v>
      </c>
      <c r="E3169" s="52" t="s">
        <v>25</v>
      </c>
      <c r="F3169" s="52" t="s">
        <v>26</v>
      </c>
      <c r="G3169" s="54"/>
    </row>
    <row r="3170">
      <c r="A3170" s="49">
        <v>45054.09648354167</v>
      </c>
      <c r="B3170" s="50">
        <v>45054.2214598611</v>
      </c>
      <c r="C3170" s="51">
        <v>1.021</v>
      </c>
      <c r="D3170" s="51">
        <v>62.0</v>
      </c>
      <c r="E3170" s="52" t="s">
        <v>25</v>
      </c>
      <c r="F3170" s="52" t="s">
        <v>26</v>
      </c>
      <c r="G3170" s="54"/>
    </row>
    <row r="3171">
      <c r="A3171" s="49">
        <v>45054.10691952547</v>
      </c>
      <c r="B3171" s="50">
        <v>45054.2318915856</v>
      </c>
      <c r="C3171" s="51">
        <v>1.021</v>
      </c>
      <c r="D3171" s="51">
        <v>62.0</v>
      </c>
      <c r="E3171" s="52" t="s">
        <v>25</v>
      </c>
      <c r="F3171" s="52" t="s">
        <v>26</v>
      </c>
      <c r="G3171" s="54"/>
    </row>
    <row r="3172">
      <c r="A3172" s="49">
        <v>45054.11733976852</v>
      </c>
      <c r="B3172" s="50">
        <v>45054.2423108449</v>
      </c>
      <c r="C3172" s="51">
        <v>1.021</v>
      </c>
      <c r="D3172" s="51">
        <v>61.0</v>
      </c>
      <c r="E3172" s="52" t="s">
        <v>25</v>
      </c>
      <c r="F3172" s="52" t="s">
        <v>26</v>
      </c>
      <c r="G3172" s="54"/>
    </row>
    <row r="3173">
      <c r="A3173" s="49">
        <v>45054.12775778935</v>
      </c>
      <c r="B3173" s="50">
        <v>45054.2527332754</v>
      </c>
      <c r="C3173" s="51">
        <v>1.021</v>
      </c>
      <c r="D3173" s="51">
        <v>62.0</v>
      </c>
      <c r="E3173" s="52" t="s">
        <v>25</v>
      </c>
      <c r="F3173" s="52" t="s">
        <v>26</v>
      </c>
      <c r="G3173" s="54"/>
    </row>
    <row r="3174">
      <c r="A3174" s="49">
        <v>45054.13817954861</v>
      </c>
      <c r="B3174" s="50">
        <v>45054.2631554513</v>
      </c>
      <c r="C3174" s="51">
        <v>1.021</v>
      </c>
      <c r="D3174" s="51">
        <v>62.0</v>
      </c>
      <c r="E3174" s="52" t="s">
        <v>25</v>
      </c>
      <c r="F3174" s="52" t="s">
        <v>26</v>
      </c>
      <c r="G3174" s="54"/>
    </row>
    <row r="3175">
      <c r="A3175" s="49">
        <v>45054.14860356481</v>
      </c>
      <c r="B3175" s="50">
        <v>45054.2735751851</v>
      </c>
      <c r="C3175" s="51">
        <v>1.02</v>
      </c>
      <c r="D3175" s="51">
        <v>62.0</v>
      </c>
      <c r="E3175" s="52" t="s">
        <v>25</v>
      </c>
      <c r="F3175" s="52" t="s">
        <v>26</v>
      </c>
      <c r="G3175" s="54"/>
    </row>
    <row r="3176">
      <c r="A3176" s="49">
        <v>45054.159019004626</v>
      </c>
      <c r="B3176" s="50">
        <v>45054.2839960532</v>
      </c>
      <c r="C3176" s="51">
        <v>1.021</v>
      </c>
      <c r="D3176" s="51">
        <v>62.0</v>
      </c>
      <c r="E3176" s="52" t="s">
        <v>25</v>
      </c>
      <c r="F3176" s="52" t="s">
        <v>26</v>
      </c>
      <c r="G3176" s="54"/>
    </row>
    <row r="3177">
      <c r="A3177" s="49">
        <v>45054.16944184028</v>
      </c>
      <c r="B3177" s="50">
        <v>45054.2944172453</v>
      </c>
      <c r="C3177" s="51">
        <v>1.021</v>
      </c>
      <c r="D3177" s="51">
        <v>62.0</v>
      </c>
      <c r="E3177" s="52" t="s">
        <v>25</v>
      </c>
      <c r="F3177" s="52" t="s">
        <v>26</v>
      </c>
      <c r="G3177" s="54"/>
    </row>
    <row r="3178">
      <c r="A3178" s="49">
        <v>45054.17986403935</v>
      </c>
      <c r="B3178" s="50">
        <v>45054.3048368634</v>
      </c>
      <c r="C3178" s="51">
        <v>1.021</v>
      </c>
      <c r="D3178" s="51">
        <v>62.0</v>
      </c>
      <c r="E3178" s="52" t="s">
        <v>25</v>
      </c>
      <c r="F3178" s="52" t="s">
        <v>26</v>
      </c>
      <c r="G3178" s="54"/>
    </row>
    <row r="3179">
      <c r="A3179" s="49">
        <v>45054.190294050924</v>
      </c>
      <c r="B3179" s="50">
        <v>45054.3152692013</v>
      </c>
      <c r="C3179" s="51">
        <v>1.021</v>
      </c>
      <c r="D3179" s="51">
        <v>62.0</v>
      </c>
      <c r="E3179" s="52" t="s">
        <v>25</v>
      </c>
      <c r="F3179" s="52" t="s">
        <v>26</v>
      </c>
      <c r="G3179" s="54"/>
    </row>
    <row r="3180">
      <c r="A3180" s="49">
        <v>45054.20070818287</v>
      </c>
      <c r="B3180" s="50">
        <v>45054.3256892013</v>
      </c>
      <c r="C3180" s="51">
        <v>1.021</v>
      </c>
      <c r="D3180" s="51">
        <v>62.0</v>
      </c>
      <c r="E3180" s="52" t="s">
        <v>25</v>
      </c>
      <c r="F3180" s="52" t="s">
        <v>26</v>
      </c>
      <c r="G3180" s="54"/>
    </row>
    <row r="3181">
      <c r="A3181" s="49">
        <v>45054.211168449074</v>
      </c>
      <c r="B3181" s="50">
        <v>45054.3361461689</v>
      </c>
      <c r="C3181" s="51">
        <v>1.02</v>
      </c>
      <c r="D3181" s="51">
        <v>62.0</v>
      </c>
      <c r="E3181" s="52" t="s">
        <v>25</v>
      </c>
      <c r="F3181" s="52" t="s">
        <v>26</v>
      </c>
      <c r="G3181" s="54"/>
    </row>
    <row r="3182">
      <c r="A3182" s="49">
        <v>45054.22159112268</v>
      </c>
      <c r="B3182" s="50">
        <v>45054.3465695486</v>
      </c>
      <c r="C3182" s="51">
        <v>1.02</v>
      </c>
      <c r="D3182" s="51">
        <v>62.0</v>
      </c>
      <c r="E3182" s="52" t="s">
        <v>25</v>
      </c>
      <c r="F3182" s="52" t="s">
        <v>26</v>
      </c>
      <c r="G3182" s="54"/>
    </row>
    <row r="3183">
      <c r="A3183" s="49">
        <v>45054.23201443287</v>
      </c>
      <c r="B3183" s="50">
        <v>45054.3569898032</v>
      </c>
      <c r="C3183" s="51">
        <v>1.021</v>
      </c>
      <c r="D3183" s="51">
        <v>62.0</v>
      </c>
      <c r="E3183" s="52" t="s">
        <v>25</v>
      </c>
      <c r="F3183" s="52" t="s">
        <v>26</v>
      </c>
      <c r="G3183" s="54"/>
    </row>
    <row r="3184">
      <c r="A3184" s="49">
        <v>45054.24246504629</v>
      </c>
      <c r="B3184" s="50">
        <v>45054.3674226157</v>
      </c>
      <c r="C3184" s="51">
        <v>1.02</v>
      </c>
      <c r="D3184" s="51">
        <v>62.0</v>
      </c>
      <c r="E3184" s="52" t="s">
        <v>25</v>
      </c>
      <c r="F3184" s="52" t="s">
        <v>26</v>
      </c>
      <c r="G3184" s="54"/>
    </row>
    <row r="3185">
      <c r="A3185" s="49">
        <v>45054.25290532407</v>
      </c>
      <c r="B3185" s="50">
        <v>45054.3778564004</v>
      </c>
      <c r="C3185" s="51">
        <v>1.02</v>
      </c>
      <c r="D3185" s="51">
        <v>62.0</v>
      </c>
      <c r="E3185" s="52" t="s">
        <v>25</v>
      </c>
      <c r="F3185" s="52" t="s">
        <v>26</v>
      </c>
      <c r="G3185" s="54"/>
    </row>
    <row r="3186">
      <c r="A3186" s="49">
        <v>45054.26331061343</v>
      </c>
      <c r="B3186" s="50">
        <v>45054.3882886111</v>
      </c>
      <c r="C3186" s="51">
        <v>1.02</v>
      </c>
      <c r="D3186" s="51">
        <v>62.0</v>
      </c>
      <c r="E3186" s="52" t="s">
        <v>25</v>
      </c>
      <c r="F3186" s="52" t="s">
        <v>26</v>
      </c>
      <c r="G3186" s="54"/>
    </row>
    <row r="3187">
      <c r="A3187" s="49">
        <v>45054.2737371875</v>
      </c>
      <c r="B3187" s="50">
        <v>45054.3987102314</v>
      </c>
      <c r="C3187" s="51">
        <v>1.021</v>
      </c>
      <c r="D3187" s="51">
        <v>62.0</v>
      </c>
      <c r="E3187" s="52" t="s">
        <v>25</v>
      </c>
      <c r="F3187" s="52" t="s">
        <v>26</v>
      </c>
      <c r="G3187" s="54"/>
    </row>
    <row r="3188">
      <c r="A3188" s="49">
        <v>45054.284148900464</v>
      </c>
      <c r="B3188" s="50">
        <v>45054.4091300694</v>
      </c>
      <c r="C3188" s="51">
        <v>1.02</v>
      </c>
      <c r="D3188" s="51">
        <v>62.0</v>
      </c>
      <c r="E3188" s="52" t="s">
        <v>25</v>
      </c>
      <c r="F3188" s="52" t="s">
        <v>26</v>
      </c>
      <c r="G3188" s="54"/>
    </row>
    <row r="3189">
      <c r="A3189" s="49">
        <v>45054.294573252315</v>
      </c>
      <c r="B3189" s="50">
        <v>45054.4195504861</v>
      </c>
      <c r="C3189" s="51">
        <v>1.02</v>
      </c>
      <c r="D3189" s="51">
        <v>62.0</v>
      </c>
      <c r="E3189" s="52" t="s">
        <v>25</v>
      </c>
      <c r="F3189" s="52" t="s">
        <v>26</v>
      </c>
      <c r="G3189" s="54"/>
    </row>
    <row r="3190">
      <c r="A3190" s="49">
        <v>45054.30498880787</v>
      </c>
      <c r="B3190" s="50">
        <v>45054.4299713541</v>
      </c>
      <c r="C3190" s="51">
        <v>1.02</v>
      </c>
      <c r="D3190" s="51">
        <v>62.0</v>
      </c>
      <c r="E3190" s="52" t="s">
        <v>25</v>
      </c>
      <c r="F3190" s="52" t="s">
        <v>26</v>
      </c>
      <c r="G3190" s="54"/>
    </row>
    <row r="3191">
      <c r="A3191" s="49">
        <v>45054.31541707176</v>
      </c>
      <c r="B3191" s="50">
        <v>45054.4403925925</v>
      </c>
      <c r="C3191" s="51">
        <v>1.02</v>
      </c>
      <c r="D3191" s="51">
        <v>62.0</v>
      </c>
      <c r="E3191" s="52" t="s">
        <v>25</v>
      </c>
      <c r="F3191" s="52" t="s">
        <v>26</v>
      </c>
      <c r="G3191" s="54"/>
    </row>
    <row r="3192">
      <c r="A3192" s="49">
        <v>45054.325836296295</v>
      </c>
      <c r="B3192" s="50">
        <v>45054.4508141898</v>
      </c>
      <c r="C3192" s="51">
        <v>1.02</v>
      </c>
      <c r="D3192" s="51">
        <v>62.0</v>
      </c>
      <c r="E3192" s="52" t="s">
        <v>25</v>
      </c>
      <c r="F3192" s="52" t="s">
        <v>26</v>
      </c>
      <c r="G3192" s="54"/>
    </row>
    <row r="3193">
      <c r="A3193" s="49">
        <v>45054.33625462963</v>
      </c>
      <c r="B3193" s="50">
        <v>45054.4612353703</v>
      </c>
      <c r="C3193" s="51">
        <v>1.02</v>
      </c>
      <c r="D3193" s="51">
        <v>62.0</v>
      </c>
      <c r="E3193" s="52" t="s">
        <v>25</v>
      </c>
      <c r="F3193" s="52" t="s">
        <v>26</v>
      </c>
      <c r="G3193" s="54"/>
    </row>
    <row r="3194">
      <c r="A3194" s="49">
        <v>45054.34671251157</v>
      </c>
      <c r="B3194" s="50">
        <v>45054.4716806713</v>
      </c>
      <c r="C3194" s="51">
        <v>1.02</v>
      </c>
      <c r="D3194" s="51">
        <v>62.0</v>
      </c>
      <c r="E3194" s="52" t="s">
        <v>25</v>
      </c>
      <c r="F3194" s="52" t="s">
        <v>26</v>
      </c>
      <c r="G3194" s="54"/>
    </row>
    <row r="3195">
      <c r="A3195" s="49">
        <v>45054.35712247685</v>
      </c>
      <c r="B3195" s="50">
        <v>45054.4821014699</v>
      </c>
      <c r="C3195" s="51">
        <v>1.02</v>
      </c>
      <c r="D3195" s="51">
        <v>62.0</v>
      </c>
      <c r="E3195" s="52" t="s">
        <v>25</v>
      </c>
      <c r="F3195" s="52" t="s">
        <v>26</v>
      </c>
      <c r="G3195" s="54"/>
    </row>
    <row r="3196">
      <c r="A3196" s="49">
        <v>45054.3675607176</v>
      </c>
      <c r="B3196" s="50">
        <v>45054.4925346064</v>
      </c>
      <c r="C3196" s="51">
        <v>1.02</v>
      </c>
      <c r="D3196" s="51">
        <v>62.0</v>
      </c>
      <c r="E3196" s="52" t="s">
        <v>25</v>
      </c>
      <c r="F3196" s="52" t="s">
        <v>26</v>
      </c>
      <c r="G3196" s="54"/>
    </row>
    <row r="3197">
      <c r="A3197" s="49">
        <v>45054.377990520836</v>
      </c>
      <c r="B3197" s="50">
        <v>45054.5029542129</v>
      </c>
      <c r="C3197" s="51">
        <v>1.02</v>
      </c>
      <c r="D3197" s="51">
        <v>62.0</v>
      </c>
      <c r="E3197" s="52" t="s">
        <v>25</v>
      </c>
      <c r="F3197" s="52" t="s">
        <v>26</v>
      </c>
      <c r="G3197" s="54"/>
    </row>
    <row r="3198">
      <c r="A3198" s="49">
        <v>45054.38839586805</v>
      </c>
      <c r="B3198" s="50">
        <v>45054.5133747569</v>
      </c>
      <c r="C3198" s="51">
        <v>1.02</v>
      </c>
      <c r="D3198" s="51">
        <v>62.0</v>
      </c>
      <c r="E3198" s="52" t="s">
        <v>25</v>
      </c>
      <c r="F3198" s="52" t="s">
        <v>26</v>
      </c>
      <c r="G3198" s="54"/>
    </row>
    <row r="3199">
      <c r="A3199" s="49">
        <v>45054.39882259259</v>
      </c>
      <c r="B3199" s="50">
        <v>45054.5237954629</v>
      </c>
      <c r="C3199" s="51">
        <v>1.02</v>
      </c>
      <c r="D3199" s="51">
        <v>62.0</v>
      </c>
      <c r="E3199" s="52" t="s">
        <v>25</v>
      </c>
      <c r="F3199" s="52" t="s">
        <v>26</v>
      </c>
      <c r="G3199" s="54"/>
    </row>
    <row r="3200">
      <c r="A3200" s="49">
        <v>45054.40925045139</v>
      </c>
      <c r="B3200" s="50">
        <v>45054.5342183217</v>
      </c>
      <c r="C3200" s="51">
        <v>1.02</v>
      </c>
      <c r="D3200" s="51">
        <v>62.0</v>
      </c>
      <c r="E3200" s="52" t="s">
        <v>25</v>
      </c>
      <c r="F3200" s="52" t="s">
        <v>26</v>
      </c>
      <c r="G3200" s="54"/>
    </row>
    <row r="3201">
      <c r="A3201" s="49">
        <v>45054.419656875005</v>
      </c>
      <c r="B3201" s="50">
        <v>45054.5446388078</v>
      </c>
      <c r="C3201" s="51">
        <v>1.02</v>
      </c>
      <c r="D3201" s="51">
        <v>62.0</v>
      </c>
      <c r="E3201" s="52" t="s">
        <v>25</v>
      </c>
      <c r="F3201" s="52" t="s">
        <v>26</v>
      </c>
      <c r="G3201" s="54"/>
    </row>
    <row r="3202">
      <c r="A3202" s="49">
        <v>45054.43009689815</v>
      </c>
      <c r="B3202" s="50">
        <v>45054.5550605324</v>
      </c>
      <c r="C3202" s="51">
        <v>1.02</v>
      </c>
      <c r="D3202" s="51">
        <v>62.0</v>
      </c>
      <c r="E3202" s="52" t="s">
        <v>25</v>
      </c>
      <c r="F3202" s="52" t="s">
        <v>26</v>
      </c>
      <c r="G3202" s="54"/>
    </row>
    <row r="3203">
      <c r="A3203" s="49">
        <v>45054.44050787037</v>
      </c>
      <c r="B3203" s="50">
        <v>45054.5654819791</v>
      </c>
      <c r="C3203" s="51">
        <v>1.02</v>
      </c>
      <c r="D3203" s="51">
        <v>62.0</v>
      </c>
      <c r="E3203" s="52" t="s">
        <v>25</v>
      </c>
      <c r="F3203" s="52" t="s">
        <v>26</v>
      </c>
      <c r="G3203" s="54"/>
    </row>
    <row r="3204">
      <c r="A3204" s="49">
        <v>45054.45092782407</v>
      </c>
      <c r="B3204" s="50">
        <v>45054.5759024768</v>
      </c>
      <c r="C3204" s="51">
        <v>1.021</v>
      </c>
      <c r="D3204" s="51">
        <v>62.0</v>
      </c>
      <c r="E3204" s="52" t="s">
        <v>25</v>
      </c>
      <c r="F3204" s="52" t="s">
        <v>26</v>
      </c>
      <c r="G3204" s="54"/>
    </row>
    <row r="3205">
      <c r="A3205" s="49">
        <v>45054.46135413194</v>
      </c>
      <c r="B3205" s="50">
        <v>45054.5863246064</v>
      </c>
      <c r="C3205" s="51">
        <v>1.02</v>
      </c>
      <c r="D3205" s="51">
        <v>62.0</v>
      </c>
      <c r="E3205" s="52" t="s">
        <v>25</v>
      </c>
      <c r="F3205" s="52" t="s">
        <v>26</v>
      </c>
      <c r="G3205" s="54"/>
    </row>
    <row r="3206">
      <c r="A3206" s="49">
        <v>45054.47177221064</v>
      </c>
      <c r="B3206" s="50">
        <v>45054.5967438888</v>
      </c>
      <c r="C3206" s="51">
        <v>1.02</v>
      </c>
      <c r="D3206" s="51">
        <v>62.0</v>
      </c>
      <c r="E3206" s="52" t="s">
        <v>25</v>
      </c>
      <c r="F3206" s="52" t="s">
        <v>26</v>
      </c>
      <c r="G3206" s="54"/>
    </row>
    <row r="3207">
      <c r="A3207" s="49">
        <v>45054.48218659722</v>
      </c>
      <c r="B3207" s="50">
        <v>45054.6071632407</v>
      </c>
      <c r="C3207" s="51">
        <v>1.02</v>
      </c>
      <c r="D3207" s="51">
        <v>62.0</v>
      </c>
      <c r="E3207" s="52" t="s">
        <v>25</v>
      </c>
      <c r="F3207" s="52" t="s">
        <v>26</v>
      </c>
      <c r="G3207" s="54"/>
    </row>
    <row r="3208">
      <c r="A3208" s="49">
        <v>45054.49261349537</v>
      </c>
      <c r="B3208" s="50">
        <v>45054.6175862731</v>
      </c>
      <c r="C3208" s="51">
        <v>1.02</v>
      </c>
      <c r="D3208" s="51">
        <v>62.0</v>
      </c>
      <c r="E3208" s="52" t="s">
        <v>25</v>
      </c>
      <c r="F3208" s="52" t="s">
        <v>26</v>
      </c>
      <c r="G3208" s="54"/>
    </row>
    <row r="3209">
      <c r="A3209" s="49">
        <v>45054.503035960646</v>
      </c>
      <c r="B3209" s="50">
        <v>45054.6280074074</v>
      </c>
      <c r="C3209" s="51">
        <v>1.02</v>
      </c>
      <c r="D3209" s="51">
        <v>62.0</v>
      </c>
      <c r="E3209" s="52" t="s">
        <v>25</v>
      </c>
      <c r="F3209" s="52" t="s">
        <v>26</v>
      </c>
      <c r="G3209" s="54"/>
    </row>
    <row r="3210">
      <c r="A3210" s="49">
        <v>45054.513452893516</v>
      </c>
      <c r="B3210" s="50">
        <v>45054.6384292592</v>
      </c>
      <c r="C3210" s="51">
        <v>1.02</v>
      </c>
      <c r="D3210" s="51">
        <v>62.0</v>
      </c>
      <c r="E3210" s="52" t="s">
        <v>25</v>
      </c>
      <c r="F3210" s="52" t="s">
        <v>26</v>
      </c>
      <c r="G3210" s="54"/>
    </row>
    <row r="3211">
      <c r="A3211" s="49">
        <v>45054.523872233796</v>
      </c>
      <c r="B3211" s="50">
        <v>45054.6488493518</v>
      </c>
      <c r="C3211" s="51">
        <v>1.02</v>
      </c>
      <c r="D3211" s="51">
        <v>62.0</v>
      </c>
      <c r="E3211" s="52" t="s">
        <v>25</v>
      </c>
      <c r="F3211" s="52" t="s">
        <v>26</v>
      </c>
      <c r="G3211" s="54"/>
    </row>
    <row r="3212">
      <c r="A3212" s="49">
        <v>45054.53429982639</v>
      </c>
      <c r="B3212" s="50">
        <v>45054.6592702893</v>
      </c>
      <c r="C3212" s="51">
        <v>1.02</v>
      </c>
      <c r="D3212" s="51">
        <v>62.0</v>
      </c>
      <c r="E3212" s="52" t="s">
        <v>25</v>
      </c>
      <c r="F3212" s="52" t="s">
        <v>26</v>
      </c>
      <c r="G3212" s="54"/>
    </row>
    <row r="3213">
      <c r="A3213" s="49">
        <v>45054.54471739584</v>
      </c>
      <c r="B3213" s="50">
        <v>45054.6696906944</v>
      </c>
      <c r="C3213" s="51">
        <v>1.02</v>
      </c>
      <c r="D3213" s="51">
        <v>62.0</v>
      </c>
      <c r="E3213" s="52" t="s">
        <v>25</v>
      </c>
      <c r="F3213" s="52" t="s">
        <v>26</v>
      </c>
      <c r="G3213" s="54"/>
    </row>
    <row r="3214">
      <c r="A3214" s="49">
        <v>45054.555134814815</v>
      </c>
      <c r="B3214" s="50">
        <v>45054.680112199</v>
      </c>
      <c r="C3214" s="51">
        <v>1.02</v>
      </c>
      <c r="D3214" s="51">
        <v>62.0</v>
      </c>
      <c r="E3214" s="52" t="s">
        <v>25</v>
      </c>
      <c r="F3214" s="52" t="s">
        <v>26</v>
      </c>
      <c r="G3214" s="54"/>
    </row>
    <row r="3215">
      <c r="A3215" s="49">
        <v>45054.565568101854</v>
      </c>
      <c r="B3215" s="50">
        <v>45054.6905460879</v>
      </c>
      <c r="C3215" s="51">
        <v>1.02</v>
      </c>
      <c r="D3215" s="51">
        <v>62.0</v>
      </c>
      <c r="E3215" s="52" t="s">
        <v>25</v>
      </c>
      <c r="F3215" s="52" t="s">
        <v>26</v>
      </c>
      <c r="G3215" s="54"/>
    </row>
    <row r="3216">
      <c r="A3216" s="49">
        <v>45054.57603063657</v>
      </c>
      <c r="B3216" s="50">
        <v>45054.7009775578</v>
      </c>
      <c r="C3216" s="51">
        <v>1.02</v>
      </c>
      <c r="D3216" s="51">
        <v>62.0</v>
      </c>
      <c r="E3216" s="52" t="s">
        <v>25</v>
      </c>
      <c r="F3216" s="52" t="s">
        <v>26</v>
      </c>
      <c r="G3216" s="54"/>
    </row>
    <row r="3217">
      <c r="A3217" s="49">
        <v>45054.58641451389</v>
      </c>
      <c r="B3217" s="50">
        <v>45054.711398912</v>
      </c>
      <c r="C3217" s="51">
        <v>1.02</v>
      </c>
      <c r="D3217" s="51">
        <v>62.0</v>
      </c>
      <c r="E3217" s="52" t="s">
        <v>25</v>
      </c>
      <c r="F3217" s="52" t="s">
        <v>26</v>
      </c>
      <c r="G3217" s="54"/>
    </row>
    <row r="3218">
      <c r="A3218" s="49">
        <v>45054.59685519676</v>
      </c>
      <c r="B3218" s="50">
        <v>45054.7218200694</v>
      </c>
      <c r="C3218" s="51">
        <v>1.02</v>
      </c>
      <c r="D3218" s="51">
        <v>62.0</v>
      </c>
      <c r="E3218" s="52" t="s">
        <v>25</v>
      </c>
      <c r="F3218" s="52" t="s">
        <v>26</v>
      </c>
      <c r="G3218" s="54"/>
    </row>
    <row r="3219">
      <c r="A3219" s="49">
        <v>45054.60726700231</v>
      </c>
      <c r="B3219" s="50">
        <v>45054.7322406134</v>
      </c>
      <c r="C3219" s="51">
        <v>1.02</v>
      </c>
      <c r="D3219" s="51">
        <v>62.0</v>
      </c>
      <c r="E3219" s="52" t="s">
        <v>25</v>
      </c>
      <c r="F3219" s="52" t="s">
        <v>26</v>
      </c>
      <c r="G3219" s="54"/>
    </row>
    <row r="3220">
      <c r="A3220" s="49">
        <v>45054.61768862269</v>
      </c>
      <c r="B3220" s="50">
        <v>45054.7426611921</v>
      </c>
      <c r="C3220" s="51">
        <v>1.02</v>
      </c>
      <c r="D3220" s="51">
        <v>62.0</v>
      </c>
      <c r="E3220" s="52" t="s">
        <v>25</v>
      </c>
      <c r="F3220" s="52" t="s">
        <v>26</v>
      </c>
      <c r="G3220" s="54"/>
    </row>
    <row r="3221">
      <c r="A3221" s="49">
        <v>45054.62811387732</v>
      </c>
      <c r="B3221" s="50">
        <v>45054.7530820138</v>
      </c>
      <c r="C3221" s="51">
        <v>1.02</v>
      </c>
      <c r="D3221" s="51">
        <v>62.0</v>
      </c>
      <c r="E3221" s="52" t="s">
        <v>25</v>
      </c>
      <c r="F3221" s="52" t="s">
        <v>26</v>
      </c>
      <c r="G3221" s="54"/>
    </row>
    <row r="3222">
      <c r="A3222" s="49">
        <v>45054.638524062495</v>
      </c>
      <c r="B3222" s="50">
        <v>45054.7635024421</v>
      </c>
      <c r="C3222" s="51">
        <v>1.02</v>
      </c>
      <c r="D3222" s="51">
        <v>62.0</v>
      </c>
      <c r="E3222" s="52" t="s">
        <v>25</v>
      </c>
      <c r="F3222" s="52" t="s">
        <v>26</v>
      </c>
      <c r="G3222" s="54"/>
    </row>
    <row r="3223">
      <c r="A3223" s="49">
        <v>45054.64894028935</v>
      </c>
      <c r="B3223" s="50">
        <v>45054.7739221643</v>
      </c>
      <c r="C3223" s="51">
        <v>1.02</v>
      </c>
      <c r="D3223" s="51">
        <v>62.0</v>
      </c>
      <c r="E3223" s="52" t="s">
        <v>25</v>
      </c>
      <c r="F3223" s="52" t="s">
        <v>26</v>
      </c>
      <c r="G3223" s="54"/>
    </row>
    <row r="3224">
      <c r="A3224" s="49">
        <v>45054.659379895835</v>
      </c>
      <c r="B3224" s="50">
        <v>45054.7843557986</v>
      </c>
      <c r="C3224" s="51">
        <v>1.02</v>
      </c>
      <c r="D3224" s="51">
        <v>62.0</v>
      </c>
      <c r="E3224" s="52" t="s">
        <v>25</v>
      </c>
      <c r="F3224" s="52" t="s">
        <v>26</v>
      </c>
      <c r="G3224" s="54"/>
    </row>
    <row r="3225">
      <c r="A3225" s="49">
        <v>45054.6697972338</v>
      </c>
      <c r="B3225" s="50">
        <v>45054.7947749652</v>
      </c>
      <c r="C3225" s="51">
        <v>1.02</v>
      </c>
      <c r="D3225" s="51">
        <v>62.0</v>
      </c>
      <c r="E3225" s="52" t="s">
        <v>25</v>
      </c>
      <c r="F3225" s="52" t="s">
        <v>26</v>
      </c>
      <c r="G3225" s="54"/>
    </row>
    <row r="3226">
      <c r="A3226" s="49">
        <v>45054.68021851852</v>
      </c>
      <c r="B3226" s="50">
        <v>45054.8051962268</v>
      </c>
      <c r="C3226" s="51">
        <v>1.02</v>
      </c>
      <c r="D3226" s="51">
        <v>62.0</v>
      </c>
      <c r="E3226" s="52" t="s">
        <v>25</v>
      </c>
      <c r="F3226" s="52" t="s">
        <v>26</v>
      </c>
      <c r="G3226" s="54"/>
    </row>
    <row r="3227">
      <c r="A3227" s="49">
        <v>45054.69064405093</v>
      </c>
      <c r="B3227" s="50">
        <v>45054.8156183217</v>
      </c>
      <c r="C3227" s="51">
        <v>1.02</v>
      </c>
      <c r="D3227" s="51">
        <v>62.0</v>
      </c>
      <c r="E3227" s="52" t="s">
        <v>25</v>
      </c>
      <c r="F3227" s="52" t="s">
        <v>26</v>
      </c>
      <c r="G3227" s="54"/>
    </row>
    <row r="3228">
      <c r="A3228" s="49">
        <v>45054.701061851854</v>
      </c>
      <c r="B3228" s="50">
        <v>45054.8260407523</v>
      </c>
      <c r="C3228" s="51">
        <v>1.02</v>
      </c>
      <c r="D3228" s="51">
        <v>62.0</v>
      </c>
      <c r="E3228" s="52" t="s">
        <v>25</v>
      </c>
      <c r="F3228" s="52" t="s">
        <v>26</v>
      </c>
      <c r="G3228" s="54"/>
    </row>
    <row r="3229">
      <c r="A3229" s="49">
        <v>45054.71149103009</v>
      </c>
      <c r="B3229" s="50">
        <v>45054.8364625578</v>
      </c>
      <c r="C3229" s="51">
        <v>1.02</v>
      </c>
      <c r="D3229" s="51">
        <v>62.0</v>
      </c>
      <c r="E3229" s="52" t="s">
        <v>25</v>
      </c>
      <c r="F3229" s="52" t="s">
        <v>26</v>
      </c>
      <c r="G3229" s="54"/>
    </row>
    <row r="3230">
      <c r="A3230" s="49">
        <v>45054.72190762732</v>
      </c>
      <c r="B3230" s="50">
        <v>45054.8468834953</v>
      </c>
      <c r="C3230" s="51">
        <v>1.02</v>
      </c>
      <c r="D3230" s="51">
        <v>62.0</v>
      </c>
      <c r="E3230" s="52" t="s">
        <v>25</v>
      </c>
      <c r="F3230" s="52" t="s">
        <v>26</v>
      </c>
      <c r="G3230" s="54"/>
    </row>
    <row r="3231">
      <c r="A3231" s="49">
        <v>45054.73232420139</v>
      </c>
      <c r="B3231" s="50">
        <v>45054.8573055439</v>
      </c>
      <c r="C3231" s="51">
        <v>1.02</v>
      </c>
      <c r="D3231" s="51">
        <v>62.0</v>
      </c>
      <c r="E3231" s="52" t="s">
        <v>25</v>
      </c>
      <c r="F3231" s="52" t="s">
        <v>26</v>
      </c>
      <c r="G3231" s="54"/>
    </row>
    <row r="3232">
      <c r="A3232" s="49">
        <v>45054.74280475694</v>
      </c>
      <c r="B3232" s="50">
        <v>45054.8677263194</v>
      </c>
      <c r="C3232" s="51">
        <v>1.02</v>
      </c>
      <c r="D3232" s="51">
        <v>62.0</v>
      </c>
      <c r="E3232" s="52" t="s">
        <v>25</v>
      </c>
      <c r="F3232" s="52" t="s">
        <v>26</v>
      </c>
      <c r="G3232" s="54"/>
    </row>
    <row r="3233">
      <c r="A3233" s="49">
        <v>45054.753172349534</v>
      </c>
      <c r="B3233" s="50">
        <v>45054.8781469444</v>
      </c>
      <c r="C3233" s="51">
        <v>1.02</v>
      </c>
      <c r="D3233" s="51">
        <v>62.0</v>
      </c>
      <c r="E3233" s="52" t="s">
        <v>25</v>
      </c>
      <c r="F3233" s="52" t="s">
        <v>26</v>
      </c>
      <c r="G3233" s="54"/>
    </row>
    <row r="3234">
      <c r="A3234" s="49">
        <v>45054.76358850695</v>
      </c>
      <c r="B3234" s="50">
        <v>45054.8885666666</v>
      </c>
      <c r="C3234" s="51">
        <v>1.02</v>
      </c>
      <c r="D3234" s="51">
        <v>62.0</v>
      </c>
      <c r="E3234" s="52" t="s">
        <v>25</v>
      </c>
      <c r="F3234" s="52" t="s">
        <v>26</v>
      </c>
      <c r="G3234" s="54"/>
    </row>
    <row r="3235">
      <c r="A3235" s="49">
        <v>45054.77400538194</v>
      </c>
      <c r="B3235" s="50">
        <v>45054.8989881481</v>
      </c>
      <c r="C3235" s="51">
        <v>1.02</v>
      </c>
      <c r="D3235" s="51">
        <v>62.0</v>
      </c>
      <c r="E3235" s="52" t="s">
        <v>25</v>
      </c>
      <c r="F3235" s="52" t="s">
        <v>26</v>
      </c>
      <c r="G3235" s="54"/>
    </row>
    <row r="3236">
      <c r="A3236" s="49">
        <v>45054.78443703704</v>
      </c>
      <c r="B3236" s="50">
        <v>45054.9094084027</v>
      </c>
      <c r="C3236" s="51">
        <v>1.02</v>
      </c>
      <c r="D3236" s="51">
        <v>62.0</v>
      </c>
      <c r="E3236" s="52" t="s">
        <v>25</v>
      </c>
      <c r="F3236" s="52" t="s">
        <v>26</v>
      </c>
      <c r="G3236" s="54"/>
    </row>
    <row r="3237">
      <c r="A3237" s="49">
        <v>45054.794849224534</v>
      </c>
      <c r="B3237" s="50">
        <v>45054.9198288425</v>
      </c>
      <c r="C3237" s="51">
        <v>1.02</v>
      </c>
      <c r="D3237" s="51">
        <v>62.0</v>
      </c>
      <c r="E3237" s="52" t="s">
        <v>25</v>
      </c>
      <c r="F3237" s="52" t="s">
        <v>26</v>
      </c>
      <c r="G3237" s="54"/>
    </row>
    <row r="3238">
      <c r="A3238" s="49">
        <v>45054.80527915509</v>
      </c>
      <c r="B3238" s="50">
        <v>45054.9302527662</v>
      </c>
      <c r="C3238" s="51">
        <v>1.02</v>
      </c>
      <c r="D3238" s="51">
        <v>62.0</v>
      </c>
      <c r="E3238" s="52" t="s">
        <v>25</v>
      </c>
      <c r="F3238" s="52" t="s">
        <v>26</v>
      </c>
      <c r="G3238" s="54"/>
    </row>
    <row r="3239">
      <c r="A3239" s="49">
        <v>45054.81570702547</v>
      </c>
      <c r="B3239" s="50">
        <v>45054.9406754976</v>
      </c>
      <c r="C3239" s="51">
        <v>1.02</v>
      </c>
      <c r="D3239" s="51">
        <v>62.0</v>
      </c>
      <c r="E3239" s="52" t="s">
        <v>25</v>
      </c>
      <c r="F3239" s="52" t="s">
        <v>26</v>
      </c>
      <c r="G3239" s="54"/>
    </row>
    <row r="3240">
      <c r="A3240" s="49">
        <v>45054.82612459491</v>
      </c>
      <c r="B3240" s="50">
        <v>45054.9510952314</v>
      </c>
      <c r="C3240" s="51">
        <v>1.02</v>
      </c>
      <c r="D3240" s="51">
        <v>62.0</v>
      </c>
      <c r="E3240" s="52" t="s">
        <v>25</v>
      </c>
      <c r="F3240" s="52" t="s">
        <v>26</v>
      </c>
      <c r="G3240" s="54"/>
    </row>
    <row r="3241">
      <c r="A3241" s="49">
        <v>45054.83654046296</v>
      </c>
      <c r="B3241" s="50">
        <v>45054.9615142245</v>
      </c>
      <c r="C3241" s="51">
        <v>1.02</v>
      </c>
      <c r="D3241" s="51">
        <v>62.0</v>
      </c>
      <c r="E3241" s="52" t="s">
        <v>25</v>
      </c>
      <c r="F3241" s="52" t="s">
        <v>26</v>
      </c>
      <c r="G3241" s="54"/>
    </row>
    <row r="3242">
      <c r="A3242" s="49">
        <v>45054.84696362268</v>
      </c>
      <c r="B3242" s="50">
        <v>45054.9719355902</v>
      </c>
      <c r="C3242" s="51">
        <v>1.02</v>
      </c>
      <c r="D3242" s="51">
        <v>62.0</v>
      </c>
      <c r="E3242" s="52" t="s">
        <v>25</v>
      </c>
      <c r="F3242" s="52" t="s">
        <v>26</v>
      </c>
      <c r="G3242" s="54"/>
    </row>
    <row r="3243">
      <c r="A3243" s="49">
        <v>45054.857377939814</v>
      </c>
      <c r="B3243" s="50">
        <v>45054.9823583333</v>
      </c>
      <c r="C3243" s="51">
        <v>1.02</v>
      </c>
      <c r="D3243" s="51">
        <v>62.0</v>
      </c>
      <c r="E3243" s="52" t="s">
        <v>25</v>
      </c>
      <c r="F3243" s="52" t="s">
        <v>26</v>
      </c>
      <c r="G3243" s="54"/>
    </row>
    <row r="3244">
      <c r="A3244" s="49">
        <v>45054.8678061574</v>
      </c>
      <c r="B3244" s="50">
        <v>45054.9927798958</v>
      </c>
      <c r="C3244" s="51">
        <v>1.02</v>
      </c>
      <c r="D3244" s="51">
        <v>62.0</v>
      </c>
      <c r="E3244" s="52" t="s">
        <v>25</v>
      </c>
      <c r="F3244" s="52" t="s">
        <v>26</v>
      </c>
      <c r="G3244" s="54"/>
    </row>
    <row r="3245">
      <c r="A3245" s="49">
        <v>45054.87822486111</v>
      </c>
      <c r="B3245" s="50">
        <v>45055.0032006828</v>
      </c>
      <c r="C3245" s="51">
        <v>1.02</v>
      </c>
      <c r="D3245" s="51">
        <v>62.0</v>
      </c>
      <c r="E3245" s="52" t="s">
        <v>25</v>
      </c>
      <c r="F3245" s="52" t="s">
        <v>26</v>
      </c>
      <c r="G3245" s="54"/>
    </row>
    <row r="3246">
      <c r="A3246" s="49">
        <v>45054.88863878472</v>
      </c>
      <c r="B3246" s="50">
        <v>45055.0136209838</v>
      </c>
      <c r="C3246" s="51">
        <v>1.02</v>
      </c>
      <c r="D3246" s="51">
        <v>62.0</v>
      </c>
      <c r="E3246" s="52" t="s">
        <v>25</v>
      </c>
      <c r="F3246" s="52" t="s">
        <v>26</v>
      </c>
      <c r="G3246" s="54"/>
    </row>
    <row r="3247">
      <c r="A3247" s="49">
        <v>45054.89907399306</v>
      </c>
      <c r="B3247" s="50">
        <v>45055.024043993</v>
      </c>
      <c r="C3247" s="51">
        <v>1.02</v>
      </c>
      <c r="D3247" s="51">
        <v>62.0</v>
      </c>
      <c r="E3247" s="52" t="s">
        <v>25</v>
      </c>
      <c r="F3247" s="52" t="s">
        <v>26</v>
      </c>
      <c r="G3247" s="54"/>
    </row>
    <row r="3248">
      <c r="A3248" s="49">
        <v>45054.90948695602</v>
      </c>
      <c r="B3248" s="50">
        <v>45055.0344648263</v>
      </c>
      <c r="C3248" s="51">
        <v>1.02</v>
      </c>
      <c r="D3248" s="51">
        <v>62.0</v>
      </c>
      <c r="E3248" s="52" t="s">
        <v>25</v>
      </c>
      <c r="F3248" s="52" t="s">
        <v>26</v>
      </c>
      <c r="G3248" s="54"/>
    </row>
    <row r="3249">
      <c r="A3249" s="49">
        <v>45054.91991304398</v>
      </c>
      <c r="B3249" s="50">
        <v>45055.0448854629</v>
      </c>
      <c r="C3249" s="51">
        <v>1.02</v>
      </c>
      <c r="D3249" s="51">
        <v>62.0</v>
      </c>
      <c r="E3249" s="52" t="s">
        <v>25</v>
      </c>
      <c r="F3249" s="52" t="s">
        <v>26</v>
      </c>
      <c r="G3249" s="54"/>
    </row>
    <row r="3250">
      <c r="A3250" s="49">
        <v>45054.93034017361</v>
      </c>
      <c r="B3250" s="50">
        <v>45055.0553189004</v>
      </c>
      <c r="C3250" s="51">
        <v>1.02</v>
      </c>
      <c r="D3250" s="51">
        <v>62.0</v>
      </c>
      <c r="E3250" s="52" t="s">
        <v>25</v>
      </c>
      <c r="F3250" s="52" t="s">
        <v>26</v>
      </c>
      <c r="G3250" s="54"/>
    </row>
    <row r="3251">
      <c r="A3251" s="49">
        <v>45054.94075966435</v>
      </c>
      <c r="B3251" s="50">
        <v>45055.0657400925</v>
      </c>
      <c r="C3251" s="51">
        <v>1.02</v>
      </c>
      <c r="D3251" s="51">
        <v>62.0</v>
      </c>
      <c r="E3251" s="52" t="s">
        <v>25</v>
      </c>
      <c r="F3251" s="52" t="s">
        <v>26</v>
      </c>
      <c r="G3251" s="54"/>
    </row>
    <row r="3252">
      <c r="A3252" s="49">
        <v>45054.95118857639</v>
      </c>
      <c r="B3252" s="50">
        <v>45055.0761615856</v>
      </c>
      <c r="C3252" s="51">
        <v>1.02</v>
      </c>
      <c r="D3252" s="51">
        <v>62.0</v>
      </c>
      <c r="E3252" s="52" t="s">
        <v>25</v>
      </c>
      <c r="F3252" s="52" t="s">
        <v>26</v>
      </c>
      <c r="G3252" s="54"/>
    </row>
    <row r="3253">
      <c r="A3253" s="49">
        <v>45054.96160516204</v>
      </c>
      <c r="B3253" s="50">
        <v>45055.0865831018</v>
      </c>
      <c r="C3253" s="51">
        <v>1.02</v>
      </c>
      <c r="D3253" s="51">
        <v>62.0</v>
      </c>
      <c r="E3253" s="52" t="s">
        <v>25</v>
      </c>
      <c r="F3253" s="52" t="s">
        <v>26</v>
      </c>
      <c r="G3253" s="54"/>
    </row>
    <row r="3254">
      <c r="A3254" s="49">
        <v>45054.97201932871</v>
      </c>
      <c r="B3254" s="50">
        <v>45055.0970034375</v>
      </c>
      <c r="C3254" s="51">
        <v>1.02</v>
      </c>
      <c r="D3254" s="51">
        <v>62.0</v>
      </c>
      <c r="E3254" s="52" t="s">
        <v>25</v>
      </c>
      <c r="F3254" s="52" t="s">
        <v>26</v>
      </c>
      <c r="G3254" s="54"/>
    </row>
    <row r="3255">
      <c r="A3255" s="49">
        <v>45054.9824525</v>
      </c>
      <c r="B3255" s="50">
        <v>45055.1074248495</v>
      </c>
      <c r="C3255" s="51">
        <v>1.02</v>
      </c>
      <c r="D3255" s="51">
        <v>62.0</v>
      </c>
      <c r="E3255" s="52" t="s">
        <v>25</v>
      </c>
      <c r="F3255" s="52" t="s">
        <v>26</v>
      </c>
      <c r="G3255" s="54"/>
    </row>
    <row r="3256">
      <c r="A3256" s="49">
        <v>45054.99286789352</v>
      </c>
      <c r="B3256" s="50">
        <v>45055.1178454861</v>
      </c>
      <c r="C3256" s="51">
        <v>1.02</v>
      </c>
      <c r="D3256" s="51">
        <v>62.0</v>
      </c>
      <c r="E3256" s="52" t="s">
        <v>25</v>
      </c>
      <c r="F3256" s="52" t="s">
        <v>26</v>
      </c>
      <c r="G3256" s="54"/>
    </row>
    <row r="3257">
      <c r="A3257" s="49">
        <v>45055.003294131944</v>
      </c>
      <c r="B3257" s="50">
        <v>45055.1282688425</v>
      </c>
      <c r="C3257" s="51">
        <v>1.02</v>
      </c>
      <c r="D3257" s="51">
        <v>62.0</v>
      </c>
      <c r="E3257" s="52" t="s">
        <v>25</v>
      </c>
      <c r="F3257" s="52" t="s">
        <v>26</v>
      </c>
      <c r="G3257" s="54"/>
    </row>
    <row r="3258">
      <c r="A3258" s="49">
        <v>45055.013730694445</v>
      </c>
      <c r="B3258" s="50">
        <v>45055.1387020138</v>
      </c>
      <c r="C3258" s="51">
        <v>1.02</v>
      </c>
      <c r="D3258" s="51">
        <v>62.0</v>
      </c>
      <c r="E3258" s="52" t="s">
        <v>25</v>
      </c>
      <c r="F3258" s="52" t="s">
        <v>26</v>
      </c>
      <c r="G3258" s="54"/>
    </row>
    <row r="3259">
      <c r="A3259" s="49">
        <v>45055.024151944446</v>
      </c>
      <c r="B3259" s="50">
        <v>45055.1491230324</v>
      </c>
      <c r="C3259" s="51">
        <v>1.02</v>
      </c>
      <c r="D3259" s="51">
        <v>62.0</v>
      </c>
      <c r="E3259" s="52" t="s">
        <v>25</v>
      </c>
      <c r="F3259" s="52" t="s">
        <v>26</v>
      </c>
      <c r="G3259" s="54"/>
    </row>
    <row r="3260">
      <c r="A3260" s="49">
        <v>45055.034567407405</v>
      </c>
      <c r="B3260" s="50">
        <v>45055.1595424074</v>
      </c>
      <c r="C3260" s="51">
        <v>1.02</v>
      </c>
      <c r="D3260" s="51">
        <v>62.0</v>
      </c>
      <c r="E3260" s="52" t="s">
        <v>25</v>
      </c>
      <c r="F3260" s="52" t="s">
        <v>26</v>
      </c>
      <c r="G3260" s="54"/>
    </row>
    <row r="3261">
      <c r="A3261" s="49">
        <v>45055.04498914352</v>
      </c>
      <c r="B3261" s="50">
        <v>45055.1699644444</v>
      </c>
      <c r="C3261" s="51">
        <v>1.02</v>
      </c>
      <c r="D3261" s="51">
        <v>62.0</v>
      </c>
      <c r="E3261" s="52" t="s">
        <v>25</v>
      </c>
      <c r="F3261" s="52" t="s">
        <v>26</v>
      </c>
      <c r="G3261" s="54"/>
    </row>
    <row r="3262">
      <c r="A3262" s="49">
        <v>45055.05541295139</v>
      </c>
      <c r="B3262" s="50">
        <v>45055.1803860532</v>
      </c>
      <c r="C3262" s="51">
        <v>1.02</v>
      </c>
      <c r="D3262" s="51">
        <v>62.0</v>
      </c>
      <c r="E3262" s="52" t="s">
        <v>25</v>
      </c>
      <c r="F3262" s="52" t="s">
        <v>26</v>
      </c>
      <c r="G3262" s="54"/>
    </row>
    <row r="3263">
      <c r="A3263" s="49">
        <v>45055.065832175926</v>
      </c>
      <c r="B3263" s="50">
        <v>45055.1908056597</v>
      </c>
      <c r="C3263" s="51">
        <v>1.02</v>
      </c>
      <c r="D3263" s="51">
        <v>62.0</v>
      </c>
      <c r="E3263" s="52" t="s">
        <v>25</v>
      </c>
      <c r="F3263" s="52" t="s">
        <v>26</v>
      </c>
      <c r="G3263" s="54"/>
    </row>
    <row r="3264">
      <c r="A3264" s="49">
        <v>45055.07625511574</v>
      </c>
      <c r="B3264" s="50">
        <v>45055.2012249189</v>
      </c>
      <c r="C3264" s="51">
        <v>1.02</v>
      </c>
      <c r="D3264" s="51">
        <v>62.0</v>
      </c>
      <c r="E3264" s="52" t="s">
        <v>25</v>
      </c>
      <c r="F3264" s="52" t="s">
        <v>26</v>
      </c>
      <c r="G3264" s="54"/>
    </row>
    <row r="3265">
      <c r="A3265" s="49">
        <v>45055.08668011574</v>
      </c>
      <c r="B3265" s="50">
        <v>45055.2116488194</v>
      </c>
      <c r="C3265" s="51">
        <v>1.02</v>
      </c>
      <c r="D3265" s="51">
        <v>62.0</v>
      </c>
      <c r="E3265" s="52" t="s">
        <v>25</v>
      </c>
      <c r="F3265" s="52" t="s">
        <v>26</v>
      </c>
      <c r="G3265" s="54"/>
    </row>
    <row r="3266">
      <c r="A3266" s="49">
        <v>45055.09710833333</v>
      </c>
      <c r="B3266" s="50">
        <v>45055.2220816898</v>
      </c>
      <c r="C3266" s="51">
        <v>1.02</v>
      </c>
      <c r="D3266" s="51">
        <v>62.0</v>
      </c>
      <c r="E3266" s="52" t="s">
        <v>25</v>
      </c>
      <c r="F3266" s="52" t="s">
        <v>26</v>
      </c>
      <c r="G3266" s="54"/>
    </row>
    <row r="3267">
      <c r="A3267" s="49">
        <v>45055.10752917824</v>
      </c>
      <c r="B3267" s="50">
        <v>45055.2325030787</v>
      </c>
      <c r="C3267" s="51">
        <v>1.02</v>
      </c>
      <c r="D3267" s="51">
        <v>62.0</v>
      </c>
      <c r="E3267" s="52" t="s">
        <v>25</v>
      </c>
      <c r="F3267" s="52" t="s">
        <v>26</v>
      </c>
      <c r="G3267" s="54"/>
    </row>
    <row r="3268">
      <c r="A3268" s="49">
        <v>45055.11795306713</v>
      </c>
      <c r="B3268" s="50">
        <v>45055.2429261111</v>
      </c>
      <c r="C3268" s="51">
        <v>1.02</v>
      </c>
      <c r="D3268" s="51">
        <v>62.0</v>
      </c>
      <c r="E3268" s="52" t="s">
        <v>25</v>
      </c>
      <c r="F3268" s="52" t="s">
        <v>26</v>
      </c>
      <c r="G3268" s="54"/>
    </row>
    <row r="3269">
      <c r="A3269" s="49">
        <v>45055.12836675926</v>
      </c>
      <c r="B3269" s="50">
        <v>45055.2533467939</v>
      </c>
      <c r="C3269" s="51">
        <v>1.02</v>
      </c>
      <c r="D3269" s="51">
        <v>62.0</v>
      </c>
      <c r="E3269" s="52" t="s">
        <v>25</v>
      </c>
      <c r="F3269" s="52" t="s">
        <v>26</v>
      </c>
      <c r="G3269" s="54"/>
    </row>
    <row r="3270">
      <c r="A3270" s="49">
        <v>45055.14921618055</v>
      </c>
      <c r="B3270" s="50">
        <v>45055.274189537</v>
      </c>
      <c r="C3270" s="51">
        <v>1.02</v>
      </c>
      <c r="D3270" s="51">
        <v>62.0</v>
      </c>
      <c r="E3270" s="52" t="s">
        <v>25</v>
      </c>
      <c r="F3270" s="52" t="s">
        <v>26</v>
      </c>
      <c r="G3270" s="54"/>
    </row>
    <row r="3271">
      <c r="A3271" s="49">
        <v>45055.15963202546</v>
      </c>
      <c r="B3271" s="50">
        <v>45055.284613125</v>
      </c>
      <c r="C3271" s="51">
        <v>1.02</v>
      </c>
      <c r="D3271" s="51">
        <v>62.0</v>
      </c>
      <c r="E3271" s="52" t="s">
        <v>25</v>
      </c>
      <c r="F3271" s="52" t="s">
        <v>26</v>
      </c>
      <c r="G3271" s="54"/>
    </row>
    <row r="3272">
      <c r="A3272" s="49">
        <v>45055.17005813657</v>
      </c>
      <c r="B3272" s="50">
        <v>45055.2950337152</v>
      </c>
      <c r="C3272" s="51">
        <v>1.02</v>
      </c>
      <c r="D3272" s="51">
        <v>62.0</v>
      </c>
      <c r="E3272" s="52" t="s">
        <v>25</v>
      </c>
      <c r="F3272" s="52" t="s">
        <v>26</v>
      </c>
      <c r="G3272" s="54"/>
    </row>
    <row r="3273">
      <c r="A3273" s="49">
        <v>45055.18047295139</v>
      </c>
      <c r="B3273" s="50">
        <v>45055.305452824</v>
      </c>
      <c r="C3273" s="51">
        <v>1.02</v>
      </c>
      <c r="D3273" s="51">
        <v>62.0</v>
      </c>
      <c r="E3273" s="52" t="s">
        <v>25</v>
      </c>
      <c r="F3273" s="52" t="s">
        <v>26</v>
      </c>
      <c r="G3273" s="54"/>
    </row>
    <row r="3274">
      <c r="A3274" s="49">
        <v>45055.19089591435</v>
      </c>
      <c r="B3274" s="50">
        <v>45055.3158738773</v>
      </c>
      <c r="C3274" s="51">
        <v>1.02</v>
      </c>
      <c r="D3274" s="51">
        <v>63.0</v>
      </c>
      <c r="E3274" s="52" t="s">
        <v>25</v>
      </c>
      <c r="F3274" s="52" t="s">
        <v>26</v>
      </c>
      <c r="G3274" s="54"/>
    </row>
    <row r="3275">
      <c r="A3275" s="49">
        <v>45055.201334178244</v>
      </c>
      <c r="B3275" s="50">
        <v>45055.3263059375</v>
      </c>
      <c r="C3275" s="51">
        <v>1.02</v>
      </c>
      <c r="D3275" s="51">
        <v>62.0</v>
      </c>
      <c r="E3275" s="52" t="s">
        <v>25</v>
      </c>
      <c r="F3275" s="52" t="s">
        <v>26</v>
      </c>
      <c r="G3275" s="54"/>
    </row>
    <row r="3276">
      <c r="A3276" s="49">
        <v>45055.211757233796</v>
      </c>
      <c r="B3276" s="50">
        <v>45055.3367272916</v>
      </c>
      <c r="C3276" s="51">
        <v>1.02</v>
      </c>
      <c r="D3276" s="51">
        <v>63.0</v>
      </c>
      <c r="E3276" s="52" t="s">
        <v>25</v>
      </c>
      <c r="F3276" s="52" t="s">
        <v>26</v>
      </c>
      <c r="G3276" s="54"/>
    </row>
    <row r="3277">
      <c r="A3277" s="49">
        <v>45055.2221677662</v>
      </c>
      <c r="B3277" s="50">
        <v>45055.3471483449</v>
      </c>
      <c r="C3277" s="51">
        <v>1.019</v>
      </c>
      <c r="D3277" s="51">
        <v>63.0</v>
      </c>
      <c r="E3277" s="52" t="s">
        <v>25</v>
      </c>
      <c r="F3277" s="52" t="s">
        <v>26</v>
      </c>
      <c r="G3277" s="54"/>
    </row>
    <row r="3278">
      <c r="A3278" s="49">
        <v>45055.23260122685</v>
      </c>
      <c r="B3278" s="50">
        <v>45055.3575703819</v>
      </c>
      <c r="C3278" s="51">
        <v>1.02</v>
      </c>
      <c r="D3278" s="51">
        <v>63.0</v>
      </c>
      <c r="E3278" s="52" t="s">
        <v>25</v>
      </c>
      <c r="F3278" s="52" t="s">
        <v>26</v>
      </c>
      <c r="G3278" s="54"/>
    </row>
    <row r="3279">
      <c r="A3279" s="49">
        <v>45055.24302070602</v>
      </c>
      <c r="B3279" s="50">
        <v>45055.3679923842</v>
      </c>
      <c r="C3279" s="51">
        <v>1.02</v>
      </c>
      <c r="D3279" s="51">
        <v>63.0</v>
      </c>
      <c r="E3279" s="52" t="s">
        <v>25</v>
      </c>
      <c r="F3279" s="52" t="s">
        <v>26</v>
      </c>
      <c r="G3279" s="54"/>
    </row>
    <row r="3280">
      <c r="A3280" s="49">
        <v>45055.26386274306</v>
      </c>
      <c r="B3280" s="50">
        <v>45055.3888358796</v>
      </c>
      <c r="C3280" s="51">
        <v>1.02</v>
      </c>
      <c r="D3280" s="51">
        <v>63.0</v>
      </c>
      <c r="E3280" s="52" t="s">
        <v>25</v>
      </c>
      <c r="F3280" s="52" t="s">
        <v>26</v>
      </c>
      <c r="G3280" s="54"/>
    </row>
    <row r="3281">
      <c r="A3281" s="49">
        <v>45055.27430446759</v>
      </c>
      <c r="B3281" s="50">
        <v>45055.399256956</v>
      </c>
      <c r="C3281" s="51">
        <v>1.019</v>
      </c>
      <c r="D3281" s="51">
        <v>63.0</v>
      </c>
      <c r="E3281" s="52" t="s">
        <v>25</v>
      </c>
      <c r="F3281" s="52" t="s">
        <v>26</v>
      </c>
      <c r="G3281" s="54"/>
    </row>
    <row r="3282">
      <c r="A3282" s="49">
        <v>45055.284694675924</v>
      </c>
      <c r="B3282" s="50">
        <v>45055.4096772453</v>
      </c>
      <c r="C3282" s="51">
        <v>1.019</v>
      </c>
      <c r="D3282" s="51">
        <v>63.0</v>
      </c>
      <c r="E3282" s="52" t="s">
        <v>25</v>
      </c>
      <c r="F3282" s="52" t="s">
        <v>26</v>
      </c>
      <c r="G3282" s="54"/>
    </row>
    <row r="3283">
      <c r="A3283" s="49">
        <v>45055.29512313657</v>
      </c>
      <c r="B3283" s="50">
        <v>45055.4200994212</v>
      </c>
      <c r="C3283" s="51">
        <v>1.019</v>
      </c>
      <c r="D3283" s="51">
        <v>63.0</v>
      </c>
      <c r="E3283" s="52" t="s">
        <v>25</v>
      </c>
      <c r="F3283" s="52" t="s">
        <v>26</v>
      </c>
      <c r="G3283" s="54"/>
    </row>
    <row r="3284">
      <c r="A3284" s="49">
        <v>45055.305548854165</v>
      </c>
      <c r="B3284" s="50">
        <v>45055.4305200231</v>
      </c>
      <c r="C3284" s="51">
        <v>1.02</v>
      </c>
      <c r="D3284" s="51">
        <v>63.0</v>
      </c>
      <c r="E3284" s="52" t="s">
        <v>25</v>
      </c>
      <c r="F3284" s="52" t="s">
        <v>26</v>
      </c>
      <c r="G3284" s="54"/>
    </row>
    <row r="3285">
      <c r="A3285" s="49">
        <v>45055.315970173615</v>
      </c>
      <c r="B3285" s="50">
        <v>45055.440951655</v>
      </c>
      <c r="C3285" s="51">
        <v>1.019</v>
      </c>
      <c r="D3285" s="51">
        <v>63.0</v>
      </c>
      <c r="E3285" s="52" t="s">
        <v>25</v>
      </c>
      <c r="F3285" s="52" t="s">
        <v>26</v>
      </c>
      <c r="G3285" s="54"/>
    </row>
    <row r="3286">
      <c r="A3286" s="49">
        <v>45055.326393483796</v>
      </c>
      <c r="B3286" s="50">
        <v>45055.4513728356</v>
      </c>
      <c r="C3286" s="51">
        <v>1.02</v>
      </c>
      <c r="D3286" s="51">
        <v>63.0</v>
      </c>
      <c r="E3286" s="52" t="s">
        <v>25</v>
      </c>
      <c r="F3286" s="52" t="s">
        <v>26</v>
      </c>
      <c r="G3286" s="54"/>
    </row>
    <row r="3287">
      <c r="A3287" s="49">
        <v>45055.33681001158</v>
      </c>
      <c r="B3287" s="50">
        <v>45055.4617947222</v>
      </c>
      <c r="C3287" s="51">
        <v>1.019</v>
      </c>
      <c r="D3287" s="51">
        <v>63.0</v>
      </c>
      <c r="E3287" s="52" t="s">
        <v>25</v>
      </c>
      <c r="F3287" s="52" t="s">
        <v>26</v>
      </c>
      <c r="G3287" s="54"/>
    </row>
    <row r="3288">
      <c r="A3288" s="49">
        <v>45055.34724393519</v>
      </c>
      <c r="B3288" s="50">
        <v>45055.4722174537</v>
      </c>
      <c r="C3288" s="51">
        <v>1.019</v>
      </c>
      <c r="D3288" s="51">
        <v>63.0</v>
      </c>
      <c r="E3288" s="52" t="s">
        <v>25</v>
      </c>
      <c r="F3288" s="52" t="s">
        <v>26</v>
      </c>
      <c r="G3288" s="54"/>
    </row>
    <row r="3289">
      <c r="A3289" s="49">
        <v>45055.357666655094</v>
      </c>
      <c r="B3289" s="50">
        <v>45055.482638449</v>
      </c>
      <c r="C3289" s="51">
        <v>1.02</v>
      </c>
      <c r="D3289" s="51">
        <v>63.0</v>
      </c>
      <c r="E3289" s="52" t="s">
        <v>25</v>
      </c>
      <c r="F3289" s="52" t="s">
        <v>26</v>
      </c>
      <c r="G3289" s="54"/>
    </row>
    <row r="3290">
      <c r="A3290" s="49">
        <v>45055.36813916666</v>
      </c>
      <c r="B3290" s="50">
        <v>45055.4930608217</v>
      </c>
      <c r="C3290" s="51">
        <v>1.019</v>
      </c>
      <c r="D3290" s="51">
        <v>63.0</v>
      </c>
      <c r="E3290" s="52" t="s">
        <v>25</v>
      </c>
      <c r="F3290" s="52" t="s">
        <v>26</v>
      </c>
      <c r="G3290" s="54"/>
    </row>
    <row r="3291">
      <c r="A3291" s="49">
        <v>45055.37851420139</v>
      </c>
      <c r="B3291" s="50">
        <v>45055.5034812037</v>
      </c>
      <c r="C3291" s="51">
        <v>1.019</v>
      </c>
      <c r="D3291" s="51">
        <v>63.0</v>
      </c>
      <c r="E3291" s="52" t="s">
        <v>25</v>
      </c>
      <c r="F3291" s="52" t="s">
        <v>26</v>
      </c>
      <c r="G3291" s="54"/>
    </row>
    <row r="3292">
      <c r="A3292" s="49">
        <v>45055.38892560185</v>
      </c>
      <c r="B3292" s="50">
        <v>45055.5139011921</v>
      </c>
      <c r="C3292" s="51">
        <v>1.019</v>
      </c>
      <c r="D3292" s="51">
        <v>63.0</v>
      </c>
      <c r="E3292" s="52" t="s">
        <v>25</v>
      </c>
      <c r="F3292" s="52" t="s">
        <v>26</v>
      </c>
      <c r="G3292" s="54"/>
    </row>
    <row r="3293">
      <c r="A3293" s="49">
        <v>45055.399353009256</v>
      </c>
      <c r="B3293" s="50">
        <v>45055.5243232291</v>
      </c>
      <c r="C3293" s="51">
        <v>1.019</v>
      </c>
      <c r="D3293" s="51">
        <v>63.0</v>
      </c>
      <c r="E3293" s="52" t="s">
        <v>25</v>
      </c>
      <c r="F3293" s="52" t="s">
        <v>26</v>
      </c>
      <c r="G3293" s="54"/>
    </row>
    <row r="3294">
      <c r="A3294" s="49">
        <v>45055.409770196755</v>
      </c>
      <c r="B3294" s="50">
        <v>45055.5347430902</v>
      </c>
      <c r="C3294" s="51">
        <v>1.019</v>
      </c>
      <c r="D3294" s="51">
        <v>63.0</v>
      </c>
      <c r="E3294" s="52" t="s">
        <v>25</v>
      </c>
      <c r="F3294" s="52" t="s">
        <v>26</v>
      </c>
      <c r="G3294" s="54"/>
    </row>
    <row r="3295">
      <c r="A3295" s="49">
        <v>45055.42022005787</v>
      </c>
      <c r="B3295" s="50">
        <v>45055.5451629861</v>
      </c>
      <c r="C3295" s="51">
        <v>1.019</v>
      </c>
      <c r="D3295" s="51">
        <v>63.0</v>
      </c>
      <c r="E3295" s="52" t="s">
        <v>25</v>
      </c>
      <c r="F3295" s="52" t="s">
        <v>26</v>
      </c>
      <c r="G3295" s="54"/>
    </row>
    <row r="3296">
      <c r="A3296" s="49">
        <v>45055.43061606481</v>
      </c>
      <c r="B3296" s="50">
        <v>45055.5555836921</v>
      </c>
      <c r="C3296" s="51">
        <v>1.019</v>
      </c>
      <c r="D3296" s="51">
        <v>63.0</v>
      </c>
      <c r="E3296" s="52" t="s">
        <v>25</v>
      </c>
      <c r="F3296" s="52" t="s">
        <v>26</v>
      </c>
      <c r="G3296" s="54"/>
    </row>
    <row r="3297">
      <c r="A3297" s="49">
        <v>45055.44104173611</v>
      </c>
      <c r="B3297" s="50">
        <v>45055.5660151736</v>
      </c>
      <c r="C3297" s="51">
        <v>1.019</v>
      </c>
      <c r="D3297" s="51">
        <v>63.0</v>
      </c>
      <c r="E3297" s="52" t="s">
        <v>25</v>
      </c>
      <c r="F3297" s="52" t="s">
        <v>26</v>
      </c>
      <c r="G3297" s="54"/>
    </row>
    <row r="3298">
      <c r="A3298" s="49">
        <v>45055.451460729164</v>
      </c>
      <c r="B3298" s="50">
        <v>45055.5764364583</v>
      </c>
      <c r="C3298" s="51">
        <v>1.019</v>
      </c>
      <c r="D3298" s="51">
        <v>63.0</v>
      </c>
      <c r="E3298" s="52" t="s">
        <v>25</v>
      </c>
      <c r="F3298" s="52" t="s">
        <v>26</v>
      </c>
      <c r="G3298" s="54"/>
    </row>
    <row r="3299">
      <c r="A3299" s="49">
        <v>45055.4618783912</v>
      </c>
      <c r="B3299" s="50">
        <v>45055.5868579166</v>
      </c>
      <c r="C3299" s="51">
        <v>1.019</v>
      </c>
      <c r="D3299" s="51">
        <v>63.0</v>
      </c>
      <c r="E3299" s="52" t="s">
        <v>25</v>
      </c>
      <c r="F3299" s="52" t="s">
        <v>26</v>
      </c>
      <c r="G3299" s="54"/>
    </row>
    <row r="3300">
      <c r="A3300" s="49">
        <v>45055.472317465275</v>
      </c>
      <c r="B3300" s="50">
        <v>45055.597291331</v>
      </c>
      <c r="C3300" s="51">
        <v>1.019</v>
      </c>
      <c r="D3300" s="51">
        <v>63.0</v>
      </c>
      <c r="E3300" s="52" t="s">
        <v>25</v>
      </c>
      <c r="F3300" s="52" t="s">
        <v>26</v>
      </c>
      <c r="G3300" s="54"/>
    </row>
    <row r="3301">
      <c r="A3301" s="49">
        <v>45055.482735011574</v>
      </c>
      <c r="B3301" s="50">
        <v>45055.6077118518</v>
      </c>
      <c r="C3301" s="51">
        <v>1.019</v>
      </c>
      <c r="D3301" s="51">
        <v>63.0</v>
      </c>
      <c r="E3301" s="52" t="s">
        <v>25</v>
      </c>
      <c r="F3301" s="52" t="s">
        <v>26</v>
      </c>
      <c r="G3301" s="54"/>
    </row>
    <row r="3302">
      <c r="A3302" s="49">
        <v>45055.493165555556</v>
      </c>
      <c r="B3302" s="50">
        <v>45055.6181426388</v>
      </c>
      <c r="C3302" s="51">
        <v>1.019</v>
      </c>
      <c r="D3302" s="51">
        <v>63.0</v>
      </c>
      <c r="E3302" s="52" t="s">
        <v>25</v>
      </c>
      <c r="F3302" s="52" t="s">
        <v>26</v>
      </c>
      <c r="G3302" s="54"/>
    </row>
    <row r="3303">
      <c r="A3303" s="49">
        <v>45055.50359988426</v>
      </c>
      <c r="B3303" s="50">
        <v>45055.6285731944</v>
      </c>
      <c r="C3303" s="51">
        <v>1.019</v>
      </c>
      <c r="D3303" s="51">
        <v>63.0</v>
      </c>
      <c r="E3303" s="52" t="s">
        <v>25</v>
      </c>
      <c r="F3303" s="52" t="s">
        <v>26</v>
      </c>
      <c r="G3303" s="54"/>
    </row>
    <row r="3304">
      <c r="A3304" s="49">
        <v>45055.51411310185</v>
      </c>
      <c r="B3304" s="50">
        <v>45055.6389934953</v>
      </c>
      <c r="C3304" s="51">
        <v>1.019</v>
      </c>
      <c r="D3304" s="51">
        <v>63.0</v>
      </c>
      <c r="E3304" s="52" t="s">
        <v>25</v>
      </c>
      <c r="F3304" s="52" t="s">
        <v>26</v>
      </c>
      <c r="G3304" s="54"/>
    </row>
    <row r="3305">
      <c r="A3305" s="49">
        <v>45055.52444005787</v>
      </c>
      <c r="B3305" s="50">
        <v>45055.6494158101</v>
      </c>
      <c r="C3305" s="51">
        <v>1.019</v>
      </c>
      <c r="D3305" s="51">
        <v>63.0</v>
      </c>
      <c r="E3305" s="52" t="s">
        <v>25</v>
      </c>
      <c r="F3305" s="52" t="s">
        <v>26</v>
      </c>
      <c r="G3305" s="54"/>
    </row>
    <row r="3306">
      <c r="A3306" s="49">
        <v>45055.534861203705</v>
      </c>
      <c r="B3306" s="50">
        <v>45055.6598360416</v>
      </c>
      <c r="C3306" s="51">
        <v>1.019</v>
      </c>
      <c r="D3306" s="51">
        <v>63.0</v>
      </c>
      <c r="E3306" s="52" t="s">
        <v>25</v>
      </c>
      <c r="F3306" s="52" t="s">
        <v>26</v>
      </c>
      <c r="G3306" s="54"/>
    </row>
    <row r="3307">
      <c r="A3307" s="49">
        <v>45055.54528824074</v>
      </c>
      <c r="B3307" s="50">
        <v>45055.6702569213</v>
      </c>
      <c r="C3307" s="51">
        <v>1.019</v>
      </c>
      <c r="D3307" s="51">
        <v>63.0</v>
      </c>
      <c r="E3307" s="52" t="s">
        <v>25</v>
      </c>
      <c r="F3307" s="52" t="s">
        <v>26</v>
      </c>
      <c r="G3307" s="54"/>
    </row>
    <row r="3308">
      <c r="A3308" s="49">
        <v>45055.55571310185</v>
      </c>
      <c r="B3308" s="50">
        <v>45055.6806883912</v>
      </c>
      <c r="C3308" s="51">
        <v>1.019</v>
      </c>
      <c r="D3308" s="51">
        <v>63.0</v>
      </c>
      <c r="E3308" s="52" t="s">
        <v>25</v>
      </c>
      <c r="F3308" s="52" t="s">
        <v>26</v>
      </c>
      <c r="G3308" s="54"/>
    </row>
    <row r="3309">
      <c r="A3309" s="49">
        <v>45055.566137685186</v>
      </c>
      <c r="B3309" s="50">
        <v>45055.6911091898</v>
      </c>
      <c r="C3309" s="51">
        <v>1.019</v>
      </c>
      <c r="D3309" s="51">
        <v>63.0</v>
      </c>
      <c r="E3309" s="52" t="s">
        <v>25</v>
      </c>
      <c r="F3309" s="52" t="s">
        <v>26</v>
      </c>
      <c r="G3309" s="54"/>
    </row>
    <row r="3310">
      <c r="A3310" s="49">
        <v>45055.57655575231</v>
      </c>
      <c r="B3310" s="50">
        <v>45055.7015338541</v>
      </c>
      <c r="C3310" s="51">
        <v>1.019</v>
      </c>
      <c r="D3310" s="51">
        <v>63.0</v>
      </c>
      <c r="E3310" s="52" t="s">
        <v>25</v>
      </c>
      <c r="F3310" s="52" t="s">
        <v>26</v>
      </c>
      <c r="G3310" s="54"/>
    </row>
    <row r="3311">
      <c r="A3311" s="49">
        <v>45055.58702634259</v>
      </c>
      <c r="B3311" s="50">
        <v>45055.7119557638</v>
      </c>
      <c r="C3311" s="51">
        <v>1.019</v>
      </c>
      <c r="D3311" s="51">
        <v>63.0</v>
      </c>
      <c r="E3311" s="52" t="s">
        <v>25</v>
      </c>
      <c r="F3311" s="52" t="s">
        <v>26</v>
      </c>
      <c r="G3311" s="54"/>
    </row>
    <row r="3312">
      <c r="A3312" s="49">
        <v>45055.597436111115</v>
      </c>
      <c r="B3312" s="50">
        <v>45055.7224120601</v>
      </c>
      <c r="C3312" s="51">
        <v>1.019</v>
      </c>
      <c r="D3312" s="51">
        <v>63.0</v>
      </c>
      <c r="E3312" s="52" t="s">
        <v>25</v>
      </c>
      <c r="F3312" s="52" t="s">
        <v>26</v>
      </c>
      <c r="G3312" s="54"/>
    </row>
    <row r="3313">
      <c r="A3313" s="49">
        <v>45055.60792135417</v>
      </c>
      <c r="B3313" s="50">
        <v>45055.7328418518</v>
      </c>
      <c r="C3313" s="51">
        <v>1.019</v>
      </c>
      <c r="D3313" s="51">
        <v>63.0</v>
      </c>
      <c r="E3313" s="52" t="s">
        <v>25</v>
      </c>
      <c r="F3313" s="52" t="s">
        <v>26</v>
      </c>
      <c r="G3313" s="54"/>
    </row>
    <row r="3314">
      <c r="A3314" s="49">
        <v>45055.61830216435</v>
      </c>
      <c r="B3314" s="50">
        <v>45055.743275</v>
      </c>
      <c r="C3314" s="51">
        <v>1.019</v>
      </c>
      <c r="D3314" s="51">
        <v>63.0</v>
      </c>
      <c r="E3314" s="52" t="s">
        <v>25</v>
      </c>
      <c r="F3314" s="52" t="s">
        <v>26</v>
      </c>
      <c r="G3314" s="54"/>
    </row>
    <row r="3315">
      <c r="A3315" s="49">
        <v>45055.62873862269</v>
      </c>
      <c r="B3315" s="50">
        <v>45055.7537077777</v>
      </c>
      <c r="C3315" s="51">
        <v>1.019</v>
      </c>
      <c r="D3315" s="51">
        <v>63.0</v>
      </c>
      <c r="E3315" s="52" t="s">
        <v>25</v>
      </c>
      <c r="F3315" s="52" t="s">
        <v>26</v>
      </c>
      <c r="G3315" s="54"/>
    </row>
    <row r="3316">
      <c r="A3316" s="49">
        <v>45055.63915621528</v>
      </c>
      <c r="B3316" s="50">
        <v>45055.7641275694</v>
      </c>
      <c r="C3316" s="51">
        <v>1.019</v>
      </c>
      <c r="D3316" s="51">
        <v>63.0</v>
      </c>
      <c r="E3316" s="52" t="s">
        <v>25</v>
      </c>
      <c r="F3316" s="52" t="s">
        <v>26</v>
      </c>
      <c r="G3316" s="54"/>
    </row>
    <row r="3317">
      <c r="A3317" s="49">
        <v>45055.64959689815</v>
      </c>
      <c r="B3317" s="50">
        <v>45055.7745612268</v>
      </c>
      <c r="C3317" s="51">
        <v>1.019</v>
      </c>
      <c r="D3317" s="51">
        <v>63.0</v>
      </c>
      <c r="E3317" s="52" t="s">
        <v>25</v>
      </c>
      <c r="F3317" s="52" t="s">
        <v>26</v>
      </c>
      <c r="G3317" s="54"/>
    </row>
    <row r="3318">
      <c r="A3318" s="49">
        <v>45055.660002847224</v>
      </c>
      <c r="B3318" s="50">
        <v>45055.7849812268</v>
      </c>
      <c r="C3318" s="51">
        <v>1.019</v>
      </c>
      <c r="D3318" s="51">
        <v>63.0</v>
      </c>
      <c r="E3318" s="52" t="s">
        <v>25</v>
      </c>
      <c r="F3318" s="52" t="s">
        <v>26</v>
      </c>
      <c r="G3318" s="54"/>
    </row>
    <row r="3319">
      <c r="A3319" s="49">
        <v>45055.67042920139</v>
      </c>
      <c r="B3319" s="50">
        <v>45055.7954019097</v>
      </c>
      <c r="C3319" s="51">
        <v>1.019</v>
      </c>
      <c r="D3319" s="51">
        <v>63.0</v>
      </c>
      <c r="E3319" s="52" t="s">
        <v>25</v>
      </c>
      <c r="F3319" s="52" t="s">
        <v>26</v>
      </c>
      <c r="G3319" s="54"/>
    </row>
    <row r="3320">
      <c r="A3320" s="49">
        <v>45055.6808831713</v>
      </c>
      <c r="B3320" s="50">
        <v>45055.8058557638</v>
      </c>
      <c r="C3320" s="51">
        <v>1.019</v>
      </c>
      <c r="D3320" s="51">
        <v>63.0</v>
      </c>
      <c r="E3320" s="52" t="s">
        <v>25</v>
      </c>
      <c r="F3320" s="52" t="s">
        <v>26</v>
      </c>
      <c r="G3320" s="54"/>
    </row>
    <row r="3321">
      <c r="A3321" s="49">
        <v>45055.69130290509</v>
      </c>
      <c r="B3321" s="50">
        <v>45055.8162785069</v>
      </c>
      <c r="C3321" s="51">
        <v>1.019</v>
      </c>
      <c r="D3321" s="51">
        <v>63.0</v>
      </c>
      <c r="E3321" s="52" t="s">
        <v>25</v>
      </c>
      <c r="F3321" s="52" t="s">
        <v>26</v>
      </c>
      <c r="G3321" s="54"/>
    </row>
    <row r="3322">
      <c r="A3322" s="49">
        <v>45055.70174149306</v>
      </c>
      <c r="B3322" s="50">
        <v>45055.8267120023</v>
      </c>
      <c r="C3322" s="51">
        <v>1.019</v>
      </c>
      <c r="D3322" s="51">
        <v>63.0</v>
      </c>
      <c r="E3322" s="52" t="s">
        <v>25</v>
      </c>
      <c r="F3322" s="52" t="s">
        <v>26</v>
      </c>
      <c r="G3322" s="54"/>
    </row>
    <row r="3323">
      <c r="A3323" s="49">
        <v>45055.71215806713</v>
      </c>
      <c r="B3323" s="50">
        <v>45055.8371336458</v>
      </c>
      <c r="C3323" s="51">
        <v>1.019</v>
      </c>
      <c r="D3323" s="51">
        <v>63.0</v>
      </c>
      <c r="E3323" s="52" t="s">
        <v>25</v>
      </c>
      <c r="F3323" s="52" t="s">
        <v>26</v>
      </c>
      <c r="G3323" s="54"/>
    </row>
    <row r="3324">
      <c r="A3324" s="49">
        <v>45055.72258320602</v>
      </c>
      <c r="B3324" s="50">
        <v>45055.8475542592</v>
      </c>
      <c r="C3324" s="51">
        <v>1.019</v>
      </c>
      <c r="D3324" s="51">
        <v>63.0</v>
      </c>
      <c r="E3324" s="52" t="s">
        <v>25</v>
      </c>
      <c r="F3324" s="52" t="s">
        <v>26</v>
      </c>
      <c r="G3324" s="54"/>
    </row>
    <row r="3325">
      <c r="A3325" s="49">
        <v>45055.73300373842</v>
      </c>
      <c r="B3325" s="50">
        <v>45055.8579766203</v>
      </c>
      <c r="C3325" s="51">
        <v>1.019</v>
      </c>
      <c r="D3325" s="51">
        <v>63.0</v>
      </c>
      <c r="E3325" s="52" t="s">
        <v>25</v>
      </c>
      <c r="F3325" s="52" t="s">
        <v>26</v>
      </c>
      <c r="G3325" s="54"/>
    </row>
    <row r="3326">
      <c r="A3326" s="49">
        <v>45055.743426643516</v>
      </c>
      <c r="B3326" s="50">
        <v>45055.8683980787</v>
      </c>
      <c r="C3326" s="51">
        <v>1.019</v>
      </c>
      <c r="D3326" s="51">
        <v>63.0</v>
      </c>
      <c r="E3326" s="52" t="s">
        <v>25</v>
      </c>
      <c r="F3326" s="52" t="s">
        <v>26</v>
      </c>
      <c r="G3326" s="54"/>
    </row>
    <row r="3327">
      <c r="A3327" s="49">
        <v>45055.75383915509</v>
      </c>
      <c r="B3327" s="50">
        <v>45055.87881875</v>
      </c>
      <c r="C3327" s="51">
        <v>1.019</v>
      </c>
      <c r="D3327" s="51">
        <v>63.0</v>
      </c>
      <c r="E3327" s="52" t="s">
        <v>25</v>
      </c>
      <c r="F3327" s="52" t="s">
        <v>26</v>
      </c>
      <c r="G3327" s="54"/>
    </row>
    <row r="3328">
      <c r="A3328" s="49">
        <v>45055.764278518516</v>
      </c>
      <c r="B3328" s="50">
        <v>45055.8892525</v>
      </c>
      <c r="C3328" s="51">
        <v>1.019</v>
      </c>
      <c r="D3328" s="51">
        <v>63.0</v>
      </c>
      <c r="E3328" s="52" t="s">
        <v>25</v>
      </c>
      <c r="F3328" s="52" t="s">
        <v>26</v>
      </c>
      <c r="G3328" s="54"/>
    </row>
    <row r="3329">
      <c r="A3329" s="49">
        <v>45055.774692962965</v>
      </c>
      <c r="B3329" s="50">
        <v>45055.8996722106</v>
      </c>
      <c r="C3329" s="51">
        <v>1.019</v>
      </c>
      <c r="D3329" s="51">
        <v>63.0</v>
      </c>
      <c r="E3329" s="52" t="s">
        <v>25</v>
      </c>
      <c r="F3329" s="52" t="s">
        <v>26</v>
      </c>
      <c r="G3329" s="54"/>
    </row>
    <row r="3330">
      <c r="A3330" s="49">
        <v>45055.785117974534</v>
      </c>
      <c r="B3330" s="50">
        <v>45055.9100924884</v>
      </c>
      <c r="C3330" s="51">
        <v>1.019</v>
      </c>
      <c r="D3330" s="51">
        <v>63.0</v>
      </c>
      <c r="E3330" s="52" t="s">
        <v>25</v>
      </c>
      <c r="F3330" s="52" t="s">
        <v>26</v>
      </c>
      <c r="G3330" s="54"/>
    </row>
    <row r="3331">
      <c r="A3331" s="49">
        <v>45055.79554184028</v>
      </c>
      <c r="B3331" s="50">
        <v>45055.9205145486</v>
      </c>
      <c r="C3331" s="51">
        <v>1.019</v>
      </c>
      <c r="D3331" s="51">
        <v>63.0</v>
      </c>
      <c r="E3331" s="52" t="s">
        <v>25</v>
      </c>
      <c r="F3331" s="52" t="s">
        <v>26</v>
      </c>
      <c r="G3331" s="54"/>
    </row>
    <row r="3332">
      <c r="A3332" s="49">
        <v>45055.80596515046</v>
      </c>
      <c r="B3332" s="50">
        <v>45055.9309373263</v>
      </c>
      <c r="C3332" s="51">
        <v>1.019</v>
      </c>
      <c r="D3332" s="51">
        <v>63.0</v>
      </c>
      <c r="E3332" s="52" t="s">
        <v>25</v>
      </c>
      <c r="F3332" s="52" t="s">
        <v>26</v>
      </c>
      <c r="G3332" s="54"/>
    </row>
    <row r="3333">
      <c r="A3333" s="49">
        <v>45055.816378275464</v>
      </c>
      <c r="B3333" s="50">
        <v>45055.9413592245</v>
      </c>
      <c r="C3333" s="51">
        <v>1.019</v>
      </c>
      <c r="D3333" s="51">
        <v>63.0</v>
      </c>
      <c r="E3333" s="52" t="s">
        <v>25</v>
      </c>
      <c r="F3333" s="52" t="s">
        <v>26</v>
      </c>
      <c r="G3333" s="54"/>
    </row>
    <row r="3334">
      <c r="A3334" s="49">
        <v>45055.8268059838</v>
      </c>
      <c r="B3334" s="50">
        <v>45055.9517793981</v>
      </c>
      <c r="C3334" s="51">
        <v>1.019</v>
      </c>
      <c r="D3334" s="51">
        <v>63.0</v>
      </c>
      <c r="E3334" s="52" t="s">
        <v>25</v>
      </c>
      <c r="F3334" s="52" t="s">
        <v>26</v>
      </c>
      <c r="G3334" s="54"/>
    </row>
    <row r="3335">
      <c r="A3335" s="49">
        <v>45055.83725016203</v>
      </c>
      <c r="B3335" s="50">
        <v>45055.9622232986</v>
      </c>
      <c r="C3335" s="51">
        <v>1.019</v>
      </c>
      <c r="D3335" s="51">
        <v>63.0</v>
      </c>
      <c r="E3335" s="52" t="s">
        <v>25</v>
      </c>
      <c r="F3335" s="52" t="s">
        <v>26</v>
      </c>
      <c r="G3335" s="54"/>
    </row>
    <row r="3336">
      <c r="A3336" s="49">
        <v>45055.84766462963</v>
      </c>
      <c r="B3336" s="50">
        <v>45055.9726443402</v>
      </c>
      <c r="C3336" s="51">
        <v>1.019</v>
      </c>
      <c r="D3336" s="51">
        <v>63.0</v>
      </c>
      <c r="E3336" s="52" t="s">
        <v>25</v>
      </c>
      <c r="F3336" s="52" t="s">
        <v>26</v>
      </c>
      <c r="G3336" s="54"/>
    </row>
    <row r="3337">
      <c r="A3337" s="49">
        <v>45055.85808953704</v>
      </c>
      <c r="B3337" s="50">
        <v>45055.9830642592</v>
      </c>
      <c r="C3337" s="51">
        <v>1.019</v>
      </c>
      <c r="D3337" s="51">
        <v>63.0</v>
      </c>
      <c r="E3337" s="52" t="s">
        <v>25</v>
      </c>
      <c r="F3337" s="52" t="s">
        <v>26</v>
      </c>
      <c r="G3337" s="54"/>
    </row>
    <row r="3338">
      <c r="A3338" s="49">
        <v>45055.868504502316</v>
      </c>
      <c r="B3338" s="50">
        <v>45055.9934859838</v>
      </c>
      <c r="C3338" s="51">
        <v>1.019</v>
      </c>
      <c r="D3338" s="51">
        <v>63.0</v>
      </c>
      <c r="E3338" s="52" t="s">
        <v>25</v>
      </c>
      <c r="F3338" s="52" t="s">
        <v>26</v>
      </c>
      <c r="G3338" s="54"/>
    </row>
    <row r="3339">
      <c r="A3339" s="49">
        <v>45055.878945069446</v>
      </c>
      <c r="B3339" s="50">
        <v>45056.0039194097</v>
      </c>
      <c r="C3339" s="51">
        <v>1.019</v>
      </c>
      <c r="D3339" s="51">
        <v>63.0</v>
      </c>
      <c r="E3339" s="52" t="s">
        <v>25</v>
      </c>
      <c r="F3339" s="52" t="s">
        <v>26</v>
      </c>
      <c r="G3339" s="54"/>
    </row>
    <row r="3340">
      <c r="A3340" s="49">
        <v>45055.8893674537</v>
      </c>
      <c r="B3340" s="50">
        <v>45056.0143391898</v>
      </c>
      <c r="C3340" s="51">
        <v>1.019</v>
      </c>
      <c r="D3340" s="51">
        <v>63.0</v>
      </c>
      <c r="E3340" s="52" t="s">
        <v>25</v>
      </c>
      <c r="F3340" s="52" t="s">
        <v>26</v>
      </c>
      <c r="G3340" s="54"/>
    </row>
    <row r="3341">
      <c r="A3341" s="49">
        <v>45055.91020370371</v>
      </c>
      <c r="B3341" s="50">
        <v>45056.0351828472</v>
      </c>
      <c r="C3341" s="51">
        <v>1.019</v>
      </c>
      <c r="D3341" s="51">
        <v>63.0</v>
      </c>
      <c r="E3341" s="52" t="s">
        <v>25</v>
      </c>
      <c r="F3341" s="52" t="s">
        <v>26</v>
      </c>
      <c r="G3341" s="54"/>
    </row>
    <row r="3342">
      <c r="A3342" s="49">
        <v>45055.92064505787</v>
      </c>
      <c r="B3342" s="50">
        <v>45056.0456166898</v>
      </c>
      <c r="C3342" s="51">
        <v>1.019</v>
      </c>
      <c r="D3342" s="51">
        <v>63.0</v>
      </c>
      <c r="E3342" s="52" t="s">
        <v>25</v>
      </c>
      <c r="F3342" s="52" t="s">
        <v>26</v>
      </c>
      <c r="G3342" s="54"/>
    </row>
    <row r="3343">
      <c r="A3343" s="49">
        <v>45055.94149334491</v>
      </c>
      <c r="B3343" s="50">
        <v>45056.0664701388</v>
      </c>
      <c r="C3343" s="51">
        <v>1.019</v>
      </c>
      <c r="D3343" s="51">
        <v>63.0</v>
      </c>
      <c r="E3343" s="52" t="s">
        <v>25</v>
      </c>
      <c r="F3343" s="52" t="s">
        <v>26</v>
      </c>
      <c r="G3343" s="54"/>
    </row>
    <row r="3344">
      <c r="A3344" s="49">
        <v>45055.95190798611</v>
      </c>
      <c r="B3344" s="50">
        <v>45056.0768907754</v>
      </c>
      <c r="C3344" s="51">
        <v>1.019</v>
      </c>
      <c r="D3344" s="51">
        <v>63.0</v>
      </c>
      <c r="E3344" s="52" t="s">
        <v>25</v>
      </c>
      <c r="F3344" s="52" t="s">
        <v>26</v>
      </c>
      <c r="G3344" s="54"/>
    </row>
    <row r="3345">
      <c r="A3345" s="49">
        <v>45055.96234385417</v>
      </c>
      <c r="B3345" s="50">
        <v>45056.0873235532</v>
      </c>
      <c r="C3345" s="51">
        <v>1.019</v>
      </c>
      <c r="D3345" s="51">
        <v>63.0</v>
      </c>
      <c r="E3345" s="52" t="s">
        <v>25</v>
      </c>
      <c r="F3345" s="52" t="s">
        <v>26</v>
      </c>
      <c r="G3345" s="54"/>
    </row>
    <row r="3346">
      <c r="A3346" s="49">
        <v>45055.97277903935</v>
      </c>
      <c r="B3346" s="50">
        <v>45056.0977574189</v>
      </c>
      <c r="C3346" s="51">
        <v>1.019</v>
      </c>
      <c r="D3346" s="51">
        <v>63.0</v>
      </c>
      <c r="E3346" s="52" t="s">
        <v>25</v>
      </c>
      <c r="F3346" s="52" t="s">
        <v>26</v>
      </c>
      <c r="G3346" s="54"/>
    </row>
    <row r="3347">
      <c r="A3347" s="49">
        <v>45055.983214340275</v>
      </c>
      <c r="B3347" s="50">
        <v>45056.1081903356</v>
      </c>
      <c r="C3347" s="51">
        <v>1.019</v>
      </c>
      <c r="D3347" s="51">
        <v>63.0</v>
      </c>
      <c r="E3347" s="52" t="s">
        <v>25</v>
      </c>
      <c r="F3347" s="52" t="s">
        <v>26</v>
      </c>
      <c r="G3347" s="54"/>
    </row>
    <row r="3348">
      <c r="A3348" s="49">
        <v>45055.99363773148</v>
      </c>
      <c r="B3348" s="50">
        <v>45056.1186122222</v>
      </c>
      <c r="C3348" s="51">
        <v>1.019</v>
      </c>
      <c r="D3348" s="51">
        <v>63.0</v>
      </c>
      <c r="E3348" s="52" t="s">
        <v>25</v>
      </c>
      <c r="F3348" s="52" t="s">
        <v>26</v>
      </c>
      <c r="G3348" s="54"/>
    </row>
    <row r="3349">
      <c r="A3349" s="49">
        <v>45056.004062395834</v>
      </c>
      <c r="B3349" s="50">
        <v>45056.129032662</v>
      </c>
      <c r="C3349" s="51">
        <v>1.019</v>
      </c>
      <c r="D3349" s="51">
        <v>63.0</v>
      </c>
      <c r="E3349" s="52" t="s">
        <v>25</v>
      </c>
      <c r="F3349" s="52" t="s">
        <v>26</v>
      </c>
      <c r="G3349" s="54"/>
    </row>
    <row r="3350">
      <c r="A3350" s="49">
        <v>45056.01449258102</v>
      </c>
      <c r="B3350" s="50">
        <v>45056.1394655902</v>
      </c>
      <c r="C3350" s="51">
        <v>1.019</v>
      </c>
      <c r="D3350" s="51">
        <v>63.0</v>
      </c>
      <c r="E3350" s="52" t="s">
        <v>25</v>
      </c>
      <c r="F3350" s="52" t="s">
        <v>26</v>
      </c>
      <c r="G3350" s="54"/>
    </row>
    <row r="3351">
      <c r="A3351" s="49">
        <v>45056.024907638886</v>
      </c>
      <c r="B3351" s="50">
        <v>45056.1498875115</v>
      </c>
      <c r="C3351" s="51">
        <v>1.019</v>
      </c>
      <c r="D3351" s="51">
        <v>63.0</v>
      </c>
      <c r="E3351" s="52" t="s">
        <v>25</v>
      </c>
      <c r="F3351" s="52" t="s">
        <v>26</v>
      </c>
      <c r="G3351" s="54"/>
    </row>
    <row r="3352">
      <c r="A3352" s="49">
        <v>45056.03535229167</v>
      </c>
      <c r="B3352" s="50">
        <v>45056.1603311111</v>
      </c>
      <c r="C3352" s="51">
        <v>1.019</v>
      </c>
      <c r="D3352" s="51">
        <v>63.0</v>
      </c>
      <c r="E3352" s="52" t="s">
        <v>25</v>
      </c>
      <c r="F3352" s="52" t="s">
        <v>26</v>
      </c>
      <c r="G3352" s="54"/>
    </row>
    <row r="3353">
      <c r="A3353" s="49">
        <v>45056.04578959491</v>
      </c>
      <c r="B3353" s="50">
        <v>45056.1707634722</v>
      </c>
      <c r="C3353" s="51">
        <v>1.019</v>
      </c>
      <c r="D3353" s="51">
        <v>63.0</v>
      </c>
      <c r="E3353" s="52" t="s">
        <v>25</v>
      </c>
      <c r="F3353" s="52" t="s">
        <v>26</v>
      </c>
      <c r="G3353" s="54"/>
    </row>
    <row r="3354">
      <c r="A3354" s="49">
        <v>45056.056205162036</v>
      </c>
      <c r="B3354" s="50">
        <v>45056.1811836574</v>
      </c>
      <c r="C3354" s="51">
        <v>1.019</v>
      </c>
      <c r="D3354" s="51">
        <v>63.0</v>
      </c>
      <c r="E3354" s="52" t="s">
        <v>25</v>
      </c>
      <c r="F3354" s="52" t="s">
        <v>26</v>
      </c>
      <c r="G3354" s="54"/>
    </row>
    <row r="3355">
      <c r="A3355" s="49">
        <v>45056.066624189814</v>
      </c>
      <c r="B3355" s="50">
        <v>45056.1916049074</v>
      </c>
      <c r="C3355" s="51">
        <v>1.019</v>
      </c>
      <c r="D3355" s="51">
        <v>63.0</v>
      </c>
      <c r="E3355" s="52" t="s">
        <v>25</v>
      </c>
      <c r="F3355" s="52" t="s">
        <v>26</v>
      </c>
      <c r="G3355" s="54"/>
    </row>
    <row r="3356">
      <c r="A3356" s="49">
        <v>45056.07705349537</v>
      </c>
      <c r="B3356" s="50">
        <v>45056.2020259722</v>
      </c>
      <c r="C3356" s="51">
        <v>1.019</v>
      </c>
      <c r="D3356" s="51">
        <v>63.0</v>
      </c>
      <c r="E3356" s="52" t="s">
        <v>25</v>
      </c>
      <c r="F3356" s="52" t="s">
        <v>26</v>
      </c>
      <c r="G3356" s="54"/>
    </row>
    <row r="3357">
      <c r="A3357" s="49">
        <v>45056.087485682874</v>
      </c>
      <c r="B3357" s="50">
        <v>45056.2124583912</v>
      </c>
      <c r="C3357" s="51">
        <v>1.019</v>
      </c>
      <c r="D3357" s="51">
        <v>63.0</v>
      </c>
      <c r="E3357" s="52" t="s">
        <v>25</v>
      </c>
      <c r="F3357" s="52" t="s">
        <v>26</v>
      </c>
      <c r="G3357" s="54"/>
    </row>
    <row r="3358">
      <c r="A3358" s="49">
        <v>45056.09790804399</v>
      </c>
      <c r="B3358" s="50">
        <v>45056.2228800578</v>
      </c>
      <c r="C3358" s="51">
        <v>1.019</v>
      </c>
      <c r="D3358" s="51">
        <v>63.0</v>
      </c>
      <c r="E3358" s="52" t="s">
        <v>25</v>
      </c>
      <c r="F3358" s="52" t="s">
        <v>26</v>
      </c>
      <c r="G3358" s="54"/>
    </row>
    <row r="3359">
      <c r="A3359" s="49">
        <v>45056.10834925926</v>
      </c>
      <c r="B3359" s="50">
        <v>45056.2333244328</v>
      </c>
      <c r="C3359" s="51">
        <v>1.019</v>
      </c>
      <c r="D3359" s="51">
        <v>63.0</v>
      </c>
      <c r="E3359" s="52" t="s">
        <v>25</v>
      </c>
      <c r="F3359" s="52" t="s">
        <v>26</v>
      </c>
      <c r="G3359" s="54"/>
    </row>
    <row r="3360">
      <c r="A3360" s="49">
        <v>45056.118796400464</v>
      </c>
      <c r="B3360" s="50">
        <v>45056.2437686226</v>
      </c>
      <c r="C3360" s="51">
        <v>1.019</v>
      </c>
      <c r="D3360" s="51">
        <v>63.0</v>
      </c>
      <c r="E3360" s="52" t="s">
        <v>25</v>
      </c>
      <c r="F3360" s="52" t="s">
        <v>26</v>
      </c>
      <c r="G3360" s="54"/>
    </row>
    <row r="3361">
      <c r="A3361" s="49">
        <v>45056.12923574074</v>
      </c>
      <c r="B3361" s="50">
        <v>45056.2541908912</v>
      </c>
      <c r="C3361" s="51">
        <v>1.019</v>
      </c>
      <c r="D3361" s="51">
        <v>63.0</v>
      </c>
      <c r="E3361" s="52" t="s">
        <v>25</v>
      </c>
      <c r="F3361" s="52" t="s">
        <v>26</v>
      </c>
      <c r="G3361" s="54"/>
    </row>
    <row r="3362">
      <c r="A3362" s="49">
        <v>45056.13963721065</v>
      </c>
      <c r="B3362" s="50">
        <v>45056.2646125</v>
      </c>
      <c r="C3362" s="51">
        <v>1.019</v>
      </c>
      <c r="D3362" s="51">
        <v>63.0</v>
      </c>
      <c r="E3362" s="52" t="s">
        <v>25</v>
      </c>
      <c r="F3362" s="52" t="s">
        <v>26</v>
      </c>
      <c r="G3362" s="54"/>
    </row>
    <row r="3363">
      <c r="A3363" s="49">
        <v>45056.150058009254</v>
      </c>
      <c r="B3363" s="50">
        <v>45056.2750347801</v>
      </c>
      <c r="C3363" s="51">
        <v>1.019</v>
      </c>
      <c r="D3363" s="51">
        <v>63.0</v>
      </c>
      <c r="E3363" s="52" t="s">
        <v>25</v>
      </c>
      <c r="F3363" s="52" t="s">
        <v>26</v>
      </c>
      <c r="G3363" s="54"/>
    </row>
    <row r="3364">
      <c r="A3364" s="49">
        <v>45056.160474027776</v>
      </c>
      <c r="B3364" s="50">
        <v>45056.2854563425</v>
      </c>
      <c r="C3364" s="51">
        <v>1.019</v>
      </c>
      <c r="D3364" s="51">
        <v>63.0</v>
      </c>
      <c r="E3364" s="52" t="s">
        <v>25</v>
      </c>
      <c r="F3364" s="52" t="s">
        <v>26</v>
      </c>
      <c r="G3364" s="54"/>
    </row>
    <row r="3365">
      <c r="A3365" s="49">
        <v>45056.17089347223</v>
      </c>
      <c r="B3365" s="50">
        <v>45056.295877824</v>
      </c>
      <c r="C3365" s="51">
        <v>1.019</v>
      </c>
      <c r="D3365" s="51">
        <v>63.0</v>
      </c>
      <c r="E3365" s="52" t="s">
        <v>25</v>
      </c>
      <c r="F3365" s="52" t="s">
        <v>26</v>
      </c>
      <c r="G3365" s="54"/>
    </row>
    <row r="3366">
      <c r="A3366" s="49">
        <v>45056.181334305555</v>
      </c>
      <c r="B3366" s="50">
        <v>45056.3063107523</v>
      </c>
      <c r="C3366" s="51">
        <v>1.019</v>
      </c>
      <c r="D3366" s="51">
        <v>63.0</v>
      </c>
      <c r="E3366" s="52" t="s">
        <v>25</v>
      </c>
      <c r="F3366" s="52" t="s">
        <v>26</v>
      </c>
      <c r="G3366" s="54"/>
    </row>
    <row r="3367">
      <c r="A3367" s="49">
        <v>45056.191763518524</v>
      </c>
      <c r="B3367" s="50">
        <v>45056.3167335763</v>
      </c>
      <c r="C3367" s="51">
        <v>1.019</v>
      </c>
      <c r="D3367" s="51">
        <v>63.0</v>
      </c>
      <c r="E3367" s="52" t="s">
        <v>25</v>
      </c>
      <c r="F3367" s="52" t="s">
        <v>26</v>
      </c>
      <c r="G3367" s="54"/>
    </row>
    <row r="3368">
      <c r="A3368" s="49">
        <v>45056.20218666666</v>
      </c>
      <c r="B3368" s="50">
        <v>45056.3271544097</v>
      </c>
      <c r="C3368" s="51">
        <v>1.018</v>
      </c>
      <c r="D3368" s="51">
        <v>63.0</v>
      </c>
      <c r="E3368" s="52" t="s">
        <v>25</v>
      </c>
      <c r="F3368" s="52" t="s">
        <v>26</v>
      </c>
      <c r="G3368" s="54"/>
    </row>
    <row r="3369">
      <c r="A3369" s="49">
        <v>45056.21260084491</v>
      </c>
      <c r="B3369" s="50">
        <v>45056.3375743865</v>
      </c>
      <c r="C3369" s="51">
        <v>1.018</v>
      </c>
      <c r="D3369" s="51">
        <v>63.0</v>
      </c>
      <c r="E3369" s="52" t="s">
        <v>25</v>
      </c>
      <c r="F3369" s="52" t="s">
        <v>26</v>
      </c>
      <c r="G3369" s="54"/>
    </row>
    <row r="3370">
      <c r="A3370" s="49">
        <v>45056.22301253473</v>
      </c>
      <c r="B3370" s="50">
        <v>45056.3479948148</v>
      </c>
      <c r="C3370" s="51">
        <v>1.019</v>
      </c>
      <c r="D3370" s="51">
        <v>63.0</v>
      </c>
      <c r="E3370" s="52" t="s">
        <v>25</v>
      </c>
      <c r="F3370" s="52" t="s">
        <v>26</v>
      </c>
      <c r="G3370" s="54"/>
    </row>
    <row r="3371">
      <c r="A3371" s="49">
        <v>45056.23343956019</v>
      </c>
      <c r="B3371" s="50">
        <v>45056.358415706</v>
      </c>
      <c r="C3371" s="51">
        <v>1.018</v>
      </c>
      <c r="D3371" s="51">
        <v>63.0</v>
      </c>
      <c r="E3371" s="52" t="s">
        <v>25</v>
      </c>
      <c r="F3371" s="52" t="s">
        <v>26</v>
      </c>
      <c r="G3371" s="54"/>
    </row>
    <row r="3372">
      <c r="A3372" s="49">
        <v>45056.24386681713</v>
      </c>
      <c r="B3372" s="50">
        <v>45056.368837662</v>
      </c>
      <c r="C3372" s="51">
        <v>1.019</v>
      </c>
      <c r="D3372" s="51">
        <v>63.0</v>
      </c>
      <c r="E3372" s="52" t="s">
        <v>25</v>
      </c>
      <c r="F3372" s="52" t="s">
        <v>26</v>
      </c>
      <c r="G3372" s="54"/>
    </row>
    <row r="3373">
      <c r="A3373" s="49">
        <v>45056.25428875</v>
      </c>
      <c r="B3373" s="50">
        <v>45056.3792604861</v>
      </c>
      <c r="C3373" s="51">
        <v>1.018</v>
      </c>
      <c r="D3373" s="51">
        <v>63.0</v>
      </c>
      <c r="E3373" s="52" t="s">
        <v>25</v>
      </c>
      <c r="F3373" s="52" t="s">
        <v>26</v>
      </c>
      <c r="G3373" s="54"/>
    </row>
    <row r="3374">
      <c r="A3374" s="49">
        <v>45056.26471037037</v>
      </c>
      <c r="B3374" s="50">
        <v>45056.3896804513</v>
      </c>
      <c r="C3374" s="51">
        <v>1.019</v>
      </c>
      <c r="D3374" s="51">
        <v>63.0</v>
      </c>
      <c r="E3374" s="52" t="s">
        <v>25</v>
      </c>
      <c r="F3374" s="52" t="s">
        <v>26</v>
      </c>
      <c r="G3374" s="54"/>
    </row>
    <row r="3375">
      <c r="A3375" s="49">
        <v>45056.27512976852</v>
      </c>
      <c r="B3375" s="50">
        <v>45056.400100868</v>
      </c>
      <c r="C3375" s="51">
        <v>1.018</v>
      </c>
      <c r="D3375" s="51">
        <v>63.0</v>
      </c>
      <c r="E3375" s="52" t="s">
        <v>25</v>
      </c>
      <c r="F3375" s="52" t="s">
        <v>26</v>
      </c>
      <c r="G3375" s="54"/>
    </row>
    <row r="3376">
      <c r="A3376" s="49">
        <v>45056.285554814815</v>
      </c>
      <c r="B3376" s="50">
        <v>45056.4105231828</v>
      </c>
      <c r="C3376" s="51">
        <v>1.018</v>
      </c>
      <c r="D3376" s="51">
        <v>63.0</v>
      </c>
      <c r="E3376" s="52" t="s">
        <v>25</v>
      </c>
      <c r="F3376" s="52" t="s">
        <v>26</v>
      </c>
      <c r="G3376" s="54"/>
    </row>
    <row r="3377">
      <c r="A3377" s="49">
        <v>45056.295977291666</v>
      </c>
      <c r="B3377" s="50">
        <v>45056.4209438773</v>
      </c>
      <c r="C3377" s="51">
        <v>1.019</v>
      </c>
      <c r="D3377" s="51">
        <v>63.0</v>
      </c>
      <c r="E3377" s="52" t="s">
        <v>25</v>
      </c>
      <c r="F3377" s="52" t="s">
        <v>26</v>
      </c>
      <c r="G3377" s="54"/>
    </row>
    <row r="3378">
      <c r="A3378" s="49">
        <v>45056.30638260416</v>
      </c>
      <c r="B3378" s="50">
        <v>45056.431363368</v>
      </c>
      <c r="C3378" s="51">
        <v>1.018</v>
      </c>
      <c r="D3378" s="51">
        <v>63.0</v>
      </c>
      <c r="E3378" s="52" t="s">
        <v>25</v>
      </c>
      <c r="F3378" s="52" t="s">
        <v>26</v>
      </c>
      <c r="G3378" s="54"/>
    </row>
    <row r="3379">
      <c r="A3379" s="49">
        <v>45056.31683106482</v>
      </c>
      <c r="B3379" s="50">
        <v>45056.4417967939</v>
      </c>
      <c r="C3379" s="51">
        <v>1.018</v>
      </c>
      <c r="D3379" s="51">
        <v>63.0</v>
      </c>
      <c r="E3379" s="52" t="s">
        <v>25</v>
      </c>
      <c r="F3379" s="52" t="s">
        <v>26</v>
      </c>
      <c r="G3379" s="54"/>
    </row>
    <row r="3380">
      <c r="A3380" s="49">
        <v>45056.327238819445</v>
      </c>
      <c r="B3380" s="50">
        <v>45056.4522187152</v>
      </c>
      <c r="C3380" s="51">
        <v>1.018</v>
      </c>
      <c r="D3380" s="51">
        <v>63.0</v>
      </c>
      <c r="E3380" s="52" t="s">
        <v>25</v>
      </c>
      <c r="F3380" s="52" t="s">
        <v>26</v>
      </c>
      <c r="G3380" s="54"/>
    </row>
    <row r="3381">
      <c r="A3381" s="49">
        <v>45056.33802746527</v>
      </c>
      <c r="B3381" s="50">
        <v>45056.4626395138</v>
      </c>
      <c r="C3381" s="51">
        <v>1.018</v>
      </c>
      <c r="D3381" s="51">
        <v>63.0</v>
      </c>
      <c r="E3381" s="52" t="s">
        <v>25</v>
      </c>
      <c r="F3381" s="52" t="s">
        <v>26</v>
      </c>
      <c r="G3381" s="54"/>
    </row>
    <row r="3382">
      <c r="A3382" s="49">
        <v>45056.34809859954</v>
      </c>
      <c r="B3382" s="50">
        <v>45056.473073125</v>
      </c>
      <c r="C3382" s="51">
        <v>1.018</v>
      </c>
      <c r="D3382" s="51">
        <v>63.0</v>
      </c>
      <c r="E3382" s="52" t="s">
        <v>25</v>
      </c>
      <c r="F3382" s="52" t="s">
        <v>26</v>
      </c>
      <c r="G3382" s="54"/>
    </row>
    <row r="3383">
      <c r="A3383" s="49">
        <v>45056.35851922454</v>
      </c>
      <c r="B3383" s="50">
        <v>45056.4834932175</v>
      </c>
      <c r="C3383" s="51">
        <v>1.018</v>
      </c>
      <c r="D3383" s="51">
        <v>63.0</v>
      </c>
      <c r="E3383" s="52" t="s">
        <v>25</v>
      </c>
      <c r="F3383" s="52" t="s">
        <v>26</v>
      </c>
      <c r="G3383" s="54"/>
    </row>
    <row r="3384">
      <c r="A3384" s="49">
        <v>45056.36893537037</v>
      </c>
      <c r="B3384" s="50">
        <v>45056.4939146527</v>
      </c>
      <c r="C3384" s="51">
        <v>1.019</v>
      </c>
      <c r="D3384" s="51">
        <v>63.0</v>
      </c>
      <c r="E3384" s="52" t="s">
        <v>25</v>
      </c>
      <c r="F3384" s="52" t="s">
        <v>26</v>
      </c>
      <c r="G3384" s="54"/>
    </row>
    <row r="3385">
      <c r="A3385" s="49">
        <v>45056.37937015046</v>
      </c>
      <c r="B3385" s="50">
        <v>45056.5043357754</v>
      </c>
      <c r="C3385" s="51">
        <v>1.018</v>
      </c>
      <c r="D3385" s="51">
        <v>63.0</v>
      </c>
      <c r="E3385" s="52" t="s">
        <v>25</v>
      </c>
      <c r="F3385" s="52" t="s">
        <v>26</v>
      </c>
      <c r="G3385" s="54"/>
    </row>
    <row r="3386">
      <c r="A3386" s="49">
        <v>45056.389803321756</v>
      </c>
      <c r="B3386" s="50">
        <v>45056.5147556481</v>
      </c>
      <c r="C3386" s="51">
        <v>1.018</v>
      </c>
      <c r="D3386" s="51">
        <v>63.0</v>
      </c>
      <c r="E3386" s="52" t="s">
        <v>25</v>
      </c>
      <c r="F3386" s="52" t="s">
        <v>26</v>
      </c>
      <c r="G3386" s="54"/>
    </row>
    <row r="3387">
      <c r="A3387" s="49">
        <v>45056.40020712963</v>
      </c>
      <c r="B3387" s="50">
        <v>45056.5251767361</v>
      </c>
      <c r="C3387" s="51">
        <v>1.019</v>
      </c>
      <c r="D3387" s="51">
        <v>63.0</v>
      </c>
      <c r="E3387" s="52" t="s">
        <v>25</v>
      </c>
      <c r="F3387" s="52" t="s">
        <v>26</v>
      </c>
      <c r="G3387" s="54"/>
    </row>
    <row r="3388">
      <c r="A3388" s="49">
        <v>45056.41061502315</v>
      </c>
      <c r="B3388" s="50">
        <v>45056.5355969444</v>
      </c>
      <c r="C3388" s="51">
        <v>1.018</v>
      </c>
      <c r="D3388" s="51">
        <v>63.0</v>
      </c>
      <c r="E3388" s="52" t="s">
        <v>25</v>
      </c>
      <c r="F3388" s="52" t="s">
        <v>26</v>
      </c>
      <c r="G3388" s="54"/>
    </row>
    <row r="3389">
      <c r="A3389" s="49">
        <v>45056.42104854167</v>
      </c>
      <c r="B3389" s="50">
        <v>45056.5460287268</v>
      </c>
      <c r="C3389" s="51">
        <v>1.019</v>
      </c>
      <c r="D3389" s="51">
        <v>63.0</v>
      </c>
      <c r="E3389" s="52" t="s">
        <v>25</v>
      </c>
      <c r="F3389" s="52" t="s">
        <v>26</v>
      </c>
      <c r="G3389" s="54"/>
    </row>
    <row r="3390">
      <c r="A3390" s="49">
        <v>45056.431466979164</v>
      </c>
      <c r="B3390" s="50">
        <v>45056.5564487384</v>
      </c>
      <c r="C3390" s="51">
        <v>1.018</v>
      </c>
      <c r="D3390" s="51">
        <v>63.0</v>
      </c>
      <c r="E3390" s="52" t="s">
        <v>25</v>
      </c>
      <c r="F3390" s="52" t="s">
        <v>26</v>
      </c>
      <c r="G3390" s="54"/>
    </row>
    <row r="3391">
      <c r="A3391" s="49">
        <v>45056.44191310185</v>
      </c>
      <c r="B3391" s="50">
        <v>45056.5668811458</v>
      </c>
      <c r="C3391" s="51">
        <v>1.019</v>
      </c>
      <c r="D3391" s="51">
        <v>63.0</v>
      </c>
      <c r="E3391" s="52" t="s">
        <v>25</v>
      </c>
      <c r="F3391" s="52" t="s">
        <v>26</v>
      </c>
      <c r="G3391" s="54"/>
    </row>
    <row r="3392">
      <c r="A3392" s="49">
        <v>45056.452325185186</v>
      </c>
      <c r="B3392" s="50">
        <v>45056.5773027314</v>
      </c>
      <c r="C3392" s="51">
        <v>1.018</v>
      </c>
      <c r="D3392" s="51">
        <v>63.0</v>
      </c>
      <c r="E3392" s="52" t="s">
        <v>25</v>
      </c>
      <c r="F3392" s="52" t="s">
        <v>26</v>
      </c>
      <c r="G3392" s="54"/>
    </row>
    <row r="3393">
      <c r="A3393" s="49">
        <v>45056.46275740741</v>
      </c>
      <c r="B3393" s="50">
        <v>45056.5877242129</v>
      </c>
      <c r="C3393" s="51">
        <v>1.018</v>
      </c>
      <c r="D3393" s="51">
        <v>63.0</v>
      </c>
      <c r="E3393" s="52" t="s">
        <v>25</v>
      </c>
      <c r="F3393" s="52" t="s">
        <v>26</v>
      </c>
      <c r="G3393" s="54"/>
    </row>
    <row r="3394">
      <c r="A3394" s="49">
        <v>45056.473163738425</v>
      </c>
      <c r="B3394" s="50">
        <v>45056.5981451157</v>
      </c>
      <c r="C3394" s="51">
        <v>1.018</v>
      </c>
      <c r="D3394" s="51">
        <v>63.0</v>
      </c>
      <c r="E3394" s="52" t="s">
        <v>25</v>
      </c>
      <c r="F3394" s="52" t="s">
        <v>26</v>
      </c>
      <c r="G3394" s="54"/>
    </row>
    <row r="3395">
      <c r="A3395" s="49">
        <v>45056.483610243056</v>
      </c>
      <c r="B3395" s="50">
        <v>45056.6085771875</v>
      </c>
      <c r="C3395" s="51">
        <v>1.018</v>
      </c>
      <c r="D3395" s="51">
        <v>63.0</v>
      </c>
      <c r="E3395" s="52" t="s">
        <v>25</v>
      </c>
      <c r="F3395" s="52" t="s">
        <v>26</v>
      </c>
      <c r="G3395" s="54"/>
    </row>
    <row r="3396">
      <c r="A3396" s="49">
        <v>45056.49402856482</v>
      </c>
      <c r="B3396" s="50">
        <v>45056.6189986458</v>
      </c>
      <c r="C3396" s="51">
        <v>1.018</v>
      </c>
      <c r="D3396" s="51">
        <v>63.0</v>
      </c>
      <c r="E3396" s="52" t="s">
        <v>25</v>
      </c>
      <c r="F3396" s="52" t="s">
        <v>26</v>
      </c>
      <c r="G3396" s="54"/>
    </row>
    <row r="3397">
      <c r="A3397" s="49">
        <v>45056.50444415509</v>
      </c>
      <c r="B3397" s="50">
        <v>45056.6294196759</v>
      </c>
      <c r="C3397" s="51">
        <v>1.018</v>
      </c>
      <c r="D3397" s="51">
        <v>63.0</v>
      </c>
      <c r="E3397" s="52" t="s">
        <v>25</v>
      </c>
      <c r="F3397" s="52" t="s">
        <v>26</v>
      </c>
      <c r="G3397" s="54"/>
    </row>
    <row r="3398">
      <c r="A3398" s="49">
        <v>45056.514894872686</v>
      </c>
      <c r="B3398" s="50">
        <v>45056.6398619444</v>
      </c>
      <c r="C3398" s="51">
        <v>1.018</v>
      </c>
      <c r="D3398" s="51">
        <v>63.0</v>
      </c>
      <c r="E3398" s="52" t="s">
        <v>25</v>
      </c>
      <c r="F3398" s="52" t="s">
        <v>26</v>
      </c>
      <c r="G3398" s="54"/>
    </row>
    <row r="3399">
      <c r="A3399" s="49">
        <v>45056.5253158912</v>
      </c>
      <c r="B3399" s="50">
        <v>45056.6502923726</v>
      </c>
      <c r="C3399" s="51">
        <v>1.018</v>
      </c>
      <c r="D3399" s="51">
        <v>63.0</v>
      </c>
      <c r="E3399" s="52" t="s">
        <v>25</v>
      </c>
      <c r="F3399" s="52" t="s">
        <v>26</v>
      </c>
      <c r="G3399" s="54"/>
    </row>
    <row r="3400">
      <c r="A3400" s="49">
        <v>45056.53575065972</v>
      </c>
      <c r="B3400" s="50">
        <v>45056.6607243171</v>
      </c>
      <c r="C3400" s="51">
        <v>1.018</v>
      </c>
      <c r="D3400" s="51">
        <v>63.0</v>
      </c>
      <c r="E3400" s="52" t="s">
        <v>25</v>
      </c>
      <c r="F3400" s="52" t="s">
        <v>26</v>
      </c>
      <c r="G3400" s="54"/>
    </row>
    <row r="3401">
      <c r="A3401" s="49">
        <v>45056.546180613426</v>
      </c>
      <c r="B3401" s="50">
        <v>45056.6711567361</v>
      </c>
      <c r="C3401" s="51">
        <v>1.018</v>
      </c>
      <c r="D3401" s="51">
        <v>63.0</v>
      </c>
      <c r="E3401" s="52" t="s">
        <v>25</v>
      </c>
      <c r="F3401" s="52" t="s">
        <v>26</v>
      </c>
      <c r="G3401" s="54"/>
    </row>
    <row r="3402">
      <c r="A3402" s="49">
        <v>45056.556612789354</v>
      </c>
      <c r="B3402" s="50">
        <v>45056.681590324</v>
      </c>
      <c r="C3402" s="51">
        <v>1.018</v>
      </c>
      <c r="D3402" s="51">
        <v>63.0</v>
      </c>
      <c r="E3402" s="52" t="s">
        <v>25</v>
      </c>
      <c r="F3402" s="52" t="s">
        <v>26</v>
      </c>
      <c r="G3402" s="54"/>
    </row>
    <row r="3403">
      <c r="A3403" s="49">
        <v>45056.5670413426</v>
      </c>
      <c r="B3403" s="50">
        <v>45056.6920125578</v>
      </c>
      <c r="C3403" s="51">
        <v>1.018</v>
      </c>
      <c r="D3403" s="51">
        <v>63.0</v>
      </c>
      <c r="E3403" s="52" t="s">
        <v>25</v>
      </c>
      <c r="F3403" s="52" t="s">
        <v>26</v>
      </c>
      <c r="G3403" s="54"/>
    </row>
    <row r="3404">
      <c r="A3404" s="49">
        <v>45056.57745849537</v>
      </c>
      <c r="B3404" s="50">
        <v>45056.7024323379</v>
      </c>
      <c r="C3404" s="51">
        <v>1.018</v>
      </c>
      <c r="D3404" s="51">
        <v>63.0</v>
      </c>
      <c r="E3404" s="52" t="s">
        <v>25</v>
      </c>
      <c r="F3404" s="52" t="s">
        <v>26</v>
      </c>
      <c r="G3404" s="54"/>
    </row>
    <row r="3405">
      <c r="A3405" s="49">
        <v>45056.58787458333</v>
      </c>
      <c r="B3405" s="50">
        <v>45056.7128516435</v>
      </c>
      <c r="C3405" s="51">
        <v>1.018</v>
      </c>
      <c r="D3405" s="51">
        <v>63.0</v>
      </c>
      <c r="E3405" s="52" t="s">
        <v>25</v>
      </c>
      <c r="F3405" s="52" t="s">
        <v>26</v>
      </c>
      <c r="G3405" s="54"/>
    </row>
    <row r="3406">
      <c r="A3406" s="49">
        <v>45056.59829553241</v>
      </c>
      <c r="B3406" s="50">
        <v>45056.7232738888</v>
      </c>
      <c r="C3406" s="51">
        <v>1.018</v>
      </c>
      <c r="D3406" s="51">
        <v>63.0</v>
      </c>
      <c r="E3406" s="52" t="s">
        <v>25</v>
      </c>
      <c r="F3406" s="52" t="s">
        <v>26</v>
      </c>
      <c r="G3406" s="54"/>
    </row>
    <row r="3407">
      <c r="A3407" s="49">
        <v>45056.60872429398</v>
      </c>
      <c r="B3407" s="50">
        <v>45056.7336948379</v>
      </c>
      <c r="C3407" s="51">
        <v>1.018</v>
      </c>
      <c r="D3407" s="51">
        <v>63.0</v>
      </c>
      <c r="E3407" s="52" t="s">
        <v>25</v>
      </c>
      <c r="F3407" s="52" t="s">
        <v>26</v>
      </c>
      <c r="G3407" s="54"/>
    </row>
    <row r="3408">
      <c r="A3408" s="49">
        <v>45056.61913561342</v>
      </c>
      <c r="B3408" s="50">
        <v>45056.744115706</v>
      </c>
      <c r="C3408" s="51">
        <v>1.018</v>
      </c>
      <c r="D3408" s="51">
        <v>63.0</v>
      </c>
      <c r="E3408" s="52" t="s">
        <v>25</v>
      </c>
      <c r="F3408" s="52" t="s">
        <v>26</v>
      </c>
      <c r="G3408" s="54"/>
    </row>
    <row r="3409">
      <c r="A3409" s="49">
        <v>45056.629586759256</v>
      </c>
      <c r="B3409" s="50">
        <v>45056.7545609027</v>
      </c>
      <c r="C3409" s="51">
        <v>1.018</v>
      </c>
      <c r="D3409" s="51">
        <v>63.0</v>
      </c>
      <c r="E3409" s="52" t="s">
        <v>25</v>
      </c>
      <c r="F3409" s="52" t="s">
        <v>26</v>
      </c>
      <c r="G3409" s="54"/>
    </row>
    <row r="3410">
      <c r="A3410" s="49">
        <v>45056.6400212963</v>
      </c>
      <c r="B3410" s="50">
        <v>45056.7649817824</v>
      </c>
      <c r="C3410" s="51">
        <v>1.018</v>
      </c>
      <c r="D3410" s="51">
        <v>63.0</v>
      </c>
      <c r="E3410" s="52" t="s">
        <v>25</v>
      </c>
      <c r="F3410" s="52" t="s">
        <v>26</v>
      </c>
      <c r="G3410" s="54"/>
    </row>
    <row r="3411">
      <c r="A3411" s="49">
        <v>45056.65044251157</v>
      </c>
      <c r="B3411" s="50">
        <v>45056.7754138888</v>
      </c>
      <c r="C3411" s="51">
        <v>1.018</v>
      </c>
      <c r="D3411" s="51">
        <v>63.0</v>
      </c>
      <c r="E3411" s="52" t="s">
        <v>25</v>
      </c>
      <c r="F3411" s="52" t="s">
        <v>26</v>
      </c>
      <c r="G3411" s="54"/>
    </row>
    <row r="3412">
      <c r="A3412" s="49">
        <v>45056.66086649305</v>
      </c>
      <c r="B3412" s="50">
        <v>45056.7858472106</v>
      </c>
      <c r="C3412" s="51">
        <v>1.018</v>
      </c>
      <c r="D3412" s="51">
        <v>63.0</v>
      </c>
      <c r="E3412" s="52" t="s">
        <v>25</v>
      </c>
      <c r="F3412" s="52" t="s">
        <v>26</v>
      </c>
      <c r="G3412" s="54"/>
    </row>
    <row r="3413">
      <c r="A3413" s="49">
        <v>45056.671290266204</v>
      </c>
      <c r="B3413" s="50">
        <v>45056.7962674652</v>
      </c>
      <c r="C3413" s="51">
        <v>1.018</v>
      </c>
      <c r="D3413" s="51">
        <v>63.0</v>
      </c>
      <c r="E3413" s="52" t="s">
        <v>25</v>
      </c>
      <c r="F3413" s="52" t="s">
        <v>26</v>
      </c>
      <c r="G3413" s="54"/>
    </row>
    <row r="3414">
      <c r="A3414" s="49">
        <v>45056.681709930555</v>
      </c>
      <c r="B3414" s="50">
        <v>45056.8066905787</v>
      </c>
      <c r="C3414" s="51">
        <v>1.018</v>
      </c>
      <c r="D3414" s="51">
        <v>63.0</v>
      </c>
      <c r="E3414" s="52" t="s">
        <v>25</v>
      </c>
      <c r="F3414" s="52" t="s">
        <v>26</v>
      </c>
      <c r="G3414" s="54"/>
    </row>
    <row r="3415">
      <c r="A3415" s="49">
        <v>45056.692129710646</v>
      </c>
      <c r="B3415" s="50">
        <v>45056.8171096296</v>
      </c>
      <c r="C3415" s="51">
        <v>1.018</v>
      </c>
      <c r="D3415" s="51">
        <v>63.0</v>
      </c>
      <c r="E3415" s="52" t="s">
        <v>25</v>
      </c>
      <c r="F3415" s="52" t="s">
        <v>26</v>
      </c>
      <c r="G3415" s="54"/>
    </row>
    <row r="3416">
      <c r="A3416" s="49">
        <v>45056.70257009259</v>
      </c>
      <c r="B3416" s="50">
        <v>45056.8275434375</v>
      </c>
      <c r="C3416" s="51">
        <v>1.018</v>
      </c>
      <c r="D3416" s="51">
        <v>63.0</v>
      </c>
      <c r="E3416" s="52" t="s">
        <v>25</v>
      </c>
      <c r="F3416" s="52" t="s">
        <v>26</v>
      </c>
      <c r="G3416" s="54"/>
    </row>
    <row r="3417">
      <c r="A3417" s="49">
        <v>45056.71298921296</v>
      </c>
      <c r="B3417" s="50">
        <v>45056.8379648379</v>
      </c>
      <c r="C3417" s="51">
        <v>1.018</v>
      </c>
      <c r="D3417" s="51">
        <v>63.0</v>
      </c>
      <c r="E3417" s="52" t="s">
        <v>25</v>
      </c>
      <c r="F3417" s="52" t="s">
        <v>26</v>
      </c>
      <c r="G3417" s="54"/>
    </row>
    <row r="3418">
      <c r="A3418" s="49">
        <v>45056.72340321759</v>
      </c>
      <c r="B3418" s="50">
        <v>45056.8483839699</v>
      </c>
      <c r="C3418" s="51">
        <v>1.018</v>
      </c>
      <c r="D3418" s="51">
        <v>63.0</v>
      </c>
      <c r="E3418" s="52" t="s">
        <v>25</v>
      </c>
      <c r="F3418" s="52" t="s">
        <v>26</v>
      </c>
      <c r="G3418" s="54"/>
    </row>
    <row r="3419">
      <c r="A3419" s="49">
        <v>45056.73383625</v>
      </c>
      <c r="B3419" s="50">
        <v>45056.8588048263</v>
      </c>
      <c r="C3419" s="51">
        <v>1.018</v>
      </c>
      <c r="D3419" s="51">
        <v>63.0</v>
      </c>
      <c r="E3419" s="52" t="s">
        <v>25</v>
      </c>
      <c r="F3419" s="52" t="s">
        <v>26</v>
      </c>
      <c r="G3419" s="54"/>
    </row>
    <row r="3420">
      <c r="A3420" s="49">
        <v>45056.744266354166</v>
      </c>
      <c r="B3420" s="50">
        <v>45056.8692392361</v>
      </c>
      <c r="C3420" s="51">
        <v>1.018</v>
      </c>
      <c r="D3420" s="51">
        <v>63.0</v>
      </c>
      <c r="E3420" s="52" t="s">
        <v>25</v>
      </c>
      <c r="F3420" s="52" t="s">
        <v>26</v>
      </c>
      <c r="G3420" s="54"/>
    </row>
    <row r="3421">
      <c r="A3421" s="49">
        <v>45056.75467983796</v>
      </c>
      <c r="B3421" s="50">
        <v>45056.8796594676</v>
      </c>
      <c r="C3421" s="51">
        <v>1.018</v>
      </c>
      <c r="D3421" s="51">
        <v>63.0</v>
      </c>
      <c r="E3421" s="52" t="s">
        <v>25</v>
      </c>
      <c r="F3421" s="52" t="s">
        <v>26</v>
      </c>
      <c r="G3421" s="54"/>
    </row>
    <row r="3422">
      <c r="A3422" s="49">
        <v>45056.76510396991</v>
      </c>
      <c r="B3422" s="50">
        <v>45056.890080949</v>
      </c>
      <c r="C3422" s="51">
        <v>1.018</v>
      </c>
      <c r="D3422" s="51">
        <v>63.0</v>
      </c>
      <c r="E3422" s="52" t="s">
        <v>25</v>
      </c>
      <c r="F3422" s="52" t="s">
        <v>26</v>
      </c>
      <c r="G3422" s="54"/>
    </row>
    <row r="3423">
      <c r="A3423" s="49">
        <v>45056.775528935184</v>
      </c>
      <c r="B3423" s="50">
        <v>45056.9005026041</v>
      </c>
      <c r="C3423" s="51">
        <v>1.018</v>
      </c>
      <c r="D3423" s="51">
        <v>63.0</v>
      </c>
      <c r="E3423" s="52" t="s">
        <v>25</v>
      </c>
      <c r="F3423" s="52" t="s">
        <v>26</v>
      </c>
      <c r="G3423" s="54"/>
    </row>
    <row r="3424">
      <c r="A3424" s="49">
        <v>45056.78594847222</v>
      </c>
      <c r="B3424" s="50">
        <v>45056.9109236458</v>
      </c>
      <c r="C3424" s="51">
        <v>1.018</v>
      </c>
      <c r="D3424" s="51">
        <v>63.0</v>
      </c>
      <c r="E3424" s="52" t="s">
        <v>25</v>
      </c>
      <c r="F3424" s="52" t="s">
        <v>26</v>
      </c>
      <c r="G3424" s="54"/>
    </row>
    <row r="3425">
      <c r="A3425" s="49">
        <v>45056.7963691551</v>
      </c>
      <c r="B3425" s="50">
        <v>45056.921345324</v>
      </c>
      <c r="C3425" s="51">
        <v>1.018</v>
      </c>
      <c r="D3425" s="51">
        <v>63.0</v>
      </c>
      <c r="E3425" s="52" t="s">
        <v>25</v>
      </c>
      <c r="F3425" s="52" t="s">
        <v>26</v>
      </c>
      <c r="G3425" s="54"/>
    </row>
    <row r="3426">
      <c r="A3426" s="49">
        <v>45056.806790567134</v>
      </c>
      <c r="B3426" s="50">
        <v>45056.9317664467</v>
      </c>
      <c r="C3426" s="51">
        <v>1.018</v>
      </c>
      <c r="D3426" s="51">
        <v>63.0</v>
      </c>
      <c r="E3426" s="52" t="s">
        <v>25</v>
      </c>
      <c r="F3426" s="52" t="s">
        <v>26</v>
      </c>
      <c r="G3426" s="54"/>
    </row>
    <row r="3427">
      <c r="A3427" s="49">
        <v>45056.81721125</v>
      </c>
      <c r="B3427" s="50">
        <v>45056.9421876736</v>
      </c>
      <c r="C3427" s="51">
        <v>1.018</v>
      </c>
      <c r="D3427" s="51">
        <v>63.0</v>
      </c>
      <c r="E3427" s="52" t="s">
        <v>25</v>
      </c>
      <c r="F3427" s="52" t="s">
        <v>26</v>
      </c>
      <c r="G3427" s="54"/>
    </row>
    <row r="3428">
      <c r="A3428" s="49">
        <v>45056.82763079861</v>
      </c>
      <c r="B3428" s="50">
        <v>45056.9526088426</v>
      </c>
      <c r="C3428" s="51">
        <v>1.018</v>
      </c>
      <c r="D3428" s="51">
        <v>63.0</v>
      </c>
      <c r="E3428" s="52" t="s">
        <v>25</v>
      </c>
      <c r="F3428" s="52" t="s">
        <v>26</v>
      </c>
      <c r="G3428" s="54"/>
    </row>
    <row r="3429">
      <c r="A3429" s="49">
        <v>45056.838049328704</v>
      </c>
      <c r="B3429" s="50">
        <v>45056.9630289583</v>
      </c>
      <c r="C3429" s="51">
        <v>1.018</v>
      </c>
      <c r="D3429" s="51">
        <v>63.0</v>
      </c>
      <c r="E3429" s="52" t="s">
        <v>25</v>
      </c>
      <c r="F3429" s="52" t="s">
        <v>26</v>
      </c>
      <c r="G3429" s="54"/>
    </row>
    <row r="3430">
      <c r="A3430" s="49">
        <v>45056.84847333333</v>
      </c>
      <c r="B3430" s="50">
        <v>45056.9734485185</v>
      </c>
      <c r="C3430" s="51">
        <v>1.018</v>
      </c>
      <c r="D3430" s="51">
        <v>63.0</v>
      </c>
      <c r="E3430" s="52" t="s">
        <v>25</v>
      </c>
      <c r="F3430" s="52" t="s">
        <v>26</v>
      </c>
      <c r="G3430" s="54"/>
    </row>
    <row r="3431">
      <c r="A3431" s="49">
        <v>45056.85889625</v>
      </c>
      <c r="B3431" s="50">
        <v>45056.9838700231</v>
      </c>
      <c r="C3431" s="51">
        <v>1.018</v>
      </c>
      <c r="D3431" s="51">
        <v>63.0</v>
      </c>
      <c r="E3431" s="52" t="s">
        <v>25</v>
      </c>
      <c r="F3431" s="52" t="s">
        <v>26</v>
      </c>
      <c r="G3431" s="54"/>
    </row>
    <row r="3432">
      <c r="A3432" s="49">
        <v>45056.869307719906</v>
      </c>
      <c r="B3432" s="50">
        <v>45056.9942908912</v>
      </c>
      <c r="C3432" s="51">
        <v>1.018</v>
      </c>
      <c r="D3432" s="51">
        <v>63.0</v>
      </c>
      <c r="E3432" s="52" t="s">
        <v>25</v>
      </c>
      <c r="F3432" s="52" t="s">
        <v>26</v>
      </c>
      <c r="G3432" s="54"/>
    </row>
    <row r="3433">
      <c r="A3433" s="49">
        <v>45056.87973714121</v>
      </c>
      <c r="B3433" s="50">
        <v>45057.0047125</v>
      </c>
      <c r="C3433" s="51">
        <v>1.018</v>
      </c>
      <c r="D3433" s="51">
        <v>63.0</v>
      </c>
      <c r="E3433" s="52" t="s">
        <v>25</v>
      </c>
      <c r="F3433" s="52" t="s">
        <v>26</v>
      </c>
      <c r="G3433" s="54"/>
    </row>
    <row r="3434">
      <c r="A3434" s="49">
        <v>45056.89017234954</v>
      </c>
      <c r="B3434" s="50">
        <v>45057.0151459838</v>
      </c>
      <c r="C3434" s="51">
        <v>1.018</v>
      </c>
      <c r="D3434" s="51">
        <v>63.0</v>
      </c>
      <c r="E3434" s="52" t="s">
        <v>25</v>
      </c>
      <c r="F3434" s="52" t="s">
        <v>26</v>
      </c>
      <c r="G3434" s="54"/>
    </row>
    <row r="3435">
      <c r="A3435" s="49">
        <v>45056.90059659722</v>
      </c>
      <c r="B3435" s="50">
        <v>45057.0255670601</v>
      </c>
      <c r="C3435" s="51">
        <v>1.018</v>
      </c>
      <c r="D3435" s="51">
        <v>63.0</v>
      </c>
      <c r="E3435" s="52" t="s">
        <v>25</v>
      </c>
      <c r="F3435" s="52" t="s">
        <v>26</v>
      </c>
      <c r="G3435" s="54"/>
    </row>
    <row r="3436">
      <c r="A3436" s="49">
        <v>45056.91102289352</v>
      </c>
      <c r="B3436" s="50">
        <v>45057.0359994791</v>
      </c>
      <c r="C3436" s="51">
        <v>1.018</v>
      </c>
      <c r="D3436" s="51">
        <v>63.0</v>
      </c>
      <c r="E3436" s="52" t="s">
        <v>25</v>
      </c>
      <c r="F3436" s="52" t="s">
        <v>26</v>
      </c>
      <c r="G3436" s="54"/>
    </row>
    <row r="3437">
      <c r="A3437" s="49">
        <v>45056.93186868056</v>
      </c>
      <c r="B3437" s="50">
        <v>45057.0568405671</v>
      </c>
      <c r="C3437" s="51">
        <v>1.018</v>
      </c>
      <c r="D3437" s="51">
        <v>63.0</v>
      </c>
      <c r="E3437" s="52" t="s">
        <v>25</v>
      </c>
      <c r="F3437" s="52" t="s">
        <v>26</v>
      </c>
      <c r="G3437" s="54"/>
    </row>
    <row r="3438">
      <c r="A3438" s="49">
        <v>45056.9423103125</v>
      </c>
      <c r="B3438" s="50">
        <v>45057.067275243</v>
      </c>
      <c r="C3438" s="51">
        <v>1.018</v>
      </c>
      <c r="D3438" s="51">
        <v>63.0</v>
      </c>
      <c r="E3438" s="52" t="s">
        <v>25</v>
      </c>
      <c r="F3438" s="52" t="s">
        <v>26</v>
      </c>
      <c r="G3438" s="54"/>
    </row>
    <row r="3439">
      <c r="A3439" s="49">
        <v>45056.952723993054</v>
      </c>
      <c r="B3439" s="50">
        <v>45057.0776959606</v>
      </c>
      <c r="C3439" s="51">
        <v>1.018</v>
      </c>
      <c r="D3439" s="51">
        <v>63.0</v>
      </c>
      <c r="E3439" s="52" t="s">
        <v>25</v>
      </c>
      <c r="F3439" s="52" t="s">
        <v>26</v>
      </c>
      <c r="G3439" s="54"/>
    </row>
    <row r="3440">
      <c r="A3440" s="49">
        <v>45056.96313365741</v>
      </c>
      <c r="B3440" s="50">
        <v>45057.0881165624</v>
      </c>
      <c r="C3440" s="51">
        <v>1.018</v>
      </c>
      <c r="D3440" s="51">
        <v>63.0</v>
      </c>
      <c r="E3440" s="52" t="s">
        <v>25</v>
      </c>
      <c r="F3440" s="52" t="s">
        <v>26</v>
      </c>
      <c r="G3440" s="54"/>
    </row>
    <row r="3441">
      <c r="A3441" s="49">
        <v>45056.973559826394</v>
      </c>
      <c r="B3441" s="50">
        <v>45057.0985373148</v>
      </c>
      <c r="C3441" s="51">
        <v>1.018</v>
      </c>
      <c r="D3441" s="51">
        <v>63.0</v>
      </c>
      <c r="E3441" s="52" t="s">
        <v>25</v>
      </c>
      <c r="F3441" s="52" t="s">
        <v>26</v>
      </c>
      <c r="G3441" s="54"/>
    </row>
    <row r="3442">
      <c r="A3442" s="49">
        <v>45056.983996469906</v>
      </c>
      <c r="B3442" s="50">
        <v>45057.1089575578</v>
      </c>
      <c r="C3442" s="51">
        <v>1.018</v>
      </c>
      <c r="D3442" s="51">
        <v>63.0</v>
      </c>
      <c r="E3442" s="52" t="s">
        <v>25</v>
      </c>
      <c r="F3442" s="52" t="s">
        <v>26</v>
      </c>
      <c r="G3442" s="54"/>
    </row>
    <row r="3443">
      <c r="A3443" s="49">
        <v>45056.99441820601</v>
      </c>
      <c r="B3443" s="50">
        <v>45057.1193800578</v>
      </c>
      <c r="C3443" s="51">
        <v>1.018</v>
      </c>
      <c r="D3443" s="51">
        <v>63.0</v>
      </c>
      <c r="E3443" s="52" t="s">
        <v>25</v>
      </c>
      <c r="F3443" s="52" t="s">
        <v>26</v>
      </c>
      <c r="G3443" s="54"/>
    </row>
    <row r="3444">
      <c r="A3444" s="49">
        <v>45057.004828171295</v>
      </c>
      <c r="B3444" s="50">
        <v>45057.1298024189</v>
      </c>
      <c r="C3444" s="51">
        <v>1.018</v>
      </c>
      <c r="D3444" s="51">
        <v>63.0</v>
      </c>
      <c r="E3444" s="52" t="s">
        <v>25</v>
      </c>
      <c r="F3444" s="52" t="s">
        <v>26</v>
      </c>
      <c r="G3444" s="54"/>
    </row>
    <row r="3445">
      <c r="A3445" s="49">
        <v>45057.01524995371</v>
      </c>
      <c r="B3445" s="50">
        <v>45057.1402248263</v>
      </c>
      <c r="C3445" s="51">
        <v>1.018</v>
      </c>
      <c r="D3445" s="51">
        <v>63.0</v>
      </c>
      <c r="E3445" s="52" t="s">
        <v>25</v>
      </c>
      <c r="F3445" s="52" t="s">
        <v>26</v>
      </c>
      <c r="G3445" s="54"/>
    </row>
    <row r="3446">
      <c r="A3446" s="49">
        <v>45057.02567239583</v>
      </c>
      <c r="B3446" s="50">
        <v>45057.1506457986</v>
      </c>
      <c r="C3446" s="51">
        <v>1.018</v>
      </c>
      <c r="D3446" s="51">
        <v>63.0</v>
      </c>
      <c r="E3446" s="52" t="s">
        <v>25</v>
      </c>
      <c r="F3446" s="52" t="s">
        <v>26</v>
      </c>
      <c r="G3446" s="54"/>
    </row>
    <row r="3447">
      <c r="A3447" s="49">
        <v>45057.036185902776</v>
      </c>
      <c r="B3447" s="50">
        <v>45057.1610675231</v>
      </c>
      <c r="C3447" s="51">
        <v>1.018</v>
      </c>
      <c r="D3447" s="51">
        <v>63.0</v>
      </c>
      <c r="E3447" s="52" t="s">
        <v>25</v>
      </c>
      <c r="F3447" s="52" t="s">
        <v>26</v>
      </c>
      <c r="G3447" s="54"/>
    </row>
    <row r="3448">
      <c r="A3448" s="49">
        <v>45057.046521944445</v>
      </c>
      <c r="B3448" s="50">
        <v>45057.1714892592</v>
      </c>
      <c r="C3448" s="51">
        <v>1.018</v>
      </c>
      <c r="D3448" s="51">
        <v>63.0</v>
      </c>
      <c r="E3448" s="52" t="s">
        <v>25</v>
      </c>
      <c r="F3448" s="52" t="s">
        <v>26</v>
      </c>
      <c r="G3448" s="54"/>
    </row>
    <row r="3449">
      <c r="A3449" s="49">
        <v>45057.05693665509</v>
      </c>
      <c r="B3449" s="50">
        <v>45057.1819098495</v>
      </c>
      <c r="C3449" s="51">
        <v>1.018</v>
      </c>
      <c r="D3449" s="51">
        <v>63.0</v>
      </c>
      <c r="E3449" s="52" t="s">
        <v>25</v>
      </c>
      <c r="F3449" s="52" t="s">
        <v>26</v>
      </c>
      <c r="G3449" s="54"/>
    </row>
    <row r="3450">
      <c r="A3450" s="49">
        <v>45057.06737174769</v>
      </c>
      <c r="B3450" s="50">
        <v>45057.1923539583</v>
      </c>
      <c r="C3450" s="51">
        <v>1.018</v>
      </c>
      <c r="D3450" s="51">
        <v>63.0</v>
      </c>
      <c r="E3450" s="52" t="s">
        <v>25</v>
      </c>
      <c r="F3450" s="52" t="s">
        <v>26</v>
      </c>
      <c r="G3450" s="54"/>
    </row>
    <row r="3451">
      <c r="A3451" s="49">
        <v>45057.07780240741</v>
      </c>
      <c r="B3451" s="50">
        <v>45057.2027744791</v>
      </c>
      <c r="C3451" s="51">
        <v>1.018</v>
      </c>
      <c r="D3451" s="51">
        <v>63.0</v>
      </c>
      <c r="E3451" s="52" t="s">
        <v>25</v>
      </c>
      <c r="F3451" s="52" t="s">
        <v>26</v>
      </c>
      <c r="G3451" s="54"/>
    </row>
    <row r="3452">
      <c r="A3452" s="49">
        <v>45057.088238807875</v>
      </c>
      <c r="B3452" s="50">
        <v>45057.2132084722</v>
      </c>
      <c r="C3452" s="51">
        <v>1.018</v>
      </c>
      <c r="D3452" s="51">
        <v>63.0</v>
      </c>
      <c r="E3452" s="52" t="s">
        <v>25</v>
      </c>
      <c r="F3452" s="52" t="s">
        <v>26</v>
      </c>
      <c r="G3452" s="54"/>
    </row>
    <row r="3453">
      <c r="A3453" s="49">
        <v>45057.09866225695</v>
      </c>
      <c r="B3453" s="50">
        <v>45057.2236305902</v>
      </c>
      <c r="C3453" s="51">
        <v>1.018</v>
      </c>
      <c r="D3453" s="51">
        <v>63.0</v>
      </c>
      <c r="E3453" s="52" t="s">
        <v>25</v>
      </c>
      <c r="F3453" s="52" t="s">
        <v>26</v>
      </c>
      <c r="G3453" s="54"/>
    </row>
    <row r="3454">
      <c r="A3454" s="49">
        <v>45057.10910402778</v>
      </c>
      <c r="B3454" s="50">
        <v>45057.2340752083</v>
      </c>
      <c r="C3454" s="51">
        <v>1.018</v>
      </c>
      <c r="D3454" s="51">
        <v>63.0</v>
      </c>
      <c r="E3454" s="52" t="s">
        <v>25</v>
      </c>
      <c r="F3454" s="52" t="s">
        <v>26</v>
      </c>
      <c r="G3454" s="54"/>
    </row>
    <row r="3455">
      <c r="A3455" s="49">
        <v>45057.119513495374</v>
      </c>
      <c r="B3455" s="50">
        <v>45057.2444950231</v>
      </c>
      <c r="C3455" s="51">
        <v>1.018</v>
      </c>
      <c r="D3455" s="51">
        <v>63.0</v>
      </c>
      <c r="E3455" s="52" t="s">
        <v>25</v>
      </c>
      <c r="F3455" s="52" t="s">
        <v>26</v>
      </c>
      <c r="G3455" s="54"/>
    </row>
    <row r="3456">
      <c r="A3456" s="49">
        <v>45057.12995377315</v>
      </c>
      <c r="B3456" s="50">
        <v>45057.2549267013</v>
      </c>
      <c r="C3456" s="51">
        <v>1.018</v>
      </c>
      <c r="D3456" s="51">
        <v>63.0</v>
      </c>
      <c r="E3456" s="52" t="s">
        <v>25</v>
      </c>
      <c r="F3456" s="52" t="s">
        <v>26</v>
      </c>
      <c r="G3456" s="54"/>
    </row>
    <row r="3457">
      <c r="A3457" s="49">
        <v>45057.140373773145</v>
      </c>
      <c r="B3457" s="50">
        <v>45057.2653472106</v>
      </c>
      <c r="C3457" s="51">
        <v>1.018</v>
      </c>
      <c r="D3457" s="51">
        <v>63.0</v>
      </c>
      <c r="E3457" s="52" t="s">
        <v>25</v>
      </c>
      <c r="F3457" s="52" t="s">
        <v>26</v>
      </c>
      <c r="G3457" s="54"/>
    </row>
    <row r="3458">
      <c r="A3458" s="49">
        <v>45057.15080585648</v>
      </c>
      <c r="B3458" s="50">
        <v>45057.2757805787</v>
      </c>
      <c r="C3458" s="51">
        <v>1.018</v>
      </c>
      <c r="D3458" s="51">
        <v>63.0</v>
      </c>
      <c r="E3458" s="52" t="s">
        <v>25</v>
      </c>
      <c r="F3458" s="52" t="s">
        <v>26</v>
      </c>
      <c r="G3458" s="54"/>
    </row>
    <row r="3459">
      <c r="A3459" s="49">
        <v>45057.16122792824</v>
      </c>
      <c r="B3459" s="50">
        <v>45057.2862037384</v>
      </c>
      <c r="C3459" s="51">
        <v>1.018</v>
      </c>
      <c r="D3459" s="51">
        <v>63.0</v>
      </c>
      <c r="E3459" s="52" t="s">
        <v>25</v>
      </c>
      <c r="F3459" s="52" t="s">
        <v>26</v>
      </c>
      <c r="G3459" s="54"/>
    </row>
    <row r="3460">
      <c r="A3460" s="49">
        <v>45057.17165208333</v>
      </c>
      <c r="B3460" s="50">
        <v>45057.296624699</v>
      </c>
      <c r="C3460" s="51">
        <v>1.018</v>
      </c>
      <c r="D3460" s="51">
        <v>63.0</v>
      </c>
      <c r="E3460" s="52" t="s">
        <v>25</v>
      </c>
      <c r="F3460" s="52" t="s">
        <v>26</v>
      </c>
      <c r="G3460" s="54"/>
    </row>
    <row r="3461">
      <c r="A3461" s="49">
        <v>45057.182071435185</v>
      </c>
      <c r="B3461" s="50">
        <v>45057.3070455902</v>
      </c>
      <c r="C3461" s="51">
        <v>1.018</v>
      </c>
      <c r="D3461" s="51">
        <v>63.0</v>
      </c>
      <c r="E3461" s="52" t="s">
        <v>25</v>
      </c>
      <c r="F3461" s="52" t="s">
        <v>26</v>
      </c>
      <c r="G3461" s="54"/>
    </row>
    <row r="3462">
      <c r="A3462" s="49">
        <v>45057.19250934028</v>
      </c>
      <c r="B3462" s="50">
        <v>45057.3174896412</v>
      </c>
      <c r="C3462" s="51">
        <v>1.018</v>
      </c>
      <c r="D3462" s="51">
        <v>63.0</v>
      </c>
      <c r="E3462" s="52" t="s">
        <v>25</v>
      </c>
      <c r="F3462" s="52" t="s">
        <v>26</v>
      </c>
      <c r="G3462" s="54"/>
    </row>
    <row r="3463">
      <c r="A3463" s="49">
        <v>45057.202930879634</v>
      </c>
      <c r="B3463" s="50">
        <v>45057.3279099652</v>
      </c>
      <c r="C3463" s="51">
        <v>1.018</v>
      </c>
      <c r="D3463" s="51">
        <v>63.0</v>
      </c>
      <c r="E3463" s="52" t="s">
        <v>25</v>
      </c>
      <c r="F3463" s="52" t="s">
        <v>26</v>
      </c>
      <c r="G3463" s="54"/>
    </row>
    <row r="3464">
      <c r="A3464" s="49">
        <v>45057.213365601856</v>
      </c>
      <c r="B3464" s="50">
        <v>45057.3383413888</v>
      </c>
      <c r="C3464" s="51">
        <v>1.018</v>
      </c>
      <c r="D3464" s="51">
        <v>63.0</v>
      </c>
      <c r="E3464" s="52" t="s">
        <v>25</v>
      </c>
      <c r="F3464" s="52" t="s">
        <v>26</v>
      </c>
      <c r="G3464" s="54"/>
    </row>
    <row r="3465">
      <c r="A3465" s="49">
        <v>45057.223787511575</v>
      </c>
      <c r="B3465" s="50">
        <v>45057.348763449</v>
      </c>
      <c r="C3465" s="51">
        <v>1.018</v>
      </c>
      <c r="D3465" s="51">
        <v>63.0</v>
      </c>
      <c r="E3465" s="52" t="s">
        <v>25</v>
      </c>
      <c r="F3465" s="52" t="s">
        <v>26</v>
      </c>
      <c r="G3465" s="54"/>
    </row>
    <row r="3466">
      <c r="A3466" s="49">
        <v>45057.23421497685</v>
      </c>
      <c r="B3466" s="50">
        <v>45057.3591834375</v>
      </c>
      <c r="C3466" s="51">
        <v>1.018</v>
      </c>
      <c r="D3466" s="51">
        <v>63.0</v>
      </c>
      <c r="E3466" s="52" t="s">
        <v>25</v>
      </c>
      <c r="F3466" s="52" t="s">
        <v>26</v>
      </c>
      <c r="G3466" s="54"/>
    </row>
    <row r="3467">
      <c r="A3467" s="49">
        <v>45057.244634780094</v>
      </c>
      <c r="B3467" s="50">
        <v>45057.369603831</v>
      </c>
      <c r="C3467" s="51">
        <v>1.018</v>
      </c>
      <c r="D3467" s="51">
        <v>63.0</v>
      </c>
      <c r="E3467" s="52" t="s">
        <v>25</v>
      </c>
      <c r="F3467" s="52" t="s">
        <v>26</v>
      </c>
      <c r="G3467" s="54"/>
    </row>
    <row r="3468">
      <c r="A3468" s="49">
        <v>45057.25504953704</v>
      </c>
      <c r="B3468" s="50">
        <v>45057.3800254282</v>
      </c>
      <c r="C3468" s="51">
        <v>1.018</v>
      </c>
      <c r="D3468" s="51">
        <v>63.0</v>
      </c>
      <c r="E3468" s="52" t="s">
        <v>25</v>
      </c>
      <c r="F3468" s="52" t="s">
        <v>26</v>
      </c>
      <c r="G3468" s="54"/>
    </row>
    <row r="3469">
      <c r="A3469" s="49">
        <v>45057.265475775464</v>
      </c>
      <c r="B3469" s="50">
        <v>45057.3904473379</v>
      </c>
      <c r="C3469" s="51">
        <v>1.018</v>
      </c>
      <c r="D3469" s="51">
        <v>63.0</v>
      </c>
      <c r="E3469" s="52" t="s">
        <v>25</v>
      </c>
      <c r="F3469" s="52" t="s">
        <v>26</v>
      </c>
      <c r="G3469" s="54"/>
    </row>
    <row r="3470">
      <c r="A3470" s="49">
        <v>45057.27588483796</v>
      </c>
      <c r="B3470" s="50">
        <v>45057.4008681134</v>
      </c>
      <c r="C3470" s="51">
        <v>1.018</v>
      </c>
      <c r="D3470" s="51">
        <v>63.0</v>
      </c>
      <c r="E3470" s="52" t="s">
        <v>25</v>
      </c>
      <c r="F3470" s="52" t="s">
        <v>26</v>
      </c>
      <c r="G3470" s="54"/>
    </row>
    <row r="3471">
      <c r="A3471" s="49">
        <v>45057.28631627315</v>
      </c>
      <c r="B3471" s="50">
        <v>45057.4112898148</v>
      </c>
      <c r="C3471" s="51">
        <v>1.018</v>
      </c>
      <c r="D3471" s="51">
        <v>63.0</v>
      </c>
      <c r="E3471" s="52" t="s">
        <v>25</v>
      </c>
      <c r="F3471" s="52" t="s">
        <v>26</v>
      </c>
      <c r="G3471" s="54"/>
    </row>
    <row r="3472">
      <c r="A3472" s="49">
        <v>45057.29676488426</v>
      </c>
      <c r="B3472" s="50">
        <v>45057.4217443634</v>
      </c>
      <c r="C3472" s="51">
        <v>1.018</v>
      </c>
      <c r="D3472" s="51">
        <v>63.0</v>
      </c>
      <c r="E3472" s="52" t="s">
        <v>25</v>
      </c>
      <c r="F3472" s="52" t="s">
        <v>26</v>
      </c>
      <c r="G3472" s="54"/>
    </row>
    <row r="3473">
      <c r="A3473" s="49">
        <v>45057.307197800925</v>
      </c>
      <c r="B3473" s="50">
        <v>45057.4321627546</v>
      </c>
      <c r="C3473" s="51">
        <v>1.018</v>
      </c>
      <c r="D3473" s="51">
        <v>63.0</v>
      </c>
      <c r="E3473" s="52" t="s">
        <v>25</v>
      </c>
      <c r="F3473" s="52" t="s">
        <v>26</v>
      </c>
      <c r="G3473" s="54"/>
    </row>
    <row r="3474">
      <c r="A3474" s="49">
        <v>45057.31761517361</v>
      </c>
      <c r="B3474" s="50">
        <v>45057.4425829861</v>
      </c>
      <c r="C3474" s="51">
        <v>1.018</v>
      </c>
      <c r="D3474" s="51">
        <v>63.0</v>
      </c>
      <c r="E3474" s="52" t="s">
        <v>25</v>
      </c>
      <c r="F3474" s="52" t="s">
        <v>26</v>
      </c>
      <c r="G3474" s="54"/>
    </row>
    <row r="3475">
      <c r="A3475" s="49">
        <v>45057.32803923611</v>
      </c>
      <c r="B3475" s="50">
        <v>45057.4530046296</v>
      </c>
      <c r="C3475" s="51">
        <v>1.018</v>
      </c>
      <c r="D3475" s="51">
        <v>63.0</v>
      </c>
      <c r="E3475" s="52" t="s">
        <v>25</v>
      </c>
      <c r="F3475" s="52" t="s">
        <v>26</v>
      </c>
      <c r="G3475" s="54"/>
    </row>
    <row r="3476">
      <c r="A3476" s="49">
        <v>45057.33845732639</v>
      </c>
      <c r="B3476" s="50">
        <v>45057.4634258333</v>
      </c>
      <c r="C3476" s="51">
        <v>1.018</v>
      </c>
      <c r="D3476" s="51">
        <v>63.0</v>
      </c>
      <c r="E3476" s="52" t="s">
        <v>25</v>
      </c>
      <c r="F3476" s="52" t="s">
        <v>26</v>
      </c>
      <c r="G3476" s="54"/>
    </row>
    <row r="3477">
      <c r="A3477" s="49">
        <v>45057.3488734375</v>
      </c>
      <c r="B3477" s="50">
        <v>45057.4738472453</v>
      </c>
      <c r="C3477" s="51">
        <v>1.018</v>
      </c>
      <c r="D3477" s="51">
        <v>63.0</v>
      </c>
      <c r="E3477" s="52" t="s">
        <v>25</v>
      </c>
      <c r="F3477" s="52" t="s">
        <v>26</v>
      </c>
      <c r="G3477" s="54"/>
    </row>
    <row r="3478">
      <c r="A3478" s="49">
        <v>45057.35928833333</v>
      </c>
      <c r="B3478" s="50">
        <v>45057.4842686342</v>
      </c>
      <c r="C3478" s="51">
        <v>1.018</v>
      </c>
      <c r="D3478" s="51">
        <v>63.0</v>
      </c>
      <c r="E3478" s="52" t="s">
        <v>25</v>
      </c>
      <c r="F3478" s="52" t="s">
        <v>26</v>
      </c>
      <c r="G3478" s="54"/>
    </row>
    <row r="3479">
      <c r="A3479" s="49">
        <v>45057.36971805556</v>
      </c>
      <c r="B3479" s="50">
        <v>45057.4946908101</v>
      </c>
      <c r="C3479" s="51">
        <v>1.018</v>
      </c>
      <c r="D3479" s="51">
        <v>63.0</v>
      </c>
      <c r="E3479" s="52" t="s">
        <v>25</v>
      </c>
      <c r="F3479" s="52" t="s">
        <v>26</v>
      </c>
      <c r="G3479" s="54"/>
    </row>
    <row r="3480">
      <c r="A3480" s="49">
        <v>45057.380135555555</v>
      </c>
      <c r="B3480" s="50">
        <v>45057.5051130902</v>
      </c>
      <c r="C3480" s="51">
        <v>1.018</v>
      </c>
      <c r="D3480" s="51">
        <v>63.0</v>
      </c>
      <c r="E3480" s="52" t="s">
        <v>25</v>
      </c>
      <c r="F3480" s="52" t="s">
        <v>26</v>
      </c>
      <c r="G3480" s="54"/>
    </row>
    <row r="3481">
      <c r="A3481" s="49">
        <v>45057.39055671296</v>
      </c>
      <c r="B3481" s="50">
        <v>45057.5155334838</v>
      </c>
      <c r="C3481" s="51">
        <v>1.018</v>
      </c>
      <c r="D3481" s="51">
        <v>63.0</v>
      </c>
      <c r="E3481" s="52" t="s">
        <v>25</v>
      </c>
      <c r="F3481" s="52" t="s">
        <v>26</v>
      </c>
      <c r="G3481" s="54"/>
    </row>
    <row r="3482">
      <c r="A3482" s="49">
        <v>45057.40100884259</v>
      </c>
      <c r="B3482" s="50">
        <v>45057.5259776041</v>
      </c>
      <c r="C3482" s="51">
        <v>1.018</v>
      </c>
      <c r="D3482" s="51">
        <v>63.0</v>
      </c>
      <c r="E3482" s="52" t="s">
        <v>25</v>
      </c>
      <c r="F3482" s="52" t="s">
        <v>26</v>
      </c>
      <c r="G3482" s="54"/>
    </row>
    <row r="3483">
      <c r="A3483" s="49">
        <v>45057.41143363426</v>
      </c>
      <c r="B3483" s="50">
        <v>45057.5364095486</v>
      </c>
      <c r="C3483" s="51">
        <v>1.018</v>
      </c>
      <c r="D3483" s="51">
        <v>63.0</v>
      </c>
      <c r="E3483" s="52" t="s">
        <v>25</v>
      </c>
      <c r="F3483" s="52" t="s">
        <v>26</v>
      </c>
      <c r="G3483" s="54"/>
    </row>
    <row r="3484">
      <c r="A3484" s="49">
        <v>45057.421853935186</v>
      </c>
      <c r="B3484" s="50">
        <v>45057.5468297222</v>
      </c>
      <c r="C3484" s="51">
        <v>1.018</v>
      </c>
      <c r="D3484" s="51">
        <v>63.0</v>
      </c>
      <c r="E3484" s="52" t="s">
        <v>25</v>
      </c>
      <c r="F3484" s="52" t="s">
        <v>26</v>
      </c>
      <c r="G3484" s="54"/>
    </row>
    <row r="3485">
      <c r="A3485" s="49">
        <v>45057.43228111111</v>
      </c>
      <c r="B3485" s="50">
        <v>45057.5572498379</v>
      </c>
      <c r="C3485" s="51">
        <v>1.018</v>
      </c>
      <c r="D3485" s="51">
        <v>63.0</v>
      </c>
      <c r="E3485" s="52" t="s">
        <v>25</v>
      </c>
      <c r="F3485" s="52" t="s">
        <v>26</v>
      </c>
      <c r="G3485" s="54"/>
    </row>
    <row r="3486">
      <c r="A3486" s="49">
        <v>45057.44270234954</v>
      </c>
      <c r="B3486" s="50">
        <v>45057.5676707175</v>
      </c>
      <c r="C3486" s="51">
        <v>1.018</v>
      </c>
      <c r="D3486" s="51">
        <v>63.0</v>
      </c>
      <c r="E3486" s="52" t="s">
        <v>25</v>
      </c>
      <c r="F3486" s="52" t="s">
        <v>26</v>
      </c>
      <c r="G3486" s="54"/>
    </row>
    <row r="3487">
      <c r="A3487" s="49">
        <v>45057.45311618056</v>
      </c>
      <c r="B3487" s="50">
        <v>45057.5780909953</v>
      </c>
      <c r="C3487" s="51">
        <v>1.018</v>
      </c>
      <c r="D3487" s="51">
        <v>63.0</v>
      </c>
      <c r="E3487" s="52" t="s">
        <v>25</v>
      </c>
      <c r="F3487" s="52" t="s">
        <v>26</v>
      </c>
      <c r="G3487" s="54"/>
    </row>
    <row r="3488">
      <c r="A3488" s="49">
        <v>45057.463563240744</v>
      </c>
      <c r="B3488" s="50">
        <v>45057.5885353935</v>
      </c>
      <c r="C3488" s="51">
        <v>1.018</v>
      </c>
      <c r="D3488" s="51">
        <v>63.0</v>
      </c>
      <c r="E3488" s="52" t="s">
        <v>25</v>
      </c>
      <c r="F3488" s="52" t="s">
        <v>26</v>
      </c>
      <c r="G3488" s="54"/>
    </row>
    <row r="3489">
      <c r="A3489" s="49">
        <v>45057.47398263889</v>
      </c>
      <c r="B3489" s="50">
        <v>45057.5989555555</v>
      </c>
      <c r="C3489" s="51">
        <v>1.018</v>
      </c>
      <c r="D3489" s="51">
        <v>63.0</v>
      </c>
      <c r="E3489" s="52" t="s">
        <v>25</v>
      </c>
      <c r="F3489" s="52" t="s">
        <v>26</v>
      </c>
      <c r="G3489" s="54"/>
    </row>
    <row r="3490">
      <c r="A3490" s="49">
        <v>45057.48442011574</v>
      </c>
      <c r="B3490" s="50">
        <v>45057.6093881365</v>
      </c>
      <c r="C3490" s="51">
        <v>1.018</v>
      </c>
      <c r="D3490" s="51">
        <v>63.0</v>
      </c>
      <c r="E3490" s="52" t="s">
        <v>25</v>
      </c>
      <c r="F3490" s="52" t="s">
        <v>26</v>
      </c>
      <c r="G3490" s="54"/>
    </row>
    <row r="3491">
      <c r="A3491" s="49">
        <v>45057.49486359954</v>
      </c>
      <c r="B3491" s="50">
        <v>45057.6198324074</v>
      </c>
      <c r="C3491" s="51">
        <v>1.018</v>
      </c>
      <c r="D3491" s="51">
        <v>63.0</v>
      </c>
      <c r="E3491" s="52" t="s">
        <v>25</v>
      </c>
      <c r="F3491" s="52" t="s">
        <v>26</v>
      </c>
      <c r="G3491" s="54"/>
    </row>
    <row r="3492">
      <c r="A3492" s="49">
        <v>45057.50528011574</v>
      </c>
      <c r="B3492" s="50">
        <v>45057.6302533101</v>
      </c>
      <c r="C3492" s="51">
        <v>1.018</v>
      </c>
      <c r="D3492" s="51">
        <v>63.0</v>
      </c>
      <c r="E3492" s="52" t="s">
        <v>25</v>
      </c>
      <c r="F3492" s="52" t="s">
        <v>26</v>
      </c>
      <c r="G3492" s="54"/>
    </row>
    <row r="3493">
      <c r="A3493" s="49">
        <v>45057.51570164352</v>
      </c>
      <c r="B3493" s="50">
        <v>45057.640674375</v>
      </c>
      <c r="C3493" s="51">
        <v>1.018</v>
      </c>
      <c r="D3493" s="51">
        <v>63.0</v>
      </c>
      <c r="E3493" s="52" t="s">
        <v>25</v>
      </c>
      <c r="F3493" s="52" t="s">
        <v>26</v>
      </c>
      <c r="G3493" s="54"/>
    </row>
    <row r="3494">
      <c r="A3494" s="49">
        <v>45057.52612692129</v>
      </c>
      <c r="B3494" s="50">
        <v>45057.651095706</v>
      </c>
      <c r="C3494" s="51">
        <v>1.018</v>
      </c>
      <c r="D3494" s="51">
        <v>63.0</v>
      </c>
      <c r="E3494" s="52" t="s">
        <v>25</v>
      </c>
      <c r="F3494" s="52" t="s">
        <v>26</v>
      </c>
      <c r="G3494" s="54"/>
    </row>
    <row r="3495">
      <c r="A3495" s="49">
        <v>45057.53655168982</v>
      </c>
      <c r="B3495" s="50">
        <v>45057.6615279166</v>
      </c>
      <c r="C3495" s="51">
        <v>1.018</v>
      </c>
      <c r="D3495" s="51">
        <v>63.0</v>
      </c>
      <c r="E3495" s="52" t="s">
        <v>25</v>
      </c>
      <c r="F3495" s="52" t="s">
        <v>26</v>
      </c>
      <c r="G3495" s="54"/>
    </row>
    <row r="3496">
      <c r="A3496" s="49">
        <v>45057.54697206018</v>
      </c>
      <c r="B3496" s="50">
        <v>45057.6719488194</v>
      </c>
      <c r="C3496" s="51">
        <v>1.018</v>
      </c>
      <c r="D3496" s="51">
        <v>63.0</v>
      </c>
      <c r="E3496" s="52" t="s">
        <v>25</v>
      </c>
      <c r="F3496" s="52" t="s">
        <v>26</v>
      </c>
      <c r="G3496" s="54"/>
    </row>
    <row r="3497">
      <c r="A3497" s="49">
        <v>45057.557407175926</v>
      </c>
      <c r="B3497" s="50">
        <v>45057.682381412</v>
      </c>
      <c r="C3497" s="51">
        <v>1.018</v>
      </c>
      <c r="D3497" s="51">
        <v>63.0</v>
      </c>
      <c r="E3497" s="52" t="s">
        <v>25</v>
      </c>
      <c r="F3497" s="52" t="s">
        <v>26</v>
      </c>
      <c r="G3497" s="54"/>
    </row>
    <row r="3498">
      <c r="A3498" s="49">
        <v>45057.56782134259</v>
      </c>
      <c r="B3498" s="50">
        <v>45057.6928040162</v>
      </c>
      <c r="C3498" s="51">
        <v>1.017</v>
      </c>
      <c r="D3498" s="51">
        <v>63.0</v>
      </c>
      <c r="E3498" s="52" t="s">
        <v>25</v>
      </c>
      <c r="F3498" s="52" t="s">
        <v>26</v>
      </c>
      <c r="G3498" s="54"/>
    </row>
    <row r="3499">
      <c r="A3499" s="49">
        <v>45057.57824259259</v>
      </c>
      <c r="B3499" s="50">
        <v>45057.7032229166</v>
      </c>
      <c r="C3499" s="51">
        <v>1.018</v>
      </c>
      <c r="D3499" s="51">
        <v>63.0</v>
      </c>
      <c r="E3499" s="52" t="s">
        <v>25</v>
      </c>
      <c r="F3499" s="52" t="s">
        <v>26</v>
      </c>
      <c r="G3499" s="54"/>
    </row>
    <row r="3500">
      <c r="A3500" s="49">
        <v>45057.58867759259</v>
      </c>
      <c r="B3500" s="50">
        <v>45057.7136433912</v>
      </c>
      <c r="C3500" s="51">
        <v>1.018</v>
      </c>
      <c r="D3500" s="51">
        <v>63.0</v>
      </c>
      <c r="E3500" s="52" t="s">
        <v>25</v>
      </c>
      <c r="F3500" s="52" t="s">
        <v>26</v>
      </c>
      <c r="G3500" s="54"/>
    </row>
    <row r="3501">
      <c r="A3501" s="49">
        <v>45057.599088159724</v>
      </c>
      <c r="B3501" s="50">
        <v>45057.724064699</v>
      </c>
      <c r="C3501" s="51">
        <v>1.018</v>
      </c>
      <c r="D3501" s="51">
        <v>63.0</v>
      </c>
      <c r="E3501" s="52" t="s">
        <v>25</v>
      </c>
      <c r="F3501" s="52" t="s">
        <v>26</v>
      </c>
      <c r="G3501" s="54"/>
    </row>
    <row r="3502">
      <c r="A3502" s="49">
        <v>45057.609518530095</v>
      </c>
      <c r="B3502" s="50">
        <v>45057.7344976504</v>
      </c>
      <c r="C3502" s="51">
        <v>1.017</v>
      </c>
      <c r="D3502" s="51">
        <v>63.0</v>
      </c>
      <c r="E3502" s="52" t="s">
        <v>25</v>
      </c>
      <c r="F3502" s="52" t="s">
        <v>26</v>
      </c>
      <c r="G3502" s="54"/>
    </row>
    <row r="3503">
      <c r="A3503" s="49">
        <v>45057.61993940972</v>
      </c>
      <c r="B3503" s="50">
        <v>45057.7449183449</v>
      </c>
      <c r="C3503" s="51">
        <v>1.018</v>
      </c>
      <c r="D3503" s="51">
        <v>63.0</v>
      </c>
      <c r="E3503" s="52" t="s">
        <v>25</v>
      </c>
      <c r="F3503" s="52" t="s">
        <v>26</v>
      </c>
      <c r="G3503" s="54"/>
    </row>
    <row r="3504">
      <c r="A3504" s="49">
        <v>45057.63035929398</v>
      </c>
      <c r="B3504" s="50">
        <v>45057.7553391435</v>
      </c>
      <c r="C3504" s="51">
        <v>1.018</v>
      </c>
      <c r="D3504" s="51">
        <v>63.0</v>
      </c>
      <c r="E3504" s="52" t="s">
        <v>25</v>
      </c>
      <c r="F3504" s="52" t="s">
        <v>26</v>
      </c>
      <c r="G3504" s="54"/>
    </row>
    <row r="3505">
      <c r="A3505" s="49">
        <v>45057.640781608796</v>
      </c>
      <c r="B3505" s="50">
        <v>45057.7657603009</v>
      </c>
      <c r="C3505" s="51">
        <v>1.018</v>
      </c>
      <c r="D3505" s="51">
        <v>63.0</v>
      </c>
      <c r="E3505" s="52" t="s">
        <v>25</v>
      </c>
      <c r="F3505" s="52" t="s">
        <v>26</v>
      </c>
      <c r="G3505" s="54"/>
    </row>
    <row r="3506">
      <c r="A3506" s="49">
        <v>45057.65119844908</v>
      </c>
      <c r="B3506" s="50">
        <v>45057.7761839004</v>
      </c>
      <c r="C3506" s="51">
        <v>1.018</v>
      </c>
      <c r="D3506" s="51">
        <v>63.0</v>
      </c>
      <c r="E3506" s="52" t="s">
        <v>25</v>
      </c>
      <c r="F3506" s="52" t="s">
        <v>26</v>
      </c>
      <c r="G3506" s="54"/>
    </row>
    <row r="3507">
      <c r="A3507" s="49">
        <v>45057.661644293985</v>
      </c>
      <c r="B3507" s="50">
        <v>45057.7866054513</v>
      </c>
      <c r="C3507" s="51">
        <v>1.017</v>
      </c>
      <c r="D3507" s="51">
        <v>63.0</v>
      </c>
      <c r="E3507" s="52" t="s">
        <v>25</v>
      </c>
      <c r="F3507" s="52" t="s">
        <v>26</v>
      </c>
      <c r="G3507" s="54"/>
    </row>
    <row r="3508">
      <c r="A3508" s="49">
        <v>45057.672072824076</v>
      </c>
      <c r="B3508" s="50">
        <v>45057.7970403588</v>
      </c>
      <c r="C3508" s="51">
        <v>1.017</v>
      </c>
      <c r="D3508" s="51">
        <v>63.0</v>
      </c>
      <c r="E3508" s="52" t="s">
        <v>25</v>
      </c>
      <c r="F3508" s="52" t="s">
        <v>26</v>
      </c>
      <c r="G3508" s="54"/>
    </row>
    <row r="3509">
      <c r="A3509" s="49">
        <v>45057.682481805554</v>
      </c>
      <c r="B3509" s="50">
        <v>45057.807459699</v>
      </c>
      <c r="C3509" s="51">
        <v>1.018</v>
      </c>
      <c r="D3509" s="51">
        <v>63.0</v>
      </c>
      <c r="E3509" s="52" t="s">
        <v>25</v>
      </c>
      <c r="F3509" s="52" t="s">
        <v>26</v>
      </c>
      <c r="G3509" s="54"/>
    </row>
    <row r="3510">
      <c r="A3510" s="49">
        <v>45057.692909606485</v>
      </c>
      <c r="B3510" s="50">
        <v>45057.8178810995</v>
      </c>
      <c r="C3510" s="51">
        <v>1.018</v>
      </c>
      <c r="D3510" s="51">
        <v>63.0</v>
      </c>
      <c r="E3510" s="52" t="s">
        <v>25</v>
      </c>
      <c r="F3510" s="52" t="s">
        <v>26</v>
      </c>
      <c r="G3510" s="54"/>
    </row>
    <row r="3511">
      <c r="A3511" s="49">
        <v>45057.70332538194</v>
      </c>
      <c r="B3511" s="50">
        <v>45057.8283015277</v>
      </c>
      <c r="C3511" s="51">
        <v>1.017</v>
      </c>
      <c r="D3511" s="51">
        <v>63.0</v>
      </c>
      <c r="E3511" s="52" t="s">
        <v>25</v>
      </c>
      <c r="F3511" s="52" t="s">
        <v>26</v>
      </c>
      <c r="G3511" s="54"/>
    </row>
    <row r="3512">
      <c r="A3512" s="49">
        <v>45057.71374989583</v>
      </c>
      <c r="B3512" s="50">
        <v>45057.8387228703</v>
      </c>
      <c r="C3512" s="51">
        <v>1.017</v>
      </c>
      <c r="D3512" s="51">
        <v>63.0</v>
      </c>
      <c r="E3512" s="52" t="s">
        <v>25</v>
      </c>
      <c r="F3512" s="52" t="s">
        <v>26</v>
      </c>
      <c r="G3512" s="54"/>
    </row>
    <row r="3513">
      <c r="A3513" s="49">
        <v>45057.72416238426</v>
      </c>
      <c r="B3513" s="50">
        <v>45057.8491432986</v>
      </c>
      <c r="C3513" s="51">
        <v>1.017</v>
      </c>
      <c r="D3513" s="51">
        <v>63.0</v>
      </c>
      <c r="E3513" s="52" t="s">
        <v>25</v>
      </c>
      <c r="F3513" s="52" t="s">
        <v>26</v>
      </c>
      <c r="G3513" s="54"/>
    </row>
    <row r="3514">
      <c r="A3514" s="49">
        <v>45057.73460271991</v>
      </c>
      <c r="B3514" s="50">
        <v>45057.8595758796</v>
      </c>
      <c r="C3514" s="51">
        <v>1.017</v>
      </c>
      <c r="D3514" s="51">
        <v>63.0</v>
      </c>
      <c r="E3514" s="52" t="s">
        <v>25</v>
      </c>
      <c r="F3514" s="52" t="s">
        <v>26</v>
      </c>
      <c r="G3514" s="54"/>
    </row>
    <row r="3515">
      <c r="A3515" s="49">
        <v>45057.74502637731</v>
      </c>
      <c r="B3515" s="50">
        <v>45057.8699980902</v>
      </c>
      <c r="C3515" s="51">
        <v>1.017</v>
      </c>
      <c r="D3515" s="51">
        <v>63.0</v>
      </c>
      <c r="E3515" s="52" t="s">
        <v>25</v>
      </c>
      <c r="F3515" s="52" t="s">
        <v>26</v>
      </c>
      <c r="G3515" s="54"/>
    </row>
    <row r="3516">
      <c r="A3516" s="49">
        <v>45057.7554371875</v>
      </c>
      <c r="B3516" s="50">
        <v>45057.8804180092</v>
      </c>
      <c r="C3516" s="51">
        <v>1.018</v>
      </c>
      <c r="D3516" s="51">
        <v>63.0</v>
      </c>
      <c r="E3516" s="52" t="s">
        <v>25</v>
      </c>
      <c r="F3516" s="52" t="s">
        <v>26</v>
      </c>
      <c r="G3516" s="54"/>
    </row>
    <row r="3517">
      <c r="A3517" s="49">
        <v>45057.76586511574</v>
      </c>
      <c r="B3517" s="50">
        <v>45057.8908395833</v>
      </c>
      <c r="C3517" s="51">
        <v>1.017</v>
      </c>
      <c r="D3517" s="51">
        <v>63.0</v>
      </c>
      <c r="E3517" s="52" t="s">
        <v>25</v>
      </c>
      <c r="F3517" s="52" t="s">
        <v>26</v>
      </c>
      <c r="G3517" s="54"/>
    </row>
    <row r="3518">
      <c r="A3518" s="49">
        <v>45057.77629358796</v>
      </c>
      <c r="B3518" s="50">
        <v>45057.9012599421</v>
      </c>
      <c r="C3518" s="51">
        <v>1.017</v>
      </c>
      <c r="D3518" s="51">
        <v>63.0</v>
      </c>
      <c r="E3518" s="52" t="s">
        <v>25</v>
      </c>
      <c r="F3518" s="52" t="s">
        <v>26</v>
      </c>
      <c r="G3518" s="54"/>
    </row>
    <row r="3519">
      <c r="A3519" s="49">
        <v>45057.78671233796</v>
      </c>
      <c r="B3519" s="50">
        <v>45057.9116800578</v>
      </c>
      <c r="C3519" s="51">
        <v>1.018</v>
      </c>
      <c r="D3519" s="51">
        <v>63.0</v>
      </c>
      <c r="E3519" s="52" t="s">
        <v>25</v>
      </c>
      <c r="F3519" s="52" t="s">
        <v>26</v>
      </c>
      <c r="G3519" s="54"/>
    </row>
    <row r="3520">
      <c r="A3520" s="49">
        <v>45057.79713313657</v>
      </c>
      <c r="B3520" s="50">
        <v>45057.9221015277</v>
      </c>
      <c r="C3520" s="51">
        <v>1.017</v>
      </c>
      <c r="D3520" s="51">
        <v>63.0</v>
      </c>
      <c r="E3520" s="52" t="s">
        <v>25</v>
      </c>
      <c r="F3520" s="52" t="s">
        <v>26</v>
      </c>
      <c r="G3520" s="54"/>
    </row>
    <row r="3521">
      <c r="A3521" s="49">
        <v>45057.80757268518</v>
      </c>
      <c r="B3521" s="50">
        <v>45057.9325218287</v>
      </c>
      <c r="C3521" s="51">
        <v>1.018</v>
      </c>
      <c r="D3521" s="51">
        <v>63.0</v>
      </c>
      <c r="E3521" s="52" t="s">
        <v>25</v>
      </c>
      <c r="F3521" s="52" t="s">
        <v>26</v>
      </c>
      <c r="G3521" s="54"/>
    </row>
    <row r="3522">
      <c r="A3522" s="49">
        <v>45057.81799443287</v>
      </c>
      <c r="B3522" s="50">
        <v>45057.9429655092</v>
      </c>
      <c r="C3522" s="51">
        <v>1.017</v>
      </c>
      <c r="D3522" s="51">
        <v>63.0</v>
      </c>
      <c r="E3522" s="52" t="s">
        <v>25</v>
      </c>
      <c r="F3522" s="52" t="s">
        <v>26</v>
      </c>
      <c r="G3522" s="54"/>
    </row>
    <row r="3523">
      <c r="A3523" s="49">
        <v>45057.8284046412</v>
      </c>
      <c r="B3523" s="50">
        <v>45057.953385787</v>
      </c>
      <c r="C3523" s="51">
        <v>1.017</v>
      </c>
      <c r="D3523" s="51">
        <v>63.0</v>
      </c>
      <c r="E3523" s="52" t="s">
        <v>25</v>
      </c>
      <c r="F3523" s="52" t="s">
        <v>26</v>
      </c>
      <c r="G3523" s="54"/>
    </row>
    <row r="3524">
      <c r="A3524" s="49">
        <v>45057.83883359954</v>
      </c>
      <c r="B3524" s="50">
        <v>45057.9638060648</v>
      </c>
      <c r="C3524" s="51">
        <v>1.017</v>
      </c>
      <c r="D3524" s="51">
        <v>63.0</v>
      </c>
      <c r="E3524" s="52" t="s">
        <v>25</v>
      </c>
      <c r="F3524" s="52" t="s">
        <v>26</v>
      </c>
      <c r="G3524" s="54"/>
    </row>
    <row r="3525">
      <c r="A3525" s="49">
        <v>45057.84925576389</v>
      </c>
      <c r="B3525" s="50">
        <v>45057.9742275463</v>
      </c>
      <c r="C3525" s="51">
        <v>1.017</v>
      </c>
      <c r="D3525" s="51">
        <v>63.0</v>
      </c>
      <c r="E3525" s="52" t="s">
        <v>25</v>
      </c>
      <c r="F3525" s="52" t="s">
        <v>26</v>
      </c>
      <c r="G3525" s="54"/>
    </row>
    <row r="3526">
      <c r="A3526" s="49">
        <v>45057.85968162037</v>
      </c>
      <c r="B3526" s="50">
        <v>45057.9846494907</v>
      </c>
      <c r="C3526" s="51">
        <v>1.017</v>
      </c>
      <c r="D3526" s="51">
        <v>63.0</v>
      </c>
      <c r="E3526" s="52" t="s">
        <v>25</v>
      </c>
      <c r="F3526" s="52" t="s">
        <v>26</v>
      </c>
      <c r="G3526" s="54"/>
    </row>
    <row r="3527">
      <c r="A3527" s="49">
        <v>45057.87009832176</v>
      </c>
      <c r="B3527" s="50">
        <v>45057.995071331</v>
      </c>
      <c r="C3527" s="51">
        <v>1.017</v>
      </c>
      <c r="D3527" s="51">
        <v>63.0</v>
      </c>
      <c r="E3527" s="52" t="s">
        <v>25</v>
      </c>
      <c r="F3527" s="52" t="s">
        <v>26</v>
      </c>
      <c r="G3527" s="54"/>
    </row>
    <row r="3528">
      <c r="A3528" s="49">
        <v>45057.88052766204</v>
      </c>
      <c r="B3528" s="50">
        <v>45058.0054927777</v>
      </c>
      <c r="C3528" s="51">
        <v>1.017</v>
      </c>
      <c r="D3528" s="51">
        <v>63.0</v>
      </c>
      <c r="E3528" s="52" t="s">
        <v>25</v>
      </c>
      <c r="F3528" s="52" t="s">
        <v>26</v>
      </c>
      <c r="G3528" s="54"/>
    </row>
    <row r="3529">
      <c r="A3529" s="49">
        <v>45057.8909436574</v>
      </c>
      <c r="B3529" s="50">
        <v>45058.0159135185</v>
      </c>
      <c r="C3529" s="51">
        <v>1.017</v>
      </c>
      <c r="D3529" s="51">
        <v>63.0</v>
      </c>
      <c r="E3529" s="52" t="s">
        <v>25</v>
      </c>
      <c r="F3529" s="52" t="s">
        <v>26</v>
      </c>
      <c r="G3529" s="54"/>
    </row>
    <row r="3530">
      <c r="A3530" s="49">
        <v>45057.901364537036</v>
      </c>
      <c r="B3530" s="50">
        <v>45058.0263343171</v>
      </c>
      <c r="C3530" s="51">
        <v>1.017</v>
      </c>
      <c r="D3530" s="51">
        <v>63.0</v>
      </c>
      <c r="E3530" s="52" t="s">
        <v>25</v>
      </c>
      <c r="F3530" s="52" t="s">
        <v>26</v>
      </c>
      <c r="G3530" s="54"/>
    </row>
    <row r="3531">
      <c r="A3531" s="49">
        <v>45057.91178538195</v>
      </c>
      <c r="B3531" s="50">
        <v>45058.0367567939</v>
      </c>
      <c r="C3531" s="51">
        <v>1.017</v>
      </c>
      <c r="D3531" s="51">
        <v>63.0</v>
      </c>
      <c r="E3531" s="52" t="s">
        <v>25</v>
      </c>
      <c r="F3531" s="52" t="s">
        <v>26</v>
      </c>
      <c r="G3531" s="54"/>
    </row>
    <row r="3532">
      <c r="A3532" s="49">
        <v>45057.9222125463</v>
      </c>
      <c r="B3532" s="50">
        <v>45058.0471895486</v>
      </c>
      <c r="C3532" s="51">
        <v>1.017</v>
      </c>
      <c r="D3532" s="51">
        <v>63.0</v>
      </c>
      <c r="E3532" s="52" t="s">
        <v>25</v>
      </c>
      <c r="F3532" s="52" t="s">
        <v>26</v>
      </c>
      <c r="G3532" s="54"/>
    </row>
    <row r="3533">
      <c r="A3533" s="49">
        <v>45057.93263486111</v>
      </c>
      <c r="B3533" s="50">
        <v>45058.0576103125</v>
      </c>
      <c r="C3533" s="51">
        <v>1.017</v>
      </c>
      <c r="D3533" s="51">
        <v>63.0</v>
      </c>
      <c r="E3533" s="52" t="s">
        <v>25</v>
      </c>
      <c r="F3533" s="52" t="s">
        <v>26</v>
      </c>
      <c r="G3533" s="54"/>
    </row>
    <row r="3534">
      <c r="A3534" s="49">
        <v>45057.94308493056</v>
      </c>
      <c r="B3534" s="50">
        <v>45058.068053993</v>
      </c>
      <c r="C3534" s="51">
        <v>1.017</v>
      </c>
      <c r="D3534" s="51">
        <v>63.0</v>
      </c>
      <c r="E3534" s="52" t="s">
        <v>25</v>
      </c>
      <c r="F3534" s="52" t="s">
        <v>26</v>
      </c>
      <c r="G3534" s="54"/>
    </row>
    <row r="3535">
      <c r="A3535" s="49">
        <v>45057.95351346065</v>
      </c>
      <c r="B3535" s="50">
        <v>45058.0784861226</v>
      </c>
      <c r="C3535" s="51">
        <v>1.017</v>
      </c>
      <c r="D3535" s="51">
        <v>63.0</v>
      </c>
      <c r="E3535" s="52" t="s">
        <v>25</v>
      </c>
      <c r="F3535" s="52" t="s">
        <v>26</v>
      </c>
      <c r="G3535" s="54"/>
    </row>
    <row r="3536">
      <c r="A3536" s="49">
        <v>45057.96393655092</v>
      </c>
      <c r="B3536" s="50">
        <v>45058.0889062384</v>
      </c>
      <c r="C3536" s="51">
        <v>1.017</v>
      </c>
      <c r="D3536" s="51">
        <v>63.0</v>
      </c>
      <c r="E3536" s="52" t="s">
        <v>25</v>
      </c>
      <c r="F3536" s="52" t="s">
        <v>26</v>
      </c>
      <c r="G3536" s="54"/>
    </row>
    <row r="3537">
      <c r="A3537" s="49">
        <v>45057.97434748843</v>
      </c>
      <c r="B3537" s="50">
        <v>45058.0993240162</v>
      </c>
      <c r="C3537" s="51">
        <v>1.017</v>
      </c>
      <c r="D3537" s="51">
        <v>63.0</v>
      </c>
      <c r="E3537" s="52" t="s">
        <v>25</v>
      </c>
      <c r="F3537" s="52" t="s">
        <v>26</v>
      </c>
      <c r="G3537" s="54"/>
    </row>
    <row r="3538">
      <c r="A3538" s="49">
        <v>45057.984772916665</v>
      </c>
      <c r="B3538" s="50">
        <v>45058.1097460532</v>
      </c>
      <c r="C3538" s="51">
        <v>1.017</v>
      </c>
      <c r="D3538" s="51">
        <v>63.0</v>
      </c>
      <c r="E3538" s="52" t="s">
        <v>25</v>
      </c>
      <c r="F3538" s="52" t="s">
        <v>26</v>
      </c>
      <c r="G3538" s="54"/>
    </row>
    <row r="3539">
      <c r="A3539" s="49">
        <v>45057.99519300926</v>
      </c>
      <c r="B3539" s="50">
        <v>45058.1201665972</v>
      </c>
      <c r="C3539" s="51">
        <v>1.017</v>
      </c>
      <c r="D3539" s="51">
        <v>63.0</v>
      </c>
      <c r="E3539" s="52" t="s">
        <v>25</v>
      </c>
      <c r="F3539" s="52" t="s">
        <v>26</v>
      </c>
      <c r="G3539" s="54"/>
    </row>
    <row r="3540">
      <c r="A3540" s="49">
        <v>45058.00561939814</v>
      </c>
      <c r="B3540" s="50">
        <v>45058.1305880787</v>
      </c>
      <c r="C3540" s="51">
        <v>1.017</v>
      </c>
      <c r="D3540" s="51">
        <v>63.0</v>
      </c>
      <c r="E3540" s="52" t="s">
        <v>25</v>
      </c>
      <c r="F3540" s="52" t="s">
        <v>26</v>
      </c>
      <c r="G3540" s="54"/>
    </row>
    <row r="3541">
      <c r="A3541" s="49">
        <v>45058.016037002315</v>
      </c>
      <c r="B3541" s="50">
        <v>45058.1410094675</v>
      </c>
      <c r="C3541" s="51">
        <v>1.017</v>
      </c>
      <c r="D3541" s="51">
        <v>63.0</v>
      </c>
      <c r="E3541" s="52" t="s">
        <v>25</v>
      </c>
      <c r="F3541" s="52" t="s">
        <v>26</v>
      </c>
      <c r="G3541" s="54"/>
    </row>
    <row r="3542">
      <c r="A3542" s="49">
        <v>45058.0264581713</v>
      </c>
      <c r="B3542" s="50">
        <v>45058.1514311805</v>
      </c>
      <c r="C3542" s="51">
        <v>1.017</v>
      </c>
      <c r="D3542" s="51">
        <v>63.0</v>
      </c>
      <c r="E3542" s="52" t="s">
        <v>25</v>
      </c>
      <c r="F3542" s="52" t="s">
        <v>26</v>
      </c>
      <c r="G3542" s="54"/>
    </row>
    <row r="3543">
      <c r="A3543" s="49">
        <v>45058.03688644676</v>
      </c>
      <c r="B3543" s="50">
        <v>45058.1618525925</v>
      </c>
      <c r="C3543" s="51">
        <v>1.017</v>
      </c>
      <c r="D3543" s="51">
        <v>63.0</v>
      </c>
      <c r="E3543" s="52" t="s">
        <v>25</v>
      </c>
      <c r="F3543" s="52" t="s">
        <v>26</v>
      </c>
      <c r="G3543" s="54"/>
    </row>
    <row r="3544">
      <c r="A3544" s="49">
        <v>45058.04730560185</v>
      </c>
      <c r="B3544" s="50">
        <v>45058.1722734606</v>
      </c>
      <c r="C3544" s="51">
        <v>1.017</v>
      </c>
      <c r="D3544" s="51">
        <v>63.0</v>
      </c>
      <c r="E3544" s="52" t="s">
        <v>25</v>
      </c>
      <c r="F3544" s="52" t="s">
        <v>26</v>
      </c>
      <c r="G3544" s="54"/>
    </row>
    <row r="3545">
      <c r="A3545" s="49">
        <v>45058.05773042824</v>
      </c>
      <c r="B3545" s="50">
        <v>45058.182693912</v>
      </c>
      <c r="C3545" s="51">
        <v>1.017</v>
      </c>
      <c r="D3545" s="51">
        <v>63.0</v>
      </c>
      <c r="E3545" s="52" t="s">
        <v>25</v>
      </c>
      <c r="F3545" s="52" t="s">
        <v>26</v>
      </c>
      <c r="G3545" s="54"/>
    </row>
    <row r="3546">
      <c r="A3546" s="49">
        <v>45058.06813510417</v>
      </c>
      <c r="B3546" s="50">
        <v>45058.1931144676</v>
      </c>
      <c r="C3546" s="51">
        <v>1.017</v>
      </c>
      <c r="D3546" s="51">
        <v>63.0</v>
      </c>
      <c r="E3546" s="52" t="s">
        <v>25</v>
      </c>
      <c r="F3546" s="52" t="s">
        <v>26</v>
      </c>
      <c r="G3546" s="54"/>
    </row>
    <row r="3547">
      <c r="A3547" s="49">
        <v>45058.078569351856</v>
      </c>
      <c r="B3547" s="50">
        <v>45058.2035357291</v>
      </c>
      <c r="C3547" s="51">
        <v>1.017</v>
      </c>
      <c r="D3547" s="51">
        <v>63.0</v>
      </c>
      <c r="E3547" s="52" t="s">
        <v>25</v>
      </c>
      <c r="F3547" s="52" t="s">
        <v>26</v>
      </c>
      <c r="G3547" s="54"/>
    </row>
    <row r="3548">
      <c r="A3548" s="49">
        <v>45058.089007835646</v>
      </c>
      <c r="B3548" s="50">
        <v>45058.2139802893</v>
      </c>
      <c r="C3548" s="51">
        <v>1.017</v>
      </c>
      <c r="D3548" s="51">
        <v>63.0</v>
      </c>
      <c r="E3548" s="52" t="s">
        <v>25</v>
      </c>
      <c r="F3548" s="52" t="s">
        <v>26</v>
      </c>
      <c r="G3548" s="54"/>
    </row>
    <row r="3549">
      <c r="A3549" s="49">
        <v>45058.09943659722</v>
      </c>
      <c r="B3549" s="50">
        <v>45058.2244025578</v>
      </c>
      <c r="C3549" s="51">
        <v>1.017</v>
      </c>
      <c r="D3549" s="51">
        <v>63.0</v>
      </c>
      <c r="E3549" s="52" t="s">
        <v>25</v>
      </c>
      <c r="F3549" s="52" t="s">
        <v>26</v>
      </c>
      <c r="G3549" s="54"/>
    </row>
    <row r="3550">
      <c r="A3550" s="49">
        <v>45058.10985664352</v>
      </c>
      <c r="B3550" s="50">
        <v>45058.2348354051</v>
      </c>
      <c r="C3550" s="51">
        <v>1.018</v>
      </c>
      <c r="D3550" s="51">
        <v>63.0</v>
      </c>
      <c r="E3550" s="52" t="s">
        <v>25</v>
      </c>
      <c r="F3550" s="52" t="s">
        <v>26</v>
      </c>
      <c r="G3550" s="54"/>
    </row>
    <row r="3551">
      <c r="A3551" s="49">
        <v>45058.120286018515</v>
      </c>
      <c r="B3551" s="50">
        <v>45058.2452540162</v>
      </c>
      <c r="C3551" s="51">
        <v>1.017</v>
      </c>
      <c r="D3551" s="51">
        <v>63.0</v>
      </c>
      <c r="E3551" s="52" t="s">
        <v>25</v>
      </c>
      <c r="F3551" s="52" t="s">
        <v>26</v>
      </c>
      <c r="G3551" s="54"/>
    </row>
    <row r="3552">
      <c r="A3552" s="49">
        <v>45058.1307400463</v>
      </c>
      <c r="B3552" s="50">
        <v>45058.2556981828</v>
      </c>
      <c r="C3552" s="51">
        <v>1.017</v>
      </c>
      <c r="D3552" s="51">
        <v>63.0</v>
      </c>
      <c r="E3552" s="52" t="s">
        <v>25</v>
      </c>
      <c r="F3552" s="52" t="s">
        <v>26</v>
      </c>
      <c r="G3552" s="54"/>
    </row>
    <row r="3553">
      <c r="A3553" s="49">
        <v>45058.141141932865</v>
      </c>
      <c r="B3553" s="50">
        <v>45058.2661190509</v>
      </c>
      <c r="C3553" s="51">
        <v>1.017</v>
      </c>
      <c r="D3553" s="51">
        <v>63.0</v>
      </c>
      <c r="E3553" s="52" t="s">
        <v>25</v>
      </c>
      <c r="F3553" s="52" t="s">
        <v>26</v>
      </c>
      <c r="G3553" s="54"/>
    </row>
    <row r="3554">
      <c r="A3554" s="49">
        <v>45058.151572013885</v>
      </c>
      <c r="B3554" s="50">
        <v>45058.2765410995</v>
      </c>
      <c r="C3554" s="51">
        <v>1.017</v>
      </c>
      <c r="D3554" s="51">
        <v>63.0</v>
      </c>
      <c r="E3554" s="52" t="s">
        <v>25</v>
      </c>
      <c r="F3554" s="52" t="s">
        <v>26</v>
      </c>
      <c r="G3554" s="54"/>
    </row>
    <row r="3555">
      <c r="A3555" s="49">
        <v>45058.16199158565</v>
      </c>
      <c r="B3555" s="50">
        <v>45058.2869618402</v>
      </c>
      <c r="C3555" s="51">
        <v>1.017</v>
      </c>
      <c r="D3555" s="51">
        <v>63.0</v>
      </c>
      <c r="E3555" s="52" t="s">
        <v>25</v>
      </c>
      <c r="F3555" s="52" t="s">
        <v>26</v>
      </c>
      <c r="G3555" s="54"/>
    </row>
    <row r="3556">
      <c r="A3556" s="49">
        <v>45058.17240581018</v>
      </c>
      <c r="B3556" s="50">
        <v>45058.2973822338</v>
      </c>
      <c r="C3556" s="51">
        <v>1.017</v>
      </c>
      <c r="D3556" s="51">
        <v>63.0</v>
      </c>
      <c r="E3556" s="52" t="s">
        <v>25</v>
      </c>
      <c r="F3556" s="52" t="s">
        <v>26</v>
      </c>
      <c r="G3556" s="54"/>
    </row>
    <row r="3557">
      <c r="A3557" s="49">
        <v>45058.18283677084</v>
      </c>
      <c r="B3557" s="50">
        <v>45058.3078028009</v>
      </c>
      <c r="C3557" s="51">
        <v>1.017</v>
      </c>
      <c r="D3557" s="51">
        <v>63.0</v>
      </c>
      <c r="E3557" s="52" t="s">
        <v>25</v>
      </c>
      <c r="F3557" s="52" t="s">
        <v>26</v>
      </c>
      <c r="G3557" s="54"/>
    </row>
    <row r="3558">
      <c r="A3558" s="49">
        <v>45058.19324605324</v>
      </c>
      <c r="B3558" s="50">
        <v>45058.3182234027</v>
      </c>
      <c r="C3558" s="51">
        <v>1.017</v>
      </c>
      <c r="D3558" s="51">
        <v>63.0</v>
      </c>
      <c r="E3558" s="52" t="s">
        <v>25</v>
      </c>
      <c r="F3558" s="52" t="s">
        <v>26</v>
      </c>
      <c r="G3558" s="54"/>
    </row>
    <row r="3559">
      <c r="A3559" s="49">
        <v>45058.20367505787</v>
      </c>
      <c r="B3559" s="50">
        <v>45058.328656574</v>
      </c>
      <c r="C3559" s="51">
        <v>1.017</v>
      </c>
      <c r="D3559" s="51">
        <v>63.0</v>
      </c>
      <c r="E3559" s="52" t="s">
        <v>25</v>
      </c>
      <c r="F3559" s="52" t="s">
        <v>26</v>
      </c>
      <c r="G3559" s="54"/>
    </row>
    <row r="3560">
      <c r="A3560" s="49">
        <v>45058.21414783565</v>
      </c>
      <c r="B3560" s="50">
        <v>45058.3391244675</v>
      </c>
      <c r="C3560" s="51">
        <v>1.017</v>
      </c>
      <c r="D3560" s="51">
        <v>63.0</v>
      </c>
      <c r="E3560" s="52" t="s">
        <v>25</v>
      </c>
      <c r="F3560" s="52" t="s">
        <v>26</v>
      </c>
      <c r="G3560" s="54"/>
    </row>
    <row r="3561">
      <c r="A3561" s="49">
        <v>45058.224577175926</v>
      </c>
      <c r="B3561" s="50">
        <v>45058.3495465162</v>
      </c>
      <c r="C3561" s="51">
        <v>1.017</v>
      </c>
      <c r="D3561" s="51">
        <v>63.0</v>
      </c>
      <c r="E3561" s="52" t="s">
        <v>25</v>
      </c>
      <c r="F3561" s="52" t="s">
        <v>26</v>
      </c>
      <c r="G3561" s="54"/>
    </row>
    <row r="3562">
      <c r="A3562" s="49">
        <v>45058.23499439815</v>
      </c>
      <c r="B3562" s="50">
        <v>45058.359965081</v>
      </c>
      <c r="C3562" s="51">
        <v>1.017</v>
      </c>
      <c r="D3562" s="51">
        <v>63.0</v>
      </c>
      <c r="E3562" s="52" t="s">
        <v>25</v>
      </c>
      <c r="F3562" s="52" t="s">
        <v>26</v>
      </c>
      <c r="G3562" s="54"/>
    </row>
    <row r="3563">
      <c r="A3563" s="49">
        <v>45058.2454140162</v>
      </c>
      <c r="B3563" s="50">
        <v>45058.3703865856</v>
      </c>
      <c r="C3563" s="51">
        <v>1.017</v>
      </c>
      <c r="D3563" s="51">
        <v>63.0</v>
      </c>
      <c r="E3563" s="52" t="s">
        <v>25</v>
      </c>
      <c r="F3563" s="52" t="s">
        <v>26</v>
      </c>
      <c r="G3563" s="54"/>
    </row>
    <row r="3564">
      <c r="A3564" s="49">
        <v>45058.255839756945</v>
      </c>
      <c r="B3564" s="50">
        <v>45058.380807824</v>
      </c>
      <c r="C3564" s="51">
        <v>1.017</v>
      </c>
      <c r="D3564" s="51">
        <v>63.0</v>
      </c>
      <c r="E3564" s="52" t="s">
        <v>25</v>
      </c>
      <c r="F3564" s="52" t="s">
        <v>26</v>
      </c>
      <c r="G3564" s="54"/>
    </row>
    <row r="3565">
      <c r="A3565" s="49">
        <v>45058.26626896991</v>
      </c>
      <c r="B3565" s="50">
        <v>45058.3912416666</v>
      </c>
      <c r="C3565" s="51">
        <v>1.017</v>
      </c>
      <c r="D3565" s="51">
        <v>63.0</v>
      </c>
      <c r="E3565" s="52" t="s">
        <v>25</v>
      </c>
      <c r="F3565" s="52" t="s">
        <v>26</v>
      </c>
      <c r="G3565" s="54"/>
    </row>
    <row r="3566">
      <c r="A3566" s="49">
        <v>45058.27670534722</v>
      </c>
      <c r="B3566" s="50">
        <v>45058.4016766782</v>
      </c>
      <c r="C3566" s="51">
        <v>1.017</v>
      </c>
      <c r="D3566" s="51">
        <v>63.0</v>
      </c>
      <c r="E3566" s="52" t="s">
        <v>25</v>
      </c>
      <c r="F3566" s="52" t="s">
        <v>26</v>
      </c>
      <c r="G3566" s="54"/>
    </row>
    <row r="3567">
      <c r="A3567" s="49">
        <v>45058.28713662037</v>
      </c>
      <c r="B3567" s="50">
        <v>45058.4120975694</v>
      </c>
      <c r="C3567" s="51">
        <v>1.017</v>
      </c>
      <c r="D3567" s="51">
        <v>63.0</v>
      </c>
      <c r="E3567" s="52" t="s">
        <v>25</v>
      </c>
      <c r="F3567" s="52" t="s">
        <v>26</v>
      </c>
      <c r="G3567" s="54"/>
    </row>
    <row r="3568">
      <c r="A3568" s="49">
        <v>45058.297555</v>
      </c>
      <c r="B3568" s="50">
        <v>45058.422530324</v>
      </c>
      <c r="C3568" s="51">
        <v>1.017</v>
      </c>
      <c r="D3568" s="51">
        <v>63.0</v>
      </c>
      <c r="E3568" s="52" t="s">
        <v>25</v>
      </c>
      <c r="F3568" s="52" t="s">
        <v>26</v>
      </c>
      <c r="G3568" s="54"/>
    </row>
    <row r="3569">
      <c r="A3569" s="49">
        <v>45058.30798456019</v>
      </c>
      <c r="B3569" s="50">
        <v>45058.432950243</v>
      </c>
      <c r="C3569" s="51">
        <v>1.017</v>
      </c>
      <c r="D3569" s="51">
        <v>63.0</v>
      </c>
      <c r="E3569" s="52" t="s">
        <v>25</v>
      </c>
      <c r="F3569" s="52" t="s">
        <v>26</v>
      </c>
      <c r="G3569" s="54"/>
    </row>
    <row r="3570">
      <c r="A3570" s="49">
        <v>45058.318402488425</v>
      </c>
      <c r="B3570" s="50">
        <v>45058.4433700925</v>
      </c>
      <c r="C3570" s="51">
        <v>1.017</v>
      </c>
      <c r="D3570" s="51">
        <v>63.0</v>
      </c>
      <c r="E3570" s="52" t="s">
        <v>25</v>
      </c>
      <c r="F3570" s="52" t="s">
        <v>26</v>
      </c>
      <c r="G3570" s="54"/>
    </row>
    <row r="3571">
      <c r="A3571" s="49">
        <v>45058.32881501157</v>
      </c>
      <c r="B3571" s="50">
        <v>45058.4537901388</v>
      </c>
      <c r="C3571" s="51">
        <v>1.017</v>
      </c>
      <c r="D3571" s="51">
        <v>63.0</v>
      </c>
      <c r="E3571" s="52" t="s">
        <v>25</v>
      </c>
      <c r="F3571" s="52" t="s">
        <v>26</v>
      </c>
      <c r="G3571" s="54"/>
    </row>
    <row r="3572">
      <c r="A3572" s="49">
        <v>45058.3392596412</v>
      </c>
      <c r="B3572" s="50">
        <v>45058.4642219791</v>
      </c>
      <c r="C3572" s="51">
        <v>1.017</v>
      </c>
      <c r="D3572" s="51">
        <v>63.0</v>
      </c>
      <c r="E3572" s="52" t="s">
        <v>25</v>
      </c>
      <c r="F3572" s="52" t="s">
        <v>26</v>
      </c>
      <c r="G3572" s="54"/>
    </row>
    <row r="3573">
      <c r="A3573" s="49">
        <v>45058.34967059028</v>
      </c>
      <c r="B3573" s="50">
        <v>45058.4746431134</v>
      </c>
      <c r="C3573" s="51">
        <v>1.017</v>
      </c>
      <c r="D3573" s="51">
        <v>63.0</v>
      </c>
      <c r="E3573" s="52" t="s">
        <v>25</v>
      </c>
      <c r="F3573" s="52" t="s">
        <v>26</v>
      </c>
      <c r="G3573" s="54"/>
    </row>
    <row r="3574">
      <c r="A3574" s="49">
        <v>45058.36008832176</v>
      </c>
      <c r="B3574" s="50">
        <v>45058.4850639699</v>
      </c>
      <c r="C3574" s="51">
        <v>1.017</v>
      </c>
      <c r="D3574" s="51">
        <v>63.0</v>
      </c>
      <c r="E3574" s="52" t="s">
        <v>25</v>
      </c>
      <c r="F3574" s="52" t="s">
        <v>26</v>
      </c>
      <c r="G3574" s="54"/>
    </row>
    <row r="3575">
      <c r="A3575" s="49">
        <v>45058.37051460648</v>
      </c>
      <c r="B3575" s="50">
        <v>45058.4954850463</v>
      </c>
      <c r="C3575" s="51">
        <v>1.017</v>
      </c>
      <c r="D3575" s="51">
        <v>63.0</v>
      </c>
      <c r="E3575" s="52" t="s">
        <v>25</v>
      </c>
      <c r="F3575" s="52" t="s">
        <v>26</v>
      </c>
      <c r="G3575" s="54"/>
    </row>
    <row r="3576">
      <c r="A3576" s="49">
        <v>45058.38093038194</v>
      </c>
      <c r="B3576" s="50">
        <v>45058.5059042013</v>
      </c>
      <c r="C3576" s="51">
        <v>1.017</v>
      </c>
      <c r="D3576" s="51">
        <v>63.0</v>
      </c>
      <c r="E3576" s="52" t="s">
        <v>25</v>
      </c>
      <c r="F3576" s="52" t="s">
        <v>26</v>
      </c>
      <c r="G3576" s="54"/>
    </row>
    <row r="3577">
      <c r="A3577" s="49">
        <v>45058.391350555554</v>
      </c>
      <c r="B3577" s="50">
        <v>45058.5163242939</v>
      </c>
      <c r="C3577" s="51">
        <v>1.017</v>
      </c>
      <c r="D3577" s="51">
        <v>63.0</v>
      </c>
      <c r="E3577" s="52" t="s">
        <v>25</v>
      </c>
      <c r="F3577" s="52" t="s">
        <v>26</v>
      </c>
      <c r="G3577" s="54"/>
    </row>
    <row r="3578">
      <c r="A3578" s="49">
        <v>45058.40177369213</v>
      </c>
      <c r="B3578" s="50">
        <v>45058.5267464583</v>
      </c>
      <c r="C3578" s="51">
        <v>1.017</v>
      </c>
      <c r="D3578" s="51">
        <v>63.0</v>
      </c>
      <c r="E3578" s="52" t="s">
        <v>25</v>
      </c>
      <c r="F3578" s="52" t="s">
        <v>26</v>
      </c>
      <c r="G3578" s="54"/>
    </row>
    <row r="3579">
      <c r="A3579" s="49">
        <v>45058.41219555556</v>
      </c>
      <c r="B3579" s="50">
        <v>45058.5371679861</v>
      </c>
      <c r="C3579" s="51">
        <v>1.017</v>
      </c>
      <c r="D3579" s="51">
        <v>63.0</v>
      </c>
      <c r="E3579" s="52" t="s">
        <v>25</v>
      </c>
      <c r="F3579" s="52" t="s">
        <v>26</v>
      </c>
      <c r="G3579" s="54"/>
    </row>
    <row r="3580">
      <c r="A3580" s="49">
        <v>45058.422627314816</v>
      </c>
      <c r="B3580" s="50">
        <v>45058.5475897801</v>
      </c>
      <c r="C3580" s="51">
        <v>1.017</v>
      </c>
      <c r="D3580" s="51">
        <v>63.0</v>
      </c>
      <c r="E3580" s="52" t="s">
        <v>25</v>
      </c>
      <c r="F3580" s="52" t="s">
        <v>26</v>
      </c>
      <c r="G3580" s="54"/>
    </row>
    <row r="3581">
      <c r="A3581" s="49">
        <v>45058.43304222223</v>
      </c>
      <c r="B3581" s="50">
        <v>45058.5580122338</v>
      </c>
      <c r="C3581" s="51">
        <v>1.017</v>
      </c>
      <c r="D3581" s="51">
        <v>63.0</v>
      </c>
      <c r="E3581" s="52" t="s">
        <v>25</v>
      </c>
      <c r="F3581" s="52" t="s">
        <v>26</v>
      </c>
      <c r="G3581" s="54"/>
    </row>
    <row r="3582">
      <c r="A3582" s="49">
        <v>45058.44345688657</v>
      </c>
      <c r="B3582" s="50">
        <v>45058.5684320601</v>
      </c>
      <c r="C3582" s="51">
        <v>1.017</v>
      </c>
      <c r="D3582" s="51">
        <v>63.0</v>
      </c>
      <c r="E3582" s="52" t="s">
        <v>25</v>
      </c>
      <c r="F3582" s="52" t="s">
        <v>26</v>
      </c>
      <c r="G3582" s="54"/>
    </row>
    <row r="3583">
      <c r="A3583" s="49">
        <v>45058.45387571759</v>
      </c>
      <c r="B3583" s="50">
        <v>45058.5788529861</v>
      </c>
      <c r="C3583" s="51">
        <v>1.017</v>
      </c>
      <c r="D3583" s="51">
        <v>64.0</v>
      </c>
      <c r="E3583" s="52" t="s">
        <v>25</v>
      </c>
      <c r="F3583" s="52" t="s">
        <v>26</v>
      </c>
      <c r="G3583" s="54"/>
    </row>
    <row r="3584">
      <c r="A3584" s="49">
        <v>45058.46430399305</v>
      </c>
      <c r="B3584" s="50">
        <v>45058.5892862037</v>
      </c>
      <c r="C3584" s="51">
        <v>1.017</v>
      </c>
      <c r="D3584" s="51">
        <v>64.0</v>
      </c>
      <c r="E3584" s="52" t="s">
        <v>25</v>
      </c>
      <c r="F3584" s="52" t="s">
        <v>26</v>
      </c>
      <c r="G3584" s="54"/>
    </row>
    <row r="3585">
      <c r="A3585" s="49">
        <v>45058.47475055556</v>
      </c>
      <c r="B3585" s="50">
        <v>45058.5997211574</v>
      </c>
      <c r="C3585" s="51">
        <v>1.017</v>
      </c>
      <c r="D3585" s="51">
        <v>64.0</v>
      </c>
      <c r="E3585" s="52" t="s">
        <v>25</v>
      </c>
      <c r="F3585" s="52" t="s">
        <v>26</v>
      </c>
      <c r="G3585" s="54"/>
    </row>
    <row r="3586">
      <c r="A3586" s="49">
        <v>45058.48517325232</v>
      </c>
      <c r="B3586" s="50">
        <v>45058.6101519328</v>
      </c>
      <c r="C3586" s="51">
        <v>1.017</v>
      </c>
      <c r="D3586" s="51">
        <v>64.0</v>
      </c>
      <c r="E3586" s="52" t="s">
        <v>25</v>
      </c>
      <c r="F3586" s="52" t="s">
        <v>26</v>
      </c>
      <c r="G3586" s="54"/>
    </row>
    <row r="3587">
      <c r="A3587" s="49">
        <v>45058.49563046296</v>
      </c>
      <c r="B3587" s="50">
        <v>45058.6205975115</v>
      </c>
      <c r="C3587" s="51">
        <v>1.017</v>
      </c>
      <c r="D3587" s="51">
        <v>64.0</v>
      </c>
      <c r="E3587" s="52" t="s">
        <v>25</v>
      </c>
      <c r="F3587" s="52" t="s">
        <v>26</v>
      </c>
      <c r="G3587" s="54"/>
    </row>
    <row r="3588">
      <c r="A3588" s="49">
        <v>45058.50604759259</v>
      </c>
      <c r="B3588" s="50">
        <v>45058.631019456</v>
      </c>
      <c r="C3588" s="51">
        <v>1.017</v>
      </c>
      <c r="D3588" s="51">
        <v>64.0</v>
      </c>
      <c r="E3588" s="52" t="s">
        <v>25</v>
      </c>
      <c r="F3588" s="52" t="s">
        <v>26</v>
      </c>
      <c r="G3588" s="54"/>
    </row>
    <row r="3589">
      <c r="A3589" s="49">
        <v>45058.51646121527</v>
      </c>
      <c r="B3589" s="50">
        <v>45058.6414401967</v>
      </c>
      <c r="C3589" s="51">
        <v>1.017</v>
      </c>
      <c r="D3589" s="51">
        <v>64.0</v>
      </c>
      <c r="E3589" s="52" t="s">
        <v>25</v>
      </c>
      <c r="F3589" s="52" t="s">
        <v>26</v>
      </c>
      <c r="G3589" s="54"/>
    </row>
    <row r="3590">
      <c r="A3590" s="49">
        <v>45058.52688777778</v>
      </c>
      <c r="B3590" s="50">
        <v>45058.6518605092</v>
      </c>
      <c r="C3590" s="51">
        <v>1.017</v>
      </c>
      <c r="D3590" s="51">
        <v>64.0</v>
      </c>
      <c r="E3590" s="52" t="s">
        <v>25</v>
      </c>
      <c r="F3590" s="52" t="s">
        <v>26</v>
      </c>
      <c r="G3590" s="54"/>
    </row>
    <row r="3591">
      <c r="A3591" s="49">
        <v>45058.537306921295</v>
      </c>
      <c r="B3591" s="50">
        <v>45058.6622799074</v>
      </c>
      <c r="C3591" s="51">
        <v>1.017</v>
      </c>
      <c r="D3591" s="51">
        <v>64.0</v>
      </c>
      <c r="E3591" s="52" t="s">
        <v>25</v>
      </c>
      <c r="F3591" s="52" t="s">
        <v>26</v>
      </c>
      <c r="G3591" s="54"/>
    </row>
    <row r="3592">
      <c r="A3592" s="49">
        <v>45058.547754687504</v>
      </c>
      <c r="B3592" s="50">
        <v>45058.6727241435</v>
      </c>
      <c r="C3592" s="51">
        <v>1.017</v>
      </c>
      <c r="D3592" s="51">
        <v>64.0</v>
      </c>
      <c r="E3592" s="52" t="s">
        <v>25</v>
      </c>
      <c r="F3592" s="52" t="s">
        <v>26</v>
      </c>
      <c r="G3592" s="54"/>
    </row>
    <row r="3593">
      <c r="A3593" s="49">
        <v>45058.55817400463</v>
      </c>
      <c r="B3593" s="50">
        <v>45058.6831457175</v>
      </c>
      <c r="C3593" s="51">
        <v>1.017</v>
      </c>
      <c r="D3593" s="51">
        <v>63.0</v>
      </c>
      <c r="E3593" s="52" t="s">
        <v>25</v>
      </c>
      <c r="F3593" s="52" t="s">
        <v>26</v>
      </c>
      <c r="G3593" s="54"/>
    </row>
    <row r="3594">
      <c r="A3594" s="49">
        <v>45058.568602997686</v>
      </c>
      <c r="B3594" s="50">
        <v>45058.6935776157</v>
      </c>
      <c r="C3594" s="51">
        <v>1.017</v>
      </c>
      <c r="D3594" s="51">
        <v>64.0</v>
      </c>
      <c r="E3594" s="52" t="s">
        <v>25</v>
      </c>
      <c r="F3594" s="52" t="s">
        <v>26</v>
      </c>
      <c r="G3594" s="54"/>
    </row>
    <row r="3595">
      <c r="A3595" s="49">
        <v>45058.57902587963</v>
      </c>
      <c r="B3595" s="50">
        <v>45058.7039981481</v>
      </c>
      <c r="C3595" s="51">
        <v>1.017</v>
      </c>
      <c r="D3595" s="51">
        <v>64.0</v>
      </c>
      <c r="E3595" s="52" t="s">
        <v>25</v>
      </c>
      <c r="F3595" s="52" t="s">
        <v>26</v>
      </c>
      <c r="G3595" s="54"/>
    </row>
    <row r="3596">
      <c r="A3596" s="49">
        <v>45058.58945457176</v>
      </c>
      <c r="B3596" s="50">
        <v>45058.7144182407</v>
      </c>
      <c r="C3596" s="51">
        <v>1.017</v>
      </c>
      <c r="D3596" s="51">
        <v>64.0</v>
      </c>
      <c r="E3596" s="52" t="s">
        <v>25</v>
      </c>
      <c r="F3596" s="52" t="s">
        <v>26</v>
      </c>
      <c r="G3596" s="54"/>
    </row>
    <row r="3597">
      <c r="A3597" s="49">
        <v>45058.59987115741</v>
      </c>
      <c r="B3597" s="50">
        <v>45058.7248410069</v>
      </c>
      <c r="C3597" s="51">
        <v>1.017</v>
      </c>
      <c r="D3597" s="51">
        <v>64.0</v>
      </c>
      <c r="E3597" s="52" t="s">
        <v>25</v>
      </c>
      <c r="F3597" s="52" t="s">
        <v>26</v>
      </c>
      <c r="G3597" s="54"/>
    </row>
    <row r="3598">
      <c r="A3598" s="49">
        <v>45058.61028684028</v>
      </c>
      <c r="B3598" s="50">
        <v>45058.7352630208</v>
      </c>
      <c r="C3598" s="51">
        <v>1.017</v>
      </c>
      <c r="D3598" s="51">
        <v>64.0</v>
      </c>
      <c r="E3598" s="52" t="s">
        <v>25</v>
      </c>
      <c r="F3598" s="52" t="s">
        <v>26</v>
      </c>
      <c r="G3598" s="54"/>
    </row>
    <row r="3599">
      <c r="A3599" s="49">
        <v>45058.620721643514</v>
      </c>
      <c r="B3599" s="50">
        <v>45058.7456938773</v>
      </c>
      <c r="C3599" s="51">
        <v>1.017</v>
      </c>
      <c r="D3599" s="51">
        <v>64.0</v>
      </c>
      <c r="E3599" s="52" t="s">
        <v>25</v>
      </c>
      <c r="F3599" s="52" t="s">
        <v>26</v>
      </c>
      <c r="G3599" s="54"/>
    </row>
    <row r="3600">
      <c r="A3600" s="49">
        <v>45058.63113984954</v>
      </c>
      <c r="B3600" s="50">
        <v>45058.7561147222</v>
      </c>
      <c r="C3600" s="51">
        <v>1.017</v>
      </c>
      <c r="D3600" s="51">
        <v>64.0</v>
      </c>
      <c r="E3600" s="52" t="s">
        <v>25</v>
      </c>
      <c r="F3600" s="52" t="s">
        <v>26</v>
      </c>
      <c r="G3600" s="54"/>
    </row>
    <row r="3601">
      <c r="A3601" s="49">
        <v>45058.64156539352</v>
      </c>
      <c r="B3601" s="50">
        <v>45058.7665353935</v>
      </c>
      <c r="C3601" s="51">
        <v>1.017</v>
      </c>
      <c r="D3601" s="51">
        <v>64.0</v>
      </c>
      <c r="E3601" s="52" t="s">
        <v>25</v>
      </c>
      <c r="F3601" s="52" t="s">
        <v>26</v>
      </c>
      <c r="G3601" s="54"/>
    </row>
    <row r="3602">
      <c r="A3602" s="49">
        <v>45058.65197585648</v>
      </c>
      <c r="B3602" s="50">
        <v>45058.7769572106</v>
      </c>
      <c r="C3602" s="51">
        <v>1.017</v>
      </c>
      <c r="D3602" s="51">
        <v>64.0</v>
      </c>
      <c r="E3602" s="52" t="s">
        <v>25</v>
      </c>
      <c r="F3602" s="52" t="s">
        <v>26</v>
      </c>
      <c r="G3602" s="54"/>
    </row>
    <row r="3603">
      <c r="A3603" s="49">
        <v>45058.66240528935</v>
      </c>
      <c r="B3603" s="50">
        <v>45058.7873769676</v>
      </c>
      <c r="C3603" s="51">
        <v>1.017</v>
      </c>
      <c r="D3603" s="51">
        <v>64.0</v>
      </c>
      <c r="E3603" s="52" t="s">
        <v>25</v>
      </c>
      <c r="F3603" s="52" t="s">
        <v>26</v>
      </c>
      <c r="G3603" s="54"/>
    </row>
    <row r="3604">
      <c r="A3604" s="49">
        <v>45058.67282703704</v>
      </c>
      <c r="B3604" s="50">
        <v>45058.7977982523</v>
      </c>
      <c r="C3604" s="51">
        <v>1.017</v>
      </c>
      <c r="D3604" s="51">
        <v>64.0</v>
      </c>
      <c r="E3604" s="52" t="s">
        <v>25</v>
      </c>
      <c r="F3604" s="52" t="s">
        <v>26</v>
      </c>
      <c r="G3604" s="54"/>
    </row>
    <row r="3605">
      <c r="A3605" s="49">
        <v>45058.683248518515</v>
      </c>
      <c r="B3605" s="50">
        <v>45058.8082167361</v>
      </c>
      <c r="C3605" s="51">
        <v>1.017</v>
      </c>
      <c r="D3605" s="51">
        <v>64.0</v>
      </c>
      <c r="E3605" s="52" t="s">
        <v>25</v>
      </c>
      <c r="F3605" s="52" t="s">
        <v>26</v>
      </c>
      <c r="G3605" s="54"/>
    </row>
    <row r="3606">
      <c r="A3606" s="49">
        <v>45058.693684756945</v>
      </c>
      <c r="B3606" s="50">
        <v>45058.8186402777</v>
      </c>
      <c r="C3606" s="51">
        <v>1.017</v>
      </c>
      <c r="D3606" s="51">
        <v>64.0</v>
      </c>
      <c r="E3606" s="52" t="s">
        <v>25</v>
      </c>
      <c r="F3606" s="52" t="s">
        <v>26</v>
      </c>
      <c r="G3606" s="54"/>
    </row>
    <row r="3607">
      <c r="A3607" s="49">
        <v>45058.70409826389</v>
      </c>
      <c r="B3607" s="50">
        <v>45058.8290744328</v>
      </c>
      <c r="C3607" s="51">
        <v>1.017</v>
      </c>
      <c r="D3607" s="51">
        <v>64.0</v>
      </c>
      <c r="E3607" s="52" t="s">
        <v>25</v>
      </c>
      <c r="F3607" s="52" t="s">
        <v>26</v>
      </c>
      <c r="G3607" s="54"/>
    </row>
    <row r="3608">
      <c r="A3608" s="49">
        <v>45058.71452358796</v>
      </c>
      <c r="B3608" s="50">
        <v>45058.8394975347</v>
      </c>
      <c r="C3608" s="51">
        <v>1.017</v>
      </c>
      <c r="D3608" s="51">
        <v>64.0</v>
      </c>
      <c r="E3608" s="52" t="s">
        <v>25</v>
      </c>
      <c r="F3608" s="52" t="s">
        <v>26</v>
      </c>
      <c r="G3608" s="54"/>
    </row>
    <row r="3609">
      <c r="A3609" s="49">
        <v>45058.72494168981</v>
      </c>
      <c r="B3609" s="50">
        <v>45058.8499190393</v>
      </c>
      <c r="C3609" s="51">
        <v>1.017</v>
      </c>
      <c r="D3609" s="51">
        <v>64.0</v>
      </c>
      <c r="E3609" s="52" t="s">
        <v>25</v>
      </c>
      <c r="F3609" s="52" t="s">
        <v>26</v>
      </c>
      <c r="G3609" s="54"/>
    </row>
    <row r="3610">
      <c r="A3610" s="49">
        <v>45058.73538082176</v>
      </c>
      <c r="B3610" s="50">
        <v>45058.8603534143</v>
      </c>
      <c r="C3610" s="51">
        <v>1.017</v>
      </c>
      <c r="D3610" s="51">
        <v>64.0</v>
      </c>
      <c r="E3610" s="52" t="s">
        <v>25</v>
      </c>
      <c r="F3610" s="52" t="s">
        <v>26</v>
      </c>
      <c r="G3610" s="54"/>
    </row>
    <row r="3611">
      <c r="A3611" s="49">
        <v>45058.745802881946</v>
      </c>
      <c r="B3611" s="50">
        <v>45058.8707746064</v>
      </c>
      <c r="C3611" s="51">
        <v>1.017</v>
      </c>
      <c r="D3611" s="51">
        <v>64.0</v>
      </c>
      <c r="E3611" s="52" t="s">
        <v>25</v>
      </c>
      <c r="F3611" s="52" t="s">
        <v>26</v>
      </c>
      <c r="G3611" s="54"/>
    </row>
    <row r="3612">
      <c r="A3612" s="49">
        <v>45058.756230150466</v>
      </c>
      <c r="B3612" s="50">
        <v>45058.8811946759</v>
      </c>
      <c r="C3612" s="51">
        <v>1.017</v>
      </c>
      <c r="D3612" s="51">
        <v>64.0</v>
      </c>
      <c r="E3612" s="52" t="s">
        <v>25</v>
      </c>
      <c r="F3612" s="52" t="s">
        <v>26</v>
      </c>
      <c r="G3612" s="54"/>
    </row>
    <row r="3613">
      <c r="A3613" s="49">
        <v>45058.76665215278</v>
      </c>
      <c r="B3613" s="50">
        <v>45058.8916166551</v>
      </c>
      <c r="C3613" s="51">
        <v>1.017</v>
      </c>
      <c r="D3613" s="51">
        <v>64.0</v>
      </c>
      <c r="E3613" s="52" t="s">
        <v>25</v>
      </c>
      <c r="F3613" s="52" t="s">
        <v>26</v>
      </c>
      <c r="G3613" s="54"/>
    </row>
    <row r="3614">
      <c r="A3614" s="49">
        <v>45058.777070509255</v>
      </c>
      <c r="B3614" s="50">
        <v>45058.9020370139</v>
      </c>
      <c r="C3614" s="51">
        <v>1.017</v>
      </c>
      <c r="D3614" s="51">
        <v>64.0</v>
      </c>
      <c r="E3614" s="52" t="s">
        <v>25</v>
      </c>
      <c r="F3614" s="52" t="s">
        <v>26</v>
      </c>
      <c r="G3614" s="54"/>
    </row>
    <row r="3615">
      <c r="A3615" s="49">
        <v>45058.787483622684</v>
      </c>
      <c r="B3615" s="50">
        <v>45058.9124584722</v>
      </c>
      <c r="C3615" s="51">
        <v>1.017</v>
      </c>
      <c r="D3615" s="51">
        <v>64.0</v>
      </c>
      <c r="E3615" s="52" t="s">
        <v>25</v>
      </c>
      <c r="F3615" s="52" t="s">
        <v>26</v>
      </c>
      <c r="G3615" s="54"/>
    </row>
    <row r="3616">
      <c r="A3616" s="49">
        <v>45058.79791296297</v>
      </c>
      <c r="B3616" s="50">
        <v>45058.922880324</v>
      </c>
      <c r="C3616" s="51">
        <v>1.017</v>
      </c>
      <c r="D3616" s="51">
        <v>64.0</v>
      </c>
      <c r="E3616" s="52" t="s">
        <v>25</v>
      </c>
      <c r="F3616" s="52" t="s">
        <v>26</v>
      </c>
      <c r="G3616" s="54"/>
    </row>
    <row r="3617">
      <c r="A3617" s="49">
        <v>45058.80832221065</v>
      </c>
      <c r="B3617" s="50">
        <v>45058.9333018287</v>
      </c>
      <c r="C3617" s="51">
        <v>1.017</v>
      </c>
      <c r="D3617" s="51">
        <v>64.0</v>
      </c>
      <c r="E3617" s="52" t="s">
        <v>25</v>
      </c>
      <c r="F3617" s="52" t="s">
        <v>26</v>
      </c>
      <c r="G3617" s="54"/>
    </row>
    <row r="3618">
      <c r="A3618" s="49">
        <v>45058.81874805556</v>
      </c>
      <c r="B3618" s="50">
        <v>45058.943724375</v>
      </c>
      <c r="C3618" s="51">
        <v>1.017</v>
      </c>
      <c r="D3618" s="51">
        <v>64.0</v>
      </c>
      <c r="E3618" s="52" t="s">
        <v>25</v>
      </c>
      <c r="F3618" s="52" t="s">
        <v>26</v>
      </c>
      <c r="G3618" s="54"/>
    </row>
    <row r="3619">
      <c r="A3619" s="49">
        <v>45058.829195162034</v>
      </c>
      <c r="B3619" s="50">
        <v>45058.9541686458</v>
      </c>
      <c r="C3619" s="51">
        <v>1.017</v>
      </c>
      <c r="D3619" s="51">
        <v>64.0</v>
      </c>
      <c r="E3619" s="52" t="s">
        <v>25</v>
      </c>
      <c r="F3619" s="52" t="s">
        <v>26</v>
      </c>
      <c r="G3619" s="54"/>
    </row>
    <row r="3620">
      <c r="A3620" s="49">
        <v>45058.839615624995</v>
      </c>
      <c r="B3620" s="50">
        <v>45058.9645886921</v>
      </c>
      <c r="C3620" s="51">
        <v>1.017</v>
      </c>
      <c r="D3620" s="51">
        <v>64.0</v>
      </c>
      <c r="E3620" s="52" t="s">
        <v>25</v>
      </c>
      <c r="F3620" s="52" t="s">
        <v>26</v>
      </c>
      <c r="G3620" s="54"/>
    </row>
    <row r="3621">
      <c r="A3621" s="49">
        <v>45058.850034664356</v>
      </c>
      <c r="B3621" s="50">
        <v>45058.9750107638</v>
      </c>
      <c r="C3621" s="51">
        <v>1.017</v>
      </c>
      <c r="D3621" s="51">
        <v>64.0</v>
      </c>
      <c r="E3621" s="52" t="s">
        <v>25</v>
      </c>
      <c r="F3621" s="52" t="s">
        <v>26</v>
      </c>
      <c r="G3621" s="54"/>
    </row>
    <row r="3622">
      <c r="A3622" s="49">
        <v>45058.860456759256</v>
      </c>
      <c r="B3622" s="50">
        <v>45058.9854337731</v>
      </c>
      <c r="C3622" s="51">
        <v>1.017</v>
      </c>
      <c r="D3622" s="51">
        <v>64.0</v>
      </c>
      <c r="E3622" s="52" t="s">
        <v>25</v>
      </c>
      <c r="F3622" s="52" t="s">
        <v>26</v>
      </c>
      <c r="G3622" s="54"/>
    </row>
    <row r="3623">
      <c r="A3623" s="49">
        <v>45058.87088376157</v>
      </c>
      <c r="B3623" s="50">
        <v>45058.9958543287</v>
      </c>
      <c r="C3623" s="51">
        <v>1.017</v>
      </c>
      <c r="D3623" s="51">
        <v>64.0</v>
      </c>
      <c r="E3623" s="52" t="s">
        <v>25</v>
      </c>
      <c r="F3623" s="52" t="s">
        <v>26</v>
      </c>
      <c r="G3623" s="54"/>
    </row>
    <row r="3624">
      <c r="A3624" s="49">
        <v>45058.88130765046</v>
      </c>
      <c r="B3624" s="50">
        <v>45059.0062763078</v>
      </c>
      <c r="C3624" s="51">
        <v>1.017</v>
      </c>
      <c r="D3624" s="51">
        <v>64.0</v>
      </c>
      <c r="E3624" s="52" t="s">
        <v>25</v>
      </c>
      <c r="F3624" s="52" t="s">
        <v>26</v>
      </c>
      <c r="G3624" s="54"/>
    </row>
    <row r="3625">
      <c r="A3625" s="49">
        <v>45058.89172983797</v>
      </c>
      <c r="B3625" s="50">
        <v>45059.0167061921</v>
      </c>
      <c r="C3625" s="51">
        <v>1.016</v>
      </c>
      <c r="D3625" s="51">
        <v>64.0</v>
      </c>
      <c r="E3625" s="52" t="s">
        <v>25</v>
      </c>
      <c r="F3625" s="52" t="s">
        <v>26</v>
      </c>
      <c r="G3625" s="54"/>
    </row>
    <row r="3626">
      <c r="A3626" s="49">
        <v>45058.90215819444</v>
      </c>
      <c r="B3626" s="50">
        <v>45059.0271278125</v>
      </c>
      <c r="C3626" s="51">
        <v>1.016</v>
      </c>
      <c r="D3626" s="51">
        <v>64.0</v>
      </c>
      <c r="E3626" s="52" t="s">
        <v>25</v>
      </c>
      <c r="F3626" s="52" t="s">
        <v>26</v>
      </c>
      <c r="G3626" s="54"/>
    </row>
    <row r="3627">
      <c r="A3627" s="49">
        <v>45058.91257853009</v>
      </c>
      <c r="B3627" s="50">
        <v>45059.0375498264</v>
      </c>
      <c r="C3627" s="51">
        <v>1.016</v>
      </c>
      <c r="D3627" s="51">
        <v>64.0</v>
      </c>
      <c r="E3627" s="52" t="s">
        <v>25</v>
      </c>
      <c r="F3627" s="52" t="s">
        <v>26</v>
      </c>
      <c r="G3627" s="54"/>
    </row>
    <row r="3628">
      <c r="A3628" s="49">
        <v>45058.922994884255</v>
      </c>
      <c r="B3628" s="50">
        <v>45059.0479710416</v>
      </c>
      <c r="C3628" s="51">
        <v>1.017</v>
      </c>
      <c r="D3628" s="51">
        <v>64.0</v>
      </c>
      <c r="E3628" s="52" t="s">
        <v>25</v>
      </c>
      <c r="F3628" s="52" t="s">
        <v>26</v>
      </c>
      <c r="G3628" s="54"/>
    </row>
    <row r="3629">
      <c r="A3629" s="49">
        <v>45058.93342945602</v>
      </c>
      <c r="B3629" s="50">
        <v>45059.0584042361</v>
      </c>
      <c r="C3629" s="51">
        <v>1.016</v>
      </c>
      <c r="D3629" s="51">
        <v>64.0</v>
      </c>
      <c r="E3629" s="52" t="s">
        <v>25</v>
      </c>
      <c r="F3629" s="52" t="s">
        <v>26</v>
      </c>
      <c r="G3629" s="54"/>
    </row>
    <row r="3630">
      <c r="A3630" s="49">
        <v>45058.94384980324</v>
      </c>
      <c r="B3630" s="50">
        <v>45059.068823993</v>
      </c>
      <c r="C3630" s="51">
        <v>1.016</v>
      </c>
      <c r="D3630" s="51">
        <v>64.0</v>
      </c>
      <c r="E3630" s="52" t="s">
        <v>25</v>
      </c>
      <c r="F3630" s="52" t="s">
        <v>26</v>
      </c>
      <c r="G3630" s="54"/>
    </row>
    <row r="3631">
      <c r="A3631" s="49">
        <v>45058.95427666667</v>
      </c>
      <c r="B3631" s="50">
        <v>45059.0792463541</v>
      </c>
      <c r="C3631" s="51">
        <v>1.017</v>
      </c>
      <c r="D3631" s="51">
        <v>64.0</v>
      </c>
      <c r="E3631" s="52" t="s">
        <v>25</v>
      </c>
      <c r="F3631" s="52" t="s">
        <v>26</v>
      </c>
      <c r="G3631" s="54"/>
    </row>
    <row r="3632">
      <c r="A3632" s="49">
        <v>45058.964695601855</v>
      </c>
      <c r="B3632" s="50">
        <v>45059.0896677199</v>
      </c>
      <c r="C3632" s="51">
        <v>1.017</v>
      </c>
      <c r="D3632" s="51">
        <v>64.0</v>
      </c>
      <c r="E3632" s="52" t="s">
        <v>25</v>
      </c>
      <c r="F3632" s="52" t="s">
        <v>26</v>
      </c>
      <c r="G3632" s="54"/>
    </row>
    <row r="3633">
      <c r="A3633" s="49">
        <v>45058.97510420139</v>
      </c>
      <c r="B3633" s="50">
        <v>45059.1000879629</v>
      </c>
      <c r="C3633" s="51">
        <v>1.017</v>
      </c>
      <c r="D3633" s="51">
        <v>64.0</v>
      </c>
      <c r="E3633" s="52" t="s">
        <v>25</v>
      </c>
      <c r="F3633" s="52" t="s">
        <v>26</v>
      </c>
      <c r="G3633" s="54"/>
    </row>
    <row r="3634">
      <c r="A3634" s="49">
        <v>45058.98553457176</v>
      </c>
      <c r="B3634" s="50">
        <v>45059.110509074</v>
      </c>
      <c r="C3634" s="51">
        <v>1.017</v>
      </c>
      <c r="D3634" s="51">
        <v>64.0</v>
      </c>
      <c r="E3634" s="52" t="s">
        <v>25</v>
      </c>
      <c r="F3634" s="52" t="s">
        <v>26</v>
      </c>
      <c r="G3634" s="54"/>
    </row>
    <row r="3635">
      <c r="A3635" s="49">
        <v>45058.995955983795</v>
      </c>
      <c r="B3635" s="50">
        <v>45059.1209295486</v>
      </c>
      <c r="C3635" s="51">
        <v>1.016</v>
      </c>
      <c r="D3635" s="51">
        <v>64.0</v>
      </c>
      <c r="E3635" s="52" t="s">
        <v>25</v>
      </c>
      <c r="F3635" s="52" t="s">
        <v>26</v>
      </c>
      <c r="G3635" s="54"/>
    </row>
    <row r="3636">
      <c r="A3636" s="49">
        <v>45059.00637271991</v>
      </c>
      <c r="B3636" s="50">
        <v>45059.1313494675</v>
      </c>
      <c r="C3636" s="51">
        <v>1.017</v>
      </c>
      <c r="D3636" s="51">
        <v>64.0</v>
      </c>
      <c r="E3636" s="52" t="s">
        <v>25</v>
      </c>
      <c r="F3636" s="52" t="s">
        <v>26</v>
      </c>
      <c r="G3636" s="54"/>
    </row>
    <row r="3637">
      <c r="A3637" s="49">
        <v>45059.016792361115</v>
      </c>
      <c r="B3637" s="50">
        <v>45059.14176978</v>
      </c>
      <c r="C3637" s="51">
        <v>1.016</v>
      </c>
      <c r="D3637" s="51">
        <v>64.0</v>
      </c>
      <c r="E3637" s="52" t="s">
        <v>25</v>
      </c>
      <c r="F3637" s="52" t="s">
        <v>26</v>
      </c>
      <c r="G3637" s="54"/>
    </row>
    <row r="3638">
      <c r="A3638" s="49">
        <v>45059.027217916664</v>
      </c>
      <c r="B3638" s="50">
        <v>45059.1521912615</v>
      </c>
      <c r="C3638" s="51">
        <v>1.017</v>
      </c>
      <c r="D3638" s="51">
        <v>64.0</v>
      </c>
      <c r="E3638" s="52" t="s">
        <v>25</v>
      </c>
      <c r="F3638" s="52" t="s">
        <v>26</v>
      </c>
      <c r="G3638" s="54"/>
    </row>
    <row r="3639">
      <c r="A3639" s="49">
        <v>45059.0376430787</v>
      </c>
      <c r="B3639" s="50">
        <v>45059.1626125231</v>
      </c>
      <c r="C3639" s="51">
        <v>1.017</v>
      </c>
      <c r="D3639" s="51">
        <v>64.0</v>
      </c>
      <c r="E3639" s="52" t="s">
        <v>25</v>
      </c>
      <c r="F3639" s="52" t="s">
        <v>26</v>
      </c>
      <c r="G3639" s="54"/>
    </row>
    <row r="3640">
      <c r="A3640" s="49">
        <v>45059.04805586806</v>
      </c>
      <c r="B3640" s="50">
        <v>45059.1730327777</v>
      </c>
      <c r="C3640" s="51">
        <v>1.016</v>
      </c>
      <c r="D3640" s="51">
        <v>64.0</v>
      </c>
      <c r="E3640" s="52" t="s">
        <v>25</v>
      </c>
      <c r="F3640" s="52" t="s">
        <v>26</v>
      </c>
      <c r="G3640" s="54"/>
    </row>
    <row r="3641">
      <c r="A3641" s="49">
        <v>45059.05847793982</v>
      </c>
      <c r="B3641" s="50">
        <v>45059.1834520833</v>
      </c>
      <c r="C3641" s="51">
        <v>1.016</v>
      </c>
      <c r="D3641" s="51">
        <v>64.0</v>
      </c>
      <c r="E3641" s="52" t="s">
        <v>25</v>
      </c>
      <c r="F3641" s="52" t="s">
        <v>26</v>
      </c>
      <c r="G3641" s="54"/>
    </row>
    <row r="3642">
      <c r="A3642" s="49">
        <v>45059.068900185186</v>
      </c>
      <c r="B3642" s="50">
        <v>45059.1938727199</v>
      </c>
      <c r="C3642" s="51">
        <v>1.017</v>
      </c>
      <c r="D3642" s="51">
        <v>64.0</v>
      </c>
      <c r="E3642" s="52" t="s">
        <v>25</v>
      </c>
      <c r="F3642" s="52" t="s">
        <v>26</v>
      </c>
      <c r="G3642" s="54"/>
    </row>
    <row r="3643">
      <c r="A3643" s="49">
        <v>45059.07932369213</v>
      </c>
      <c r="B3643" s="50">
        <v>45059.2042934375</v>
      </c>
      <c r="C3643" s="51">
        <v>1.016</v>
      </c>
      <c r="D3643" s="51">
        <v>64.0</v>
      </c>
      <c r="E3643" s="52" t="s">
        <v>25</v>
      </c>
      <c r="F3643" s="52" t="s">
        <v>26</v>
      </c>
      <c r="G3643" s="54"/>
    </row>
    <row r="3644">
      <c r="A3644" s="49">
        <v>45059.089744108795</v>
      </c>
      <c r="B3644" s="50">
        <v>45059.2147138078</v>
      </c>
      <c r="C3644" s="51">
        <v>1.016</v>
      </c>
      <c r="D3644" s="51">
        <v>64.0</v>
      </c>
      <c r="E3644" s="52" t="s">
        <v>25</v>
      </c>
      <c r="F3644" s="52" t="s">
        <v>26</v>
      </c>
      <c r="G3644" s="54"/>
    </row>
    <row r="3645">
      <c r="A3645" s="49">
        <v>45059.100165497686</v>
      </c>
      <c r="B3645" s="50">
        <v>45059.2251351041</v>
      </c>
      <c r="C3645" s="51">
        <v>1.016</v>
      </c>
      <c r="D3645" s="51">
        <v>64.0</v>
      </c>
      <c r="E3645" s="52" t="s">
        <v>25</v>
      </c>
      <c r="F3645" s="52" t="s">
        <v>26</v>
      </c>
      <c r="G3645" s="54"/>
    </row>
    <row r="3646">
      <c r="A3646" s="49">
        <v>45059.110597824074</v>
      </c>
      <c r="B3646" s="50">
        <v>45059.2355689467</v>
      </c>
      <c r="C3646" s="51">
        <v>1.016</v>
      </c>
      <c r="D3646" s="51">
        <v>64.0</v>
      </c>
      <c r="E3646" s="52" t="s">
        <v>25</v>
      </c>
      <c r="F3646" s="52" t="s">
        <v>26</v>
      </c>
      <c r="G3646" s="54"/>
    </row>
    <row r="3647">
      <c r="A3647" s="49">
        <v>45059.12101859954</v>
      </c>
      <c r="B3647" s="50">
        <v>45059.2459891551</v>
      </c>
      <c r="C3647" s="51">
        <v>1.016</v>
      </c>
      <c r="D3647" s="51">
        <v>64.0</v>
      </c>
      <c r="E3647" s="52" t="s">
        <v>25</v>
      </c>
      <c r="F3647" s="52" t="s">
        <v>26</v>
      </c>
      <c r="G3647" s="54"/>
    </row>
    <row r="3648">
      <c r="A3648" s="49">
        <v>45059.13144377315</v>
      </c>
      <c r="B3648" s="50">
        <v>45059.2564227199</v>
      </c>
      <c r="C3648" s="51">
        <v>1.016</v>
      </c>
      <c r="D3648" s="51">
        <v>64.0</v>
      </c>
      <c r="E3648" s="52" t="s">
        <v>25</v>
      </c>
      <c r="F3648" s="52" t="s">
        <v>26</v>
      </c>
      <c r="G3648" s="54"/>
    </row>
    <row r="3649">
      <c r="A3649" s="49">
        <v>45059.141867488426</v>
      </c>
      <c r="B3649" s="50">
        <v>45059.2668453356</v>
      </c>
      <c r="C3649" s="51">
        <v>1.016</v>
      </c>
      <c r="D3649" s="51">
        <v>64.0</v>
      </c>
      <c r="E3649" s="52" t="s">
        <v>25</v>
      </c>
      <c r="F3649" s="52" t="s">
        <v>26</v>
      </c>
      <c r="G3649" s="54"/>
    </row>
    <row r="3650">
      <c r="A3650" s="49">
        <v>45059.15231417824</v>
      </c>
      <c r="B3650" s="50">
        <v>45059.2772656713</v>
      </c>
      <c r="C3650" s="51">
        <v>1.016</v>
      </c>
      <c r="D3650" s="51">
        <v>64.0</v>
      </c>
      <c r="E3650" s="52" t="s">
        <v>25</v>
      </c>
      <c r="F3650" s="52" t="s">
        <v>26</v>
      </c>
      <c r="G3650" s="54"/>
    </row>
    <row r="3651">
      <c r="A3651" s="49">
        <v>45059.16273092593</v>
      </c>
      <c r="B3651" s="50">
        <v>45059.2876988425</v>
      </c>
      <c r="C3651" s="51">
        <v>1.016</v>
      </c>
      <c r="D3651" s="51">
        <v>64.0</v>
      </c>
      <c r="E3651" s="52" t="s">
        <v>25</v>
      </c>
      <c r="F3651" s="52" t="s">
        <v>26</v>
      </c>
      <c r="G3651" s="54"/>
    </row>
    <row r="3652">
      <c r="A3652" s="49">
        <v>45059.17315017361</v>
      </c>
      <c r="B3652" s="50">
        <v>45059.2981189004</v>
      </c>
      <c r="C3652" s="51">
        <v>1.016</v>
      </c>
      <c r="D3652" s="51">
        <v>64.0</v>
      </c>
      <c r="E3652" s="52" t="s">
        <v>25</v>
      </c>
      <c r="F3652" s="52" t="s">
        <v>26</v>
      </c>
      <c r="G3652" s="54"/>
    </row>
    <row r="3653">
      <c r="A3653" s="49">
        <v>45059.183572974536</v>
      </c>
      <c r="B3653" s="50">
        <v>45059.3085396643</v>
      </c>
      <c r="C3653" s="51">
        <v>1.017</v>
      </c>
      <c r="D3653" s="51">
        <v>64.0</v>
      </c>
      <c r="E3653" s="52" t="s">
        <v>25</v>
      </c>
      <c r="F3653" s="52" t="s">
        <v>26</v>
      </c>
      <c r="G3653" s="54"/>
    </row>
    <row r="3654">
      <c r="A3654" s="49">
        <v>45059.193993356486</v>
      </c>
      <c r="B3654" s="50">
        <v>45059.31897103</v>
      </c>
      <c r="C3654" s="51">
        <v>1.016</v>
      </c>
      <c r="D3654" s="51">
        <v>64.0</v>
      </c>
      <c r="E3654" s="52" t="s">
        <v>25</v>
      </c>
      <c r="F3654" s="52" t="s">
        <v>26</v>
      </c>
      <c r="G3654" s="54"/>
    </row>
    <row r="3655">
      <c r="A3655" s="49">
        <v>45059.2044134375</v>
      </c>
      <c r="B3655" s="50">
        <v>45059.3293930902</v>
      </c>
      <c r="C3655" s="51">
        <v>1.017</v>
      </c>
      <c r="D3655" s="51">
        <v>64.0</v>
      </c>
      <c r="E3655" s="52" t="s">
        <v>25</v>
      </c>
      <c r="F3655" s="52" t="s">
        <v>26</v>
      </c>
      <c r="G3655" s="54"/>
    </row>
    <row r="3656">
      <c r="A3656" s="49">
        <v>45059.21484935185</v>
      </c>
      <c r="B3656" s="50">
        <v>45059.3398276157</v>
      </c>
      <c r="C3656" s="51">
        <v>1.016</v>
      </c>
      <c r="D3656" s="51">
        <v>64.0</v>
      </c>
      <c r="E3656" s="52" t="s">
        <v>25</v>
      </c>
      <c r="F3656" s="52" t="s">
        <v>26</v>
      </c>
      <c r="G3656" s="54"/>
    </row>
    <row r="3657">
      <c r="A3657" s="49">
        <v>45059.22527149305</v>
      </c>
      <c r="B3657" s="50">
        <v>45059.3502484143</v>
      </c>
      <c r="C3657" s="51">
        <v>1.016</v>
      </c>
      <c r="D3657" s="51">
        <v>64.0</v>
      </c>
      <c r="E3657" s="52" t="s">
        <v>25</v>
      </c>
      <c r="F3657" s="52" t="s">
        <v>26</v>
      </c>
      <c r="G3657" s="54"/>
    </row>
    <row r="3658">
      <c r="A3658" s="49">
        <v>45059.23569864583</v>
      </c>
      <c r="B3658" s="50">
        <v>45059.3606706712</v>
      </c>
      <c r="C3658" s="51">
        <v>1.016</v>
      </c>
      <c r="D3658" s="51">
        <v>64.0</v>
      </c>
      <c r="E3658" s="52" t="s">
        <v>25</v>
      </c>
      <c r="F3658" s="52" t="s">
        <v>26</v>
      </c>
      <c r="G3658" s="54"/>
    </row>
    <row r="3659">
      <c r="A3659" s="49">
        <v>45059.24611063657</v>
      </c>
      <c r="B3659" s="50">
        <v>45059.3710900115</v>
      </c>
      <c r="C3659" s="51">
        <v>1.016</v>
      </c>
      <c r="D3659" s="51">
        <v>64.0</v>
      </c>
      <c r="E3659" s="52" t="s">
        <v>25</v>
      </c>
      <c r="F3659" s="52" t="s">
        <v>26</v>
      </c>
      <c r="G3659" s="54"/>
    </row>
    <row r="3660">
      <c r="A3660" s="49">
        <v>45059.256539236114</v>
      </c>
      <c r="B3660" s="50">
        <v>45059.3815097222</v>
      </c>
      <c r="C3660" s="51">
        <v>1.016</v>
      </c>
      <c r="D3660" s="51">
        <v>64.0</v>
      </c>
      <c r="E3660" s="52" t="s">
        <v>25</v>
      </c>
      <c r="F3660" s="52" t="s">
        <v>26</v>
      </c>
      <c r="G3660" s="54"/>
    </row>
    <row r="3661">
      <c r="A3661" s="49">
        <v>45059.26695993055</v>
      </c>
      <c r="B3661" s="50">
        <v>45059.391933831</v>
      </c>
      <c r="C3661" s="51">
        <v>1.016</v>
      </c>
      <c r="D3661" s="51">
        <v>64.0</v>
      </c>
      <c r="E3661" s="52" t="s">
        <v>25</v>
      </c>
      <c r="F3661" s="52" t="s">
        <v>26</v>
      </c>
      <c r="G3661" s="54"/>
    </row>
    <row r="3662">
      <c r="A3662" s="49">
        <v>45059.27738609954</v>
      </c>
      <c r="B3662" s="50">
        <v>45059.4023561342</v>
      </c>
      <c r="C3662" s="51">
        <v>1.016</v>
      </c>
      <c r="D3662" s="51">
        <v>64.0</v>
      </c>
      <c r="E3662" s="52" t="s">
        <v>25</v>
      </c>
      <c r="F3662" s="52" t="s">
        <v>26</v>
      </c>
      <c r="G3662" s="54"/>
    </row>
    <row r="3663">
      <c r="A3663" s="49">
        <v>45059.28781362269</v>
      </c>
      <c r="B3663" s="50">
        <v>45059.4127882291</v>
      </c>
      <c r="C3663" s="51">
        <v>1.016</v>
      </c>
      <c r="D3663" s="51">
        <v>64.0</v>
      </c>
      <c r="E3663" s="52" t="s">
        <v>25</v>
      </c>
      <c r="F3663" s="52" t="s">
        <v>26</v>
      </c>
      <c r="G3663" s="54"/>
    </row>
    <row r="3664">
      <c r="A3664" s="49">
        <v>45059.298243576384</v>
      </c>
      <c r="B3664" s="50">
        <v>45059.423209375</v>
      </c>
      <c r="C3664" s="51">
        <v>1.016</v>
      </c>
      <c r="D3664" s="51">
        <v>64.0</v>
      </c>
      <c r="E3664" s="52" t="s">
        <v>25</v>
      </c>
      <c r="F3664" s="52" t="s">
        <v>26</v>
      </c>
      <c r="G3664" s="54"/>
    </row>
    <row r="3665">
      <c r="A3665" s="49">
        <v>45059.308675844906</v>
      </c>
      <c r="B3665" s="50">
        <v>45059.4336331134</v>
      </c>
      <c r="C3665" s="51">
        <v>1.016</v>
      </c>
      <c r="D3665" s="51">
        <v>64.0</v>
      </c>
      <c r="E3665" s="52" t="s">
        <v>25</v>
      </c>
      <c r="F3665" s="52" t="s">
        <v>26</v>
      </c>
      <c r="G3665" s="54"/>
    </row>
    <row r="3666">
      <c r="A3666" s="49">
        <v>45059.31908166667</v>
      </c>
      <c r="B3666" s="50">
        <v>45059.4440562731</v>
      </c>
      <c r="C3666" s="51">
        <v>1.016</v>
      </c>
      <c r="D3666" s="51">
        <v>64.0</v>
      </c>
      <c r="E3666" s="52" t="s">
        <v>25</v>
      </c>
      <c r="F3666" s="52" t="s">
        <v>26</v>
      </c>
      <c r="G3666" s="54"/>
    </row>
    <row r="3667">
      <c r="A3667" s="49">
        <v>45059.32950795139</v>
      </c>
      <c r="B3667" s="50">
        <v>45059.4544760532</v>
      </c>
      <c r="C3667" s="51">
        <v>1.016</v>
      </c>
      <c r="D3667" s="51">
        <v>64.0</v>
      </c>
      <c r="E3667" s="52" t="s">
        <v>25</v>
      </c>
      <c r="F3667" s="52" t="s">
        <v>26</v>
      </c>
      <c r="G3667" s="54"/>
    </row>
    <row r="3668">
      <c r="A3668" s="49">
        <v>45059.33993460648</v>
      </c>
      <c r="B3668" s="50">
        <v>45059.4648966782</v>
      </c>
      <c r="C3668" s="51">
        <v>1.016</v>
      </c>
      <c r="D3668" s="51">
        <v>64.0</v>
      </c>
      <c r="E3668" s="52" t="s">
        <v>25</v>
      </c>
      <c r="F3668" s="52" t="s">
        <v>26</v>
      </c>
      <c r="G3668" s="54"/>
    </row>
    <row r="3669">
      <c r="A3669" s="49">
        <v>45059.35036604167</v>
      </c>
      <c r="B3669" s="50">
        <v>45059.4753295833</v>
      </c>
      <c r="C3669" s="51">
        <v>1.016</v>
      </c>
      <c r="D3669" s="51">
        <v>64.0</v>
      </c>
      <c r="E3669" s="52" t="s">
        <v>25</v>
      </c>
      <c r="F3669" s="52" t="s">
        <v>26</v>
      </c>
      <c r="G3669" s="54"/>
    </row>
    <row r="3670">
      <c r="A3670" s="49">
        <v>45059.36085498842</v>
      </c>
      <c r="B3670" s="50">
        <v>45059.4857626504</v>
      </c>
      <c r="C3670" s="51">
        <v>1.016</v>
      </c>
      <c r="D3670" s="51">
        <v>64.0</v>
      </c>
      <c r="E3670" s="52" t="s">
        <v>25</v>
      </c>
      <c r="F3670" s="52" t="s">
        <v>26</v>
      </c>
      <c r="G3670" s="54"/>
    </row>
    <row r="3671">
      <c r="A3671" s="49">
        <v>45059.37121403935</v>
      </c>
      <c r="B3671" s="50">
        <v>45059.496183449</v>
      </c>
      <c r="C3671" s="51">
        <v>1.016</v>
      </c>
      <c r="D3671" s="51">
        <v>64.0</v>
      </c>
      <c r="E3671" s="52" t="s">
        <v>25</v>
      </c>
      <c r="F3671" s="52" t="s">
        <v>26</v>
      </c>
      <c r="G3671" s="54"/>
    </row>
    <row r="3672">
      <c r="A3672" s="49">
        <v>45059.38163635417</v>
      </c>
      <c r="B3672" s="50">
        <v>45059.5066050578</v>
      </c>
      <c r="C3672" s="51">
        <v>1.016</v>
      </c>
      <c r="D3672" s="51">
        <v>64.0</v>
      </c>
      <c r="E3672" s="52" t="s">
        <v>25</v>
      </c>
      <c r="F3672" s="52" t="s">
        <v>26</v>
      </c>
      <c r="G3672" s="54"/>
    </row>
    <row r="3673">
      <c r="A3673" s="49">
        <v>45059.392056875</v>
      </c>
      <c r="B3673" s="50">
        <v>45059.5170271875</v>
      </c>
      <c r="C3673" s="51">
        <v>1.016</v>
      </c>
      <c r="D3673" s="51">
        <v>64.0</v>
      </c>
      <c r="E3673" s="52" t="s">
        <v>25</v>
      </c>
      <c r="F3673" s="52" t="s">
        <v>26</v>
      </c>
      <c r="G3673" s="54"/>
    </row>
    <row r="3674">
      <c r="A3674" s="49">
        <v>45059.40247836805</v>
      </c>
      <c r="B3674" s="50">
        <v>45059.5274591203</v>
      </c>
      <c r="C3674" s="51">
        <v>1.016</v>
      </c>
      <c r="D3674" s="51">
        <v>64.0</v>
      </c>
      <c r="E3674" s="52" t="s">
        <v>25</v>
      </c>
      <c r="F3674" s="52" t="s">
        <v>26</v>
      </c>
      <c r="G3674" s="54"/>
    </row>
    <row r="3675">
      <c r="A3675" s="49">
        <v>45059.41290012731</v>
      </c>
      <c r="B3675" s="50">
        <v>45059.5378800347</v>
      </c>
      <c r="C3675" s="51">
        <v>1.016</v>
      </c>
      <c r="D3675" s="51">
        <v>64.0</v>
      </c>
      <c r="E3675" s="52" t="s">
        <v>25</v>
      </c>
      <c r="F3675" s="52" t="s">
        <v>26</v>
      </c>
      <c r="G3675" s="54"/>
    </row>
    <row r="3676">
      <c r="A3676" s="49">
        <v>45059.42331994213</v>
      </c>
      <c r="B3676" s="50">
        <v>45059.5483014351</v>
      </c>
      <c r="C3676" s="51">
        <v>1.016</v>
      </c>
      <c r="D3676" s="51">
        <v>64.0</v>
      </c>
      <c r="E3676" s="52" t="s">
        <v>25</v>
      </c>
      <c r="F3676" s="52" t="s">
        <v>26</v>
      </c>
      <c r="G3676" s="54"/>
    </row>
    <row r="3677">
      <c r="A3677" s="49">
        <v>45059.43374361111</v>
      </c>
      <c r="B3677" s="50">
        <v>45059.5587235648</v>
      </c>
      <c r="C3677" s="51">
        <v>1.016</v>
      </c>
      <c r="D3677" s="51">
        <v>64.0</v>
      </c>
      <c r="E3677" s="52" t="s">
        <v>25</v>
      </c>
      <c r="F3677" s="52" t="s">
        <v>26</v>
      </c>
      <c r="G3677" s="54"/>
    </row>
    <row r="3678">
      <c r="A3678" s="49">
        <v>45059.44418428241</v>
      </c>
      <c r="B3678" s="50">
        <v>45059.569156956</v>
      </c>
      <c r="C3678" s="51">
        <v>1.016</v>
      </c>
      <c r="D3678" s="51">
        <v>65.0</v>
      </c>
      <c r="E3678" s="52" t="s">
        <v>25</v>
      </c>
      <c r="F3678" s="52" t="s">
        <v>26</v>
      </c>
      <c r="G3678" s="54"/>
    </row>
    <row r="3679">
      <c r="A3679" s="49">
        <v>45059.454599895835</v>
      </c>
      <c r="B3679" s="50">
        <v>45059.5795774421</v>
      </c>
      <c r="C3679" s="51">
        <v>1.016</v>
      </c>
      <c r="D3679" s="51">
        <v>64.0</v>
      </c>
      <c r="E3679" s="52" t="s">
        <v>25</v>
      </c>
      <c r="F3679" s="52" t="s">
        <v>26</v>
      </c>
      <c r="G3679" s="54"/>
    </row>
    <row r="3680">
      <c r="A3680" s="49">
        <v>45059.46504498842</v>
      </c>
      <c r="B3680" s="50">
        <v>45059.5900224421</v>
      </c>
      <c r="C3680" s="51">
        <v>1.016</v>
      </c>
      <c r="D3680" s="51">
        <v>64.0</v>
      </c>
      <c r="E3680" s="52" t="s">
        <v>25</v>
      </c>
      <c r="F3680" s="52" t="s">
        <v>26</v>
      </c>
      <c r="G3680" s="54"/>
    </row>
    <row r="3681">
      <c r="A3681" s="49">
        <v>45059.47546710648</v>
      </c>
      <c r="B3681" s="50">
        <v>45059.6004436574</v>
      </c>
      <c r="C3681" s="51">
        <v>1.016</v>
      </c>
      <c r="D3681" s="51">
        <v>65.0</v>
      </c>
      <c r="E3681" s="52" t="s">
        <v>25</v>
      </c>
      <c r="F3681" s="52" t="s">
        <v>26</v>
      </c>
      <c r="G3681" s="54"/>
    </row>
    <row r="3682">
      <c r="A3682" s="49">
        <v>45059.48589413194</v>
      </c>
      <c r="B3682" s="50">
        <v>45059.610866655</v>
      </c>
      <c r="C3682" s="51">
        <v>1.016</v>
      </c>
      <c r="D3682" s="51">
        <v>65.0</v>
      </c>
      <c r="E3682" s="52" t="s">
        <v>25</v>
      </c>
      <c r="F3682" s="52" t="s">
        <v>26</v>
      </c>
      <c r="G3682" s="54"/>
    </row>
    <row r="3683">
      <c r="A3683" s="49">
        <v>45059.49632332176</v>
      </c>
      <c r="B3683" s="50">
        <v>45059.6213004513</v>
      </c>
      <c r="C3683" s="51">
        <v>1.016</v>
      </c>
      <c r="D3683" s="51">
        <v>65.0</v>
      </c>
      <c r="E3683" s="52" t="s">
        <v>25</v>
      </c>
      <c r="F3683" s="52" t="s">
        <v>26</v>
      </c>
      <c r="G3683" s="54"/>
    </row>
    <row r="3684">
      <c r="A3684" s="49">
        <v>45059.50674701389</v>
      </c>
      <c r="B3684" s="50">
        <v>45059.6317206018</v>
      </c>
      <c r="C3684" s="51">
        <v>1.016</v>
      </c>
      <c r="D3684" s="51">
        <v>64.0</v>
      </c>
      <c r="E3684" s="52" t="s">
        <v>25</v>
      </c>
      <c r="F3684" s="52" t="s">
        <v>26</v>
      </c>
      <c r="G3684" s="54"/>
    </row>
    <row r="3685">
      <c r="A3685" s="49">
        <v>45059.51716574074</v>
      </c>
      <c r="B3685" s="50">
        <v>45059.6421426736</v>
      </c>
      <c r="C3685" s="51">
        <v>1.016</v>
      </c>
      <c r="D3685" s="51">
        <v>65.0</v>
      </c>
      <c r="E3685" s="52" t="s">
        <v>25</v>
      </c>
      <c r="F3685" s="52" t="s">
        <v>26</v>
      </c>
      <c r="G3685" s="54"/>
    </row>
    <row r="3686">
      <c r="A3686" s="49">
        <v>45059.52759182871</v>
      </c>
      <c r="B3686" s="50">
        <v>45059.652562743</v>
      </c>
      <c r="C3686" s="51">
        <v>1.016</v>
      </c>
      <c r="D3686" s="51">
        <v>65.0</v>
      </c>
      <c r="E3686" s="52" t="s">
        <v>25</v>
      </c>
      <c r="F3686" s="52" t="s">
        <v>26</v>
      </c>
      <c r="G3686" s="54"/>
    </row>
    <row r="3687">
      <c r="A3687" s="49">
        <v>45059.53799986111</v>
      </c>
      <c r="B3687" s="50">
        <v>45059.6629836458</v>
      </c>
      <c r="C3687" s="51">
        <v>1.016</v>
      </c>
      <c r="D3687" s="51">
        <v>64.0</v>
      </c>
      <c r="E3687" s="52" t="s">
        <v>25</v>
      </c>
      <c r="F3687" s="52" t="s">
        <v>26</v>
      </c>
      <c r="G3687" s="54"/>
    </row>
    <row r="3688">
      <c r="A3688" s="49">
        <v>45059.54845880787</v>
      </c>
      <c r="B3688" s="50">
        <v>45059.6734278009</v>
      </c>
      <c r="C3688" s="51">
        <v>1.016</v>
      </c>
      <c r="D3688" s="51">
        <v>65.0</v>
      </c>
      <c r="E3688" s="52" t="s">
        <v>25</v>
      </c>
      <c r="F3688" s="52" t="s">
        <v>26</v>
      </c>
      <c r="G3688" s="54"/>
    </row>
    <row r="3689">
      <c r="A3689" s="49">
        <v>45059.55888125</v>
      </c>
      <c r="B3689" s="50">
        <v>45059.6838610185</v>
      </c>
      <c r="C3689" s="51">
        <v>1.016</v>
      </c>
      <c r="D3689" s="51">
        <v>65.0</v>
      </c>
      <c r="E3689" s="52" t="s">
        <v>25</v>
      </c>
      <c r="F3689" s="52" t="s">
        <v>26</v>
      </c>
      <c r="G3689" s="54"/>
    </row>
    <row r="3690">
      <c r="A3690" s="49">
        <v>45059.569305</v>
      </c>
      <c r="B3690" s="50">
        <v>45059.6942837847</v>
      </c>
      <c r="C3690" s="51">
        <v>1.016</v>
      </c>
      <c r="D3690" s="51">
        <v>65.0</v>
      </c>
      <c r="E3690" s="52" t="s">
        <v>25</v>
      </c>
      <c r="F3690" s="52" t="s">
        <v>26</v>
      </c>
      <c r="G3690" s="54"/>
    </row>
    <row r="3691">
      <c r="A3691" s="49">
        <v>45059.57973891204</v>
      </c>
      <c r="B3691" s="50">
        <v>45059.7047035301</v>
      </c>
      <c r="C3691" s="51">
        <v>1.016</v>
      </c>
      <c r="D3691" s="51">
        <v>65.0</v>
      </c>
      <c r="E3691" s="52" t="s">
        <v>25</v>
      </c>
      <c r="F3691" s="52" t="s">
        <v>26</v>
      </c>
      <c r="G3691" s="54"/>
    </row>
    <row r="3692">
      <c r="A3692" s="49">
        <v>45059.59017707176</v>
      </c>
      <c r="B3692" s="50">
        <v>45059.7151374189</v>
      </c>
      <c r="C3692" s="51">
        <v>1.016</v>
      </c>
      <c r="D3692" s="51">
        <v>65.0</v>
      </c>
      <c r="E3692" s="52" t="s">
        <v>25</v>
      </c>
      <c r="F3692" s="52" t="s">
        <v>26</v>
      </c>
      <c r="G3692" s="54"/>
    </row>
    <row r="3693">
      <c r="A3693" s="49">
        <v>45059.600586863424</v>
      </c>
      <c r="B3693" s="50">
        <v>45059.7255556481</v>
      </c>
      <c r="C3693" s="51">
        <v>1.016</v>
      </c>
      <c r="D3693" s="51">
        <v>65.0</v>
      </c>
      <c r="E3693" s="52" t="s">
        <v>25</v>
      </c>
      <c r="F3693" s="52" t="s">
        <v>26</v>
      </c>
      <c r="G3693" s="54"/>
    </row>
    <row r="3694">
      <c r="A3694" s="49">
        <v>45059.61099774306</v>
      </c>
      <c r="B3694" s="50">
        <v>45059.73597625</v>
      </c>
      <c r="C3694" s="51">
        <v>1.016</v>
      </c>
      <c r="D3694" s="51">
        <v>65.0</v>
      </c>
      <c r="E3694" s="52" t="s">
        <v>25</v>
      </c>
      <c r="F3694" s="52" t="s">
        <v>26</v>
      </c>
      <c r="G3694" s="54"/>
    </row>
    <row r="3695">
      <c r="A3695" s="49">
        <v>45059.62143642361</v>
      </c>
      <c r="B3695" s="50">
        <v>45059.7464082291</v>
      </c>
      <c r="C3695" s="51">
        <v>1.016</v>
      </c>
      <c r="D3695" s="51">
        <v>65.0</v>
      </c>
      <c r="E3695" s="52" t="s">
        <v>25</v>
      </c>
      <c r="F3695" s="52" t="s">
        <v>26</v>
      </c>
      <c r="G3695" s="54"/>
    </row>
    <row r="3696">
      <c r="A3696" s="49">
        <v>45059.631865937496</v>
      </c>
      <c r="B3696" s="50">
        <v>45059.7568408564</v>
      </c>
      <c r="C3696" s="51">
        <v>1.016</v>
      </c>
      <c r="D3696" s="51">
        <v>65.0</v>
      </c>
      <c r="E3696" s="52" t="s">
        <v>25</v>
      </c>
      <c r="F3696" s="52" t="s">
        <v>26</v>
      </c>
      <c r="G3696" s="54"/>
    </row>
    <row r="3697">
      <c r="A3697" s="49">
        <v>45059.64228226852</v>
      </c>
      <c r="B3697" s="50">
        <v>45059.7672611458</v>
      </c>
      <c r="C3697" s="51">
        <v>1.016</v>
      </c>
      <c r="D3697" s="51">
        <v>65.0</v>
      </c>
      <c r="E3697" s="52" t="s">
        <v>25</v>
      </c>
      <c r="F3697" s="52" t="s">
        <v>26</v>
      </c>
      <c r="G3697" s="54"/>
    </row>
    <row r="3698">
      <c r="A3698" s="49">
        <v>45059.65270503472</v>
      </c>
      <c r="B3698" s="50">
        <v>45059.7776837152</v>
      </c>
      <c r="C3698" s="51">
        <v>1.016</v>
      </c>
      <c r="D3698" s="51">
        <v>65.0</v>
      </c>
      <c r="E3698" s="52" t="s">
        <v>25</v>
      </c>
      <c r="F3698" s="52" t="s">
        <v>26</v>
      </c>
      <c r="G3698" s="54"/>
    </row>
    <row r="3699">
      <c r="A3699" s="49">
        <v>45059.66312351852</v>
      </c>
      <c r="B3699" s="50">
        <v>45059.7881049305</v>
      </c>
      <c r="C3699" s="51">
        <v>1.016</v>
      </c>
      <c r="D3699" s="51">
        <v>65.0</v>
      </c>
      <c r="E3699" s="52" t="s">
        <v>25</v>
      </c>
      <c r="F3699" s="52" t="s">
        <v>26</v>
      </c>
      <c r="G3699" s="54"/>
    </row>
    <row r="3700">
      <c r="A3700" s="49">
        <v>45059.673545011574</v>
      </c>
      <c r="B3700" s="50">
        <v>45059.7985239814</v>
      </c>
      <c r="C3700" s="51">
        <v>1.016</v>
      </c>
      <c r="D3700" s="51">
        <v>65.0</v>
      </c>
      <c r="E3700" s="52" t="s">
        <v>25</v>
      </c>
      <c r="F3700" s="52" t="s">
        <v>26</v>
      </c>
      <c r="G3700" s="54"/>
    </row>
    <row r="3701">
      <c r="A3701" s="49">
        <v>45059.683977685185</v>
      </c>
      <c r="B3701" s="50">
        <v>45059.8089578125</v>
      </c>
      <c r="C3701" s="51">
        <v>1.016</v>
      </c>
      <c r="D3701" s="51">
        <v>65.0</v>
      </c>
      <c r="E3701" s="52" t="s">
        <v>25</v>
      </c>
      <c r="F3701" s="52" t="s">
        <v>26</v>
      </c>
      <c r="G3701" s="54"/>
    </row>
    <row r="3702">
      <c r="A3702" s="49">
        <v>45059.694402719906</v>
      </c>
      <c r="B3702" s="50">
        <v>45059.8193784953</v>
      </c>
      <c r="C3702" s="51">
        <v>1.016</v>
      </c>
      <c r="D3702" s="51">
        <v>65.0</v>
      </c>
      <c r="E3702" s="52" t="s">
        <v>25</v>
      </c>
      <c r="F3702" s="52" t="s">
        <v>26</v>
      </c>
      <c r="G3702" s="54"/>
    </row>
    <row r="3703">
      <c r="A3703" s="49">
        <v>45059.70483091435</v>
      </c>
      <c r="B3703" s="50">
        <v>45059.8298021759</v>
      </c>
      <c r="C3703" s="51">
        <v>1.016</v>
      </c>
      <c r="D3703" s="51">
        <v>65.0</v>
      </c>
      <c r="E3703" s="52" t="s">
        <v>25</v>
      </c>
      <c r="F3703" s="52" t="s">
        <v>26</v>
      </c>
      <c r="G3703" s="54"/>
    </row>
    <row r="3704">
      <c r="A3704" s="49">
        <v>45059.715249479166</v>
      </c>
      <c r="B3704" s="50">
        <v>45059.8402236458</v>
      </c>
      <c r="C3704" s="51">
        <v>1.016</v>
      </c>
      <c r="D3704" s="51">
        <v>65.0</v>
      </c>
      <c r="E3704" s="52" t="s">
        <v>25</v>
      </c>
      <c r="F3704" s="52" t="s">
        <v>26</v>
      </c>
      <c r="G3704" s="54"/>
    </row>
    <row r="3705">
      <c r="A3705" s="49">
        <v>45059.72570966435</v>
      </c>
      <c r="B3705" s="50">
        <v>45059.8506803472</v>
      </c>
      <c r="C3705" s="51">
        <v>1.016</v>
      </c>
      <c r="D3705" s="51">
        <v>65.0</v>
      </c>
      <c r="E3705" s="52" t="s">
        <v>25</v>
      </c>
      <c r="F3705" s="52" t="s">
        <v>26</v>
      </c>
      <c r="G3705" s="54"/>
    </row>
    <row r="3706">
      <c r="A3706" s="49">
        <v>45059.736121759255</v>
      </c>
      <c r="B3706" s="50">
        <v>45059.8611023148</v>
      </c>
      <c r="C3706" s="51">
        <v>1.016</v>
      </c>
      <c r="D3706" s="51">
        <v>65.0</v>
      </c>
      <c r="E3706" s="52" t="s">
        <v>25</v>
      </c>
      <c r="F3706" s="52" t="s">
        <v>26</v>
      </c>
      <c r="G3706" s="54"/>
    </row>
    <row r="3707">
      <c r="A3707" s="49">
        <v>45059.746542256944</v>
      </c>
      <c r="B3707" s="50">
        <v>45059.8715239583</v>
      </c>
      <c r="C3707" s="51">
        <v>1.016</v>
      </c>
      <c r="D3707" s="51">
        <v>65.0</v>
      </c>
      <c r="E3707" s="52" t="s">
        <v>25</v>
      </c>
      <c r="F3707" s="52" t="s">
        <v>26</v>
      </c>
      <c r="G3707" s="54"/>
    </row>
    <row r="3708">
      <c r="A3708" s="49">
        <v>45059.75697803241</v>
      </c>
      <c r="B3708" s="50">
        <v>45059.8819571759</v>
      </c>
      <c r="C3708" s="51">
        <v>1.016</v>
      </c>
      <c r="D3708" s="51">
        <v>65.0</v>
      </c>
      <c r="E3708" s="52" t="s">
        <v>25</v>
      </c>
      <c r="F3708" s="52" t="s">
        <v>26</v>
      </c>
      <c r="G3708" s="54"/>
    </row>
    <row r="3709">
      <c r="A3709" s="49">
        <v>45059.76741072917</v>
      </c>
      <c r="B3709" s="50">
        <v>45059.892389699</v>
      </c>
      <c r="C3709" s="51">
        <v>1.016</v>
      </c>
      <c r="D3709" s="51">
        <v>65.0</v>
      </c>
      <c r="E3709" s="52" t="s">
        <v>25</v>
      </c>
      <c r="F3709" s="52" t="s">
        <v>26</v>
      </c>
      <c r="G3709" s="54"/>
    </row>
    <row r="3710">
      <c r="A3710" s="49">
        <v>45059.77783319444</v>
      </c>
      <c r="B3710" s="50">
        <v>45059.902811331</v>
      </c>
      <c r="C3710" s="51">
        <v>1.016</v>
      </c>
      <c r="D3710" s="51">
        <v>65.0</v>
      </c>
      <c r="E3710" s="52" t="s">
        <v>25</v>
      </c>
      <c r="F3710" s="52" t="s">
        <v>26</v>
      </c>
      <c r="G3710" s="54"/>
    </row>
    <row r="3711">
      <c r="A3711" s="49">
        <v>45059.788270833335</v>
      </c>
      <c r="B3711" s="50">
        <v>45059.9132435648</v>
      </c>
      <c r="C3711" s="51">
        <v>1.016</v>
      </c>
      <c r="D3711" s="51">
        <v>65.0</v>
      </c>
      <c r="E3711" s="52" t="s">
        <v>25</v>
      </c>
      <c r="F3711" s="52" t="s">
        <v>26</v>
      </c>
      <c r="G3711" s="54"/>
    </row>
    <row r="3712">
      <c r="A3712" s="49">
        <v>45059.798688124996</v>
      </c>
      <c r="B3712" s="50">
        <v>45059.9236636111</v>
      </c>
      <c r="C3712" s="51">
        <v>1.016</v>
      </c>
      <c r="D3712" s="51">
        <v>65.0</v>
      </c>
      <c r="E3712" s="52" t="s">
        <v>25</v>
      </c>
      <c r="F3712" s="52" t="s">
        <v>26</v>
      </c>
      <c r="G3712" s="54"/>
    </row>
    <row r="3713">
      <c r="A3713" s="49">
        <v>45059.80911429398</v>
      </c>
      <c r="B3713" s="50">
        <v>45059.9340855092</v>
      </c>
      <c r="C3713" s="51">
        <v>1.016</v>
      </c>
      <c r="D3713" s="51">
        <v>65.0</v>
      </c>
      <c r="E3713" s="52" t="s">
        <v>25</v>
      </c>
      <c r="F3713" s="52" t="s">
        <v>26</v>
      </c>
      <c r="G3713" s="54"/>
    </row>
    <row r="3714">
      <c r="A3714" s="49">
        <v>45059.81953479166</v>
      </c>
      <c r="B3714" s="50">
        <v>45059.9445079398</v>
      </c>
      <c r="C3714" s="51">
        <v>1.016</v>
      </c>
      <c r="D3714" s="51">
        <v>65.0</v>
      </c>
      <c r="E3714" s="52" t="s">
        <v>25</v>
      </c>
      <c r="F3714" s="52" t="s">
        <v>26</v>
      </c>
      <c r="G3714" s="54"/>
    </row>
    <row r="3715">
      <c r="A3715" s="49">
        <v>45059.829946550926</v>
      </c>
      <c r="B3715" s="50">
        <v>45059.9549280671</v>
      </c>
      <c r="C3715" s="51">
        <v>1.016</v>
      </c>
      <c r="D3715" s="51">
        <v>65.0</v>
      </c>
      <c r="E3715" s="52" t="s">
        <v>25</v>
      </c>
      <c r="F3715" s="52" t="s">
        <v>26</v>
      </c>
      <c r="G3715" s="54"/>
    </row>
    <row r="3716">
      <c r="A3716" s="49">
        <v>45059.840374583335</v>
      </c>
      <c r="B3716" s="50">
        <v>45059.9653502662</v>
      </c>
      <c r="C3716" s="51">
        <v>1.016</v>
      </c>
      <c r="D3716" s="51">
        <v>65.0</v>
      </c>
      <c r="E3716" s="52" t="s">
        <v>25</v>
      </c>
      <c r="F3716" s="52" t="s">
        <v>26</v>
      </c>
      <c r="G3716" s="54"/>
    </row>
    <row r="3717">
      <c r="A3717" s="49">
        <v>45059.85078793981</v>
      </c>
      <c r="B3717" s="50">
        <v>45059.9757696064</v>
      </c>
      <c r="C3717" s="51">
        <v>1.016</v>
      </c>
      <c r="D3717" s="51">
        <v>65.0</v>
      </c>
      <c r="E3717" s="52" t="s">
        <v>25</v>
      </c>
      <c r="F3717" s="52" t="s">
        <v>26</v>
      </c>
      <c r="G3717" s="54"/>
    </row>
    <row r="3718">
      <c r="A3718" s="49">
        <v>45059.86121643518</v>
      </c>
      <c r="B3718" s="50">
        <v>45059.98619125</v>
      </c>
      <c r="C3718" s="51">
        <v>1.016</v>
      </c>
      <c r="D3718" s="51">
        <v>65.0</v>
      </c>
      <c r="E3718" s="52" t="s">
        <v>25</v>
      </c>
      <c r="F3718" s="52" t="s">
        <v>26</v>
      </c>
      <c r="G3718" s="54"/>
    </row>
    <row r="3719">
      <c r="A3719" s="49">
        <v>45059.87162826389</v>
      </c>
      <c r="B3719" s="50">
        <v>45059.9966112847</v>
      </c>
      <c r="C3719" s="51">
        <v>1.016</v>
      </c>
      <c r="D3719" s="51">
        <v>65.0</v>
      </c>
      <c r="E3719" s="52" t="s">
        <v>25</v>
      </c>
      <c r="F3719" s="52" t="s">
        <v>26</v>
      </c>
      <c r="G3719" s="54"/>
    </row>
    <row r="3720">
      <c r="A3720" s="49">
        <v>45059.882050775464</v>
      </c>
      <c r="B3720" s="50">
        <v>45060.0070304398</v>
      </c>
      <c r="C3720" s="51">
        <v>1.016</v>
      </c>
      <c r="D3720" s="51">
        <v>65.0</v>
      </c>
      <c r="E3720" s="52" t="s">
        <v>25</v>
      </c>
      <c r="F3720" s="52" t="s">
        <v>26</v>
      </c>
      <c r="G3720" s="54"/>
    </row>
    <row r="3721">
      <c r="A3721" s="49">
        <v>45059.89247319444</v>
      </c>
      <c r="B3721" s="50">
        <v>45060.0174515509</v>
      </c>
      <c r="C3721" s="51">
        <v>1.016</v>
      </c>
      <c r="D3721" s="51">
        <v>65.0</v>
      </c>
      <c r="E3721" s="52" t="s">
        <v>25</v>
      </c>
      <c r="F3721" s="52" t="s">
        <v>26</v>
      </c>
      <c r="G3721" s="54"/>
    </row>
    <row r="3722">
      <c r="A3722" s="49">
        <v>45059.90289556713</v>
      </c>
      <c r="B3722" s="50">
        <v>45060.027872037</v>
      </c>
      <c r="C3722" s="51">
        <v>1.016</v>
      </c>
      <c r="D3722" s="51">
        <v>65.0</v>
      </c>
      <c r="E3722" s="52" t="s">
        <v>25</v>
      </c>
      <c r="F3722" s="52" t="s">
        <v>26</v>
      </c>
      <c r="G3722" s="54"/>
    </row>
    <row r="3723">
      <c r="A3723" s="49">
        <v>45059.91331337963</v>
      </c>
      <c r="B3723" s="50">
        <v>45060.038293206</v>
      </c>
      <c r="C3723" s="51">
        <v>1.016</v>
      </c>
      <c r="D3723" s="51">
        <v>65.0</v>
      </c>
      <c r="E3723" s="52" t="s">
        <v>25</v>
      </c>
      <c r="F3723" s="52" t="s">
        <v>26</v>
      </c>
      <c r="G3723" s="54"/>
    </row>
    <row r="3724">
      <c r="A3724" s="49">
        <v>45059.92373480324</v>
      </c>
      <c r="B3724" s="50">
        <v>45060.0487132176</v>
      </c>
      <c r="C3724" s="51">
        <v>1.016</v>
      </c>
      <c r="D3724" s="51">
        <v>65.0</v>
      </c>
      <c r="E3724" s="52" t="s">
        <v>25</v>
      </c>
      <c r="F3724" s="52" t="s">
        <v>26</v>
      </c>
      <c r="G3724" s="54"/>
    </row>
    <row r="3725">
      <c r="A3725" s="49">
        <v>45059.93415648148</v>
      </c>
      <c r="B3725" s="50">
        <v>45060.0591336805</v>
      </c>
      <c r="C3725" s="51">
        <v>1.016</v>
      </c>
      <c r="D3725" s="51">
        <v>65.0</v>
      </c>
      <c r="E3725" s="52" t="s">
        <v>25</v>
      </c>
      <c r="F3725" s="52" t="s">
        <v>26</v>
      </c>
      <c r="G3725" s="54"/>
    </row>
    <row r="3726">
      <c r="A3726" s="49">
        <v>45059.944589606486</v>
      </c>
      <c r="B3726" s="50">
        <v>45060.0695670254</v>
      </c>
      <c r="C3726" s="51">
        <v>1.016</v>
      </c>
      <c r="D3726" s="51">
        <v>65.0</v>
      </c>
      <c r="E3726" s="52" t="s">
        <v>25</v>
      </c>
      <c r="F3726" s="52" t="s">
        <v>26</v>
      </c>
      <c r="G3726" s="54"/>
    </row>
    <row r="3727">
      <c r="A3727" s="49">
        <v>45059.95500739584</v>
      </c>
      <c r="B3727" s="50">
        <v>45060.0799911226</v>
      </c>
      <c r="C3727" s="51">
        <v>1.016</v>
      </c>
      <c r="D3727" s="51">
        <v>65.0</v>
      </c>
      <c r="E3727" s="52" t="s">
        <v>25</v>
      </c>
      <c r="F3727" s="52" t="s">
        <v>26</v>
      </c>
      <c r="G3727" s="54"/>
    </row>
    <row r="3728">
      <c r="A3728" s="49">
        <v>45059.96542765046</v>
      </c>
      <c r="B3728" s="50">
        <v>45060.0904106134</v>
      </c>
      <c r="C3728" s="51">
        <v>1.016</v>
      </c>
      <c r="D3728" s="51">
        <v>65.0</v>
      </c>
      <c r="E3728" s="52" t="s">
        <v>25</v>
      </c>
      <c r="F3728" s="52" t="s">
        <v>26</v>
      </c>
      <c r="G3728" s="54"/>
    </row>
    <row r="3729">
      <c r="A3729" s="49">
        <v>45059.97585047454</v>
      </c>
      <c r="B3729" s="50">
        <v>45060.1008305092</v>
      </c>
      <c r="C3729" s="51">
        <v>1.016</v>
      </c>
      <c r="D3729" s="51">
        <v>65.0</v>
      </c>
      <c r="E3729" s="52" t="s">
        <v>25</v>
      </c>
      <c r="F3729" s="52" t="s">
        <v>26</v>
      </c>
      <c r="G3729" s="54"/>
    </row>
    <row r="3730">
      <c r="A3730" s="49">
        <v>45059.98627497685</v>
      </c>
      <c r="B3730" s="50">
        <v>45060.1112511226</v>
      </c>
      <c r="C3730" s="51">
        <v>1.016</v>
      </c>
      <c r="D3730" s="51">
        <v>65.0</v>
      </c>
      <c r="E3730" s="52" t="s">
        <v>25</v>
      </c>
      <c r="F3730" s="52" t="s">
        <v>26</v>
      </c>
      <c r="G3730" s="54"/>
    </row>
    <row r="3731">
      <c r="A3731" s="49">
        <v>45059.99669716435</v>
      </c>
      <c r="B3731" s="50">
        <v>45060.1216726388</v>
      </c>
      <c r="C3731" s="51">
        <v>1.016</v>
      </c>
      <c r="D3731" s="51">
        <v>65.0</v>
      </c>
      <c r="E3731" s="52" t="s">
        <v>25</v>
      </c>
      <c r="F3731" s="52" t="s">
        <v>26</v>
      </c>
      <c r="G3731" s="54"/>
    </row>
    <row r="3732">
      <c r="A3732" s="49">
        <v>45060.00712010417</v>
      </c>
      <c r="B3732" s="50">
        <v>45060.1320948264</v>
      </c>
      <c r="C3732" s="51">
        <v>1.016</v>
      </c>
      <c r="D3732" s="51">
        <v>65.0</v>
      </c>
      <c r="E3732" s="52" t="s">
        <v>25</v>
      </c>
      <c r="F3732" s="52" t="s">
        <v>26</v>
      </c>
      <c r="G3732" s="54"/>
    </row>
    <row r="3733">
      <c r="A3733" s="49">
        <v>45060.01754271991</v>
      </c>
      <c r="B3733" s="50">
        <v>45060.1425152199</v>
      </c>
      <c r="C3733" s="51">
        <v>1.016</v>
      </c>
      <c r="D3733" s="51">
        <v>65.0</v>
      </c>
      <c r="E3733" s="52" t="s">
        <v>25</v>
      </c>
      <c r="F3733" s="52" t="s">
        <v>26</v>
      </c>
      <c r="G3733" s="54"/>
    </row>
    <row r="3734">
      <c r="A3734" s="49">
        <v>45060.0279552662</v>
      </c>
      <c r="B3734" s="50">
        <v>45060.152937581</v>
      </c>
      <c r="C3734" s="51">
        <v>1.016</v>
      </c>
      <c r="D3734" s="51">
        <v>65.0</v>
      </c>
      <c r="E3734" s="52" t="s">
        <v>25</v>
      </c>
      <c r="F3734" s="52" t="s">
        <v>26</v>
      </c>
      <c r="G3734" s="54"/>
    </row>
    <row r="3735">
      <c r="A3735" s="49">
        <v>45060.03838722222</v>
      </c>
      <c r="B3735" s="50">
        <v>45060.1633594675</v>
      </c>
      <c r="C3735" s="51">
        <v>1.016</v>
      </c>
      <c r="D3735" s="51">
        <v>65.0</v>
      </c>
      <c r="E3735" s="52" t="s">
        <v>25</v>
      </c>
      <c r="F3735" s="52" t="s">
        <v>26</v>
      </c>
      <c r="G3735" s="54"/>
    </row>
    <row r="3736">
      <c r="A3736" s="49">
        <v>45060.04883601852</v>
      </c>
      <c r="B3736" s="50">
        <v>45060.173803831</v>
      </c>
      <c r="C3736" s="51">
        <v>1.016</v>
      </c>
      <c r="D3736" s="51">
        <v>65.0</v>
      </c>
      <c r="E3736" s="52" t="s">
        <v>25</v>
      </c>
      <c r="F3736" s="52" t="s">
        <v>26</v>
      </c>
      <c r="G3736" s="54"/>
    </row>
    <row r="3737">
      <c r="A3737" s="49">
        <v>45060.05924753472</v>
      </c>
      <c r="B3737" s="50">
        <v>45060.1842250925</v>
      </c>
      <c r="C3737" s="51">
        <v>1.016</v>
      </c>
      <c r="D3737" s="51">
        <v>65.0</v>
      </c>
      <c r="E3737" s="52" t="s">
        <v>25</v>
      </c>
      <c r="F3737" s="52" t="s">
        <v>26</v>
      </c>
      <c r="G3737" s="54"/>
    </row>
    <row r="3738">
      <c r="A3738" s="49">
        <v>45060.069684814815</v>
      </c>
      <c r="B3738" s="50">
        <v>45060.1946560879</v>
      </c>
      <c r="C3738" s="51">
        <v>1.016</v>
      </c>
      <c r="D3738" s="51">
        <v>65.0</v>
      </c>
      <c r="E3738" s="52" t="s">
        <v>25</v>
      </c>
      <c r="F3738" s="52" t="s">
        <v>26</v>
      </c>
      <c r="G3738" s="54"/>
    </row>
    <row r="3739">
      <c r="A3739" s="49">
        <v>45060.08010016204</v>
      </c>
      <c r="B3739" s="50">
        <v>45060.20507625</v>
      </c>
      <c r="C3739" s="51">
        <v>1.016</v>
      </c>
      <c r="D3739" s="51">
        <v>65.0</v>
      </c>
      <c r="E3739" s="52" t="s">
        <v>25</v>
      </c>
      <c r="F3739" s="52" t="s">
        <v>26</v>
      </c>
      <c r="G3739" s="54"/>
    </row>
    <row r="3740">
      <c r="A3740" s="49">
        <v>45060.09052788194</v>
      </c>
      <c r="B3740" s="50">
        <v>45060.2154966782</v>
      </c>
      <c r="C3740" s="51">
        <v>1.016</v>
      </c>
      <c r="D3740" s="51">
        <v>65.0</v>
      </c>
      <c r="E3740" s="52" t="s">
        <v>25</v>
      </c>
      <c r="F3740" s="52" t="s">
        <v>26</v>
      </c>
      <c r="G3740" s="54"/>
    </row>
    <row r="3741">
      <c r="A3741" s="49">
        <v>45060.10093785879</v>
      </c>
      <c r="B3741" s="50">
        <v>45060.2259183796</v>
      </c>
      <c r="C3741" s="51">
        <v>1.016</v>
      </c>
      <c r="D3741" s="51">
        <v>65.0</v>
      </c>
      <c r="E3741" s="52" t="s">
        <v>25</v>
      </c>
      <c r="F3741" s="52" t="s">
        <v>26</v>
      </c>
      <c r="G3741" s="54"/>
    </row>
    <row r="3742">
      <c r="A3742" s="49">
        <v>45060.111383738426</v>
      </c>
      <c r="B3742" s="50">
        <v>45060.2363607407</v>
      </c>
      <c r="C3742" s="51">
        <v>1.016</v>
      </c>
      <c r="D3742" s="51">
        <v>65.0</v>
      </c>
      <c r="E3742" s="52" t="s">
        <v>25</v>
      </c>
      <c r="F3742" s="52" t="s">
        <v>26</v>
      </c>
      <c r="G3742" s="54"/>
    </row>
    <row r="3743">
      <c r="A3743" s="49">
        <v>45060.12180368055</v>
      </c>
      <c r="B3743" s="50">
        <v>45060.2467816087</v>
      </c>
      <c r="C3743" s="51">
        <v>1.016</v>
      </c>
      <c r="D3743" s="51">
        <v>65.0</v>
      </c>
      <c r="E3743" s="52" t="s">
        <v>25</v>
      </c>
      <c r="F3743" s="52" t="s">
        <v>26</v>
      </c>
      <c r="G3743" s="54"/>
    </row>
    <row r="3744">
      <c r="A3744" s="49">
        <v>45060.13222238426</v>
      </c>
      <c r="B3744" s="50">
        <v>45060.2572017476</v>
      </c>
      <c r="C3744" s="51">
        <v>1.016</v>
      </c>
      <c r="D3744" s="51">
        <v>65.0</v>
      </c>
      <c r="E3744" s="52" t="s">
        <v>25</v>
      </c>
      <c r="F3744" s="52" t="s">
        <v>26</v>
      </c>
      <c r="G3744" s="54"/>
    </row>
    <row r="3745">
      <c r="A3745" s="49">
        <v>45060.14264208333</v>
      </c>
      <c r="B3745" s="50">
        <v>45060.2676221527</v>
      </c>
      <c r="C3745" s="51">
        <v>1.016</v>
      </c>
      <c r="D3745" s="51">
        <v>65.0</v>
      </c>
      <c r="E3745" s="52" t="s">
        <v>25</v>
      </c>
      <c r="F3745" s="52" t="s">
        <v>26</v>
      </c>
      <c r="G3745" s="54"/>
    </row>
    <row r="3746">
      <c r="A3746" s="49">
        <v>45060.1530656713</v>
      </c>
      <c r="B3746" s="50">
        <v>45060.27804353</v>
      </c>
      <c r="C3746" s="51">
        <v>1.016</v>
      </c>
      <c r="D3746" s="51">
        <v>65.0</v>
      </c>
      <c r="E3746" s="52" t="s">
        <v>25</v>
      </c>
      <c r="F3746" s="52" t="s">
        <v>26</v>
      </c>
      <c r="G3746" s="54"/>
    </row>
    <row r="3747">
      <c r="A3747" s="49">
        <v>45060.1634896412</v>
      </c>
      <c r="B3747" s="50">
        <v>45060.2884645949</v>
      </c>
      <c r="C3747" s="51">
        <v>1.016</v>
      </c>
      <c r="D3747" s="51">
        <v>65.0</v>
      </c>
      <c r="E3747" s="52" t="s">
        <v>25</v>
      </c>
      <c r="F3747" s="52" t="s">
        <v>26</v>
      </c>
      <c r="G3747" s="54"/>
    </row>
    <row r="3748">
      <c r="A3748" s="49">
        <v>45060.17390664352</v>
      </c>
      <c r="B3748" s="50">
        <v>45060.2988873148</v>
      </c>
      <c r="C3748" s="51">
        <v>1.016</v>
      </c>
      <c r="D3748" s="51">
        <v>65.0</v>
      </c>
      <c r="E3748" s="52" t="s">
        <v>25</v>
      </c>
      <c r="F3748" s="52" t="s">
        <v>26</v>
      </c>
      <c r="G3748" s="54"/>
    </row>
    <row r="3749">
      <c r="A3749" s="49">
        <v>45060.184325243055</v>
      </c>
      <c r="B3749" s="50">
        <v>45060.3093089699</v>
      </c>
      <c r="C3749" s="51">
        <v>1.016</v>
      </c>
      <c r="D3749" s="51">
        <v>65.0</v>
      </c>
      <c r="E3749" s="52" t="s">
        <v>25</v>
      </c>
      <c r="F3749" s="52" t="s">
        <v>26</v>
      </c>
      <c r="G3749" s="54"/>
    </row>
    <row r="3750">
      <c r="A3750" s="49">
        <v>45060.19474789352</v>
      </c>
      <c r="B3750" s="50">
        <v>45060.3197311689</v>
      </c>
      <c r="C3750" s="51">
        <v>1.015</v>
      </c>
      <c r="D3750" s="51">
        <v>65.0</v>
      </c>
      <c r="E3750" s="52" t="s">
        <v>25</v>
      </c>
      <c r="F3750" s="52" t="s">
        <v>26</v>
      </c>
      <c r="G3750" s="54"/>
    </row>
    <row r="3751">
      <c r="A3751" s="49">
        <v>45060.205175324074</v>
      </c>
      <c r="B3751" s="50">
        <v>45060.3301524305</v>
      </c>
      <c r="C3751" s="51">
        <v>1.016</v>
      </c>
      <c r="D3751" s="51">
        <v>65.0</v>
      </c>
      <c r="E3751" s="52" t="s">
        <v>25</v>
      </c>
      <c r="F3751" s="52" t="s">
        <v>26</v>
      </c>
      <c r="G3751" s="54"/>
    </row>
    <row r="3752">
      <c r="A3752" s="49">
        <v>45060.215594548616</v>
      </c>
      <c r="B3752" s="50">
        <v>45060.3405738194</v>
      </c>
      <c r="C3752" s="51">
        <v>1.016</v>
      </c>
      <c r="D3752" s="51">
        <v>65.0</v>
      </c>
      <c r="E3752" s="52" t="s">
        <v>25</v>
      </c>
      <c r="F3752" s="52" t="s">
        <v>26</v>
      </c>
      <c r="G3752" s="54"/>
    </row>
    <row r="3753">
      <c r="A3753" s="49">
        <v>45060.22601958334</v>
      </c>
      <c r="B3753" s="50">
        <v>45060.350995625</v>
      </c>
      <c r="C3753" s="51">
        <v>1.016</v>
      </c>
      <c r="D3753" s="51">
        <v>65.0</v>
      </c>
      <c r="E3753" s="52" t="s">
        <v>25</v>
      </c>
      <c r="F3753" s="52" t="s">
        <v>26</v>
      </c>
      <c r="G3753" s="54"/>
    </row>
    <row r="3754">
      <c r="A3754" s="49">
        <v>45060.23643929398</v>
      </c>
      <c r="B3754" s="50">
        <v>45060.3614156828</v>
      </c>
      <c r="C3754" s="51">
        <v>1.016</v>
      </c>
      <c r="D3754" s="51">
        <v>65.0</v>
      </c>
      <c r="E3754" s="52" t="s">
        <v>25</v>
      </c>
      <c r="F3754" s="52" t="s">
        <v>26</v>
      </c>
      <c r="G3754" s="54"/>
    </row>
    <row r="3755">
      <c r="A3755" s="49">
        <v>45060.24687501157</v>
      </c>
      <c r="B3755" s="50">
        <v>45060.3718507407</v>
      </c>
      <c r="C3755" s="51">
        <v>1.016</v>
      </c>
      <c r="D3755" s="51">
        <v>65.0</v>
      </c>
      <c r="E3755" s="52" t="s">
        <v>25</v>
      </c>
      <c r="F3755" s="52" t="s">
        <v>26</v>
      </c>
      <c r="G3755" s="54"/>
    </row>
    <row r="3756">
      <c r="A3756" s="49">
        <v>45060.257296655094</v>
      </c>
      <c r="B3756" s="50">
        <v>45060.3822701504</v>
      </c>
      <c r="C3756" s="51">
        <v>1.016</v>
      </c>
      <c r="D3756" s="51">
        <v>65.0</v>
      </c>
      <c r="E3756" s="52" t="s">
        <v>25</v>
      </c>
      <c r="F3756" s="52" t="s">
        <v>26</v>
      </c>
      <c r="G3756" s="54"/>
    </row>
    <row r="3757">
      <c r="A3757" s="49">
        <v>45060.26772105324</v>
      </c>
      <c r="B3757" s="50">
        <v>45060.3926924421</v>
      </c>
      <c r="C3757" s="51">
        <v>1.016</v>
      </c>
      <c r="D3757" s="51">
        <v>65.0</v>
      </c>
      <c r="E3757" s="52" t="s">
        <v>25</v>
      </c>
      <c r="F3757" s="52" t="s">
        <v>26</v>
      </c>
      <c r="G3757" s="54"/>
    </row>
    <row r="3758">
      <c r="A3758" s="49">
        <v>45060.27812809028</v>
      </c>
      <c r="B3758" s="50">
        <v>45060.4031135416</v>
      </c>
      <c r="C3758" s="51">
        <v>1.016</v>
      </c>
      <c r="D3758" s="51">
        <v>65.0</v>
      </c>
      <c r="E3758" s="52" t="s">
        <v>25</v>
      </c>
      <c r="F3758" s="52" t="s">
        <v>26</v>
      </c>
      <c r="G3758" s="54"/>
    </row>
    <row r="3759">
      <c r="A3759" s="49">
        <v>45060.28855699074</v>
      </c>
      <c r="B3759" s="50">
        <v>45060.41353375</v>
      </c>
      <c r="C3759" s="51">
        <v>1.016</v>
      </c>
      <c r="D3759" s="51">
        <v>65.0</v>
      </c>
      <c r="E3759" s="52" t="s">
        <v>25</v>
      </c>
      <c r="F3759" s="52" t="s">
        <v>26</v>
      </c>
      <c r="G3759" s="54"/>
    </row>
    <row r="3760">
      <c r="A3760" s="49">
        <v>45060.29899642361</v>
      </c>
      <c r="B3760" s="50">
        <v>45060.4239536226</v>
      </c>
      <c r="C3760" s="51">
        <v>1.015</v>
      </c>
      <c r="D3760" s="51">
        <v>65.0</v>
      </c>
      <c r="E3760" s="52" t="s">
        <v>25</v>
      </c>
      <c r="F3760" s="52" t="s">
        <v>26</v>
      </c>
      <c r="G3760" s="54"/>
    </row>
    <row r="3761">
      <c r="A3761" s="49">
        <v>45060.30941077546</v>
      </c>
      <c r="B3761" s="50">
        <v>45060.4343848958</v>
      </c>
      <c r="C3761" s="51">
        <v>1.016</v>
      </c>
      <c r="D3761" s="51">
        <v>65.0</v>
      </c>
      <c r="E3761" s="52" t="s">
        <v>25</v>
      </c>
      <c r="F3761" s="52" t="s">
        <v>26</v>
      </c>
      <c r="G3761" s="54"/>
    </row>
    <row r="3762">
      <c r="A3762" s="49">
        <v>45060.319824074075</v>
      </c>
      <c r="B3762" s="50">
        <v>45060.4448056944</v>
      </c>
      <c r="C3762" s="51">
        <v>1.016</v>
      </c>
      <c r="D3762" s="51">
        <v>65.0</v>
      </c>
      <c r="E3762" s="52" t="s">
        <v>25</v>
      </c>
      <c r="F3762" s="52" t="s">
        <v>26</v>
      </c>
      <c r="G3762" s="54"/>
    </row>
    <row r="3763">
      <c r="A3763" s="49">
        <v>45060.330257071764</v>
      </c>
      <c r="B3763" s="50">
        <v>45060.4552285532</v>
      </c>
      <c r="C3763" s="51">
        <v>1.016</v>
      </c>
      <c r="D3763" s="51">
        <v>65.0</v>
      </c>
      <c r="E3763" s="52" t="s">
        <v>25</v>
      </c>
      <c r="F3763" s="52" t="s">
        <v>26</v>
      </c>
      <c r="G3763" s="54"/>
    </row>
    <row r="3764">
      <c r="A3764" s="49">
        <v>45060.34068616898</v>
      </c>
      <c r="B3764" s="50">
        <v>45060.4656617708</v>
      </c>
      <c r="C3764" s="51">
        <v>1.016</v>
      </c>
      <c r="D3764" s="51">
        <v>65.0</v>
      </c>
      <c r="E3764" s="52" t="s">
        <v>25</v>
      </c>
      <c r="F3764" s="52" t="s">
        <v>26</v>
      </c>
      <c r="G3764" s="54"/>
    </row>
    <row r="3765">
      <c r="A3765" s="49">
        <v>45060.351109062496</v>
      </c>
      <c r="B3765" s="50">
        <v>45060.4760829629</v>
      </c>
      <c r="C3765" s="51">
        <v>1.016</v>
      </c>
      <c r="D3765" s="51">
        <v>65.0</v>
      </c>
      <c r="E3765" s="52" t="s">
        <v>25</v>
      </c>
      <c r="F3765" s="52" t="s">
        <v>26</v>
      </c>
      <c r="G3765" s="54"/>
    </row>
    <row r="3766">
      <c r="A3766" s="49">
        <v>45060.36153592593</v>
      </c>
      <c r="B3766" s="50">
        <v>45060.4865030787</v>
      </c>
      <c r="C3766" s="51">
        <v>1.016</v>
      </c>
      <c r="D3766" s="51">
        <v>65.0</v>
      </c>
      <c r="E3766" s="52" t="s">
        <v>25</v>
      </c>
      <c r="F3766" s="52" t="s">
        <v>26</v>
      </c>
      <c r="G3766" s="54"/>
    </row>
    <row r="3767">
      <c r="A3767" s="49">
        <v>45060.371951388894</v>
      </c>
      <c r="B3767" s="50">
        <v>45060.4969231365</v>
      </c>
      <c r="C3767" s="51">
        <v>1.016</v>
      </c>
      <c r="D3767" s="51">
        <v>65.0</v>
      </c>
      <c r="E3767" s="52" t="s">
        <v>25</v>
      </c>
      <c r="F3767" s="52" t="s">
        <v>26</v>
      </c>
      <c r="G3767" s="54"/>
    </row>
    <row r="3768">
      <c r="A3768" s="49">
        <v>45060.38237810185</v>
      </c>
      <c r="B3768" s="50">
        <v>45060.5073438657</v>
      </c>
      <c r="C3768" s="51">
        <v>1.016</v>
      </c>
      <c r="D3768" s="51">
        <v>65.0</v>
      </c>
      <c r="E3768" s="52" t="s">
        <v>25</v>
      </c>
      <c r="F3768" s="52" t="s">
        <v>26</v>
      </c>
      <c r="G3768" s="54"/>
    </row>
    <row r="3769">
      <c r="A3769" s="49">
        <v>45060.39282465278</v>
      </c>
      <c r="B3769" s="50">
        <v>45060.5177763773</v>
      </c>
      <c r="C3769" s="51">
        <v>1.016</v>
      </c>
      <c r="D3769" s="51">
        <v>65.0</v>
      </c>
      <c r="E3769" s="52" t="s">
        <v>25</v>
      </c>
      <c r="F3769" s="52" t="s">
        <v>26</v>
      </c>
      <c r="G3769" s="54"/>
    </row>
    <row r="3770">
      <c r="A3770" s="49">
        <v>45060.403219432876</v>
      </c>
      <c r="B3770" s="50">
        <v>45060.5281986921</v>
      </c>
      <c r="C3770" s="51">
        <v>1.016</v>
      </c>
      <c r="D3770" s="51">
        <v>65.0</v>
      </c>
      <c r="E3770" s="52" t="s">
        <v>25</v>
      </c>
      <c r="F3770" s="52" t="s">
        <v>26</v>
      </c>
      <c r="G3770" s="54"/>
    </row>
    <row r="3771">
      <c r="A3771" s="49">
        <v>45060.41364663195</v>
      </c>
      <c r="B3771" s="50">
        <v>45060.5386220254</v>
      </c>
      <c r="C3771" s="51">
        <v>1.016</v>
      </c>
      <c r="D3771" s="51">
        <v>65.0</v>
      </c>
      <c r="E3771" s="52" t="s">
        <v>25</v>
      </c>
      <c r="F3771" s="52" t="s">
        <v>26</v>
      </c>
      <c r="G3771" s="54"/>
    </row>
    <row r="3772">
      <c r="A3772" s="49">
        <v>45060.42409134259</v>
      </c>
      <c r="B3772" s="50">
        <v>45060.5490656018</v>
      </c>
      <c r="C3772" s="51">
        <v>1.016</v>
      </c>
      <c r="D3772" s="51">
        <v>65.0</v>
      </c>
      <c r="E3772" s="52" t="s">
        <v>25</v>
      </c>
      <c r="F3772" s="52" t="s">
        <v>26</v>
      </c>
      <c r="G3772" s="54"/>
    </row>
    <row r="3773">
      <c r="A3773" s="49">
        <v>45060.43451328704</v>
      </c>
      <c r="B3773" s="50">
        <v>45060.5594885879</v>
      </c>
      <c r="C3773" s="51">
        <v>1.016</v>
      </c>
      <c r="D3773" s="51">
        <v>65.0</v>
      </c>
      <c r="E3773" s="52" t="s">
        <v>25</v>
      </c>
      <c r="F3773" s="52" t="s">
        <v>26</v>
      </c>
      <c r="G3773" s="54"/>
    </row>
    <row r="3774">
      <c r="A3774" s="49">
        <v>45060.455370682874</v>
      </c>
      <c r="B3774" s="50">
        <v>45060.5803425578</v>
      </c>
      <c r="C3774" s="51">
        <v>1.016</v>
      </c>
      <c r="D3774" s="51">
        <v>65.0</v>
      </c>
      <c r="E3774" s="52" t="s">
        <v>25</v>
      </c>
      <c r="F3774" s="52" t="s">
        <v>26</v>
      </c>
      <c r="G3774" s="54"/>
    </row>
    <row r="3775">
      <c r="A3775" s="49">
        <v>45060.465779942126</v>
      </c>
      <c r="B3775" s="50">
        <v>45060.5907638078</v>
      </c>
      <c r="C3775" s="51">
        <v>1.016</v>
      </c>
      <c r="D3775" s="51">
        <v>65.0</v>
      </c>
      <c r="E3775" s="52" t="s">
        <v>25</v>
      </c>
      <c r="F3775" s="52" t="s">
        <v>26</v>
      </c>
      <c r="G3775" s="54"/>
    </row>
    <row r="3776">
      <c r="A3776" s="49">
        <v>45060.476207071755</v>
      </c>
      <c r="B3776" s="50">
        <v>45060.601182118</v>
      </c>
      <c r="C3776" s="51">
        <v>1.015</v>
      </c>
      <c r="D3776" s="51">
        <v>65.0</v>
      </c>
      <c r="E3776" s="52" t="s">
        <v>25</v>
      </c>
      <c r="F3776" s="52" t="s">
        <v>26</v>
      </c>
      <c r="G3776" s="54"/>
    </row>
    <row r="3777">
      <c r="A3777" s="49">
        <v>45060.48663834491</v>
      </c>
      <c r="B3777" s="50">
        <v>45060.6116145138</v>
      </c>
      <c r="C3777" s="51">
        <v>1.015</v>
      </c>
      <c r="D3777" s="51">
        <v>65.0</v>
      </c>
      <c r="E3777" s="52" t="s">
        <v>25</v>
      </c>
      <c r="F3777" s="52" t="s">
        <v>26</v>
      </c>
      <c r="G3777" s="54"/>
    </row>
    <row r="3778">
      <c r="A3778" s="49">
        <v>45060.49705821759</v>
      </c>
      <c r="B3778" s="50">
        <v>45060.6220383564</v>
      </c>
      <c r="C3778" s="51">
        <v>1.015</v>
      </c>
      <c r="D3778" s="51">
        <v>65.0</v>
      </c>
      <c r="E3778" s="52" t="s">
        <v>25</v>
      </c>
      <c r="F3778" s="52" t="s">
        <v>26</v>
      </c>
      <c r="G3778" s="54"/>
    </row>
    <row r="3779">
      <c r="A3779" s="49">
        <v>45060.507481458335</v>
      </c>
      <c r="B3779" s="50">
        <v>45060.6324577777</v>
      </c>
      <c r="C3779" s="51">
        <v>1.015</v>
      </c>
      <c r="D3779" s="51">
        <v>65.0</v>
      </c>
      <c r="E3779" s="52" t="s">
        <v>25</v>
      </c>
      <c r="F3779" s="52" t="s">
        <v>26</v>
      </c>
      <c r="G3779" s="54"/>
    </row>
    <row r="3780">
      <c r="A3780" s="49">
        <v>45060.517902974534</v>
      </c>
      <c r="B3780" s="50">
        <v>45060.6428766898</v>
      </c>
      <c r="C3780" s="51">
        <v>1.016</v>
      </c>
      <c r="D3780" s="51">
        <v>65.0</v>
      </c>
      <c r="E3780" s="52" t="s">
        <v>25</v>
      </c>
      <c r="F3780" s="52" t="s">
        <v>26</v>
      </c>
      <c r="G3780" s="54"/>
    </row>
    <row r="3781">
      <c r="A3781" s="49">
        <v>45060.52832003472</v>
      </c>
      <c r="B3781" s="50">
        <v>45060.6532984259</v>
      </c>
      <c r="C3781" s="51">
        <v>1.015</v>
      </c>
      <c r="D3781" s="51">
        <v>65.0</v>
      </c>
      <c r="E3781" s="52" t="s">
        <v>25</v>
      </c>
      <c r="F3781" s="52" t="s">
        <v>26</v>
      </c>
      <c r="G3781" s="54"/>
    </row>
    <row r="3782">
      <c r="A3782" s="49">
        <v>45060.538746736114</v>
      </c>
      <c r="B3782" s="50">
        <v>45060.6637196527</v>
      </c>
      <c r="C3782" s="51">
        <v>1.016</v>
      </c>
      <c r="D3782" s="51">
        <v>65.0</v>
      </c>
      <c r="E3782" s="52" t="s">
        <v>25</v>
      </c>
      <c r="F3782" s="52" t="s">
        <v>26</v>
      </c>
      <c r="G3782" s="54"/>
    </row>
    <row r="3783">
      <c r="A3783" s="49">
        <v>45060.549178009256</v>
      </c>
      <c r="B3783" s="50">
        <v>45060.6741519328</v>
      </c>
      <c r="C3783" s="51">
        <v>1.015</v>
      </c>
      <c r="D3783" s="51">
        <v>65.0</v>
      </c>
      <c r="E3783" s="52" t="s">
        <v>25</v>
      </c>
      <c r="F3783" s="52" t="s">
        <v>26</v>
      </c>
      <c r="G3783" s="54"/>
    </row>
    <row r="3784">
      <c r="A3784" s="49">
        <v>45060.55961094907</v>
      </c>
      <c r="B3784" s="50">
        <v>45060.6845837615</v>
      </c>
      <c r="C3784" s="51">
        <v>1.015</v>
      </c>
      <c r="D3784" s="51">
        <v>65.0</v>
      </c>
      <c r="E3784" s="52" t="s">
        <v>25</v>
      </c>
      <c r="F3784" s="52" t="s">
        <v>26</v>
      </c>
      <c r="G3784" s="54"/>
    </row>
    <row r="3785">
      <c r="A3785" s="49">
        <v>45060.57004769676</v>
      </c>
      <c r="B3785" s="50">
        <v>45060.6950148726</v>
      </c>
      <c r="C3785" s="51">
        <v>1.015</v>
      </c>
      <c r="D3785" s="51">
        <v>65.0</v>
      </c>
      <c r="E3785" s="52" t="s">
        <v>25</v>
      </c>
      <c r="F3785" s="52" t="s">
        <v>26</v>
      </c>
      <c r="G3785" s="54"/>
    </row>
    <row r="3786">
      <c r="A3786" s="49">
        <v>45060.58047619213</v>
      </c>
      <c r="B3786" s="50">
        <v>45060.7054459143</v>
      </c>
      <c r="C3786" s="51">
        <v>1.015</v>
      </c>
      <c r="D3786" s="51">
        <v>65.0</v>
      </c>
      <c r="E3786" s="52" t="s">
        <v>25</v>
      </c>
      <c r="F3786" s="52" t="s">
        <v>26</v>
      </c>
      <c r="G3786" s="54"/>
    </row>
    <row r="3787">
      <c r="A3787" s="49">
        <v>45060.590903749995</v>
      </c>
      <c r="B3787" s="50">
        <v>45060.7158645601</v>
      </c>
      <c r="C3787" s="51">
        <v>1.015</v>
      </c>
      <c r="D3787" s="51">
        <v>65.0</v>
      </c>
      <c r="E3787" s="52" t="s">
        <v>25</v>
      </c>
      <c r="F3787" s="52" t="s">
        <v>26</v>
      </c>
      <c r="G3787" s="54"/>
    </row>
    <row r="3788">
      <c r="A3788" s="49">
        <v>45060.601301435185</v>
      </c>
      <c r="B3788" s="50">
        <v>45060.7262836574</v>
      </c>
      <c r="C3788" s="51">
        <v>1.015</v>
      </c>
      <c r="D3788" s="51">
        <v>65.0</v>
      </c>
      <c r="E3788" s="52" t="s">
        <v>25</v>
      </c>
      <c r="F3788" s="52" t="s">
        <v>26</v>
      </c>
      <c r="G3788" s="54"/>
    </row>
    <row r="3789">
      <c r="A3789" s="49">
        <v>45060.61173733797</v>
      </c>
      <c r="B3789" s="50">
        <v>45060.7367171064</v>
      </c>
      <c r="C3789" s="51">
        <v>1.015</v>
      </c>
      <c r="D3789" s="51">
        <v>65.0</v>
      </c>
      <c r="E3789" s="52" t="s">
        <v>25</v>
      </c>
      <c r="F3789" s="52" t="s">
        <v>26</v>
      </c>
      <c r="G3789" s="54"/>
    </row>
    <row r="3790">
      <c r="A3790" s="49">
        <v>45060.62216417824</v>
      </c>
      <c r="B3790" s="50">
        <v>45060.7471390162</v>
      </c>
      <c r="C3790" s="51">
        <v>1.015</v>
      </c>
      <c r="D3790" s="51">
        <v>65.0</v>
      </c>
      <c r="E3790" s="52" t="s">
        <v>25</v>
      </c>
      <c r="F3790" s="52" t="s">
        <v>26</v>
      </c>
      <c r="G3790" s="54"/>
    </row>
    <row r="3791">
      <c r="A3791" s="49">
        <v>45060.63258336806</v>
      </c>
      <c r="B3791" s="50">
        <v>45060.7575593402</v>
      </c>
      <c r="C3791" s="51">
        <v>1.015</v>
      </c>
      <c r="D3791" s="51">
        <v>65.0</v>
      </c>
      <c r="E3791" s="52" t="s">
        <v>25</v>
      </c>
      <c r="F3791" s="52" t="s">
        <v>26</v>
      </c>
      <c r="G3791" s="54"/>
    </row>
    <row r="3792">
      <c r="A3792" s="49">
        <v>45060.643010740736</v>
      </c>
      <c r="B3792" s="50">
        <v>45060.7679815277</v>
      </c>
      <c r="C3792" s="51">
        <v>1.015</v>
      </c>
      <c r="D3792" s="51">
        <v>65.0</v>
      </c>
      <c r="E3792" s="52" t="s">
        <v>25</v>
      </c>
      <c r="F3792" s="52" t="s">
        <v>26</v>
      </c>
      <c r="G3792" s="54"/>
    </row>
    <row r="3793">
      <c r="A3793" s="49">
        <v>45060.653428935184</v>
      </c>
      <c r="B3793" s="50">
        <v>45060.7784026273</v>
      </c>
      <c r="C3793" s="51">
        <v>1.015</v>
      </c>
      <c r="D3793" s="51">
        <v>65.0</v>
      </c>
      <c r="E3793" s="52" t="s">
        <v>25</v>
      </c>
      <c r="F3793" s="52" t="s">
        <v>26</v>
      </c>
      <c r="G3793" s="54"/>
    </row>
    <row r="3794">
      <c r="A3794" s="49">
        <v>45060.66385745371</v>
      </c>
      <c r="B3794" s="50">
        <v>45060.7888226041</v>
      </c>
      <c r="C3794" s="51">
        <v>1.015</v>
      </c>
      <c r="D3794" s="51">
        <v>65.0</v>
      </c>
      <c r="E3794" s="52" t="s">
        <v>25</v>
      </c>
      <c r="F3794" s="52" t="s">
        <v>26</v>
      </c>
      <c r="G3794" s="54"/>
    </row>
    <row r="3795">
      <c r="A3795" s="49">
        <v>45060.674268726856</v>
      </c>
      <c r="B3795" s="50">
        <v>45060.7992442476</v>
      </c>
      <c r="C3795" s="51">
        <v>1.015</v>
      </c>
      <c r="D3795" s="51">
        <v>65.0</v>
      </c>
      <c r="E3795" s="52" t="s">
        <v>25</v>
      </c>
      <c r="F3795" s="52" t="s">
        <v>26</v>
      </c>
      <c r="G3795" s="54"/>
    </row>
    <row r="3796">
      <c r="A3796" s="49">
        <v>45060.68469180555</v>
      </c>
      <c r="B3796" s="50">
        <v>45060.8096650347</v>
      </c>
      <c r="C3796" s="51">
        <v>1.015</v>
      </c>
      <c r="D3796" s="51">
        <v>65.0</v>
      </c>
      <c r="E3796" s="52" t="s">
        <v>25</v>
      </c>
      <c r="F3796" s="52" t="s">
        <v>26</v>
      </c>
      <c r="G3796" s="54"/>
    </row>
    <row r="3797">
      <c r="A3797" s="49">
        <v>45060.69511796296</v>
      </c>
      <c r="B3797" s="50">
        <v>45060.8200865046</v>
      </c>
      <c r="C3797" s="51">
        <v>1.015</v>
      </c>
      <c r="D3797" s="51">
        <v>65.0</v>
      </c>
      <c r="E3797" s="52" t="s">
        <v>25</v>
      </c>
      <c r="F3797" s="52" t="s">
        <v>26</v>
      </c>
      <c r="G3797" s="54"/>
    </row>
    <row r="3798">
      <c r="A3798" s="49">
        <v>45060.70553818287</v>
      </c>
      <c r="B3798" s="50">
        <v>45060.830508449</v>
      </c>
      <c r="C3798" s="51">
        <v>1.015</v>
      </c>
      <c r="D3798" s="51">
        <v>65.0</v>
      </c>
      <c r="E3798" s="52" t="s">
        <v>25</v>
      </c>
      <c r="F3798" s="52" t="s">
        <v>26</v>
      </c>
      <c r="G3798" s="54"/>
    </row>
    <row r="3799">
      <c r="A3799" s="49">
        <v>45060.71594837963</v>
      </c>
      <c r="B3799" s="50">
        <v>45060.8409291782</v>
      </c>
      <c r="C3799" s="51">
        <v>1.015</v>
      </c>
      <c r="D3799" s="51">
        <v>65.0</v>
      </c>
      <c r="E3799" s="52" t="s">
        <v>25</v>
      </c>
      <c r="F3799" s="52" t="s">
        <v>26</v>
      </c>
      <c r="G3799" s="54"/>
    </row>
    <row r="3800">
      <c r="A3800" s="49">
        <v>45060.726383217596</v>
      </c>
      <c r="B3800" s="50">
        <v>45060.8513613426</v>
      </c>
      <c r="C3800" s="51">
        <v>1.015</v>
      </c>
      <c r="D3800" s="51">
        <v>65.0</v>
      </c>
      <c r="E3800" s="52" t="s">
        <v>25</v>
      </c>
      <c r="F3800" s="52" t="s">
        <v>26</v>
      </c>
      <c r="G3800" s="54"/>
    </row>
    <row r="3801">
      <c r="A3801" s="49">
        <v>45060.73681079861</v>
      </c>
      <c r="B3801" s="50">
        <v>45060.8617932407</v>
      </c>
      <c r="C3801" s="51">
        <v>1.015</v>
      </c>
      <c r="D3801" s="51">
        <v>65.0</v>
      </c>
      <c r="E3801" s="52" t="s">
        <v>25</v>
      </c>
      <c r="F3801" s="52" t="s">
        <v>26</v>
      </c>
      <c r="G3801" s="54"/>
    </row>
    <row r="3802">
      <c r="A3802" s="49">
        <v>45060.74723034722</v>
      </c>
      <c r="B3802" s="50">
        <v>45060.8722148958</v>
      </c>
      <c r="C3802" s="51">
        <v>1.015</v>
      </c>
      <c r="D3802" s="51">
        <v>65.0</v>
      </c>
      <c r="E3802" s="52" t="s">
        <v>25</v>
      </c>
      <c r="F3802" s="52" t="s">
        <v>26</v>
      </c>
      <c r="G3802" s="54"/>
    </row>
    <row r="3803">
      <c r="A3803" s="49">
        <v>45060.75765825232</v>
      </c>
      <c r="B3803" s="50">
        <v>45060.8826349305</v>
      </c>
      <c r="C3803" s="51">
        <v>1.015</v>
      </c>
      <c r="D3803" s="51">
        <v>65.0</v>
      </c>
      <c r="E3803" s="52" t="s">
        <v>25</v>
      </c>
      <c r="F3803" s="52" t="s">
        <v>26</v>
      </c>
      <c r="G3803" s="54"/>
    </row>
    <row r="3804">
      <c r="A3804" s="49">
        <v>45060.768081875</v>
      </c>
      <c r="B3804" s="50">
        <v>45060.8930564583</v>
      </c>
      <c r="C3804" s="51">
        <v>1.015</v>
      </c>
      <c r="D3804" s="51">
        <v>65.0</v>
      </c>
      <c r="E3804" s="52" t="s">
        <v>25</v>
      </c>
      <c r="F3804" s="52" t="s">
        <v>26</v>
      </c>
      <c r="G3804" s="54"/>
    </row>
    <row r="3805">
      <c r="A3805" s="49">
        <v>45060.778533923614</v>
      </c>
      <c r="B3805" s="50">
        <v>45060.9035032754</v>
      </c>
      <c r="C3805" s="51">
        <v>1.015</v>
      </c>
      <c r="D3805" s="51">
        <v>65.0</v>
      </c>
      <c r="E3805" s="52" t="s">
        <v>25</v>
      </c>
      <c r="F3805" s="52" t="s">
        <v>26</v>
      </c>
      <c r="G3805" s="54"/>
    </row>
    <row r="3806">
      <c r="A3806" s="49">
        <v>45060.78894702546</v>
      </c>
      <c r="B3806" s="50">
        <v>45060.9139245949</v>
      </c>
      <c r="C3806" s="51">
        <v>1.015</v>
      </c>
      <c r="D3806" s="51">
        <v>65.0</v>
      </c>
      <c r="E3806" s="52" t="s">
        <v>25</v>
      </c>
      <c r="F3806" s="52" t="s">
        <v>26</v>
      </c>
      <c r="G3806" s="54"/>
    </row>
    <row r="3807">
      <c r="A3807" s="49">
        <v>45060.79937150463</v>
      </c>
      <c r="B3807" s="50">
        <v>45060.9243450694</v>
      </c>
      <c r="C3807" s="51">
        <v>1.015</v>
      </c>
      <c r="D3807" s="51">
        <v>65.0</v>
      </c>
      <c r="E3807" s="52" t="s">
        <v>25</v>
      </c>
      <c r="F3807" s="52" t="s">
        <v>26</v>
      </c>
      <c r="G3807" s="54"/>
    </row>
    <row r="3808">
      <c r="A3808" s="49">
        <v>45060.80978769676</v>
      </c>
      <c r="B3808" s="50">
        <v>45060.9347670486</v>
      </c>
      <c r="C3808" s="51">
        <v>1.015</v>
      </c>
      <c r="D3808" s="51">
        <v>65.0</v>
      </c>
      <c r="E3808" s="52" t="s">
        <v>25</v>
      </c>
      <c r="F3808" s="52" t="s">
        <v>26</v>
      </c>
      <c r="G3808" s="54"/>
    </row>
    <row r="3809">
      <c r="A3809" s="49">
        <v>45060.82022366898</v>
      </c>
      <c r="B3809" s="50">
        <v>45060.9452015277</v>
      </c>
      <c r="C3809" s="51">
        <v>1.015</v>
      </c>
      <c r="D3809" s="51">
        <v>65.0</v>
      </c>
      <c r="E3809" s="52" t="s">
        <v>25</v>
      </c>
      <c r="F3809" s="52" t="s">
        <v>26</v>
      </c>
      <c r="G3809" s="54"/>
    </row>
    <row r="3810">
      <c r="A3810" s="49">
        <v>45060.83065456018</v>
      </c>
      <c r="B3810" s="50">
        <v>45060.9556224189</v>
      </c>
      <c r="C3810" s="51">
        <v>1.015</v>
      </c>
      <c r="D3810" s="51">
        <v>65.0</v>
      </c>
      <c r="E3810" s="52" t="s">
        <v>25</v>
      </c>
      <c r="F3810" s="52" t="s">
        <v>26</v>
      </c>
      <c r="G3810" s="54"/>
    </row>
    <row r="3811">
      <c r="A3811" s="49">
        <v>45060.841081736115</v>
      </c>
      <c r="B3811" s="50">
        <v>45060.9660554513</v>
      </c>
      <c r="C3811" s="51">
        <v>1.015</v>
      </c>
      <c r="D3811" s="51">
        <v>65.0</v>
      </c>
      <c r="E3811" s="52" t="s">
        <v>25</v>
      </c>
      <c r="F3811" s="52" t="s">
        <v>26</v>
      </c>
      <c r="G3811" s="54"/>
    </row>
    <row r="3812">
      <c r="A3812" s="49">
        <v>45060.85151152778</v>
      </c>
      <c r="B3812" s="50">
        <v>45060.9764894444</v>
      </c>
      <c r="C3812" s="51">
        <v>1.015</v>
      </c>
      <c r="D3812" s="51">
        <v>65.0</v>
      </c>
      <c r="E3812" s="52" t="s">
        <v>25</v>
      </c>
      <c r="F3812" s="52" t="s">
        <v>26</v>
      </c>
      <c r="G3812" s="54"/>
    </row>
    <row r="3813">
      <c r="A3813" s="49">
        <v>45060.86193246528</v>
      </c>
      <c r="B3813" s="50">
        <v>45060.9869108101</v>
      </c>
      <c r="C3813" s="51">
        <v>1.015</v>
      </c>
      <c r="D3813" s="51">
        <v>65.0</v>
      </c>
      <c r="E3813" s="52" t="s">
        <v>25</v>
      </c>
      <c r="F3813" s="52" t="s">
        <v>26</v>
      </c>
      <c r="G3813" s="54"/>
    </row>
    <row r="3814">
      <c r="A3814" s="49">
        <v>45060.87235822917</v>
      </c>
      <c r="B3814" s="50">
        <v>45060.9973320023</v>
      </c>
      <c r="C3814" s="51">
        <v>1.015</v>
      </c>
      <c r="D3814" s="51">
        <v>65.0</v>
      </c>
      <c r="E3814" s="52" t="s">
        <v>25</v>
      </c>
      <c r="F3814" s="52" t="s">
        <v>26</v>
      </c>
      <c r="G3814" s="54"/>
    </row>
    <row r="3815">
      <c r="A3815" s="49">
        <v>45060.882776342594</v>
      </c>
      <c r="B3815" s="50">
        <v>45061.0077533217</v>
      </c>
      <c r="C3815" s="51">
        <v>1.015</v>
      </c>
      <c r="D3815" s="51">
        <v>65.0</v>
      </c>
      <c r="E3815" s="52" t="s">
        <v>25</v>
      </c>
      <c r="F3815" s="52" t="s">
        <v>26</v>
      </c>
      <c r="G3815" s="54"/>
    </row>
    <row r="3816">
      <c r="A3816" s="49">
        <v>45060.89319332176</v>
      </c>
      <c r="B3816" s="50">
        <v>45061.0181742013</v>
      </c>
      <c r="C3816" s="51">
        <v>1.015</v>
      </c>
      <c r="D3816" s="51">
        <v>65.0</v>
      </c>
      <c r="E3816" s="52" t="s">
        <v>25</v>
      </c>
      <c r="F3816" s="52" t="s">
        <v>26</v>
      </c>
      <c r="G3816" s="54"/>
    </row>
    <row r="3817">
      <c r="A3817" s="49">
        <v>45060.90361760417</v>
      </c>
      <c r="B3817" s="50">
        <v>45061.0285946759</v>
      </c>
      <c r="C3817" s="51">
        <v>1.015</v>
      </c>
      <c r="D3817" s="51">
        <v>65.0</v>
      </c>
      <c r="E3817" s="52" t="s">
        <v>25</v>
      </c>
      <c r="F3817" s="52" t="s">
        <v>26</v>
      </c>
      <c r="G3817" s="54"/>
    </row>
    <row r="3818">
      <c r="A3818" s="49">
        <v>45060.91403212963</v>
      </c>
      <c r="B3818" s="50">
        <v>45061.0390155787</v>
      </c>
      <c r="C3818" s="51">
        <v>1.015</v>
      </c>
      <c r="D3818" s="51">
        <v>65.0</v>
      </c>
      <c r="E3818" s="52" t="s">
        <v>25</v>
      </c>
      <c r="F3818" s="52" t="s">
        <v>26</v>
      </c>
      <c r="G3818" s="54"/>
    </row>
    <row r="3819">
      <c r="A3819" s="49">
        <v>45060.92445490741</v>
      </c>
      <c r="B3819" s="50">
        <v>45061.0494364004</v>
      </c>
      <c r="C3819" s="51">
        <v>1.015</v>
      </c>
      <c r="D3819" s="51">
        <v>65.0</v>
      </c>
      <c r="E3819" s="52" t="s">
        <v>25</v>
      </c>
      <c r="F3819" s="52" t="s">
        <v>26</v>
      </c>
      <c r="G3819" s="54"/>
    </row>
    <row r="3820">
      <c r="A3820" s="49">
        <v>45060.934872604164</v>
      </c>
      <c r="B3820" s="50">
        <v>45061.0598574421</v>
      </c>
      <c r="C3820" s="51">
        <v>1.015</v>
      </c>
      <c r="D3820" s="51">
        <v>65.0</v>
      </c>
      <c r="E3820" s="52" t="s">
        <v>25</v>
      </c>
      <c r="F3820" s="52" t="s">
        <v>26</v>
      </c>
      <c r="G3820" s="54"/>
    </row>
    <row r="3821">
      <c r="A3821" s="49">
        <v>45060.945299189814</v>
      </c>
      <c r="B3821" s="50">
        <v>45061.0702770949</v>
      </c>
      <c r="C3821" s="51">
        <v>1.015</v>
      </c>
      <c r="D3821" s="51">
        <v>65.0</v>
      </c>
      <c r="E3821" s="52" t="s">
        <v>25</v>
      </c>
      <c r="F3821" s="52" t="s">
        <v>26</v>
      </c>
      <c r="G3821" s="54"/>
    </row>
    <row r="3822">
      <c r="A3822" s="49">
        <v>45060.95571890046</v>
      </c>
      <c r="B3822" s="50">
        <v>45061.080698368</v>
      </c>
      <c r="C3822" s="51">
        <v>1.015</v>
      </c>
      <c r="D3822" s="51">
        <v>65.0</v>
      </c>
      <c r="E3822" s="52" t="s">
        <v>25</v>
      </c>
      <c r="F3822" s="52" t="s">
        <v>26</v>
      </c>
      <c r="G3822" s="54"/>
    </row>
    <row r="3823">
      <c r="A3823" s="49">
        <v>45060.9661525463</v>
      </c>
      <c r="B3823" s="50">
        <v>45061.0911317708</v>
      </c>
      <c r="C3823" s="51">
        <v>1.015</v>
      </c>
      <c r="D3823" s="51">
        <v>65.0</v>
      </c>
      <c r="E3823" s="52" t="s">
        <v>25</v>
      </c>
      <c r="F3823" s="52" t="s">
        <v>26</v>
      </c>
      <c r="G3823" s="54"/>
    </row>
    <row r="3824">
      <c r="A3824" s="49">
        <v>45060.97658931713</v>
      </c>
      <c r="B3824" s="50">
        <v>45061.1015651157</v>
      </c>
      <c r="C3824" s="51">
        <v>1.015</v>
      </c>
      <c r="D3824" s="51">
        <v>65.0</v>
      </c>
      <c r="E3824" s="52" t="s">
        <v>25</v>
      </c>
      <c r="F3824" s="52" t="s">
        <v>26</v>
      </c>
      <c r="G3824" s="54"/>
    </row>
    <row r="3825">
      <c r="A3825" s="49">
        <v>45060.987016643514</v>
      </c>
      <c r="B3825" s="50">
        <v>45061.111984375</v>
      </c>
      <c r="C3825" s="51">
        <v>1.015</v>
      </c>
      <c r="D3825" s="51">
        <v>65.0</v>
      </c>
      <c r="E3825" s="52" t="s">
        <v>25</v>
      </c>
      <c r="F3825" s="52" t="s">
        <v>26</v>
      </c>
      <c r="G3825" s="54"/>
    </row>
    <row r="3826">
      <c r="A3826" s="49">
        <v>45060.99744177083</v>
      </c>
      <c r="B3826" s="50">
        <v>45061.1224053356</v>
      </c>
      <c r="C3826" s="51">
        <v>1.015</v>
      </c>
      <c r="D3826" s="51">
        <v>65.0</v>
      </c>
      <c r="E3826" s="52" t="s">
        <v>25</v>
      </c>
      <c r="F3826" s="52" t="s">
        <v>26</v>
      </c>
      <c r="G3826" s="54"/>
    </row>
    <row r="3827">
      <c r="A3827" s="49">
        <v>45061.00785170139</v>
      </c>
      <c r="B3827" s="50">
        <v>45061.1328243171</v>
      </c>
      <c r="C3827" s="51">
        <v>1.015</v>
      </c>
      <c r="D3827" s="51">
        <v>65.0</v>
      </c>
      <c r="E3827" s="52" t="s">
        <v>25</v>
      </c>
      <c r="F3827" s="52" t="s">
        <v>26</v>
      </c>
      <c r="G3827" s="54"/>
    </row>
    <row r="3828">
      <c r="A3828" s="49">
        <v>45061.01827400463</v>
      </c>
      <c r="B3828" s="50">
        <v>45061.1432454166</v>
      </c>
      <c r="C3828" s="51">
        <v>1.015</v>
      </c>
      <c r="D3828" s="51">
        <v>65.0</v>
      </c>
      <c r="E3828" s="52" t="s">
        <v>25</v>
      </c>
      <c r="F3828" s="52" t="s">
        <v>26</v>
      </c>
      <c r="G3828" s="54"/>
    </row>
    <row r="3829">
      <c r="A3829" s="49">
        <v>45061.0286918287</v>
      </c>
      <c r="B3829" s="50">
        <v>45061.1536665509</v>
      </c>
      <c r="C3829" s="51">
        <v>1.015</v>
      </c>
      <c r="D3829" s="51">
        <v>65.0</v>
      </c>
      <c r="E3829" s="52" t="s">
        <v>25</v>
      </c>
      <c r="F3829" s="52" t="s">
        <v>26</v>
      </c>
      <c r="G3829" s="54"/>
    </row>
    <row r="3830">
      <c r="A3830" s="49">
        <v>45061.039111805556</v>
      </c>
      <c r="B3830" s="50">
        <v>45061.1640878935</v>
      </c>
      <c r="C3830" s="51">
        <v>1.015</v>
      </c>
      <c r="D3830" s="51">
        <v>65.0</v>
      </c>
      <c r="E3830" s="52" t="s">
        <v>25</v>
      </c>
      <c r="F3830" s="52" t="s">
        <v>26</v>
      </c>
      <c r="G3830" s="54"/>
    </row>
    <row r="3831">
      <c r="A3831" s="49">
        <v>45061.04954070602</v>
      </c>
      <c r="B3831" s="50">
        <v>45061.174511655</v>
      </c>
      <c r="C3831" s="51">
        <v>1.015</v>
      </c>
      <c r="D3831" s="51">
        <v>65.0</v>
      </c>
      <c r="E3831" s="52" t="s">
        <v>25</v>
      </c>
      <c r="F3831" s="52" t="s">
        <v>26</v>
      </c>
      <c r="G3831" s="54"/>
    </row>
    <row r="3832">
      <c r="A3832" s="49">
        <v>45061.05996084491</v>
      </c>
      <c r="B3832" s="50">
        <v>45061.1849342824</v>
      </c>
      <c r="C3832" s="51">
        <v>1.015</v>
      </c>
      <c r="D3832" s="51">
        <v>65.0</v>
      </c>
      <c r="E3832" s="52" t="s">
        <v>25</v>
      </c>
      <c r="F3832" s="52" t="s">
        <v>26</v>
      </c>
      <c r="G3832" s="54"/>
    </row>
    <row r="3833">
      <c r="A3833" s="49">
        <v>45061.07038369213</v>
      </c>
      <c r="B3833" s="50">
        <v>45061.1953550231</v>
      </c>
      <c r="C3833" s="51">
        <v>1.015</v>
      </c>
      <c r="D3833" s="51">
        <v>65.0</v>
      </c>
      <c r="E3833" s="52" t="s">
        <v>25</v>
      </c>
      <c r="F3833" s="52" t="s">
        <v>26</v>
      </c>
      <c r="G3833" s="54"/>
    </row>
    <row r="3834">
      <c r="A3834" s="49">
        <v>45061.08087810186</v>
      </c>
      <c r="B3834" s="50">
        <v>45061.2057755787</v>
      </c>
      <c r="C3834" s="51">
        <v>1.015</v>
      </c>
      <c r="D3834" s="51">
        <v>65.0</v>
      </c>
      <c r="E3834" s="52" t="s">
        <v>25</v>
      </c>
      <c r="F3834" s="52" t="s">
        <v>26</v>
      </c>
      <c r="G3834" s="54"/>
    </row>
    <row r="3835">
      <c r="A3835" s="49">
        <v>45061.09123387732</v>
      </c>
      <c r="B3835" s="50">
        <v>45061.2162107175</v>
      </c>
      <c r="C3835" s="51">
        <v>1.015</v>
      </c>
      <c r="D3835" s="51">
        <v>65.0</v>
      </c>
      <c r="E3835" s="52" t="s">
        <v>25</v>
      </c>
      <c r="F3835" s="52" t="s">
        <v>26</v>
      </c>
      <c r="G3835" s="54"/>
    </row>
    <row r="3836">
      <c r="A3836" s="49">
        <v>45061.101652708334</v>
      </c>
      <c r="B3836" s="50">
        <v>45061.2266327314</v>
      </c>
      <c r="C3836" s="51">
        <v>1.015</v>
      </c>
      <c r="D3836" s="51">
        <v>65.0</v>
      </c>
      <c r="E3836" s="52" t="s">
        <v>25</v>
      </c>
      <c r="F3836" s="52" t="s">
        <v>26</v>
      </c>
      <c r="G3836" s="54"/>
    </row>
    <row r="3837">
      <c r="A3837" s="49">
        <v>45061.11210395834</v>
      </c>
      <c r="B3837" s="50">
        <v>45061.2370649652</v>
      </c>
      <c r="C3837" s="51">
        <v>1.015</v>
      </c>
      <c r="D3837" s="51">
        <v>65.0</v>
      </c>
      <c r="E3837" s="52" t="s">
        <v>25</v>
      </c>
      <c r="F3837" s="52" t="s">
        <v>26</v>
      </c>
      <c r="G3837" s="54"/>
    </row>
    <row r="3838">
      <c r="A3838" s="49">
        <v>45061.12251886574</v>
      </c>
      <c r="B3838" s="50">
        <v>45061.2474872916</v>
      </c>
      <c r="C3838" s="51">
        <v>1.015</v>
      </c>
      <c r="D3838" s="51">
        <v>65.0</v>
      </c>
      <c r="E3838" s="52" t="s">
        <v>25</v>
      </c>
      <c r="F3838" s="52" t="s">
        <v>26</v>
      </c>
      <c r="G3838" s="54"/>
    </row>
    <row r="3839">
      <c r="A3839" s="49">
        <v>45061.13293717593</v>
      </c>
      <c r="B3839" s="50">
        <v>45061.2579088078</v>
      </c>
      <c r="C3839" s="51">
        <v>1.015</v>
      </c>
      <c r="D3839" s="51">
        <v>65.0</v>
      </c>
      <c r="E3839" s="52" t="s">
        <v>25</v>
      </c>
      <c r="F3839" s="52" t="s">
        <v>26</v>
      </c>
      <c r="G3839" s="54"/>
    </row>
    <row r="3840">
      <c r="A3840" s="49">
        <v>45061.14334703704</v>
      </c>
      <c r="B3840" s="50">
        <v>45061.2683288888</v>
      </c>
      <c r="C3840" s="51">
        <v>1.015</v>
      </c>
      <c r="D3840" s="51">
        <v>65.0</v>
      </c>
      <c r="E3840" s="52" t="s">
        <v>25</v>
      </c>
      <c r="F3840" s="52" t="s">
        <v>26</v>
      </c>
      <c r="G3840" s="54"/>
    </row>
    <row r="3841">
      <c r="A3841" s="49">
        <v>45061.15376596065</v>
      </c>
      <c r="B3841" s="50">
        <v>45061.2787499189</v>
      </c>
      <c r="C3841" s="51">
        <v>1.015</v>
      </c>
      <c r="D3841" s="51">
        <v>65.0</v>
      </c>
      <c r="E3841" s="52" t="s">
        <v>25</v>
      </c>
      <c r="F3841" s="52" t="s">
        <v>26</v>
      </c>
      <c r="G3841" s="54"/>
    </row>
    <row r="3842">
      <c r="A3842" s="49">
        <v>45061.16419030093</v>
      </c>
      <c r="B3842" s="50">
        <v>45061.2891717245</v>
      </c>
      <c r="C3842" s="51">
        <v>1.015</v>
      </c>
      <c r="D3842" s="51">
        <v>65.0</v>
      </c>
      <c r="E3842" s="52" t="s">
        <v>25</v>
      </c>
      <c r="F3842" s="52" t="s">
        <v>26</v>
      </c>
      <c r="G3842" s="54"/>
    </row>
    <row r="3843">
      <c r="A3843" s="49">
        <v>45061.17461378472</v>
      </c>
      <c r="B3843" s="50">
        <v>45061.2995942129</v>
      </c>
      <c r="C3843" s="51">
        <v>1.015</v>
      </c>
      <c r="D3843" s="51">
        <v>65.0</v>
      </c>
      <c r="E3843" s="52" t="s">
        <v>25</v>
      </c>
      <c r="F3843" s="52" t="s">
        <v>26</v>
      </c>
      <c r="G3843" s="54"/>
    </row>
    <row r="3844">
      <c r="A3844" s="49">
        <v>45061.185040625</v>
      </c>
      <c r="B3844" s="50">
        <v>45061.3100161111</v>
      </c>
      <c r="C3844" s="51">
        <v>1.015</v>
      </c>
      <c r="D3844" s="51">
        <v>65.0</v>
      </c>
      <c r="E3844" s="52" t="s">
        <v>25</v>
      </c>
      <c r="F3844" s="52" t="s">
        <v>26</v>
      </c>
      <c r="G3844" s="54"/>
    </row>
    <row r="3845">
      <c r="A3845" s="49">
        <v>45061.19546877315</v>
      </c>
      <c r="B3845" s="50">
        <v>45061.3204368402</v>
      </c>
      <c r="C3845" s="51">
        <v>1.015</v>
      </c>
      <c r="D3845" s="51">
        <v>65.0</v>
      </c>
      <c r="E3845" s="52" t="s">
        <v>25</v>
      </c>
      <c r="F3845" s="52" t="s">
        <v>26</v>
      </c>
      <c r="G3845" s="54"/>
    </row>
    <row r="3846">
      <c r="A3846" s="49">
        <v>45061.2058852662</v>
      </c>
      <c r="B3846" s="50">
        <v>45061.330856956</v>
      </c>
      <c r="C3846" s="51">
        <v>1.015</v>
      </c>
      <c r="D3846" s="51">
        <v>65.0</v>
      </c>
      <c r="E3846" s="52" t="s">
        <v>25</v>
      </c>
      <c r="F3846" s="52" t="s">
        <v>26</v>
      </c>
      <c r="G3846" s="54"/>
    </row>
    <row r="3847">
      <c r="A3847" s="49">
        <v>45061.216317592596</v>
      </c>
      <c r="B3847" s="50">
        <v>45061.3412908564</v>
      </c>
      <c r="C3847" s="51">
        <v>1.015</v>
      </c>
      <c r="D3847" s="51">
        <v>65.0</v>
      </c>
      <c r="E3847" s="52" t="s">
        <v>25</v>
      </c>
      <c r="F3847" s="52" t="s">
        <v>26</v>
      </c>
      <c r="G3847" s="54"/>
    </row>
    <row r="3848">
      <c r="A3848" s="49">
        <v>45061.22673759259</v>
      </c>
      <c r="B3848" s="50">
        <v>45061.3517100926</v>
      </c>
      <c r="C3848" s="51">
        <v>1.015</v>
      </c>
      <c r="D3848" s="51">
        <v>65.0</v>
      </c>
      <c r="E3848" s="52" t="s">
        <v>25</v>
      </c>
      <c r="F3848" s="52" t="s">
        <v>26</v>
      </c>
      <c r="G3848" s="54"/>
    </row>
    <row r="3849">
      <c r="A3849" s="49">
        <v>45061.23716347222</v>
      </c>
      <c r="B3849" s="50">
        <v>45061.3621316319</v>
      </c>
      <c r="C3849" s="51">
        <v>1.015</v>
      </c>
      <c r="D3849" s="51">
        <v>65.0</v>
      </c>
      <c r="E3849" s="52" t="s">
        <v>25</v>
      </c>
      <c r="F3849" s="52" t="s">
        <v>26</v>
      </c>
      <c r="G3849" s="54"/>
    </row>
    <row r="3850">
      <c r="A3850" s="49">
        <v>45061.24759571759</v>
      </c>
      <c r="B3850" s="50">
        <v>45061.3725527662</v>
      </c>
      <c r="C3850" s="51">
        <v>1.015</v>
      </c>
      <c r="D3850" s="51">
        <v>65.0</v>
      </c>
      <c r="E3850" s="52" t="s">
        <v>25</v>
      </c>
      <c r="F3850" s="52" t="s">
        <v>26</v>
      </c>
      <c r="G3850" s="54"/>
    </row>
    <row r="3851">
      <c r="A3851" s="49">
        <v>45061.258007129625</v>
      </c>
      <c r="B3851" s="50">
        <v>45061.3829749652</v>
      </c>
      <c r="C3851" s="51">
        <v>1.015</v>
      </c>
      <c r="D3851" s="51">
        <v>65.0</v>
      </c>
      <c r="E3851" s="52" t="s">
        <v>25</v>
      </c>
      <c r="F3851" s="52" t="s">
        <v>26</v>
      </c>
      <c r="G3851" s="54"/>
    </row>
    <row r="3852">
      <c r="A3852" s="49">
        <v>45061.268425752314</v>
      </c>
      <c r="B3852" s="50">
        <v>45061.3933952199</v>
      </c>
      <c r="C3852" s="51">
        <v>1.015</v>
      </c>
      <c r="D3852" s="51">
        <v>65.0</v>
      </c>
      <c r="E3852" s="52" t="s">
        <v>25</v>
      </c>
      <c r="F3852" s="52" t="s">
        <v>26</v>
      </c>
      <c r="G3852" s="54"/>
    </row>
    <row r="3853">
      <c r="A3853" s="49">
        <v>45061.27884704861</v>
      </c>
      <c r="B3853" s="50">
        <v>45061.4038173726</v>
      </c>
      <c r="C3853" s="51">
        <v>1.015</v>
      </c>
      <c r="D3853" s="51">
        <v>65.0</v>
      </c>
      <c r="E3853" s="52" t="s">
        <v>25</v>
      </c>
      <c r="F3853" s="52" t="s">
        <v>26</v>
      </c>
      <c r="G3853" s="54"/>
    </row>
    <row r="3854">
      <c r="A3854" s="49">
        <v>45061.28926207176</v>
      </c>
      <c r="B3854" s="50">
        <v>45061.4142376273</v>
      </c>
      <c r="C3854" s="51">
        <v>1.015</v>
      </c>
      <c r="D3854" s="51">
        <v>65.0</v>
      </c>
      <c r="E3854" s="52" t="s">
        <v>25</v>
      </c>
      <c r="F3854" s="52" t="s">
        <v>26</v>
      </c>
      <c r="G3854" s="54"/>
    </row>
    <row r="3855">
      <c r="A3855" s="49">
        <v>45061.29969818287</v>
      </c>
      <c r="B3855" s="50">
        <v>45061.424668831</v>
      </c>
      <c r="C3855" s="51">
        <v>1.015</v>
      </c>
      <c r="D3855" s="51">
        <v>65.0</v>
      </c>
      <c r="E3855" s="52" t="s">
        <v>25</v>
      </c>
      <c r="F3855" s="52" t="s">
        <v>26</v>
      </c>
      <c r="G3855" s="54"/>
    </row>
    <row r="3856">
      <c r="A3856" s="49">
        <v>45061.31012149305</v>
      </c>
      <c r="B3856" s="50">
        <v>45061.4350900115</v>
      </c>
      <c r="C3856" s="51">
        <v>1.015</v>
      </c>
      <c r="D3856" s="51">
        <v>65.0</v>
      </c>
      <c r="E3856" s="52" t="s">
        <v>25</v>
      </c>
      <c r="F3856" s="52" t="s">
        <v>26</v>
      </c>
      <c r="G3856" s="54"/>
    </row>
    <row r="3857">
      <c r="A3857" s="49">
        <v>45061.32053232639</v>
      </c>
      <c r="B3857" s="50">
        <v>45061.4455113194</v>
      </c>
      <c r="C3857" s="51">
        <v>1.015</v>
      </c>
      <c r="D3857" s="51">
        <v>65.0</v>
      </c>
      <c r="E3857" s="52" t="s">
        <v>25</v>
      </c>
      <c r="F3857" s="52" t="s">
        <v>26</v>
      </c>
      <c r="G3857" s="54"/>
    </row>
    <row r="3858">
      <c r="A3858" s="49">
        <v>45061.330964803245</v>
      </c>
      <c r="B3858" s="50">
        <v>45061.4559341782</v>
      </c>
      <c r="C3858" s="51">
        <v>1.015</v>
      </c>
      <c r="D3858" s="51">
        <v>65.0</v>
      </c>
      <c r="E3858" s="52" t="s">
        <v>25</v>
      </c>
      <c r="F3858" s="52" t="s">
        <v>26</v>
      </c>
      <c r="G3858" s="54"/>
    </row>
    <row r="3859">
      <c r="A3859" s="49">
        <v>45061.34138315972</v>
      </c>
      <c r="B3859" s="50">
        <v>45061.4663558333</v>
      </c>
      <c r="C3859" s="51">
        <v>1.015</v>
      </c>
      <c r="D3859" s="51">
        <v>65.0</v>
      </c>
      <c r="E3859" s="52" t="s">
        <v>25</v>
      </c>
      <c r="F3859" s="52" t="s">
        <v>26</v>
      </c>
      <c r="G3859" s="54"/>
    </row>
    <row r="3860">
      <c r="A3860" s="49">
        <v>45061.35181045139</v>
      </c>
      <c r="B3860" s="50">
        <v>45061.4767773379</v>
      </c>
      <c r="C3860" s="51">
        <v>1.015</v>
      </c>
      <c r="D3860" s="51">
        <v>65.0</v>
      </c>
      <c r="E3860" s="52" t="s">
        <v>25</v>
      </c>
      <c r="F3860" s="52" t="s">
        <v>26</v>
      </c>
      <c r="G3860" s="54"/>
    </row>
    <row r="3861">
      <c r="A3861" s="49">
        <v>45061.362228275466</v>
      </c>
      <c r="B3861" s="50">
        <v>45061.4871978588</v>
      </c>
      <c r="C3861" s="51">
        <v>1.015</v>
      </c>
      <c r="D3861" s="51">
        <v>65.0</v>
      </c>
      <c r="E3861" s="52" t="s">
        <v>25</v>
      </c>
      <c r="F3861" s="52" t="s">
        <v>26</v>
      </c>
      <c r="G3861" s="54"/>
    </row>
    <row r="3862">
      <c r="A3862" s="49">
        <v>45061.372651377314</v>
      </c>
      <c r="B3862" s="50">
        <v>45061.4976198379</v>
      </c>
      <c r="C3862" s="51">
        <v>1.015</v>
      </c>
      <c r="D3862" s="51">
        <v>65.0</v>
      </c>
      <c r="E3862" s="52" t="s">
        <v>25</v>
      </c>
      <c r="F3862" s="52" t="s">
        <v>26</v>
      </c>
      <c r="G3862" s="54"/>
    </row>
    <row r="3863">
      <c r="A3863" s="49">
        <v>45061.38310452546</v>
      </c>
      <c r="B3863" s="50">
        <v>45061.5080766435</v>
      </c>
      <c r="C3863" s="51">
        <v>1.015</v>
      </c>
      <c r="D3863" s="51">
        <v>65.0</v>
      </c>
      <c r="E3863" s="52" t="s">
        <v>25</v>
      </c>
      <c r="F3863" s="52" t="s">
        <v>26</v>
      </c>
      <c r="G3863" s="54"/>
    </row>
    <row r="3864">
      <c r="A3864" s="49">
        <v>45061.3935356713</v>
      </c>
      <c r="B3864" s="50">
        <v>45061.5185093634</v>
      </c>
      <c r="C3864" s="51">
        <v>1.015</v>
      </c>
      <c r="D3864" s="51">
        <v>65.0</v>
      </c>
      <c r="E3864" s="52" t="s">
        <v>25</v>
      </c>
      <c r="F3864" s="52" t="s">
        <v>26</v>
      </c>
      <c r="G3864" s="54"/>
    </row>
    <row r="3865">
      <c r="A3865" s="49">
        <v>45061.40395865741</v>
      </c>
      <c r="B3865" s="50">
        <v>45061.5289307638</v>
      </c>
      <c r="C3865" s="51">
        <v>1.015</v>
      </c>
      <c r="D3865" s="51">
        <v>65.0</v>
      </c>
      <c r="E3865" s="52" t="s">
        <v>25</v>
      </c>
      <c r="F3865" s="52" t="s">
        <v>26</v>
      </c>
      <c r="G3865" s="54"/>
    </row>
    <row r="3866">
      <c r="A3866" s="49">
        <v>45061.41437894676</v>
      </c>
      <c r="B3866" s="50">
        <v>45061.5393530208</v>
      </c>
      <c r="C3866" s="51">
        <v>1.015</v>
      </c>
      <c r="D3866" s="51">
        <v>64.0</v>
      </c>
      <c r="E3866" s="52" t="s">
        <v>25</v>
      </c>
      <c r="F3866" s="52" t="s">
        <v>26</v>
      </c>
      <c r="G3866" s="54"/>
    </row>
    <row r="3867">
      <c r="A3867" s="49">
        <v>45061.424799953704</v>
      </c>
      <c r="B3867" s="50">
        <v>45061.5497745833</v>
      </c>
      <c r="C3867" s="51">
        <v>1.015</v>
      </c>
      <c r="D3867" s="51">
        <v>65.0</v>
      </c>
      <c r="E3867" s="52" t="s">
        <v>25</v>
      </c>
      <c r="F3867" s="52" t="s">
        <v>26</v>
      </c>
      <c r="G3867" s="54"/>
    </row>
    <row r="3868">
      <c r="A3868" s="49">
        <v>45061.435228842594</v>
      </c>
      <c r="B3868" s="50">
        <v>45061.560196956</v>
      </c>
      <c r="C3868" s="51">
        <v>1.015</v>
      </c>
      <c r="D3868" s="51">
        <v>65.0</v>
      </c>
      <c r="E3868" s="52" t="s">
        <v>25</v>
      </c>
      <c r="F3868" s="52" t="s">
        <v>26</v>
      </c>
      <c r="G3868" s="54"/>
    </row>
    <row r="3869">
      <c r="A3869" s="49">
        <v>45061.445640694445</v>
      </c>
      <c r="B3869" s="50">
        <v>45061.5706178703</v>
      </c>
      <c r="C3869" s="51">
        <v>1.015</v>
      </c>
      <c r="D3869" s="51">
        <v>65.0</v>
      </c>
      <c r="E3869" s="52" t="s">
        <v>25</v>
      </c>
      <c r="F3869" s="52" t="s">
        <v>26</v>
      </c>
      <c r="G3869" s="54"/>
    </row>
    <row r="3870">
      <c r="A3870" s="49">
        <v>45061.45606128473</v>
      </c>
      <c r="B3870" s="50">
        <v>45061.5810371527</v>
      </c>
      <c r="C3870" s="51">
        <v>1.015</v>
      </c>
      <c r="D3870" s="51">
        <v>65.0</v>
      </c>
      <c r="E3870" s="52" t="s">
        <v>25</v>
      </c>
      <c r="F3870" s="52" t="s">
        <v>26</v>
      </c>
      <c r="G3870" s="54"/>
    </row>
    <row r="3871">
      <c r="A3871" s="49">
        <v>45061.46649399305</v>
      </c>
      <c r="B3871" s="50">
        <v>45061.5914684375</v>
      </c>
      <c r="C3871" s="51">
        <v>1.015</v>
      </c>
      <c r="D3871" s="51">
        <v>65.0</v>
      </c>
      <c r="E3871" s="52" t="s">
        <v>25</v>
      </c>
      <c r="F3871" s="52" t="s">
        <v>26</v>
      </c>
      <c r="G3871" s="54"/>
    </row>
    <row r="3872">
      <c r="A3872" s="49">
        <v>45061.476920810186</v>
      </c>
      <c r="B3872" s="50">
        <v>45061.6018901041</v>
      </c>
      <c r="C3872" s="51">
        <v>1.015</v>
      </c>
      <c r="D3872" s="51">
        <v>65.0</v>
      </c>
      <c r="E3872" s="52" t="s">
        <v>25</v>
      </c>
      <c r="F3872" s="52" t="s">
        <v>26</v>
      </c>
      <c r="G3872" s="54"/>
    </row>
    <row r="3873">
      <c r="A3873" s="49">
        <v>45061.48734359954</v>
      </c>
      <c r="B3873" s="50">
        <v>45061.6123115162</v>
      </c>
      <c r="C3873" s="51">
        <v>1.015</v>
      </c>
      <c r="D3873" s="51">
        <v>65.0</v>
      </c>
      <c r="E3873" s="52" t="s">
        <v>25</v>
      </c>
      <c r="F3873" s="52" t="s">
        <v>26</v>
      </c>
      <c r="G3873" s="54"/>
    </row>
    <row r="3874">
      <c r="A3874" s="49">
        <v>45061.49776706018</v>
      </c>
      <c r="B3874" s="50">
        <v>45061.6227305671</v>
      </c>
      <c r="C3874" s="51">
        <v>1.015</v>
      </c>
      <c r="D3874" s="51">
        <v>64.0</v>
      </c>
      <c r="E3874" s="52" t="s">
        <v>25</v>
      </c>
      <c r="F3874" s="52" t="s">
        <v>26</v>
      </c>
      <c r="G3874" s="54"/>
    </row>
    <row r="3875">
      <c r="A3875" s="49">
        <v>45061.50817233796</v>
      </c>
      <c r="B3875" s="50">
        <v>45061.6331510185</v>
      </c>
      <c r="C3875" s="51">
        <v>1.015</v>
      </c>
      <c r="D3875" s="51">
        <v>65.0</v>
      </c>
      <c r="E3875" s="52" t="s">
        <v>25</v>
      </c>
      <c r="F3875" s="52" t="s">
        <v>26</v>
      </c>
      <c r="G3875" s="54"/>
    </row>
    <row r="3876">
      <c r="A3876" s="49">
        <v>45061.51865726852</v>
      </c>
      <c r="B3876" s="50">
        <v>45061.6435719213</v>
      </c>
      <c r="C3876" s="51">
        <v>1.015</v>
      </c>
      <c r="D3876" s="51">
        <v>65.0</v>
      </c>
      <c r="E3876" s="52" t="s">
        <v>25</v>
      </c>
      <c r="F3876" s="52" t="s">
        <v>26</v>
      </c>
      <c r="G3876" s="54"/>
    </row>
    <row r="3877">
      <c r="A3877" s="49">
        <v>45061.52901770834</v>
      </c>
      <c r="B3877" s="50">
        <v>45061.6539920254</v>
      </c>
      <c r="C3877" s="51">
        <v>1.015</v>
      </c>
      <c r="D3877" s="51">
        <v>65.0</v>
      </c>
      <c r="E3877" s="52" t="s">
        <v>25</v>
      </c>
      <c r="F3877" s="52" t="s">
        <v>26</v>
      </c>
      <c r="G3877" s="54"/>
    </row>
    <row r="3878">
      <c r="A3878" s="49">
        <v>45061.5394362963</v>
      </c>
      <c r="B3878" s="50">
        <v>45061.6644154513</v>
      </c>
      <c r="C3878" s="51">
        <v>1.015</v>
      </c>
      <c r="D3878" s="51">
        <v>65.0</v>
      </c>
      <c r="E3878" s="52" t="s">
        <v>25</v>
      </c>
      <c r="F3878" s="52" t="s">
        <v>26</v>
      </c>
      <c r="G3878" s="54"/>
    </row>
    <row r="3879">
      <c r="A3879" s="49">
        <v>45061.54986212963</v>
      </c>
      <c r="B3879" s="50">
        <v>45061.6748363889</v>
      </c>
      <c r="C3879" s="51">
        <v>1.015</v>
      </c>
      <c r="D3879" s="51">
        <v>65.0</v>
      </c>
      <c r="E3879" s="52" t="s">
        <v>25</v>
      </c>
      <c r="F3879" s="52" t="s">
        <v>26</v>
      </c>
      <c r="G3879" s="54"/>
    </row>
    <row r="3880">
      <c r="A3880" s="49">
        <v>45061.56028619213</v>
      </c>
      <c r="B3880" s="50">
        <v>45061.6852577777</v>
      </c>
      <c r="C3880" s="51">
        <v>1.015</v>
      </c>
      <c r="D3880" s="51">
        <v>65.0</v>
      </c>
      <c r="E3880" s="52" t="s">
        <v>25</v>
      </c>
      <c r="F3880" s="52" t="s">
        <v>26</v>
      </c>
      <c r="G3880" s="54"/>
    </row>
    <row r="3881">
      <c r="A3881" s="49">
        <v>45061.57071274305</v>
      </c>
      <c r="B3881" s="50">
        <v>45061.695678287</v>
      </c>
      <c r="C3881" s="51">
        <v>1.015</v>
      </c>
      <c r="D3881" s="51">
        <v>65.0</v>
      </c>
      <c r="E3881" s="52" t="s">
        <v>25</v>
      </c>
      <c r="F3881" s="52" t="s">
        <v>26</v>
      </c>
      <c r="G3881" s="54"/>
    </row>
    <row r="3882">
      <c r="A3882" s="49">
        <v>45061.58112913194</v>
      </c>
      <c r="B3882" s="50">
        <v>45061.7060997338</v>
      </c>
      <c r="C3882" s="51">
        <v>1.015</v>
      </c>
      <c r="D3882" s="51">
        <v>65.0</v>
      </c>
      <c r="E3882" s="52" t="s">
        <v>25</v>
      </c>
      <c r="F3882" s="52" t="s">
        <v>26</v>
      </c>
      <c r="G3882" s="54"/>
    </row>
    <row r="3883">
      <c r="A3883" s="49">
        <v>45061.59156071759</v>
      </c>
      <c r="B3883" s="50">
        <v>45061.7165314351</v>
      </c>
      <c r="C3883" s="51">
        <v>1.015</v>
      </c>
      <c r="D3883" s="51">
        <v>65.0</v>
      </c>
      <c r="E3883" s="52" t="s">
        <v>25</v>
      </c>
      <c r="F3883" s="52" t="s">
        <v>26</v>
      </c>
      <c r="G3883" s="54"/>
    </row>
    <row r="3884">
      <c r="A3884" s="49">
        <v>45061.60197747685</v>
      </c>
      <c r="B3884" s="50">
        <v>45061.7269538541</v>
      </c>
      <c r="C3884" s="51">
        <v>1.015</v>
      </c>
      <c r="D3884" s="51">
        <v>65.0</v>
      </c>
      <c r="E3884" s="52" t="s">
        <v>25</v>
      </c>
      <c r="F3884" s="52" t="s">
        <v>26</v>
      </c>
      <c r="G3884" s="54"/>
    </row>
    <row r="3885">
      <c r="A3885" s="49">
        <v>45061.61239607639</v>
      </c>
      <c r="B3885" s="50">
        <v>45061.7373743171</v>
      </c>
      <c r="C3885" s="51">
        <v>1.015</v>
      </c>
      <c r="D3885" s="51">
        <v>65.0</v>
      </c>
      <c r="E3885" s="52" t="s">
        <v>25</v>
      </c>
      <c r="F3885" s="52" t="s">
        <v>26</v>
      </c>
      <c r="G3885" s="54"/>
    </row>
    <row r="3886">
      <c r="A3886" s="49">
        <v>45061.62281659722</v>
      </c>
      <c r="B3886" s="50">
        <v>45061.7477954513</v>
      </c>
      <c r="C3886" s="51">
        <v>1.015</v>
      </c>
      <c r="D3886" s="51">
        <v>64.0</v>
      </c>
      <c r="E3886" s="52" t="s">
        <v>25</v>
      </c>
      <c r="F3886" s="52" t="s">
        <v>26</v>
      </c>
      <c r="G3886" s="54"/>
    </row>
    <row r="3887">
      <c r="A3887" s="49">
        <v>45061.63324023148</v>
      </c>
      <c r="B3887" s="50">
        <v>45061.7582155208</v>
      </c>
      <c r="C3887" s="51">
        <v>1.015</v>
      </c>
      <c r="D3887" s="51">
        <v>65.0</v>
      </c>
      <c r="E3887" s="52" t="s">
        <v>25</v>
      </c>
      <c r="F3887" s="52" t="s">
        <v>26</v>
      </c>
      <c r="G3887" s="54"/>
    </row>
    <row r="3888">
      <c r="A3888" s="49">
        <v>45061.64365924768</v>
      </c>
      <c r="B3888" s="50">
        <v>45061.7686357754</v>
      </c>
      <c r="C3888" s="51">
        <v>1.015</v>
      </c>
      <c r="D3888" s="51">
        <v>65.0</v>
      </c>
      <c r="E3888" s="52" t="s">
        <v>25</v>
      </c>
      <c r="F3888" s="52" t="s">
        <v>26</v>
      </c>
      <c r="G3888" s="54"/>
    </row>
    <row r="3889">
      <c r="A3889" s="49">
        <v>45061.6540987037</v>
      </c>
      <c r="B3889" s="50">
        <v>45061.7790677893</v>
      </c>
      <c r="C3889" s="51">
        <v>1.015</v>
      </c>
      <c r="D3889" s="51">
        <v>65.0</v>
      </c>
      <c r="E3889" s="52" t="s">
        <v>25</v>
      </c>
      <c r="F3889" s="52" t="s">
        <v>26</v>
      </c>
      <c r="G3889" s="54"/>
    </row>
    <row r="3890">
      <c r="A3890" s="49">
        <v>45061.66452078704</v>
      </c>
      <c r="B3890" s="50">
        <v>45061.789488912</v>
      </c>
      <c r="C3890" s="51">
        <v>1.015</v>
      </c>
      <c r="D3890" s="51">
        <v>65.0</v>
      </c>
      <c r="E3890" s="52" t="s">
        <v>25</v>
      </c>
      <c r="F3890" s="52" t="s">
        <v>26</v>
      </c>
      <c r="G3890" s="54"/>
    </row>
    <row r="3891">
      <c r="A3891" s="49">
        <v>45061.674937557866</v>
      </c>
      <c r="B3891" s="50">
        <v>45061.7999099768</v>
      </c>
      <c r="C3891" s="51">
        <v>1.015</v>
      </c>
      <c r="D3891" s="51">
        <v>65.0</v>
      </c>
      <c r="E3891" s="52" t="s">
        <v>25</v>
      </c>
      <c r="F3891" s="52" t="s">
        <v>26</v>
      </c>
      <c r="G3891" s="54"/>
    </row>
    <row r="3892">
      <c r="A3892" s="49">
        <v>45061.685358055554</v>
      </c>
      <c r="B3892" s="50">
        <v>45061.8103320601</v>
      </c>
      <c r="C3892" s="51">
        <v>1.015</v>
      </c>
      <c r="D3892" s="51">
        <v>65.0</v>
      </c>
      <c r="E3892" s="52" t="s">
        <v>25</v>
      </c>
      <c r="F3892" s="52" t="s">
        <v>26</v>
      </c>
      <c r="G3892" s="54"/>
    </row>
    <row r="3893">
      <c r="A3893" s="49">
        <v>45061.69578978009</v>
      </c>
      <c r="B3893" s="50">
        <v>45061.8207657407</v>
      </c>
      <c r="C3893" s="51">
        <v>1.015</v>
      </c>
      <c r="D3893" s="51">
        <v>65.0</v>
      </c>
      <c r="E3893" s="52" t="s">
        <v>25</v>
      </c>
      <c r="F3893" s="52" t="s">
        <v>26</v>
      </c>
      <c r="G3893" s="54"/>
    </row>
    <row r="3894">
      <c r="A3894" s="49">
        <v>45061.70621846065</v>
      </c>
      <c r="B3894" s="50">
        <v>45061.8311971527</v>
      </c>
      <c r="C3894" s="51">
        <v>1.015</v>
      </c>
      <c r="D3894" s="51">
        <v>65.0</v>
      </c>
      <c r="E3894" s="52" t="s">
        <v>25</v>
      </c>
      <c r="F3894" s="52" t="s">
        <v>26</v>
      </c>
      <c r="G3894" s="54"/>
    </row>
    <row r="3895">
      <c r="A3895" s="49">
        <v>45061.71664618056</v>
      </c>
      <c r="B3895" s="50">
        <v>45061.841616875</v>
      </c>
      <c r="C3895" s="51">
        <v>1.015</v>
      </c>
      <c r="D3895" s="51">
        <v>64.0</v>
      </c>
      <c r="E3895" s="52" t="s">
        <v>25</v>
      </c>
      <c r="F3895" s="52" t="s">
        <v>26</v>
      </c>
      <c r="G3895" s="54"/>
    </row>
    <row r="3896">
      <c r="A3896" s="49">
        <v>45061.727060370366</v>
      </c>
      <c r="B3896" s="50">
        <v>45061.8520377662</v>
      </c>
      <c r="C3896" s="51">
        <v>1.015</v>
      </c>
      <c r="D3896" s="51">
        <v>65.0</v>
      </c>
      <c r="E3896" s="52" t="s">
        <v>25</v>
      </c>
      <c r="F3896" s="52" t="s">
        <v>26</v>
      </c>
      <c r="G3896" s="54"/>
    </row>
    <row r="3897">
      <c r="A3897" s="49">
        <v>45061.73747679398</v>
      </c>
      <c r="B3897" s="50">
        <v>45061.8624578935</v>
      </c>
      <c r="C3897" s="51">
        <v>1.015</v>
      </c>
      <c r="D3897" s="51">
        <v>65.0</v>
      </c>
      <c r="E3897" s="52" t="s">
        <v>25</v>
      </c>
      <c r="F3897" s="52" t="s">
        <v>26</v>
      </c>
      <c r="G3897" s="54"/>
    </row>
    <row r="3898">
      <c r="A3898" s="49">
        <v>45061.74792285879</v>
      </c>
      <c r="B3898" s="50">
        <v>45061.8728794213</v>
      </c>
      <c r="C3898" s="51">
        <v>1.015</v>
      </c>
      <c r="D3898" s="51">
        <v>65.0</v>
      </c>
      <c r="E3898" s="52" t="s">
        <v>25</v>
      </c>
      <c r="F3898" s="52" t="s">
        <v>26</v>
      </c>
      <c r="G3898" s="54"/>
    </row>
    <row r="3899">
      <c r="A3899" s="49">
        <v>45061.75832072917</v>
      </c>
      <c r="B3899" s="50">
        <v>45061.8832997916</v>
      </c>
      <c r="C3899" s="51">
        <v>1.015</v>
      </c>
      <c r="D3899" s="51">
        <v>65.0</v>
      </c>
      <c r="E3899" s="52" t="s">
        <v>25</v>
      </c>
      <c r="F3899" s="52" t="s">
        <v>26</v>
      </c>
      <c r="G3899" s="54"/>
    </row>
    <row r="3900">
      <c r="A3900" s="49">
        <v>45061.76875944444</v>
      </c>
      <c r="B3900" s="50">
        <v>45061.893731493</v>
      </c>
      <c r="C3900" s="51">
        <v>1.015</v>
      </c>
      <c r="D3900" s="51">
        <v>65.0</v>
      </c>
      <c r="E3900" s="52" t="s">
        <v>25</v>
      </c>
      <c r="F3900" s="52" t="s">
        <v>26</v>
      </c>
      <c r="G3900" s="54"/>
    </row>
    <row r="3901">
      <c r="A3901" s="49">
        <v>45061.77917113426</v>
      </c>
      <c r="B3901" s="50">
        <v>45061.9041529513</v>
      </c>
      <c r="C3901" s="51">
        <v>1.015</v>
      </c>
      <c r="D3901" s="51">
        <v>65.0</v>
      </c>
      <c r="E3901" s="52" t="s">
        <v>25</v>
      </c>
      <c r="F3901" s="52" t="s">
        <v>26</v>
      </c>
      <c r="G3901" s="54"/>
    </row>
    <row r="3902">
      <c r="A3902" s="49">
        <v>45061.78960664352</v>
      </c>
      <c r="B3902" s="50">
        <v>45061.9145737731</v>
      </c>
      <c r="C3902" s="51">
        <v>1.015</v>
      </c>
      <c r="D3902" s="51">
        <v>65.0</v>
      </c>
      <c r="E3902" s="52" t="s">
        <v>25</v>
      </c>
      <c r="F3902" s="52" t="s">
        <v>26</v>
      </c>
      <c r="G3902" s="54"/>
    </row>
    <row r="3903">
      <c r="A3903" s="49">
        <v>45061.80003817129</v>
      </c>
      <c r="B3903" s="50">
        <v>45061.9250175115</v>
      </c>
      <c r="C3903" s="51">
        <v>1.015</v>
      </c>
      <c r="D3903" s="51">
        <v>65.0</v>
      </c>
      <c r="E3903" s="52" t="s">
        <v>25</v>
      </c>
      <c r="F3903" s="52" t="s">
        <v>26</v>
      </c>
      <c r="G3903" s="54"/>
    </row>
    <row r="3904">
      <c r="A3904" s="49">
        <v>45061.81046296297</v>
      </c>
      <c r="B3904" s="50">
        <v>45061.9354389583</v>
      </c>
      <c r="C3904" s="51">
        <v>1.015</v>
      </c>
      <c r="D3904" s="51">
        <v>65.0</v>
      </c>
      <c r="E3904" s="52" t="s">
        <v>25</v>
      </c>
      <c r="F3904" s="52" t="s">
        <v>26</v>
      </c>
      <c r="G3904" s="54"/>
    </row>
    <row r="3905">
      <c r="A3905" s="49">
        <v>45061.820894282406</v>
      </c>
      <c r="B3905" s="50">
        <v>45061.9458612268</v>
      </c>
      <c r="C3905" s="51">
        <v>1.015</v>
      </c>
      <c r="D3905" s="51">
        <v>65.0</v>
      </c>
      <c r="E3905" s="52" t="s">
        <v>25</v>
      </c>
      <c r="F3905" s="52" t="s">
        <v>26</v>
      </c>
      <c r="G3905" s="54"/>
    </row>
    <row r="3906">
      <c r="A3906" s="49">
        <v>45061.831307395834</v>
      </c>
      <c r="B3906" s="50">
        <v>45061.9562829398</v>
      </c>
      <c r="C3906" s="51">
        <v>1.015</v>
      </c>
      <c r="D3906" s="51">
        <v>65.0</v>
      </c>
      <c r="E3906" s="52" t="s">
        <v>25</v>
      </c>
      <c r="F3906" s="52" t="s">
        <v>26</v>
      </c>
      <c r="G3906" s="54"/>
    </row>
    <row r="3907">
      <c r="A3907" s="49">
        <v>45061.84172949074</v>
      </c>
      <c r="B3907" s="50">
        <v>45061.9667029282</v>
      </c>
      <c r="C3907" s="51">
        <v>1.015</v>
      </c>
      <c r="D3907" s="51">
        <v>65.0</v>
      </c>
      <c r="E3907" s="52" t="s">
        <v>25</v>
      </c>
      <c r="F3907" s="52" t="s">
        <v>26</v>
      </c>
      <c r="G3907" s="54"/>
    </row>
    <row r="3908">
      <c r="A3908" s="49">
        <v>45061.8521486574</v>
      </c>
      <c r="B3908" s="50">
        <v>45061.9771226273</v>
      </c>
      <c r="C3908" s="51">
        <v>1.015</v>
      </c>
      <c r="D3908" s="51">
        <v>65.0</v>
      </c>
      <c r="E3908" s="52" t="s">
        <v>25</v>
      </c>
      <c r="F3908" s="52" t="s">
        <v>26</v>
      </c>
      <c r="G3908" s="54"/>
    </row>
    <row r="3909">
      <c r="A3909" s="49">
        <v>45061.8625725</v>
      </c>
      <c r="B3909" s="50">
        <v>45061.9875436226</v>
      </c>
      <c r="C3909" s="51">
        <v>1.015</v>
      </c>
      <c r="D3909" s="51">
        <v>65.0</v>
      </c>
      <c r="E3909" s="52" t="s">
        <v>25</v>
      </c>
      <c r="F3909" s="52" t="s">
        <v>26</v>
      </c>
      <c r="G3909" s="54"/>
    </row>
    <row r="3910">
      <c r="A3910" s="49">
        <v>45061.87300304398</v>
      </c>
      <c r="B3910" s="50">
        <v>45061.9979630555</v>
      </c>
      <c r="C3910" s="51">
        <v>1.015</v>
      </c>
      <c r="D3910" s="51">
        <v>65.0</v>
      </c>
      <c r="E3910" s="52" t="s">
        <v>25</v>
      </c>
      <c r="F3910" s="52" t="s">
        <v>26</v>
      </c>
      <c r="G3910" s="54"/>
    </row>
    <row r="3911">
      <c r="A3911" s="49">
        <v>45061.883419618054</v>
      </c>
      <c r="B3911" s="50">
        <v>45062.0083839467</v>
      </c>
      <c r="C3911" s="51">
        <v>1.015</v>
      </c>
      <c r="D3911" s="51">
        <v>65.0</v>
      </c>
      <c r="E3911" s="52" t="s">
        <v>25</v>
      </c>
      <c r="F3911" s="52" t="s">
        <v>26</v>
      </c>
      <c r="G3911" s="54"/>
    </row>
    <row r="3912">
      <c r="A3912" s="49">
        <v>45061.893829016204</v>
      </c>
      <c r="B3912" s="50">
        <v>45062.0188047337</v>
      </c>
      <c r="C3912" s="51">
        <v>1.015</v>
      </c>
      <c r="D3912" s="51">
        <v>65.0</v>
      </c>
      <c r="E3912" s="52" t="s">
        <v>25</v>
      </c>
      <c r="F3912" s="52" t="s">
        <v>26</v>
      </c>
      <c r="G3912" s="54"/>
    </row>
    <row r="3913">
      <c r="A3913" s="49">
        <v>45061.90426215278</v>
      </c>
      <c r="B3913" s="50">
        <v>45062.0292244328</v>
      </c>
      <c r="C3913" s="51">
        <v>1.015</v>
      </c>
      <c r="D3913" s="51">
        <v>65.0</v>
      </c>
      <c r="E3913" s="52" t="s">
        <v>25</v>
      </c>
      <c r="F3913" s="52" t="s">
        <v>26</v>
      </c>
      <c r="G3913" s="54"/>
    </row>
    <row r="3914">
      <c r="A3914" s="49">
        <v>45061.914673391206</v>
      </c>
      <c r="B3914" s="50">
        <v>45062.039647118</v>
      </c>
      <c r="C3914" s="51">
        <v>1.015</v>
      </c>
      <c r="D3914" s="51">
        <v>65.0</v>
      </c>
      <c r="E3914" s="52" t="s">
        <v>25</v>
      </c>
      <c r="F3914" s="52" t="s">
        <v>26</v>
      </c>
      <c r="G3914" s="54"/>
    </row>
    <row r="3915">
      <c r="A3915" s="49">
        <v>45061.92509567129</v>
      </c>
      <c r="B3915" s="50">
        <v>45062.0500683912</v>
      </c>
      <c r="C3915" s="51">
        <v>1.015</v>
      </c>
      <c r="D3915" s="51">
        <v>65.0</v>
      </c>
      <c r="E3915" s="52" t="s">
        <v>25</v>
      </c>
      <c r="F3915" s="52" t="s">
        <v>26</v>
      </c>
      <c r="G3915" s="54"/>
    </row>
    <row r="3916">
      <c r="A3916" s="49">
        <v>45061.935515034726</v>
      </c>
      <c r="B3916" s="50">
        <v>45062.0604899999</v>
      </c>
      <c r="C3916" s="51">
        <v>1.015</v>
      </c>
      <c r="D3916" s="51">
        <v>65.0</v>
      </c>
      <c r="E3916" s="52" t="s">
        <v>25</v>
      </c>
      <c r="F3916" s="52" t="s">
        <v>26</v>
      </c>
      <c r="G3916" s="54"/>
    </row>
    <row r="3917">
      <c r="A3917" s="49">
        <v>45061.945944374995</v>
      </c>
      <c r="B3917" s="50">
        <v>45062.0709121643</v>
      </c>
      <c r="C3917" s="51">
        <v>1.015</v>
      </c>
      <c r="D3917" s="51">
        <v>65.0</v>
      </c>
      <c r="E3917" s="52" t="s">
        <v>25</v>
      </c>
      <c r="F3917" s="52" t="s">
        <v>26</v>
      </c>
      <c r="G3917" s="54"/>
    </row>
    <row r="3918">
      <c r="A3918" s="49">
        <v>45061.95635962963</v>
      </c>
      <c r="B3918" s="50">
        <v>45062.0813343287</v>
      </c>
      <c r="C3918" s="51">
        <v>1.015</v>
      </c>
      <c r="D3918" s="51">
        <v>65.0</v>
      </c>
      <c r="E3918" s="52" t="s">
        <v>25</v>
      </c>
      <c r="F3918" s="52" t="s">
        <v>26</v>
      </c>
      <c r="G3918" s="54"/>
    </row>
    <row r="3919">
      <c r="A3919" s="49">
        <v>45061.96678123843</v>
      </c>
      <c r="B3919" s="50">
        <v>45062.0917567245</v>
      </c>
      <c r="C3919" s="51">
        <v>1.015</v>
      </c>
      <c r="D3919" s="51">
        <v>65.0</v>
      </c>
      <c r="E3919" s="52" t="s">
        <v>25</v>
      </c>
      <c r="F3919" s="52" t="s">
        <v>26</v>
      </c>
      <c r="G3919" s="54"/>
    </row>
    <row r="3920">
      <c r="A3920" s="49">
        <v>45061.97720234953</v>
      </c>
      <c r="B3920" s="50">
        <v>45062.1021780324</v>
      </c>
      <c r="C3920" s="51">
        <v>1.015</v>
      </c>
      <c r="D3920" s="51">
        <v>65.0</v>
      </c>
      <c r="E3920" s="52" t="s">
        <v>25</v>
      </c>
      <c r="F3920" s="52" t="s">
        <v>26</v>
      </c>
      <c r="G3920" s="54"/>
    </row>
    <row r="3921">
      <c r="A3921" s="49">
        <v>45061.98762645833</v>
      </c>
      <c r="B3921" s="50">
        <v>45062.1125979861</v>
      </c>
      <c r="C3921" s="51">
        <v>1.015</v>
      </c>
      <c r="D3921" s="51">
        <v>65.0</v>
      </c>
      <c r="E3921" s="52" t="s">
        <v>25</v>
      </c>
      <c r="F3921" s="52" t="s">
        <v>26</v>
      </c>
      <c r="G3921" s="54"/>
    </row>
    <row r="3922">
      <c r="A3922" s="49">
        <v>45061.99804355324</v>
      </c>
      <c r="B3922" s="50">
        <v>45062.1230192129</v>
      </c>
      <c r="C3922" s="51">
        <v>1.015</v>
      </c>
      <c r="D3922" s="51">
        <v>65.0</v>
      </c>
      <c r="E3922" s="52" t="s">
        <v>25</v>
      </c>
      <c r="F3922" s="52" t="s">
        <v>26</v>
      </c>
      <c r="G3922" s="54"/>
    </row>
    <row r="3923">
      <c r="A3923" s="49">
        <v>45062.00846300926</v>
      </c>
      <c r="B3923" s="50">
        <v>45062.1334400347</v>
      </c>
      <c r="C3923" s="51">
        <v>1.015</v>
      </c>
      <c r="D3923" s="51">
        <v>65.0</v>
      </c>
      <c r="E3923" s="52" t="s">
        <v>25</v>
      </c>
      <c r="F3923" s="52" t="s">
        <v>26</v>
      </c>
      <c r="G3923" s="54"/>
    </row>
    <row r="3924">
      <c r="A3924" s="49">
        <v>45062.018882812496</v>
      </c>
      <c r="B3924" s="50">
        <v>45062.1438604861</v>
      </c>
      <c r="C3924" s="51">
        <v>1.015</v>
      </c>
      <c r="D3924" s="51">
        <v>65.0</v>
      </c>
      <c r="E3924" s="52" t="s">
        <v>25</v>
      </c>
      <c r="F3924" s="52" t="s">
        <v>26</v>
      </c>
      <c r="G3924" s="54"/>
    </row>
    <row r="3925">
      <c r="A3925" s="49">
        <v>45062.02930550926</v>
      </c>
      <c r="B3925" s="50">
        <v>45062.1542796296</v>
      </c>
      <c r="C3925" s="51">
        <v>1.015</v>
      </c>
      <c r="D3925" s="51">
        <v>65.0</v>
      </c>
      <c r="E3925" s="52" t="s">
        <v>25</v>
      </c>
      <c r="F3925" s="52" t="s">
        <v>26</v>
      </c>
      <c r="G3925" s="54"/>
    </row>
    <row r="3926">
      <c r="A3926" s="49">
        <v>45062.039731956014</v>
      </c>
      <c r="B3926" s="50">
        <v>45062.1647007754</v>
      </c>
      <c r="C3926" s="51">
        <v>1.015</v>
      </c>
      <c r="D3926" s="51">
        <v>65.0</v>
      </c>
      <c r="E3926" s="52" t="s">
        <v>25</v>
      </c>
      <c r="F3926" s="52" t="s">
        <v>26</v>
      </c>
      <c r="G3926" s="54"/>
    </row>
    <row r="3927">
      <c r="A3927" s="49">
        <v>45062.05014179398</v>
      </c>
      <c r="B3927" s="50">
        <v>45062.1751226388</v>
      </c>
      <c r="C3927" s="51">
        <v>1.015</v>
      </c>
      <c r="D3927" s="51">
        <v>65.0</v>
      </c>
      <c r="E3927" s="52" t="s">
        <v>25</v>
      </c>
      <c r="F3927" s="52" t="s">
        <v>26</v>
      </c>
      <c r="G3927" s="54"/>
    </row>
    <row r="3928">
      <c r="A3928" s="49">
        <v>45062.06056413194</v>
      </c>
      <c r="B3928" s="50">
        <v>45062.1855435879</v>
      </c>
      <c r="C3928" s="51">
        <v>1.015</v>
      </c>
      <c r="D3928" s="51">
        <v>65.0</v>
      </c>
      <c r="E3928" s="52" t="s">
        <v>25</v>
      </c>
      <c r="F3928" s="52" t="s">
        <v>26</v>
      </c>
      <c r="G3928" s="54"/>
    </row>
    <row r="3929">
      <c r="A3929" s="49">
        <v>45062.07098574074</v>
      </c>
      <c r="B3929" s="50">
        <v>45062.1959629282</v>
      </c>
      <c r="C3929" s="51">
        <v>1.015</v>
      </c>
      <c r="D3929" s="51">
        <v>65.0</v>
      </c>
      <c r="E3929" s="52" t="s">
        <v>25</v>
      </c>
      <c r="F3929" s="52" t="s">
        <v>26</v>
      </c>
      <c r="G3929" s="54"/>
    </row>
    <row r="3930">
      <c r="A3930" s="49">
        <v>45062.08140887732</v>
      </c>
      <c r="B3930" s="50">
        <v>45062.2063842476</v>
      </c>
      <c r="C3930" s="51">
        <v>1.015</v>
      </c>
      <c r="D3930" s="51">
        <v>65.0</v>
      </c>
      <c r="E3930" s="52" t="s">
        <v>25</v>
      </c>
      <c r="F3930" s="52" t="s">
        <v>26</v>
      </c>
      <c r="G3930" s="54"/>
    </row>
    <row r="3931">
      <c r="A3931" s="49">
        <v>45062.091823379626</v>
      </c>
      <c r="B3931" s="50">
        <v>45062.2168023958</v>
      </c>
      <c r="C3931" s="51">
        <v>1.015</v>
      </c>
      <c r="D3931" s="51">
        <v>64.0</v>
      </c>
      <c r="E3931" s="52" t="s">
        <v>25</v>
      </c>
      <c r="F3931" s="52" t="s">
        <v>26</v>
      </c>
      <c r="G3931" s="54"/>
    </row>
    <row r="3932">
      <c r="A3932" s="49">
        <v>45062.10224368055</v>
      </c>
      <c r="B3932" s="50">
        <v>45062.2272213194</v>
      </c>
      <c r="C3932" s="51">
        <v>1.015</v>
      </c>
      <c r="D3932" s="51">
        <v>65.0</v>
      </c>
      <c r="E3932" s="52" t="s">
        <v>25</v>
      </c>
      <c r="F3932" s="52" t="s">
        <v>26</v>
      </c>
      <c r="G3932" s="54"/>
    </row>
    <row r="3933">
      <c r="A3933" s="49">
        <v>45062.11266810185</v>
      </c>
      <c r="B3933" s="50">
        <v>45062.23764228</v>
      </c>
      <c r="C3933" s="51">
        <v>1.015</v>
      </c>
      <c r="D3933" s="51">
        <v>65.0</v>
      </c>
      <c r="E3933" s="52" t="s">
        <v>25</v>
      </c>
      <c r="F3933" s="52" t="s">
        <v>26</v>
      </c>
      <c r="G3933" s="54"/>
    </row>
    <row r="3934">
      <c r="A3934" s="49">
        <v>45062.12308672453</v>
      </c>
      <c r="B3934" s="50">
        <v>45062.2480661458</v>
      </c>
      <c r="C3934" s="51">
        <v>1.015</v>
      </c>
      <c r="D3934" s="51">
        <v>65.0</v>
      </c>
      <c r="E3934" s="52" t="s">
        <v>25</v>
      </c>
      <c r="F3934" s="52" t="s">
        <v>26</v>
      </c>
      <c r="G3934" s="54"/>
    </row>
    <row r="3935">
      <c r="A3935" s="49">
        <v>45062.13352686343</v>
      </c>
      <c r="B3935" s="50">
        <v>45062.2584967708</v>
      </c>
      <c r="C3935" s="51">
        <v>1.015</v>
      </c>
      <c r="D3935" s="51">
        <v>64.0</v>
      </c>
      <c r="E3935" s="52" t="s">
        <v>25</v>
      </c>
      <c r="F3935" s="52" t="s">
        <v>26</v>
      </c>
      <c r="G3935" s="54"/>
    </row>
    <row r="3936">
      <c r="A3936" s="49">
        <v>45062.14396130787</v>
      </c>
      <c r="B3936" s="50">
        <v>45062.2689295486</v>
      </c>
      <c r="C3936" s="51">
        <v>1.015</v>
      </c>
      <c r="D3936" s="51">
        <v>65.0</v>
      </c>
      <c r="E3936" s="52" t="s">
        <v>25</v>
      </c>
      <c r="F3936" s="52" t="s">
        <v>26</v>
      </c>
      <c r="G3936" s="54"/>
    </row>
    <row r="3937">
      <c r="A3937" s="49">
        <v>45062.15438155092</v>
      </c>
      <c r="B3937" s="50">
        <v>45062.279353206</v>
      </c>
      <c r="C3937" s="51">
        <v>1.015</v>
      </c>
      <c r="D3937" s="51">
        <v>65.0</v>
      </c>
      <c r="E3937" s="52" t="s">
        <v>25</v>
      </c>
      <c r="F3937" s="52" t="s">
        <v>26</v>
      </c>
      <c r="G3937" s="54"/>
    </row>
    <row r="3938">
      <c r="A3938" s="49">
        <v>45062.16480158565</v>
      </c>
      <c r="B3938" s="50">
        <v>45062.2897755671</v>
      </c>
      <c r="C3938" s="51">
        <v>1.015</v>
      </c>
      <c r="D3938" s="51">
        <v>65.0</v>
      </c>
      <c r="E3938" s="52" t="s">
        <v>25</v>
      </c>
      <c r="F3938" s="52" t="s">
        <v>26</v>
      </c>
      <c r="G3938" s="54"/>
    </row>
    <row r="3939">
      <c r="A3939" s="49">
        <v>45062.175220543984</v>
      </c>
      <c r="B3939" s="50">
        <v>45062.3001960648</v>
      </c>
      <c r="C3939" s="51">
        <v>1.015</v>
      </c>
      <c r="D3939" s="51">
        <v>65.0</v>
      </c>
      <c r="E3939" s="52" t="s">
        <v>25</v>
      </c>
      <c r="F3939" s="52" t="s">
        <v>26</v>
      </c>
      <c r="G3939" s="54"/>
    </row>
    <row r="3940">
      <c r="A3940" s="49">
        <v>45062.1856534838</v>
      </c>
      <c r="B3940" s="50">
        <v>45062.3106293402</v>
      </c>
      <c r="C3940" s="51">
        <v>1.015</v>
      </c>
      <c r="D3940" s="51">
        <v>65.0</v>
      </c>
      <c r="E3940" s="52" t="s">
        <v>25</v>
      </c>
      <c r="F3940" s="52" t="s">
        <v>26</v>
      </c>
      <c r="G3940" s="54"/>
    </row>
    <row r="3941">
      <c r="A3941" s="49">
        <v>45062.1960866088</v>
      </c>
      <c r="B3941" s="50">
        <v>45062.3210623495</v>
      </c>
      <c r="C3941" s="51">
        <v>1.015</v>
      </c>
      <c r="D3941" s="51">
        <v>65.0</v>
      </c>
      <c r="E3941" s="52" t="s">
        <v>25</v>
      </c>
      <c r="F3941" s="52" t="s">
        <v>26</v>
      </c>
      <c r="G3941" s="54"/>
    </row>
    <row r="3942">
      <c r="A3942" s="49">
        <v>45062.206500555556</v>
      </c>
      <c r="B3942" s="50">
        <v>45062.3314830324</v>
      </c>
      <c r="C3942" s="51">
        <v>1.015</v>
      </c>
      <c r="D3942" s="51">
        <v>65.0</v>
      </c>
      <c r="E3942" s="52" t="s">
        <v>25</v>
      </c>
      <c r="F3942" s="52" t="s">
        <v>26</v>
      </c>
      <c r="G3942" s="54"/>
    </row>
    <row r="3943">
      <c r="A3943" s="49">
        <v>45062.21693466435</v>
      </c>
      <c r="B3943" s="50">
        <v>45062.3419023726</v>
      </c>
      <c r="C3943" s="51">
        <v>1.015</v>
      </c>
      <c r="D3943" s="51">
        <v>65.0</v>
      </c>
      <c r="E3943" s="52" t="s">
        <v>25</v>
      </c>
      <c r="F3943" s="52" t="s">
        <v>26</v>
      </c>
      <c r="G3943" s="54"/>
    </row>
    <row r="3944">
      <c r="A3944" s="49">
        <v>45062.22735509259</v>
      </c>
      <c r="B3944" s="50">
        <v>45062.3523354513</v>
      </c>
      <c r="C3944" s="51">
        <v>1.015</v>
      </c>
      <c r="D3944" s="51">
        <v>65.0</v>
      </c>
      <c r="E3944" s="52" t="s">
        <v>25</v>
      </c>
      <c r="F3944" s="52" t="s">
        <v>26</v>
      </c>
      <c r="G3944" s="54"/>
    </row>
    <row r="3945">
      <c r="A3945" s="49">
        <v>45062.23778800926</v>
      </c>
      <c r="B3945" s="50">
        <v>45062.3627700231</v>
      </c>
      <c r="C3945" s="51">
        <v>1.015</v>
      </c>
      <c r="D3945" s="51">
        <v>65.0</v>
      </c>
      <c r="E3945" s="52" t="s">
        <v>25</v>
      </c>
      <c r="F3945" s="52" t="s">
        <v>26</v>
      </c>
      <c r="G3945" s="54"/>
    </row>
    <row r="3946">
      <c r="A3946" s="49">
        <v>45062.248209791665</v>
      </c>
      <c r="B3946" s="50">
        <v>45062.3731917013</v>
      </c>
      <c r="C3946" s="51">
        <v>1.015</v>
      </c>
      <c r="D3946" s="51">
        <v>65.0</v>
      </c>
      <c r="E3946" s="52" t="s">
        <v>25</v>
      </c>
      <c r="F3946" s="52" t="s">
        <v>26</v>
      </c>
      <c r="G3946" s="54"/>
    </row>
    <row r="3947">
      <c r="A3947" s="49">
        <v>45062.25864579861</v>
      </c>
      <c r="B3947" s="50">
        <v>45062.3836127314</v>
      </c>
      <c r="C3947" s="51">
        <v>1.015</v>
      </c>
      <c r="D3947" s="51">
        <v>65.0</v>
      </c>
      <c r="E3947" s="52" t="s">
        <v>25</v>
      </c>
      <c r="F3947" s="52" t="s">
        <v>26</v>
      </c>
      <c r="G3947" s="54"/>
    </row>
    <row r="3948">
      <c r="A3948" s="49">
        <v>45062.26906818287</v>
      </c>
      <c r="B3948" s="50">
        <v>45062.3940448726</v>
      </c>
      <c r="C3948" s="51">
        <v>1.015</v>
      </c>
      <c r="D3948" s="51">
        <v>65.0</v>
      </c>
      <c r="E3948" s="52" t="s">
        <v>25</v>
      </c>
      <c r="F3948" s="52" t="s">
        <v>26</v>
      </c>
      <c r="G3948" s="54"/>
    </row>
    <row r="3949">
      <c r="A3949" s="49">
        <v>45062.279490127316</v>
      </c>
      <c r="B3949" s="50">
        <v>45062.4044673148</v>
      </c>
      <c r="C3949" s="51">
        <v>1.015</v>
      </c>
      <c r="D3949" s="51">
        <v>65.0</v>
      </c>
      <c r="E3949" s="52" t="s">
        <v>25</v>
      </c>
      <c r="F3949" s="52" t="s">
        <v>26</v>
      </c>
      <c r="G3949" s="54"/>
    </row>
    <row r="3950">
      <c r="A3950" s="49">
        <v>45062.28991959491</v>
      </c>
      <c r="B3950" s="50">
        <v>45062.4148998842</v>
      </c>
      <c r="C3950" s="51">
        <v>1.015</v>
      </c>
      <c r="D3950" s="51">
        <v>64.0</v>
      </c>
      <c r="E3950" s="52" t="s">
        <v>25</v>
      </c>
      <c r="F3950" s="52" t="s">
        <v>26</v>
      </c>
      <c r="G3950" s="54"/>
    </row>
    <row r="3951">
      <c r="A3951" s="49">
        <v>45062.300350000005</v>
      </c>
      <c r="B3951" s="50">
        <v>45062.4253229513</v>
      </c>
      <c r="C3951" s="51">
        <v>1.015</v>
      </c>
      <c r="D3951" s="51">
        <v>65.0</v>
      </c>
      <c r="E3951" s="52" t="s">
        <v>25</v>
      </c>
      <c r="F3951" s="52" t="s">
        <v>26</v>
      </c>
      <c r="G3951" s="54"/>
    </row>
    <row r="3952">
      <c r="A3952" s="49">
        <v>45062.310768993055</v>
      </c>
      <c r="B3952" s="50">
        <v>45062.4357429745</v>
      </c>
      <c r="C3952" s="51">
        <v>1.015</v>
      </c>
      <c r="D3952" s="51">
        <v>65.0</v>
      </c>
      <c r="E3952" s="52" t="s">
        <v>25</v>
      </c>
      <c r="F3952" s="52" t="s">
        <v>26</v>
      </c>
      <c r="G3952" s="54"/>
    </row>
    <row r="3953">
      <c r="A3953" s="49">
        <v>45062.321191574076</v>
      </c>
      <c r="B3953" s="50">
        <v>45062.446164537</v>
      </c>
      <c r="C3953" s="51">
        <v>1.015</v>
      </c>
      <c r="D3953" s="51">
        <v>65.0</v>
      </c>
      <c r="E3953" s="52" t="s">
        <v>25</v>
      </c>
      <c r="F3953" s="52" t="s">
        <v>26</v>
      </c>
      <c r="G3953" s="54"/>
    </row>
    <row r="3954">
      <c r="A3954" s="49">
        <v>45062.33161221065</v>
      </c>
      <c r="B3954" s="50">
        <v>45062.4565857523</v>
      </c>
      <c r="C3954" s="51">
        <v>1.015</v>
      </c>
      <c r="D3954" s="51">
        <v>65.0</v>
      </c>
      <c r="E3954" s="52" t="s">
        <v>25</v>
      </c>
      <c r="F3954" s="52" t="s">
        <v>26</v>
      </c>
      <c r="G3954" s="54"/>
    </row>
    <row r="3955">
      <c r="A3955" s="49">
        <v>45062.342044432866</v>
      </c>
      <c r="B3955" s="50">
        <v>45062.4670082523</v>
      </c>
      <c r="C3955" s="51">
        <v>1.015</v>
      </c>
      <c r="D3955" s="51">
        <v>65.0</v>
      </c>
      <c r="E3955" s="52" t="s">
        <v>25</v>
      </c>
      <c r="F3955" s="52" t="s">
        <v>26</v>
      </c>
      <c r="G3955" s="54"/>
    </row>
    <row r="3956">
      <c r="A3956" s="49">
        <v>45062.35245247685</v>
      </c>
      <c r="B3956" s="50">
        <v>45062.4774316551</v>
      </c>
      <c r="C3956" s="51">
        <v>1.015</v>
      </c>
      <c r="D3956" s="51">
        <v>65.0</v>
      </c>
      <c r="E3956" s="52" t="s">
        <v>25</v>
      </c>
      <c r="F3956" s="52" t="s">
        <v>26</v>
      </c>
      <c r="G3956" s="54"/>
    </row>
    <row r="3957">
      <c r="A3957" s="49">
        <v>45062.36292797454</v>
      </c>
      <c r="B3957" s="50">
        <v>45062.4878520833</v>
      </c>
      <c r="C3957" s="51">
        <v>1.015</v>
      </c>
      <c r="D3957" s="51">
        <v>65.0</v>
      </c>
      <c r="E3957" s="52" t="s">
        <v>25</v>
      </c>
      <c r="F3957" s="52" t="s">
        <v>26</v>
      </c>
      <c r="G3957" s="54"/>
    </row>
    <row r="3958">
      <c r="A3958" s="49">
        <v>45062.37330864584</v>
      </c>
      <c r="B3958" s="50">
        <v>45062.4982747801</v>
      </c>
      <c r="C3958" s="51">
        <v>1.014</v>
      </c>
      <c r="D3958" s="51">
        <v>65.0</v>
      </c>
      <c r="E3958" s="52" t="s">
        <v>25</v>
      </c>
      <c r="F3958" s="52" t="s">
        <v>26</v>
      </c>
      <c r="G3958" s="54"/>
    </row>
    <row r="3959">
      <c r="A3959" s="49">
        <v>45062.38373861111</v>
      </c>
      <c r="B3959" s="50">
        <v>45062.5087081713</v>
      </c>
      <c r="C3959" s="51">
        <v>1.015</v>
      </c>
      <c r="D3959" s="51">
        <v>65.0</v>
      </c>
      <c r="E3959" s="52" t="s">
        <v>25</v>
      </c>
      <c r="F3959" s="52" t="s">
        <v>26</v>
      </c>
      <c r="G3959" s="54"/>
    </row>
    <row r="3960">
      <c r="A3960" s="49">
        <v>45062.394153518515</v>
      </c>
      <c r="B3960" s="50">
        <v>45062.5191295138</v>
      </c>
      <c r="C3960" s="51">
        <v>1.015</v>
      </c>
      <c r="D3960" s="51">
        <v>65.0</v>
      </c>
      <c r="E3960" s="52" t="s">
        <v>25</v>
      </c>
      <c r="F3960" s="52" t="s">
        <v>26</v>
      </c>
      <c r="G3960" s="54"/>
    </row>
    <row r="3961">
      <c r="A3961" s="49">
        <v>45062.40457297454</v>
      </c>
      <c r="B3961" s="50">
        <v>45062.5295515625</v>
      </c>
      <c r="C3961" s="51">
        <v>1.015</v>
      </c>
      <c r="D3961" s="51">
        <v>65.0</v>
      </c>
      <c r="E3961" s="52" t="s">
        <v>25</v>
      </c>
      <c r="F3961" s="52" t="s">
        <v>26</v>
      </c>
      <c r="G3961" s="54"/>
    </row>
    <row r="3962">
      <c r="A3962" s="49">
        <v>45062.41501196759</v>
      </c>
      <c r="B3962" s="50">
        <v>45062.5399735763</v>
      </c>
      <c r="C3962" s="51">
        <v>1.015</v>
      </c>
      <c r="D3962" s="51">
        <v>65.0</v>
      </c>
      <c r="E3962" s="52" t="s">
        <v>25</v>
      </c>
      <c r="F3962" s="52" t="s">
        <v>26</v>
      </c>
      <c r="G3962" s="54"/>
    </row>
    <row r="3963">
      <c r="A3963" s="49">
        <v>45062.42542847223</v>
      </c>
      <c r="B3963" s="50">
        <v>45062.5503944791</v>
      </c>
      <c r="C3963" s="51">
        <v>1.015</v>
      </c>
      <c r="D3963" s="51">
        <v>65.0</v>
      </c>
      <c r="E3963" s="52" t="s">
        <v>25</v>
      </c>
      <c r="F3963" s="52" t="s">
        <v>26</v>
      </c>
      <c r="G3963" s="54"/>
    </row>
    <row r="3964">
      <c r="A3964" s="49">
        <v>45062.435888321765</v>
      </c>
      <c r="B3964" s="50">
        <v>45062.5608364004</v>
      </c>
      <c r="C3964" s="51">
        <v>1.015</v>
      </c>
      <c r="D3964" s="51">
        <v>65.0</v>
      </c>
      <c r="E3964" s="52" t="s">
        <v>25</v>
      </c>
      <c r="F3964" s="52" t="s">
        <v>26</v>
      </c>
      <c r="G3964" s="54"/>
    </row>
    <row r="3965">
      <c r="A3965" s="49">
        <v>45062.44628626158</v>
      </c>
      <c r="B3965" s="50">
        <v>45062.5712578819</v>
      </c>
      <c r="C3965" s="51">
        <v>1.015</v>
      </c>
      <c r="D3965" s="51">
        <v>65.0</v>
      </c>
      <c r="E3965" s="52" t="s">
        <v>25</v>
      </c>
      <c r="F3965" s="52" t="s">
        <v>26</v>
      </c>
      <c r="G3965" s="54"/>
    </row>
    <row r="3966">
      <c r="A3966" s="49">
        <v>45062.45671802083</v>
      </c>
      <c r="B3966" s="50">
        <v>45062.5816810648</v>
      </c>
      <c r="C3966" s="51">
        <v>1.014</v>
      </c>
      <c r="D3966" s="51">
        <v>65.0</v>
      </c>
      <c r="E3966" s="52" t="s">
        <v>25</v>
      </c>
      <c r="F3966" s="52" t="s">
        <v>26</v>
      </c>
      <c r="G3966" s="54"/>
    </row>
    <row r="3967">
      <c r="A3967" s="49">
        <v>45062.46713283565</v>
      </c>
      <c r="B3967" s="50">
        <v>45062.5921015162</v>
      </c>
      <c r="C3967" s="51">
        <v>1.014</v>
      </c>
      <c r="D3967" s="51">
        <v>65.0</v>
      </c>
      <c r="E3967" s="52" t="s">
        <v>25</v>
      </c>
      <c r="F3967" s="52" t="s">
        <v>26</v>
      </c>
      <c r="G3967" s="54"/>
    </row>
    <row r="3968">
      <c r="A3968" s="49">
        <v>45062.477556087964</v>
      </c>
      <c r="B3968" s="50">
        <v>45062.6025243055</v>
      </c>
      <c r="C3968" s="51">
        <v>1.015</v>
      </c>
      <c r="D3968" s="51">
        <v>65.0</v>
      </c>
      <c r="E3968" s="52" t="s">
        <v>25</v>
      </c>
      <c r="F3968" s="52" t="s">
        <v>26</v>
      </c>
      <c r="G3968" s="54"/>
    </row>
    <row r="3969">
      <c r="A3969" s="49">
        <v>45062.487969062495</v>
      </c>
      <c r="B3969" s="50">
        <v>45062.6129464236</v>
      </c>
      <c r="C3969" s="51">
        <v>1.015</v>
      </c>
      <c r="D3969" s="51">
        <v>65.0</v>
      </c>
      <c r="E3969" s="52" t="s">
        <v>25</v>
      </c>
      <c r="F3969" s="52" t="s">
        <v>26</v>
      </c>
      <c r="G3969" s="54"/>
    </row>
    <row r="3970">
      <c r="A3970" s="49">
        <v>45062.498395636576</v>
      </c>
      <c r="B3970" s="50">
        <v>45062.6233682175</v>
      </c>
      <c r="C3970" s="51">
        <v>1.015</v>
      </c>
      <c r="D3970" s="51">
        <v>65.0</v>
      </c>
      <c r="E3970" s="52" t="s">
        <v>25</v>
      </c>
      <c r="F3970" s="52" t="s">
        <v>26</v>
      </c>
      <c r="G3970" s="54"/>
    </row>
    <row r="3971">
      <c r="A3971" s="49">
        <v>45062.50880621528</v>
      </c>
      <c r="B3971" s="50">
        <v>45062.6337887962</v>
      </c>
      <c r="C3971" s="51">
        <v>1.015</v>
      </c>
      <c r="D3971" s="51">
        <v>65.0</v>
      </c>
      <c r="E3971" s="52" t="s">
        <v>25</v>
      </c>
      <c r="F3971" s="52" t="s">
        <v>26</v>
      </c>
      <c r="G3971" s="54"/>
    </row>
    <row r="3972">
      <c r="A3972" s="49">
        <v>45062.51923237268</v>
      </c>
      <c r="B3972" s="50">
        <v>45062.6442095486</v>
      </c>
      <c r="C3972" s="51">
        <v>1.015</v>
      </c>
      <c r="D3972" s="51">
        <v>65.0</v>
      </c>
      <c r="E3972" s="52" t="s">
        <v>25</v>
      </c>
      <c r="F3972" s="52" t="s">
        <v>26</v>
      </c>
      <c r="G3972" s="54"/>
    </row>
    <row r="3973">
      <c r="A3973" s="49">
        <v>45062.529647372685</v>
      </c>
      <c r="B3973" s="50">
        <v>45062.6546319444</v>
      </c>
      <c r="C3973" s="51">
        <v>1.014</v>
      </c>
      <c r="D3973" s="51">
        <v>65.0</v>
      </c>
      <c r="E3973" s="52" t="s">
        <v>25</v>
      </c>
      <c r="F3973" s="52" t="s">
        <v>26</v>
      </c>
      <c r="G3973" s="54"/>
    </row>
    <row r="3974">
      <c r="A3974" s="49">
        <v>45062.54008597222</v>
      </c>
      <c r="B3974" s="50">
        <v>45062.665065162</v>
      </c>
      <c r="C3974" s="51">
        <v>1.014</v>
      </c>
      <c r="D3974" s="51">
        <v>65.0</v>
      </c>
      <c r="E3974" s="52" t="s">
        <v>25</v>
      </c>
      <c r="F3974" s="52" t="s">
        <v>26</v>
      </c>
      <c r="G3974" s="54"/>
    </row>
    <row r="3975">
      <c r="A3975" s="49">
        <v>45062.55051722222</v>
      </c>
      <c r="B3975" s="50">
        <v>45062.6754988194</v>
      </c>
      <c r="C3975" s="51">
        <v>1.014</v>
      </c>
      <c r="D3975" s="51">
        <v>65.0</v>
      </c>
      <c r="E3975" s="52" t="s">
        <v>25</v>
      </c>
      <c r="F3975" s="52" t="s">
        <v>26</v>
      </c>
      <c r="G3975" s="54"/>
    </row>
    <row r="3976">
      <c r="A3976" s="49">
        <v>45062.5609393287</v>
      </c>
      <c r="B3976" s="50">
        <v>45062.6859196296</v>
      </c>
      <c r="C3976" s="51">
        <v>1.014</v>
      </c>
      <c r="D3976" s="51">
        <v>65.0</v>
      </c>
      <c r="E3976" s="52" t="s">
        <v>25</v>
      </c>
      <c r="F3976" s="52" t="s">
        <v>26</v>
      </c>
      <c r="G3976" s="54"/>
    </row>
    <row r="3977">
      <c r="A3977" s="49">
        <v>45062.57136125</v>
      </c>
      <c r="B3977" s="50">
        <v>45062.6963406365</v>
      </c>
      <c r="C3977" s="51">
        <v>1.014</v>
      </c>
      <c r="D3977" s="51">
        <v>65.0</v>
      </c>
      <c r="E3977" s="52" t="s">
        <v>25</v>
      </c>
      <c r="F3977" s="52" t="s">
        <v>26</v>
      </c>
      <c r="G3977" s="54"/>
    </row>
    <row r="3978">
      <c r="A3978" s="49">
        <v>45062.581780266206</v>
      </c>
      <c r="B3978" s="50">
        <v>45062.7067634143</v>
      </c>
      <c r="C3978" s="51">
        <v>1.014</v>
      </c>
      <c r="D3978" s="51">
        <v>65.0</v>
      </c>
      <c r="E3978" s="52" t="s">
        <v>25</v>
      </c>
      <c r="F3978" s="52" t="s">
        <v>26</v>
      </c>
      <c r="G3978" s="54"/>
    </row>
    <row r="3979">
      <c r="A3979" s="49">
        <v>45062.59221228009</v>
      </c>
      <c r="B3979" s="50">
        <v>45062.7171854166</v>
      </c>
      <c r="C3979" s="51">
        <v>1.015</v>
      </c>
      <c r="D3979" s="51">
        <v>65.0</v>
      </c>
      <c r="E3979" s="52" t="s">
        <v>25</v>
      </c>
      <c r="F3979" s="52" t="s">
        <v>26</v>
      </c>
      <c r="G3979" s="54"/>
    </row>
    <row r="3980">
      <c r="A3980" s="49">
        <v>45062.60263216435</v>
      </c>
      <c r="B3980" s="50">
        <v>45062.7276072222</v>
      </c>
      <c r="C3980" s="51">
        <v>1.014</v>
      </c>
      <c r="D3980" s="51">
        <v>65.0</v>
      </c>
      <c r="E3980" s="52" t="s">
        <v>25</v>
      </c>
      <c r="F3980" s="52" t="s">
        <v>26</v>
      </c>
      <c r="G3980" s="54"/>
    </row>
    <row r="3981">
      <c r="A3981" s="49">
        <v>45062.61307626158</v>
      </c>
      <c r="B3981" s="50">
        <v>45062.7380520023</v>
      </c>
      <c r="C3981" s="51">
        <v>1.014</v>
      </c>
      <c r="D3981" s="51">
        <v>65.0</v>
      </c>
      <c r="E3981" s="52" t="s">
        <v>25</v>
      </c>
      <c r="F3981" s="52" t="s">
        <v>26</v>
      </c>
      <c r="G3981" s="54"/>
    </row>
    <row r="3982">
      <c r="A3982" s="49">
        <v>45062.62354380787</v>
      </c>
      <c r="B3982" s="50">
        <v>45062.7484708217</v>
      </c>
      <c r="C3982" s="51">
        <v>1.014</v>
      </c>
      <c r="D3982" s="51">
        <v>65.0</v>
      </c>
      <c r="E3982" s="52" t="s">
        <v>25</v>
      </c>
      <c r="F3982" s="52" t="s">
        <v>26</v>
      </c>
      <c r="G3982" s="54"/>
    </row>
    <row r="3983">
      <c r="A3983" s="49">
        <v>45062.6339233912</v>
      </c>
      <c r="B3983" s="50">
        <v>45062.7588916435</v>
      </c>
      <c r="C3983" s="51">
        <v>1.015</v>
      </c>
      <c r="D3983" s="51">
        <v>65.0</v>
      </c>
      <c r="E3983" s="52" t="s">
        <v>25</v>
      </c>
      <c r="F3983" s="52" t="s">
        <v>26</v>
      </c>
      <c r="G3983" s="54"/>
    </row>
    <row r="3984">
      <c r="A3984" s="49">
        <v>45062.64434586806</v>
      </c>
      <c r="B3984" s="50">
        <v>45062.769312662</v>
      </c>
      <c r="C3984" s="51">
        <v>1.014</v>
      </c>
      <c r="D3984" s="51">
        <v>65.0</v>
      </c>
      <c r="E3984" s="52" t="s">
        <v>25</v>
      </c>
      <c r="F3984" s="52" t="s">
        <v>26</v>
      </c>
      <c r="G3984" s="54"/>
    </row>
    <row r="3985">
      <c r="A3985" s="49">
        <v>45062.65477122685</v>
      </c>
      <c r="B3985" s="50">
        <v>45062.7797343981</v>
      </c>
      <c r="C3985" s="51">
        <v>1.014</v>
      </c>
      <c r="D3985" s="51">
        <v>65.0</v>
      </c>
      <c r="E3985" s="52" t="s">
        <v>25</v>
      </c>
      <c r="F3985" s="52" t="s">
        <v>26</v>
      </c>
      <c r="G3985" s="54"/>
    </row>
    <row r="3986">
      <c r="A3986" s="49">
        <v>45062.66519608797</v>
      </c>
      <c r="B3986" s="50">
        <v>45062.7901546412</v>
      </c>
      <c r="C3986" s="51">
        <v>1.014</v>
      </c>
      <c r="D3986" s="51">
        <v>65.0</v>
      </c>
      <c r="E3986" s="52" t="s">
        <v>25</v>
      </c>
      <c r="F3986" s="52" t="s">
        <v>26</v>
      </c>
      <c r="G3986" s="54"/>
    </row>
    <row r="3987">
      <c r="A3987" s="49">
        <v>45062.6756378125</v>
      </c>
      <c r="B3987" s="50">
        <v>45062.8006124768</v>
      </c>
      <c r="C3987" s="51">
        <v>1.014</v>
      </c>
      <c r="D3987" s="51">
        <v>65.0</v>
      </c>
      <c r="E3987" s="52" t="s">
        <v>25</v>
      </c>
      <c r="F3987" s="52" t="s">
        <v>26</v>
      </c>
      <c r="G3987" s="54"/>
    </row>
    <row r="3988">
      <c r="A3988" s="49">
        <v>45062.68605396991</v>
      </c>
      <c r="B3988" s="50">
        <v>45062.8110328588</v>
      </c>
      <c r="C3988" s="51">
        <v>1.014</v>
      </c>
      <c r="D3988" s="51">
        <v>65.0</v>
      </c>
      <c r="E3988" s="52" t="s">
        <v>25</v>
      </c>
      <c r="F3988" s="52" t="s">
        <v>26</v>
      </c>
      <c r="G3988" s="54"/>
    </row>
    <row r="3989">
      <c r="A3989" s="49">
        <v>45062.69647456019</v>
      </c>
      <c r="B3989" s="50">
        <v>45062.8214541782</v>
      </c>
      <c r="C3989" s="51">
        <v>1.014</v>
      </c>
      <c r="D3989" s="51">
        <v>65.0</v>
      </c>
      <c r="E3989" s="52" t="s">
        <v>25</v>
      </c>
      <c r="F3989" s="52" t="s">
        <v>26</v>
      </c>
      <c r="G3989" s="54"/>
    </row>
    <row r="3990">
      <c r="A3990" s="49">
        <v>45062.70689313658</v>
      </c>
      <c r="B3990" s="50">
        <v>45062.8318752662</v>
      </c>
      <c r="C3990" s="51">
        <v>1.014</v>
      </c>
      <c r="D3990" s="51">
        <v>65.0</v>
      </c>
      <c r="E3990" s="52" t="s">
        <v>25</v>
      </c>
      <c r="F3990" s="52" t="s">
        <v>26</v>
      </c>
      <c r="G3990" s="54"/>
    </row>
    <row r="3991">
      <c r="A3991" s="49">
        <v>45062.71733017361</v>
      </c>
      <c r="B3991" s="50">
        <v>45062.8422963657</v>
      </c>
      <c r="C3991" s="51">
        <v>1.014</v>
      </c>
      <c r="D3991" s="51">
        <v>65.0</v>
      </c>
      <c r="E3991" s="52" t="s">
        <v>25</v>
      </c>
      <c r="F3991" s="52" t="s">
        <v>26</v>
      </c>
      <c r="G3991" s="54"/>
    </row>
    <row r="3992">
      <c r="A3992" s="49">
        <v>45062.72774403935</v>
      </c>
      <c r="B3992" s="50">
        <v>45062.8527178009</v>
      </c>
      <c r="C3992" s="51">
        <v>1.014</v>
      </c>
      <c r="D3992" s="51">
        <v>65.0</v>
      </c>
      <c r="E3992" s="52" t="s">
        <v>25</v>
      </c>
      <c r="F3992" s="52" t="s">
        <v>26</v>
      </c>
      <c r="G3992" s="54"/>
    </row>
    <row r="3993">
      <c r="A3993" s="49">
        <v>45062.73816620371</v>
      </c>
      <c r="B3993" s="50">
        <v>45062.8631400578</v>
      </c>
      <c r="C3993" s="51">
        <v>1.014</v>
      </c>
      <c r="D3993" s="51">
        <v>65.0</v>
      </c>
      <c r="E3993" s="52" t="s">
        <v>25</v>
      </c>
      <c r="F3993" s="52" t="s">
        <v>26</v>
      </c>
      <c r="G3993" s="54"/>
    </row>
    <row r="3994">
      <c r="A3994" s="49">
        <v>45062.74858642361</v>
      </c>
      <c r="B3994" s="50">
        <v>45062.8735616666</v>
      </c>
      <c r="C3994" s="51">
        <v>1.014</v>
      </c>
      <c r="D3994" s="51">
        <v>65.0</v>
      </c>
      <c r="E3994" s="52" t="s">
        <v>25</v>
      </c>
      <c r="F3994" s="52" t="s">
        <v>26</v>
      </c>
      <c r="G3994" s="54"/>
    </row>
    <row r="3995">
      <c r="A3995" s="49">
        <v>45062.75901912037</v>
      </c>
      <c r="B3995" s="50">
        <v>45062.8839935301</v>
      </c>
      <c r="C3995" s="51">
        <v>1.014</v>
      </c>
      <c r="D3995" s="51">
        <v>65.0</v>
      </c>
      <c r="E3995" s="52" t="s">
        <v>25</v>
      </c>
      <c r="F3995" s="52" t="s">
        <v>26</v>
      </c>
      <c r="G3995" s="54"/>
    </row>
    <row r="3996">
      <c r="A3996" s="49">
        <v>45062.7694272338</v>
      </c>
      <c r="B3996" s="50">
        <v>45062.8944122685</v>
      </c>
      <c r="C3996" s="51">
        <v>1.014</v>
      </c>
      <c r="D3996" s="51">
        <v>65.0</v>
      </c>
      <c r="E3996" s="52" t="s">
        <v>25</v>
      </c>
      <c r="F3996" s="52" t="s">
        <v>26</v>
      </c>
      <c r="G3996" s="54"/>
    </row>
    <row r="3997">
      <c r="A3997" s="49">
        <v>45062.77988179398</v>
      </c>
      <c r="B3997" s="50">
        <v>45062.9048551273</v>
      </c>
      <c r="C3997" s="51">
        <v>1.014</v>
      </c>
      <c r="D3997" s="51">
        <v>65.0</v>
      </c>
      <c r="E3997" s="52" t="s">
        <v>25</v>
      </c>
      <c r="F3997" s="52" t="s">
        <v>26</v>
      </c>
      <c r="G3997" s="54"/>
    </row>
    <row r="3998">
      <c r="A3998" s="49">
        <v>45062.79034910879</v>
      </c>
      <c r="B3998" s="50">
        <v>45062.9152750463</v>
      </c>
      <c r="C3998" s="51">
        <v>1.014</v>
      </c>
      <c r="D3998" s="51">
        <v>65.0</v>
      </c>
      <c r="E3998" s="52" t="s">
        <v>25</v>
      </c>
      <c r="F3998" s="52" t="s">
        <v>26</v>
      </c>
      <c r="G3998" s="54"/>
    </row>
    <row r="3999">
      <c r="A3999" s="49">
        <v>45062.80073101852</v>
      </c>
      <c r="B3999" s="50">
        <v>45062.9257068287</v>
      </c>
      <c r="C3999" s="51">
        <v>1.014</v>
      </c>
      <c r="D3999" s="51">
        <v>65.0</v>
      </c>
      <c r="E3999" s="52" t="s">
        <v>25</v>
      </c>
      <c r="F3999" s="52" t="s">
        <v>26</v>
      </c>
      <c r="G3999" s="54"/>
    </row>
    <row r="4000">
      <c r="A4000" s="49">
        <v>45062.81115894676</v>
      </c>
      <c r="B4000" s="50">
        <v>45062.9361300578</v>
      </c>
      <c r="C4000" s="51">
        <v>1.014</v>
      </c>
      <c r="D4000" s="51">
        <v>65.0</v>
      </c>
      <c r="E4000" s="52" t="s">
        <v>25</v>
      </c>
      <c r="F4000" s="52" t="s">
        <v>26</v>
      </c>
      <c r="G4000" s="54"/>
    </row>
    <row r="4001">
      <c r="A4001" s="49">
        <v>45062.82158643518</v>
      </c>
      <c r="B4001" s="50">
        <v>45062.946553368</v>
      </c>
      <c r="C4001" s="51">
        <v>1.014</v>
      </c>
      <c r="D4001" s="51">
        <v>65.0</v>
      </c>
      <c r="E4001" s="52" t="s">
        <v>25</v>
      </c>
      <c r="F4001" s="52" t="s">
        <v>26</v>
      </c>
      <c r="G4001" s="54"/>
    </row>
    <row r="4002">
      <c r="A4002" s="49">
        <v>45062.83199744213</v>
      </c>
      <c r="B4002" s="50">
        <v>45062.9569739467</v>
      </c>
      <c r="C4002" s="51">
        <v>1.014</v>
      </c>
      <c r="D4002" s="51">
        <v>65.0</v>
      </c>
      <c r="E4002" s="52" t="s">
        <v>25</v>
      </c>
      <c r="F4002" s="52" t="s">
        <v>26</v>
      </c>
      <c r="G4002" s="54"/>
    </row>
    <row r="4003">
      <c r="A4003" s="49">
        <v>45062.84241200231</v>
      </c>
      <c r="B4003" s="50">
        <v>45062.967395243</v>
      </c>
      <c r="C4003" s="51">
        <v>1.014</v>
      </c>
      <c r="D4003" s="51">
        <v>65.0</v>
      </c>
      <c r="E4003" s="52" t="s">
        <v>25</v>
      </c>
      <c r="F4003" s="52" t="s">
        <v>26</v>
      </c>
      <c r="G4003" s="54"/>
    </row>
    <row r="4004">
      <c r="A4004" s="49">
        <v>45062.8528534838</v>
      </c>
      <c r="B4004" s="50">
        <v>45062.9778280902</v>
      </c>
      <c r="C4004" s="51">
        <v>1.014</v>
      </c>
      <c r="D4004" s="51">
        <v>65.0</v>
      </c>
      <c r="E4004" s="52" t="s">
        <v>25</v>
      </c>
      <c r="F4004" s="52" t="s">
        <v>26</v>
      </c>
      <c r="G4004" s="54"/>
    </row>
    <row r="4005">
      <c r="A4005" s="49">
        <v>45062.86329015046</v>
      </c>
      <c r="B4005" s="50">
        <v>45062.988260162</v>
      </c>
      <c r="C4005" s="51">
        <v>1.014</v>
      </c>
      <c r="D4005" s="51">
        <v>65.0</v>
      </c>
      <c r="E4005" s="52" t="s">
        <v>25</v>
      </c>
      <c r="F4005" s="52" t="s">
        <v>26</v>
      </c>
      <c r="G4005" s="54"/>
    </row>
    <row r="4006">
      <c r="A4006" s="49">
        <v>45062.87373497685</v>
      </c>
      <c r="B4006" s="50">
        <v>45062.9987040856</v>
      </c>
      <c r="C4006" s="51">
        <v>1.014</v>
      </c>
      <c r="D4006" s="51">
        <v>65.0</v>
      </c>
      <c r="E4006" s="52" t="s">
        <v>25</v>
      </c>
      <c r="F4006" s="52" t="s">
        <v>26</v>
      </c>
      <c r="G4006" s="54"/>
    </row>
    <row r="4007">
      <c r="A4007" s="49">
        <v>45062.88414596065</v>
      </c>
      <c r="B4007" s="50">
        <v>45063.0091248379</v>
      </c>
      <c r="C4007" s="51">
        <v>1.014</v>
      </c>
      <c r="D4007" s="51">
        <v>65.0</v>
      </c>
      <c r="E4007" s="52" t="s">
        <v>25</v>
      </c>
      <c r="F4007" s="52" t="s">
        <v>26</v>
      </c>
      <c r="G4007" s="54"/>
    </row>
    <row r="4008">
      <c r="A4008" s="49">
        <v>45062.89457143519</v>
      </c>
      <c r="B4008" s="50">
        <v>45063.0195456018</v>
      </c>
      <c r="C4008" s="51">
        <v>1.014</v>
      </c>
      <c r="D4008" s="51">
        <v>65.0</v>
      </c>
      <c r="E4008" s="52" t="s">
        <v>25</v>
      </c>
      <c r="F4008" s="52" t="s">
        <v>26</v>
      </c>
      <c r="G4008" s="54"/>
    </row>
    <row r="4009">
      <c r="A4009" s="49">
        <v>45062.90499726852</v>
      </c>
      <c r="B4009" s="50">
        <v>45063.0299777546</v>
      </c>
      <c r="C4009" s="51">
        <v>1.014</v>
      </c>
      <c r="D4009" s="51">
        <v>65.0</v>
      </c>
      <c r="E4009" s="52" t="s">
        <v>25</v>
      </c>
      <c r="F4009" s="52" t="s">
        <v>26</v>
      </c>
      <c r="G4009" s="54"/>
    </row>
    <row r="4010">
      <c r="A4010" s="49">
        <v>45062.91543091435</v>
      </c>
      <c r="B4010" s="50">
        <v>45063.0404086574</v>
      </c>
      <c r="C4010" s="51">
        <v>1.014</v>
      </c>
      <c r="D4010" s="51">
        <v>65.0</v>
      </c>
      <c r="E4010" s="52" t="s">
        <v>25</v>
      </c>
      <c r="F4010" s="52" t="s">
        <v>26</v>
      </c>
      <c r="G4010" s="54"/>
    </row>
    <row r="4011">
      <c r="A4011" s="49">
        <v>45062.92584429398</v>
      </c>
      <c r="B4011" s="50">
        <v>45063.0508279745</v>
      </c>
      <c r="C4011" s="51">
        <v>1.014</v>
      </c>
      <c r="D4011" s="51">
        <v>65.0</v>
      </c>
      <c r="E4011" s="52" t="s">
        <v>25</v>
      </c>
      <c r="F4011" s="52" t="s">
        <v>26</v>
      </c>
      <c r="G4011" s="54"/>
    </row>
    <row r="4012">
      <c r="A4012" s="49">
        <v>45062.9362671875</v>
      </c>
      <c r="B4012" s="50">
        <v>45063.0612477893</v>
      </c>
      <c r="C4012" s="51">
        <v>1.014</v>
      </c>
      <c r="D4012" s="51">
        <v>65.0</v>
      </c>
      <c r="E4012" s="52" t="s">
        <v>25</v>
      </c>
      <c r="F4012" s="52" t="s">
        <v>26</v>
      </c>
      <c r="G4012" s="54"/>
    </row>
    <row r="4013">
      <c r="A4013" s="49">
        <v>45062.9466881713</v>
      </c>
      <c r="B4013" s="50">
        <v>45063.0716676851</v>
      </c>
      <c r="C4013" s="51">
        <v>1.014</v>
      </c>
      <c r="D4013" s="51">
        <v>65.0</v>
      </c>
      <c r="E4013" s="52" t="s">
        <v>25</v>
      </c>
      <c r="F4013" s="52" t="s">
        <v>26</v>
      </c>
      <c r="G4013" s="54"/>
    </row>
    <row r="4014">
      <c r="A4014" s="49">
        <v>45062.957109270836</v>
      </c>
      <c r="B4014" s="50">
        <v>45063.0820886689</v>
      </c>
      <c r="C4014" s="51">
        <v>1.014</v>
      </c>
      <c r="D4014" s="51">
        <v>65.0</v>
      </c>
      <c r="E4014" s="52" t="s">
        <v>25</v>
      </c>
      <c r="F4014" s="52" t="s">
        <v>26</v>
      </c>
      <c r="G4014" s="54"/>
    </row>
    <row r="4015">
      <c r="A4015" s="49">
        <v>45062.96755178241</v>
      </c>
      <c r="B4015" s="50">
        <v>45063.0925326504</v>
      </c>
      <c r="C4015" s="51">
        <v>1.014</v>
      </c>
      <c r="D4015" s="51">
        <v>65.0</v>
      </c>
      <c r="E4015" s="52" t="s">
        <v>25</v>
      </c>
      <c r="F4015" s="52" t="s">
        <v>26</v>
      </c>
      <c r="G4015" s="54"/>
    </row>
    <row r="4016">
      <c r="A4016" s="49">
        <v>45062.97797346065</v>
      </c>
      <c r="B4016" s="50">
        <v>45063.1029538541</v>
      </c>
      <c r="C4016" s="51">
        <v>1.014</v>
      </c>
      <c r="D4016" s="51">
        <v>65.0</v>
      </c>
      <c r="E4016" s="52" t="s">
        <v>25</v>
      </c>
      <c r="F4016" s="52" t="s">
        <v>26</v>
      </c>
      <c r="G4016" s="54"/>
    </row>
    <row r="4017">
      <c r="A4017" s="49">
        <v>45062.98838980324</v>
      </c>
      <c r="B4017" s="50">
        <v>45063.1133738078</v>
      </c>
      <c r="C4017" s="51">
        <v>1.014</v>
      </c>
      <c r="D4017" s="51">
        <v>65.0</v>
      </c>
      <c r="E4017" s="52" t="s">
        <v>25</v>
      </c>
      <c r="F4017" s="52" t="s">
        <v>26</v>
      </c>
      <c r="G4017" s="54"/>
    </row>
    <row r="4018">
      <c r="A4018" s="49">
        <v>45062.99884114583</v>
      </c>
      <c r="B4018" s="50">
        <v>45063.1238083564</v>
      </c>
      <c r="C4018" s="51">
        <v>1.014</v>
      </c>
      <c r="D4018" s="51">
        <v>65.0</v>
      </c>
      <c r="E4018" s="52" t="s">
        <v>25</v>
      </c>
      <c r="F4018" s="52" t="s">
        <v>26</v>
      </c>
      <c r="G4018" s="54"/>
    </row>
    <row r="4019">
      <c r="A4019" s="49">
        <v>45063.00926211805</v>
      </c>
      <c r="B4019" s="50">
        <v>45063.1342309259</v>
      </c>
      <c r="C4019" s="51">
        <v>1.014</v>
      </c>
      <c r="D4019" s="51">
        <v>65.0</v>
      </c>
      <c r="E4019" s="52" t="s">
        <v>25</v>
      </c>
      <c r="F4019" s="52" t="s">
        <v>26</v>
      </c>
      <c r="G4019" s="54"/>
    </row>
    <row r="4020">
      <c r="A4020" s="49">
        <v>45063.019687314816</v>
      </c>
      <c r="B4020" s="50">
        <v>45063.1446530208</v>
      </c>
      <c r="C4020" s="51">
        <v>1.014</v>
      </c>
      <c r="D4020" s="51">
        <v>65.0</v>
      </c>
      <c r="E4020" s="52" t="s">
        <v>25</v>
      </c>
      <c r="F4020" s="52" t="s">
        <v>26</v>
      </c>
      <c r="G4020" s="54"/>
    </row>
    <row r="4021">
      <c r="A4021" s="49">
        <v>45063.03010732638</v>
      </c>
      <c r="B4021" s="50">
        <v>45063.1550745601</v>
      </c>
      <c r="C4021" s="51">
        <v>1.014</v>
      </c>
      <c r="D4021" s="51">
        <v>65.0</v>
      </c>
      <c r="E4021" s="52" t="s">
        <v>25</v>
      </c>
      <c r="F4021" s="52" t="s">
        <v>26</v>
      </c>
      <c r="G4021" s="54"/>
    </row>
    <row r="4022">
      <c r="A4022" s="49">
        <v>45063.04052278935</v>
      </c>
      <c r="B4022" s="50">
        <v>45063.1654954282</v>
      </c>
      <c r="C4022" s="51">
        <v>1.014</v>
      </c>
      <c r="D4022" s="51">
        <v>65.0</v>
      </c>
      <c r="E4022" s="52" t="s">
        <v>25</v>
      </c>
      <c r="F4022" s="52" t="s">
        <v>26</v>
      </c>
      <c r="G4022" s="54"/>
    </row>
    <row r="4023">
      <c r="A4023" s="49">
        <v>45063.0509484838</v>
      </c>
      <c r="B4023" s="50">
        <v>45063.1759160879</v>
      </c>
      <c r="C4023" s="51">
        <v>1.014</v>
      </c>
      <c r="D4023" s="51">
        <v>65.0</v>
      </c>
      <c r="E4023" s="52" t="s">
        <v>25</v>
      </c>
      <c r="F4023" s="52" t="s">
        <v>26</v>
      </c>
      <c r="G4023" s="54"/>
    </row>
    <row r="4024">
      <c r="A4024" s="49">
        <v>45063.06136712963</v>
      </c>
      <c r="B4024" s="50">
        <v>45063.1863481597</v>
      </c>
      <c r="C4024" s="51">
        <v>1.014</v>
      </c>
      <c r="D4024" s="51">
        <v>65.0</v>
      </c>
      <c r="E4024" s="52" t="s">
        <v>25</v>
      </c>
      <c r="F4024" s="52" t="s">
        <v>26</v>
      </c>
      <c r="G4024" s="54"/>
    </row>
    <row r="4025">
      <c r="A4025" s="49">
        <v>45063.071793888885</v>
      </c>
      <c r="B4025" s="50">
        <v>45063.1967675463</v>
      </c>
      <c r="C4025" s="51">
        <v>1.014</v>
      </c>
      <c r="D4025" s="51">
        <v>65.0</v>
      </c>
      <c r="E4025" s="52" t="s">
        <v>25</v>
      </c>
      <c r="F4025" s="52" t="s">
        <v>26</v>
      </c>
      <c r="G4025" s="54"/>
    </row>
    <row r="4026">
      <c r="A4026" s="49">
        <v>45063.0822333449</v>
      </c>
      <c r="B4026" s="50">
        <v>45063.2072104861</v>
      </c>
      <c r="C4026" s="51">
        <v>1.014</v>
      </c>
      <c r="D4026" s="51">
        <v>65.0</v>
      </c>
      <c r="E4026" s="52" t="s">
        <v>25</v>
      </c>
      <c r="F4026" s="52" t="s">
        <v>26</v>
      </c>
      <c r="G4026" s="54"/>
    </row>
    <row r="4027">
      <c r="A4027" s="49">
        <v>45063.09265306713</v>
      </c>
      <c r="B4027" s="50">
        <v>45063.2176320717</v>
      </c>
      <c r="C4027" s="51">
        <v>1.014</v>
      </c>
      <c r="D4027" s="51">
        <v>65.0</v>
      </c>
      <c r="E4027" s="52" t="s">
        <v>25</v>
      </c>
      <c r="F4027" s="52" t="s">
        <v>26</v>
      </c>
      <c r="G4027" s="54"/>
    </row>
    <row r="4028">
      <c r="A4028" s="49">
        <v>45063.10307376157</v>
      </c>
      <c r="B4028" s="50">
        <v>45063.2280532407</v>
      </c>
      <c r="C4028" s="51">
        <v>1.014</v>
      </c>
      <c r="D4028" s="51">
        <v>65.0</v>
      </c>
      <c r="E4028" s="52" t="s">
        <v>25</v>
      </c>
      <c r="F4028" s="52" t="s">
        <v>26</v>
      </c>
      <c r="G4028" s="54"/>
    </row>
    <row r="4029">
      <c r="A4029" s="49">
        <v>45063.11351216435</v>
      </c>
      <c r="B4029" s="50">
        <v>45063.2384874074</v>
      </c>
      <c r="C4029" s="51">
        <v>1.014</v>
      </c>
      <c r="D4029" s="51">
        <v>65.0</v>
      </c>
      <c r="E4029" s="52" t="s">
        <v>25</v>
      </c>
      <c r="F4029" s="52" t="s">
        <v>26</v>
      </c>
      <c r="G4029" s="54"/>
    </row>
    <row r="4030">
      <c r="A4030" s="49">
        <v>45063.12394832176</v>
      </c>
      <c r="B4030" s="50">
        <v>45063.2489192129</v>
      </c>
      <c r="C4030" s="51">
        <v>1.014</v>
      </c>
      <c r="D4030" s="51">
        <v>65.0</v>
      </c>
      <c r="E4030" s="52" t="s">
        <v>25</v>
      </c>
      <c r="F4030" s="52" t="s">
        <v>26</v>
      </c>
      <c r="G4030" s="54"/>
    </row>
    <row r="4031">
      <c r="A4031" s="49">
        <v>45063.13437835648</v>
      </c>
      <c r="B4031" s="50">
        <v>45063.2593529976</v>
      </c>
      <c r="C4031" s="51">
        <v>1.014</v>
      </c>
      <c r="D4031" s="51">
        <v>65.0</v>
      </c>
      <c r="E4031" s="52" t="s">
        <v>25</v>
      </c>
      <c r="F4031" s="52" t="s">
        <v>26</v>
      </c>
      <c r="G4031" s="54"/>
    </row>
    <row r="4032">
      <c r="A4032" s="49">
        <v>45063.14479486111</v>
      </c>
      <c r="B4032" s="50">
        <v>45063.269774618</v>
      </c>
      <c r="C4032" s="51">
        <v>1.014</v>
      </c>
      <c r="D4032" s="51">
        <v>65.0</v>
      </c>
      <c r="E4032" s="52" t="s">
        <v>25</v>
      </c>
      <c r="F4032" s="52" t="s">
        <v>26</v>
      </c>
      <c r="G4032" s="54"/>
    </row>
    <row r="4033">
      <c r="A4033" s="49">
        <v>45063.1552140625</v>
      </c>
      <c r="B4033" s="50">
        <v>45063.280195706</v>
      </c>
      <c r="C4033" s="51">
        <v>1.014</v>
      </c>
      <c r="D4033" s="51">
        <v>65.0</v>
      </c>
      <c r="E4033" s="52" t="s">
        <v>25</v>
      </c>
      <c r="F4033" s="52" t="s">
        <v>26</v>
      </c>
      <c r="G4033" s="54"/>
    </row>
    <row r="4034">
      <c r="A4034" s="49">
        <v>45063.1656403125</v>
      </c>
      <c r="B4034" s="50">
        <v>45063.2906174305</v>
      </c>
      <c r="C4034" s="51">
        <v>1.014</v>
      </c>
      <c r="D4034" s="51">
        <v>65.0</v>
      </c>
      <c r="E4034" s="52" t="s">
        <v>25</v>
      </c>
      <c r="F4034" s="52" t="s">
        <v>26</v>
      </c>
      <c r="G4034" s="54"/>
    </row>
    <row r="4035">
      <c r="A4035" s="49">
        <v>45063.17606603009</v>
      </c>
      <c r="B4035" s="50">
        <v>45063.3010387615</v>
      </c>
      <c r="C4035" s="51">
        <v>1.014</v>
      </c>
      <c r="D4035" s="51">
        <v>65.0</v>
      </c>
      <c r="E4035" s="52" t="s">
        <v>25</v>
      </c>
      <c r="F4035" s="52" t="s">
        <v>26</v>
      </c>
      <c r="G4035" s="54"/>
    </row>
    <row r="4036">
      <c r="A4036" s="49">
        <v>45063.186485115744</v>
      </c>
      <c r="B4036" s="50">
        <v>45063.3114578125</v>
      </c>
      <c r="C4036" s="51">
        <v>1.014</v>
      </c>
      <c r="D4036" s="51">
        <v>65.0</v>
      </c>
      <c r="E4036" s="52" t="s">
        <v>25</v>
      </c>
      <c r="F4036" s="52" t="s">
        <v>26</v>
      </c>
      <c r="G4036" s="54"/>
    </row>
    <row r="4037">
      <c r="A4037" s="49">
        <v>45063.19690564815</v>
      </c>
      <c r="B4037" s="50">
        <v>45063.3218770601</v>
      </c>
      <c r="C4037" s="51">
        <v>1.014</v>
      </c>
      <c r="D4037" s="51">
        <v>65.0</v>
      </c>
      <c r="E4037" s="52" t="s">
        <v>25</v>
      </c>
      <c r="F4037" s="52" t="s">
        <v>26</v>
      </c>
      <c r="G4037" s="54"/>
    </row>
    <row r="4038">
      <c r="A4038" s="49">
        <v>45063.207320381945</v>
      </c>
      <c r="B4038" s="50">
        <v>45063.332298912</v>
      </c>
      <c r="C4038" s="51">
        <v>1.014</v>
      </c>
      <c r="D4038" s="51">
        <v>65.0</v>
      </c>
      <c r="E4038" s="52" t="s">
        <v>25</v>
      </c>
      <c r="F4038" s="52" t="s">
        <v>26</v>
      </c>
      <c r="G4038" s="54"/>
    </row>
    <row r="4039">
      <c r="A4039" s="49">
        <v>45063.21774094907</v>
      </c>
      <c r="B4039" s="50">
        <v>45063.3427182986</v>
      </c>
      <c r="C4039" s="51">
        <v>1.014</v>
      </c>
      <c r="D4039" s="51">
        <v>65.0</v>
      </c>
      <c r="E4039" s="52" t="s">
        <v>25</v>
      </c>
      <c r="F4039" s="52" t="s">
        <v>26</v>
      </c>
      <c r="G4039" s="54"/>
    </row>
    <row r="4040">
      <c r="A4040" s="49">
        <v>45063.22817134259</v>
      </c>
      <c r="B4040" s="50">
        <v>45063.3531394675</v>
      </c>
      <c r="C4040" s="51">
        <v>1.014</v>
      </c>
      <c r="D4040" s="51">
        <v>65.0</v>
      </c>
      <c r="E4040" s="52" t="s">
        <v>25</v>
      </c>
      <c r="F4040" s="52" t="s">
        <v>26</v>
      </c>
      <c r="G4040" s="54"/>
    </row>
    <row r="4041">
      <c r="A4041" s="49">
        <v>45063.23859197917</v>
      </c>
      <c r="B4041" s="50">
        <v>45063.3635607638</v>
      </c>
      <c r="C4041" s="51">
        <v>1.014</v>
      </c>
      <c r="D4041" s="51">
        <v>65.0</v>
      </c>
      <c r="E4041" s="52" t="s">
        <v>25</v>
      </c>
      <c r="F4041" s="52" t="s">
        <v>26</v>
      </c>
      <c r="G4041" s="54"/>
    </row>
    <row r="4042">
      <c r="A4042" s="49">
        <v>45063.24904538195</v>
      </c>
      <c r="B4042" s="50">
        <v>45063.3739924305</v>
      </c>
      <c r="C4042" s="51">
        <v>1.014</v>
      </c>
      <c r="D4042" s="51">
        <v>65.0</v>
      </c>
      <c r="E4042" s="52" t="s">
        <v>25</v>
      </c>
      <c r="F4042" s="52" t="s">
        <v>26</v>
      </c>
      <c r="G4042" s="54"/>
    </row>
    <row r="4043">
      <c r="A4043" s="49">
        <v>45063.259444131945</v>
      </c>
      <c r="B4043" s="50">
        <v>45063.3844149421</v>
      </c>
      <c r="C4043" s="51">
        <v>1.014</v>
      </c>
      <c r="D4043" s="51">
        <v>65.0</v>
      </c>
      <c r="E4043" s="52" t="s">
        <v>25</v>
      </c>
      <c r="F4043" s="52" t="s">
        <v>26</v>
      </c>
      <c r="G4043" s="54"/>
    </row>
    <row r="4044">
      <c r="A4044" s="49">
        <v>45063.26988998843</v>
      </c>
      <c r="B4044" s="50">
        <v>45063.3948485069</v>
      </c>
      <c r="C4044" s="51">
        <v>1.014</v>
      </c>
      <c r="D4044" s="51">
        <v>65.0</v>
      </c>
      <c r="E4044" s="52" t="s">
        <v>25</v>
      </c>
      <c r="F4044" s="52" t="s">
        <v>26</v>
      </c>
      <c r="G4044" s="54"/>
    </row>
    <row r="4045">
      <c r="A4045" s="49">
        <v>45063.28029976852</v>
      </c>
      <c r="B4045" s="50">
        <v>45063.4052698032</v>
      </c>
      <c r="C4045" s="51">
        <v>1.014</v>
      </c>
      <c r="D4045" s="51">
        <v>65.0</v>
      </c>
      <c r="E4045" s="52" t="s">
        <v>25</v>
      </c>
      <c r="F4045" s="52" t="s">
        <v>26</v>
      </c>
      <c r="G4045" s="54"/>
    </row>
    <row r="4046">
      <c r="A4046" s="49">
        <v>45063.29074236111</v>
      </c>
      <c r="B4046" s="50">
        <v>45063.4157149884</v>
      </c>
      <c r="C4046" s="51">
        <v>1.014</v>
      </c>
      <c r="D4046" s="51">
        <v>65.0</v>
      </c>
      <c r="E4046" s="52" t="s">
        <v>25</v>
      </c>
      <c r="F4046" s="52" t="s">
        <v>26</v>
      </c>
      <c r="G4046" s="54"/>
    </row>
    <row r="4047">
      <c r="A4047" s="49">
        <v>45063.301163599535</v>
      </c>
      <c r="B4047" s="50">
        <v>45063.4261350231</v>
      </c>
      <c r="C4047" s="51">
        <v>1.014</v>
      </c>
      <c r="D4047" s="51">
        <v>65.0</v>
      </c>
      <c r="E4047" s="52" t="s">
        <v>25</v>
      </c>
      <c r="F4047" s="52" t="s">
        <v>26</v>
      </c>
      <c r="G4047" s="54"/>
    </row>
    <row r="4048">
      <c r="A4048" s="49">
        <v>45063.31158115741</v>
      </c>
      <c r="B4048" s="50">
        <v>45063.4365563657</v>
      </c>
      <c r="C4048" s="51">
        <v>1.014</v>
      </c>
      <c r="D4048" s="51">
        <v>65.0</v>
      </c>
      <c r="E4048" s="52" t="s">
        <v>25</v>
      </c>
      <c r="F4048" s="52" t="s">
        <v>26</v>
      </c>
      <c r="G4048" s="54"/>
    </row>
    <row r="4049">
      <c r="A4049" s="49">
        <v>45063.32199927083</v>
      </c>
      <c r="B4049" s="50">
        <v>45063.4469779282</v>
      </c>
      <c r="C4049" s="51">
        <v>1.014</v>
      </c>
      <c r="D4049" s="51">
        <v>65.0</v>
      </c>
      <c r="E4049" s="52" t="s">
        <v>25</v>
      </c>
      <c r="F4049" s="52" t="s">
        <v>26</v>
      </c>
      <c r="G4049" s="54"/>
    </row>
    <row r="4050">
      <c r="A4050" s="49">
        <v>45063.33242796296</v>
      </c>
      <c r="B4050" s="50">
        <v>45063.4573987731</v>
      </c>
      <c r="C4050" s="51">
        <v>1.014</v>
      </c>
      <c r="D4050" s="51">
        <v>65.0</v>
      </c>
      <c r="E4050" s="52" t="s">
        <v>25</v>
      </c>
      <c r="F4050" s="52" t="s">
        <v>26</v>
      </c>
      <c r="G4050" s="54"/>
    </row>
    <row r="4051">
      <c r="A4051" s="49">
        <v>45063.34284681713</v>
      </c>
      <c r="B4051" s="50">
        <v>45063.4678174189</v>
      </c>
      <c r="C4051" s="51">
        <v>1.014</v>
      </c>
      <c r="D4051" s="51">
        <v>65.0</v>
      </c>
      <c r="E4051" s="52" t="s">
        <v>25</v>
      </c>
      <c r="F4051" s="52" t="s">
        <v>26</v>
      </c>
      <c r="G4051" s="54"/>
    </row>
    <row r="4052">
      <c r="A4052" s="49">
        <v>45063.35327304398</v>
      </c>
      <c r="B4052" s="50">
        <v>45063.4782393055</v>
      </c>
      <c r="C4052" s="51">
        <v>1.014</v>
      </c>
      <c r="D4052" s="51">
        <v>65.0</v>
      </c>
      <c r="E4052" s="52" t="s">
        <v>25</v>
      </c>
      <c r="F4052" s="52" t="s">
        <v>26</v>
      </c>
      <c r="G4052" s="54"/>
    </row>
    <row r="4053">
      <c r="A4053" s="49">
        <v>45063.363674872686</v>
      </c>
      <c r="B4053" s="50">
        <v>45063.4886587268</v>
      </c>
      <c r="C4053" s="51">
        <v>1.014</v>
      </c>
      <c r="D4053" s="51">
        <v>65.0</v>
      </c>
      <c r="E4053" s="52" t="s">
        <v>25</v>
      </c>
      <c r="F4053" s="52" t="s">
        <v>26</v>
      </c>
      <c r="G4053" s="54"/>
    </row>
    <row r="4054">
      <c r="A4054" s="49">
        <v>45063.37410027778</v>
      </c>
      <c r="B4054" s="50">
        <v>45063.4990806944</v>
      </c>
      <c r="C4054" s="51">
        <v>1.014</v>
      </c>
      <c r="D4054" s="51">
        <v>65.0</v>
      </c>
      <c r="E4054" s="52" t="s">
        <v>25</v>
      </c>
      <c r="F4054" s="52" t="s">
        <v>26</v>
      </c>
      <c r="G4054" s="54"/>
    </row>
    <row r="4055">
      <c r="A4055" s="49">
        <v>45063.38452048611</v>
      </c>
      <c r="B4055" s="50">
        <v>45063.5095005439</v>
      </c>
      <c r="C4055" s="51">
        <v>1.014</v>
      </c>
      <c r="D4055" s="51">
        <v>65.0</v>
      </c>
      <c r="E4055" s="52" t="s">
        <v>25</v>
      </c>
      <c r="F4055" s="52" t="s">
        <v>26</v>
      </c>
      <c r="G4055" s="54"/>
    </row>
    <row r="4056">
      <c r="A4056" s="49">
        <v>45063.39495425926</v>
      </c>
      <c r="B4056" s="50">
        <v>45063.5199330555</v>
      </c>
      <c r="C4056" s="51">
        <v>1.014</v>
      </c>
      <c r="D4056" s="51">
        <v>65.0</v>
      </c>
      <c r="E4056" s="52" t="s">
        <v>25</v>
      </c>
      <c r="F4056" s="52" t="s">
        <v>26</v>
      </c>
      <c r="G4056" s="54"/>
    </row>
    <row r="4057">
      <c r="A4057" s="49">
        <v>45063.40537381945</v>
      </c>
      <c r="B4057" s="50">
        <v>45063.5303551388</v>
      </c>
      <c r="C4057" s="51">
        <v>1.014</v>
      </c>
      <c r="D4057" s="51">
        <v>65.0</v>
      </c>
      <c r="E4057" s="52" t="s">
        <v>25</v>
      </c>
      <c r="F4057" s="52" t="s">
        <v>26</v>
      </c>
      <c r="G4057" s="54"/>
    </row>
    <row r="4058">
      <c r="A4058" s="49">
        <v>45063.41580393519</v>
      </c>
      <c r="B4058" s="50">
        <v>45063.5407767592</v>
      </c>
      <c r="C4058" s="51">
        <v>1.014</v>
      </c>
      <c r="D4058" s="51">
        <v>65.0</v>
      </c>
      <c r="E4058" s="52" t="s">
        <v>25</v>
      </c>
      <c r="F4058" s="52" t="s">
        <v>26</v>
      </c>
      <c r="G4058" s="54"/>
    </row>
    <row r="4059">
      <c r="A4059" s="49">
        <v>45063.426237604166</v>
      </c>
      <c r="B4059" s="50">
        <v>45063.5511972453</v>
      </c>
      <c r="C4059" s="51">
        <v>1.014</v>
      </c>
      <c r="D4059" s="51">
        <v>65.0</v>
      </c>
      <c r="E4059" s="52" t="s">
        <v>25</v>
      </c>
      <c r="F4059" s="52" t="s">
        <v>26</v>
      </c>
      <c r="G4059" s="54"/>
    </row>
    <row r="4060">
      <c r="A4060" s="49">
        <v>45063.43665087963</v>
      </c>
      <c r="B4060" s="50">
        <v>45063.5616171412</v>
      </c>
      <c r="C4060" s="51">
        <v>1.014</v>
      </c>
      <c r="D4060" s="51">
        <v>65.0</v>
      </c>
      <c r="E4060" s="52" t="s">
        <v>25</v>
      </c>
      <c r="F4060" s="52" t="s">
        <v>26</v>
      </c>
      <c r="G4060" s="54"/>
    </row>
    <row r="4061">
      <c r="A4061" s="49">
        <v>45063.447064479165</v>
      </c>
      <c r="B4061" s="50">
        <v>45063.5720375694</v>
      </c>
      <c r="C4061" s="51">
        <v>1.014</v>
      </c>
      <c r="D4061" s="51">
        <v>65.0</v>
      </c>
      <c r="E4061" s="52" t="s">
        <v>25</v>
      </c>
      <c r="F4061" s="52" t="s">
        <v>26</v>
      </c>
      <c r="G4061" s="54"/>
    </row>
    <row r="4062">
      <c r="A4062" s="49">
        <v>45063.457488113425</v>
      </c>
      <c r="B4062" s="50">
        <v>45063.5824591898</v>
      </c>
      <c r="C4062" s="51">
        <v>1.014</v>
      </c>
      <c r="D4062" s="51">
        <v>65.0</v>
      </c>
      <c r="E4062" s="52" t="s">
        <v>25</v>
      </c>
      <c r="F4062" s="52" t="s">
        <v>26</v>
      </c>
      <c r="G4062" s="54"/>
    </row>
    <row r="4063">
      <c r="A4063" s="49">
        <v>45063.4679066088</v>
      </c>
      <c r="B4063" s="50">
        <v>45063.5928805092</v>
      </c>
      <c r="C4063" s="51">
        <v>1.014</v>
      </c>
      <c r="D4063" s="51">
        <v>65.0</v>
      </c>
      <c r="E4063" s="52" t="s">
        <v>25</v>
      </c>
      <c r="F4063" s="52" t="s">
        <v>26</v>
      </c>
      <c r="G4063" s="54"/>
    </row>
    <row r="4064">
      <c r="A4064" s="49">
        <v>45063.47833745371</v>
      </c>
      <c r="B4064" s="50">
        <v>45063.6033125926</v>
      </c>
      <c r="C4064" s="51">
        <v>1.014</v>
      </c>
      <c r="D4064" s="51">
        <v>65.0</v>
      </c>
      <c r="E4064" s="52" t="s">
        <v>25</v>
      </c>
      <c r="F4064" s="52" t="s">
        <v>26</v>
      </c>
      <c r="G4064" s="54"/>
    </row>
    <row r="4065">
      <c r="A4065" s="49">
        <v>45063.488760127315</v>
      </c>
      <c r="B4065" s="50">
        <v>45063.6137335416</v>
      </c>
      <c r="C4065" s="51">
        <v>1.014</v>
      </c>
      <c r="D4065" s="51">
        <v>65.0</v>
      </c>
      <c r="E4065" s="52" t="s">
        <v>25</v>
      </c>
      <c r="F4065" s="52" t="s">
        <v>26</v>
      </c>
      <c r="G4065" s="54"/>
    </row>
    <row r="4066">
      <c r="A4066" s="49">
        <v>45063.49918208334</v>
      </c>
      <c r="B4066" s="50">
        <v>45063.6241557523</v>
      </c>
      <c r="C4066" s="51">
        <v>1.014</v>
      </c>
      <c r="D4066" s="51">
        <v>65.0</v>
      </c>
      <c r="E4066" s="52" t="s">
        <v>25</v>
      </c>
      <c r="F4066" s="52" t="s">
        <v>26</v>
      </c>
      <c r="G4066" s="54"/>
    </row>
    <row r="4067">
      <c r="A4067" s="49">
        <v>45063.5096062963</v>
      </c>
      <c r="B4067" s="50">
        <v>45063.6345767245</v>
      </c>
      <c r="C4067" s="51">
        <v>1.014</v>
      </c>
      <c r="D4067" s="51">
        <v>65.0</v>
      </c>
      <c r="E4067" s="52" t="s">
        <v>25</v>
      </c>
      <c r="F4067" s="52" t="s">
        <v>26</v>
      </c>
      <c r="G4067" s="54"/>
    </row>
    <row r="4068">
      <c r="A4068" s="49">
        <v>45063.52002319445</v>
      </c>
      <c r="B4068" s="50">
        <v>45063.6449966319</v>
      </c>
      <c r="C4068" s="51">
        <v>1.014</v>
      </c>
      <c r="D4068" s="51">
        <v>65.0</v>
      </c>
      <c r="E4068" s="52" t="s">
        <v>25</v>
      </c>
      <c r="F4068" s="52" t="s">
        <v>26</v>
      </c>
      <c r="G4068" s="54"/>
    </row>
    <row r="4069">
      <c r="A4069" s="49">
        <v>45063.5304494213</v>
      </c>
      <c r="B4069" s="50">
        <v>45063.6554288425</v>
      </c>
      <c r="C4069" s="51">
        <v>1.014</v>
      </c>
      <c r="D4069" s="51">
        <v>65.0</v>
      </c>
      <c r="E4069" s="52" t="s">
        <v>25</v>
      </c>
      <c r="F4069" s="52" t="s">
        <v>26</v>
      </c>
      <c r="G4069" s="54"/>
    </row>
    <row r="4070">
      <c r="A4070" s="49">
        <v>45063.540871018515</v>
      </c>
      <c r="B4070" s="50">
        <v>45063.6658495254</v>
      </c>
      <c r="C4070" s="51">
        <v>1.014</v>
      </c>
      <c r="D4070" s="51">
        <v>65.0</v>
      </c>
      <c r="E4070" s="52" t="s">
        <v>25</v>
      </c>
      <c r="F4070" s="52" t="s">
        <v>26</v>
      </c>
      <c r="G4070" s="54"/>
    </row>
    <row r="4071">
      <c r="A4071" s="49">
        <v>45063.551294317134</v>
      </c>
      <c r="B4071" s="50">
        <v>45063.6762708912</v>
      </c>
      <c r="C4071" s="51">
        <v>1.014</v>
      </c>
      <c r="D4071" s="51">
        <v>65.0</v>
      </c>
      <c r="E4071" s="52" t="s">
        <v>25</v>
      </c>
      <c r="F4071" s="52" t="s">
        <v>26</v>
      </c>
      <c r="G4071" s="54"/>
    </row>
    <row r="4072">
      <c r="A4072" s="49">
        <v>45063.56171446759</v>
      </c>
      <c r="B4072" s="50">
        <v>45063.6866934606</v>
      </c>
      <c r="C4072" s="51">
        <v>1.014</v>
      </c>
      <c r="D4072" s="51">
        <v>65.0</v>
      </c>
      <c r="E4072" s="52" t="s">
        <v>25</v>
      </c>
      <c r="F4072" s="52" t="s">
        <v>26</v>
      </c>
      <c r="G4072" s="54"/>
    </row>
    <row r="4073">
      <c r="A4073" s="49">
        <v>45063.57213734953</v>
      </c>
      <c r="B4073" s="50">
        <v>45063.6971132175</v>
      </c>
      <c r="C4073" s="51">
        <v>1.014</v>
      </c>
      <c r="D4073" s="51">
        <v>65.0</v>
      </c>
      <c r="E4073" s="52" t="s">
        <v>25</v>
      </c>
      <c r="F4073" s="52" t="s">
        <v>26</v>
      </c>
      <c r="G4073" s="54"/>
    </row>
    <row r="4074">
      <c r="A4074" s="49">
        <v>45063.58255633102</v>
      </c>
      <c r="B4074" s="50">
        <v>45063.7075351736</v>
      </c>
      <c r="C4074" s="51">
        <v>1.014</v>
      </c>
      <c r="D4074" s="51">
        <v>65.0</v>
      </c>
      <c r="E4074" s="52" t="s">
        <v>25</v>
      </c>
      <c r="F4074" s="52" t="s">
        <v>26</v>
      </c>
      <c r="G4074" s="54"/>
    </row>
    <row r="4075">
      <c r="A4075" s="49">
        <v>45063.59298184028</v>
      </c>
      <c r="B4075" s="50">
        <v>45063.7179559953</v>
      </c>
      <c r="C4075" s="51">
        <v>1.014</v>
      </c>
      <c r="D4075" s="51">
        <v>65.0</v>
      </c>
      <c r="E4075" s="52" t="s">
        <v>25</v>
      </c>
      <c r="F4075" s="52" t="s">
        <v>26</v>
      </c>
      <c r="G4075" s="54"/>
    </row>
    <row r="4076">
      <c r="A4076" s="49">
        <v>45063.60339925926</v>
      </c>
      <c r="B4076" s="50">
        <v>45063.728377118</v>
      </c>
      <c r="C4076" s="51">
        <v>1.014</v>
      </c>
      <c r="D4076" s="51">
        <v>65.0</v>
      </c>
      <c r="E4076" s="52" t="s">
        <v>25</v>
      </c>
      <c r="F4076" s="52" t="s">
        <v>26</v>
      </c>
      <c r="G4076" s="54"/>
    </row>
    <row r="4077">
      <c r="A4077" s="49">
        <v>45063.61382165509</v>
      </c>
      <c r="B4077" s="50">
        <v>45063.7387994444</v>
      </c>
      <c r="C4077" s="51">
        <v>1.014</v>
      </c>
      <c r="D4077" s="51">
        <v>65.0</v>
      </c>
      <c r="E4077" s="52" t="s">
        <v>25</v>
      </c>
      <c r="F4077" s="52" t="s">
        <v>26</v>
      </c>
      <c r="G4077" s="54"/>
    </row>
    <row r="4078">
      <c r="A4078" s="49">
        <v>45063.62424399305</v>
      </c>
      <c r="B4078" s="50">
        <v>45063.7492200347</v>
      </c>
      <c r="C4078" s="51">
        <v>1.014</v>
      </c>
      <c r="D4078" s="51">
        <v>65.0</v>
      </c>
      <c r="E4078" s="52" t="s">
        <v>25</v>
      </c>
      <c r="F4078" s="52" t="s">
        <v>26</v>
      </c>
      <c r="G4078" s="54"/>
    </row>
    <row r="4079">
      <c r="A4079" s="49">
        <v>45063.63473814815</v>
      </c>
      <c r="B4079" s="50">
        <v>45063.7596522106</v>
      </c>
      <c r="C4079" s="51">
        <v>1.014</v>
      </c>
      <c r="D4079" s="51">
        <v>65.0</v>
      </c>
      <c r="E4079" s="52" t="s">
        <v>25</v>
      </c>
      <c r="F4079" s="52" t="s">
        <v>26</v>
      </c>
      <c r="G4079" s="54"/>
    </row>
    <row r="4080">
      <c r="A4080" s="49">
        <v>45063.64512233796</v>
      </c>
      <c r="B4080" s="50">
        <v>45063.7700877893</v>
      </c>
      <c r="C4080" s="51">
        <v>1.014</v>
      </c>
      <c r="D4080" s="51">
        <v>65.0</v>
      </c>
      <c r="E4080" s="52" t="s">
        <v>25</v>
      </c>
      <c r="F4080" s="52" t="s">
        <v>26</v>
      </c>
      <c r="G4080" s="54"/>
    </row>
    <row r="4081">
      <c r="A4081" s="49">
        <v>45063.6555472801</v>
      </c>
      <c r="B4081" s="50">
        <v>45063.7805103356</v>
      </c>
      <c r="C4081" s="51">
        <v>1.014</v>
      </c>
      <c r="D4081" s="51">
        <v>65.0</v>
      </c>
      <c r="E4081" s="52" t="s">
        <v>25</v>
      </c>
      <c r="F4081" s="52" t="s">
        <v>26</v>
      </c>
      <c r="G4081" s="54"/>
    </row>
    <row r="4082">
      <c r="A4082" s="49">
        <v>45063.66595333333</v>
      </c>
      <c r="B4082" s="50">
        <v>45063.7909312847</v>
      </c>
      <c r="C4082" s="51">
        <v>1.014</v>
      </c>
      <c r="D4082" s="51">
        <v>65.0</v>
      </c>
      <c r="E4082" s="52" t="s">
        <v>25</v>
      </c>
      <c r="F4082" s="52" t="s">
        <v>26</v>
      </c>
      <c r="G4082" s="54"/>
    </row>
    <row r="4083">
      <c r="A4083" s="49">
        <v>45063.67643752314</v>
      </c>
      <c r="B4083" s="50">
        <v>45063.8013513888</v>
      </c>
      <c r="C4083" s="51">
        <v>1.014</v>
      </c>
      <c r="D4083" s="51">
        <v>65.0</v>
      </c>
      <c r="E4083" s="52" t="s">
        <v>25</v>
      </c>
      <c r="F4083" s="52" t="s">
        <v>26</v>
      </c>
      <c r="G4083" s="54"/>
    </row>
    <row r="4084">
      <c r="A4084" s="49">
        <v>45063.68680365741</v>
      </c>
      <c r="B4084" s="50">
        <v>45063.8117742245</v>
      </c>
      <c r="C4084" s="51">
        <v>1.014</v>
      </c>
      <c r="D4084" s="51">
        <v>65.0</v>
      </c>
      <c r="E4084" s="52" t="s">
        <v>25</v>
      </c>
      <c r="F4084" s="52" t="s">
        <v>26</v>
      </c>
      <c r="G4084" s="54"/>
    </row>
    <row r="4085">
      <c r="A4085" s="49">
        <v>45063.697225462965</v>
      </c>
      <c r="B4085" s="50">
        <v>45063.8221974189</v>
      </c>
      <c r="C4085" s="51">
        <v>1.014</v>
      </c>
      <c r="D4085" s="51">
        <v>65.0</v>
      </c>
      <c r="E4085" s="52" t="s">
        <v>25</v>
      </c>
      <c r="F4085" s="52" t="s">
        <v>26</v>
      </c>
      <c r="G4085" s="54"/>
    </row>
    <row r="4086">
      <c r="A4086" s="49">
        <v>45063.7076381713</v>
      </c>
      <c r="B4086" s="50">
        <v>45063.8326189467</v>
      </c>
      <c r="C4086" s="51">
        <v>1.014</v>
      </c>
      <c r="D4086" s="51">
        <v>65.0</v>
      </c>
      <c r="E4086" s="52" t="s">
        <v>25</v>
      </c>
      <c r="F4086" s="52" t="s">
        <v>26</v>
      </c>
      <c r="G4086" s="54"/>
    </row>
    <row r="4087">
      <c r="A4087" s="49">
        <v>45063.71806215278</v>
      </c>
      <c r="B4087" s="50">
        <v>45063.8430392824</v>
      </c>
      <c r="C4087" s="51">
        <v>1.014</v>
      </c>
      <c r="D4087" s="51">
        <v>65.0</v>
      </c>
      <c r="E4087" s="52" t="s">
        <v>25</v>
      </c>
      <c r="F4087" s="52" t="s">
        <v>26</v>
      </c>
      <c r="G4087" s="54"/>
    </row>
    <row r="4088">
      <c r="A4088" s="49">
        <v>45063.72849275463</v>
      </c>
      <c r="B4088" s="50">
        <v>45063.8534725231</v>
      </c>
      <c r="C4088" s="51">
        <v>1.014</v>
      </c>
      <c r="D4088" s="51">
        <v>65.0</v>
      </c>
      <c r="E4088" s="52" t="s">
        <v>25</v>
      </c>
      <c r="F4088" s="52" t="s">
        <v>26</v>
      </c>
      <c r="G4088" s="54"/>
    </row>
    <row r="4089">
      <c r="A4089" s="49">
        <v>45063.73892809028</v>
      </c>
      <c r="B4089" s="50">
        <v>45063.8639066319</v>
      </c>
      <c r="C4089" s="51">
        <v>1.014</v>
      </c>
      <c r="D4089" s="51">
        <v>65.0</v>
      </c>
      <c r="E4089" s="52" t="s">
        <v>25</v>
      </c>
      <c r="F4089" s="52" t="s">
        <v>26</v>
      </c>
      <c r="G4089" s="54"/>
    </row>
    <row r="4090">
      <c r="A4090" s="49">
        <v>45063.749349606485</v>
      </c>
      <c r="B4090" s="50">
        <v>45063.8743279282</v>
      </c>
      <c r="C4090" s="51">
        <v>1.014</v>
      </c>
      <c r="D4090" s="51">
        <v>65.0</v>
      </c>
      <c r="E4090" s="52" t="s">
        <v>25</v>
      </c>
      <c r="F4090" s="52" t="s">
        <v>26</v>
      </c>
      <c r="G4090" s="54"/>
    </row>
    <row r="4091">
      <c r="A4091" s="49">
        <v>45063.75977421296</v>
      </c>
      <c r="B4091" s="50">
        <v>45063.8847483101</v>
      </c>
      <c r="C4091" s="51">
        <v>1.014</v>
      </c>
      <c r="D4091" s="51">
        <v>65.0</v>
      </c>
      <c r="E4091" s="52" t="s">
        <v>25</v>
      </c>
      <c r="F4091" s="52" t="s">
        <v>26</v>
      </c>
      <c r="G4091" s="54"/>
    </row>
    <row r="4092">
      <c r="A4092" s="49">
        <v>45063.77019844907</v>
      </c>
      <c r="B4092" s="50">
        <v>45063.895170324</v>
      </c>
      <c r="C4092" s="51">
        <v>1.014</v>
      </c>
      <c r="D4092" s="51">
        <v>65.0</v>
      </c>
      <c r="E4092" s="52" t="s">
        <v>25</v>
      </c>
      <c r="F4092" s="52" t="s">
        <v>26</v>
      </c>
      <c r="G4092" s="54"/>
    </row>
    <row r="4093">
      <c r="A4093" s="49">
        <v>45063.78061901621</v>
      </c>
      <c r="B4093" s="50">
        <v>45063.9055904282</v>
      </c>
      <c r="C4093" s="51">
        <v>1.014</v>
      </c>
      <c r="D4093" s="51">
        <v>65.0</v>
      </c>
      <c r="E4093" s="52" t="s">
        <v>25</v>
      </c>
      <c r="F4093" s="52" t="s">
        <v>26</v>
      </c>
      <c r="G4093" s="54"/>
    </row>
    <row r="4094">
      <c r="A4094" s="49">
        <v>45063.79103259259</v>
      </c>
      <c r="B4094" s="50">
        <v>45063.9160105787</v>
      </c>
      <c r="C4094" s="51">
        <v>1.014</v>
      </c>
      <c r="D4094" s="51">
        <v>65.0</v>
      </c>
      <c r="E4094" s="52" t="s">
        <v>25</v>
      </c>
      <c r="F4094" s="52" t="s">
        <v>26</v>
      </c>
      <c r="G4094" s="54"/>
    </row>
    <row r="4095">
      <c r="A4095" s="49">
        <v>45063.80146293981</v>
      </c>
      <c r="B4095" s="50">
        <v>45063.92643</v>
      </c>
      <c r="C4095" s="51">
        <v>1.014</v>
      </c>
      <c r="D4095" s="51">
        <v>65.0</v>
      </c>
      <c r="E4095" s="52" t="s">
        <v>25</v>
      </c>
      <c r="F4095" s="52" t="s">
        <v>26</v>
      </c>
      <c r="G4095" s="54"/>
    </row>
    <row r="4096">
      <c r="A4096" s="49">
        <v>45063.811879444445</v>
      </c>
      <c r="B4096" s="50">
        <v>45063.9368499537</v>
      </c>
      <c r="C4096" s="51">
        <v>1.014</v>
      </c>
      <c r="D4096" s="51">
        <v>65.0</v>
      </c>
      <c r="E4096" s="52" t="s">
        <v>25</v>
      </c>
      <c r="F4096" s="52" t="s">
        <v>26</v>
      </c>
      <c r="G4096" s="54"/>
    </row>
    <row r="4097">
      <c r="A4097" s="49">
        <v>45063.8223015625</v>
      </c>
      <c r="B4097" s="50">
        <v>45063.9472717824</v>
      </c>
      <c r="C4097" s="51">
        <v>1.014</v>
      </c>
      <c r="D4097" s="51">
        <v>65.0</v>
      </c>
      <c r="E4097" s="52" t="s">
        <v>25</v>
      </c>
      <c r="F4097" s="52" t="s">
        <v>26</v>
      </c>
      <c r="G4097" s="54"/>
    </row>
    <row r="4098">
      <c r="A4098" s="49">
        <v>45063.83271984954</v>
      </c>
      <c r="B4098" s="50">
        <v>45063.9577040856</v>
      </c>
      <c r="C4098" s="51">
        <v>1.014</v>
      </c>
      <c r="D4098" s="51">
        <v>65.0</v>
      </c>
      <c r="E4098" s="52" t="s">
        <v>25</v>
      </c>
      <c r="F4098" s="52" t="s">
        <v>26</v>
      </c>
      <c r="G4098" s="54"/>
    </row>
    <row r="4099">
      <c r="A4099" s="49">
        <v>45063.843155821756</v>
      </c>
      <c r="B4099" s="50">
        <v>45063.9681357175</v>
      </c>
      <c r="C4099" s="51">
        <v>1.014</v>
      </c>
      <c r="D4099" s="51">
        <v>65.0</v>
      </c>
      <c r="E4099" s="52" t="s">
        <v>25</v>
      </c>
      <c r="F4099" s="52" t="s">
        <v>26</v>
      </c>
      <c r="G4099" s="54"/>
    </row>
    <row r="4100">
      <c r="A4100" s="49">
        <v>45063.85358539352</v>
      </c>
      <c r="B4100" s="50">
        <v>45063.9785692476</v>
      </c>
      <c r="C4100" s="51">
        <v>1.014</v>
      </c>
      <c r="D4100" s="51">
        <v>65.0</v>
      </c>
      <c r="E4100" s="52" t="s">
        <v>25</v>
      </c>
      <c r="F4100" s="52" t="s">
        <v>26</v>
      </c>
      <c r="G4100" s="54"/>
    </row>
    <row r="4101">
      <c r="A4101" s="49">
        <v>45063.86400731481</v>
      </c>
      <c r="B4101" s="50">
        <v>45063.9889899652</v>
      </c>
      <c r="C4101" s="51">
        <v>1.014</v>
      </c>
      <c r="D4101" s="51">
        <v>65.0</v>
      </c>
      <c r="E4101" s="52" t="s">
        <v>25</v>
      </c>
      <c r="F4101" s="52" t="s">
        <v>26</v>
      </c>
      <c r="G4101" s="54"/>
    </row>
    <row r="4102">
      <c r="A4102" s="49">
        <v>45063.87443449074</v>
      </c>
      <c r="B4102" s="50">
        <v>45063.9994106713</v>
      </c>
      <c r="C4102" s="51">
        <v>1.014</v>
      </c>
      <c r="D4102" s="51">
        <v>65.0</v>
      </c>
      <c r="E4102" s="52" t="s">
        <v>25</v>
      </c>
      <c r="F4102" s="52" t="s">
        <v>26</v>
      </c>
      <c r="G4102" s="54"/>
    </row>
    <row r="4103">
      <c r="A4103" s="49">
        <v>45063.88485643519</v>
      </c>
      <c r="B4103" s="50">
        <v>45064.0098306134</v>
      </c>
      <c r="C4103" s="51">
        <v>1.014</v>
      </c>
      <c r="D4103" s="51">
        <v>65.0</v>
      </c>
      <c r="E4103" s="52" t="s">
        <v>25</v>
      </c>
      <c r="F4103" s="52" t="s">
        <v>26</v>
      </c>
      <c r="G4103" s="54"/>
    </row>
    <row r="4104">
      <c r="A4104" s="49">
        <v>45063.89527849537</v>
      </c>
      <c r="B4104" s="50">
        <v>45064.0202516203</v>
      </c>
      <c r="C4104" s="51">
        <v>1.014</v>
      </c>
      <c r="D4104" s="51">
        <v>65.0</v>
      </c>
      <c r="E4104" s="52" t="s">
        <v>25</v>
      </c>
      <c r="F4104" s="52" t="s">
        <v>26</v>
      </c>
      <c r="G4104" s="54"/>
    </row>
    <row r="4105">
      <c r="A4105" s="49">
        <v>45063.90570004629</v>
      </c>
      <c r="B4105" s="50">
        <v>45064.0306712268</v>
      </c>
      <c r="C4105" s="51">
        <v>1.014</v>
      </c>
      <c r="D4105" s="51">
        <v>65.0</v>
      </c>
      <c r="E4105" s="52" t="s">
        <v>25</v>
      </c>
      <c r="F4105" s="52" t="s">
        <v>26</v>
      </c>
      <c r="G4105" s="54"/>
    </row>
    <row r="4106">
      <c r="A4106" s="49">
        <v>45063.91612299769</v>
      </c>
      <c r="B4106" s="50">
        <v>45064.0410925926</v>
      </c>
      <c r="C4106" s="51">
        <v>1.014</v>
      </c>
      <c r="D4106" s="51">
        <v>65.0</v>
      </c>
      <c r="E4106" s="52" t="s">
        <v>25</v>
      </c>
      <c r="F4106" s="52" t="s">
        <v>26</v>
      </c>
      <c r="G4106" s="54"/>
    </row>
    <row r="4107">
      <c r="A4107" s="49">
        <v>45063.92653978009</v>
      </c>
      <c r="B4107" s="50">
        <v>45064.0515144675</v>
      </c>
      <c r="C4107" s="51">
        <v>1.014</v>
      </c>
      <c r="D4107" s="51">
        <v>65.0</v>
      </c>
      <c r="E4107" s="52" t="s">
        <v>25</v>
      </c>
      <c r="F4107" s="52" t="s">
        <v>26</v>
      </c>
      <c r="G4107" s="54"/>
    </row>
    <row r="4108">
      <c r="A4108" s="49">
        <v>45063.93696652778</v>
      </c>
      <c r="B4108" s="50">
        <v>45064.0619374074</v>
      </c>
      <c r="C4108" s="51">
        <v>1.014</v>
      </c>
      <c r="D4108" s="51">
        <v>65.0</v>
      </c>
      <c r="E4108" s="52" t="s">
        <v>25</v>
      </c>
      <c r="F4108" s="52" t="s">
        <v>26</v>
      </c>
      <c r="G4108" s="54"/>
    </row>
    <row r="4109">
      <c r="A4109" s="49">
        <v>45063.94737649306</v>
      </c>
      <c r="B4109" s="50">
        <v>45064.0723584027</v>
      </c>
      <c r="C4109" s="51">
        <v>1.014</v>
      </c>
      <c r="D4109" s="51">
        <v>65.0</v>
      </c>
      <c r="E4109" s="52" t="s">
        <v>25</v>
      </c>
      <c r="F4109" s="52" t="s">
        <v>26</v>
      </c>
      <c r="G4109" s="54"/>
    </row>
    <row r="4110">
      <c r="A4110" s="49">
        <v>45063.95780833333</v>
      </c>
      <c r="B4110" s="50">
        <v>45064.0827788657</v>
      </c>
      <c r="C4110" s="51">
        <v>1.014</v>
      </c>
      <c r="D4110" s="51">
        <v>65.0</v>
      </c>
      <c r="E4110" s="52" t="s">
        <v>25</v>
      </c>
      <c r="F4110" s="52" t="s">
        <v>26</v>
      </c>
      <c r="G4110" s="54"/>
    </row>
    <row r="4111">
      <c r="A4111" s="49">
        <v>45063.96822995371</v>
      </c>
      <c r="B4111" s="50">
        <v>45064.0932018981</v>
      </c>
      <c r="C4111" s="51">
        <v>1.014</v>
      </c>
      <c r="D4111" s="51">
        <v>65.0</v>
      </c>
      <c r="E4111" s="52" t="s">
        <v>25</v>
      </c>
      <c r="F4111" s="52" t="s">
        <v>26</v>
      </c>
      <c r="G4111" s="54"/>
    </row>
    <row r="4112">
      <c r="A4112" s="49">
        <v>45063.978656631945</v>
      </c>
      <c r="B4112" s="50">
        <v>45064.1036354398</v>
      </c>
      <c r="C4112" s="51">
        <v>1.014</v>
      </c>
      <c r="D4112" s="51">
        <v>65.0</v>
      </c>
      <c r="E4112" s="52" t="s">
        <v>25</v>
      </c>
      <c r="F4112" s="52" t="s">
        <v>26</v>
      </c>
      <c r="G4112" s="54"/>
    </row>
    <row r="4113">
      <c r="A4113" s="49">
        <v>45063.98909420139</v>
      </c>
      <c r="B4113" s="50">
        <v>45064.1140695949</v>
      </c>
      <c r="C4113" s="51">
        <v>1.014</v>
      </c>
      <c r="D4113" s="51">
        <v>65.0</v>
      </c>
      <c r="E4113" s="52" t="s">
        <v>25</v>
      </c>
      <c r="F4113" s="52" t="s">
        <v>26</v>
      </c>
      <c r="G4113" s="54"/>
    </row>
    <row r="4114">
      <c r="A4114" s="49">
        <v>45063.999529768524</v>
      </c>
      <c r="B4114" s="50">
        <v>45064.1245023263</v>
      </c>
      <c r="C4114" s="51">
        <v>1.014</v>
      </c>
      <c r="D4114" s="51">
        <v>65.0</v>
      </c>
      <c r="E4114" s="52" t="s">
        <v>25</v>
      </c>
      <c r="F4114" s="52" t="s">
        <v>26</v>
      </c>
      <c r="G4114" s="54"/>
    </row>
    <row r="4115">
      <c r="A4115" s="49">
        <v>45064.00994283565</v>
      </c>
      <c r="B4115" s="50">
        <v>45064.1349222106</v>
      </c>
      <c r="C4115" s="51">
        <v>1.014</v>
      </c>
      <c r="D4115" s="51">
        <v>65.0</v>
      </c>
      <c r="E4115" s="52" t="s">
        <v>25</v>
      </c>
      <c r="F4115" s="52" t="s">
        <v>26</v>
      </c>
      <c r="G4115" s="54"/>
    </row>
    <row r="4116">
      <c r="A4116" s="49">
        <v>45064.02036951389</v>
      </c>
      <c r="B4116" s="50">
        <v>45064.1453430787</v>
      </c>
      <c r="C4116" s="51">
        <v>1.014</v>
      </c>
      <c r="D4116" s="51">
        <v>65.0</v>
      </c>
      <c r="E4116" s="52" t="s">
        <v>25</v>
      </c>
      <c r="F4116" s="52" t="s">
        <v>26</v>
      </c>
      <c r="G4116" s="54"/>
    </row>
    <row r="4117">
      <c r="A4117" s="49">
        <v>45064.03079863426</v>
      </c>
      <c r="B4117" s="50">
        <v>45064.1557758912</v>
      </c>
      <c r="C4117" s="51">
        <v>1.014</v>
      </c>
      <c r="D4117" s="51">
        <v>65.0</v>
      </c>
      <c r="E4117" s="52" t="s">
        <v>25</v>
      </c>
      <c r="F4117" s="52" t="s">
        <v>26</v>
      </c>
      <c r="G4117" s="54"/>
    </row>
    <row r="4118">
      <c r="A4118" s="49">
        <v>45064.04122387731</v>
      </c>
      <c r="B4118" s="50">
        <v>45064.16619728</v>
      </c>
      <c r="C4118" s="51">
        <v>1.014</v>
      </c>
      <c r="D4118" s="51">
        <v>65.0</v>
      </c>
      <c r="E4118" s="52" t="s">
        <v>25</v>
      </c>
      <c r="F4118" s="52" t="s">
        <v>26</v>
      </c>
      <c r="G4118" s="54"/>
    </row>
    <row r="4119">
      <c r="A4119" s="49">
        <v>45064.051636006945</v>
      </c>
      <c r="B4119" s="50">
        <v>45064.1766177083</v>
      </c>
      <c r="C4119" s="51">
        <v>1.014</v>
      </c>
      <c r="D4119" s="51">
        <v>65.0</v>
      </c>
      <c r="E4119" s="52" t="s">
        <v>25</v>
      </c>
      <c r="F4119" s="52" t="s">
        <v>26</v>
      </c>
      <c r="G4119" s="54"/>
    </row>
    <row r="4120">
      <c r="A4120" s="49">
        <v>45064.06206456019</v>
      </c>
      <c r="B4120" s="50">
        <v>45064.1870372453</v>
      </c>
      <c r="C4120" s="51">
        <v>1.014</v>
      </c>
      <c r="D4120" s="51">
        <v>65.0</v>
      </c>
      <c r="E4120" s="52" t="s">
        <v>25</v>
      </c>
      <c r="F4120" s="52" t="s">
        <v>26</v>
      </c>
      <c r="G4120" s="54"/>
    </row>
    <row r="4121">
      <c r="A4121" s="49">
        <v>45064.072485625</v>
      </c>
      <c r="B4121" s="50">
        <v>45064.1974578819</v>
      </c>
      <c r="C4121" s="51">
        <v>1.014</v>
      </c>
      <c r="D4121" s="51">
        <v>65.0</v>
      </c>
      <c r="E4121" s="52" t="s">
        <v>25</v>
      </c>
      <c r="F4121" s="52" t="s">
        <v>26</v>
      </c>
      <c r="G4121" s="54"/>
    </row>
    <row r="4122">
      <c r="A4122" s="49">
        <v>45064.08291967593</v>
      </c>
      <c r="B4122" s="50">
        <v>45064.2078904861</v>
      </c>
      <c r="C4122" s="51">
        <v>1.014</v>
      </c>
      <c r="D4122" s="51">
        <v>65.0</v>
      </c>
      <c r="E4122" s="52" t="s">
        <v>25</v>
      </c>
      <c r="F4122" s="52" t="s">
        <v>26</v>
      </c>
      <c r="G4122" s="54"/>
    </row>
    <row r="4123">
      <c r="A4123" s="49">
        <v>45064.09335207176</v>
      </c>
      <c r="B4123" s="50">
        <v>45064.2183244907</v>
      </c>
      <c r="C4123" s="51">
        <v>1.014</v>
      </c>
      <c r="D4123" s="51">
        <v>65.0</v>
      </c>
      <c r="E4123" s="52" t="s">
        <v>25</v>
      </c>
      <c r="F4123" s="52" t="s">
        <v>26</v>
      </c>
      <c r="G4123" s="54"/>
    </row>
    <row r="4124">
      <c r="A4124" s="49">
        <v>45064.10377598379</v>
      </c>
      <c r="B4124" s="50">
        <v>45064.2287560185</v>
      </c>
      <c r="C4124" s="51">
        <v>1.014</v>
      </c>
      <c r="D4124" s="51">
        <v>65.0</v>
      </c>
      <c r="E4124" s="52" t="s">
        <v>25</v>
      </c>
      <c r="F4124" s="52" t="s">
        <v>26</v>
      </c>
      <c r="G4124" s="54"/>
    </row>
    <row r="4125">
      <c r="A4125" s="49">
        <v>45064.114195567134</v>
      </c>
      <c r="B4125" s="50">
        <v>45064.2391755902</v>
      </c>
      <c r="C4125" s="51">
        <v>1.014</v>
      </c>
      <c r="D4125" s="51">
        <v>65.0</v>
      </c>
      <c r="E4125" s="52" t="s">
        <v>25</v>
      </c>
      <c r="F4125" s="52" t="s">
        <v>26</v>
      </c>
      <c r="G4125" s="54"/>
    </row>
    <row r="4126">
      <c r="A4126" s="49">
        <v>45064.12462569444</v>
      </c>
      <c r="B4126" s="50">
        <v>45064.2495972453</v>
      </c>
      <c r="C4126" s="51">
        <v>1.014</v>
      </c>
      <c r="D4126" s="51">
        <v>65.0</v>
      </c>
      <c r="E4126" s="52" t="s">
        <v>25</v>
      </c>
      <c r="F4126" s="52" t="s">
        <v>26</v>
      </c>
      <c r="G4126" s="54"/>
    </row>
    <row r="4127">
      <c r="A4127" s="49">
        <v>45064.13503613426</v>
      </c>
      <c r="B4127" s="50">
        <v>45064.260018287</v>
      </c>
      <c r="C4127" s="51">
        <v>1.014</v>
      </c>
      <c r="D4127" s="51">
        <v>65.0</v>
      </c>
      <c r="E4127" s="52" t="s">
        <v>25</v>
      </c>
      <c r="F4127" s="52" t="s">
        <v>26</v>
      </c>
      <c r="G4127" s="54"/>
    </row>
    <row r="4128">
      <c r="A4128" s="49">
        <v>45064.145471655094</v>
      </c>
      <c r="B4128" s="50">
        <v>45064.2704404861</v>
      </c>
      <c r="C4128" s="51">
        <v>1.014</v>
      </c>
      <c r="D4128" s="51">
        <v>65.0</v>
      </c>
      <c r="E4128" s="52" t="s">
        <v>25</v>
      </c>
      <c r="F4128" s="52" t="s">
        <v>26</v>
      </c>
      <c r="G4128" s="54"/>
    </row>
    <row r="4129">
      <c r="A4129" s="49">
        <v>45064.15588881944</v>
      </c>
      <c r="B4129" s="50">
        <v>45064.2808618402</v>
      </c>
      <c r="C4129" s="51">
        <v>1.014</v>
      </c>
      <c r="D4129" s="51">
        <v>65.0</v>
      </c>
      <c r="E4129" s="52" t="s">
        <v>25</v>
      </c>
      <c r="F4129" s="52" t="s">
        <v>26</v>
      </c>
      <c r="G4129" s="54"/>
    </row>
    <row r="4130">
      <c r="A4130" s="49">
        <v>45064.16631025463</v>
      </c>
      <c r="B4130" s="50">
        <v>45064.2912830092</v>
      </c>
      <c r="C4130" s="51">
        <v>1.014</v>
      </c>
      <c r="D4130" s="51">
        <v>65.0</v>
      </c>
      <c r="E4130" s="52" t="s">
        <v>25</v>
      </c>
      <c r="F4130" s="52" t="s">
        <v>26</v>
      </c>
      <c r="G4130" s="54"/>
    </row>
    <row r="4131">
      <c r="A4131" s="49">
        <v>45064.17673453703</v>
      </c>
      <c r="B4131" s="50">
        <v>45064.3017033101</v>
      </c>
      <c r="C4131" s="51">
        <v>1.014</v>
      </c>
      <c r="D4131" s="51">
        <v>65.0</v>
      </c>
      <c r="E4131" s="52" t="s">
        <v>25</v>
      </c>
      <c r="F4131" s="52" t="s">
        <v>26</v>
      </c>
      <c r="G4131" s="54"/>
    </row>
    <row r="4132">
      <c r="A4132" s="49">
        <v>45064.18715025463</v>
      </c>
      <c r="B4132" s="50">
        <v>45064.312124074</v>
      </c>
      <c r="C4132" s="51">
        <v>1.014</v>
      </c>
      <c r="D4132" s="51">
        <v>65.0</v>
      </c>
      <c r="E4132" s="52" t="s">
        <v>25</v>
      </c>
      <c r="F4132" s="52" t="s">
        <v>26</v>
      </c>
      <c r="G4132" s="54"/>
    </row>
    <row r="4133">
      <c r="A4133" s="49">
        <v>45064.19757163194</v>
      </c>
      <c r="B4133" s="50">
        <v>45064.3225442245</v>
      </c>
      <c r="C4133" s="51">
        <v>1.014</v>
      </c>
      <c r="D4133" s="51">
        <v>65.0</v>
      </c>
      <c r="E4133" s="52" t="s">
        <v>25</v>
      </c>
      <c r="F4133" s="52" t="s">
        <v>26</v>
      </c>
      <c r="G4133" s="54"/>
    </row>
    <row r="4134">
      <c r="A4134" s="49">
        <v>45064.207986064815</v>
      </c>
      <c r="B4134" s="50">
        <v>45064.3329648726</v>
      </c>
      <c r="C4134" s="51">
        <v>1.014</v>
      </c>
      <c r="D4134" s="51">
        <v>65.0</v>
      </c>
      <c r="E4134" s="52" t="s">
        <v>25</v>
      </c>
      <c r="F4134" s="52" t="s">
        <v>26</v>
      </c>
      <c r="G4134" s="54"/>
    </row>
    <row r="4135">
      <c r="A4135" s="49">
        <v>45064.21841101852</v>
      </c>
      <c r="B4135" s="50">
        <v>45064.3433865856</v>
      </c>
      <c r="C4135" s="51">
        <v>1.014</v>
      </c>
      <c r="D4135" s="51">
        <v>65.0</v>
      </c>
      <c r="E4135" s="52" t="s">
        <v>25</v>
      </c>
      <c r="F4135" s="52" t="s">
        <v>26</v>
      </c>
      <c r="G4135" s="54"/>
    </row>
    <row r="4136">
      <c r="A4136" s="49">
        <v>45064.22883344907</v>
      </c>
      <c r="B4136" s="50">
        <v>45064.3538073379</v>
      </c>
      <c r="C4136" s="51">
        <v>1.014</v>
      </c>
      <c r="D4136" s="51">
        <v>65.0</v>
      </c>
      <c r="E4136" s="52" t="s">
        <v>25</v>
      </c>
      <c r="F4136" s="52" t="s">
        <v>26</v>
      </c>
      <c r="G4136" s="54"/>
    </row>
    <row r="4137">
      <c r="A4137" s="49">
        <v>45064.239256597226</v>
      </c>
      <c r="B4137" s="50">
        <v>45064.3642284143</v>
      </c>
      <c r="C4137" s="51">
        <v>1.014</v>
      </c>
      <c r="D4137" s="51">
        <v>65.0</v>
      </c>
      <c r="E4137" s="52" t="s">
        <v>25</v>
      </c>
      <c r="F4137" s="52" t="s">
        <v>26</v>
      </c>
      <c r="G4137" s="54"/>
    </row>
    <row r="4138">
      <c r="A4138" s="49">
        <v>45064.24966908565</v>
      </c>
      <c r="B4138" s="50">
        <v>45064.3746486342</v>
      </c>
      <c r="C4138" s="51">
        <v>1.014</v>
      </c>
      <c r="D4138" s="51">
        <v>65.0</v>
      </c>
      <c r="E4138" s="52" t="s">
        <v>25</v>
      </c>
      <c r="F4138" s="52" t="s">
        <v>26</v>
      </c>
      <c r="G4138" s="54"/>
    </row>
    <row r="4139">
      <c r="A4139" s="49">
        <v>45064.260101712964</v>
      </c>
      <c r="B4139" s="50">
        <v>45064.3850717939</v>
      </c>
      <c r="C4139" s="51">
        <v>1.014</v>
      </c>
      <c r="D4139" s="51">
        <v>65.0</v>
      </c>
      <c r="E4139" s="52" t="s">
        <v>25</v>
      </c>
      <c r="F4139" s="52" t="s">
        <v>26</v>
      </c>
      <c r="G4139" s="54"/>
    </row>
    <row r="4140">
      <c r="A4140" s="49">
        <v>45064.2705116088</v>
      </c>
      <c r="B4140" s="50">
        <v>45064.3954934027</v>
      </c>
      <c r="C4140" s="51">
        <v>1.014</v>
      </c>
      <c r="D4140" s="51">
        <v>65.0</v>
      </c>
      <c r="E4140" s="52" t="s">
        <v>25</v>
      </c>
      <c r="F4140" s="52" t="s">
        <v>26</v>
      </c>
      <c r="G4140" s="54"/>
    </row>
    <row r="4141">
      <c r="A4141" s="49">
        <v>45064.28094952546</v>
      </c>
      <c r="B4141" s="50">
        <v>45064.4059242129</v>
      </c>
      <c r="C4141" s="51">
        <v>1.014</v>
      </c>
      <c r="D4141" s="51">
        <v>65.0</v>
      </c>
      <c r="E4141" s="52" t="s">
        <v>25</v>
      </c>
      <c r="F4141" s="52" t="s">
        <v>26</v>
      </c>
      <c r="G4141" s="54"/>
    </row>
    <row r="4142">
      <c r="A4142" s="49">
        <v>45064.29137885416</v>
      </c>
      <c r="B4142" s="50">
        <v>45064.416345243</v>
      </c>
      <c r="C4142" s="51">
        <v>1.014</v>
      </c>
      <c r="D4142" s="51">
        <v>65.0</v>
      </c>
      <c r="E4142" s="52" t="s">
        <v>25</v>
      </c>
      <c r="F4142" s="52" t="s">
        <v>26</v>
      </c>
      <c r="G4142" s="54"/>
    </row>
    <row r="4143">
      <c r="A4143" s="49">
        <v>45064.30179979166</v>
      </c>
      <c r="B4143" s="50">
        <v>45064.4267668981</v>
      </c>
      <c r="C4143" s="51">
        <v>1.014</v>
      </c>
      <c r="D4143" s="51">
        <v>65.0</v>
      </c>
      <c r="E4143" s="52" t="s">
        <v>25</v>
      </c>
      <c r="F4143" s="52" t="s">
        <v>26</v>
      </c>
      <c r="G4143" s="54"/>
    </row>
    <row r="4144">
      <c r="A4144" s="49">
        <v>45064.31221935185</v>
      </c>
      <c r="B4144" s="50">
        <v>45064.4371898958</v>
      </c>
      <c r="C4144" s="51">
        <v>1.014</v>
      </c>
      <c r="D4144" s="51">
        <v>65.0</v>
      </c>
      <c r="E4144" s="52" t="s">
        <v>25</v>
      </c>
      <c r="F4144" s="52" t="s">
        <v>26</v>
      </c>
      <c r="G4144" s="54"/>
    </row>
    <row r="4145">
      <c r="A4145" s="49">
        <v>45064.322642025465</v>
      </c>
      <c r="B4145" s="50">
        <v>45064.4476112152</v>
      </c>
      <c r="C4145" s="51">
        <v>1.014</v>
      </c>
      <c r="D4145" s="51">
        <v>65.0</v>
      </c>
      <c r="E4145" s="52" t="s">
        <v>25</v>
      </c>
      <c r="F4145" s="52" t="s">
        <v>26</v>
      </c>
      <c r="G4145" s="54"/>
    </row>
    <row r="4146">
      <c r="A4146" s="49">
        <v>45064.33306020833</v>
      </c>
      <c r="B4146" s="50">
        <v>45064.4580329976</v>
      </c>
      <c r="C4146" s="51">
        <v>1.014</v>
      </c>
      <c r="D4146" s="51">
        <v>65.0</v>
      </c>
      <c r="E4146" s="52" t="s">
        <v>25</v>
      </c>
      <c r="F4146" s="52" t="s">
        <v>26</v>
      </c>
      <c r="G4146" s="54"/>
    </row>
    <row r="4147">
      <c r="A4147" s="49">
        <v>45064.34348060185</v>
      </c>
      <c r="B4147" s="50">
        <v>45064.4684547916</v>
      </c>
      <c r="C4147" s="51">
        <v>1.014</v>
      </c>
      <c r="D4147" s="51">
        <v>65.0</v>
      </c>
      <c r="E4147" s="52" t="s">
        <v>25</v>
      </c>
      <c r="F4147" s="52" t="s">
        <v>26</v>
      </c>
      <c r="G4147" s="54"/>
    </row>
    <row r="4148">
      <c r="A4148" s="49">
        <v>45064.3539009838</v>
      </c>
      <c r="B4148" s="50">
        <v>45064.4788751157</v>
      </c>
      <c r="C4148" s="51">
        <v>1.014</v>
      </c>
      <c r="D4148" s="51">
        <v>64.0</v>
      </c>
      <c r="E4148" s="52" t="s">
        <v>25</v>
      </c>
      <c r="F4148" s="52" t="s">
        <v>26</v>
      </c>
      <c r="G4148" s="54"/>
    </row>
    <row r="4149">
      <c r="A4149" s="49">
        <v>45064.364325312505</v>
      </c>
      <c r="B4149" s="50">
        <v>45064.489296655</v>
      </c>
      <c r="C4149" s="51">
        <v>1.014</v>
      </c>
      <c r="D4149" s="51">
        <v>65.0</v>
      </c>
      <c r="E4149" s="52" t="s">
        <v>25</v>
      </c>
      <c r="F4149" s="52" t="s">
        <v>26</v>
      </c>
      <c r="G4149" s="54"/>
    </row>
    <row r="4150">
      <c r="A4150" s="49">
        <v>45064.37474537037</v>
      </c>
      <c r="B4150" s="50">
        <v>45064.4997162731</v>
      </c>
      <c r="C4150" s="51">
        <v>1.014</v>
      </c>
      <c r="D4150" s="51">
        <v>65.0</v>
      </c>
      <c r="E4150" s="52" t="s">
        <v>25</v>
      </c>
      <c r="F4150" s="52" t="s">
        <v>26</v>
      </c>
      <c r="G4150" s="54"/>
    </row>
    <row r="4151">
      <c r="A4151" s="49">
        <v>45064.385163530096</v>
      </c>
      <c r="B4151" s="50">
        <v>45064.5101374884</v>
      </c>
      <c r="C4151" s="51">
        <v>1.014</v>
      </c>
      <c r="D4151" s="51">
        <v>64.0</v>
      </c>
      <c r="E4151" s="52" t="s">
        <v>25</v>
      </c>
      <c r="F4151" s="52" t="s">
        <v>26</v>
      </c>
      <c r="G4151" s="54"/>
    </row>
    <row r="4152">
      <c r="A4152" s="49">
        <v>45064.39558568287</v>
      </c>
      <c r="B4152" s="50">
        <v>45064.520557581</v>
      </c>
      <c r="C4152" s="51">
        <v>1.014</v>
      </c>
      <c r="D4152" s="51">
        <v>64.0</v>
      </c>
      <c r="E4152" s="52" t="s">
        <v>25</v>
      </c>
      <c r="F4152" s="52" t="s">
        <v>26</v>
      </c>
      <c r="G4152" s="54"/>
    </row>
    <row r="4153">
      <c r="A4153" s="49">
        <v>45064.40601872685</v>
      </c>
      <c r="B4153" s="50">
        <v>45064.5309903819</v>
      </c>
      <c r="C4153" s="51">
        <v>1.014</v>
      </c>
      <c r="D4153" s="51">
        <v>65.0</v>
      </c>
      <c r="E4153" s="52" t="s">
        <v>25</v>
      </c>
      <c r="F4153" s="52" t="s">
        <v>26</v>
      </c>
      <c r="G4153" s="54"/>
    </row>
    <row r="4154">
      <c r="A4154" s="49">
        <v>45064.41644552084</v>
      </c>
      <c r="B4154" s="50">
        <v>45064.541421655</v>
      </c>
      <c r="C4154" s="51">
        <v>1.014</v>
      </c>
      <c r="D4154" s="51">
        <v>64.0</v>
      </c>
      <c r="E4154" s="52" t="s">
        <v>25</v>
      </c>
      <c r="F4154" s="52" t="s">
        <v>26</v>
      </c>
      <c r="G4154" s="54"/>
    </row>
    <row r="4155">
      <c r="A4155" s="49">
        <v>45064.426868807874</v>
      </c>
      <c r="B4155" s="50">
        <v>45064.5518433217</v>
      </c>
      <c r="C4155" s="51">
        <v>1.014</v>
      </c>
      <c r="D4155" s="51">
        <v>64.0</v>
      </c>
      <c r="E4155" s="52" t="s">
        <v>25</v>
      </c>
      <c r="F4155" s="52" t="s">
        <v>26</v>
      </c>
      <c r="G4155" s="54"/>
    </row>
    <row r="4156">
      <c r="A4156" s="49">
        <v>45064.43729166666</v>
      </c>
      <c r="B4156" s="50">
        <v>45064.5622628703</v>
      </c>
      <c r="C4156" s="51">
        <v>1.014</v>
      </c>
      <c r="D4156" s="51">
        <v>64.0</v>
      </c>
      <c r="E4156" s="52" t="s">
        <v>25</v>
      </c>
      <c r="F4156" s="52" t="s">
        <v>26</v>
      </c>
      <c r="G4156" s="54"/>
    </row>
    <row r="4157">
      <c r="A4157" s="49">
        <v>45064.44770296296</v>
      </c>
      <c r="B4157" s="50">
        <v>45064.5726836226</v>
      </c>
      <c r="C4157" s="51">
        <v>1.014</v>
      </c>
      <c r="D4157" s="51">
        <v>64.0</v>
      </c>
      <c r="E4157" s="52" t="s">
        <v>25</v>
      </c>
      <c r="F4157" s="52" t="s">
        <v>26</v>
      </c>
      <c r="G4157" s="54"/>
    </row>
    <row r="4158">
      <c r="A4158" s="49">
        <v>45064.45813478009</v>
      </c>
      <c r="B4158" s="50">
        <v>45064.5831042361</v>
      </c>
      <c r="C4158" s="51">
        <v>1.013</v>
      </c>
      <c r="D4158" s="51">
        <v>64.0</v>
      </c>
      <c r="E4158" s="52" t="s">
        <v>25</v>
      </c>
      <c r="F4158" s="52" t="s">
        <v>26</v>
      </c>
      <c r="G4158" s="54"/>
    </row>
    <row r="4159">
      <c r="A4159" s="49">
        <v>45064.4685574537</v>
      </c>
      <c r="B4159" s="50">
        <v>45064.5935247916</v>
      </c>
      <c r="C4159" s="51">
        <v>1.014</v>
      </c>
      <c r="D4159" s="51">
        <v>64.0</v>
      </c>
      <c r="E4159" s="52" t="s">
        <v>25</v>
      </c>
      <c r="F4159" s="52" t="s">
        <v>26</v>
      </c>
      <c r="G4159" s="54"/>
    </row>
    <row r="4160">
      <c r="A4160" s="49">
        <v>45064.478978796295</v>
      </c>
      <c r="B4160" s="50">
        <v>45064.6039473958</v>
      </c>
      <c r="C4160" s="51">
        <v>1.014</v>
      </c>
      <c r="D4160" s="51">
        <v>64.0</v>
      </c>
      <c r="E4160" s="52" t="s">
        <v>25</v>
      </c>
      <c r="F4160" s="52" t="s">
        <v>26</v>
      </c>
      <c r="G4160" s="54"/>
    </row>
    <row r="4161">
      <c r="A4161" s="49">
        <v>45064.489395752316</v>
      </c>
      <c r="B4161" s="50">
        <v>45064.6143675231</v>
      </c>
      <c r="C4161" s="51">
        <v>1.013</v>
      </c>
      <c r="D4161" s="51">
        <v>64.0</v>
      </c>
      <c r="E4161" s="52" t="s">
        <v>25</v>
      </c>
      <c r="F4161" s="52" t="s">
        <v>26</v>
      </c>
      <c r="G4161" s="54"/>
    </row>
    <row r="4162">
      <c r="A4162" s="49">
        <v>45064.49983414352</v>
      </c>
      <c r="B4162" s="50">
        <v>45064.6247877546</v>
      </c>
      <c r="C4162" s="51">
        <v>1.014</v>
      </c>
      <c r="D4162" s="51">
        <v>64.0</v>
      </c>
      <c r="E4162" s="52" t="s">
        <v>25</v>
      </c>
      <c r="F4162" s="52" t="s">
        <v>26</v>
      </c>
      <c r="G4162" s="54"/>
    </row>
    <row r="4163">
      <c r="A4163" s="49">
        <v>45064.51026086806</v>
      </c>
      <c r="B4163" s="50">
        <v>45064.6352312615</v>
      </c>
      <c r="C4163" s="51">
        <v>1.014</v>
      </c>
      <c r="D4163" s="51">
        <v>64.0</v>
      </c>
      <c r="E4163" s="52" t="s">
        <v>25</v>
      </c>
      <c r="F4163" s="52" t="s">
        <v>26</v>
      </c>
      <c r="G4163" s="54"/>
    </row>
    <row r="4164">
      <c r="A4164" s="49">
        <v>45064.52067950231</v>
      </c>
      <c r="B4164" s="50">
        <v>45064.6456525347</v>
      </c>
      <c r="C4164" s="51">
        <v>1.013</v>
      </c>
      <c r="D4164" s="51">
        <v>64.0</v>
      </c>
      <c r="E4164" s="52" t="s">
        <v>25</v>
      </c>
      <c r="F4164" s="52" t="s">
        <v>26</v>
      </c>
      <c r="G4164" s="54"/>
    </row>
    <row r="4165">
      <c r="A4165" s="49">
        <v>45064.53110221065</v>
      </c>
      <c r="B4165" s="50">
        <v>45064.6560739699</v>
      </c>
      <c r="C4165" s="51">
        <v>1.014</v>
      </c>
      <c r="D4165" s="51">
        <v>64.0</v>
      </c>
      <c r="E4165" s="52" t="s">
        <v>25</v>
      </c>
      <c r="F4165" s="52" t="s">
        <v>26</v>
      </c>
      <c r="G4165" s="54"/>
    </row>
    <row r="4166">
      <c r="A4166" s="49">
        <v>45064.54152856482</v>
      </c>
      <c r="B4166" s="50">
        <v>45064.6664939583</v>
      </c>
      <c r="C4166" s="51">
        <v>1.013</v>
      </c>
      <c r="D4166" s="51">
        <v>64.0</v>
      </c>
      <c r="E4166" s="52" t="s">
        <v>25</v>
      </c>
      <c r="F4166" s="52" t="s">
        <v>26</v>
      </c>
      <c r="G4166" s="54"/>
    </row>
    <row r="4167">
      <c r="A4167" s="49">
        <v>45064.55195739583</v>
      </c>
      <c r="B4167" s="50">
        <v>45064.676937662</v>
      </c>
      <c r="C4167" s="51">
        <v>1.013</v>
      </c>
      <c r="D4167" s="51">
        <v>64.0</v>
      </c>
      <c r="E4167" s="52" t="s">
        <v>25</v>
      </c>
      <c r="F4167" s="52" t="s">
        <v>26</v>
      </c>
      <c r="G4167" s="54"/>
    </row>
    <row r="4168">
      <c r="A4168" s="49">
        <v>45064.5623853125</v>
      </c>
      <c r="B4168" s="50">
        <v>45064.6873587615</v>
      </c>
      <c r="C4168" s="51">
        <v>1.013</v>
      </c>
      <c r="D4168" s="51">
        <v>64.0</v>
      </c>
      <c r="E4168" s="52" t="s">
        <v>25</v>
      </c>
      <c r="F4168" s="52" t="s">
        <v>26</v>
      </c>
      <c r="G4168" s="54"/>
    </row>
    <row r="4169">
      <c r="A4169" s="49">
        <v>45064.572811736114</v>
      </c>
      <c r="B4169" s="50">
        <v>45064.6977809722</v>
      </c>
      <c r="C4169" s="51">
        <v>1.014</v>
      </c>
      <c r="D4169" s="51">
        <v>64.0</v>
      </c>
      <c r="E4169" s="52" t="s">
        <v>25</v>
      </c>
      <c r="F4169" s="52" t="s">
        <v>26</v>
      </c>
      <c r="G4169" s="54"/>
    </row>
    <row r="4170">
      <c r="A4170" s="49">
        <v>45064.58323746528</v>
      </c>
      <c r="B4170" s="50">
        <v>45064.7082142245</v>
      </c>
      <c r="C4170" s="51">
        <v>1.014</v>
      </c>
      <c r="D4170" s="51">
        <v>64.0</v>
      </c>
      <c r="E4170" s="52" t="s">
        <v>25</v>
      </c>
      <c r="F4170" s="52" t="s">
        <v>26</v>
      </c>
      <c r="G4170" s="54"/>
    </row>
    <row r="4171">
      <c r="A4171" s="49">
        <v>45064.59367322917</v>
      </c>
      <c r="B4171" s="50">
        <v>45064.7186456018</v>
      </c>
      <c r="C4171" s="51">
        <v>1.013</v>
      </c>
      <c r="D4171" s="51">
        <v>64.0</v>
      </c>
      <c r="E4171" s="52" t="s">
        <v>25</v>
      </c>
      <c r="F4171" s="52" t="s">
        <v>26</v>
      </c>
      <c r="G4171" s="54"/>
    </row>
    <row r="4172">
      <c r="A4172" s="49">
        <v>45064.6040955787</v>
      </c>
      <c r="B4172" s="50">
        <v>45064.7290677199</v>
      </c>
      <c r="C4172" s="51">
        <v>1.014</v>
      </c>
      <c r="D4172" s="51">
        <v>64.0</v>
      </c>
      <c r="E4172" s="52" t="s">
        <v>25</v>
      </c>
      <c r="F4172" s="52" t="s">
        <v>26</v>
      </c>
      <c r="G4172" s="54"/>
    </row>
    <row r="4173">
      <c r="A4173" s="49">
        <v>45064.61451493055</v>
      </c>
      <c r="B4173" s="50">
        <v>45064.7394883912</v>
      </c>
      <c r="C4173" s="51">
        <v>1.013</v>
      </c>
      <c r="D4173" s="51">
        <v>64.0</v>
      </c>
      <c r="E4173" s="52" t="s">
        <v>25</v>
      </c>
      <c r="F4173" s="52" t="s">
        <v>26</v>
      </c>
      <c r="G4173" s="54"/>
    </row>
    <row r="4174">
      <c r="A4174" s="49">
        <v>45064.62493283565</v>
      </c>
      <c r="B4174" s="50">
        <v>45064.7499075231</v>
      </c>
      <c r="C4174" s="51">
        <v>1.013</v>
      </c>
      <c r="D4174" s="51">
        <v>64.0</v>
      </c>
      <c r="E4174" s="52" t="s">
        <v>25</v>
      </c>
      <c r="F4174" s="52" t="s">
        <v>26</v>
      </c>
      <c r="G4174" s="54"/>
    </row>
    <row r="4175">
      <c r="A4175" s="49">
        <v>45064.635345902774</v>
      </c>
      <c r="B4175" s="50">
        <v>45064.7603287731</v>
      </c>
      <c r="C4175" s="51">
        <v>1.014</v>
      </c>
      <c r="D4175" s="51">
        <v>64.0</v>
      </c>
      <c r="E4175" s="52" t="s">
        <v>25</v>
      </c>
      <c r="F4175" s="52" t="s">
        <v>26</v>
      </c>
      <c r="G4175" s="54"/>
    </row>
    <row r="4176">
      <c r="A4176" s="49">
        <v>45064.64577553241</v>
      </c>
      <c r="B4176" s="50">
        <v>45064.7707508217</v>
      </c>
      <c r="C4176" s="51">
        <v>1.013</v>
      </c>
      <c r="D4176" s="51">
        <v>64.0</v>
      </c>
      <c r="E4176" s="52" t="s">
        <v>25</v>
      </c>
      <c r="F4176" s="52" t="s">
        <v>26</v>
      </c>
      <c r="G4176" s="54"/>
    </row>
    <row r="4177">
      <c r="A4177" s="49">
        <v>45064.65619840278</v>
      </c>
      <c r="B4177" s="50">
        <v>45064.7811711921</v>
      </c>
      <c r="C4177" s="51">
        <v>1.013</v>
      </c>
      <c r="D4177" s="51">
        <v>64.0</v>
      </c>
      <c r="E4177" s="52" t="s">
        <v>25</v>
      </c>
      <c r="F4177" s="52" t="s">
        <v>26</v>
      </c>
      <c r="G4177" s="54"/>
    </row>
    <row r="4178">
      <c r="A4178" s="49">
        <v>45064.66662396991</v>
      </c>
      <c r="B4178" s="50">
        <v>45064.7915951851</v>
      </c>
      <c r="C4178" s="51">
        <v>1.013</v>
      </c>
      <c r="D4178" s="51">
        <v>64.0</v>
      </c>
      <c r="E4178" s="52" t="s">
        <v>25</v>
      </c>
      <c r="F4178" s="52" t="s">
        <v>26</v>
      </c>
      <c r="G4178" s="54"/>
    </row>
    <row r="4179">
      <c r="A4179" s="49">
        <v>45064.6770434375</v>
      </c>
      <c r="B4179" s="50">
        <v>45064.8020165046</v>
      </c>
      <c r="C4179" s="51">
        <v>1.014</v>
      </c>
      <c r="D4179" s="51">
        <v>64.0</v>
      </c>
      <c r="E4179" s="52" t="s">
        <v>25</v>
      </c>
      <c r="F4179" s="52" t="s">
        <v>26</v>
      </c>
      <c r="G4179" s="54"/>
    </row>
    <row r="4180">
      <c r="A4180" s="49">
        <v>45064.68747596064</v>
      </c>
      <c r="B4180" s="50">
        <v>45064.8124508333</v>
      </c>
      <c r="C4180" s="51">
        <v>1.013</v>
      </c>
      <c r="D4180" s="51">
        <v>64.0</v>
      </c>
      <c r="E4180" s="52" t="s">
        <v>25</v>
      </c>
      <c r="F4180" s="52" t="s">
        <v>26</v>
      </c>
      <c r="G4180" s="54"/>
    </row>
    <row r="4181">
      <c r="A4181" s="49">
        <v>45064.69790855324</v>
      </c>
      <c r="B4181" s="50">
        <v>45064.8228824652</v>
      </c>
      <c r="C4181" s="51">
        <v>1.014</v>
      </c>
      <c r="D4181" s="51">
        <v>64.0</v>
      </c>
      <c r="E4181" s="52" t="s">
        <v>25</v>
      </c>
      <c r="F4181" s="52" t="s">
        <v>26</v>
      </c>
      <c r="G4181" s="54"/>
    </row>
    <row r="4182">
      <c r="A4182" s="49">
        <v>45064.708352500005</v>
      </c>
      <c r="B4182" s="50">
        <v>45064.8333270949</v>
      </c>
      <c r="C4182" s="51">
        <v>1.014</v>
      </c>
      <c r="D4182" s="51">
        <v>64.0</v>
      </c>
      <c r="E4182" s="52" t="s">
        <v>25</v>
      </c>
      <c r="F4182" s="52" t="s">
        <v>26</v>
      </c>
      <c r="G4182" s="54"/>
    </row>
    <row r="4183">
      <c r="A4183" s="49">
        <v>45064.718774560184</v>
      </c>
      <c r="B4183" s="50">
        <v>45064.8437466898</v>
      </c>
      <c r="C4183" s="51">
        <v>1.013</v>
      </c>
      <c r="D4183" s="51">
        <v>64.0</v>
      </c>
      <c r="E4183" s="52" t="s">
        <v>25</v>
      </c>
      <c r="F4183" s="52" t="s">
        <v>26</v>
      </c>
      <c r="G4183" s="54"/>
    </row>
    <row r="4184">
      <c r="A4184" s="49">
        <v>45064.72919118055</v>
      </c>
      <c r="B4184" s="50">
        <v>45064.8541668634</v>
      </c>
      <c r="C4184" s="51">
        <v>1.013</v>
      </c>
      <c r="D4184" s="51">
        <v>64.0</v>
      </c>
      <c r="E4184" s="52" t="s">
        <v>25</v>
      </c>
      <c r="F4184" s="52" t="s">
        <v>26</v>
      </c>
      <c r="G4184" s="54"/>
    </row>
    <row r="4185">
      <c r="A4185" s="49">
        <v>45064.73961605324</v>
      </c>
      <c r="B4185" s="50">
        <v>45064.8645883449</v>
      </c>
      <c r="C4185" s="51">
        <v>1.014</v>
      </c>
      <c r="D4185" s="51">
        <v>64.0</v>
      </c>
      <c r="E4185" s="52" t="s">
        <v>25</v>
      </c>
      <c r="F4185" s="52" t="s">
        <v>26</v>
      </c>
      <c r="G4185" s="54"/>
    </row>
    <row r="4186">
      <c r="A4186" s="49">
        <v>45064.75004349537</v>
      </c>
      <c r="B4186" s="50">
        <v>45064.8750206597</v>
      </c>
      <c r="C4186" s="51">
        <v>1.014</v>
      </c>
      <c r="D4186" s="51">
        <v>64.0</v>
      </c>
      <c r="E4186" s="52" t="s">
        <v>25</v>
      </c>
      <c r="F4186" s="52" t="s">
        <v>26</v>
      </c>
      <c r="G4186" s="54"/>
    </row>
    <row r="4187">
      <c r="A4187" s="49">
        <v>45064.76046443287</v>
      </c>
      <c r="B4187" s="50">
        <v>45064.885440243</v>
      </c>
      <c r="C4187" s="51">
        <v>1.014</v>
      </c>
      <c r="D4187" s="51">
        <v>64.0</v>
      </c>
      <c r="E4187" s="52" t="s">
        <v>25</v>
      </c>
      <c r="F4187" s="52" t="s">
        <v>26</v>
      </c>
      <c r="G4187" s="54"/>
    </row>
    <row r="4188">
      <c r="A4188" s="49">
        <v>45064.77089675926</v>
      </c>
      <c r="B4188" s="50">
        <v>45064.8958726157</v>
      </c>
      <c r="C4188" s="51">
        <v>1.013</v>
      </c>
      <c r="D4188" s="51">
        <v>64.0</v>
      </c>
      <c r="E4188" s="52" t="s">
        <v>25</v>
      </c>
      <c r="F4188" s="52" t="s">
        <v>26</v>
      </c>
      <c r="G4188" s="54"/>
    </row>
    <row r="4189">
      <c r="A4189" s="49">
        <v>45064.78132181713</v>
      </c>
      <c r="B4189" s="50">
        <v>45064.9062953587</v>
      </c>
      <c r="C4189" s="51">
        <v>1.013</v>
      </c>
      <c r="D4189" s="51">
        <v>64.0</v>
      </c>
      <c r="E4189" s="52" t="s">
        <v>25</v>
      </c>
      <c r="F4189" s="52" t="s">
        <v>26</v>
      </c>
      <c r="G4189" s="54"/>
    </row>
    <row r="4190">
      <c r="A4190" s="49">
        <v>45064.79178125</v>
      </c>
      <c r="B4190" s="50">
        <v>45064.9167512037</v>
      </c>
      <c r="C4190" s="51">
        <v>1.013</v>
      </c>
      <c r="D4190" s="51">
        <v>64.0</v>
      </c>
      <c r="E4190" s="52" t="s">
        <v>25</v>
      </c>
      <c r="F4190" s="52" t="s">
        <v>26</v>
      </c>
      <c r="G4190" s="54"/>
    </row>
    <row r="4191">
      <c r="A4191" s="49">
        <v>45064.80219696759</v>
      </c>
      <c r="B4191" s="50">
        <v>45064.92717103</v>
      </c>
      <c r="C4191" s="51">
        <v>1.013</v>
      </c>
      <c r="D4191" s="51">
        <v>64.0</v>
      </c>
      <c r="E4191" s="52" t="s">
        <v>25</v>
      </c>
      <c r="F4191" s="52" t="s">
        <v>26</v>
      </c>
      <c r="G4191" s="54"/>
    </row>
    <row r="4192">
      <c r="A4192" s="49">
        <v>45064.81261853009</v>
      </c>
      <c r="B4192" s="50">
        <v>45064.9375936458</v>
      </c>
      <c r="C4192" s="51">
        <v>1.013</v>
      </c>
      <c r="D4192" s="51">
        <v>64.0</v>
      </c>
      <c r="E4192" s="52" t="s">
        <v>25</v>
      </c>
      <c r="F4192" s="52" t="s">
        <v>26</v>
      </c>
      <c r="G4192" s="54"/>
    </row>
    <row r="4193">
      <c r="A4193" s="49">
        <v>45064.82304834491</v>
      </c>
      <c r="B4193" s="50">
        <v>45064.9480263773</v>
      </c>
      <c r="C4193" s="51">
        <v>1.013</v>
      </c>
      <c r="D4193" s="51">
        <v>64.0</v>
      </c>
      <c r="E4193" s="52" t="s">
        <v>25</v>
      </c>
      <c r="F4193" s="52" t="s">
        <v>26</v>
      </c>
      <c r="G4193" s="54"/>
    </row>
    <row r="4194">
      <c r="A4194" s="49">
        <v>45064.83347616898</v>
      </c>
      <c r="B4194" s="50">
        <v>45064.9584466203</v>
      </c>
      <c r="C4194" s="51">
        <v>1.013</v>
      </c>
      <c r="D4194" s="51">
        <v>64.0</v>
      </c>
      <c r="E4194" s="52" t="s">
        <v>25</v>
      </c>
      <c r="F4194" s="52" t="s">
        <v>26</v>
      </c>
      <c r="G4194" s="54"/>
    </row>
    <row r="4195">
      <c r="A4195" s="49">
        <v>45064.84389071759</v>
      </c>
      <c r="B4195" s="50">
        <v>45064.9688684143</v>
      </c>
      <c r="C4195" s="51">
        <v>1.013</v>
      </c>
      <c r="D4195" s="51">
        <v>64.0</v>
      </c>
      <c r="E4195" s="52" t="s">
        <v>25</v>
      </c>
      <c r="F4195" s="52" t="s">
        <v>26</v>
      </c>
      <c r="G4195" s="54"/>
    </row>
    <row r="4196">
      <c r="A4196" s="49">
        <v>45064.85431299769</v>
      </c>
      <c r="B4196" s="50">
        <v>45064.9792886689</v>
      </c>
      <c r="C4196" s="51">
        <v>1.014</v>
      </c>
      <c r="D4196" s="51">
        <v>64.0</v>
      </c>
      <c r="E4196" s="52" t="s">
        <v>25</v>
      </c>
      <c r="F4196" s="52" t="s">
        <v>26</v>
      </c>
      <c r="G4196" s="54"/>
    </row>
    <row r="4197">
      <c r="A4197" s="49">
        <v>45064.86474604167</v>
      </c>
      <c r="B4197" s="50">
        <v>45064.9897203356</v>
      </c>
      <c r="C4197" s="51">
        <v>1.014</v>
      </c>
      <c r="D4197" s="51">
        <v>64.0</v>
      </c>
      <c r="E4197" s="52" t="s">
        <v>25</v>
      </c>
      <c r="F4197" s="52" t="s">
        <v>26</v>
      </c>
      <c r="G4197" s="54"/>
    </row>
    <row r="4198">
      <c r="A4198" s="49">
        <v>45064.875159386575</v>
      </c>
      <c r="B4198" s="50">
        <v>45065.0001412847</v>
      </c>
      <c r="C4198" s="51">
        <v>1.013</v>
      </c>
      <c r="D4198" s="51">
        <v>64.0</v>
      </c>
      <c r="E4198" s="52" t="s">
        <v>25</v>
      </c>
      <c r="F4198" s="52" t="s">
        <v>26</v>
      </c>
      <c r="G4198" s="54"/>
    </row>
    <row r="4199">
      <c r="A4199" s="49">
        <v>45064.8855969213</v>
      </c>
      <c r="B4199" s="50">
        <v>45065.010574699</v>
      </c>
      <c r="C4199" s="51">
        <v>1.013</v>
      </c>
      <c r="D4199" s="51">
        <v>64.0</v>
      </c>
      <c r="E4199" s="52" t="s">
        <v>25</v>
      </c>
      <c r="F4199" s="52" t="s">
        <v>26</v>
      </c>
      <c r="G4199" s="54"/>
    </row>
    <row r="4200">
      <c r="A4200" s="49">
        <v>45064.896015833336</v>
      </c>
      <c r="B4200" s="50">
        <v>45065.0209955671</v>
      </c>
      <c r="C4200" s="51">
        <v>1.013</v>
      </c>
      <c r="D4200" s="51">
        <v>64.0</v>
      </c>
      <c r="E4200" s="52" t="s">
        <v>25</v>
      </c>
      <c r="F4200" s="52" t="s">
        <v>26</v>
      </c>
      <c r="G4200" s="54"/>
    </row>
    <row r="4201">
      <c r="A4201" s="49">
        <v>45064.906446064815</v>
      </c>
      <c r="B4201" s="50">
        <v>45065.0314151041</v>
      </c>
      <c r="C4201" s="51">
        <v>1.014</v>
      </c>
      <c r="D4201" s="51">
        <v>64.0</v>
      </c>
      <c r="E4201" s="52" t="s">
        <v>25</v>
      </c>
      <c r="F4201" s="52" t="s">
        <v>26</v>
      </c>
      <c r="G4201" s="54"/>
    </row>
    <row r="4202">
      <c r="A4202" s="49">
        <v>45064.9168671875</v>
      </c>
      <c r="B4202" s="50">
        <v>45065.0418363425</v>
      </c>
      <c r="C4202" s="51">
        <v>1.013</v>
      </c>
      <c r="D4202" s="51">
        <v>64.0</v>
      </c>
      <c r="E4202" s="52" t="s">
        <v>25</v>
      </c>
      <c r="F4202" s="52" t="s">
        <v>26</v>
      </c>
      <c r="G4202" s="54"/>
    </row>
    <row r="4203">
      <c r="A4203" s="49">
        <v>45064.92728466435</v>
      </c>
      <c r="B4203" s="50">
        <v>45065.0522579513</v>
      </c>
      <c r="C4203" s="51">
        <v>1.013</v>
      </c>
      <c r="D4203" s="51">
        <v>64.0</v>
      </c>
      <c r="E4203" s="52" t="s">
        <v>25</v>
      </c>
      <c r="F4203" s="52" t="s">
        <v>26</v>
      </c>
      <c r="G4203" s="54"/>
    </row>
    <row r="4204">
      <c r="A4204" s="49">
        <v>45064.93770861111</v>
      </c>
      <c r="B4204" s="50">
        <v>45065.062677824</v>
      </c>
      <c r="C4204" s="51">
        <v>1.013</v>
      </c>
      <c r="D4204" s="51">
        <v>64.0</v>
      </c>
      <c r="E4204" s="52" t="s">
        <v>25</v>
      </c>
      <c r="F4204" s="52" t="s">
        <v>26</v>
      </c>
      <c r="G4204" s="54"/>
    </row>
    <row r="4205">
      <c r="A4205" s="49">
        <v>45064.94812017361</v>
      </c>
      <c r="B4205" s="50">
        <v>45065.0730992708</v>
      </c>
      <c r="C4205" s="51">
        <v>1.013</v>
      </c>
      <c r="D4205" s="51">
        <v>64.0</v>
      </c>
      <c r="E4205" s="52" t="s">
        <v>25</v>
      </c>
      <c r="F4205" s="52" t="s">
        <v>26</v>
      </c>
      <c r="G4205" s="54"/>
    </row>
    <row r="4206">
      <c r="A4206" s="49">
        <v>45064.9585580787</v>
      </c>
      <c r="B4206" s="50">
        <v>45065.0835328009</v>
      </c>
      <c r="C4206" s="51">
        <v>1.014</v>
      </c>
      <c r="D4206" s="51">
        <v>64.0</v>
      </c>
      <c r="E4206" s="52" t="s">
        <v>25</v>
      </c>
      <c r="F4206" s="52" t="s">
        <v>26</v>
      </c>
      <c r="G4206" s="54"/>
    </row>
    <row r="4207">
      <c r="A4207" s="49">
        <v>45064.97941609954</v>
      </c>
      <c r="B4207" s="50">
        <v>45065.1043881597</v>
      </c>
      <c r="C4207" s="51">
        <v>1.014</v>
      </c>
      <c r="D4207" s="51">
        <v>64.0</v>
      </c>
      <c r="E4207" s="52" t="s">
        <v>25</v>
      </c>
      <c r="F4207" s="52" t="s">
        <v>26</v>
      </c>
      <c r="G4207" s="54"/>
    </row>
    <row r="4208">
      <c r="A4208" s="49">
        <v>45064.98983037037</v>
      </c>
      <c r="B4208" s="50">
        <v>45065.1148080324</v>
      </c>
      <c r="C4208" s="51">
        <v>1.013</v>
      </c>
      <c r="D4208" s="51">
        <v>64.0</v>
      </c>
      <c r="E4208" s="52" t="s">
        <v>25</v>
      </c>
      <c r="F4208" s="52" t="s">
        <v>26</v>
      </c>
      <c r="G4208" s="54"/>
    </row>
    <row r="4209">
      <c r="A4209" s="49">
        <v>45065.0002670949</v>
      </c>
      <c r="B4209" s="50">
        <v>45065.1252404629</v>
      </c>
      <c r="C4209" s="51">
        <v>1.013</v>
      </c>
      <c r="D4209" s="51">
        <v>64.0</v>
      </c>
      <c r="E4209" s="52" t="s">
        <v>25</v>
      </c>
      <c r="F4209" s="52" t="s">
        <v>26</v>
      </c>
      <c r="G4209" s="54"/>
    </row>
    <row r="4210">
      <c r="A4210" s="49">
        <v>45065.01069273148</v>
      </c>
      <c r="B4210" s="50">
        <v>45065.1356626967</v>
      </c>
      <c r="C4210" s="51">
        <v>1.014</v>
      </c>
      <c r="D4210" s="51">
        <v>64.0</v>
      </c>
      <c r="E4210" s="52" t="s">
        <v>25</v>
      </c>
      <c r="F4210" s="52" t="s">
        <v>26</v>
      </c>
      <c r="G4210" s="54"/>
    </row>
    <row r="4211">
      <c r="A4211" s="49">
        <v>45065.02112164352</v>
      </c>
      <c r="B4211" s="50">
        <v>45065.1460854398</v>
      </c>
      <c r="C4211" s="51">
        <v>1.013</v>
      </c>
      <c r="D4211" s="51">
        <v>64.0</v>
      </c>
      <c r="E4211" s="52" t="s">
        <v>25</v>
      </c>
      <c r="F4211" s="52" t="s">
        <v>26</v>
      </c>
      <c r="G4211" s="54"/>
    </row>
    <row r="4212">
      <c r="A4212" s="49">
        <v>45065.03152975695</v>
      </c>
      <c r="B4212" s="50">
        <v>45065.1565064236</v>
      </c>
      <c r="C4212" s="51">
        <v>1.013</v>
      </c>
      <c r="D4212" s="51">
        <v>64.0</v>
      </c>
      <c r="E4212" s="52" t="s">
        <v>25</v>
      </c>
      <c r="F4212" s="52" t="s">
        <v>26</v>
      </c>
      <c r="G4212" s="54"/>
    </row>
    <row r="4213">
      <c r="A4213" s="49">
        <v>45065.04196040509</v>
      </c>
      <c r="B4213" s="50">
        <v>45065.1669394907</v>
      </c>
      <c r="C4213" s="51">
        <v>1.014</v>
      </c>
      <c r="D4213" s="51">
        <v>64.0</v>
      </c>
      <c r="E4213" s="52" t="s">
        <v>25</v>
      </c>
      <c r="F4213" s="52" t="s">
        <v>26</v>
      </c>
      <c r="G4213" s="54"/>
    </row>
    <row r="4214">
      <c r="A4214" s="49">
        <v>45065.05238061343</v>
      </c>
      <c r="B4214" s="50">
        <v>45065.1773597685</v>
      </c>
      <c r="C4214" s="51">
        <v>1.014</v>
      </c>
      <c r="D4214" s="51">
        <v>64.0</v>
      </c>
      <c r="E4214" s="52" t="s">
        <v>25</v>
      </c>
      <c r="F4214" s="52" t="s">
        <v>26</v>
      </c>
      <c r="G4214" s="54"/>
    </row>
    <row r="4215">
      <c r="A4215" s="49">
        <v>45065.06280347222</v>
      </c>
      <c r="B4215" s="50">
        <v>45065.1877814004</v>
      </c>
      <c r="C4215" s="51">
        <v>1.013</v>
      </c>
      <c r="D4215" s="51">
        <v>64.0</v>
      </c>
      <c r="E4215" s="52" t="s">
        <v>25</v>
      </c>
      <c r="F4215" s="52" t="s">
        <v>26</v>
      </c>
      <c r="G4215" s="54"/>
    </row>
    <row r="4216">
      <c r="A4216" s="49">
        <v>45065.0732283449</v>
      </c>
      <c r="B4216" s="50">
        <v>45065.1982007291</v>
      </c>
      <c r="C4216" s="51">
        <v>1.013</v>
      </c>
      <c r="D4216" s="51">
        <v>64.0</v>
      </c>
      <c r="E4216" s="52" t="s">
        <v>25</v>
      </c>
      <c r="F4216" s="52" t="s">
        <v>26</v>
      </c>
      <c r="G4216" s="54"/>
    </row>
    <row r="4217">
      <c r="A4217" s="49">
        <v>45065.08368332176</v>
      </c>
      <c r="B4217" s="50">
        <v>45065.2086582291</v>
      </c>
      <c r="C4217" s="51">
        <v>1.014</v>
      </c>
      <c r="D4217" s="51">
        <v>64.0</v>
      </c>
      <c r="E4217" s="52" t="s">
        <v>25</v>
      </c>
      <c r="F4217" s="52" t="s">
        <v>26</v>
      </c>
      <c r="G4217" s="54"/>
    </row>
    <row r="4218">
      <c r="A4218" s="49">
        <v>45065.09411012732</v>
      </c>
      <c r="B4218" s="50">
        <v>45065.2190771412</v>
      </c>
      <c r="C4218" s="51">
        <v>1.013</v>
      </c>
      <c r="D4218" s="51">
        <v>64.0</v>
      </c>
      <c r="E4218" s="52" t="s">
        <v>25</v>
      </c>
      <c r="F4218" s="52" t="s">
        <v>26</v>
      </c>
      <c r="G4218" s="54"/>
    </row>
    <row r="4219">
      <c r="A4219" s="49">
        <v>45065.105294699075</v>
      </c>
      <c r="B4219" s="50">
        <v>45065.2294984722</v>
      </c>
      <c r="C4219" s="51">
        <v>1.014</v>
      </c>
      <c r="D4219" s="51">
        <v>64.0</v>
      </c>
      <c r="E4219" s="52" t="s">
        <v>25</v>
      </c>
      <c r="F4219" s="52" t="s">
        <v>26</v>
      </c>
      <c r="G4219" s="54"/>
    </row>
    <row r="4220">
      <c r="A4220" s="49">
        <v>45065.11494695602</v>
      </c>
      <c r="B4220" s="50">
        <v>45065.2399205092</v>
      </c>
      <c r="C4220" s="51">
        <v>1.013</v>
      </c>
      <c r="D4220" s="51">
        <v>64.0</v>
      </c>
      <c r="E4220" s="52" t="s">
        <v>25</v>
      </c>
      <c r="F4220" s="52" t="s">
        <v>26</v>
      </c>
      <c r="G4220" s="54"/>
    </row>
    <row r="4221">
      <c r="A4221" s="49">
        <v>45065.12539074074</v>
      </c>
      <c r="B4221" s="50">
        <v>45065.2503540162</v>
      </c>
      <c r="C4221" s="51">
        <v>1.013</v>
      </c>
      <c r="D4221" s="51">
        <v>64.0</v>
      </c>
      <c r="E4221" s="52" t="s">
        <v>25</v>
      </c>
      <c r="F4221" s="52" t="s">
        <v>26</v>
      </c>
      <c r="G4221" s="54"/>
    </row>
    <row r="4222">
      <c r="A4222" s="49">
        <v>45065.13579996528</v>
      </c>
      <c r="B4222" s="50">
        <v>45065.2607768055</v>
      </c>
      <c r="C4222" s="51">
        <v>1.013</v>
      </c>
      <c r="D4222" s="51">
        <v>64.0</v>
      </c>
      <c r="E4222" s="52" t="s">
        <v>25</v>
      </c>
      <c r="F4222" s="52" t="s">
        <v>26</v>
      </c>
      <c r="G4222" s="54"/>
    </row>
    <row r="4223">
      <c r="A4223" s="49">
        <v>45065.14622880787</v>
      </c>
      <c r="B4223" s="50">
        <v>45065.2711975462</v>
      </c>
      <c r="C4223" s="51">
        <v>1.013</v>
      </c>
      <c r="D4223" s="51">
        <v>64.0</v>
      </c>
      <c r="E4223" s="52" t="s">
        <v>25</v>
      </c>
      <c r="F4223" s="52" t="s">
        <v>26</v>
      </c>
      <c r="G4223" s="54"/>
    </row>
    <row r="4224">
      <c r="A4224" s="49">
        <v>45065.15664608796</v>
      </c>
      <c r="B4224" s="50">
        <v>45065.281618368</v>
      </c>
      <c r="C4224" s="51">
        <v>1.013</v>
      </c>
      <c r="D4224" s="51">
        <v>64.0</v>
      </c>
      <c r="E4224" s="52" t="s">
        <v>25</v>
      </c>
      <c r="F4224" s="52" t="s">
        <v>26</v>
      </c>
      <c r="G4224" s="54"/>
    </row>
    <row r="4225">
      <c r="A4225" s="49">
        <v>45065.167068703704</v>
      </c>
      <c r="B4225" s="50">
        <v>45065.2920398263</v>
      </c>
      <c r="C4225" s="51">
        <v>1.013</v>
      </c>
      <c r="D4225" s="51">
        <v>64.0</v>
      </c>
      <c r="E4225" s="52" t="s">
        <v>25</v>
      </c>
      <c r="F4225" s="52" t="s">
        <v>26</v>
      </c>
      <c r="G4225" s="54"/>
    </row>
    <row r="4226">
      <c r="A4226" s="49">
        <v>45065.17749043982</v>
      </c>
      <c r="B4226" s="50">
        <v>45065.3024608796</v>
      </c>
      <c r="C4226" s="51">
        <v>1.013</v>
      </c>
      <c r="D4226" s="51">
        <v>64.0</v>
      </c>
      <c r="E4226" s="52" t="s">
        <v>25</v>
      </c>
      <c r="F4226" s="52" t="s">
        <v>26</v>
      </c>
      <c r="G4226" s="54"/>
    </row>
    <row r="4227">
      <c r="A4227" s="49">
        <v>45065.187911562505</v>
      </c>
      <c r="B4227" s="50">
        <v>45065.3128828125</v>
      </c>
      <c r="C4227" s="51">
        <v>1.013</v>
      </c>
      <c r="D4227" s="51">
        <v>64.0</v>
      </c>
      <c r="E4227" s="52" t="s">
        <v>25</v>
      </c>
      <c r="F4227" s="52" t="s">
        <v>26</v>
      </c>
      <c r="G4227" s="54"/>
    </row>
    <row r="4228">
      <c r="A4228" s="49">
        <v>45065.19840199074</v>
      </c>
      <c r="B4228" s="50">
        <v>45065.3233040972</v>
      </c>
      <c r="C4228" s="51">
        <v>1.013</v>
      </c>
      <c r="D4228" s="51">
        <v>64.0</v>
      </c>
      <c r="E4228" s="52" t="s">
        <v>25</v>
      </c>
      <c r="F4228" s="52" t="s">
        <v>26</v>
      </c>
      <c r="G4228" s="54"/>
    </row>
    <row r="4229">
      <c r="A4229" s="49">
        <v>45065.20874998842</v>
      </c>
      <c r="B4229" s="50">
        <v>45065.3337242129</v>
      </c>
      <c r="C4229" s="51">
        <v>1.013</v>
      </c>
      <c r="D4229" s="51">
        <v>64.0</v>
      </c>
      <c r="E4229" s="52" t="s">
        <v>25</v>
      </c>
      <c r="F4229" s="52" t="s">
        <v>26</v>
      </c>
      <c r="G4229" s="54"/>
    </row>
    <row r="4230">
      <c r="A4230" s="49">
        <v>45065.21918642361</v>
      </c>
      <c r="B4230" s="50">
        <v>45065.3441452199</v>
      </c>
      <c r="C4230" s="51">
        <v>1.013</v>
      </c>
      <c r="D4230" s="51">
        <v>64.0</v>
      </c>
      <c r="E4230" s="52" t="s">
        <v>25</v>
      </c>
      <c r="F4230" s="52" t="s">
        <v>26</v>
      </c>
      <c r="G4230" s="54"/>
    </row>
    <row r="4231">
      <c r="A4231" s="49">
        <v>45065.22960140047</v>
      </c>
      <c r="B4231" s="50">
        <v>45065.3545664699</v>
      </c>
      <c r="C4231" s="51">
        <v>1.013</v>
      </c>
      <c r="D4231" s="51">
        <v>64.0</v>
      </c>
      <c r="E4231" s="52" t="s">
        <v>25</v>
      </c>
      <c r="F4231" s="52" t="s">
        <v>26</v>
      </c>
      <c r="G4231" s="54"/>
    </row>
    <row r="4232">
      <c r="A4232" s="49">
        <v>45065.24001075231</v>
      </c>
      <c r="B4232" s="50">
        <v>45065.3649891088</v>
      </c>
      <c r="C4232" s="51">
        <v>1.013</v>
      </c>
      <c r="D4232" s="51">
        <v>64.0</v>
      </c>
      <c r="E4232" s="52" t="s">
        <v>25</v>
      </c>
      <c r="F4232" s="52" t="s">
        <v>26</v>
      </c>
      <c r="G4232" s="54"/>
    </row>
    <row r="4233">
      <c r="A4233" s="49">
        <v>45065.25044142361</v>
      </c>
      <c r="B4233" s="50">
        <v>45065.3754116319</v>
      </c>
      <c r="C4233" s="51">
        <v>1.013</v>
      </c>
      <c r="D4233" s="51">
        <v>64.0</v>
      </c>
      <c r="E4233" s="52" t="s">
        <v>25</v>
      </c>
      <c r="F4233" s="52" t="s">
        <v>26</v>
      </c>
      <c r="G4233" s="54"/>
    </row>
    <row r="4234">
      <c r="A4234" s="49">
        <v>45065.26086318287</v>
      </c>
      <c r="B4234" s="50">
        <v>45065.3858302777</v>
      </c>
      <c r="C4234" s="51">
        <v>1.013</v>
      </c>
      <c r="D4234" s="51">
        <v>64.0</v>
      </c>
      <c r="E4234" s="52" t="s">
        <v>25</v>
      </c>
      <c r="F4234" s="52" t="s">
        <v>26</v>
      </c>
      <c r="G4234" s="54"/>
    </row>
    <row r="4235">
      <c r="A4235" s="49">
        <v>45065.271276307874</v>
      </c>
      <c r="B4235" s="50">
        <v>45065.3962529051</v>
      </c>
      <c r="C4235" s="51">
        <v>1.013</v>
      </c>
      <c r="D4235" s="51">
        <v>64.0</v>
      </c>
      <c r="E4235" s="52" t="s">
        <v>25</v>
      </c>
      <c r="F4235" s="52" t="s">
        <v>26</v>
      </c>
      <c r="G4235" s="54"/>
    </row>
    <row r="4236">
      <c r="A4236" s="49">
        <v>45065.28170761574</v>
      </c>
      <c r="B4236" s="50">
        <v>45065.4066862037</v>
      </c>
      <c r="C4236" s="51">
        <v>1.013</v>
      </c>
      <c r="D4236" s="51">
        <v>64.0</v>
      </c>
      <c r="E4236" s="52" t="s">
        <v>25</v>
      </c>
      <c r="F4236" s="52" t="s">
        <v>26</v>
      </c>
      <c r="G4236" s="54"/>
    </row>
    <row r="4237">
      <c r="A4237" s="49">
        <v>45065.29212673611</v>
      </c>
      <c r="B4237" s="50">
        <v>45065.4171065856</v>
      </c>
      <c r="C4237" s="51">
        <v>1.013</v>
      </c>
      <c r="D4237" s="51">
        <v>64.0</v>
      </c>
      <c r="E4237" s="52" t="s">
        <v>25</v>
      </c>
      <c r="F4237" s="52" t="s">
        <v>26</v>
      </c>
      <c r="G4237" s="54"/>
    </row>
    <row r="4238">
      <c r="A4238" s="49">
        <v>45065.30255208333</v>
      </c>
      <c r="B4238" s="50">
        <v>45065.4275268634</v>
      </c>
      <c r="C4238" s="51">
        <v>1.013</v>
      </c>
      <c r="D4238" s="51">
        <v>64.0</v>
      </c>
      <c r="E4238" s="52" t="s">
        <v>25</v>
      </c>
      <c r="F4238" s="52" t="s">
        <v>26</v>
      </c>
      <c r="G4238" s="54"/>
    </row>
    <row r="4239">
      <c r="A4239" s="49">
        <v>45065.312971817126</v>
      </c>
      <c r="B4239" s="50">
        <v>45065.4379478356</v>
      </c>
      <c r="C4239" s="51">
        <v>1.013</v>
      </c>
      <c r="D4239" s="51">
        <v>64.0</v>
      </c>
      <c r="E4239" s="52" t="s">
        <v>25</v>
      </c>
      <c r="F4239" s="52" t="s">
        <v>26</v>
      </c>
      <c r="G4239" s="54"/>
    </row>
    <row r="4240">
      <c r="A4240" s="49">
        <v>45065.32340650463</v>
      </c>
      <c r="B4240" s="50">
        <v>45065.4483684259</v>
      </c>
      <c r="C4240" s="51">
        <v>1.013</v>
      </c>
      <c r="D4240" s="51">
        <v>64.0</v>
      </c>
      <c r="E4240" s="52" t="s">
        <v>25</v>
      </c>
      <c r="F4240" s="52" t="s">
        <v>26</v>
      </c>
      <c r="G4240" s="54"/>
    </row>
    <row r="4241">
      <c r="A4241" s="49">
        <v>45065.33381696759</v>
      </c>
      <c r="B4241" s="50">
        <v>45065.4587893287</v>
      </c>
      <c r="C4241" s="51">
        <v>1.013</v>
      </c>
      <c r="D4241" s="51">
        <v>64.0</v>
      </c>
      <c r="E4241" s="52" t="s">
        <v>25</v>
      </c>
      <c r="F4241" s="52" t="s">
        <v>26</v>
      </c>
      <c r="G4241" s="54"/>
    </row>
    <row r="4242">
      <c r="A4242" s="49">
        <v>45065.34423232639</v>
      </c>
      <c r="B4242" s="50">
        <v>45065.4692105208</v>
      </c>
      <c r="C4242" s="51">
        <v>1.013</v>
      </c>
      <c r="D4242" s="51">
        <v>64.0</v>
      </c>
      <c r="E4242" s="52" t="s">
        <v>25</v>
      </c>
      <c r="F4242" s="52" t="s">
        <v>26</v>
      </c>
      <c r="G4242" s="54"/>
    </row>
    <row r="4243">
      <c r="A4243" s="49">
        <v>45065.35465400463</v>
      </c>
      <c r="B4243" s="50">
        <v>45065.4796326041</v>
      </c>
      <c r="C4243" s="51">
        <v>1.013</v>
      </c>
      <c r="D4243" s="51">
        <v>64.0</v>
      </c>
      <c r="E4243" s="52" t="s">
        <v>25</v>
      </c>
      <c r="F4243" s="52" t="s">
        <v>26</v>
      </c>
      <c r="G4243" s="54"/>
    </row>
    <row r="4244">
      <c r="A4244" s="49">
        <v>45065.365080648146</v>
      </c>
      <c r="B4244" s="50">
        <v>45065.4900545138</v>
      </c>
      <c r="C4244" s="51">
        <v>1.013</v>
      </c>
      <c r="D4244" s="51">
        <v>64.0</v>
      </c>
      <c r="E4244" s="52" t="s">
        <v>25</v>
      </c>
      <c r="F4244" s="52" t="s">
        <v>26</v>
      </c>
      <c r="G4244" s="54"/>
    </row>
    <row r="4245">
      <c r="A4245" s="49">
        <v>45065.37551371528</v>
      </c>
      <c r="B4245" s="50">
        <v>45065.5004869328</v>
      </c>
      <c r="C4245" s="51">
        <v>1.013</v>
      </c>
      <c r="D4245" s="51">
        <v>64.0</v>
      </c>
      <c r="E4245" s="52" t="s">
        <v>25</v>
      </c>
      <c r="F4245" s="52" t="s">
        <v>26</v>
      </c>
      <c r="G4245" s="54"/>
    </row>
    <row r="4246">
      <c r="A4246" s="49">
        <v>45065.38593040509</v>
      </c>
      <c r="B4246" s="50">
        <v>45065.5109076157</v>
      </c>
      <c r="C4246" s="51">
        <v>1.013</v>
      </c>
      <c r="D4246" s="51">
        <v>64.0</v>
      </c>
      <c r="E4246" s="52" t="s">
        <v>25</v>
      </c>
      <c r="F4246" s="52" t="s">
        <v>26</v>
      </c>
      <c r="G4246" s="54"/>
    </row>
    <row r="4247">
      <c r="A4247" s="49">
        <v>45065.396349525465</v>
      </c>
      <c r="B4247" s="50">
        <v>45065.5213291782</v>
      </c>
      <c r="C4247" s="51">
        <v>1.013</v>
      </c>
      <c r="D4247" s="51">
        <v>64.0</v>
      </c>
      <c r="E4247" s="52" t="s">
        <v>25</v>
      </c>
      <c r="F4247" s="52" t="s">
        <v>26</v>
      </c>
      <c r="G4247" s="54"/>
    </row>
    <row r="4248">
      <c r="A4248" s="49">
        <v>45065.40677560185</v>
      </c>
      <c r="B4248" s="50">
        <v>45065.5317504282</v>
      </c>
      <c r="C4248" s="51">
        <v>1.013</v>
      </c>
      <c r="D4248" s="51">
        <v>64.0</v>
      </c>
      <c r="E4248" s="52" t="s">
        <v>25</v>
      </c>
      <c r="F4248" s="52" t="s">
        <v>26</v>
      </c>
      <c r="G4248" s="54"/>
    </row>
    <row r="4249">
      <c r="A4249" s="49">
        <v>45065.41718730324</v>
      </c>
      <c r="B4249" s="50">
        <v>45065.5421705208</v>
      </c>
      <c r="C4249" s="51">
        <v>1.013</v>
      </c>
      <c r="D4249" s="51">
        <v>64.0</v>
      </c>
      <c r="E4249" s="52" t="s">
        <v>25</v>
      </c>
      <c r="F4249" s="52" t="s">
        <v>26</v>
      </c>
      <c r="G4249" s="54"/>
    </row>
    <row r="4250">
      <c r="A4250" s="49">
        <v>45065.42761706018</v>
      </c>
      <c r="B4250" s="50">
        <v>45065.5525916319</v>
      </c>
      <c r="C4250" s="51">
        <v>1.013</v>
      </c>
      <c r="D4250" s="51">
        <v>64.0</v>
      </c>
      <c r="E4250" s="52" t="s">
        <v>25</v>
      </c>
      <c r="F4250" s="52" t="s">
        <v>26</v>
      </c>
      <c r="G4250" s="54"/>
    </row>
    <row r="4251">
      <c r="A4251" s="49">
        <v>45065.43803936343</v>
      </c>
      <c r="B4251" s="50">
        <v>45065.5630133912</v>
      </c>
      <c r="C4251" s="51">
        <v>1.013</v>
      </c>
      <c r="D4251" s="51">
        <v>64.0</v>
      </c>
      <c r="E4251" s="52" t="s">
        <v>25</v>
      </c>
      <c r="F4251" s="52" t="s">
        <v>26</v>
      </c>
      <c r="G4251" s="54"/>
    </row>
    <row r="4252">
      <c r="A4252" s="49">
        <v>45065.44847158565</v>
      </c>
      <c r="B4252" s="50">
        <v>45065.5734469444</v>
      </c>
      <c r="C4252" s="51">
        <v>1.013</v>
      </c>
      <c r="D4252" s="51">
        <v>64.0</v>
      </c>
      <c r="E4252" s="52" t="s">
        <v>25</v>
      </c>
      <c r="F4252" s="52" t="s">
        <v>26</v>
      </c>
      <c r="G4252" s="54"/>
    </row>
    <row r="4253">
      <c r="A4253" s="49">
        <v>45065.45888931713</v>
      </c>
      <c r="B4253" s="50">
        <v>45065.583868287</v>
      </c>
      <c r="C4253" s="51">
        <v>1.013</v>
      </c>
      <c r="D4253" s="51">
        <v>64.0</v>
      </c>
      <c r="E4253" s="52" t="s">
        <v>25</v>
      </c>
      <c r="F4253" s="52" t="s">
        <v>26</v>
      </c>
      <c r="G4253" s="54"/>
    </row>
    <row r="4254">
      <c r="A4254" s="49">
        <v>45065.46931141204</v>
      </c>
      <c r="B4254" s="50">
        <v>45065.5942879166</v>
      </c>
      <c r="C4254" s="51">
        <v>1.013</v>
      </c>
      <c r="D4254" s="51">
        <v>64.0</v>
      </c>
      <c r="E4254" s="52" t="s">
        <v>25</v>
      </c>
      <c r="F4254" s="52" t="s">
        <v>26</v>
      </c>
      <c r="G4254" s="54"/>
    </row>
    <row r="4255">
      <c r="A4255" s="49">
        <v>45065.47972996528</v>
      </c>
      <c r="B4255" s="50">
        <v>45065.6047109259</v>
      </c>
      <c r="C4255" s="51">
        <v>1.013</v>
      </c>
      <c r="D4255" s="51">
        <v>64.0</v>
      </c>
      <c r="E4255" s="52" t="s">
        <v>25</v>
      </c>
      <c r="F4255" s="52" t="s">
        <v>26</v>
      </c>
      <c r="G4255" s="54"/>
    </row>
    <row r="4256">
      <c r="A4256" s="49">
        <v>45065.49016206019</v>
      </c>
      <c r="B4256" s="50">
        <v>45065.615131875</v>
      </c>
      <c r="C4256" s="51">
        <v>1.013</v>
      </c>
      <c r="D4256" s="51">
        <v>64.0</v>
      </c>
      <c r="E4256" s="52" t="s">
        <v>25</v>
      </c>
      <c r="F4256" s="52" t="s">
        <v>26</v>
      </c>
      <c r="G4256" s="54"/>
    </row>
    <row r="4257">
      <c r="A4257" s="49">
        <v>45065.50057046296</v>
      </c>
      <c r="B4257" s="50">
        <v>45065.6255509143</v>
      </c>
      <c r="C4257" s="51">
        <v>1.013</v>
      </c>
      <c r="D4257" s="51">
        <v>64.0</v>
      </c>
      <c r="E4257" s="52" t="s">
        <v>25</v>
      </c>
      <c r="F4257" s="52" t="s">
        <v>26</v>
      </c>
      <c r="G4257" s="54"/>
    </row>
    <row r="4258">
      <c r="A4258" s="49">
        <v>45065.51099265047</v>
      </c>
      <c r="B4258" s="50">
        <v>45065.6359716782</v>
      </c>
      <c r="C4258" s="51">
        <v>1.013</v>
      </c>
      <c r="D4258" s="51">
        <v>64.0</v>
      </c>
      <c r="E4258" s="52" t="s">
        <v>25</v>
      </c>
      <c r="F4258" s="52" t="s">
        <v>26</v>
      </c>
      <c r="G4258" s="54"/>
    </row>
    <row r="4259">
      <c r="A4259" s="49">
        <v>45065.52144498842</v>
      </c>
      <c r="B4259" s="50">
        <v>45065.6464160763</v>
      </c>
      <c r="C4259" s="51">
        <v>1.013</v>
      </c>
      <c r="D4259" s="51">
        <v>64.0</v>
      </c>
      <c r="E4259" s="52" t="s">
        <v>25</v>
      </c>
      <c r="F4259" s="52" t="s">
        <v>26</v>
      </c>
      <c r="G4259" s="54"/>
    </row>
    <row r="4260">
      <c r="A4260" s="49">
        <v>45065.53186178241</v>
      </c>
      <c r="B4260" s="50">
        <v>45065.6568376041</v>
      </c>
      <c r="C4260" s="51">
        <v>1.013</v>
      </c>
      <c r="D4260" s="51">
        <v>64.0</v>
      </c>
      <c r="E4260" s="52" t="s">
        <v>25</v>
      </c>
      <c r="F4260" s="52" t="s">
        <v>26</v>
      </c>
      <c r="G4260" s="54"/>
    </row>
    <row r="4261">
      <c r="A4261" s="49">
        <v>45065.542294212966</v>
      </c>
      <c r="B4261" s="50">
        <v>45065.6672595138</v>
      </c>
      <c r="C4261" s="51">
        <v>1.013</v>
      </c>
      <c r="D4261" s="51">
        <v>64.0</v>
      </c>
      <c r="E4261" s="52" t="s">
        <v>25</v>
      </c>
      <c r="F4261" s="52" t="s">
        <v>26</v>
      </c>
      <c r="G4261" s="54"/>
    </row>
    <row r="4262">
      <c r="A4262" s="49">
        <v>45065.552706585644</v>
      </c>
      <c r="B4262" s="50">
        <v>45065.6776790625</v>
      </c>
      <c r="C4262" s="51">
        <v>1.013</v>
      </c>
      <c r="D4262" s="51">
        <v>64.0</v>
      </c>
      <c r="E4262" s="52" t="s">
        <v>25</v>
      </c>
      <c r="F4262" s="52" t="s">
        <v>26</v>
      </c>
      <c r="G4262" s="54"/>
    </row>
    <row r="4263">
      <c r="A4263" s="49">
        <v>45065.56311878472</v>
      </c>
      <c r="B4263" s="50">
        <v>45065.6881003703</v>
      </c>
      <c r="C4263" s="51">
        <v>1.013</v>
      </c>
      <c r="D4263" s="51">
        <v>64.0</v>
      </c>
      <c r="E4263" s="52" t="s">
        <v>25</v>
      </c>
      <c r="F4263" s="52" t="s">
        <v>26</v>
      </c>
      <c r="G4263" s="54"/>
    </row>
    <row r="4264">
      <c r="A4264" s="49">
        <v>45065.57355342593</v>
      </c>
      <c r="B4264" s="50">
        <v>45065.6985209375</v>
      </c>
      <c r="C4264" s="51">
        <v>1.013</v>
      </c>
      <c r="D4264" s="51">
        <v>64.0</v>
      </c>
      <c r="E4264" s="52" t="s">
        <v>25</v>
      </c>
      <c r="F4264" s="52" t="s">
        <v>26</v>
      </c>
      <c r="G4264" s="54"/>
    </row>
    <row r="4265">
      <c r="A4265" s="49">
        <v>45065.583967847226</v>
      </c>
      <c r="B4265" s="50">
        <v>45065.7089419444</v>
      </c>
      <c r="C4265" s="51">
        <v>1.013</v>
      </c>
      <c r="D4265" s="51">
        <v>64.0</v>
      </c>
      <c r="E4265" s="52" t="s">
        <v>25</v>
      </c>
      <c r="F4265" s="52" t="s">
        <v>26</v>
      </c>
      <c r="G4265" s="54"/>
    </row>
    <row r="4266">
      <c r="A4266" s="49">
        <v>45065.59438879629</v>
      </c>
      <c r="B4266" s="50">
        <v>45065.7193643865</v>
      </c>
      <c r="C4266" s="51">
        <v>1.013</v>
      </c>
      <c r="D4266" s="51">
        <v>64.0</v>
      </c>
      <c r="E4266" s="52" t="s">
        <v>25</v>
      </c>
      <c r="F4266" s="52" t="s">
        <v>26</v>
      </c>
      <c r="G4266" s="54"/>
    </row>
    <row r="4267">
      <c r="A4267" s="49">
        <v>45065.60481240741</v>
      </c>
      <c r="B4267" s="50">
        <v>45065.7297857291</v>
      </c>
      <c r="C4267" s="51">
        <v>1.013</v>
      </c>
      <c r="D4267" s="51">
        <v>64.0</v>
      </c>
      <c r="E4267" s="52" t="s">
        <v>25</v>
      </c>
      <c r="F4267" s="52" t="s">
        <v>26</v>
      </c>
      <c r="G4267" s="54"/>
    </row>
    <row r="4268">
      <c r="A4268" s="49">
        <v>45065.61523280093</v>
      </c>
      <c r="B4268" s="50">
        <v>45065.7402057754</v>
      </c>
      <c r="C4268" s="51">
        <v>1.013</v>
      </c>
      <c r="D4268" s="51">
        <v>64.0</v>
      </c>
      <c r="E4268" s="52" t="s">
        <v>25</v>
      </c>
      <c r="F4268" s="52" t="s">
        <v>26</v>
      </c>
      <c r="G4268" s="54"/>
    </row>
    <row r="4269">
      <c r="A4269" s="49">
        <v>45065.625651064816</v>
      </c>
      <c r="B4269" s="50">
        <v>45065.7506271643</v>
      </c>
      <c r="C4269" s="51">
        <v>1.013</v>
      </c>
      <c r="D4269" s="51">
        <v>64.0</v>
      </c>
      <c r="E4269" s="52" t="s">
        <v>25</v>
      </c>
      <c r="F4269" s="52" t="s">
        <v>26</v>
      </c>
      <c r="G4269" s="54"/>
    </row>
    <row r="4270">
      <c r="A4270" s="49">
        <v>45065.63607532407</v>
      </c>
      <c r="B4270" s="50">
        <v>45065.7610465625</v>
      </c>
      <c r="C4270" s="51">
        <v>1.013</v>
      </c>
      <c r="D4270" s="51">
        <v>64.0</v>
      </c>
      <c r="E4270" s="52" t="s">
        <v>25</v>
      </c>
      <c r="F4270" s="52" t="s">
        <v>26</v>
      </c>
      <c r="G4270" s="54"/>
    </row>
    <row r="4271">
      <c r="A4271" s="49">
        <v>45065.64649060185</v>
      </c>
      <c r="B4271" s="50">
        <v>45065.7714682291</v>
      </c>
      <c r="C4271" s="51">
        <v>1.013</v>
      </c>
      <c r="D4271" s="51">
        <v>64.0</v>
      </c>
      <c r="E4271" s="52" t="s">
        <v>25</v>
      </c>
      <c r="F4271" s="52" t="s">
        <v>26</v>
      </c>
      <c r="G4271" s="54"/>
    </row>
    <row r="4272">
      <c r="A4272" s="49">
        <v>45065.65692105324</v>
      </c>
      <c r="B4272" s="50">
        <v>45065.7818893171</v>
      </c>
      <c r="C4272" s="51">
        <v>1.013</v>
      </c>
      <c r="D4272" s="51">
        <v>64.0</v>
      </c>
      <c r="E4272" s="52" t="s">
        <v>25</v>
      </c>
      <c r="F4272" s="52" t="s">
        <v>26</v>
      </c>
      <c r="G4272" s="54"/>
    </row>
    <row r="4273">
      <c r="A4273" s="49">
        <v>45065.6673316088</v>
      </c>
      <c r="B4273" s="50">
        <v>45065.7923117129</v>
      </c>
      <c r="C4273" s="51">
        <v>1.013</v>
      </c>
      <c r="D4273" s="51">
        <v>64.0</v>
      </c>
      <c r="E4273" s="52" t="s">
        <v>25</v>
      </c>
      <c r="F4273" s="52" t="s">
        <v>26</v>
      </c>
      <c r="G4273" s="54"/>
    </row>
    <row r="4274">
      <c r="A4274" s="49">
        <v>45065.67775909722</v>
      </c>
      <c r="B4274" s="50">
        <v>45065.8027346527</v>
      </c>
      <c r="C4274" s="51">
        <v>1.013</v>
      </c>
      <c r="D4274" s="51">
        <v>64.0</v>
      </c>
      <c r="E4274" s="52" t="s">
        <v>25</v>
      </c>
      <c r="F4274" s="52" t="s">
        <v>26</v>
      </c>
      <c r="G4274" s="54"/>
    </row>
    <row r="4275">
      <c r="A4275" s="49">
        <v>45065.68818195602</v>
      </c>
      <c r="B4275" s="50">
        <v>45065.8131561921</v>
      </c>
      <c r="C4275" s="51">
        <v>1.013</v>
      </c>
      <c r="D4275" s="51">
        <v>64.0</v>
      </c>
      <c r="E4275" s="52" t="s">
        <v>25</v>
      </c>
      <c r="F4275" s="52" t="s">
        <v>26</v>
      </c>
      <c r="G4275" s="54"/>
    </row>
    <row r="4276">
      <c r="A4276" s="49">
        <v>45065.698602766206</v>
      </c>
      <c r="B4276" s="50">
        <v>45065.8235763194</v>
      </c>
      <c r="C4276" s="51">
        <v>1.013</v>
      </c>
      <c r="D4276" s="51">
        <v>64.0</v>
      </c>
      <c r="E4276" s="52" t="s">
        <v>25</v>
      </c>
      <c r="F4276" s="52" t="s">
        <v>26</v>
      </c>
      <c r="G4276" s="54"/>
    </row>
    <row r="4277">
      <c r="A4277" s="49">
        <v>45065.70902815972</v>
      </c>
      <c r="B4277" s="50">
        <v>45065.8339975926</v>
      </c>
      <c r="C4277" s="51">
        <v>1.013</v>
      </c>
      <c r="D4277" s="51">
        <v>64.0</v>
      </c>
      <c r="E4277" s="52" t="s">
        <v>25</v>
      </c>
      <c r="F4277" s="52" t="s">
        <v>26</v>
      </c>
      <c r="G4277" s="54"/>
    </row>
    <row r="4278">
      <c r="A4278" s="49">
        <v>45065.719446944444</v>
      </c>
      <c r="B4278" s="50">
        <v>45065.8444185995</v>
      </c>
      <c r="C4278" s="51">
        <v>1.013</v>
      </c>
      <c r="D4278" s="51">
        <v>64.0</v>
      </c>
      <c r="E4278" s="52" t="s">
        <v>25</v>
      </c>
      <c r="F4278" s="52" t="s">
        <v>26</v>
      </c>
      <c r="G4278" s="54"/>
    </row>
    <row r="4279">
      <c r="A4279" s="49">
        <v>45065.72985560185</v>
      </c>
      <c r="B4279" s="50">
        <v>45065.854840081</v>
      </c>
      <c r="C4279" s="51">
        <v>1.013</v>
      </c>
      <c r="D4279" s="51">
        <v>64.0</v>
      </c>
      <c r="E4279" s="52" t="s">
        <v>25</v>
      </c>
      <c r="F4279" s="52" t="s">
        <v>26</v>
      </c>
      <c r="G4279" s="54"/>
    </row>
    <row r="4280">
      <c r="A4280" s="49">
        <v>45065.74028347222</v>
      </c>
      <c r="B4280" s="50">
        <v>45065.8652614351</v>
      </c>
      <c r="C4280" s="51">
        <v>1.013</v>
      </c>
      <c r="D4280" s="51">
        <v>64.0</v>
      </c>
      <c r="E4280" s="52" t="s">
        <v>25</v>
      </c>
      <c r="F4280" s="52" t="s">
        <v>26</v>
      </c>
      <c r="G4280" s="54"/>
    </row>
    <row r="4281">
      <c r="A4281" s="49">
        <v>45065.75071137732</v>
      </c>
      <c r="B4281" s="50">
        <v>45065.875683993</v>
      </c>
      <c r="C4281" s="51">
        <v>1.013</v>
      </c>
      <c r="D4281" s="51">
        <v>64.0</v>
      </c>
      <c r="E4281" s="52" t="s">
        <v>25</v>
      </c>
      <c r="F4281" s="52" t="s">
        <v>26</v>
      </c>
      <c r="G4281" s="54"/>
    </row>
    <row r="4282">
      <c r="A4282" s="49">
        <v>45065.76113460648</v>
      </c>
      <c r="B4282" s="50">
        <v>45065.8861065393</v>
      </c>
      <c r="C4282" s="51">
        <v>1.013</v>
      </c>
      <c r="D4282" s="51">
        <v>64.0</v>
      </c>
      <c r="E4282" s="52" t="s">
        <v>25</v>
      </c>
      <c r="F4282" s="52" t="s">
        <v>26</v>
      </c>
      <c r="G4282" s="54"/>
    </row>
    <row r="4283">
      <c r="A4283" s="49">
        <v>45065.771552986116</v>
      </c>
      <c r="B4283" s="50">
        <v>45065.8965279745</v>
      </c>
      <c r="C4283" s="51">
        <v>1.013</v>
      </c>
      <c r="D4283" s="51">
        <v>64.0</v>
      </c>
      <c r="E4283" s="52" t="s">
        <v>25</v>
      </c>
      <c r="F4283" s="52" t="s">
        <v>26</v>
      </c>
      <c r="G4283" s="54"/>
    </row>
    <row r="4284">
      <c r="A4284" s="49">
        <v>45065.78196555555</v>
      </c>
      <c r="B4284" s="50">
        <v>45065.9069480787</v>
      </c>
      <c r="C4284" s="51">
        <v>1.013</v>
      </c>
      <c r="D4284" s="51">
        <v>64.0</v>
      </c>
      <c r="E4284" s="52" t="s">
        <v>25</v>
      </c>
      <c r="F4284" s="52" t="s">
        <v>26</v>
      </c>
      <c r="G4284" s="54"/>
    </row>
    <row r="4285">
      <c r="A4285" s="49">
        <v>45065.79239188657</v>
      </c>
      <c r="B4285" s="50">
        <v>45065.9173679166</v>
      </c>
      <c r="C4285" s="51">
        <v>1.013</v>
      </c>
      <c r="D4285" s="51">
        <v>64.0</v>
      </c>
      <c r="E4285" s="52" t="s">
        <v>25</v>
      </c>
      <c r="F4285" s="52" t="s">
        <v>26</v>
      </c>
      <c r="G4285" s="54"/>
    </row>
    <row r="4286">
      <c r="A4286" s="49">
        <v>45065.80282833333</v>
      </c>
      <c r="B4286" s="50">
        <v>45065.9277999537</v>
      </c>
      <c r="C4286" s="51">
        <v>1.013</v>
      </c>
      <c r="D4286" s="51">
        <v>64.0</v>
      </c>
      <c r="E4286" s="52" t="s">
        <v>25</v>
      </c>
      <c r="F4286" s="52" t="s">
        <v>26</v>
      </c>
      <c r="G4286" s="54"/>
    </row>
    <row r="4287">
      <c r="A4287" s="49">
        <v>45065.81324121528</v>
      </c>
      <c r="B4287" s="50">
        <v>45065.9382230092</v>
      </c>
      <c r="C4287" s="51">
        <v>1.013</v>
      </c>
      <c r="D4287" s="51">
        <v>64.0</v>
      </c>
      <c r="E4287" s="52" t="s">
        <v>25</v>
      </c>
      <c r="F4287" s="52" t="s">
        <v>26</v>
      </c>
      <c r="G4287" s="54"/>
    </row>
    <row r="4288">
      <c r="A4288" s="49">
        <v>45065.82366716435</v>
      </c>
      <c r="B4288" s="50">
        <v>45065.9486446412</v>
      </c>
      <c r="C4288" s="51">
        <v>1.013</v>
      </c>
      <c r="D4288" s="51">
        <v>64.0</v>
      </c>
      <c r="E4288" s="52" t="s">
        <v>25</v>
      </c>
      <c r="F4288" s="52" t="s">
        <v>26</v>
      </c>
      <c r="G4288" s="54"/>
    </row>
    <row r="4289">
      <c r="A4289" s="49">
        <v>45065.8340809838</v>
      </c>
      <c r="B4289" s="50">
        <v>45065.9590647222</v>
      </c>
      <c r="C4289" s="51">
        <v>1.013</v>
      </c>
      <c r="D4289" s="51">
        <v>64.0</v>
      </c>
      <c r="E4289" s="52" t="s">
        <v>25</v>
      </c>
      <c r="F4289" s="52" t="s">
        <v>26</v>
      </c>
      <c r="G4289" s="54"/>
    </row>
    <row r="4290">
      <c r="A4290" s="49">
        <v>45065.8445178588</v>
      </c>
      <c r="B4290" s="50">
        <v>45065.96949625</v>
      </c>
      <c r="C4290" s="51">
        <v>1.013</v>
      </c>
      <c r="D4290" s="51">
        <v>64.0</v>
      </c>
      <c r="E4290" s="52" t="s">
        <v>25</v>
      </c>
      <c r="F4290" s="52" t="s">
        <v>26</v>
      </c>
      <c r="G4290" s="54"/>
    </row>
    <row r="4291">
      <c r="A4291" s="49">
        <v>45065.85494167824</v>
      </c>
      <c r="B4291" s="50">
        <v>45065.9799173032</v>
      </c>
      <c r="C4291" s="51">
        <v>1.013</v>
      </c>
      <c r="D4291" s="51">
        <v>64.0</v>
      </c>
      <c r="E4291" s="52" t="s">
        <v>25</v>
      </c>
      <c r="F4291" s="52" t="s">
        <v>26</v>
      </c>
      <c r="G4291" s="54"/>
    </row>
    <row r="4292">
      <c r="A4292" s="49">
        <v>45065.86538829861</v>
      </c>
      <c r="B4292" s="50">
        <v>45065.9903610532</v>
      </c>
      <c r="C4292" s="51">
        <v>1.013</v>
      </c>
      <c r="D4292" s="51">
        <v>64.0</v>
      </c>
      <c r="E4292" s="52" t="s">
        <v>25</v>
      </c>
      <c r="F4292" s="52" t="s">
        <v>26</v>
      </c>
      <c r="G4292" s="54"/>
    </row>
    <row r="4293">
      <c r="A4293" s="49">
        <v>45065.875802939816</v>
      </c>
      <c r="B4293" s="50">
        <v>45066.0007818749</v>
      </c>
      <c r="C4293" s="51">
        <v>1.013</v>
      </c>
      <c r="D4293" s="51">
        <v>64.0</v>
      </c>
      <c r="E4293" s="52" t="s">
        <v>25</v>
      </c>
      <c r="F4293" s="52" t="s">
        <v>26</v>
      </c>
      <c r="G4293" s="54"/>
    </row>
    <row r="4294">
      <c r="A4294" s="49">
        <v>45065.88625258102</v>
      </c>
      <c r="B4294" s="50">
        <v>45066.0112283564</v>
      </c>
      <c r="C4294" s="51">
        <v>1.013</v>
      </c>
      <c r="D4294" s="51">
        <v>64.0</v>
      </c>
      <c r="E4294" s="52" t="s">
        <v>25</v>
      </c>
      <c r="F4294" s="52" t="s">
        <v>26</v>
      </c>
      <c r="G4294" s="54"/>
    </row>
    <row r="4295">
      <c r="A4295" s="49">
        <v>45065.89667590278</v>
      </c>
      <c r="B4295" s="50">
        <v>45066.0216484027</v>
      </c>
      <c r="C4295" s="51">
        <v>1.013</v>
      </c>
      <c r="D4295" s="51">
        <v>64.0</v>
      </c>
      <c r="E4295" s="52" t="s">
        <v>25</v>
      </c>
      <c r="F4295" s="52" t="s">
        <v>26</v>
      </c>
      <c r="G4295" s="54"/>
    </row>
    <row r="4296">
      <c r="A4296" s="49">
        <v>45065.907104259255</v>
      </c>
      <c r="B4296" s="50">
        <v>45066.0320697916</v>
      </c>
      <c r="C4296" s="51">
        <v>1.013</v>
      </c>
      <c r="D4296" s="51">
        <v>64.0</v>
      </c>
      <c r="E4296" s="52" t="s">
        <v>25</v>
      </c>
      <c r="F4296" s="52" t="s">
        <v>26</v>
      </c>
      <c r="G4296" s="54"/>
    </row>
    <row r="4297">
      <c r="A4297" s="49">
        <v>45065.917521435185</v>
      </c>
      <c r="B4297" s="50">
        <v>45066.0424913888</v>
      </c>
      <c r="C4297" s="51">
        <v>1.013</v>
      </c>
      <c r="D4297" s="51">
        <v>64.0</v>
      </c>
      <c r="E4297" s="52" t="s">
        <v>25</v>
      </c>
      <c r="F4297" s="52" t="s">
        <v>26</v>
      </c>
      <c r="G4297" s="54"/>
    </row>
    <row r="4298">
      <c r="A4298" s="49">
        <v>45065.92793952546</v>
      </c>
      <c r="B4298" s="50">
        <v>45066.0529124421</v>
      </c>
      <c r="C4298" s="51">
        <v>1.013</v>
      </c>
      <c r="D4298" s="51">
        <v>64.0</v>
      </c>
      <c r="E4298" s="52" t="s">
        <v>25</v>
      </c>
      <c r="F4298" s="52" t="s">
        <v>26</v>
      </c>
      <c r="G4298" s="54"/>
    </row>
    <row r="4299">
      <c r="A4299" s="49">
        <v>45065.93836252315</v>
      </c>
      <c r="B4299" s="50">
        <v>45066.0633338773</v>
      </c>
      <c r="C4299" s="51">
        <v>1.013</v>
      </c>
      <c r="D4299" s="51">
        <v>64.0</v>
      </c>
      <c r="E4299" s="52" t="s">
        <v>25</v>
      </c>
      <c r="F4299" s="52" t="s">
        <v>26</v>
      </c>
      <c r="G4299" s="54"/>
    </row>
    <row r="4300">
      <c r="A4300" s="49">
        <v>45065.94877758102</v>
      </c>
      <c r="B4300" s="50">
        <v>45066.0737539236</v>
      </c>
      <c r="C4300" s="51">
        <v>1.013</v>
      </c>
      <c r="D4300" s="51">
        <v>64.0</v>
      </c>
      <c r="E4300" s="52" t="s">
        <v>25</v>
      </c>
      <c r="F4300" s="52" t="s">
        <v>26</v>
      </c>
      <c r="G4300" s="54"/>
    </row>
    <row r="4301">
      <c r="A4301" s="49">
        <v>45065.95920386574</v>
      </c>
      <c r="B4301" s="50">
        <v>45066.0841857291</v>
      </c>
      <c r="C4301" s="51">
        <v>1.013</v>
      </c>
      <c r="D4301" s="51">
        <v>64.0</v>
      </c>
      <c r="E4301" s="52" t="s">
        <v>25</v>
      </c>
      <c r="F4301" s="52" t="s">
        <v>26</v>
      </c>
      <c r="G4301" s="54"/>
    </row>
    <row r="4302">
      <c r="A4302" s="49">
        <v>45065.969635636575</v>
      </c>
      <c r="B4302" s="50">
        <v>45066.0946081944</v>
      </c>
      <c r="C4302" s="51">
        <v>1.013</v>
      </c>
      <c r="D4302" s="51">
        <v>64.0</v>
      </c>
      <c r="E4302" s="52" t="s">
        <v>25</v>
      </c>
      <c r="F4302" s="52" t="s">
        <v>26</v>
      </c>
      <c r="G4302" s="54"/>
    </row>
    <row r="4303">
      <c r="A4303" s="49">
        <v>45065.98005597222</v>
      </c>
      <c r="B4303" s="50">
        <v>45066.1050288773</v>
      </c>
      <c r="C4303" s="51">
        <v>1.013</v>
      </c>
      <c r="D4303" s="51">
        <v>64.0</v>
      </c>
      <c r="E4303" s="52" t="s">
        <v>25</v>
      </c>
      <c r="F4303" s="52" t="s">
        <v>26</v>
      </c>
      <c r="G4303" s="54"/>
    </row>
    <row r="4304">
      <c r="A4304" s="49">
        <v>45065.99046539352</v>
      </c>
      <c r="B4304" s="50">
        <v>45066.1154497338</v>
      </c>
      <c r="C4304" s="51">
        <v>1.013</v>
      </c>
      <c r="D4304" s="51">
        <v>64.0</v>
      </c>
      <c r="E4304" s="52" t="s">
        <v>25</v>
      </c>
      <c r="F4304" s="52" t="s">
        <v>26</v>
      </c>
      <c r="G4304" s="54"/>
    </row>
    <row r="4305">
      <c r="A4305" s="49">
        <v>45066.000886319445</v>
      </c>
      <c r="B4305" s="50">
        <v>45066.1258691435</v>
      </c>
      <c r="C4305" s="51">
        <v>1.013</v>
      </c>
      <c r="D4305" s="51">
        <v>64.0</v>
      </c>
      <c r="E4305" s="52" t="s">
        <v>25</v>
      </c>
      <c r="F4305" s="52" t="s">
        <v>26</v>
      </c>
      <c r="G4305" s="54"/>
    </row>
    <row r="4306">
      <c r="A4306" s="49">
        <v>45066.01131810185</v>
      </c>
      <c r="B4306" s="50">
        <v>45066.13629125</v>
      </c>
      <c r="C4306" s="51">
        <v>1.013</v>
      </c>
      <c r="D4306" s="51">
        <v>64.0</v>
      </c>
      <c r="E4306" s="52" t="s">
        <v>25</v>
      </c>
      <c r="F4306" s="52" t="s">
        <v>26</v>
      </c>
      <c r="G4306" s="54"/>
    </row>
    <row r="4307">
      <c r="A4307" s="49">
        <v>45066.02174251157</v>
      </c>
      <c r="B4307" s="50">
        <v>45066.1467147338</v>
      </c>
      <c r="C4307" s="51">
        <v>1.013</v>
      </c>
      <c r="D4307" s="51">
        <v>64.0</v>
      </c>
      <c r="E4307" s="52" t="s">
        <v>25</v>
      </c>
      <c r="F4307" s="52" t="s">
        <v>26</v>
      </c>
      <c r="G4307" s="54"/>
    </row>
    <row r="4308">
      <c r="A4308" s="49">
        <v>45066.03216158565</v>
      </c>
      <c r="B4308" s="50">
        <v>45066.1571360416</v>
      </c>
      <c r="C4308" s="51">
        <v>1.013</v>
      </c>
      <c r="D4308" s="51">
        <v>64.0</v>
      </c>
      <c r="E4308" s="52" t="s">
        <v>25</v>
      </c>
      <c r="F4308" s="52" t="s">
        <v>26</v>
      </c>
      <c r="G4308" s="54"/>
    </row>
    <row r="4309">
      <c r="A4309" s="49">
        <v>45066.04263128473</v>
      </c>
      <c r="B4309" s="50">
        <v>45066.1675686574</v>
      </c>
      <c r="C4309" s="51">
        <v>1.013</v>
      </c>
      <c r="D4309" s="51">
        <v>64.0</v>
      </c>
      <c r="E4309" s="52" t="s">
        <v>25</v>
      </c>
      <c r="F4309" s="52" t="s">
        <v>26</v>
      </c>
      <c r="G4309" s="54"/>
    </row>
    <row r="4310">
      <c r="A4310" s="49">
        <v>45066.05305097222</v>
      </c>
      <c r="B4310" s="50">
        <v>45066.1780013078</v>
      </c>
      <c r="C4310" s="51">
        <v>1.013</v>
      </c>
      <c r="D4310" s="51">
        <v>64.0</v>
      </c>
      <c r="E4310" s="52" t="s">
        <v>25</v>
      </c>
      <c r="F4310" s="52" t="s">
        <v>26</v>
      </c>
      <c r="G4310" s="54"/>
    </row>
    <row r="4311">
      <c r="A4311" s="49">
        <v>45066.06348375</v>
      </c>
      <c r="B4311" s="50">
        <v>45066.1884232407</v>
      </c>
      <c r="C4311" s="51">
        <v>1.013</v>
      </c>
      <c r="D4311" s="51">
        <v>64.0</v>
      </c>
      <c r="E4311" s="52" t="s">
        <v>25</v>
      </c>
      <c r="F4311" s="52" t="s">
        <v>26</v>
      </c>
      <c r="G4311" s="54"/>
    </row>
    <row r="4312">
      <c r="A4312" s="49">
        <v>45066.07391651621</v>
      </c>
      <c r="B4312" s="50">
        <v>45066.1988453935</v>
      </c>
      <c r="C4312" s="51">
        <v>1.013</v>
      </c>
      <c r="D4312" s="51">
        <v>64.0</v>
      </c>
      <c r="E4312" s="52" t="s">
        <v>25</v>
      </c>
      <c r="F4312" s="52" t="s">
        <v>26</v>
      </c>
      <c r="G4312" s="54"/>
    </row>
    <row r="4313">
      <c r="A4313" s="49">
        <v>45066.08433453704</v>
      </c>
      <c r="B4313" s="50">
        <v>45066.20927728</v>
      </c>
      <c r="C4313" s="51">
        <v>1.013</v>
      </c>
      <c r="D4313" s="51">
        <v>64.0</v>
      </c>
      <c r="E4313" s="52" t="s">
        <v>25</v>
      </c>
      <c r="F4313" s="52" t="s">
        <v>26</v>
      </c>
      <c r="G4313" s="54"/>
    </row>
    <row r="4314">
      <c r="A4314" s="49">
        <v>45066.094754618054</v>
      </c>
      <c r="B4314" s="50">
        <v>45066.2196984143</v>
      </c>
      <c r="C4314" s="51">
        <v>1.012</v>
      </c>
      <c r="D4314" s="51">
        <v>64.0</v>
      </c>
      <c r="E4314" s="52" t="s">
        <v>25</v>
      </c>
      <c r="F4314" s="52" t="s">
        <v>26</v>
      </c>
      <c r="G4314" s="54"/>
    </row>
    <row r="4315">
      <c r="A4315" s="49">
        <v>45066.10517303241</v>
      </c>
      <c r="B4315" s="50">
        <v>45066.2301207176</v>
      </c>
      <c r="C4315" s="51">
        <v>1.013</v>
      </c>
      <c r="D4315" s="51">
        <v>64.0</v>
      </c>
      <c r="E4315" s="52" t="s">
        <v>25</v>
      </c>
      <c r="F4315" s="52" t="s">
        <v>26</v>
      </c>
      <c r="G4315" s="54"/>
    </row>
    <row r="4316">
      <c r="A4316" s="49">
        <v>45066.115593055554</v>
      </c>
      <c r="B4316" s="50">
        <v>45066.2405414351</v>
      </c>
      <c r="C4316" s="51">
        <v>1.013</v>
      </c>
      <c r="D4316" s="51">
        <v>64.0</v>
      </c>
      <c r="E4316" s="52" t="s">
        <v>25</v>
      </c>
      <c r="F4316" s="52" t="s">
        <v>26</v>
      </c>
      <c r="G4316" s="54"/>
    </row>
    <row r="4317">
      <c r="A4317" s="49">
        <v>45066.12601357639</v>
      </c>
      <c r="B4317" s="50">
        <v>45066.2509740509</v>
      </c>
      <c r="C4317" s="51">
        <v>1.013</v>
      </c>
      <c r="D4317" s="51">
        <v>64.0</v>
      </c>
      <c r="E4317" s="52" t="s">
        <v>25</v>
      </c>
      <c r="F4317" s="52" t="s">
        <v>26</v>
      </c>
      <c r="G4317" s="54"/>
    </row>
    <row r="4318">
      <c r="A4318" s="49">
        <v>45066.136430081024</v>
      </c>
      <c r="B4318" s="50">
        <v>45066.2613948379</v>
      </c>
      <c r="C4318" s="51">
        <v>1.012</v>
      </c>
      <c r="D4318" s="51">
        <v>64.0</v>
      </c>
      <c r="E4318" s="52" t="s">
        <v>25</v>
      </c>
      <c r="F4318" s="52" t="s">
        <v>26</v>
      </c>
      <c r="G4318" s="54"/>
    </row>
    <row r="4319">
      <c r="A4319" s="49">
        <v>45066.14684465277</v>
      </c>
      <c r="B4319" s="50">
        <v>45066.2718149884</v>
      </c>
      <c r="C4319" s="51">
        <v>1.013</v>
      </c>
      <c r="D4319" s="51">
        <v>64.0</v>
      </c>
      <c r="E4319" s="52" t="s">
        <v>25</v>
      </c>
      <c r="F4319" s="52" t="s">
        <v>26</v>
      </c>
      <c r="G4319" s="54"/>
    </row>
    <row r="4320">
      <c r="A4320" s="49">
        <v>45066.15726334491</v>
      </c>
      <c r="B4320" s="50">
        <v>45066.2822359837</v>
      </c>
      <c r="C4320" s="51">
        <v>1.013</v>
      </c>
      <c r="D4320" s="51">
        <v>64.0</v>
      </c>
      <c r="E4320" s="52" t="s">
        <v>25</v>
      </c>
      <c r="F4320" s="52" t="s">
        <v>26</v>
      </c>
      <c r="G4320" s="54"/>
    </row>
    <row r="4321">
      <c r="A4321" s="49">
        <v>45066.167676770834</v>
      </c>
      <c r="B4321" s="50">
        <v>45066.2926566782</v>
      </c>
      <c r="C4321" s="51">
        <v>1.012</v>
      </c>
      <c r="D4321" s="51">
        <v>64.0</v>
      </c>
      <c r="E4321" s="52" t="s">
        <v>25</v>
      </c>
      <c r="F4321" s="52" t="s">
        <v>26</v>
      </c>
      <c r="G4321" s="54"/>
    </row>
    <row r="4322">
      <c r="A4322" s="49">
        <v>45066.17810715278</v>
      </c>
      <c r="B4322" s="50">
        <v>45066.3030906828</v>
      </c>
      <c r="C4322" s="51">
        <v>1.013</v>
      </c>
      <c r="D4322" s="51">
        <v>64.0</v>
      </c>
      <c r="E4322" s="52" t="s">
        <v>25</v>
      </c>
      <c r="F4322" s="52" t="s">
        <v>26</v>
      </c>
      <c r="G4322" s="54"/>
    </row>
    <row r="4323">
      <c r="A4323" s="49">
        <v>45066.18853005787</v>
      </c>
      <c r="B4323" s="50">
        <v>45066.3135123379</v>
      </c>
      <c r="C4323" s="51">
        <v>1.013</v>
      </c>
      <c r="D4323" s="51">
        <v>64.0</v>
      </c>
      <c r="E4323" s="52" t="s">
        <v>25</v>
      </c>
      <c r="F4323" s="52" t="s">
        <v>26</v>
      </c>
      <c r="G4323" s="54"/>
    </row>
    <row r="4324">
      <c r="A4324" s="49">
        <v>45066.19895431713</v>
      </c>
      <c r="B4324" s="50">
        <v>45066.3239333101</v>
      </c>
      <c r="C4324" s="51">
        <v>1.013</v>
      </c>
      <c r="D4324" s="51">
        <v>64.0</v>
      </c>
      <c r="E4324" s="52" t="s">
        <v>25</v>
      </c>
      <c r="F4324" s="52" t="s">
        <v>26</v>
      </c>
      <c r="G4324" s="54"/>
    </row>
    <row r="4325">
      <c r="A4325" s="49">
        <v>45066.20938170139</v>
      </c>
      <c r="B4325" s="50">
        <v>45066.3343532986</v>
      </c>
      <c r="C4325" s="51">
        <v>1.013</v>
      </c>
      <c r="D4325" s="51">
        <v>64.0</v>
      </c>
      <c r="E4325" s="52" t="s">
        <v>25</v>
      </c>
      <c r="F4325" s="52" t="s">
        <v>26</v>
      </c>
      <c r="G4325" s="54"/>
    </row>
    <row r="4326">
      <c r="A4326" s="49">
        <v>45066.21981931713</v>
      </c>
      <c r="B4326" s="50">
        <v>45066.3447982407</v>
      </c>
      <c r="C4326" s="51">
        <v>1.013</v>
      </c>
      <c r="D4326" s="51">
        <v>64.0</v>
      </c>
      <c r="E4326" s="52" t="s">
        <v>25</v>
      </c>
      <c r="F4326" s="52" t="s">
        <v>26</v>
      </c>
      <c r="G4326" s="54"/>
    </row>
    <row r="4327">
      <c r="A4327" s="49">
        <v>45066.23023868055</v>
      </c>
      <c r="B4327" s="50">
        <v>45066.3552191782</v>
      </c>
      <c r="C4327" s="51">
        <v>1.012</v>
      </c>
      <c r="D4327" s="51">
        <v>64.0</v>
      </c>
      <c r="E4327" s="52" t="s">
        <v>25</v>
      </c>
      <c r="F4327" s="52" t="s">
        <v>26</v>
      </c>
      <c r="G4327" s="54"/>
    </row>
    <row r="4328">
      <c r="A4328" s="49">
        <v>45066.24065922454</v>
      </c>
      <c r="B4328" s="50">
        <v>45066.3656406597</v>
      </c>
      <c r="C4328" s="51">
        <v>1.013</v>
      </c>
      <c r="D4328" s="51">
        <v>64.0</v>
      </c>
      <c r="E4328" s="52" t="s">
        <v>25</v>
      </c>
      <c r="F4328" s="52" t="s">
        <v>26</v>
      </c>
      <c r="G4328" s="54"/>
    </row>
    <row r="4329">
      <c r="A4329" s="49">
        <v>45066.25108430556</v>
      </c>
      <c r="B4329" s="50">
        <v>45066.3760625694</v>
      </c>
      <c r="C4329" s="51">
        <v>1.013</v>
      </c>
      <c r="D4329" s="51">
        <v>64.0</v>
      </c>
      <c r="E4329" s="52" t="s">
        <v>25</v>
      </c>
      <c r="F4329" s="52" t="s">
        <v>26</v>
      </c>
      <c r="G4329" s="54"/>
    </row>
    <row r="4330">
      <c r="A4330" s="49">
        <v>45066.26151409722</v>
      </c>
      <c r="B4330" s="50">
        <v>45066.3864968981</v>
      </c>
      <c r="C4330" s="51">
        <v>1.013</v>
      </c>
      <c r="D4330" s="51">
        <v>64.0</v>
      </c>
      <c r="E4330" s="52" t="s">
        <v>25</v>
      </c>
      <c r="F4330" s="52" t="s">
        <v>26</v>
      </c>
      <c r="G4330" s="54"/>
    </row>
    <row r="4331">
      <c r="A4331" s="49">
        <v>45066.271943935186</v>
      </c>
      <c r="B4331" s="50">
        <v>45066.3969166319</v>
      </c>
      <c r="C4331" s="51">
        <v>1.013</v>
      </c>
      <c r="D4331" s="51">
        <v>64.0</v>
      </c>
      <c r="E4331" s="52" t="s">
        <v>25</v>
      </c>
      <c r="F4331" s="52" t="s">
        <v>26</v>
      </c>
      <c r="G4331" s="54"/>
    </row>
    <row r="4332">
      <c r="A4332" s="49">
        <v>45066.28236738426</v>
      </c>
      <c r="B4332" s="50">
        <v>45066.4073387037</v>
      </c>
      <c r="C4332" s="51">
        <v>1.013</v>
      </c>
      <c r="D4332" s="51">
        <v>64.0</v>
      </c>
      <c r="E4332" s="52" t="s">
        <v>25</v>
      </c>
      <c r="F4332" s="52" t="s">
        <v>26</v>
      </c>
      <c r="G4332" s="54"/>
    </row>
    <row r="4333">
      <c r="A4333" s="49">
        <v>45066.29278405092</v>
      </c>
      <c r="B4333" s="50">
        <v>45066.4177588194</v>
      </c>
      <c r="C4333" s="51">
        <v>1.012</v>
      </c>
      <c r="D4333" s="51">
        <v>64.0</v>
      </c>
      <c r="E4333" s="52" t="s">
        <v>25</v>
      </c>
      <c r="F4333" s="52" t="s">
        <v>26</v>
      </c>
      <c r="G4333" s="54"/>
    </row>
    <row r="4334">
      <c r="A4334" s="49">
        <v>45066.30320415509</v>
      </c>
      <c r="B4334" s="50">
        <v>45066.4281787847</v>
      </c>
      <c r="C4334" s="51">
        <v>1.012</v>
      </c>
      <c r="D4334" s="51">
        <v>64.0</v>
      </c>
      <c r="E4334" s="52" t="s">
        <v>25</v>
      </c>
      <c r="F4334" s="52" t="s">
        <v>26</v>
      </c>
      <c r="G4334" s="54"/>
    </row>
    <row r="4335">
      <c r="A4335" s="49">
        <v>45066.31362944444</v>
      </c>
      <c r="B4335" s="50">
        <v>45066.4386009143</v>
      </c>
      <c r="C4335" s="51">
        <v>1.012</v>
      </c>
      <c r="D4335" s="51">
        <v>64.0</v>
      </c>
      <c r="E4335" s="52" t="s">
        <v>25</v>
      </c>
      <c r="F4335" s="52" t="s">
        <v>26</v>
      </c>
      <c r="G4335" s="54"/>
    </row>
    <row r="4336">
      <c r="A4336" s="49">
        <v>45066.32404354167</v>
      </c>
      <c r="B4336" s="50">
        <v>45066.4490220023</v>
      </c>
      <c r="C4336" s="51">
        <v>1.012</v>
      </c>
      <c r="D4336" s="51">
        <v>64.0</v>
      </c>
      <c r="E4336" s="52" t="s">
        <v>25</v>
      </c>
      <c r="F4336" s="52" t="s">
        <v>26</v>
      </c>
      <c r="G4336" s="54"/>
    </row>
    <row r="4337">
      <c r="A4337" s="49">
        <v>45066.33446993056</v>
      </c>
      <c r="B4337" s="50">
        <v>45066.4594432523</v>
      </c>
      <c r="C4337" s="51">
        <v>1.013</v>
      </c>
      <c r="D4337" s="51">
        <v>64.0</v>
      </c>
      <c r="E4337" s="52" t="s">
        <v>25</v>
      </c>
      <c r="F4337" s="52" t="s">
        <v>26</v>
      </c>
      <c r="G4337" s="54"/>
    </row>
    <row r="4338">
      <c r="A4338" s="49">
        <v>45066.3448881713</v>
      </c>
      <c r="B4338" s="50">
        <v>45066.4698645138</v>
      </c>
      <c r="C4338" s="51">
        <v>1.012</v>
      </c>
      <c r="D4338" s="51">
        <v>64.0</v>
      </c>
      <c r="E4338" s="52" t="s">
        <v>25</v>
      </c>
      <c r="F4338" s="52" t="s">
        <v>26</v>
      </c>
      <c r="G4338" s="54"/>
    </row>
    <row r="4339">
      <c r="A4339" s="49">
        <v>45066.355303530094</v>
      </c>
      <c r="B4339" s="50">
        <v>45066.4802874884</v>
      </c>
      <c r="C4339" s="51">
        <v>1.013</v>
      </c>
      <c r="D4339" s="51">
        <v>64.0</v>
      </c>
      <c r="E4339" s="52" t="s">
        <v>25</v>
      </c>
      <c r="F4339" s="52" t="s">
        <v>26</v>
      </c>
      <c r="G4339" s="54"/>
    </row>
    <row r="4340">
      <c r="A4340" s="49">
        <v>45066.365735416664</v>
      </c>
      <c r="B4340" s="50">
        <v>45066.490709618</v>
      </c>
      <c r="C4340" s="51">
        <v>1.013</v>
      </c>
      <c r="D4340" s="51">
        <v>64.0</v>
      </c>
      <c r="E4340" s="52" t="s">
        <v>25</v>
      </c>
      <c r="F4340" s="52" t="s">
        <v>26</v>
      </c>
      <c r="G4340" s="54"/>
    </row>
    <row r="4341">
      <c r="A4341" s="49">
        <v>45066.37616107639</v>
      </c>
      <c r="B4341" s="50">
        <v>45066.5011313194</v>
      </c>
      <c r="C4341" s="51">
        <v>1.012</v>
      </c>
      <c r="D4341" s="51">
        <v>64.0</v>
      </c>
      <c r="E4341" s="52" t="s">
        <v>25</v>
      </c>
      <c r="F4341" s="52" t="s">
        <v>26</v>
      </c>
      <c r="G4341" s="54"/>
    </row>
    <row r="4342">
      <c r="A4342" s="49">
        <v>45066.38658140047</v>
      </c>
      <c r="B4342" s="50">
        <v>45066.5115531481</v>
      </c>
      <c r="C4342" s="51">
        <v>1.012</v>
      </c>
      <c r="D4342" s="51">
        <v>64.0</v>
      </c>
      <c r="E4342" s="52" t="s">
        <v>25</v>
      </c>
      <c r="F4342" s="52" t="s">
        <v>26</v>
      </c>
      <c r="G4342" s="54"/>
    </row>
    <row r="4343">
      <c r="A4343" s="49">
        <v>45066.39700002315</v>
      </c>
      <c r="B4343" s="50">
        <v>45066.5219728125</v>
      </c>
      <c r="C4343" s="51">
        <v>1.012</v>
      </c>
      <c r="D4343" s="51">
        <v>64.0</v>
      </c>
      <c r="E4343" s="52" t="s">
        <v>25</v>
      </c>
      <c r="F4343" s="52" t="s">
        <v>26</v>
      </c>
      <c r="G4343" s="54"/>
    </row>
    <row r="4344">
      <c r="A4344" s="49">
        <v>45066.40742270833</v>
      </c>
      <c r="B4344" s="50">
        <v>45066.5323958101</v>
      </c>
      <c r="C4344" s="51">
        <v>1.013</v>
      </c>
      <c r="D4344" s="51">
        <v>64.0</v>
      </c>
      <c r="E4344" s="52" t="s">
        <v>25</v>
      </c>
      <c r="F4344" s="52" t="s">
        <v>26</v>
      </c>
      <c r="G4344" s="54"/>
    </row>
    <row r="4345">
      <c r="A4345" s="49">
        <v>45066.41784708333</v>
      </c>
      <c r="B4345" s="50">
        <v>45066.5428154861</v>
      </c>
      <c r="C4345" s="51">
        <v>1.012</v>
      </c>
      <c r="D4345" s="51">
        <v>64.0</v>
      </c>
      <c r="E4345" s="52" t="s">
        <v>25</v>
      </c>
      <c r="F4345" s="52" t="s">
        <v>26</v>
      </c>
      <c r="G4345" s="54"/>
    </row>
    <row r="4346">
      <c r="A4346" s="49">
        <v>45066.42826025463</v>
      </c>
      <c r="B4346" s="50">
        <v>45066.5532368865</v>
      </c>
      <c r="C4346" s="51">
        <v>1.012</v>
      </c>
      <c r="D4346" s="51">
        <v>64.0</v>
      </c>
      <c r="E4346" s="52" t="s">
        <v>25</v>
      </c>
      <c r="F4346" s="52" t="s">
        <v>26</v>
      </c>
      <c r="G4346" s="54"/>
    </row>
    <row r="4347">
      <c r="A4347" s="49">
        <v>45066.43868402777</v>
      </c>
      <c r="B4347" s="50">
        <v>45066.5636587731</v>
      </c>
      <c r="C4347" s="51">
        <v>1.013</v>
      </c>
      <c r="D4347" s="51">
        <v>64.0</v>
      </c>
      <c r="E4347" s="52" t="s">
        <v>25</v>
      </c>
      <c r="F4347" s="52" t="s">
        <v>26</v>
      </c>
      <c r="G4347" s="54"/>
    </row>
    <row r="4348">
      <c r="A4348" s="49">
        <v>45066.44910810185</v>
      </c>
      <c r="B4348" s="50">
        <v>45066.574080324</v>
      </c>
      <c r="C4348" s="51">
        <v>1.012</v>
      </c>
      <c r="D4348" s="51">
        <v>64.0</v>
      </c>
      <c r="E4348" s="52" t="s">
        <v>25</v>
      </c>
      <c r="F4348" s="52" t="s">
        <v>26</v>
      </c>
      <c r="G4348" s="54"/>
    </row>
    <row r="4349">
      <c r="A4349" s="49">
        <v>45066.45953262731</v>
      </c>
      <c r="B4349" s="50">
        <v>45066.5845025694</v>
      </c>
      <c r="C4349" s="51">
        <v>1.013</v>
      </c>
      <c r="D4349" s="51">
        <v>64.0</v>
      </c>
      <c r="E4349" s="52" t="s">
        <v>25</v>
      </c>
      <c r="F4349" s="52" t="s">
        <v>26</v>
      </c>
      <c r="G4349" s="54"/>
    </row>
    <row r="4350">
      <c r="A4350" s="49">
        <v>45066.469945335644</v>
      </c>
      <c r="B4350" s="50">
        <v>45066.5949240162</v>
      </c>
      <c r="C4350" s="51">
        <v>1.012</v>
      </c>
      <c r="D4350" s="51">
        <v>64.0</v>
      </c>
      <c r="E4350" s="52" t="s">
        <v>25</v>
      </c>
      <c r="F4350" s="52" t="s">
        <v>26</v>
      </c>
      <c r="G4350" s="54"/>
    </row>
    <row r="4351">
      <c r="A4351" s="49">
        <v>45066.480394178245</v>
      </c>
      <c r="B4351" s="50">
        <v>45066.6053690393</v>
      </c>
      <c r="C4351" s="51">
        <v>1.012</v>
      </c>
      <c r="D4351" s="51">
        <v>64.0</v>
      </c>
      <c r="E4351" s="52" t="s">
        <v>25</v>
      </c>
      <c r="F4351" s="52" t="s">
        <v>26</v>
      </c>
      <c r="G4351" s="54"/>
    </row>
    <row r="4352">
      <c r="A4352" s="49">
        <v>45066.49081103009</v>
      </c>
      <c r="B4352" s="50">
        <v>45066.6157905324</v>
      </c>
      <c r="C4352" s="51">
        <v>1.012</v>
      </c>
      <c r="D4352" s="51">
        <v>64.0</v>
      </c>
      <c r="E4352" s="52" t="s">
        <v>25</v>
      </c>
      <c r="F4352" s="52" t="s">
        <v>26</v>
      </c>
      <c r="G4352" s="54"/>
    </row>
    <row r="4353">
      <c r="A4353" s="49">
        <v>45066.50123488426</v>
      </c>
      <c r="B4353" s="50">
        <v>45066.6262126041</v>
      </c>
      <c r="C4353" s="51">
        <v>1.012</v>
      </c>
      <c r="D4353" s="51">
        <v>64.0</v>
      </c>
      <c r="E4353" s="52" t="s">
        <v>25</v>
      </c>
      <c r="F4353" s="52" t="s">
        <v>26</v>
      </c>
      <c r="G4353" s="54"/>
    </row>
    <row r="4354">
      <c r="A4354" s="49">
        <v>45066.5116562037</v>
      </c>
      <c r="B4354" s="50">
        <v>45066.6366321527</v>
      </c>
      <c r="C4354" s="51">
        <v>1.012</v>
      </c>
      <c r="D4354" s="51">
        <v>64.0</v>
      </c>
      <c r="E4354" s="52" t="s">
        <v>25</v>
      </c>
      <c r="F4354" s="52" t="s">
        <v>26</v>
      </c>
      <c r="G4354" s="54"/>
    </row>
    <row r="4355">
      <c r="A4355" s="49">
        <v>45066.5220754051</v>
      </c>
      <c r="B4355" s="50">
        <v>45066.647050405</v>
      </c>
      <c r="C4355" s="51">
        <v>1.012</v>
      </c>
      <c r="D4355" s="51">
        <v>64.0</v>
      </c>
      <c r="E4355" s="52" t="s">
        <v>25</v>
      </c>
      <c r="F4355" s="52" t="s">
        <v>26</v>
      </c>
      <c r="G4355" s="54"/>
    </row>
    <row r="4356">
      <c r="A4356" s="49">
        <v>45066.53249637732</v>
      </c>
      <c r="B4356" s="50">
        <v>45066.6574726388</v>
      </c>
      <c r="C4356" s="51">
        <v>1.012</v>
      </c>
      <c r="D4356" s="51">
        <v>64.0</v>
      </c>
      <c r="E4356" s="52" t="s">
        <v>25</v>
      </c>
      <c r="F4356" s="52" t="s">
        <v>26</v>
      </c>
      <c r="G4356" s="54"/>
    </row>
    <row r="4357">
      <c r="A4357" s="49">
        <v>45066.542913032405</v>
      </c>
      <c r="B4357" s="50">
        <v>45066.6678952083</v>
      </c>
      <c r="C4357" s="51">
        <v>1.012</v>
      </c>
      <c r="D4357" s="51">
        <v>64.0</v>
      </c>
      <c r="E4357" s="52" t="s">
        <v>25</v>
      </c>
      <c r="F4357" s="52" t="s">
        <v>26</v>
      </c>
      <c r="G4357" s="54"/>
    </row>
    <row r="4358">
      <c r="A4358" s="49">
        <v>45066.5533443287</v>
      </c>
      <c r="B4358" s="50">
        <v>45066.6783159953</v>
      </c>
      <c r="C4358" s="51">
        <v>1.013</v>
      </c>
      <c r="D4358" s="51">
        <v>64.0</v>
      </c>
      <c r="E4358" s="52" t="s">
        <v>25</v>
      </c>
      <c r="F4358" s="52" t="s">
        <v>26</v>
      </c>
      <c r="G4358" s="54"/>
    </row>
    <row r="4359">
      <c r="A4359" s="49">
        <v>45066.56376336806</v>
      </c>
      <c r="B4359" s="50">
        <v>45066.6887357523</v>
      </c>
      <c r="C4359" s="51">
        <v>1.012</v>
      </c>
      <c r="D4359" s="51">
        <v>64.0</v>
      </c>
      <c r="E4359" s="52" t="s">
        <v>25</v>
      </c>
      <c r="F4359" s="52" t="s">
        <v>26</v>
      </c>
      <c r="G4359" s="54"/>
    </row>
    <row r="4360">
      <c r="A4360" s="49">
        <v>45066.5741755787</v>
      </c>
      <c r="B4360" s="50">
        <v>45066.6991552314</v>
      </c>
      <c r="C4360" s="51">
        <v>1.012</v>
      </c>
      <c r="D4360" s="51">
        <v>64.0</v>
      </c>
      <c r="E4360" s="52" t="s">
        <v>25</v>
      </c>
      <c r="F4360" s="52" t="s">
        <v>26</v>
      </c>
      <c r="G4360" s="54"/>
    </row>
    <row r="4361">
      <c r="A4361" s="49">
        <v>45066.58460390047</v>
      </c>
      <c r="B4361" s="50">
        <v>45066.7095757523</v>
      </c>
      <c r="C4361" s="51">
        <v>1.013</v>
      </c>
      <c r="D4361" s="51">
        <v>64.0</v>
      </c>
      <c r="E4361" s="52" t="s">
        <v>25</v>
      </c>
      <c r="F4361" s="52" t="s">
        <v>26</v>
      </c>
      <c r="G4361" s="54"/>
    </row>
    <row r="4362">
      <c r="A4362" s="49">
        <v>45066.59502533565</v>
      </c>
      <c r="B4362" s="50">
        <v>45066.7199980092</v>
      </c>
      <c r="C4362" s="51">
        <v>1.012</v>
      </c>
      <c r="D4362" s="51">
        <v>64.0</v>
      </c>
      <c r="E4362" s="52" t="s">
        <v>25</v>
      </c>
      <c r="F4362" s="52" t="s">
        <v>26</v>
      </c>
      <c r="G4362" s="54"/>
    </row>
    <row r="4363">
      <c r="A4363" s="49">
        <v>45066.605445671295</v>
      </c>
      <c r="B4363" s="50">
        <v>45066.7304195717</v>
      </c>
      <c r="C4363" s="51">
        <v>1.013</v>
      </c>
      <c r="D4363" s="51">
        <v>64.0</v>
      </c>
      <c r="E4363" s="52" t="s">
        <v>25</v>
      </c>
      <c r="F4363" s="52" t="s">
        <v>26</v>
      </c>
      <c r="G4363" s="54"/>
    </row>
    <row r="4364">
      <c r="A4364" s="49">
        <v>45066.615867245375</v>
      </c>
      <c r="B4364" s="50">
        <v>45066.7408402546</v>
      </c>
      <c r="C4364" s="51">
        <v>1.012</v>
      </c>
      <c r="D4364" s="51">
        <v>64.0</v>
      </c>
      <c r="E4364" s="52" t="s">
        <v>25</v>
      </c>
      <c r="F4364" s="52" t="s">
        <v>26</v>
      </c>
      <c r="G4364" s="54"/>
    </row>
    <row r="4365">
      <c r="A4365" s="49">
        <v>45066.626294490736</v>
      </c>
      <c r="B4365" s="50">
        <v>45066.751260949</v>
      </c>
      <c r="C4365" s="51">
        <v>1.012</v>
      </c>
      <c r="D4365" s="51">
        <v>64.0</v>
      </c>
      <c r="E4365" s="52" t="s">
        <v>25</v>
      </c>
      <c r="F4365" s="52" t="s">
        <v>26</v>
      </c>
      <c r="G4365" s="54"/>
    </row>
    <row r="4366">
      <c r="A4366" s="49">
        <v>45066.63670635417</v>
      </c>
      <c r="B4366" s="50">
        <v>45066.7616829282</v>
      </c>
      <c r="C4366" s="51">
        <v>1.012</v>
      </c>
      <c r="D4366" s="51">
        <v>64.0</v>
      </c>
      <c r="E4366" s="52" t="s">
        <v>25</v>
      </c>
      <c r="F4366" s="52" t="s">
        <v>26</v>
      </c>
      <c r="G4366" s="54"/>
    </row>
    <row r="4367">
      <c r="A4367" s="49">
        <v>45066.64714822917</v>
      </c>
      <c r="B4367" s="50">
        <v>45066.772102662</v>
      </c>
      <c r="C4367" s="51">
        <v>1.012</v>
      </c>
      <c r="D4367" s="51">
        <v>64.0</v>
      </c>
      <c r="E4367" s="52" t="s">
        <v>25</v>
      </c>
      <c r="F4367" s="52" t="s">
        <v>26</v>
      </c>
      <c r="G4367" s="54"/>
    </row>
    <row r="4368">
      <c r="A4368" s="49">
        <v>45066.657551145836</v>
      </c>
      <c r="B4368" s="50">
        <v>45066.782524155</v>
      </c>
      <c r="C4368" s="51">
        <v>1.012</v>
      </c>
      <c r="D4368" s="51">
        <v>64.0</v>
      </c>
      <c r="E4368" s="52" t="s">
        <v>25</v>
      </c>
      <c r="F4368" s="52" t="s">
        <v>26</v>
      </c>
      <c r="G4368" s="54"/>
    </row>
    <row r="4369">
      <c r="A4369" s="49">
        <v>45066.66797421296</v>
      </c>
      <c r="B4369" s="50">
        <v>45066.79294603</v>
      </c>
      <c r="C4369" s="51">
        <v>1.012</v>
      </c>
      <c r="D4369" s="51">
        <v>64.0</v>
      </c>
      <c r="E4369" s="52" t="s">
        <v>25</v>
      </c>
      <c r="F4369" s="52" t="s">
        <v>26</v>
      </c>
      <c r="G4369" s="54"/>
    </row>
    <row r="4370">
      <c r="A4370" s="49">
        <v>45066.67840716435</v>
      </c>
      <c r="B4370" s="50">
        <v>45066.8033784838</v>
      </c>
      <c r="C4370" s="51">
        <v>1.012</v>
      </c>
      <c r="D4370" s="51">
        <v>64.0</v>
      </c>
      <c r="E4370" s="52" t="s">
        <v>25</v>
      </c>
      <c r="F4370" s="52" t="s">
        <v>26</v>
      </c>
      <c r="G4370" s="54"/>
    </row>
    <row r="4371">
      <c r="A4371" s="49">
        <v>45066.688838125</v>
      </c>
      <c r="B4371" s="50">
        <v>45066.8138107523</v>
      </c>
      <c r="C4371" s="51">
        <v>1.012</v>
      </c>
      <c r="D4371" s="51">
        <v>64.0</v>
      </c>
      <c r="E4371" s="52" t="s">
        <v>25</v>
      </c>
      <c r="F4371" s="52" t="s">
        <v>26</v>
      </c>
      <c r="G4371" s="54"/>
    </row>
    <row r="4372">
      <c r="A4372" s="49">
        <v>45066.69926064815</v>
      </c>
      <c r="B4372" s="50">
        <v>45066.8242316319</v>
      </c>
      <c r="C4372" s="51">
        <v>1.012</v>
      </c>
      <c r="D4372" s="51">
        <v>64.0</v>
      </c>
      <c r="E4372" s="52" t="s">
        <v>25</v>
      </c>
      <c r="F4372" s="52" t="s">
        <v>26</v>
      </c>
      <c r="G4372" s="54"/>
    </row>
    <row r="4373">
      <c r="A4373" s="49">
        <v>45066.70967658565</v>
      </c>
      <c r="B4373" s="50">
        <v>45066.8346528356</v>
      </c>
      <c r="C4373" s="51">
        <v>1.012</v>
      </c>
      <c r="D4373" s="51">
        <v>64.0</v>
      </c>
      <c r="E4373" s="52" t="s">
        <v>25</v>
      </c>
      <c r="F4373" s="52" t="s">
        <v>26</v>
      </c>
      <c r="G4373" s="54"/>
    </row>
    <row r="4374">
      <c r="A4374" s="49">
        <v>45066.72009751157</v>
      </c>
      <c r="B4374" s="50">
        <v>45066.8450727199</v>
      </c>
      <c r="C4374" s="51">
        <v>1.012</v>
      </c>
      <c r="D4374" s="51">
        <v>64.0</v>
      </c>
      <c r="E4374" s="52" t="s">
        <v>25</v>
      </c>
      <c r="F4374" s="52" t="s">
        <v>26</v>
      </c>
      <c r="G4374" s="54"/>
    </row>
    <row r="4375">
      <c r="A4375" s="49">
        <v>45066.73053165509</v>
      </c>
      <c r="B4375" s="50">
        <v>45066.8555056481</v>
      </c>
      <c r="C4375" s="51">
        <v>1.012</v>
      </c>
      <c r="D4375" s="51">
        <v>64.0</v>
      </c>
      <c r="E4375" s="52" t="s">
        <v>25</v>
      </c>
      <c r="F4375" s="52" t="s">
        <v>26</v>
      </c>
      <c r="G4375" s="54"/>
    </row>
    <row r="4376">
      <c r="A4376" s="49">
        <v>45066.74096412037</v>
      </c>
      <c r="B4376" s="50">
        <v>45066.8659375925</v>
      </c>
      <c r="C4376" s="51">
        <v>1.012</v>
      </c>
      <c r="D4376" s="51">
        <v>64.0</v>
      </c>
      <c r="E4376" s="52" t="s">
        <v>25</v>
      </c>
      <c r="F4376" s="52" t="s">
        <v>26</v>
      </c>
      <c r="G4376" s="54"/>
    </row>
    <row r="4377">
      <c r="A4377" s="49">
        <v>45066.75138070602</v>
      </c>
      <c r="B4377" s="50">
        <v>45066.8763580092</v>
      </c>
      <c r="C4377" s="51">
        <v>1.013</v>
      </c>
      <c r="D4377" s="51">
        <v>64.0</v>
      </c>
      <c r="E4377" s="52" t="s">
        <v>25</v>
      </c>
      <c r="F4377" s="52" t="s">
        <v>26</v>
      </c>
      <c r="G4377" s="54"/>
    </row>
    <row r="4378">
      <c r="A4378" s="49">
        <v>45066.761805069444</v>
      </c>
      <c r="B4378" s="50">
        <v>45066.8867796643</v>
      </c>
      <c r="C4378" s="51">
        <v>1.012</v>
      </c>
      <c r="D4378" s="51">
        <v>64.0</v>
      </c>
      <c r="E4378" s="52" t="s">
        <v>25</v>
      </c>
      <c r="F4378" s="52" t="s">
        <v>26</v>
      </c>
      <c r="G4378" s="54"/>
    </row>
    <row r="4379">
      <c r="A4379" s="49">
        <v>45066.77223815973</v>
      </c>
      <c r="B4379" s="50">
        <v>45066.8972109259</v>
      </c>
      <c r="C4379" s="51">
        <v>1.012</v>
      </c>
      <c r="D4379" s="51">
        <v>64.0</v>
      </c>
      <c r="E4379" s="52" t="s">
        <v>25</v>
      </c>
      <c r="F4379" s="52" t="s">
        <v>26</v>
      </c>
      <c r="G4379" s="54"/>
    </row>
    <row r="4380">
      <c r="A4380" s="49">
        <v>45066.7826600463</v>
      </c>
      <c r="B4380" s="50">
        <v>45066.9076310648</v>
      </c>
      <c r="C4380" s="51">
        <v>1.012</v>
      </c>
      <c r="D4380" s="51">
        <v>64.0</v>
      </c>
      <c r="E4380" s="52" t="s">
        <v>25</v>
      </c>
      <c r="F4380" s="52" t="s">
        <v>26</v>
      </c>
      <c r="G4380" s="54"/>
    </row>
    <row r="4381">
      <c r="A4381" s="49">
        <v>45066.79307458333</v>
      </c>
      <c r="B4381" s="50">
        <v>45066.9180523726</v>
      </c>
      <c r="C4381" s="51">
        <v>1.012</v>
      </c>
      <c r="D4381" s="51">
        <v>64.0</v>
      </c>
      <c r="E4381" s="52" t="s">
        <v>25</v>
      </c>
      <c r="F4381" s="52" t="s">
        <v>26</v>
      </c>
      <c r="G4381" s="54"/>
    </row>
    <row r="4382">
      <c r="A4382" s="49">
        <v>45066.80349559028</v>
      </c>
      <c r="B4382" s="50">
        <v>45066.9284752777</v>
      </c>
      <c r="C4382" s="51">
        <v>1.012</v>
      </c>
      <c r="D4382" s="51">
        <v>64.0</v>
      </c>
      <c r="E4382" s="52" t="s">
        <v>25</v>
      </c>
      <c r="F4382" s="52" t="s">
        <v>26</v>
      </c>
      <c r="G4382" s="54"/>
    </row>
    <row r="4383">
      <c r="A4383" s="49">
        <v>45066.81392677083</v>
      </c>
      <c r="B4383" s="50">
        <v>45066.938897037</v>
      </c>
      <c r="C4383" s="51">
        <v>1.012</v>
      </c>
      <c r="D4383" s="51">
        <v>65.0</v>
      </c>
      <c r="E4383" s="52" t="s">
        <v>25</v>
      </c>
      <c r="F4383" s="52" t="s">
        <v>26</v>
      </c>
      <c r="G4383" s="54"/>
    </row>
    <row r="4384">
      <c r="A4384" s="49">
        <v>45066.82438358796</v>
      </c>
      <c r="B4384" s="50">
        <v>45066.9493545717</v>
      </c>
      <c r="C4384" s="51">
        <v>1.012</v>
      </c>
      <c r="D4384" s="51">
        <v>64.0</v>
      </c>
      <c r="E4384" s="52" t="s">
        <v>25</v>
      </c>
      <c r="F4384" s="52" t="s">
        <v>26</v>
      </c>
      <c r="G4384" s="54"/>
    </row>
    <row r="4385">
      <c r="A4385" s="49">
        <v>45066.834815775466</v>
      </c>
      <c r="B4385" s="50">
        <v>45066.959788368</v>
      </c>
      <c r="C4385" s="51">
        <v>1.012</v>
      </c>
      <c r="D4385" s="51">
        <v>65.0</v>
      </c>
      <c r="E4385" s="52" t="s">
        <v>25</v>
      </c>
      <c r="F4385" s="52" t="s">
        <v>26</v>
      </c>
      <c r="G4385" s="54"/>
    </row>
    <row r="4386">
      <c r="A4386" s="49">
        <v>45066.84523024305</v>
      </c>
      <c r="B4386" s="50">
        <v>45066.9702093865</v>
      </c>
      <c r="C4386" s="51">
        <v>1.012</v>
      </c>
      <c r="D4386" s="51">
        <v>64.0</v>
      </c>
      <c r="E4386" s="52" t="s">
        <v>25</v>
      </c>
      <c r="F4386" s="52" t="s">
        <v>26</v>
      </c>
      <c r="G4386" s="54"/>
    </row>
    <row r="4387">
      <c r="A4387" s="49">
        <v>45066.85566126158</v>
      </c>
      <c r="B4387" s="50">
        <v>45066.9806416203</v>
      </c>
      <c r="C4387" s="51">
        <v>1.012</v>
      </c>
      <c r="D4387" s="51">
        <v>64.0</v>
      </c>
      <c r="E4387" s="52" t="s">
        <v>25</v>
      </c>
      <c r="F4387" s="52" t="s">
        <v>26</v>
      </c>
      <c r="G4387" s="54"/>
    </row>
    <row r="4388">
      <c r="A4388" s="49">
        <v>45066.86610252315</v>
      </c>
      <c r="B4388" s="50">
        <v>45066.9910749768</v>
      </c>
      <c r="C4388" s="51">
        <v>1.012</v>
      </c>
      <c r="D4388" s="51">
        <v>65.0</v>
      </c>
      <c r="E4388" s="52" t="s">
        <v>25</v>
      </c>
      <c r="F4388" s="52" t="s">
        <v>26</v>
      </c>
      <c r="G4388" s="54"/>
    </row>
    <row r="4389">
      <c r="A4389" s="49">
        <v>45066.876534317125</v>
      </c>
      <c r="B4389" s="50">
        <v>45067.001506493</v>
      </c>
      <c r="C4389" s="51">
        <v>1.012</v>
      </c>
      <c r="D4389" s="51">
        <v>65.0</v>
      </c>
      <c r="E4389" s="52" t="s">
        <v>25</v>
      </c>
      <c r="F4389" s="52" t="s">
        <v>26</v>
      </c>
      <c r="G4389" s="54"/>
    </row>
    <row r="4390">
      <c r="A4390" s="49">
        <v>45066.88695260417</v>
      </c>
      <c r="B4390" s="50">
        <v>45067.0119250231</v>
      </c>
      <c r="C4390" s="51">
        <v>1.012</v>
      </c>
      <c r="D4390" s="51">
        <v>65.0</v>
      </c>
      <c r="E4390" s="52" t="s">
        <v>25</v>
      </c>
      <c r="F4390" s="52" t="s">
        <v>26</v>
      </c>
      <c r="G4390" s="54"/>
    </row>
    <row r="4391">
      <c r="A4391" s="49">
        <v>45066.897375381945</v>
      </c>
      <c r="B4391" s="50">
        <v>45067.0223453472</v>
      </c>
      <c r="C4391" s="51">
        <v>1.012</v>
      </c>
      <c r="D4391" s="51">
        <v>65.0</v>
      </c>
      <c r="E4391" s="52" t="s">
        <v>25</v>
      </c>
      <c r="F4391" s="52" t="s">
        <v>26</v>
      </c>
      <c r="G4391" s="54"/>
    </row>
    <row r="4392">
      <c r="A4392" s="49">
        <v>45066.90779621528</v>
      </c>
      <c r="B4392" s="50">
        <v>45067.0327671643</v>
      </c>
      <c r="C4392" s="51">
        <v>1.012</v>
      </c>
      <c r="D4392" s="51">
        <v>65.0</v>
      </c>
      <c r="E4392" s="52" t="s">
        <v>25</v>
      </c>
      <c r="F4392" s="52" t="s">
        <v>26</v>
      </c>
      <c r="G4392" s="54"/>
    </row>
    <row r="4393">
      <c r="A4393" s="49">
        <v>45066.91820803241</v>
      </c>
      <c r="B4393" s="50">
        <v>45067.0431875</v>
      </c>
      <c r="C4393" s="51">
        <v>1.012</v>
      </c>
      <c r="D4393" s="51">
        <v>65.0</v>
      </c>
      <c r="E4393" s="52" t="s">
        <v>25</v>
      </c>
      <c r="F4393" s="52" t="s">
        <v>26</v>
      </c>
      <c r="G4393" s="54"/>
    </row>
    <row r="4394">
      <c r="A4394" s="49">
        <v>45066.92863483797</v>
      </c>
      <c r="B4394" s="50">
        <v>45067.0536085763</v>
      </c>
      <c r="C4394" s="51">
        <v>1.012</v>
      </c>
      <c r="D4394" s="51">
        <v>65.0</v>
      </c>
      <c r="E4394" s="52" t="s">
        <v>25</v>
      </c>
      <c r="F4394" s="52" t="s">
        <v>26</v>
      </c>
      <c r="G4394" s="54"/>
    </row>
    <row r="4395">
      <c r="A4395" s="49">
        <v>45066.93905537037</v>
      </c>
      <c r="B4395" s="50">
        <v>45067.0640306944</v>
      </c>
      <c r="C4395" s="51">
        <v>1.012</v>
      </c>
      <c r="D4395" s="51">
        <v>65.0</v>
      </c>
      <c r="E4395" s="52" t="s">
        <v>25</v>
      </c>
      <c r="F4395" s="52" t="s">
        <v>26</v>
      </c>
      <c r="G4395" s="54"/>
    </row>
    <row r="4396">
      <c r="A4396" s="49">
        <v>45066.949478344904</v>
      </c>
      <c r="B4396" s="50">
        <v>45067.0744506018</v>
      </c>
      <c r="C4396" s="51">
        <v>1.012</v>
      </c>
      <c r="D4396" s="51">
        <v>65.0</v>
      </c>
      <c r="E4396" s="52" t="s">
        <v>25</v>
      </c>
      <c r="F4396" s="52" t="s">
        <v>26</v>
      </c>
      <c r="G4396" s="54"/>
    </row>
    <row r="4397">
      <c r="A4397" s="49">
        <v>45066.95990516203</v>
      </c>
      <c r="B4397" s="50">
        <v>45067.084882905</v>
      </c>
      <c r="C4397" s="51">
        <v>1.012</v>
      </c>
      <c r="D4397" s="51">
        <v>65.0</v>
      </c>
      <c r="E4397" s="52" t="s">
        <v>25</v>
      </c>
      <c r="F4397" s="52" t="s">
        <v>26</v>
      </c>
      <c r="G4397" s="54"/>
    </row>
    <row r="4398">
      <c r="A4398" s="49">
        <v>45066.97032986111</v>
      </c>
      <c r="B4398" s="50">
        <v>45067.0953039004</v>
      </c>
      <c r="C4398" s="51">
        <v>1.012</v>
      </c>
      <c r="D4398" s="51">
        <v>65.0</v>
      </c>
      <c r="E4398" s="52" t="s">
        <v>25</v>
      </c>
      <c r="F4398" s="52" t="s">
        <v>26</v>
      </c>
      <c r="G4398" s="54"/>
    </row>
    <row r="4399">
      <c r="A4399" s="49">
        <v>45066.98076576389</v>
      </c>
      <c r="B4399" s="50">
        <v>45067.105747581</v>
      </c>
      <c r="C4399" s="51">
        <v>1.012</v>
      </c>
      <c r="D4399" s="51">
        <v>65.0</v>
      </c>
      <c r="E4399" s="52" t="s">
        <v>25</v>
      </c>
      <c r="F4399" s="52" t="s">
        <v>26</v>
      </c>
      <c r="G4399" s="54"/>
    </row>
    <row r="4400">
      <c r="A4400" s="49">
        <v>45066.99118704861</v>
      </c>
      <c r="B4400" s="50">
        <v>45067.1161684953</v>
      </c>
      <c r="C4400" s="51">
        <v>1.012</v>
      </c>
      <c r="D4400" s="51">
        <v>65.0</v>
      </c>
      <c r="E4400" s="52" t="s">
        <v>25</v>
      </c>
      <c r="F4400" s="52" t="s">
        <v>26</v>
      </c>
      <c r="G4400" s="54"/>
    </row>
    <row r="4401">
      <c r="A4401" s="49">
        <v>45067.001608437495</v>
      </c>
      <c r="B4401" s="50">
        <v>45067.1265886226</v>
      </c>
      <c r="C4401" s="51">
        <v>1.012</v>
      </c>
      <c r="D4401" s="51">
        <v>64.0</v>
      </c>
      <c r="E4401" s="52" t="s">
        <v>25</v>
      </c>
      <c r="F4401" s="52" t="s">
        <v>26</v>
      </c>
      <c r="G4401" s="54"/>
    </row>
    <row r="4402">
      <c r="A4402" s="49">
        <v>45067.0120284838</v>
      </c>
      <c r="B4402" s="50">
        <v>45067.1370099537</v>
      </c>
      <c r="C4402" s="51">
        <v>1.012</v>
      </c>
      <c r="D4402" s="51">
        <v>65.0</v>
      </c>
      <c r="E4402" s="52" t="s">
        <v>25</v>
      </c>
      <c r="F4402" s="52" t="s">
        <v>26</v>
      </c>
      <c r="G4402" s="54"/>
    </row>
    <row r="4403">
      <c r="A4403" s="49">
        <v>45067.02244851852</v>
      </c>
      <c r="B4403" s="50">
        <v>45067.1474314351</v>
      </c>
      <c r="C4403" s="51">
        <v>1.012</v>
      </c>
      <c r="D4403" s="51">
        <v>65.0</v>
      </c>
      <c r="E4403" s="52" t="s">
        <v>25</v>
      </c>
      <c r="F4403" s="52" t="s">
        <v>26</v>
      </c>
      <c r="G4403" s="54"/>
    </row>
    <row r="4404">
      <c r="A4404" s="49">
        <v>45067.03287277778</v>
      </c>
      <c r="B4404" s="50">
        <v>45067.1578525231</v>
      </c>
      <c r="C4404" s="51">
        <v>1.012</v>
      </c>
      <c r="D4404" s="51">
        <v>65.0</v>
      </c>
      <c r="E4404" s="52" t="s">
        <v>25</v>
      </c>
      <c r="F4404" s="52" t="s">
        <v>26</v>
      </c>
      <c r="G4404" s="54"/>
    </row>
    <row r="4405">
      <c r="A4405" s="49">
        <v>45067.04329398148</v>
      </c>
      <c r="B4405" s="50">
        <v>45067.1682752777</v>
      </c>
      <c r="C4405" s="51">
        <v>1.012</v>
      </c>
      <c r="D4405" s="51">
        <v>65.0</v>
      </c>
      <c r="E4405" s="52" t="s">
        <v>25</v>
      </c>
      <c r="F4405" s="52" t="s">
        <v>26</v>
      </c>
      <c r="G4405" s="54"/>
    </row>
    <row r="4406">
      <c r="A4406" s="49">
        <v>45067.0537181713</v>
      </c>
      <c r="B4406" s="50">
        <v>45067.1786957986</v>
      </c>
      <c r="C4406" s="51">
        <v>1.012</v>
      </c>
      <c r="D4406" s="51">
        <v>65.0</v>
      </c>
      <c r="E4406" s="52" t="s">
        <v>25</v>
      </c>
      <c r="F4406" s="52" t="s">
        <v>26</v>
      </c>
      <c r="G4406" s="54"/>
    </row>
    <row r="4407">
      <c r="A4407" s="49">
        <v>45067.06415780092</v>
      </c>
      <c r="B4407" s="50">
        <v>45067.1891293055</v>
      </c>
      <c r="C4407" s="51">
        <v>1.012</v>
      </c>
      <c r="D4407" s="51">
        <v>65.0</v>
      </c>
      <c r="E4407" s="52" t="s">
        <v>25</v>
      </c>
      <c r="F4407" s="52" t="s">
        <v>26</v>
      </c>
      <c r="G4407" s="54"/>
    </row>
    <row r="4408">
      <c r="A4408" s="49">
        <v>45067.0745819213</v>
      </c>
      <c r="B4408" s="50">
        <v>45067.1995605671</v>
      </c>
      <c r="C4408" s="51">
        <v>1.012</v>
      </c>
      <c r="D4408" s="51">
        <v>65.0</v>
      </c>
      <c r="E4408" s="52" t="s">
        <v>25</v>
      </c>
      <c r="F4408" s="52" t="s">
        <v>26</v>
      </c>
      <c r="G4408" s="54"/>
    </row>
    <row r="4409">
      <c r="A4409" s="49">
        <v>45067.08500723379</v>
      </c>
      <c r="B4409" s="50">
        <v>45067.2099804398</v>
      </c>
      <c r="C4409" s="51">
        <v>1.012</v>
      </c>
      <c r="D4409" s="51">
        <v>65.0</v>
      </c>
      <c r="E4409" s="52" t="s">
        <v>25</v>
      </c>
      <c r="F4409" s="52" t="s">
        <v>26</v>
      </c>
      <c r="G4409" s="54"/>
    </row>
    <row r="4410">
      <c r="A4410" s="49">
        <v>45067.09543236111</v>
      </c>
      <c r="B4410" s="50">
        <v>45067.2204008333</v>
      </c>
      <c r="C4410" s="51">
        <v>1.012</v>
      </c>
      <c r="D4410" s="51">
        <v>65.0</v>
      </c>
      <c r="E4410" s="52" t="s">
        <v>25</v>
      </c>
      <c r="F4410" s="52" t="s">
        <v>26</v>
      </c>
      <c r="G4410" s="54"/>
    </row>
    <row r="4411">
      <c r="A4411" s="49">
        <v>45067.10586505787</v>
      </c>
      <c r="B4411" s="50">
        <v>45067.2308341666</v>
      </c>
      <c r="C4411" s="51">
        <v>1.012</v>
      </c>
      <c r="D4411" s="51">
        <v>65.0</v>
      </c>
      <c r="E4411" s="52" t="s">
        <v>25</v>
      </c>
      <c r="F4411" s="52" t="s">
        <v>26</v>
      </c>
      <c r="G4411" s="54"/>
    </row>
    <row r="4412">
      <c r="A4412" s="49">
        <v>45067.116286585646</v>
      </c>
      <c r="B4412" s="50">
        <v>45067.2412546296</v>
      </c>
      <c r="C4412" s="51">
        <v>1.012</v>
      </c>
      <c r="D4412" s="51">
        <v>65.0</v>
      </c>
      <c r="E4412" s="52" t="s">
        <v>25</v>
      </c>
      <c r="F4412" s="52" t="s">
        <v>26</v>
      </c>
      <c r="G4412" s="54"/>
    </row>
    <row r="4413">
      <c r="A4413" s="49">
        <v>45067.12670356482</v>
      </c>
      <c r="B4413" s="50">
        <v>45067.2516757291</v>
      </c>
      <c r="C4413" s="51">
        <v>1.012</v>
      </c>
      <c r="D4413" s="51">
        <v>65.0</v>
      </c>
      <c r="E4413" s="52" t="s">
        <v>25</v>
      </c>
      <c r="F4413" s="52" t="s">
        <v>26</v>
      </c>
      <c r="G4413" s="54"/>
    </row>
    <row r="4414">
      <c r="A4414" s="49">
        <v>45067.13712554398</v>
      </c>
      <c r="B4414" s="50">
        <v>45067.2620978472</v>
      </c>
      <c r="C4414" s="51">
        <v>1.012</v>
      </c>
      <c r="D4414" s="51">
        <v>65.0</v>
      </c>
      <c r="E4414" s="52" t="s">
        <v>25</v>
      </c>
      <c r="F4414" s="52" t="s">
        <v>26</v>
      </c>
      <c r="G4414" s="54"/>
    </row>
    <row r="4415">
      <c r="A4415" s="49">
        <v>45067.14754385417</v>
      </c>
      <c r="B4415" s="50">
        <v>45067.2725202199</v>
      </c>
      <c r="C4415" s="51">
        <v>1.012</v>
      </c>
      <c r="D4415" s="51">
        <v>65.0</v>
      </c>
      <c r="E4415" s="52" t="s">
        <v>25</v>
      </c>
      <c r="F4415" s="52" t="s">
        <v>26</v>
      </c>
      <c r="G4415" s="54"/>
    </row>
    <row r="4416">
      <c r="A4416" s="49">
        <v>45067.157968125</v>
      </c>
      <c r="B4416" s="50">
        <v>45067.282940868</v>
      </c>
      <c r="C4416" s="51">
        <v>1.012</v>
      </c>
      <c r="D4416" s="51">
        <v>65.0</v>
      </c>
      <c r="E4416" s="52" t="s">
        <v>25</v>
      </c>
      <c r="F4416" s="52" t="s">
        <v>26</v>
      </c>
      <c r="G4416" s="54"/>
    </row>
    <row r="4417">
      <c r="A4417" s="49">
        <v>45067.16838952547</v>
      </c>
      <c r="B4417" s="50">
        <v>45067.2933629513</v>
      </c>
      <c r="C4417" s="51">
        <v>1.012</v>
      </c>
      <c r="D4417" s="51">
        <v>65.0</v>
      </c>
      <c r="E4417" s="52" t="s">
        <v>25</v>
      </c>
      <c r="F4417" s="52" t="s">
        <v>26</v>
      </c>
      <c r="G4417" s="54"/>
    </row>
    <row r="4418">
      <c r="A4418" s="49">
        <v>45067.178809907404</v>
      </c>
      <c r="B4418" s="50">
        <v>45067.3037860416</v>
      </c>
      <c r="C4418" s="51">
        <v>1.012</v>
      </c>
      <c r="D4418" s="51">
        <v>65.0</v>
      </c>
      <c r="E4418" s="52" t="s">
        <v>25</v>
      </c>
      <c r="F4418" s="52" t="s">
        <v>26</v>
      </c>
      <c r="G4418" s="54"/>
    </row>
    <row r="4419">
      <c r="A4419" s="49">
        <v>45067.189239942134</v>
      </c>
      <c r="B4419" s="50">
        <v>45067.3142154166</v>
      </c>
      <c r="C4419" s="51">
        <v>1.012</v>
      </c>
      <c r="D4419" s="51">
        <v>65.0</v>
      </c>
      <c r="E4419" s="52" t="s">
        <v>25</v>
      </c>
      <c r="F4419" s="52" t="s">
        <v>26</v>
      </c>
      <c r="G4419" s="54"/>
    </row>
    <row r="4420">
      <c r="A4420" s="49">
        <v>45067.19968315972</v>
      </c>
      <c r="B4420" s="50">
        <v>45067.3246594213</v>
      </c>
      <c r="C4420" s="51">
        <v>1.012</v>
      </c>
      <c r="D4420" s="51">
        <v>65.0</v>
      </c>
      <c r="E4420" s="52" t="s">
        <v>25</v>
      </c>
      <c r="F4420" s="52" t="s">
        <v>26</v>
      </c>
      <c r="G4420" s="54"/>
    </row>
    <row r="4421">
      <c r="A4421" s="49">
        <v>45067.210100509255</v>
      </c>
      <c r="B4421" s="50">
        <v>45067.3350805671</v>
      </c>
      <c r="C4421" s="51">
        <v>1.012</v>
      </c>
      <c r="D4421" s="51">
        <v>65.0</v>
      </c>
      <c r="E4421" s="52" t="s">
        <v>25</v>
      </c>
      <c r="F4421" s="52" t="s">
        <v>26</v>
      </c>
      <c r="G4421" s="54"/>
    </row>
    <row r="4422">
      <c r="A4422" s="49">
        <v>45067.2205516088</v>
      </c>
      <c r="B4422" s="50">
        <v>45067.3455135416</v>
      </c>
      <c r="C4422" s="51">
        <v>1.012</v>
      </c>
      <c r="D4422" s="51">
        <v>65.0</v>
      </c>
      <c r="E4422" s="52" t="s">
        <v>25</v>
      </c>
      <c r="F4422" s="52" t="s">
        <v>26</v>
      </c>
      <c r="G4422" s="54"/>
    </row>
    <row r="4423">
      <c r="A4423" s="49">
        <v>45067.23096011574</v>
      </c>
      <c r="B4423" s="50">
        <v>45067.3559339467</v>
      </c>
      <c r="C4423" s="51">
        <v>1.012</v>
      </c>
      <c r="D4423" s="51">
        <v>65.0</v>
      </c>
      <c r="E4423" s="52" t="s">
        <v>25</v>
      </c>
      <c r="F4423" s="52" t="s">
        <v>26</v>
      </c>
      <c r="G4423" s="54"/>
    </row>
    <row r="4424">
      <c r="A4424" s="49">
        <v>45067.241378136576</v>
      </c>
      <c r="B4424" s="50">
        <v>45067.3663551967</v>
      </c>
      <c r="C4424" s="51">
        <v>1.012</v>
      </c>
      <c r="D4424" s="51">
        <v>65.0</v>
      </c>
      <c r="E4424" s="52" t="s">
        <v>25</v>
      </c>
      <c r="F4424" s="52" t="s">
        <v>26</v>
      </c>
      <c r="G4424" s="54"/>
    </row>
    <row r="4425">
      <c r="A4425" s="49">
        <v>45067.25179892361</v>
      </c>
      <c r="B4425" s="50">
        <v>45067.3767767824</v>
      </c>
      <c r="C4425" s="51">
        <v>1.012</v>
      </c>
      <c r="D4425" s="51">
        <v>65.0</v>
      </c>
      <c r="E4425" s="52" t="s">
        <v>25</v>
      </c>
      <c r="F4425" s="52" t="s">
        <v>26</v>
      </c>
      <c r="G4425" s="54"/>
    </row>
    <row r="4426">
      <c r="A4426" s="49">
        <v>45067.262218194446</v>
      </c>
      <c r="B4426" s="50">
        <v>45067.3871954166</v>
      </c>
      <c r="C4426" s="51">
        <v>1.012</v>
      </c>
      <c r="D4426" s="51">
        <v>65.0</v>
      </c>
      <c r="E4426" s="52" t="s">
        <v>25</v>
      </c>
      <c r="F4426" s="52" t="s">
        <v>26</v>
      </c>
      <c r="G4426" s="54"/>
    </row>
    <row r="4427">
      <c r="A4427" s="49">
        <v>45067.27263395833</v>
      </c>
      <c r="B4427" s="50">
        <v>45067.3976178703</v>
      </c>
      <c r="C4427" s="51">
        <v>1.012</v>
      </c>
      <c r="D4427" s="51">
        <v>65.0</v>
      </c>
      <c r="E4427" s="52" t="s">
        <v>25</v>
      </c>
      <c r="F4427" s="52" t="s">
        <v>26</v>
      </c>
      <c r="G4427" s="54"/>
    </row>
    <row r="4428">
      <c r="A4428" s="49">
        <v>45067.283066516204</v>
      </c>
      <c r="B4428" s="50">
        <v>45067.4080382175</v>
      </c>
      <c r="C4428" s="51">
        <v>1.012</v>
      </c>
      <c r="D4428" s="51">
        <v>65.0</v>
      </c>
      <c r="E4428" s="52" t="s">
        <v>25</v>
      </c>
      <c r="F4428" s="52" t="s">
        <v>26</v>
      </c>
      <c r="G4428" s="54"/>
    </row>
    <row r="4429">
      <c r="A4429" s="49">
        <v>45067.29348679398</v>
      </c>
      <c r="B4429" s="50">
        <v>45067.4184608101</v>
      </c>
      <c r="C4429" s="51">
        <v>1.012</v>
      </c>
      <c r="D4429" s="51">
        <v>65.0</v>
      </c>
      <c r="E4429" s="52" t="s">
        <v>25</v>
      </c>
      <c r="F4429" s="52" t="s">
        <v>26</v>
      </c>
      <c r="G4429" s="54"/>
    </row>
    <row r="4430">
      <c r="A4430" s="49">
        <v>45067.3039080787</v>
      </c>
      <c r="B4430" s="50">
        <v>45067.428881956</v>
      </c>
      <c r="C4430" s="51">
        <v>1.012</v>
      </c>
      <c r="D4430" s="51">
        <v>65.0</v>
      </c>
      <c r="E4430" s="52" t="s">
        <v>25</v>
      </c>
      <c r="F4430" s="52" t="s">
        <v>26</v>
      </c>
      <c r="G4430" s="54"/>
    </row>
    <row r="4431">
      <c r="A4431" s="49">
        <v>45067.314327002314</v>
      </c>
      <c r="B4431" s="50">
        <v>45067.4393027893</v>
      </c>
      <c r="C4431" s="51">
        <v>1.012</v>
      </c>
      <c r="D4431" s="51">
        <v>65.0</v>
      </c>
      <c r="E4431" s="52" t="s">
        <v>25</v>
      </c>
      <c r="F4431" s="52" t="s">
        <v>26</v>
      </c>
      <c r="G4431" s="54"/>
    </row>
    <row r="4432">
      <c r="A4432" s="49">
        <v>45067.32474966435</v>
      </c>
      <c r="B4432" s="50">
        <v>45067.449720868</v>
      </c>
      <c r="C4432" s="51">
        <v>1.012</v>
      </c>
      <c r="D4432" s="51">
        <v>65.0</v>
      </c>
      <c r="E4432" s="52" t="s">
        <v>25</v>
      </c>
      <c r="F4432" s="52" t="s">
        <v>26</v>
      </c>
      <c r="G4432" s="54"/>
    </row>
    <row r="4433">
      <c r="A4433" s="49">
        <v>45067.33516853009</v>
      </c>
      <c r="B4433" s="50">
        <v>45067.4601420601</v>
      </c>
      <c r="C4433" s="51">
        <v>1.012</v>
      </c>
      <c r="D4433" s="51">
        <v>65.0</v>
      </c>
      <c r="E4433" s="52" t="s">
        <v>25</v>
      </c>
      <c r="F4433" s="52" t="s">
        <v>26</v>
      </c>
      <c r="G4433" s="54"/>
    </row>
    <row r="4434">
      <c r="A4434" s="49">
        <v>45067.345599293985</v>
      </c>
      <c r="B4434" s="50">
        <v>45067.4705752893</v>
      </c>
      <c r="C4434" s="51">
        <v>1.012</v>
      </c>
      <c r="D4434" s="51">
        <v>65.0</v>
      </c>
      <c r="E4434" s="52" t="s">
        <v>25</v>
      </c>
      <c r="F4434" s="52" t="s">
        <v>26</v>
      </c>
      <c r="G4434" s="54"/>
    </row>
    <row r="4435">
      <c r="A4435" s="49">
        <v>45067.35604090278</v>
      </c>
      <c r="B4435" s="50">
        <v>45067.4810200578</v>
      </c>
      <c r="C4435" s="51">
        <v>1.012</v>
      </c>
      <c r="D4435" s="51">
        <v>65.0</v>
      </c>
      <c r="E4435" s="52" t="s">
        <v>25</v>
      </c>
      <c r="F4435" s="52" t="s">
        <v>26</v>
      </c>
      <c r="G4435" s="54"/>
    </row>
    <row r="4436">
      <c r="A4436" s="49">
        <v>45067.366471064815</v>
      </c>
      <c r="B4436" s="50">
        <v>45067.4914422222</v>
      </c>
      <c r="C4436" s="51">
        <v>1.012</v>
      </c>
      <c r="D4436" s="51">
        <v>65.0</v>
      </c>
      <c r="E4436" s="52" t="s">
        <v>25</v>
      </c>
      <c r="F4436" s="52" t="s">
        <v>26</v>
      </c>
      <c r="G4436" s="54"/>
    </row>
    <row r="4437">
      <c r="A4437" s="49">
        <v>45067.37690650463</v>
      </c>
      <c r="B4437" s="50">
        <v>45067.50187478</v>
      </c>
      <c r="C4437" s="51">
        <v>1.012</v>
      </c>
      <c r="D4437" s="51">
        <v>65.0</v>
      </c>
      <c r="E4437" s="52" t="s">
        <v>25</v>
      </c>
      <c r="F4437" s="52" t="s">
        <v>26</v>
      </c>
      <c r="G4437" s="54"/>
    </row>
    <row r="4438">
      <c r="A4438" s="49">
        <v>45067.38732214121</v>
      </c>
      <c r="B4438" s="50">
        <v>45067.5122978819</v>
      </c>
      <c r="C4438" s="51">
        <v>1.012</v>
      </c>
      <c r="D4438" s="51">
        <v>65.0</v>
      </c>
      <c r="E4438" s="52" t="s">
        <v>25</v>
      </c>
      <c r="F4438" s="52" t="s">
        <v>26</v>
      </c>
      <c r="G4438" s="54"/>
    </row>
    <row r="4439">
      <c r="A4439" s="49">
        <v>45067.397756307866</v>
      </c>
      <c r="B4439" s="50">
        <v>45067.5227317245</v>
      </c>
      <c r="C4439" s="51">
        <v>1.012</v>
      </c>
      <c r="D4439" s="51">
        <v>65.0</v>
      </c>
      <c r="E4439" s="52" t="s">
        <v>25</v>
      </c>
      <c r="F4439" s="52" t="s">
        <v>26</v>
      </c>
      <c r="G4439" s="54"/>
    </row>
    <row r="4440">
      <c r="A4440" s="49">
        <v>45067.40817653935</v>
      </c>
      <c r="B4440" s="50">
        <v>45067.5331525231</v>
      </c>
      <c r="C4440" s="51">
        <v>1.012</v>
      </c>
      <c r="D4440" s="51">
        <v>65.0</v>
      </c>
      <c r="E4440" s="52" t="s">
        <v>25</v>
      </c>
      <c r="F4440" s="52" t="s">
        <v>26</v>
      </c>
      <c r="G4440" s="54"/>
    </row>
    <row r="4441">
      <c r="A4441" s="49">
        <v>45067.41859944444</v>
      </c>
      <c r="B4441" s="50">
        <v>45067.5435746527</v>
      </c>
      <c r="C4441" s="51">
        <v>1.012</v>
      </c>
      <c r="D4441" s="51">
        <v>65.0</v>
      </c>
      <c r="E4441" s="52" t="s">
        <v>25</v>
      </c>
      <c r="F4441" s="52" t="s">
        <v>26</v>
      </c>
      <c r="G4441" s="54"/>
    </row>
    <row r="4442">
      <c r="A4442" s="49">
        <v>45067.42901289352</v>
      </c>
      <c r="B4442" s="50">
        <v>45067.5539959722</v>
      </c>
      <c r="C4442" s="51">
        <v>1.012</v>
      </c>
      <c r="D4442" s="51">
        <v>65.0</v>
      </c>
      <c r="E4442" s="52" t="s">
        <v>25</v>
      </c>
      <c r="F4442" s="52" t="s">
        <v>26</v>
      </c>
      <c r="G4442" s="54"/>
    </row>
    <row r="4443">
      <c r="A4443" s="49">
        <v>45067.439443888885</v>
      </c>
      <c r="B4443" s="50">
        <v>45067.5644178009</v>
      </c>
      <c r="C4443" s="51">
        <v>1.012</v>
      </c>
      <c r="D4443" s="51">
        <v>65.0</v>
      </c>
      <c r="E4443" s="52" t="s">
        <v>25</v>
      </c>
      <c r="F4443" s="52" t="s">
        <v>26</v>
      </c>
      <c r="G4443" s="54"/>
    </row>
    <row r="4444">
      <c r="A4444" s="49">
        <v>45067.44992608797</v>
      </c>
      <c r="B4444" s="50">
        <v>45067.5748409838</v>
      </c>
      <c r="C4444" s="51">
        <v>1.012</v>
      </c>
      <c r="D4444" s="51">
        <v>65.0</v>
      </c>
      <c r="E4444" s="52" t="s">
        <v>25</v>
      </c>
      <c r="F4444" s="52" t="s">
        <v>26</v>
      </c>
      <c r="G4444" s="54"/>
    </row>
    <row r="4445">
      <c r="A4445" s="49">
        <v>45067.46029371528</v>
      </c>
      <c r="B4445" s="50">
        <v>45067.5852627662</v>
      </c>
      <c r="C4445" s="51">
        <v>1.012</v>
      </c>
      <c r="D4445" s="51">
        <v>65.0</v>
      </c>
      <c r="E4445" s="52" t="s">
        <v>25</v>
      </c>
      <c r="F4445" s="52" t="s">
        <v>26</v>
      </c>
      <c r="G4445" s="54"/>
    </row>
    <row r="4446">
      <c r="A4446" s="49">
        <v>45067.47072469907</v>
      </c>
      <c r="B4446" s="50">
        <v>45067.5956955324</v>
      </c>
      <c r="C4446" s="51">
        <v>1.012</v>
      </c>
      <c r="D4446" s="51">
        <v>65.0</v>
      </c>
      <c r="E4446" s="52" t="s">
        <v>25</v>
      </c>
      <c r="F4446" s="52" t="s">
        <v>26</v>
      </c>
      <c r="G4446" s="54"/>
    </row>
    <row r="4447">
      <c r="A4447" s="49">
        <v>45067.48113318287</v>
      </c>
      <c r="B4447" s="50">
        <v>45067.6061166203</v>
      </c>
      <c r="C4447" s="51">
        <v>1.012</v>
      </c>
      <c r="D4447" s="51">
        <v>65.0</v>
      </c>
      <c r="E4447" s="52" t="s">
        <v>25</v>
      </c>
      <c r="F4447" s="52" t="s">
        <v>26</v>
      </c>
      <c r="G4447" s="54"/>
    </row>
    <row r="4448">
      <c r="A4448" s="49">
        <v>45067.4915688426</v>
      </c>
      <c r="B4448" s="50">
        <v>45067.6165368287</v>
      </c>
      <c r="C4448" s="51">
        <v>1.012</v>
      </c>
      <c r="D4448" s="51">
        <v>65.0</v>
      </c>
      <c r="E4448" s="52" t="s">
        <v>25</v>
      </c>
      <c r="F4448" s="52" t="s">
        <v>26</v>
      </c>
      <c r="G4448" s="54"/>
    </row>
    <row r="4449">
      <c r="A4449" s="49">
        <v>45067.50199096065</v>
      </c>
      <c r="B4449" s="50">
        <v>45067.6269591203</v>
      </c>
      <c r="C4449" s="51">
        <v>1.012</v>
      </c>
      <c r="D4449" s="51">
        <v>65.0</v>
      </c>
      <c r="E4449" s="52" t="s">
        <v>25</v>
      </c>
      <c r="F4449" s="52" t="s">
        <v>26</v>
      </c>
      <c r="G4449" s="54"/>
    </row>
    <row r="4450">
      <c r="A4450" s="49">
        <v>45067.51241787037</v>
      </c>
      <c r="B4450" s="50">
        <v>45067.6373920023</v>
      </c>
      <c r="C4450" s="51">
        <v>1.012</v>
      </c>
      <c r="D4450" s="51">
        <v>65.0</v>
      </c>
      <c r="E4450" s="52" t="s">
        <v>25</v>
      </c>
      <c r="F4450" s="52" t="s">
        <v>26</v>
      </c>
      <c r="G4450" s="54"/>
    </row>
    <row r="4451">
      <c r="A4451" s="49">
        <v>45067.52285017361</v>
      </c>
      <c r="B4451" s="50">
        <v>45067.6478242013</v>
      </c>
      <c r="C4451" s="51">
        <v>1.012</v>
      </c>
      <c r="D4451" s="51">
        <v>65.0</v>
      </c>
      <c r="E4451" s="52" t="s">
        <v>25</v>
      </c>
      <c r="F4451" s="52" t="s">
        <v>26</v>
      </c>
      <c r="G4451" s="54"/>
    </row>
    <row r="4452">
      <c r="A4452" s="49">
        <v>45067.53327513889</v>
      </c>
      <c r="B4452" s="50">
        <v>45067.658245081</v>
      </c>
      <c r="C4452" s="51">
        <v>1.012</v>
      </c>
      <c r="D4452" s="51">
        <v>65.0</v>
      </c>
      <c r="E4452" s="52" t="s">
        <v>25</v>
      </c>
      <c r="F4452" s="52" t="s">
        <v>26</v>
      </c>
      <c r="G4452" s="54"/>
    </row>
    <row r="4453">
      <c r="A4453" s="49">
        <v>45067.543697754634</v>
      </c>
      <c r="B4453" s="50">
        <v>45067.6686651273</v>
      </c>
      <c r="C4453" s="51">
        <v>1.012</v>
      </c>
      <c r="D4453" s="51">
        <v>65.0</v>
      </c>
      <c r="E4453" s="52" t="s">
        <v>25</v>
      </c>
      <c r="F4453" s="52" t="s">
        <v>26</v>
      </c>
      <c r="G4453" s="54"/>
    </row>
    <row r="4454">
      <c r="A4454" s="49">
        <v>45067.554112094906</v>
      </c>
      <c r="B4454" s="50">
        <v>45067.6790874189</v>
      </c>
      <c r="C4454" s="51">
        <v>1.012</v>
      </c>
      <c r="D4454" s="51">
        <v>65.0</v>
      </c>
      <c r="E4454" s="52" t="s">
        <v>25</v>
      </c>
      <c r="F4454" s="52" t="s">
        <v>26</v>
      </c>
      <c r="G4454" s="54"/>
    </row>
    <row r="4455">
      <c r="A4455" s="49">
        <v>45067.564552048614</v>
      </c>
      <c r="B4455" s="50">
        <v>45067.6895199652</v>
      </c>
      <c r="C4455" s="51">
        <v>1.012</v>
      </c>
      <c r="D4455" s="51">
        <v>65.0</v>
      </c>
      <c r="E4455" s="52" t="s">
        <v>25</v>
      </c>
      <c r="F4455" s="52" t="s">
        <v>26</v>
      </c>
      <c r="G4455" s="54"/>
    </row>
    <row r="4456">
      <c r="A4456" s="49">
        <v>45067.57496646991</v>
      </c>
      <c r="B4456" s="50">
        <v>45067.6999409953</v>
      </c>
      <c r="C4456" s="51">
        <v>1.012</v>
      </c>
      <c r="D4456" s="51">
        <v>65.0</v>
      </c>
      <c r="E4456" s="52" t="s">
        <v>25</v>
      </c>
      <c r="F4456" s="52" t="s">
        <v>26</v>
      </c>
      <c r="G4456" s="54"/>
    </row>
    <row r="4457">
      <c r="A4457" s="49">
        <v>45067.58539028935</v>
      </c>
      <c r="B4457" s="50">
        <v>45067.7103619907</v>
      </c>
      <c r="C4457" s="51">
        <v>1.012</v>
      </c>
      <c r="D4457" s="51">
        <v>65.0</v>
      </c>
      <c r="E4457" s="52" t="s">
        <v>25</v>
      </c>
      <c r="F4457" s="52" t="s">
        <v>26</v>
      </c>
      <c r="G4457" s="54"/>
    </row>
    <row r="4458">
      <c r="A4458" s="49">
        <v>45067.59580979167</v>
      </c>
      <c r="B4458" s="50">
        <v>45067.7207835185</v>
      </c>
      <c r="C4458" s="51">
        <v>1.012</v>
      </c>
      <c r="D4458" s="51">
        <v>65.0</v>
      </c>
      <c r="E4458" s="52" t="s">
        <v>25</v>
      </c>
      <c r="F4458" s="52" t="s">
        <v>26</v>
      </c>
      <c r="G4458" s="54"/>
    </row>
    <row r="4459">
      <c r="A4459" s="49">
        <v>45067.60623276621</v>
      </c>
      <c r="B4459" s="50">
        <v>45067.73120478</v>
      </c>
      <c r="C4459" s="51">
        <v>1.012</v>
      </c>
      <c r="D4459" s="51">
        <v>65.0</v>
      </c>
      <c r="E4459" s="52" t="s">
        <v>25</v>
      </c>
      <c r="F4459" s="52" t="s">
        <v>26</v>
      </c>
      <c r="G4459" s="54"/>
    </row>
    <row r="4460">
      <c r="A4460" s="49">
        <v>45067.616669490744</v>
      </c>
      <c r="B4460" s="50">
        <v>45067.7416365393</v>
      </c>
      <c r="C4460" s="51">
        <v>1.012</v>
      </c>
      <c r="D4460" s="51">
        <v>65.0</v>
      </c>
      <c r="E4460" s="52" t="s">
        <v>25</v>
      </c>
      <c r="F4460" s="52" t="s">
        <v>26</v>
      </c>
      <c r="G4460" s="54"/>
    </row>
    <row r="4461">
      <c r="A4461" s="49">
        <v>45067.62707341435</v>
      </c>
      <c r="B4461" s="50">
        <v>45067.7520574074</v>
      </c>
      <c r="C4461" s="51">
        <v>1.012</v>
      </c>
      <c r="D4461" s="51">
        <v>65.0</v>
      </c>
      <c r="E4461" s="52" t="s">
        <v>25</v>
      </c>
      <c r="F4461" s="52" t="s">
        <v>26</v>
      </c>
      <c r="G4461" s="54"/>
    </row>
    <row r="4462">
      <c r="A4462" s="49">
        <v>45067.637498703705</v>
      </c>
      <c r="B4462" s="50">
        <v>45067.7624777199</v>
      </c>
      <c r="C4462" s="51">
        <v>1.012</v>
      </c>
      <c r="D4462" s="51">
        <v>65.0</v>
      </c>
      <c r="E4462" s="52" t="s">
        <v>25</v>
      </c>
      <c r="F4462" s="52" t="s">
        <v>26</v>
      </c>
      <c r="G4462" s="54"/>
    </row>
    <row r="4463">
      <c r="A4463" s="49">
        <v>45067.64791748843</v>
      </c>
      <c r="B4463" s="50">
        <v>45067.7728977893</v>
      </c>
      <c r="C4463" s="51">
        <v>1.012</v>
      </c>
      <c r="D4463" s="51">
        <v>65.0</v>
      </c>
      <c r="E4463" s="52" t="s">
        <v>25</v>
      </c>
      <c r="F4463" s="52" t="s">
        <v>26</v>
      </c>
      <c r="G4463" s="54"/>
    </row>
    <row r="4464">
      <c r="A4464" s="49">
        <v>45067.65839273148</v>
      </c>
      <c r="B4464" s="50">
        <v>45067.7833190046</v>
      </c>
      <c r="C4464" s="51">
        <v>1.012</v>
      </c>
      <c r="D4464" s="51">
        <v>65.0</v>
      </c>
      <c r="E4464" s="52" t="s">
        <v>25</v>
      </c>
      <c r="F4464" s="52" t="s">
        <v>26</v>
      </c>
      <c r="G4464" s="54"/>
    </row>
    <row r="4465">
      <c r="A4465" s="49">
        <v>45067.66876728009</v>
      </c>
      <c r="B4465" s="50">
        <v>45067.7937403472</v>
      </c>
      <c r="C4465" s="51">
        <v>1.012</v>
      </c>
      <c r="D4465" s="51">
        <v>65.0</v>
      </c>
      <c r="E4465" s="52" t="s">
        <v>25</v>
      </c>
      <c r="F4465" s="52" t="s">
        <v>26</v>
      </c>
      <c r="G4465" s="54"/>
    </row>
    <row r="4466">
      <c r="A4466" s="49">
        <v>45067.67918619213</v>
      </c>
      <c r="B4466" s="50">
        <v>45067.8041600926</v>
      </c>
      <c r="C4466" s="51">
        <v>1.012</v>
      </c>
      <c r="D4466" s="51">
        <v>65.0</v>
      </c>
      <c r="E4466" s="52" t="s">
        <v>25</v>
      </c>
      <c r="F4466" s="52" t="s">
        <v>26</v>
      </c>
      <c r="G4466" s="54"/>
    </row>
    <row r="4467">
      <c r="A4467" s="49">
        <v>45067.689616574076</v>
      </c>
      <c r="B4467" s="50">
        <v>45067.8145932407</v>
      </c>
      <c r="C4467" s="51">
        <v>1.012</v>
      </c>
      <c r="D4467" s="51">
        <v>65.0</v>
      </c>
      <c r="E4467" s="52" t="s">
        <v>25</v>
      </c>
      <c r="F4467" s="52" t="s">
        <v>26</v>
      </c>
      <c r="G4467" s="54"/>
    </row>
    <row r="4468">
      <c r="A4468" s="49">
        <v>45067.70004064815</v>
      </c>
      <c r="B4468" s="50">
        <v>45067.825015625</v>
      </c>
      <c r="C4468" s="51">
        <v>1.012</v>
      </c>
      <c r="D4468" s="51">
        <v>65.0</v>
      </c>
      <c r="E4468" s="52" t="s">
        <v>25</v>
      </c>
      <c r="F4468" s="52" t="s">
        <v>26</v>
      </c>
      <c r="G4468" s="54"/>
    </row>
    <row r="4469">
      <c r="A4469" s="49">
        <v>45067.71045644676</v>
      </c>
      <c r="B4469" s="50">
        <v>45067.8354365393</v>
      </c>
      <c r="C4469" s="51">
        <v>1.012</v>
      </c>
      <c r="D4469" s="51">
        <v>65.0</v>
      </c>
      <c r="E4469" s="52" t="s">
        <v>25</v>
      </c>
      <c r="F4469" s="52" t="s">
        <v>26</v>
      </c>
      <c r="G4469" s="54"/>
    </row>
    <row r="4470">
      <c r="A4470" s="49">
        <v>45067.72087657407</v>
      </c>
      <c r="B4470" s="50">
        <v>45067.8458571759</v>
      </c>
      <c r="C4470" s="51">
        <v>1.012</v>
      </c>
      <c r="D4470" s="51">
        <v>65.0</v>
      </c>
      <c r="E4470" s="52" t="s">
        <v>25</v>
      </c>
      <c r="F4470" s="52" t="s">
        <v>26</v>
      </c>
      <c r="G4470" s="54"/>
    </row>
    <row r="4471">
      <c r="A4471" s="49">
        <v>45067.73131668982</v>
      </c>
      <c r="B4471" s="50">
        <v>45067.8562914583</v>
      </c>
      <c r="C4471" s="51">
        <v>1.012</v>
      </c>
      <c r="D4471" s="51">
        <v>65.0</v>
      </c>
      <c r="E4471" s="52" t="s">
        <v>25</v>
      </c>
      <c r="F4471" s="52" t="s">
        <v>26</v>
      </c>
      <c r="G4471" s="54"/>
    </row>
    <row r="4472">
      <c r="A4472" s="49">
        <v>45067.741736550925</v>
      </c>
      <c r="B4472" s="50">
        <v>45067.866711412</v>
      </c>
      <c r="C4472" s="51">
        <v>1.012</v>
      </c>
      <c r="D4472" s="51">
        <v>65.0</v>
      </c>
      <c r="E4472" s="52" t="s">
        <v>25</v>
      </c>
      <c r="F4472" s="52" t="s">
        <v>26</v>
      </c>
      <c r="G4472" s="54"/>
    </row>
    <row r="4473">
      <c r="A4473" s="49">
        <v>45067.752156365736</v>
      </c>
      <c r="B4473" s="50">
        <v>45067.8771330787</v>
      </c>
      <c r="C4473" s="51">
        <v>1.012</v>
      </c>
      <c r="D4473" s="51">
        <v>65.0</v>
      </c>
      <c r="E4473" s="52" t="s">
        <v>25</v>
      </c>
      <c r="F4473" s="52" t="s">
        <v>26</v>
      </c>
      <c r="G4473" s="54"/>
    </row>
    <row r="4474">
      <c r="A4474" s="49">
        <v>45067.762586620374</v>
      </c>
      <c r="B4474" s="50">
        <v>45067.8875522916</v>
      </c>
      <c r="C4474" s="51">
        <v>1.012</v>
      </c>
      <c r="D4474" s="51">
        <v>65.0</v>
      </c>
      <c r="E4474" s="52" t="s">
        <v>25</v>
      </c>
      <c r="F4474" s="52" t="s">
        <v>26</v>
      </c>
      <c r="G4474" s="54"/>
    </row>
    <row r="4475">
      <c r="A4475" s="49">
        <v>45067.77299769676</v>
      </c>
      <c r="B4475" s="50">
        <v>45067.8979733796</v>
      </c>
      <c r="C4475" s="51">
        <v>1.012</v>
      </c>
      <c r="D4475" s="51">
        <v>65.0</v>
      </c>
      <c r="E4475" s="52" t="s">
        <v>25</v>
      </c>
      <c r="F4475" s="52" t="s">
        <v>26</v>
      </c>
      <c r="G4475" s="54"/>
    </row>
    <row r="4476">
      <c r="A4476" s="49">
        <v>45067.78343009259</v>
      </c>
      <c r="B4476" s="50">
        <v>45067.9084063426</v>
      </c>
      <c r="C4476" s="51">
        <v>1.012</v>
      </c>
      <c r="D4476" s="51">
        <v>65.0</v>
      </c>
      <c r="E4476" s="52" t="s">
        <v>25</v>
      </c>
      <c r="F4476" s="52" t="s">
        <v>26</v>
      </c>
      <c r="G4476" s="54"/>
    </row>
    <row r="4477">
      <c r="A4477" s="49">
        <v>45067.793850648144</v>
      </c>
      <c r="B4477" s="50">
        <v>45067.9188277083</v>
      </c>
      <c r="C4477" s="51">
        <v>1.012</v>
      </c>
      <c r="D4477" s="51">
        <v>65.0</v>
      </c>
      <c r="E4477" s="52" t="s">
        <v>25</v>
      </c>
      <c r="F4477" s="52" t="s">
        <v>26</v>
      </c>
      <c r="G4477" s="54"/>
    </row>
    <row r="4478">
      <c r="A4478" s="49">
        <v>45067.80426822917</v>
      </c>
      <c r="B4478" s="50">
        <v>45067.9292491666</v>
      </c>
      <c r="C4478" s="51">
        <v>1.011</v>
      </c>
      <c r="D4478" s="51">
        <v>65.0</v>
      </c>
      <c r="E4478" s="52" t="s">
        <v>25</v>
      </c>
      <c r="F4478" s="52" t="s">
        <v>26</v>
      </c>
      <c r="G4478" s="54"/>
    </row>
    <row r="4479">
      <c r="A4479" s="49">
        <v>45067.814707060184</v>
      </c>
      <c r="B4479" s="50">
        <v>45067.9396828819</v>
      </c>
      <c r="C4479" s="51">
        <v>1.012</v>
      </c>
      <c r="D4479" s="51">
        <v>65.0</v>
      </c>
      <c r="E4479" s="52" t="s">
        <v>25</v>
      </c>
      <c r="F4479" s="52" t="s">
        <v>26</v>
      </c>
      <c r="G4479" s="54"/>
    </row>
    <row r="4480">
      <c r="A4480" s="49">
        <v>45067.825128321754</v>
      </c>
      <c r="B4480" s="50">
        <v>45067.9501050578</v>
      </c>
      <c r="C4480" s="51">
        <v>1.011</v>
      </c>
      <c r="D4480" s="51">
        <v>65.0</v>
      </c>
      <c r="E4480" s="52" t="s">
        <v>25</v>
      </c>
      <c r="F4480" s="52" t="s">
        <v>26</v>
      </c>
      <c r="G4480" s="54"/>
    </row>
    <row r="4481">
      <c r="A4481" s="49">
        <v>45067.83556121528</v>
      </c>
      <c r="B4481" s="50">
        <v>45067.9605358912</v>
      </c>
      <c r="C4481" s="51">
        <v>1.012</v>
      </c>
      <c r="D4481" s="51">
        <v>65.0</v>
      </c>
      <c r="E4481" s="52" t="s">
        <v>25</v>
      </c>
      <c r="F4481" s="52" t="s">
        <v>26</v>
      </c>
      <c r="G4481" s="54"/>
    </row>
    <row r="4482">
      <c r="A4482" s="49">
        <v>45067.84599357639</v>
      </c>
      <c r="B4482" s="50">
        <v>45067.9709674537</v>
      </c>
      <c r="C4482" s="51">
        <v>1.012</v>
      </c>
      <c r="D4482" s="51">
        <v>65.0</v>
      </c>
      <c r="E4482" s="52" t="s">
        <v>25</v>
      </c>
      <c r="F4482" s="52" t="s">
        <v>26</v>
      </c>
      <c r="G4482" s="54"/>
    </row>
    <row r="4483">
      <c r="A4483" s="49">
        <v>45067.8564103588</v>
      </c>
      <c r="B4483" s="50">
        <v>45067.9813886111</v>
      </c>
      <c r="C4483" s="51">
        <v>1.012</v>
      </c>
      <c r="D4483" s="51">
        <v>65.0</v>
      </c>
      <c r="E4483" s="52" t="s">
        <v>25</v>
      </c>
      <c r="F4483" s="52" t="s">
        <v>26</v>
      </c>
      <c r="G4483" s="54"/>
    </row>
    <row r="4484">
      <c r="A4484" s="49">
        <v>45067.866835</v>
      </c>
      <c r="B4484" s="50">
        <v>45067.9918100694</v>
      </c>
      <c r="C4484" s="51">
        <v>1.012</v>
      </c>
      <c r="D4484" s="51">
        <v>65.0</v>
      </c>
      <c r="E4484" s="52" t="s">
        <v>25</v>
      </c>
      <c r="F4484" s="52" t="s">
        <v>26</v>
      </c>
      <c r="G4484" s="54"/>
    </row>
    <row r="4485">
      <c r="A4485" s="49">
        <v>45067.87726212963</v>
      </c>
      <c r="B4485" s="50">
        <v>45068.0022339351</v>
      </c>
      <c r="C4485" s="51">
        <v>1.012</v>
      </c>
      <c r="D4485" s="51">
        <v>65.0</v>
      </c>
      <c r="E4485" s="52" t="s">
        <v>25</v>
      </c>
      <c r="F4485" s="52" t="s">
        <v>26</v>
      </c>
      <c r="G4485" s="54"/>
    </row>
    <row r="4486">
      <c r="A4486" s="49">
        <v>45067.88768510417</v>
      </c>
      <c r="B4486" s="50">
        <v>45068.0126563425</v>
      </c>
      <c r="C4486" s="51">
        <v>1.012</v>
      </c>
      <c r="D4486" s="51">
        <v>65.0</v>
      </c>
      <c r="E4486" s="52" t="s">
        <v>25</v>
      </c>
      <c r="F4486" s="52" t="s">
        <v>26</v>
      </c>
      <c r="G4486" s="54"/>
    </row>
    <row r="4487">
      <c r="A4487" s="49">
        <v>45067.898105451386</v>
      </c>
      <c r="B4487" s="50">
        <v>45068.0230798495</v>
      </c>
      <c r="C4487" s="51">
        <v>1.012</v>
      </c>
      <c r="D4487" s="51">
        <v>65.0</v>
      </c>
      <c r="E4487" s="52" t="s">
        <v>25</v>
      </c>
      <c r="F4487" s="52" t="s">
        <v>26</v>
      </c>
      <c r="G4487" s="54"/>
    </row>
    <row r="4488">
      <c r="A4488" s="49">
        <v>45067.908521053236</v>
      </c>
      <c r="B4488" s="50">
        <v>45068.0335004513</v>
      </c>
      <c r="C4488" s="51">
        <v>1.011</v>
      </c>
      <c r="D4488" s="51">
        <v>65.0</v>
      </c>
      <c r="E4488" s="52" t="s">
        <v>25</v>
      </c>
      <c r="F4488" s="52" t="s">
        <v>26</v>
      </c>
      <c r="G4488" s="54"/>
    </row>
    <row r="4489">
      <c r="A4489" s="49">
        <v>45067.91894046296</v>
      </c>
      <c r="B4489" s="50">
        <v>45068.0439203356</v>
      </c>
      <c r="C4489" s="51">
        <v>1.012</v>
      </c>
      <c r="D4489" s="51">
        <v>65.0</v>
      </c>
      <c r="E4489" s="52" t="s">
        <v>25</v>
      </c>
      <c r="F4489" s="52" t="s">
        <v>26</v>
      </c>
      <c r="G4489" s="54"/>
    </row>
    <row r="4490">
      <c r="A4490" s="49">
        <v>45067.929380173606</v>
      </c>
      <c r="B4490" s="50">
        <v>45068.0543537615</v>
      </c>
      <c r="C4490" s="51">
        <v>1.012</v>
      </c>
      <c r="D4490" s="51">
        <v>65.0</v>
      </c>
      <c r="E4490" s="52" t="s">
        <v>25</v>
      </c>
      <c r="F4490" s="52" t="s">
        <v>26</v>
      </c>
      <c r="G4490" s="54"/>
    </row>
    <row r="4491">
      <c r="A4491" s="49">
        <v>45067.939798356485</v>
      </c>
      <c r="B4491" s="50">
        <v>45068.0647755208</v>
      </c>
      <c r="C4491" s="51">
        <v>1.012</v>
      </c>
      <c r="D4491" s="51">
        <v>65.0</v>
      </c>
      <c r="E4491" s="52" t="s">
        <v>25</v>
      </c>
      <c r="F4491" s="52" t="s">
        <v>26</v>
      </c>
      <c r="G4491" s="54"/>
    </row>
    <row r="4492">
      <c r="A4492" s="49">
        <v>45067.95023606482</v>
      </c>
      <c r="B4492" s="50">
        <v>45068.075207118</v>
      </c>
      <c r="C4492" s="51">
        <v>1.012</v>
      </c>
      <c r="D4492" s="51">
        <v>65.0</v>
      </c>
      <c r="E4492" s="52" t="s">
        <v>25</v>
      </c>
      <c r="F4492" s="52" t="s">
        <v>26</v>
      </c>
      <c r="G4492" s="54"/>
    </row>
    <row r="4493">
      <c r="A4493" s="49">
        <v>45067.96064818287</v>
      </c>
      <c r="B4493" s="50">
        <v>45068.0856291782</v>
      </c>
      <c r="C4493" s="51">
        <v>1.011</v>
      </c>
      <c r="D4493" s="51">
        <v>65.0</v>
      </c>
      <c r="E4493" s="52" t="s">
        <v>25</v>
      </c>
      <c r="F4493" s="52" t="s">
        <v>26</v>
      </c>
      <c r="G4493" s="54"/>
    </row>
    <row r="4494">
      <c r="A4494" s="49">
        <v>45067.97107943287</v>
      </c>
      <c r="B4494" s="50">
        <v>45068.0960507523</v>
      </c>
      <c r="C4494" s="51">
        <v>1.011</v>
      </c>
      <c r="D4494" s="51">
        <v>65.0</v>
      </c>
      <c r="E4494" s="52" t="s">
        <v>25</v>
      </c>
      <c r="F4494" s="52" t="s">
        <v>26</v>
      </c>
      <c r="G4494" s="54"/>
    </row>
    <row r="4495">
      <c r="A4495" s="49">
        <v>45067.9815003588</v>
      </c>
      <c r="B4495" s="50">
        <v>45068.1064707638</v>
      </c>
      <c r="C4495" s="51">
        <v>1.012</v>
      </c>
      <c r="D4495" s="51">
        <v>65.0</v>
      </c>
      <c r="E4495" s="52" t="s">
        <v>25</v>
      </c>
      <c r="F4495" s="52" t="s">
        <v>26</v>
      </c>
      <c r="G4495" s="54"/>
    </row>
    <row r="4496">
      <c r="A4496" s="49">
        <v>45067.99191708333</v>
      </c>
      <c r="B4496" s="50">
        <v>45068.1168923726</v>
      </c>
      <c r="C4496" s="51">
        <v>1.011</v>
      </c>
      <c r="D4496" s="51">
        <v>65.0</v>
      </c>
      <c r="E4496" s="52" t="s">
        <v>25</v>
      </c>
      <c r="F4496" s="52" t="s">
        <v>26</v>
      </c>
      <c r="G4496" s="54"/>
    </row>
    <row r="4497">
      <c r="A4497" s="49">
        <v>45068.00233894676</v>
      </c>
      <c r="B4497" s="50">
        <v>45068.1273119791</v>
      </c>
      <c r="C4497" s="51">
        <v>1.012</v>
      </c>
      <c r="D4497" s="51">
        <v>65.0</v>
      </c>
      <c r="E4497" s="52" t="s">
        <v>25</v>
      </c>
      <c r="F4497" s="52" t="s">
        <v>26</v>
      </c>
      <c r="G4497" s="54"/>
    </row>
    <row r="4498">
      <c r="A4498" s="49">
        <v>45068.01276222222</v>
      </c>
      <c r="B4498" s="50">
        <v>45068.1377345601</v>
      </c>
      <c r="C4498" s="51">
        <v>1.011</v>
      </c>
      <c r="D4498" s="51">
        <v>65.0</v>
      </c>
      <c r="E4498" s="52" t="s">
        <v>25</v>
      </c>
      <c r="F4498" s="52" t="s">
        <v>26</v>
      </c>
      <c r="G4498" s="54"/>
    </row>
    <row r="4499">
      <c r="A4499" s="49">
        <v>45068.02318420139</v>
      </c>
      <c r="B4499" s="50">
        <v>45068.1481549768</v>
      </c>
      <c r="C4499" s="51">
        <v>1.011</v>
      </c>
      <c r="D4499" s="51">
        <v>65.0</v>
      </c>
      <c r="E4499" s="52" t="s">
        <v>25</v>
      </c>
      <c r="F4499" s="52" t="s">
        <v>26</v>
      </c>
      <c r="G4499" s="54"/>
    </row>
    <row r="4500">
      <c r="A4500" s="49">
        <v>45068.03362219907</v>
      </c>
      <c r="B4500" s="50">
        <v>45068.1585992361</v>
      </c>
      <c r="C4500" s="51">
        <v>1.011</v>
      </c>
      <c r="D4500" s="51">
        <v>65.0</v>
      </c>
      <c r="E4500" s="52" t="s">
        <v>25</v>
      </c>
      <c r="F4500" s="52" t="s">
        <v>26</v>
      </c>
      <c r="G4500" s="54"/>
    </row>
    <row r="4501">
      <c r="A4501" s="49">
        <v>45068.0440497338</v>
      </c>
      <c r="B4501" s="50">
        <v>45068.1690216319</v>
      </c>
      <c r="C4501" s="51">
        <v>1.011</v>
      </c>
      <c r="D4501" s="51">
        <v>65.0</v>
      </c>
      <c r="E4501" s="52" t="s">
        <v>25</v>
      </c>
      <c r="F4501" s="52" t="s">
        <v>26</v>
      </c>
      <c r="G4501" s="54"/>
    </row>
    <row r="4502">
      <c r="A4502" s="49">
        <v>45068.05446905093</v>
      </c>
      <c r="B4502" s="50">
        <v>45068.1794449421</v>
      </c>
      <c r="C4502" s="51">
        <v>1.012</v>
      </c>
      <c r="D4502" s="51">
        <v>65.0</v>
      </c>
      <c r="E4502" s="52" t="s">
        <v>25</v>
      </c>
      <c r="F4502" s="52" t="s">
        <v>26</v>
      </c>
      <c r="G4502" s="54"/>
    </row>
    <row r="4503">
      <c r="A4503" s="49">
        <v>45068.06488917824</v>
      </c>
      <c r="B4503" s="50">
        <v>45068.1898664699</v>
      </c>
      <c r="C4503" s="51">
        <v>1.012</v>
      </c>
      <c r="D4503" s="51">
        <v>65.0</v>
      </c>
      <c r="E4503" s="52" t="s">
        <v>25</v>
      </c>
      <c r="F4503" s="52" t="s">
        <v>26</v>
      </c>
      <c r="G4503" s="54"/>
    </row>
    <row r="4504">
      <c r="A4504" s="49">
        <v>45068.07531274305</v>
      </c>
      <c r="B4504" s="50">
        <v>45068.2002872106</v>
      </c>
      <c r="C4504" s="51">
        <v>1.012</v>
      </c>
      <c r="D4504" s="51">
        <v>65.0</v>
      </c>
      <c r="E4504" s="52" t="s">
        <v>25</v>
      </c>
      <c r="F4504" s="52" t="s">
        <v>26</v>
      </c>
      <c r="G4504" s="54"/>
    </row>
    <row r="4505">
      <c r="A4505" s="49">
        <v>45068.08573767361</v>
      </c>
      <c r="B4505" s="50">
        <v>45068.2107085532</v>
      </c>
      <c r="C4505" s="51">
        <v>1.011</v>
      </c>
      <c r="D4505" s="51">
        <v>65.0</v>
      </c>
      <c r="E4505" s="52" t="s">
        <v>25</v>
      </c>
      <c r="F4505" s="52" t="s">
        <v>26</v>
      </c>
      <c r="G4505" s="54"/>
    </row>
    <row r="4506">
      <c r="A4506" s="49">
        <v>45068.096157210646</v>
      </c>
      <c r="B4506" s="50">
        <v>45068.2211278819</v>
      </c>
      <c r="C4506" s="51">
        <v>1.011</v>
      </c>
      <c r="D4506" s="51">
        <v>65.0</v>
      </c>
      <c r="E4506" s="52" t="s">
        <v>25</v>
      </c>
      <c r="F4506" s="52" t="s">
        <v>26</v>
      </c>
      <c r="G4506" s="54"/>
    </row>
    <row r="4507">
      <c r="A4507" s="49">
        <v>45068.10659402778</v>
      </c>
      <c r="B4507" s="50">
        <v>45068.2315745717</v>
      </c>
      <c r="C4507" s="51">
        <v>1.012</v>
      </c>
      <c r="D4507" s="51">
        <v>65.0</v>
      </c>
      <c r="E4507" s="52" t="s">
        <v>25</v>
      </c>
      <c r="F4507" s="52" t="s">
        <v>26</v>
      </c>
      <c r="G4507" s="54"/>
    </row>
    <row r="4508">
      <c r="A4508" s="49">
        <v>45068.117014965275</v>
      </c>
      <c r="B4508" s="50">
        <v>45068.241995949</v>
      </c>
      <c r="C4508" s="51">
        <v>1.011</v>
      </c>
      <c r="D4508" s="51">
        <v>65.0</v>
      </c>
      <c r="E4508" s="52" t="s">
        <v>25</v>
      </c>
      <c r="F4508" s="52" t="s">
        <v>26</v>
      </c>
      <c r="G4508" s="54"/>
    </row>
    <row r="4509">
      <c r="A4509" s="49">
        <v>45068.12744434028</v>
      </c>
      <c r="B4509" s="50">
        <v>45068.2524168402</v>
      </c>
      <c r="C4509" s="51">
        <v>1.012</v>
      </c>
      <c r="D4509" s="51">
        <v>65.0</v>
      </c>
      <c r="E4509" s="52" t="s">
        <v>25</v>
      </c>
      <c r="F4509" s="52" t="s">
        <v>26</v>
      </c>
      <c r="G4509" s="54"/>
    </row>
    <row r="4510">
      <c r="A4510" s="49">
        <v>45068.137876099536</v>
      </c>
      <c r="B4510" s="50">
        <v>45068.2628490625</v>
      </c>
      <c r="C4510" s="51">
        <v>1.011</v>
      </c>
      <c r="D4510" s="51">
        <v>65.0</v>
      </c>
      <c r="E4510" s="52" t="s">
        <v>25</v>
      </c>
      <c r="F4510" s="52" t="s">
        <v>26</v>
      </c>
      <c r="G4510" s="54"/>
    </row>
    <row r="4511">
      <c r="A4511" s="49">
        <v>45068.148299189816</v>
      </c>
      <c r="B4511" s="50">
        <v>45068.2732723842</v>
      </c>
      <c r="C4511" s="51">
        <v>1.011</v>
      </c>
      <c r="D4511" s="51">
        <v>65.0</v>
      </c>
      <c r="E4511" s="52" t="s">
        <v>25</v>
      </c>
      <c r="F4511" s="52" t="s">
        <v>26</v>
      </c>
      <c r="G4511" s="54"/>
    </row>
    <row r="4512">
      <c r="A4512" s="49">
        <v>45068.15873398149</v>
      </c>
      <c r="B4512" s="50">
        <v>45068.2837062152</v>
      </c>
      <c r="C4512" s="51">
        <v>1.011</v>
      </c>
      <c r="D4512" s="51">
        <v>65.0</v>
      </c>
      <c r="E4512" s="52" t="s">
        <v>25</v>
      </c>
      <c r="F4512" s="52" t="s">
        <v>26</v>
      </c>
      <c r="G4512" s="54"/>
    </row>
    <row r="4513">
      <c r="A4513" s="49">
        <v>45068.16916586805</v>
      </c>
      <c r="B4513" s="50">
        <v>45068.2941386574</v>
      </c>
      <c r="C4513" s="51">
        <v>1.011</v>
      </c>
      <c r="D4513" s="51">
        <v>65.0</v>
      </c>
      <c r="E4513" s="52" t="s">
        <v>25</v>
      </c>
      <c r="F4513" s="52" t="s">
        <v>26</v>
      </c>
      <c r="G4513" s="54"/>
    </row>
    <row r="4514">
      <c r="A4514" s="49">
        <v>45068.17958715278</v>
      </c>
      <c r="B4514" s="50">
        <v>45068.3045587037</v>
      </c>
      <c r="C4514" s="51">
        <v>1.012</v>
      </c>
      <c r="D4514" s="51">
        <v>65.0</v>
      </c>
      <c r="E4514" s="52" t="s">
        <v>25</v>
      </c>
      <c r="F4514" s="52" t="s">
        <v>26</v>
      </c>
      <c r="G4514" s="54"/>
    </row>
    <row r="4515">
      <c r="A4515" s="49">
        <v>45068.19000890046</v>
      </c>
      <c r="B4515" s="50">
        <v>45068.3149798379</v>
      </c>
      <c r="C4515" s="51">
        <v>1.012</v>
      </c>
      <c r="D4515" s="51">
        <v>65.0</v>
      </c>
      <c r="E4515" s="52" t="s">
        <v>25</v>
      </c>
      <c r="F4515" s="52" t="s">
        <v>26</v>
      </c>
      <c r="G4515" s="54"/>
    </row>
    <row r="4516">
      <c r="A4516" s="49">
        <v>45068.20044219907</v>
      </c>
      <c r="B4516" s="50">
        <v>45068.3254011805</v>
      </c>
      <c r="C4516" s="51">
        <v>1.011</v>
      </c>
      <c r="D4516" s="51">
        <v>65.0</v>
      </c>
      <c r="E4516" s="52" t="s">
        <v>25</v>
      </c>
      <c r="F4516" s="52" t="s">
        <v>26</v>
      </c>
      <c r="G4516" s="54"/>
    </row>
    <row r="4517">
      <c r="A4517" s="49">
        <v>45068.210856377314</v>
      </c>
      <c r="B4517" s="50">
        <v>45068.3358229282</v>
      </c>
      <c r="C4517" s="51">
        <v>1.011</v>
      </c>
      <c r="D4517" s="51">
        <v>65.0</v>
      </c>
      <c r="E4517" s="52" t="s">
        <v>25</v>
      </c>
      <c r="F4517" s="52" t="s">
        <v>26</v>
      </c>
      <c r="G4517" s="54"/>
    </row>
    <row r="4518">
      <c r="A4518" s="49">
        <v>45068.22128415509</v>
      </c>
      <c r="B4518" s="50">
        <v>45068.3462563773</v>
      </c>
      <c r="C4518" s="51">
        <v>1.011</v>
      </c>
      <c r="D4518" s="51">
        <v>65.0</v>
      </c>
      <c r="E4518" s="52" t="s">
        <v>25</v>
      </c>
      <c r="F4518" s="52" t="s">
        <v>26</v>
      </c>
      <c r="G4518" s="54"/>
    </row>
    <row r="4519">
      <c r="A4519" s="49">
        <v>45068.23169998842</v>
      </c>
      <c r="B4519" s="50">
        <v>45068.3566763773</v>
      </c>
      <c r="C4519" s="51">
        <v>1.011</v>
      </c>
      <c r="D4519" s="51">
        <v>65.0</v>
      </c>
      <c r="E4519" s="52" t="s">
        <v>25</v>
      </c>
      <c r="F4519" s="52" t="s">
        <v>26</v>
      </c>
      <c r="G4519" s="54"/>
    </row>
    <row r="4520">
      <c r="A4520" s="49">
        <v>45068.24212674769</v>
      </c>
      <c r="B4520" s="50">
        <v>45068.3670974074</v>
      </c>
      <c r="C4520" s="51">
        <v>1.011</v>
      </c>
      <c r="D4520" s="51">
        <v>65.0</v>
      </c>
      <c r="E4520" s="52" t="s">
        <v>25</v>
      </c>
      <c r="F4520" s="52" t="s">
        <v>26</v>
      </c>
      <c r="G4520" s="54"/>
    </row>
    <row r="4521">
      <c r="A4521" s="49">
        <v>45068.26297380787</v>
      </c>
      <c r="B4521" s="50">
        <v>45068.3879415046</v>
      </c>
      <c r="C4521" s="51">
        <v>1.011</v>
      </c>
      <c r="D4521" s="51">
        <v>65.0</v>
      </c>
      <c r="E4521" s="52" t="s">
        <v>25</v>
      </c>
      <c r="F4521" s="52" t="s">
        <v>26</v>
      </c>
      <c r="G4521" s="54"/>
    </row>
    <row r="4522">
      <c r="A4522" s="49">
        <v>45068.27339836805</v>
      </c>
      <c r="B4522" s="50">
        <v>45068.3983629282</v>
      </c>
      <c r="C4522" s="51">
        <v>1.011</v>
      </c>
      <c r="D4522" s="51">
        <v>65.0</v>
      </c>
      <c r="E4522" s="52" t="s">
        <v>25</v>
      </c>
      <c r="F4522" s="52" t="s">
        <v>26</v>
      </c>
      <c r="G4522" s="54"/>
    </row>
    <row r="4523">
      <c r="A4523" s="49">
        <v>45068.28385431713</v>
      </c>
      <c r="B4523" s="50">
        <v>45068.4088173842</v>
      </c>
      <c r="C4523" s="51">
        <v>1.011</v>
      </c>
      <c r="D4523" s="51">
        <v>65.0</v>
      </c>
      <c r="E4523" s="52" t="s">
        <v>25</v>
      </c>
      <c r="F4523" s="52" t="s">
        <v>26</v>
      </c>
      <c r="G4523" s="54"/>
    </row>
    <row r="4524">
      <c r="A4524" s="49">
        <v>45068.29426451389</v>
      </c>
      <c r="B4524" s="50">
        <v>45068.4192379513</v>
      </c>
      <c r="C4524" s="51">
        <v>1.011</v>
      </c>
      <c r="D4524" s="51">
        <v>65.0</v>
      </c>
      <c r="E4524" s="52" t="s">
        <v>25</v>
      </c>
      <c r="F4524" s="52" t="s">
        <v>26</v>
      </c>
      <c r="G4524" s="54"/>
    </row>
    <row r="4525">
      <c r="A4525" s="49">
        <v>45068.30468460648</v>
      </c>
      <c r="B4525" s="50">
        <v>45068.4296585301</v>
      </c>
      <c r="C4525" s="51">
        <v>1.011</v>
      </c>
      <c r="D4525" s="51">
        <v>65.0</v>
      </c>
      <c r="E4525" s="52" t="s">
        <v>25</v>
      </c>
      <c r="F4525" s="52" t="s">
        <v>26</v>
      </c>
      <c r="G4525" s="54"/>
    </row>
    <row r="4526">
      <c r="A4526" s="49">
        <v>45068.3151062963</v>
      </c>
      <c r="B4526" s="50">
        <v>45068.4400793865</v>
      </c>
      <c r="C4526" s="51">
        <v>1.011</v>
      </c>
      <c r="D4526" s="51">
        <v>65.0</v>
      </c>
      <c r="E4526" s="52" t="s">
        <v>25</v>
      </c>
      <c r="F4526" s="52" t="s">
        <v>26</v>
      </c>
      <c r="G4526" s="54"/>
    </row>
    <row r="4527">
      <c r="A4527" s="49">
        <v>45068.32552063657</v>
      </c>
      <c r="B4527" s="50">
        <v>45068.4504986805</v>
      </c>
      <c r="C4527" s="51">
        <v>1.012</v>
      </c>
      <c r="D4527" s="51">
        <v>65.0</v>
      </c>
      <c r="E4527" s="52" t="s">
        <v>25</v>
      </c>
      <c r="F4527" s="52" t="s">
        <v>26</v>
      </c>
      <c r="G4527" s="54"/>
    </row>
    <row r="4528">
      <c r="A4528" s="49">
        <v>45068.33595530092</v>
      </c>
      <c r="B4528" s="50">
        <v>45068.4609201851</v>
      </c>
      <c r="C4528" s="51">
        <v>1.011</v>
      </c>
      <c r="D4528" s="51">
        <v>65.0</v>
      </c>
      <c r="E4528" s="52" t="s">
        <v>25</v>
      </c>
      <c r="F4528" s="52" t="s">
        <v>26</v>
      </c>
      <c r="G4528" s="54"/>
    </row>
    <row r="4529">
      <c r="A4529" s="49">
        <v>45068.346374976856</v>
      </c>
      <c r="B4529" s="50">
        <v>45068.4713515625</v>
      </c>
      <c r="C4529" s="51">
        <v>1.011</v>
      </c>
      <c r="D4529" s="51">
        <v>65.0</v>
      </c>
      <c r="E4529" s="52" t="s">
        <v>25</v>
      </c>
      <c r="F4529" s="52" t="s">
        <v>26</v>
      </c>
      <c r="G4529" s="54"/>
    </row>
    <row r="4530">
      <c r="A4530" s="49">
        <v>45068.3776622338</v>
      </c>
      <c r="B4530" s="50">
        <v>45068.5026248264</v>
      </c>
      <c r="C4530" s="51">
        <v>1.011</v>
      </c>
      <c r="D4530" s="51">
        <v>65.0</v>
      </c>
      <c r="E4530" s="52" t="s">
        <v>25</v>
      </c>
      <c r="F4530" s="52" t="s">
        <v>26</v>
      </c>
      <c r="G4530" s="54"/>
    </row>
    <row r="4531">
      <c r="A4531" s="49">
        <v>45068.38809099537</v>
      </c>
      <c r="B4531" s="50">
        <v>45068.5130589583</v>
      </c>
      <c r="C4531" s="51">
        <v>1.011</v>
      </c>
      <c r="D4531" s="51">
        <v>65.0</v>
      </c>
      <c r="E4531" s="52" t="s">
        <v>25</v>
      </c>
      <c r="F4531" s="52" t="s">
        <v>26</v>
      </c>
      <c r="G4531" s="54"/>
    </row>
    <row r="4532">
      <c r="A4532" s="49">
        <v>45068.39852207176</v>
      </c>
      <c r="B4532" s="50">
        <v>45068.5234915393</v>
      </c>
      <c r="C4532" s="51">
        <v>1.011</v>
      </c>
      <c r="D4532" s="51">
        <v>65.0</v>
      </c>
      <c r="E4532" s="52" t="s">
        <v>25</v>
      </c>
      <c r="F4532" s="52" t="s">
        <v>26</v>
      </c>
      <c r="G4532" s="54"/>
    </row>
    <row r="4533">
      <c r="A4533" s="49">
        <v>45068.40894814815</v>
      </c>
      <c r="B4533" s="50">
        <v>45068.5339243981</v>
      </c>
      <c r="C4533" s="51">
        <v>1.011</v>
      </c>
      <c r="D4533" s="51">
        <v>65.0</v>
      </c>
      <c r="E4533" s="52" t="s">
        <v>25</v>
      </c>
      <c r="F4533" s="52" t="s">
        <v>26</v>
      </c>
      <c r="G4533" s="54"/>
    </row>
    <row r="4534">
      <c r="A4534" s="49">
        <v>45068.41936824074</v>
      </c>
      <c r="B4534" s="50">
        <v>45068.5443446875</v>
      </c>
      <c r="C4534" s="51">
        <v>1.011</v>
      </c>
      <c r="D4534" s="51">
        <v>65.0</v>
      </c>
      <c r="E4534" s="52" t="s">
        <v>25</v>
      </c>
      <c r="F4534" s="52" t="s">
        <v>26</v>
      </c>
      <c r="G4534" s="54"/>
    </row>
    <row r="4535">
      <c r="A4535" s="49">
        <v>45068.429809548616</v>
      </c>
      <c r="B4535" s="50">
        <v>45068.5547788078</v>
      </c>
      <c r="C4535" s="51">
        <v>1.011</v>
      </c>
      <c r="D4535" s="51">
        <v>65.0</v>
      </c>
      <c r="E4535" s="52" t="s">
        <v>25</v>
      </c>
      <c r="F4535" s="52" t="s">
        <v>26</v>
      </c>
      <c r="G4535" s="54"/>
    </row>
    <row r="4536">
      <c r="A4536" s="49">
        <v>45068.4402290625</v>
      </c>
      <c r="B4536" s="50">
        <v>45068.5652002083</v>
      </c>
      <c r="C4536" s="51">
        <v>1.011</v>
      </c>
      <c r="D4536" s="51">
        <v>65.0</v>
      </c>
      <c r="E4536" s="52" t="s">
        <v>25</v>
      </c>
      <c r="F4536" s="52" t="s">
        <v>26</v>
      </c>
      <c r="G4536" s="54"/>
    </row>
    <row r="4537">
      <c r="A4537" s="49">
        <v>45068.45064471065</v>
      </c>
      <c r="B4537" s="50">
        <v>45068.5756209606</v>
      </c>
      <c r="C4537" s="51">
        <v>1.011</v>
      </c>
      <c r="D4537" s="51">
        <v>65.0</v>
      </c>
      <c r="E4537" s="52" t="s">
        <v>25</v>
      </c>
      <c r="F4537" s="52" t="s">
        <v>26</v>
      </c>
      <c r="G4537" s="54"/>
    </row>
    <row r="4538">
      <c r="A4538" s="49">
        <v>45068.46107091435</v>
      </c>
      <c r="B4538" s="50">
        <v>45068.5860432638</v>
      </c>
      <c r="C4538" s="51">
        <v>1.011</v>
      </c>
      <c r="D4538" s="51">
        <v>65.0</v>
      </c>
      <c r="E4538" s="52" t="s">
        <v>25</v>
      </c>
      <c r="F4538" s="52" t="s">
        <v>26</v>
      </c>
      <c r="G4538" s="54"/>
    </row>
    <row r="4539">
      <c r="A4539" s="49">
        <v>45068.47149813657</v>
      </c>
      <c r="B4539" s="50">
        <v>45068.5964653703</v>
      </c>
      <c r="C4539" s="51">
        <v>1.011</v>
      </c>
      <c r="D4539" s="51">
        <v>65.0</v>
      </c>
      <c r="E4539" s="52" t="s">
        <v>25</v>
      </c>
      <c r="F4539" s="52" t="s">
        <v>26</v>
      </c>
      <c r="G4539" s="54"/>
    </row>
    <row r="4540">
      <c r="A4540" s="49">
        <v>45068.48192800926</v>
      </c>
      <c r="B4540" s="50">
        <v>45068.6068981134</v>
      </c>
      <c r="C4540" s="51">
        <v>1.011</v>
      </c>
      <c r="D4540" s="51">
        <v>65.0</v>
      </c>
      <c r="E4540" s="52" t="s">
        <v>25</v>
      </c>
      <c r="F4540" s="52" t="s">
        <v>26</v>
      </c>
      <c r="G4540" s="54"/>
    </row>
    <row r="4541">
      <c r="A4541" s="49">
        <v>45068.49234596065</v>
      </c>
      <c r="B4541" s="50">
        <v>45068.6173184838</v>
      </c>
      <c r="C4541" s="51">
        <v>1.011</v>
      </c>
      <c r="D4541" s="51">
        <v>65.0</v>
      </c>
      <c r="E4541" s="52" t="s">
        <v>25</v>
      </c>
      <c r="F4541" s="52" t="s">
        <v>26</v>
      </c>
      <c r="G4541" s="54"/>
    </row>
    <row r="4542">
      <c r="A4542" s="49">
        <v>45068.502799062495</v>
      </c>
      <c r="B4542" s="50">
        <v>45068.6277618634</v>
      </c>
      <c r="C4542" s="51">
        <v>1.011</v>
      </c>
      <c r="D4542" s="51">
        <v>65.0</v>
      </c>
      <c r="E4542" s="52" t="s">
        <v>25</v>
      </c>
      <c r="F4542" s="52" t="s">
        <v>26</v>
      </c>
      <c r="G4542" s="54"/>
    </row>
    <row r="4543">
      <c r="A4543" s="49">
        <v>45068.51321232639</v>
      </c>
      <c r="B4543" s="50">
        <v>45068.6381839236</v>
      </c>
      <c r="C4543" s="51">
        <v>1.011</v>
      </c>
      <c r="D4543" s="51">
        <v>65.0</v>
      </c>
      <c r="E4543" s="52" t="s">
        <v>25</v>
      </c>
      <c r="F4543" s="52" t="s">
        <v>26</v>
      </c>
      <c r="G4543" s="54"/>
    </row>
    <row r="4544">
      <c r="A4544" s="49">
        <v>45068.52363443287</v>
      </c>
      <c r="B4544" s="50">
        <v>45068.6486062152</v>
      </c>
      <c r="C4544" s="51">
        <v>1.011</v>
      </c>
      <c r="D4544" s="51">
        <v>65.0</v>
      </c>
      <c r="E4544" s="52" t="s">
        <v>25</v>
      </c>
      <c r="F4544" s="52" t="s">
        <v>26</v>
      </c>
      <c r="G4544" s="54"/>
    </row>
    <row r="4545">
      <c r="A4545" s="49">
        <v>45068.53405548611</v>
      </c>
      <c r="B4545" s="50">
        <v>45068.6590272569</v>
      </c>
      <c r="C4545" s="51">
        <v>1.011</v>
      </c>
      <c r="D4545" s="51">
        <v>65.0</v>
      </c>
      <c r="E4545" s="52" t="s">
        <v>25</v>
      </c>
      <c r="F4545" s="52" t="s">
        <v>26</v>
      </c>
      <c r="G4545" s="54"/>
    </row>
    <row r="4546">
      <c r="A4546" s="49">
        <v>45068.5444775</v>
      </c>
      <c r="B4546" s="50">
        <v>45068.6694478703</v>
      </c>
      <c r="C4546" s="51">
        <v>1.011</v>
      </c>
      <c r="D4546" s="51">
        <v>65.0</v>
      </c>
      <c r="E4546" s="52" t="s">
        <v>25</v>
      </c>
      <c r="F4546" s="52" t="s">
        <v>26</v>
      </c>
      <c r="G4546" s="54"/>
    </row>
    <row r="4547">
      <c r="A4547" s="49">
        <v>45068.554900138886</v>
      </c>
      <c r="B4547" s="50">
        <v>45068.6798699305</v>
      </c>
      <c r="C4547" s="51">
        <v>1.011</v>
      </c>
      <c r="D4547" s="51">
        <v>65.0</v>
      </c>
      <c r="E4547" s="52" t="s">
        <v>25</v>
      </c>
      <c r="F4547" s="52" t="s">
        <v>26</v>
      </c>
      <c r="G4547" s="54"/>
    </row>
    <row r="4548">
      <c r="A4548" s="49">
        <v>45068.56534439814</v>
      </c>
      <c r="B4548" s="50">
        <v>45068.690314618</v>
      </c>
      <c r="C4548" s="51">
        <v>1.011</v>
      </c>
      <c r="D4548" s="51">
        <v>65.0</v>
      </c>
      <c r="E4548" s="52" t="s">
        <v>25</v>
      </c>
      <c r="F4548" s="52" t="s">
        <v>26</v>
      </c>
      <c r="G4548" s="54"/>
    </row>
    <row r="4549">
      <c r="A4549" s="49">
        <v>45068.57576050926</v>
      </c>
      <c r="B4549" s="50">
        <v>45068.7007347453</v>
      </c>
      <c r="C4549" s="51">
        <v>1.011</v>
      </c>
      <c r="D4549" s="51">
        <v>65.0</v>
      </c>
      <c r="E4549" s="52" t="s">
        <v>25</v>
      </c>
      <c r="F4549" s="52" t="s">
        <v>26</v>
      </c>
      <c r="G4549" s="54"/>
    </row>
    <row r="4550">
      <c r="A4550" s="49">
        <v>45068.58618907408</v>
      </c>
      <c r="B4550" s="50">
        <v>45068.7111563541</v>
      </c>
      <c r="C4550" s="51">
        <v>1.011</v>
      </c>
      <c r="D4550" s="51">
        <v>65.0</v>
      </c>
      <c r="E4550" s="52" t="s">
        <v>25</v>
      </c>
      <c r="F4550" s="52" t="s">
        <v>26</v>
      </c>
      <c r="G4550" s="54"/>
    </row>
    <row r="4551">
      <c r="A4551" s="49">
        <v>45068.59659644676</v>
      </c>
      <c r="B4551" s="50">
        <v>45068.7215758912</v>
      </c>
      <c r="C4551" s="51">
        <v>1.011</v>
      </c>
      <c r="D4551" s="51">
        <v>65.0</v>
      </c>
      <c r="E4551" s="52" t="s">
        <v>25</v>
      </c>
      <c r="F4551" s="52" t="s">
        <v>26</v>
      </c>
      <c r="G4551" s="54"/>
    </row>
    <row r="4552">
      <c r="A4552" s="49">
        <v>45068.60703677083</v>
      </c>
      <c r="B4552" s="50">
        <v>45068.7320072338</v>
      </c>
      <c r="C4552" s="51">
        <v>1.011</v>
      </c>
      <c r="D4552" s="51">
        <v>65.0</v>
      </c>
      <c r="E4552" s="52" t="s">
        <v>25</v>
      </c>
      <c r="F4552" s="52" t="s">
        <v>26</v>
      </c>
      <c r="G4552" s="54"/>
    </row>
    <row r="4553">
      <c r="A4553" s="49">
        <v>45068.61745694444</v>
      </c>
      <c r="B4553" s="50">
        <v>45068.7424281134</v>
      </c>
      <c r="C4553" s="51">
        <v>1.011</v>
      </c>
      <c r="D4553" s="51">
        <v>65.0</v>
      </c>
      <c r="E4553" s="52" t="s">
        <v>25</v>
      </c>
      <c r="F4553" s="52" t="s">
        <v>26</v>
      </c>
      <c r="G4553" s="54"/>
    </row>
    <row r="4554">
      <c r="A4554" s="49">
        <v>45068.62788165509</v>
      </c>
      <c r="B4554" s="50">
        <v>45068.7528498842</v>
      </c>
      <c r="C4554" s="51">
        <v>1.011</v>
      </c>
      <c r="D4554" s="51">
        <v>65.0</v>
      </c>
      <c r="E4554" s="52" t="s">
        <v>25</v>
      </c>
      <c r="F4554" s="52" t="s">
        <v>26</v>
      </c>
      <c r="G4554" s="54"/>
    </row>
    <row r="4555">
      <c r="A4555" s="49">
        <v>45068.63829326389</v>
      </c>
      <c r="B4555" s="50">
        <v>45068.7632709027</v>
      </c>
      <c r="C4555" s="51">
        <v>1.011</v>
      </c>
      <c r="D4555" s="51">
        <v>65.0</v>
      </c>
      <c r="E4555" s="52" t="s">
        <v>25</v>
      </c>
      <c r="F4555" s="52" t="s">
        <v>26</v>
      </c>
      <c r="G4555" s="54"/>
    </row>
    <row r="4556">
      <c r="A4556" s="49">
        <v>45068.64873675926</v>
      </c>
      <c r="B4556" s="50">
        <v>45068.7737044907</v>
      </c>
      <c r="C4556" s="51">
        <v>1.011</v>
      </c>
      <c r="D4556" s="51">
        <v>65.0</v>
      </c>
      <c r="E4556" s="52" t="s">
        <v>25</v>
      </c>
      <c r="F4556" s="52" t="s">
        <v>26</v>
      </c>
      <c r="G4556" s="54"/>
    </row>
    <row r="4557">
      <c r="A4557" s="49">
        <v>45068.65915658565</v>
      </c>
      <c r="B4557" s="50">
        <v>45068.7841260532</v>
      </c>
      <c r="C4557" s="51">
        <v>1.011</v>
      </c>
      <c r="D4557" s="51">
        <v>65.0</v>
      </c>
      <c r="E4557" s="52" t="s">
        <v>25</v>
      </c>
      <c r="F4557" s="52" t="s">
        <v>26</v>
      </c>
      <c r="G4557" s="54"/>
    </row>
    <row r="4558">
      <c r="A4558" s="49">
        <v>45068.66957248843</v>
      </c>
      <c r="B4558" s="50">
        <v>45068.7945475231</v>
      </c>
      <c r="C4558" s="51">
        <v>1.011</v>
      </c>
      <c r="D4558" s="51">
        <v>65.0</v>
      </c>
      <c r="E4558" s="52" t="s">
        <v>25</v>
      </c>
      <c r="F4558" s="52" t="s">
        <v>26</v>
      </c>
      <c r="G4558" s="54"/>
    </row>
    <row r="4559">
      <c r="A4559" s="49">
        <v>45068.679996666666</v>
      </c>
      <c r="B4559" s="50">
        <v>45068.8049662731</v>
      </c>
      <c r="C4559" s="51">
        <v>1.011</v>
      </c>
      <c r="D4559" s="51">
        <v>65.0</v>
      </c>
      <c r="E4559" s="52" t="s">
        <v>25</v>
      </c>
      <c r="F4559" s="52" t="s">
        <v>26</v>
      </c>
      <c r="G4559" s="54"/>
    </row>
    <row r="4560">
      <c r="A4560" s="49">
        <v>45068.69041512732</v>
      </c>
      <c r="B4560" s="50">
        <v>45068.8153872106</v>
      </c>
      <c r="C4560" s="51">
        <v>1.011</v>
      </c>
      <c r="D4560" s="51">
        <v>65.0</v>
      </c>
      <c r="E4560" s="52" t="s">
        <v>25</v>
      </c>
      <c r="F4560" s="52" t="s">
        <v>26</v>
      </c>
      <c r="G4560" s="54"/>
    </row>
    <row r="4561">
      <c r="A4561" s="49">
        <v>45068.70085616898</v>
      </c>
      <c r="B4561" s="50">
        <v>45068.8258213541</v>
      </c>
      <c r="C4561" s="51">
        <v>1.011</v>
      </c>
      <c r="D4561" s="51">
        <v>65.0</v>
      </c>
      <c r="E4561" s="52" t="s">
        <v>25</v>
      </c>
      <c r="F4561" s="52" t="s">
        <v>26</v>
      </c>
      <c r="G4561" s="54"/>
    </row>
    <row r="4562">
      <c r="A4562" s="49">
        <v>45068.71126998843</v>
      </c>
      <c r="B4562" s="50">
        <v>45068.8362414814</v>
      </c>
      <c r="C4562" s="51">
        <v>1.011</v>
      </c>
      <c r="D4562" s="51">
        <v>65.0</v>
      </c>
      <c r="E4562" s="52" t="s">
        <v>25</v>
      </c>
      <c r="F4562" s="52" t="s">
        <v>26</v>
      </c>
      <c r="G4562" s="54"/>
    </row>
    <row r="4563">
      <c r="A4563" s="49">
        <v>45068.72169100694</v>
      </c>
      <c r="B4563" s="50">
        <v>45068.8466641666</v>
      </c>
      <c r="C4563" s="51">
        <v>1.011</v>
      </c>
      <c r="D4563" s="51">
        <v>65.0</v>
      </c>
      <c r="E4563" s="52" t="s">
        <v>25</v>
      </c>
      <c r="F4563" s="52" t="s">
        <v>26</v>
      </c>
      <c r="G4563" s="54"/>
    </row>
    <row r="4564">
      <c r="A4564" s="49">
        <v>45068.732117175925</v>
      </c>
      <c r="B4564" s="50">
        <v>45068.8570858217</v>
      </c>
      <c r="C4564" s="51">
        <v>1.011</v>
      </c>
      <c r="D4564" s="51">
        <v>65.0</v>
      </c>
      <c r="E4564" s="52" t="s">
        <v>25</v>
      </c>
      <c r="F4564" s="52" t="s">
        <v>26</v>
      </c>
      <c r="G4564" s="54"/>
    </row>
    <row r="4565">
      <c r="A4565" s="49">
        <v>45068.742533136574</v>
      </c>
      <c r="B4565" s="50">
        <v>45068.8675077314</v>
      </c>
      <c r="C4565" s="51">
        <v>1.011</v>
      </c>
      <c r="D4565" s="51">
        <v>65.0</v>
      </c>
      <c r="E4565" s="52" t="s">
        <v>25</v>
      </c>
      <c r="F4565" s="52" t="s">
        <v>26</v>
      </c>
      <c r="G4565" s="54"/>
    </row>
    <row r="4566">
      <c r="A4566" s="49">
        <v>45068.752954745374</v>
      </c>
      <c r="B4566" s="50">
        <v>45068.8779292129</v>
      </c>
      <c r="C4566" s="51">
        <v>1.011</v>
      </c>
      <c r="D4566" s="51">
        <v>65.0</v>
      </c>
      <c r="E4566" s="52" t="s">
        <v>25</v>
      </c>
      <c r="F4566" s="52" t="s">
        <v>26</v>
      </c>
      <c r="G4566" s="54"/>
    </row>
    <row r="4567">
      <c r="A4567" s="49">
        <v>45068.7738000463</v>
      </c>
      <c r="B4567" s="50">
        <v>45068.898772662</v>
      </c>
      <c r="C4567" s="51">
        <v>1.011</v>
      </c>
      <c r="D4567" s="51">
        <v>65.0</v>
      </c>
      <c r="E4567" s="52" t="s">
        <v>25</v>
      </c>
      <c r="F4567" s="52" t="s">
        <v>26</v>
      </c>
      <c r="G4567" s="54"/>
    </row>
    <row r="4568">
      <c r="A4568" s="49">
        <v>45068.78422407407</v>
      </c>
      <c r="B4568" s="50">
        <v>45068.9091921064</v>
      </c>
      <c r="C4568" s="51">
        <v>1.011</v>
      </c>
      <c r="D4568" s="51">
        <v>65.0</v>
      </c>
      <c r="E4568" s="52" t="s">
        <v>25</v>
      </c>
      <c r="F4568" s="52" t="s">
        <v>26</v>
      </c>
      <c r="G4568" s="54"/>
    </row>
    <row r="4569">
      <c r="A4569" s="49">
        <v>45068.78602703704</v>
      </c>
      <c r="B4569" s="50">
        <v>45068.8961351273</v>
      </c>
      <c r="C4569" s="51">
        <v>1.011</v>
      </c>
      <c r="D4569" s="51">
        <v>65.0</v>
      </c>
      <c r="E4569" s="52" t="s">
        <v>25</v>
      </c>
      <c r="F4569" s="52" t="s">
        <v>26</v>
      </c>
      <c r="G4569" s="54"/>
    </row>
    <row r="4570">
      <c r="A4570" s="49">
        <v>45068.786198437505</v>
      </c>
      <c r="B4570" s="50">
        <v>45068.911122199</v>
      </c>
      <c r="C4570" s="51">
        <v>1.011</v>
      </c>
      <c r="D4570" s="51">
        <v>65.0</v>
      </c>
      <c r="E4570" s="52" t="s">
        <v>25</v>
      </c>
      <c r="F4570" s="52" t="s">
        <v>26</v>
      </c>
      <c r="G4570" s="54"/>
    </row>
    <row r="4571">
      <c r="A4571" s="49">
        <v>45068.79663438657</v>
      </c>
      <c r="B4571" s="50">
        <v>45068.9215420717</v>
      </c>
      <c r="C4571" s="51">
        <v>1.011</v>
      </c>
      <c r="D4571" s="51">
        <v>65.0</v>
      </c>
      <c r="E4571" s="52" t="s">
        <v>25</v>
      </c>
      <c r="F4571" s="52" t="s">
        <v>26</v>
      </c>
      <c r="G4571" s="54"/>
    </row>
    <row r="4572">
      <c r="A4572" s="49">
        <v>45068.80236307871</v>
      </c>
      <c r="B4572" s="50">
        <v>45068.9261459606</v>
      </c>
      <c r="C4572" s="51">
        <v>1.011</v>
      </c>
      <c r="D4572" s="51">
        <v>65.0</v>
      </c>
      <c r="E4572" s="52" t="s">
        <v>25</v>
      </c>
      <c r="F4572" s="52" t="s">
        <v>26</v>
      </c>
      <c r="G4572" s="54"/>
    </row>
    <row r="4573">
      <c r="A4573" s="49">
        <v>45068.81164987269</v>
      </c>
      <c r="B4573" s="50">
        <v>45068.936591493</v>
      </c>
      <c r="C4573" s="51">
        <v>1.011</v>
      </c>
      <c r="D4573" s="51">
        <v>65.0</v>
      </c>
      <c r="E4573" s="52" t="s">
        <v>25</v>
      </c>
      <c r="F4573" s="52" t="s">
        <v>26</v>
      </c>
      <c r="G4573" s="54"/>
    </row>
    <row r="4574">
      <c r="A4574" s="49">
        <v>45068.8220635301</v>
      </c>
      <c r="B4574" s="50">
        <v>45068.9470244328</v>
      </c>
      <c r="C4574" s="51">
        <v>1.011</v>
      </c>
      <c r="D4574" s="51">
        <v>65.0</v>
      </c>
      <c r="E4574" s="52" t="s">
        <v>25</v>
      </c>
      <c r="F4574" s="52" t="s">
        <v>26</v>
      </c>
      <c r="G4574" s="54"/>
    </row>
    <row r="4575">
      <c r="A4575" s="49">
        <v>45068.83249375</v>
      </c>
      <c r="B4575" s="50">
        <v>45068.9574443171</v>
      </c>
      <c r="C4575" s="51">
        <v>1.011</v>
      </c>
      <c r="D4575" s="51">
        <v>65.0</v>
      </c>
      <c r="E4575" s="52" t="s">
        <v>25</v>
      </c>
      <c r="F4575" s="52" t="s">
        <v>26</v>
      </c>
      <c r="G4575" s="54"/>
    </row>
    <row r="4576">
      <c r="A4576" s="49">
        <v>45068.84290653935</v>
      </c>
      <c r="B4576" s="50">
        <v>45068.9678634722</v>
      </c>
      <c r="C4576" s="51">
        <v>1.011</v>
      </c>
      <c r="D4576" s="51">
        <v>65.0</v>
      </c>
      <c r="E4576" s="52" t="s">
        <v>25</v>
      </c>
      <c r="F4576" s="52" t="s">
        <v>26</v>
      </c>
      <c r="G4576" s="54"/>
    </row>
    <row r="4577">
      <c r="A4577" s="49">
        <v>45068.853333506944</v>
      </c>
      <c r="B4577" s="50">
        <v>45068.9782839467</v>
      </c>
      <c r="C4577" s="51">
        <v>1.011</v>
      </c>
      <c r="D4577" s="51">
        <v>65.0</v>
      </c>
      <c r="E4577" s="52" t="s">
        <v>25</v>
      </c>
      <c r="F4577" s="52" t="s">
        <v>26</v>
      </c>
      <c r="G4577" s="54"/>
    </row>
    <row r="4578">
      <c r="A4578" s="49">
        <v>45068.86375697917</v>
      </c>
      <c r="B4578" s="50">
        <v>45068.9887073032</v>
      </c>
      <c r="C4578" s="51">
        <v>1.011</v>
      </c>
      <c r="D4578" s="51">
        <v>65.0</v>
      </c>
      <c r="E4578" s="52" t="s">
        <v>25</v>
      </c>
      <c r="F4578" s="52" t="s">
        <v>26</v>
      </c>
      <c r="G4578" s="54"/>
    </row>
    <row r="4579">
      <c r="A4579" s="49">
        <v>45068.87416782408</v>
      </c>
      <c r="B4579" s="50">
        <v>45068.9991289814</v>
      </c>
      <c r="C4579" s="51">
        <v>1.011</v>
      </c>
      <c r="D4579" s="51">
        <v>65.0</v>
      </c>
      <c r="E4579" s="52" t="s">
        <v>25</v>
      </c>
      <c r="F4579" s="52" t="s">
        <v>26</v>
      </c>
      <c r="G4579" s="54"/>
    </row>
    <row r="4580">
      <c r="A4580" s="49">
        <v>45068.884596620366</v>
      </c>
      <c r="B4580" s="50">
        <v>45069.009547199</v>
      </c>
      <c r="C4580" s="51">
        <v>1.011</v>
      </c>
      <c r="D4580" s="51">
        <v>65.0</v>
      </c>
      <c r="E4580" s="52" t="s">
        <v>25</v>
      </c>
      <c r="F4580" s="52" t="s">
        <v>26</v>
      </c>
      <c r="G4580" s="54"/>
    </row>
    <row r="4581">
      <c r="A4581" s="49">
        <v>45068.895022233795</v>
      </c>
      <c r="B4581" s="50">
        <v>45069.0199789236</v>
      </c>
      <c r="C4581" s="51">
        <v>1.011</v>
      </c>
      <c r="D4581" s="51">
        <v>65.0</v>
      </c>
      <c r="E4581" s="52" t="s">
        <v>25</v>
      </c>
      <c r="F4581" s="52" t="s">
        <v>26</v>
      </c>
      <c r="G4581" s="54"/>
    </row>
    <row r="4582">
      <c r="A4582" s="49">
        <v>45068.90544495371</v>
      </c>
      <c r="B4582" s="50">
        <v>45069.0304109722</v>
      </c>
      <c r="C4582" s="51">
        <v>1.011</v>
      </c>
      <c r="D4582" s="51">
        <v>65.0</v>
      </c>
      <c r="E4582" s="52" t="s">
        <v>25</v>
      </c>
      <c r="F4582" s="52" t="s">
        <v>26</v>
      </c>
      <c r="G4582" s="54"/>
    </row>
    <row r="4583">
      <c r="A4583" s="49">
        <v>45068.91586346064</v>
      </c>
      <c r="B4583" s="50">
        <v>45069.0408321064</v>
      </c>
      <c r="C4583" s="51">
        <v>1.011</v>
      </c>
      <c r="D4583" s="51">
        <v>65.0</v>
      </c>
      <c r="E4583" s="52" t="s">
        <v>25</v>
      </c>
      <c r="F4583" s="52" t="s">
        <v>26</v>
      </c>
      <c r="G4583" s="54"/>
    </row>
    <row r="4584">
      <c r="A4584" s="49">
        <v>45068.92627930555</v>
      </c>
      <c r="B4584" s="50">
        <v>45069.0512546412</v>
      </c>
      <c r="C4584" s="51">
        <v>1.011</v>
      </c>
      <c r="D4584" s="51">
        <v>65.0</v>
      </c>
      <c r="E4584" s="52" t="s">
        <v>25</v>
      </c>
      <c r="F4584" s="52" t="s">
        <v>26</v>
      </c>
      <c r="G4584" s="54"/>
    </row>
    <row r="4585">
      <c r="A4585" s="49">
        <v>45068.94712466435</v>
      </c>
      <c r="B4585" s="50">
        <v>45069.0720987037</v>
      </c>
      <c r="C4585" s="51">
        <v>1.011</v>
      </c>
      <c r="D4585" s="51">
        <v>65.0</v>
      </c>
      <c r="E4585" s="52" t="s">
        <v>25</v>
      </c>
      <c r="F4585" s="52" t="s">
        <v>26</v>
      </c>
      <c r="G4585" s="54"/>
    </row>
    <row r="4586">
      <c r="A4586" s="49">
        <v>45068.95757273148</v>
      </c>
      <c r="B4586" s="50">
        <v>45069.0825434953</v>
      </c>
      <c r="C4586" s="51">
        <v>1.011</v>
      </c>
      <c r="D4586" s="51">
        <v>65.0</v>
      </c>
      <c r="E4586" s="52" t="s">
        <v>25</v>
      </c>
      <c r="F4586" s="52" t="s">
        <v>26</v>
      </c>
      <c r="G4586" s="54"/>
    </row>
    <row r="4587">
      <c r="A4587" s="49">
        <v>45068.96799679398</v>
      </c>
      <c r="B4587" s="50">
        <v>45069.092965868</v>
      </c>
      <c r="C4587" s="51">
        <v>1.011</v>
      </c>
      <c r="D4587" s="51">
        <v>65.0</v>
      </c>
      <c r="E4587" s="52" t="s">
        <v>25</v>
      </c>
      <c r="F4587" s="52" t="s">
        <v>26</v>
      </c>
      <c r="G4587" s="54"/>
    </row>
    <row r="4588">
      <c r="A4588" s="49">
        <v>45068.97843851852</v>
      </c>
      <c r="B4588" s="50">
        <v>45069.1034101388</v>
      </c>
      <c r="C4588" s="51">
        <v>1.011</v>
      </c>
      <c r="D4588" s="51">
        <v>65.0</v>
      </c>
      <c r="E4588" s="52" t="s">
        <v>25</v>
      </c>
      <c r="F4588" s="52" t="s">
        <v>26</v>
      </c>
      <c r="G4588" s="54"/>
    </row>
    <row r="4589">
      <c r="A4589" s="49">
        <v>45068.98886354167</v>
      </c>
      <c r="B4589" s="50">
        <v>45069.1138328819</v>
      </c>
      <c r="C4589" s="51">
        <v>1.011</v>
      </c>
      <c r="D4589" s="51">
        <v>65.0</v>
      </c>
      <c r="E4589" s="52" t="s">
        <v>25</v>
      </c>
      <c r="F4589" s="52" t="s">
        <v>26</v>
      </c>
      <c r="G4589" s="54"/>
    </row>
    <row r="4590">
      <c r="A4590" s="49">
        <v>45068.99928527778</v>
      </c>
      <c r="B4590" s="50">
        <v>45069.1242537847</v>
      </c>
      <c r="C4590" s="51">
        <v>1.011</v>
      </c>
      <c r="D4590" s="51">
        <v>65.0</v>
      </c>
      <c r="E4590" s="52" t="s">
        <v>25</v>
      </c>
      <c r="F4590" s="52" t="s">
        <v>26</v>
      </c>
      <c r="G4590" s="54"/>
    </row>
    <row r="4591">
      <c r="A4591" s="49">
        <v>45069.00969828704</v>
      </c>
      <c r="B4591" s="50">
        <v>45069.1346746412</v>
      </c>
      <c r="C4591" s="51">
        <v>1.011</v>
      </c>
      <c r="D4591" s="51">
        <v>65.0</v>
      </c>
      <c r="E4591" s="52" t="s">
        <v>25</v>
      </c>
      <c r="F4591" s="52" t="s">
        <v>26</v>
      </c>
      <c r="G4591" s="54"/>
    </row>
    <row r="4592">
      <c r="A4592" s="49">
        <v>45069.02012741898</v>
      </c>
      <c r="B4592" s="50">
        <v>45069.1450951504</v>
      </c>
      <c r="C4592" s="51">
        <v>1.011</v>
      </c>
      <c r="D4592" s="51">
        <v>65.0</v>
      </c>
      <c r="E4592" s="52" t="s">
        <v>25</v>
      </c>
      <c r="F4592" s="52" t="s">
        <v>26</v>
      </c>
      <c r="G4592" s="54"/>
    </row>
    <row r="4593">
      <c r="A4593" s="49">
        <v>45069.03057982639</v>
      </c>
      <c r="B4593" s="50">
        <v>45069.1555511805</v>
      </c>
      <c r="C4593" s="51">
        <v>1.011</v>
      </c>
      <c r="D4593" s="51">
        <v>65.0</v>
      </c>
      <c r="E4593" s="52" t="s">
        <v>25</v>
      </c>
      <c r="F4593" s="52" t="s">
        <v>26</v>
      </c>
      <c r="G4593" s="54"/>
    </row>
    <row r="4594">
      <c r="A4594" s="49">
        <v>45069.04101003472</v>
      </c>
      <c r="B4594" s="50">
        <v>45069.1659824074</v>
      </c>
      <c r="C4594" s="51">
        <v>1.011</v>
      </c>
      <c r="D4594" s="51">
        <v>65.0</v>
      </c>
      <c r="E4594" s="52" t="s">
        <v>25</v>
      </c>
      <c r="F4594" s="52" t="s">
        <v>26</v>
      </c>
      <c r="G4594" s="54"/>
    </row>
    <row r="4595">
      <c r="A4595" s="49">
        <v>45069.05142837963</v>
      </c>
      <c r="B4595" s="50">
        <v>45069.1764001504</v>
      </c>
      <c r="C4595" s="51">
        <v>1.011</v>
      </c>
      <c r="D4595" s="51">
        <v>65.0</v>
      </c>
      <c r="E4595" s="52" t="s">
        <v>25</v>
      </c>
      <c r="F4595" s="52" t="s">
        <v>26</v>
      </c>
      <c r="G4595" s="54"/>
    </row>
    <row r="4596">
      <c r="A4596" s="49">
        <v>45069.061854328706</v>
      </c>
      <c r="B4596" s="50">
        <v>45069.1868328472</v>
      </c>
      <c r="C4596" s="51">
        <v>1.011</v>
      </c>
      <c r="D4596" s="51">
        <v>65.0</v>
      </c>
      <c r="E4596" s="52" t="s">
        <v>25</v>
      </c>
      <c r="F4596" s="52" t="s">
        <v>26</v>
      </c>
      <c r="G4596" s="54"/>
    </row>
    <row r="4597">
      <c r="A4597" s="49">
        <v>45069.07228361111</v>
      </c>
      <c r="B4597" s="50">
        <v>45069.1972547338</v>
      </c>
      <c r="C4597" s="51">
        <v>1.011</v>
      </c>
      <c r="D4597" s="51">
        <v>65.0</v>
      </c>
      <c r="E4597" s="52" t="s">
        <v>25</v>
      </c>
      <c r="F4597" s="52" t="s">
        <v>26</v>
      </c>
      <c r="G4597" s="54"/>
    </row>
    <row r="4598">
      <c r="A4598" s="49">
        <v>45069.0827044676</v>
      </c>
      <c r="B4598" s="50">
        <v>45069.2076738541</v>
      </c>
      <c r="C4598" s="51">
        <v>1.011</v>
      </c>
      <c r="D4598" s="51">
        <v>65.0</v>
      </c>
      <c r="E4598" s="52" t="s">
        <v>25</v>
      </c>
      <c r="F4598" s="52" t="s">
        <v>26</v>
      </c>
      <c r="G4598" s="54"/>
    </row>
    <row r="4599">
      <c r="A4599" s="49">
        <v>45069.093120405094</v>
      </c>
      <c r="B4599" s="50">
        <v>45069.2180953472</v>
      </c>
      <c r="C4599" s="51">
        <v>1.011</v>
      </c>
      <c r="D4599" s="51">
        <v>65.0</v>
      </c>
      <c r="E4599" s="52" t="s">
        <v>25</v>
      </c>
      <c r="F4599" s="52" t="s">
        <v>26</v>
      </c>
      <c r="G4599" s="54"/>
    </row>
    <row r="4600">
      <c r="A4600" s="49">
        <v>45069.103550625005</v>
      </c>
      <c r="B4600" s="50">
        <v>45069.2285166435</v>
      </c>
      <c r="C4600" s="51">
        <v>1.011</v>
      </c>
      <c r="D4600" s="51">
        <v>65.0</v>
      </c>
      <c r="E4600" s="52" t="s">
        <v>25</v>
      </c>
      <c r="F4600" s="52" t="s">
        <v>26</v>
      </c>
      <c r="G4600" s="54"/>
    </row>
    <row r="4601">
      <c r="A4601" s="49">
        <v>45069.11397633102</v>
      </c>
      <c r="B4601" s="50">
        <v>45069.2389496064</v>
      </c>
      <c r="C4601" s="51">
        <v>1.011</v>
      </c>
      <c r="D4601" s="51">
        <v>65.0</v>
      </c>
      <c r="E4601" s="52" t="s">
        <v>25</v>
      </c>
      <c r="F4601" s="52" t="s">
        <v>26</v>
      </c>
      <c r="G4601" s="54"/>
    </row>
    <row r="4602">
      <c r="A4602" s="49">
        <v>45069.12440122685</v>
      </c>
      <c r="B4602" s="50">
        <v>45069.2493693981</v>
      </c>
      <c r="C4602" s="51">
        <v>1.011</v>
      </c>
      <c r="D4602" s="51">
        <v>65.0</v>
      </c>
      <c r="E4602" s="52" t="s">
        <v>25</v>
      </c>
      <c r="F4602" s="52" t="s">
        <v>26</v>
      </c>
      <c r="G4602" s="54"/>
    </row>
    <row r="4603">
      <c r="A4603" s="49">
        <v>45069.134836550926</v>
      </c>
      <c r="B4603" s="50">
        <v>45069.2598028009</v>
      </c>
      <c r="C4603" s="51">
        <v>1.011</v>
      </c>
      <c r="D4603" s="51">
        <v>65.0</v>
      </c>
      <c r="E4603" s="52" t="s">
        <v>25</v>
      </c>
      <c r="F4603" s="52" t="s">
        <v>26</v>
      </c>
      <c r="G4603" s="54"/>
    </row>
    <row r="4604">
      <c r="A4604" s="49">
        <v>45069.14524784722</v>
      </c>
      <c r="B4604" s="50">
        <v>45069.2702235995</v>
      </c>
      <c r="C4604" s="51">
        <v>1.011</v>
      </c>
      <c r="D4604" s="51">
        <v>65.0</v>
      </c>
      <c r="E4604" s="52" t="s">
        <v>25</v>
      </c>
      <c r="F4604" s="52" t="s">
        <v>26</v>
      </c>
      <c r="G4604" s="54"/>
    </row>
    <row r="4605">
      <c r="A4605" s="49">
        <v>45069.15567707176</v>
      </c>
      <c r="B4605" s="50">
        <v>45069.2806454513</v>
      </c>
      <c r="C4605" s="51">
        <v>1.011</v>
      </c>
      <c r="D4605" s="51">
        <v>65.0</v>
      </c>
      <c r="E4605" s="52" t="s">
        <v>25</v>
      </c>
      <c r="F4605" s="52" t="s">
        <v>26</v>
      </c>
      <c r="G4605" s="54"/>
    </row>
    <row r="4606">
      <c r="A4606" s="49">
        <v>45069.16612122685</v>
      </c>
      <c r="B4606" s="50">
        <v>45069.2910670138</v>
      </c>
      <c r="C4606" s="51">
        <v>1.011</v>
      </c>
      <c r="D4606" s="51">
        <v>65.0</v>
      </c>
      <c r="E4606" s="52" t="s">
        <v>25</v>
      </c>
      <c r="F4606" s="52" t="s">
        <v>26</v>
      </c>
      <c r="G4606" s="54"/>
    </row>
    <row r="4607">
      <c r="A4607" s="49">
        <v>45069.17653064815</v>
      </c>
      <c r="B4607" s="50">
        <v>45069.3014902083</v>
      </c>
      <c r="C4607" s="51">
        <v>1.011</v>
      </c>
      <c r="D4607" s="51">
        <v>65.0</v>
      </c>
      <c r="E4607" s="52" t="s">
        <v>25</v>
      </c>
      <c r="F4607" s="52" t="s">
        <v>26</v>
      </c>
      <c r="G4607" s="54"/>
    </row>
    <row r="4608">
      <c r="A4608" s="49">
        <v>45069.186959618055</v>
      </c>
      <c r="B4608" s="50">
        <v>45069.311912118</v>
      </c>
      <c r="C4608" s="51">
        <v>1.01</v>
      </c>
      <c r="D4608" s="51">
        <v>65.0</v>
      </c>
      <c r="E4608" s="52" t="s">
        <v>25</v>
      </c>
      <c r="F4608" s="52" t="s">
        <v>26</v>
      </c>
      <c r="G4608" s="54"/>
    </row>
    <row r="4609">
      <c r="A4609" s="49">
        <v>45069.19737570602</v>
      </c>
      <c r="B4609" s="50">
        <v>45069.3223330902</v>
      </c>
      <c r="C4609" s="51">
        <v>1.011</v>
      </c>
      <c r="D4609" s="51">
        <v>65.0</v>
      </c>
      <c r="E4609" s="52" t="s">
        <v>25</v>
      </c>
      <c r="F4609" s="52" t="s">
        <v>26</v>
      </c>
      <c r="G4609" s="54"/>
    </row>
    <row r="4610">
      <c r="A4610" s="49">
        <v>45069.20780253472</v>
      </c>
      <c r="B4610" s="50">
        <v>45069.3327791782</v>
      </c>
      <c r="C4610" s="51">
        <v>1.011</v>
      </c>
      <c r="D4610" s="51">
        <v>65.0</v>
      </c>
      <c r="E4610" s="52" t="s">
        <v>25</v>
      </c>
      <c r="F4610" s="52" t="s">
        <v>26</v>
      </c>
      <c r="G4610" s="54"/>
    </row>
    <row r="4611">
      <c r="A4611" s="49">
        <v>45069.21824278936</v>
      </c>
      <c r="B4611" s="50">
        <v>45069.3431994676</v>
      </c>
      <c r="C4611" s="51">
        <v>1.011</v>
      </c>
      <c r="D4611" s="51">
        <v>65.0</v>
      </c>
      <c r="E4611" s="52" t="s">
        <v>25</v>
      </c>
      <c r="F4611" s="52" t="s">
        <v>26</v>
      </c>
      <c r="G4611" s="54"/>
    </row>
    <row r="4612">
      <c r="A4612" s="49">
        <v>45069.22865568287</v>
      </c>
      <c r="B4612" s="50">
        <v>45069.3536206134</v>
      </c>
      <c r="C4612" s="51">
        <v>1.011</v>
      </c>
      <c r="D4612" s="51">
        <v>65.0</v>
      </c>
      <c r="E4612" s="52" t="s">
        <v>25</v>
      </c>
      <c r="F4612" s="52" t="s">
        <v>26</v>
      </c>
      <c r="G4612" s="54"/>
    </row>
    <row r="4613">
      <c r="A4613" s="49">
        <v>45069.23908724537</v>
      </c>
      <c r="B4613" s="50">
        <v>45069.3640409375</v>
      </c>
      <c r="C4613" s="51">
        <v>1.011</v>
      </c>
      <c r="D4613" s="51">
        <v>65.0</v>
      </c>
      <c r="E4613" s="52" t="s">
        <v>25</v>
      </c>
      <c r="F4613" s="52" t="s">
        <v>26</v>
      </c>
      <c r="G4613" s="54"/>
    </row>
    <row r="4614">
      <c r="A4614" s="49">
        <v>45069.24951864583</v>
      </c>
      <c r="B4614" s="50">
        <v>45069.3744618402</v>
      </c>
      <c r="C4614" s="51">
        <v>1.011</v>
      </c>
      <c r="D4614" s="51">
        <v>65.0</v>
      </c>
      <c r="E4614" s="52" t="s">
        <v>25</v>
      </c>
      <c r="F4614" s="52" t="s">
        <v>26</v>
      </c>
      <c r="G4614" s="54"/>
    </row>
    <row r="4615">
      <c r="A4615" s="49">
        <v>45069.2599509375</v>
      </c>
      <c r="B4615" s="50">
        <v>45069.384883287</v>
      </c>
      <c r="C4615" s="51">
        <v>1.011</v>
      </c>
      <c r="D4615" s="51">
        <v>65.0</v>
      </c>
      <c r="E4615" s="52" t="s">
        <v>25</v>
      </c>
      <c r="F4615" s="52" t="s">
        <v>26</v>
      </c>
      <c r="G4615" s="54"/>
    </row>
    <row r="4616">
      <c r="A4616" s="49">
        <v>45069.2703950463</v>
      </c>
      <c r="B4616" s="50">
        <v>45069.3953154976</v>
      </c>
      <c r="C4616" s="51">
        <v>1.01</v>
      </c>
      <c r="D4616" s="51">
        <v>65.0</v>
      </c>
      <c r="E4616" s="52" t="s">
        <v>25</v>
      </c>
      <c r="F4616" s="52" t="s">
        <v>26</v>
      </c>
      <c r="G4616" s="54"/>
    </row>
    <row r="4617">
      <c r="A4617" s="49">
        <v>45069.28081067129</v>
      </c>
      <c r="B4617" s="50">
        <v>45069.4057462847</v>
      </c>
      <c r="C4617" s="51">
        <v>1.011</v>
      </c>
      <c r="D4617" s="51">
        <v>65.0</v>
      </c>
      <c r="E4617" s="52" t="s">
        <v>25</v>
      </c>
      <c r="F4617" s="52" t="s">
        <v>26</v>
      </c>
      <c r="G4617" s="54"/>
    </row>
    <row r="4618">
      <c r="A4618" s="49">
        <v>45069.291259398145</v>
      </c>
      <c r="B4618" s="50">
        <v>45069.4161687847</v>
      </c>
      <c r="C4618" s="51">
        <v>1.01</v>
      </c>
      <c r="D4618" s="51">
        <v>65.0</v>
      </c>
      <c r="E4618" s="52" t="s">
        <v>25</v>
      </c>
      <c r="F4618" s="52" t="s">
        <v>26</v>
      </c>
      <c r="G4618" s="54"/>
    </row>
    <row r="4619">
      <c r="A4619" s="49">
        <v>45069.30165871528</v>
      </c>
      <c r="B4619" s="50">
        <v>45069.4265902314</v>
      </c>
      <c r="C4619" s="51">
        <v>1.011</v>
      </c>
      <c r="D4619" s="51">
        <v>65.0</v>
      </c>
      <c r="E4619" s="52" t="s">
        <v>25</v>
      </c>
      <c r="F4619" s="52" t="s">
        <v>26</v>
      </c>
      <c r="G4619" s="54"/>
    </row>
    <row r="4620">
      <c r="A4620" s="49">
        <v>45069.31210206018</v>
      </c>
      <c r="B4620" s="50">
        <v>45069.4370116782</v>
      </c>
      <c r="C4620" s="51">
        <v>1.011</v>
      </c>
      <c r="D4620" s="51">
        <v>65.0</v>
      </c>
      <c r="E4620" s="52" t="s">
        <v>25</v>
      </c>
      <c r="F4620" s="52" t="s">
        <v>26</v>
      </c>
      <c r="G4620" s="54"/>
    </row>
    <row r="4621">
      <c r="A4621" s="49">
        <v>45069.32251400463</v>
      </c>
      <c r="B4621" s="50">
        <v>45069.4474324884</v>
      </c>
      <c r="C4621" s="51">
        <v>1.011</v>
      </c>
      <c r="D4621" s="51">
        <v>65.0</v>
      </c>
      <c r="E4621" s="52" t="s">
        <v>25</v>
      </c>
      <c r="F4621" s="52" t="s">
        <v>26</v>
      </c>
      <c r="G4621" s="54"/>
    </row>
    <row r="4622">
      <c r="A4622" s="49">
        <v>45069.332931805555</v>
      </c>
      <c r="B4622" s="50">
        <v>45069.4578517592</v>
      </c>
      <c r="C4622" s="51">
        <v>1.01</v>
      </c>
      <c r="D4622" s="51">
        <v>65.0</v>
      </c>
      <c r="E4622" s="52" t="s">
        <v>25</v>
      </c>
      <c r="F4622" s="52" t="s">
        <v>26</v>
      </c>
      <c r="G4622" s="54"/>
    </row>
    <row r="4623">
      <c r="A4623" s="49">
        <v>45069.34336755787</v>
      </c>
      <c r="B4623" s="50">
        <v>45069.4682833217</v>
      </c>
      <c r="C4623" s="51">
        <v>1.011</v>
      </c>
      <c r="D4623" s="51">
        <v>65.0</v>
      </c>
      <c r="E4623" s="52" t="s">
        <v>25</v>
      </c>
      <c r="F4623" s="52" t="s">
        <v>26</v>
      </c>
      <c r="G4623" s="54"/>
    </row>
    <row r="4624">
      <c r="A4624" s="49">
        <v>45069.35379171296</v>
      </c>
      <c r="B4624" s="50">
        <v>45069.4787172569</v>
      </c>
      <c r="C4624" s="51">
        <v>1.011</v>
      </c>
      <c r="D4624" s="51">
        <v>65.0</v>
      </c>
      <c r="E4624" s="52" t="s">
        <v>25</v>
      </c>
      <c r="F4624" s="52" t="s">
        <v>26</v>
      </c>
      <c r="G4624" s="54"/>
    </row>
    <row r="4625">
      <c r="A4625" s="49">
        <v>45069.364222696764</v>
      </c>
      <c r="B4625" s="50">
        <v>45069.4891388194</v>
      </c>
      <c r="C4625" s="51">
        <v>1.011</v>
      </c>
      <c r="D4625" s="51">
        <v>65.0</v>
      </c>
      <c r="E4625" s="52" t="s">
        <v>25</v>
      </c>
      <c r="F4625" s="52" t="s">
        <v>26</v>
      </c>
      <c r="G4625" s="54"/>
    </row>
    <row r="4626">
      <c r="A4626" s="49">
        <v>45069.374640787035</v>
      </c>
      <c r="B4626" s="50">
        <v>45069.4995614467</v>
      </c>
      <c r="C4626" s="51">
        <v>1.011</v>
      </c>
      <c r="D4626" s="51">
        <v>65.0</v>
      </c>
      <c r="E4626" s="52" t="s">
        <v>25</v>
      </c>
      <c r="F4626" s="52" t="s">
        <v>26</v>
      </c>
      <c r="G4626" s="54"/>
    </row>
    <row r="4627">
      <c r="A4627" s="49">
        <v>45069.385066840274</v>
      </c>
      <c r="B4627" s="50">
        <v>45069.50998103</v>
      </c>
      <c r="C4627" s="51">
        <v>1.011</v>
      </c>
      <c r="D4627" s="51">
        <v>65.0</v>
      </c>
      <c r="E4627" s="52" t="s">
        <v>25</v>
      </c>
      <c r="F4627" s="52" t="s">
        <v>26</v>
      </c>
      <c r="G4627" s="54"/>
    </row>
    <row r="4628">
      <c r="A4628" s="49">
        <v>45069.395427361116</v>
      </c>
      <c r="B4628" s="50">
        <v>45069.5204016782</v>
      </c>
      <c r="C4628" s="51">
        <v>1.011</v>
      </c>
      <c r="D4628" s="51">
        <v>65.0</v>
      </c>
      <c r="E4628" s="52" t="s">
        <v>25</v>
      </c>
      <c r="F4628" s="52" t="s">
        <v>26</v>
      </c>
      <c r="G4628" s="54"/>
    </row>
    <row r="4629">
      <c r="A4629" s="49">
        <v>45069.405870532406</v>
      </c>
      <c r="B4629" s="50">
        <v>45069.5308344097</v>
      </c>
      <c r="C4629" s="51">
        <v>1.01</v>
      </c>
      <c r="D4629" s="51">
        <v>65.0</v>
      </c>
      <c r="E4629" s="52" t="s">
        <v>25</v>
      </c>
      <c r="F4629" s="52" t="s">
        <v>26</v>
      </c>
      <c r="G4629" s="54"/>
    </row>
    <row r="4630">
      <c r="A4630" s="49">
        <v>45069.41628346065</v>
      </c>
      <c r="B4630" s="50">
        <v>45069.5412544676</v>
      </c>
      <c r="C4630" s="51">
        <v>1.011</v>
      </c>
      <c r="D4630" s="51">
        <v>65.0</v>
      </c>
      <c r="E4630" s="52" t="s">
        <v>25</v>
      </c>
      <c r="F4630" s="52" t="s">
        <v>26</v>
      </c>
      <c r="G4630" s="54"/>
    </row>
    <row r="4631">
      <c r="A4631" s="49">
        <v>45069.42670769676</v>
      </c>
      <c r="B4631" s="50">
        <v>45069.5516765625</v>
      </c>
      <c r="C4631" s="51">
        <v>1.011</v>
      </c>
      <c r="D4631" s="51">
        <v>65.0</v>
      </c>
      <c r="E4631" s="52" t="s">
        <v>25</v>
      </c>
      <c r="F4631" s="52" t="s">
        <v>26</v>
      </c>
      <c r="G4631" s="54"/>
    </row>
    <row r="4632">
      <c r="A4632" s="49">
        <v>45069.44755939815</v>
      </c>
      <c r="B4632" s="50">
        <v>45069.5725313078</v>
      </c>
      <c r="C4632" s="51">
        <v>1.011</v>
      </c>
      <c r="D4632" s="51">
        <v>65.0</v>
      </c>
      <c r="E4632" s="52" t="s">
        <v>25</v>
      </c>
      <c r="F4632" s="52" t="s">
        <v>26</v>
      </c>
      <c r="G4632" s="54"/>
    </row>
    <row r="4633">
      <c r="A4633" s="49">
        <v>45069.45798612268</v>
      </c>
      <c r="B4633" s="50">
        <v>45069.5829533333</v>
      </c>
      <c r="C4633" s="51">
        <v>1.011</v>
      </c>
      <c r="D4633" s="51">
        <v>65.0</v>
      </c>
      <c r="E4633" s="52" t="s">
        <v>25</v>
      </c>
      <c r="F4633" s="52" t="s">
        <v>26</v>
      </c>
      <c r="G4633" s="54"/>
    </row>
    <row r="4634">
      <c r="A4634" s="49">
        <v>45069.4684355787</v>
      </c>
      <c r="B4634" s="50">
        <v>45069.5933978703</v>
      </c>
      <c r="C4634" s="51">
        <v>1.011</v>
      </c>
      <c r="D4634" s="51">
        <v>65.0</v>
      </c>
      <c r="E4634" s="52" t="s">
        <v>25</v>
      </c>
      <c r="F4634" s="52" t="s">
        <v>26</v>
      </c>
      <c r="G4634" s="54"/>
    </row>
    <row r="4635">
      <c r="A4635" s="49">
        <v>45069.47885797454</v>
      </c>
      <c r="B4635" s="50">
        <v>45069.6038311342</v>
      </c>
      <c r="C4635" s="51">
        <v>1.011</v>
      </c>
      <c r="D4635" s="51">
        <v>65.0</v>
      </c>
      <c r="E4635" s="52" t="s">
        <v>25</v>
      </c>
      <c r="F4635" s="52" t="s">
        <v>26</v>
      </c>
      <c r="G4635" s="54"/>
    </row>
    <row r="4636">
      <c r="A4636" s="49">
        <v>45069.48928465278</v>
      </c>
      <c r="B4636" s="50">
        <v>45069.6142540162</v>
      </c>
      <c r="C4636" s="51">
        <v>1.01</v>
      </c>
      <c r="D4636" s="51">
        <v>65.0</v>
      </c>
      <c r="E4636" s="52" t="s">
        <v>25</v>
      </c>
      <c r="F4636" s="52" t="s">
        <v>26</v>
      </c>
      <c r="G4636" s="54"/>
    </row>
    <row r="4637">
      <c r="A4637" s="49">
        <v>45069.4997091088</v>
      </c>
      <c r="B4637" s="50">
        <v>45069.6246766666</v>
      </c>
      <c r="C4637" s="51">
        <v>1.011</v>
      </c>
      <c r="D4637" s="51">
        <v>65.0</v>
      </c>
      <c r="E4637" s="52" t="s">
        <v>25</v>
      </c>
      <c r="F4637" s="52" t="s">
        <v>26</v>
      </c>
      <c r="G4637" s="54"/>
    </row>
    <row r="4638">
      <c r="A4638" s="49">
        <v>45069.51013028935</v>
      </c>
      <c r="B4638" s="50">
        <v>45069.6350978472</v>
      </c>
      <c r="C4638" s="51">
        <v>1.011</v>
      </c>
      <c r="D4638" s="51">
        <v>65.0</v>
      </c>
      <c r="E4638" s="52" t="s">
        <v>25</v>
      </c>
      <c r="F4638" s="52" t="s">
        <v>26</v>
      </c>
      <c r="G4638" s="54"/>
    </row>
    <row r="4639">
      <c r="A4639" s="49">
        <v>45069.520553229166</v>
      </c>
      <c r="B4639" s="50">
        <v>45069.6455304745</v>
      </c>
      <c r="C4639" s="51">
        <v>1.011</v>
      </c>
      <c r="D4639" s="51">
        <v>65.0</v>
      </c>
      <c r="E4639" s="52" t="s">
        <v>25</v>
      </c>
      <c r="F4639" s="52" t="s">
        <v>26</v>
      </c>
      <c r="G4639" s="54"/>
    </row>
    <row r="4640">
      <c r="A4640" s="49">
        <v>45069.53098614584</v>
      </c>
      <c r="B4640" s="50">
        <v>45069.6559629513</v>
      </c>
      <c r="C4640" s="51">
        <v>1.011</v>
      </c>
      <c r="D4640" s="51">
        <v>65.0</v>
      </c>
      <c r="E4640" s="52" t="s">
        <v>25</v>
      </c>
      <c r="F4640" s="52" t="s">
        <v>26</v>
      </c>
      <c r="G4640" s="54"/>
    </row>
    <row r="4641">
      <c r="A4641" s="49">
        <v>45069.54141694444</v>
      </c>
      <c r="B4641" s="50">
        <v>45069.6663832986</v>
      </c>
      <c r="C4641" s="51">
        <v>1.01</v>
      </c>
      <c r="D4641" s="51">
        <v>65.0</v>
      </c>
      <c r="E4641" s="52" t="s">
        <v>25</v>
      </c>
      <c r="F4641" s="52" t="s">
        <v>26</v>
      </c>
      <c r="G4641" s="54"/>
    </row>
    <row r="4642">
      <c r="A4642" s="49">
        <v>45069.551831018514</v>
      </c>
      <c r="B4642" s="50">
        <v>45069.6768035995</v>
      </c>
      <c r="C4642" s="51">
        <v>1.01</v>
      </c>
      <c r="D4642" s="51">
        <v>65.0</v>
      </c>
      <c r="E4642" s="52" t="s">
        <v>25</v>
      </c>
      <c r="F4642" s="52" t="s">
        <v>26</v>
      </c>
      <c r="G4642" s="54"/>
    </row>
    <row r="4643">
      <c r="A4643" s="49">
        <v>45069.56225207176</v>
      </c>
      <c r="B4643" s="50">
        <v>45069.6872250231</v>
      </c>
      <c r="C4643" s="51">
        <v>1.011</v>
      </c>
      <c r="D4643" s="51">
        <v>65.0</v>
      </c>
      <c r="E4643" s="52" t="s">
        <v>25</v>
      </c>
      <c r="F4643" s="52" t="s">
        <v>26</v>
      </c>
      <c r="G4643" s="54"/>
    </row>
    <row r="4644">
      <c r="A4644" s="49">
        <v>45069.5726739699</v>
      </c>
      <c r="B4644" s="50">
        <v>45069.6976456134</v>
      </c>
      <c r="C4644" s="51">
        <v>1.011</v>
      </c>
      <c r="D4644" s="51">
        <v>65.0</v>
      </c>
      <c r="E4644" s="52" t="s">
        <v>25</v>
      </c>
      <c r="F4644" s="52" t="s">
        <v>26</v>
      </c>
      <c r="G4644" s="54"/>
    </row>
    <row r="4645">
      <c r="A4645" s="49">
        <v>45069.5830918287</v>
      </c>
      <c r="B4645" s="50">
        <v>45069.7080673379</v>
      </c>
      <c r="C4645" s="51">
        <v>1.011</v>
      </c>
      <c r="D4645" s="51">
        <v>65.0</v>
      </c>
      <c r="E4645" s="52" t="s">
        <v>25</v>
      </c>
      <c r="F4645" s="52" t="s">
        <v>26</v>
      </c>
      <c r="G4645" s="54"/>
    </row>
    <row r="4646">
      <c r="A4646" s="49">
        <v>45069.59351021991</v>
      </c>
      <c r="B4646" s="50">
        <v>45069.7184882523</v>
      </c>
      <c r="C4646" s="51">
        <v>1.011</v>
      </c>
      <c r="D4646" s="51">
        <v>65.0</v>
      </c>
      <c r="E4646" s="52" t="s">
        <v>25</v>
      </c>
      <c r="F4646" s="52" t="s">
        <v>26</v>
      </c>
      <c r="G4646" s="54"/>
    </row>
    <row r="4647">
      <c r="A4647" s="49">
        <v>45069.60396719907</v>
      </c>
      <c r="B4647" s="50">
        <v>45069.7289319791</v>
      </c>
      <c r="C4647" s="51">
        <v>1.01</v>
      </c>
      <c r="D4647" s="51">
        <v>65.0</v>
      </c>
      <c r="E4647" s="52" t="s">
        <v>25</v>
      </c>
      <c r="F4647" s="52" t="s">
        <v>26</v>
      </c>
      <c r="G4647" s="54"/>
    </row>
    <row r="4648">
      <c r="A4648" s="49">
        <v>45069.61437797453</v>
      </c>
      <c r="B4648" s="50">
        <v>45069.7393547338</v>
      </c>
      <c r="C4648" s="51">
        <v>1.011</v>
      </c>
      <c r="D4648" s="51">
        <v>65.0</v>
      </c>
      <c r="E4648" s="52" t="s">
        <v>25</v>
      </c>
      <c r="F4648" s="52" t="s">
        <v>26</v>
      </c>
      <c r="G4648" s="54"/>
    </row>
    <row r="4649">
      <c r="A4649" s="49">
        <v>45069.624807175926</v>
      </c>
      <c r="B4649" s="50">
        <v>45069.7497763078</v>
      </c>
      <c r="C4649" s="51">
        <v>1.01</v>
      </c>
      <c r="D4649" s="51">
        <v>65.0</v>
      </c>
      <c r="E4649" s="52" t="s">
        <v>25</v>
      </c>
      <c r="F4649" s="52" t="s">
        <v>26</v>
      </c>
      <c r="G4649" s="54"/>
    </row>
    <row r="4650">
      <c r="A4650" s="49">
        <v>45069.63523357639</v>
      </c>
      <c r="B4650" s="50">
        <v>45069.7602090277</v>
      </c>
      <c r="C4650" s="51">
        <v>1.01</v>
      </c>
      <c r="D4650" s="51">
        <v>65.0</v>
      </c>
      <c r="E4650" s="52" t="s">
        <v>25</v>
      </c>
      <c r="F4650" s="52" t="s">
        <v>26</v>
      </c>
      <c r="G4650" s="54"/>
    </row>
    <row r="4651">
      <c r="A4651" s="49">
        <v>45069.64565107639</v>
      </c>
      <c r="B4651" s="50">
        <v>45069.7706299652</v>
      </c>
      <c r="C4651" s="51">
        <v>1.011</v>
      </c>
      <c r="D4651" s="51">
        <v>65.0</v>
      </c>
      <c r="E4651" s="52" t="s">
        <v>25</v>
      </c>
      <c r="F4651" s="52" t="s">
        <v>26</v>
      </c>
      <c r="G4651" s="54"/>
    </row>
    <row r="4652">
      <c r="A4652" s="49">
        <v>45069.65608472222</v>
      </c>
      <c r="B4652" s="50">
        <v>45069.781050625</v>
      </c>
      <c r="C4652" s="51">
        <v>1.01</v>
      </c>
      <c r="D4652" s="51">
        <v>65.0</v>
      </c>
      <c r="E4652" s="52" t="s">
        <v>25</v>
      </c>
      <c r="F4652" s="52" t="s">
        <v>26</v>
      </c>
      <c r="G4652" s="54"/>
    </row>
    <row r="4653">
      <c r="A4653" s="49">
        <v>45069.6665008912</v>
      </c>
      <c r="B4653" s="50">
        <v>45069.7914716898</v>
      </c>
      <c r="C4653" s="51">
        <v>1.01</v>
      </c>
      <c r="D4653" s="51">
        <v>65.0</v>
      </c>
      <c r="E4653" s="52" t="s">
        <v>25</v>
      </c>
      <c r="F4653" s="52" t="s">
        <v>26</v>
      </c>
      <c r="G4653" s="54"/>
    </row>
    <row r="4654">
      <c r="A4654" s="49">
        <v>45069.67693850695</v>
      </c>
      <c r="B4654" s="50">
        <v>45069.8019165393</v>
      </c>
      <c r="C4654" s="51">
        <v>1.011</v>
      </c>
      <c r="D4654" s="51">
        <v>65.0</v>
      </c>
      <c r="E4654" s="52" t="s">
        <v>25</v>
      </c>
      <c r="F4654" s="52" t="s">
        <v>26</v>
      </c>
      <c r="G4654" s="54"/>
    </row>
    <row r="4655">
      <c r="A4655" s="49">
        <v>45069.68736459491</v>
      </c>
      <c r="B4655" s="50">
        <v>45069.8123374421</v>
      </c>
      <c r="C4655" s="51">
        <v>1.01</v>
      </c>
      <c r="D4655" s="51">
        <v>65.0</v>
      </c>
      <c r="E4655" s="52" t="s">
        <v>25</v>
      </c>
      <c r="F4655" s="52" t="s">
        <v>26</v>
      </c>
      <c r="G4655" s="54"/>
    </row>
    <row r="4656">
      <c r="A4656" s="49">
        <v>45069.69778604167</v>
      </c>
      <c r="B4656" s="50">
        <v>45069.8227587963</v>
      </c>
      <c r="C4656" s="51">
        <v>1.011</v>
      </c>
      <c r="D4656" s="51">
        <v>65.0</v>
      </c>
      <c r="E4656" s="52" t="s">
        <v>25</v>
      </c>
      <c r="F4656" s="52" t="s">
        <v>26</v>
      </c>
      <c r="G4656" s="54"/>
    </row>
    <row r="4657">
      <c r="A4657" s="49">
        <v>45069.708203368056</v>
      </c>
      <c r="B4657" s="50">
        <v>45069.8331794444</v>
      </c>
      <c r="C4657" s="51">
        <v>1.01</v>
      </c>
      <c r="D4657" s="51">
        <v>65.0</v>
      </c>
      <c r="E4657" s="52" t="s">
        <v>25</v>
      </c>
      <c r="F4657" s="52" t="s">
        <v>26</v>
      </c>
      <c r="G4657" s="54"/>
    </row>
    <row r="4658">
      <c r="A4658" s="49">
        <v>45069.7186316088</v>
      </c>
      <c r="B4658" s="50">
        <v>45069.8435992939</v>
      </c>
      <c r="C4658" s="51">
        <v>1.01</v>
      </c>
      <c r="D4658" s="51">
        <v>65.0</v>
      </c>
      <c r="E4658" s="52" t="s">
        <v>25</v>
      </c>
      <c r="F4658" s="52" t="s">
        <v>26</v>
      </c>
      <c r="G4658" s="54"/>
    </row>
    <row r="4659">
      <c r="A4659" s="49">
        <v>45069.72904387732</v>
      </c>
      <c r="B4659" s="50">
        <v>45069.8540202314</v>
      </c>
      <c r="C4659" s="51">
        <v>1.011</v>
      </c>
      <c r="D4659" s="51">
        <v>65.0</v>
      </c>
      <c r="E4659" s="52" t="s">
        <v>25</v>
      </c>
      <c r="F4659" s="52" t="s">
        <v>26</v>
      </c>
      <c r="G4659" s="54"/>
    </row>
    <row r="4660">
      <c r="A4660" s="49">
        <v>45069.73947247685</v>
      </c>
      <c r="B4660" s="50">
        <v>45069.864442118</v>
      </c>
      <c r="C4660" s="51">
        <v>1.01</v>
      </c>
      <c r="D4660" s="51">
        <v>65.0</v>
      </c>
      <c r="E4660" s="52" t="s">
        <v>25</v>
      </c>
      <c r="F4660" s="52" t="s">
        <v>26</v>
      </c>
      <c r="G4660" s="54"/>
    </row>
    <row r="4661">
      <c r="A4661" s="49">
        <v>45069.770728194446</v>
      </c>
      <c r="B4661" s="50">
        <v>45069.895706574</v>
      </c>
      <c r="C4661" s="51">
        <v>1.01</v>
      </c>
      <c r="D4661" s="51">
        <v>65.0</v>
      </c>
      <c r="E4661" s="52" t="s">
        <v>25</v>
      </c>
      <c r="F4661" s="52" t="s">
        <v>26</v>
      </c>
      <c r="G4661" s="54"/>
    </row>
    <row r="4662">
      <c r="A4662" s="49">
        <v>45069.78121104167</v>
      </c>
      <c r="B4662" s="50">
        <v>45069.9061276273</v>
      </c>
      <c r="C4662" s="51">
        <v>1.011</v>
      </c>
      <c r="D4662" s="51">
        <v>65.0</v>
      </c>
      <c r="E4662" s="52" t="s">
        <v>25</v>
      </c>
      <c r="F4662" s="52" t="s">
        <v>26</v>
      </c>
      <c r="G4662" s="54"/>
    </row>
    <row r="4663">
      <c r="A4663" s="49">
        <v>45069.79158185185</v>
      </c>
      <c r="B4663" s="50">
        <v>45069.9165484606</v>
      </c>
      <c r="C4663" s="51">
        <v>1.011</v>
      </c>
      <c r="D4663" s="51">
        <v>65.0</v>
      </c>
      <c r="E4663" s="52" t="s">
        <v>25</v>
      </c>
      <c r="F4663" s="52" t="s">
        <v>26</v>
      </c>
      <c r="G4663" s="54"/>
    </row>
    <row r="4664">
      <c r="A4664" s="49">
        <v>45069.801997546296</v>
      </c>
      <c r="B4664" s="50">
        <v>45069.9269705902</v>
      </c>
      <c r="C4664" s="51">
        <v>1.011</v>
      </c>
      <c r="D4664" s="51">
        <v>65.0</v>
      </c>
      <c r="E4664" s="52" t="s">
        <v>25</v>
      </c>
      <c r="F4664" s="52" t="s">
        <v>26</v>
      </c>
      <c r="G4664" s="54"/>
    </row>
    <row r="4665">
      <c r="A4665" s="49">
        <v>45069.812415381944</v>
      </c>
      <c r="B4665" s="50">
        <v>45069.9373936111</v>
      </c>
      <c r="C4665" s="51">
        <v>1.01</v>
      </c>
      <c r="D4665" s="51">
        <v>65.0</v>
      </c>
      <c r="E4665" s="52" t="s">
        <v>25</v>
      </c>
      <c r="F4665" s="52" t="s">
        <v>26</v>
      </c>
      <c r="G4665" s="54"/>
    </row>
    <row r="4666">
      <c r="A4666" s="49">
        <v>45069.822836238425</v>
      </c>
      <c r="B4666" s="50">
        <v>45069.9478152662</v>
      </c>
      <c r="C4666" s="51">
        <v>1.011</v>
      </c>
      <c r="D4666" s="51">
        <v>65.0</v>
      </c>
      <c r="E4666" s="52" t="s">
        <v>25</v>
      </c>
      <c r="F4666" s="52" t="s">
        <v>26</v>
      </c>
      <c r="G4666" s="54"/>
    </row>
    <row r="4667">
      <c r="A4667" s="49">
        <v>45069.833264479166</v>
      </c>
      <c r="B4667" s="50">
        <v>45069.9582353009</v>
      </c>
      <c r="C4667" s="51">
        <v>1.011</v>
      </c>
      <c r="D4667" s="51">
        <v>65.0</v>
      </c>
      <c r="E4667" s="52" t="s">
        <v>25</v>
      </c>
      <c r="F4667" s="52" t="s">
        <v>26</v>
      </c>
      <c r="G4667" s="54"/>
    </row>
    <row r="4668">
      <c r="A4668" s="49">
        <v>45069.8436822338</v>
      </c>
      <c r="B4668" s="50">
        <v>45069.9686561458</v>
      </c>
      <c r="C4668" s="51">
        <v>1.011</v>
      </c>
      <c r="D4668" s="51">
        <v>65.0</v>
      </c>
      <c r="E4668" s="52" t="s">
        <v>25</v>
      </c>
      <c r="F4668" s="52" t="s">
        <v>26</v>
      </c>
      <c r="G4668" s="54"/>
    </row>
    <row r="4669">
      <c r="A4669" s="49">
        <v>45069.85410023148</v>
      </c>
      <c r="B4669" s="50">
        <v>45069.9790769676</v>
      </c>
      <c r="C4669" s="51">
        <v>1.011</v>
      </c>
      <c r="D4669" s="51">
        <v>65.0</v>
      </c>
      <c r="E4669" s="52" t="s">
        <v>25</v>
      </c>
      <c r="F4669" s="52" t="s">
        <v>26</v>
      </c>
      <c r="G4669" s="54"/>
    </row>
    <row r="4670">
      <c r="A4670" s="49">
        <v>45069.86452665509</v>
      </c>
      <c r="B4670" s="50">
        <v>45069.9894985879</v>
      </c>
      <c r="C4670" s="51">
        <v>1.011</v>
      </c>
      <c r="D4670" s="51">
        <v>65.0</v>
      </c>
      <c r="E4670" s="52" t="s">
        <v>25</v>
      </c>
      <c r="F4670" s="52" t="s">
        <v>26</v>
      </c>
      <c r="G4670" s="54"/>
    </row>
    <row r="4671">
      <c r="A4671" s="49">
        <v>45069.87496016204</v>
      </c>
      <c r="B4671" s="50">
        <v>45069.9999318981</v>
      </c>
      <c r="C4671" s="51">
        <v>1.01</v>
      </c>
      <c r="D4671" s="51">
        <v>65.0</v>
      </c>
      <c r="E4671" s="52" t="s">
        <v>25</v>
      </c>
      <c r="F4671" s="52" t="s">
        <v>26</v>
      </c>
      <c r="G4671" s="54"/>
    </row>
    <row r="4672">
      <c r="A4672" s="49">
        <v>45069.885386979164</v>
      </c>
      <c r="B4672" s="50">
        <v>45070.0103642824</v>
      </c>
      <c r="C4672" s="51">
        <v>1.01</v>
      </c>
      <c r="D4672" s="51">
        <v>65.0</v>
      </c>
      <c r="E4672" s="52" t="s">
        <v>25</v>
      </c>
      <c r="F4672" s="52" t="s">
        <v>26</v>
      </c>
      <c r="G4672" s="54"/>
    </row>
    <row r="4673">
      <c r="A4673" s="49">
        <v>45069.89581368056</v>
      </c>
      <c r="B4673" s="50">
        <v>45070.0207849421</v>
      </c>
      <c r="C4673" s="51">
        <v>1.01</v>
      </c>
      <c r="D4673" s="51">
        <v>65.0</v>
      </c>
      <c r="E4673" s="52" t="s">
        <v>25</v>
      </c>
      <c r="F4673" s="52" t="s">
        <v>26</v>
      </c>
      <c r="G4673" s="54"/>
    </row>
    <row r="4674">
      <c r="A4674" s="49">
        <v>45069.90624247685</v>
      </c>
      <c r="B4674" s="50">
        <v>45070.0312165393</v>
      </c>
      <c r="C4674" s="51">
        <v>1.01</v>
      </c>
      <c r="D4674" s="51">
        <v>65.0</v>
      </c>
      <c r="E4674" s="52" t="s">
        <v>25</v>
      </c>
      <c r="F4674" s="52" t="s">
        <v>26</v>
      </c>
      <c r="G4674" s="54"/>
    </row>
    <row r="4675">
      <c r="A4675" s="49">
        <v>45069.91667146991</v>
      </c>
      <c r="B4675" s="50">
        <v>45070.0416504861</v>
      </c>
      <c r="C4675" s="51">
        <v>1.01</v>
      </c>
      <c r="D4675" s="51">
        <v>65.0</v>
      </c>
      <c r="E4675" s="52" t="s">
        <v>25</v>
      </c>
      <c r="F4675" s="52" t="s">
        <v>26</v>
      </c>
      <c r="G4675" s="54"/>
    </row>
    <row r="4676">
      <c r="A4676" s="49">
        <v>45069.927090625</v>
      </c>
      <c r="B4676" s="50">
        <v>45070.0520702777</v>
      </c>
      <c r="C4676" s="51">
        <v>1.01</v>
      </c>
      <c r="D4676" s="51">
        <v>65.0</v>
      </c>
      <c r="E4676" s="52" t="s">
        <v>25</v>
      </c>
      <c r="F4676" s="52" t="s">
        <v>26</v>
      </c>
      <c r="G4676" s="54"/>
    </row>
    <row r="4677">
      <c r="A4677" s="49">
        <v>45069.93752630787</v>
      </c>
      <c r="B4677" s="50">
        <v>45070.0625017939</v>
      </c>
      <c r="C4677" s="51">
        <v>1.01</v>
      </c>
      <c r="D4677" s="51">
        <v>65.0</v>
      </c>
      <c r="E4677" s="52" t="s">
        <v>25</v>
      </c>
      <c r="F4677" s="52" t="s">
        <v>26</v>
      </c>
      <c r="G4677" s="54"/>
    </row>
    <row r="4678">
      <c r="A4678" s="49">
        <v>45069.9479496412</v>
      </c>
      <c r="B4678" s="50">
        <v>45070.0729218634</v>
      </c>
      <c r="C4678" s="51">
        <v>1.01</v>
      </c>
      <c r="D4678" s="51">
        <v>65.0</v>
      </c>
      <c r="E4678" s="52" t="s">
        <v>25</v>
      </c>
      <c r="F4678" s="52" t="s">
        <v>26</v>
      </c>
      <c r="G4678" s="54"/>
    </row>
    <row r="4679">
      <c r="A4679" s="49">
        <v>45069.96879900463</v>
      </c>
      <c r="B4679" s="50">
        <v>45070.0937762847</v>
      </c>
      <c r="C4679" s="51">
        <v>1.01</v>
      </c>
      <c r="D4679" s="51">
        <v>65.0</v>
      </c>
      <c r="E4679" s="52" t="s">
        <v>25</v>
      </c>
      <c r="F4679" s="52" t="s">
        <v>26</v>
      </c>
      <c r="G4679" s="54"/>
    </row>
    <row r="4680">
      <c r="A4680" s="49">
        <v>45069.97923538194</v>
      </c>
      <c r="B4680" s="50">
        <v>45070.1042094675</v>
      </c>
      <c r="C4680" s="51">
        <v>1.01</v>
      </c>
      <c r="D4680" s="51">
        <v>65.0</v>
      </c>
      <c r="E4680" s="52" t="s">
        <v>25</v>
      </c>
      <c r="F4680" s="52" t="s">
        <v>26</v>
      </c>
      <c r="G4680" s="54"/>
    </row>
    <row r="4681">
      <c r="A4681" s="49">
        <v>45069.9896575</v>
      </c>
      <c r="B4681" s="50">
        <v>45070.1146305671</v>
      </c>
      <c r="C4681" s="51">
        <v>1.01</v>
      </c>
      <c r="D4681" s="51">
        <v>65.0</v>
      </c>
      <c r="E4681" s="52" t="s">
        <v>25</v>
      </c>
      <c r="F4681" s="52" t="s">
        <v>26</v>
      </c>
      <c r="G4681" s="54"/>
    </row>
    <row r="4682">
      <c r="A4682" s="49">
        <v>45070.00007818287</v>
      </c>
      <c r="B4682" s="50">
        <v>45070.1250508101</v>
      </c>
      <c r="C4682" s="51">
        <v>1.01</v>
      </c>
      <c r="D4682" s="51">
        <v>65.0</v>
      </c>
      <c r="E4682" s="52" t="s">
        <v>25</v>
      </c>
      <c r="F4682" s="52" t="s">
        <v>26</v>
      </c>
      <c r="G4682" s="54"/>
    </row>
    <row r="4683">
      <c r="A4683" s="49">
        <v>45070.01049083333</v>
      </c>
      <c r="B4683" s="50">
        <v>45070.1354728935</v>
      </c>
      <c r="C4683" s="51">
        <v>1.01</v>
      </c>
      <c r="D4683" s="51">
        <v>65.0</v>
      </c>
      <c r="E4683" s="52" t="s">
        <v>25</v>
      </c>
      <c r="F4683" s="52" t="s">
        <v>26</v>
      </c>
      <c r="G4683" s="54"/>
    </row>
    <row r="4684">
      <c r="A4684" s="49">
        <v>45070.02091452546</v>
      </c>
      <c r="B4684" s="50">
        <v>45070.1458929514</v>
      </c>
      <c r="C4684" s="51">
        <v>1.01</v>
      </c>
      <c r="D4684" s="51">
        <v>65.0</v>
      </c>
      <c r="E4684" s="52" t="s">
        <v>25</v>
      </c>
      <c r="F4684" s="52" t="s">
        <v>26</v>
      </c>
      <c r="G4684" s="54"/>
    </row>
    <row r="4685">
      <c r="A4685" s="49">
        <v>45070.03133949074</v>
      </c>
      <c r="B4685" s="50">
        <v>45070.1563140046</v>
      </c>
      <c r="C4685" s="51">
        <v>1.01</v>
      </c>
      <c r="D4685" s="51">
        <v>65.0</v>
      </c>
      <c r="E4685" s="52" t="s">
        <v>25</v>
      </c>
      <c r="F4685" s="52" t="s">
        <v>26</v>
      </c>
      <c r="G4685" s="54"/>
    </row>
    <row r="4686">
      <c r="A4686" s="49">
        <v>45070.05219084491</v>
      </c>
      <c r="B4686" s="50">
        <v>45070.1771655208</v>
      </c>
      <c r="C4686" s="51">
        <v>1.011</v>
      </c>
      <c r="D4686" s="51">
        <v>65.0</v>
      </c>
      <c r="E4686" s="52" t="s">
        <v>25</v>
      </c>
      <c r="F4686" s="52" t="s">
        <v>26</v>
      </c>
      <c r="G4686" s="54"/>
    </row>
    <row r="4687">
      <c r="A4687" s="49">
        <v>45070.06261533565</v>
      </c>
      <c r="B4687" s="50">
        <v>45070.1875865625</v>
      </c>
      <c r="C4687" s="51">
        <v>1.01</v>
      </c>
      <c r="D4687" s="51">
        <v>65.0</v>
      </c>
      <c r="E4687" s="52" t="s">
        <v>25</v>
      </c>
      <c r="F4687" s="52" t="s">
        <v>26</v>
      </c>
      <c r="G4687" s="54"/>
    </row>
    <row r="4688">
      <c r="A4688" s="49">
        <v>45070.07303684027</v>
      </c>
      <c r="B4688" s="50">
        <v>45070.1980066666</v>
      </c>
      <c r="C4688" s="51">
        <v>1.01</v>
      </c>
      <c r="D4688" s="51">
        <v>65.0</v>
      </c>
      <c r="E4688" s="52" t="s">
        <v>25</v>
      </c>
      <c r="F4688" s="52" t="s">
        <v>26</v>
      </c>
      <c r="G4688" s="54"/>
    </row>
    <row r="4689">
      <c r="A4689" s="49">
        <v>45070.08348667824</v>
      </c>
      <c r="B4689" s="50">
        <v>45070.2084502314</v>
      </c>
      <c r="C4689" s="51">
        <v>1.01</v>
      </c>
      <c r="D4689" s="51">
        <v>65.0</v>
      </c>
      <c r="E4689" s="52" t="s">
        <v>25</v>
      </c>
      <c r="F4689" s="52" t="s">
        <v>26</v>
      </c>
      <c r="G4689" s="54"/>
    </row>
    <row r="4690">
      <c r="A4690" s="49">
        <v>45070.09392449074</v>
      </c>
      <c r="B4690" s="50">
        <v>45070.2189049768</v>
      </c>
      <c r="C4690" s="51">
        <v>1.01</v>
      </c>
      <c r="D4690" s="51">
        <v>65.0</v>
      </c>
      <c r="E4690" s="52" t="s">
        <v>25</v>
      </c>
      <c r="F4690" s="52" t="s">
        <v>26</v>
      </c>
      <c r="G4690" s="54"/>
    </row>
    <row r="4691">
      <c r="A4691" s="49">
        <v>45070.10435149306</v>
      </c>
      <c r="B4691" s="50">
        <v>45070.2293267013</v>
      </c>
      <c r="C4691" s="51">
        <v>1.01</v>
      </c>
      <c r="D4691" s="51">
        <v>65.0</v>
      </c>
      <c r="E4691" s="52" t="s">
        <v>25</v>
      </c>
      <c r="F4691" s="52" t="s">
        <v>26</v>
      </c>
      <c r="G4691" s="54"/>
    </row>
    <row r="4692">
      <c r="A4692" s="49">
        <v>45070.11477623842</v>
      </c>
      <c r="B4692" s="50">
        <v>45070.2397489699</v>
      </c>
      <c r="C4692" s="51">
        <v>1.01</v>
      </c>
      <c r="D4692" s="51">
        <v>65.0</v>
      </c>
      <c r="E4692" s="52" t="s">
        <v>25</v>
      </c>
      <c r="F4692" s="52" t="s">
        <v>26</v>
      </c>
      <c r="G4692" s="54"/>
    </row>
    <row r="4693">
      <c r="A4693" s="49">
        <v>45070.125196493056</v>
      </c>
      <c r="B4693" s="50">
        <v>45070.2501680439</v>
      </c>
      <c r="C4693" s="51">
        <v>1.01</v>
      </c>
      <c r="D4693" s="51">
        <v>65.0</v>
      </c>
      <c r="E4693" s="52" t="s">
        <v>25</v>
      </c>
      <c r="F4693" s="52" t="s">
        <v>26</v>
      </c>
      <c r="G4693" s="54"/>
    </row>
    <row r="4694">
      <c r="A4694" s="49">
        <v>45070.135620057874</v>
      </c>
      <c r="B4694" s="50">
        <v>45070.2605887037</v>
      </c>
      <c r="C4694" s="51">
        <v>1.01</v>
      </c>
      <c r="D4694" s="51">
        <v>65.0</v>
      </c>
      <c r="E4694" s="52" t="s">
        <v>25</v>
      </c>
      <c r="F4694" s="52" t="s">
        <v>26</v>
      </c>
      <c r="G4694" s="54"/>
    </row>
    <row r="4695">
      <c r="A4695" s="49">
        <v>45070.14603659722</v>
      </c>
      <c r="B4695" s="50">
        <v>45070.2710093518</v>
      </c>
      <c r="C4695" s="51">
        <v>1.01</v>
      </c>
      <c r="D4695" s="51">
        <v>65.0</v>
      </c>
      <c r="E4695" s="52" t="s">
        <v>25</v>
      </c>
      <c r="F4695" s="52" t="s">
        <v>26</v>
      </c>
      <c r="G4695" s="54"/>
    </row>
    <row r="4696">
      <c r="A4696" s="49">
        <v>45070.156465011576</v>
      </c>
      <c r="B4696" s="50">
        <v>45070.2814311111</v>
      </c>
      <c r="C4696" s="51">
        <v>1.01</v>
      </c>
      <c r="D4696" s="51">
        <v>65.0</v>
      </c>
      <c r="E4696" s="52" t="s">
        <v>25</v>
      </c>
      <c r="F4696" s="52" t="s">
        <v>26</v>
      </c>
      <c r="G4696" s="54"/>
    </row>
    <row r="4697">
      <c r="A4697" s="49">
        <v>45070.166883287035</v>
      </c>
      <c r="B4697" s="50">
        <v>45070.2918523611</v>
      </c>
      <c r="C4697" s="51">
        <v>1.01</v>
      </c>
      <c r="D4697" s="51">
        <v>65.0</v>
      </c>
      <c r="E4697" s="52" t="s">
        <v>25</v>
      </c>
      <c r="F4697" s="52" t="s">
        <v>26</v>
      </c>
      <c r="G4697" s="54"/>
    </row>
    <row r="4698">
      <c r="A4698" s="49">
        <v>45070.1773062037</v>
      </c>
      <c r="B4698" s="50">
        <v>45070.3022723495</v>
      </c>
      <c r="C4698" s="51">
        <v>1.01</v>
      </c>
      <c r="D4698" s="51">
        <v>65.0</v>
      </c>
      <c r="E4698" s="52" t="s">
        <v>25</v>
      </c>
      <c r="F4698" s="52" t="s">
        <v>26</v>
      </c>
      <c r="G4698" s="54"/>
    </row>
    <row r="4699">
      <c r="A4699" s="49">
        <v>45070.18775175926</v>
      </c>
      <c r="B4699" s="50">
        <v>45070.3127174421</v>
      </c>
      <c r="C4699" s="51">
        <v>1.01</v>
      </c>
      <c r="D4699" s="51">
        <v>65.0</v>
      </c>
      <c r="E4699" s="52" t="s">
        <v>25</v>
      </c>
      <c r="F4699" s="52" t="s">
        <v>26</v>
      </c>
      <c r="G4699" s="54"/>
    </row>
    <row r="4700">
      <c r="A4700" s="49">
        <v>45070.219029432876</v>
      </c>
      <c r="B4700" s="50">
        <v>45070.3440043055</v>
      </c>
      <c r="C4700" s="51">
        <v>1.01</v>
      </c>
      <c r="D4700" s="51">
        <v>65.0</v>
      </c>
      <c r="E4700" s="52" t="s">
        <v>25</v>
      </c>
      <c r="F4700" s="52" t="s">
        <v>26</v>
      </c>
      <c r="G4700" s="54"/>
    </row>
    <row r="4701">
      <c r="A4701" s="49">
        <v>45070.22944998843</v>
      </c>
      <c r="B4701" s="50">
        <v>45070.3544257407</v>
      </c>
      <c r="C4701" s="51">
        <v>1.01</v>
      </c>
      <c r="D4701" s="51">
        <v>65.0</v>
      </c>
      <c r="E4701" s="52" t="s">
        <v>25</v>
      </c>
      <c r="F4701" s="52" t="s">
        <v>26</v>
      </c>
      <c r="G4701" s="54"/>
    </row>
    <row r="4702">
      <c r="A4702" s="49">
        <v>45070.23988770833</v>
      </c>
      <c r="B4702" s="50">
        <v>45070.3648590277</v>
      </c>
      <c r="C4702" s="51">
        <v>1.01</v>
      </c>
      <c r="D4702" s="51">
        <v>65.0</v>
      </c>
      <c r="E4702" s="52" t="s">
        <v>25</v>
      </c>
      <c r="F4702" s="52" t="s">
        <v>26</v>
      </c>
      <c r="G4702" s="54"/>
    </row>
    <row r="4703">
      <c r="A4703" s="49">
        <v>45070.25032201389</v>
      </c>
      <c r="B4703" s="50">
        <v>45070.3752919328</v>
      </c>
      <c r="C4703" s="51">
        <v>1.01</v>
      </c>
      <c r="D4703" s="51">
        <v>65.0</v>
      </c>
      <c r="E4703" s="52" t="s">
        <v>25</v>
      </c>
      <c r="F4703" s="52" t="s">
        <v>26</v>
      </c>
      <c r="G4703" s="54"/>
    </row>
    <row r="4704">
      <c r="A4704" s="49">
        <v>45070.260743969906</v>
      </c>
      <c r="B4704" s="50">
        <v>45070.3857124537</v>
      </c>
      <c r="C4704" s="51">
        <v>1.01</v>
      </c>
      <c r="D4704" s="51">
        <v>65.0</v>
      </c>
      <c r="E4704" s="52" t="s">
        <v>25</v>
      </c>
      <c r="F4704" s="52" t="s">
        <v>26</v>
      </c>
      <c r="G4704" s="54"/>
    </row>
    <row r="4705">
      <c r="A4705" s="49">
        <v>45070.271172442124</v>
      </c>
      <c r="B4705" s="50">
        <v>45070.3961444907</v>
      </c>
      <c r="C4705" s="51">
        <v>1.01</v>
      </c>
      <c r="D4705" s="51">
        <v>65.0</v>
      </c>
      <c r="E4705" s="52" t="s">
        <v>25</v>
      </c>
      <c r="F4705" s="52" t="s">
        <v>26</v>
      </c>
      <c r="G4705" s="54"/>
    </row>
    <row r="4706">
      <c r="A4706" s="49">
        <v>45070.28159078704</v>
      </c>
      <c r="B4706" s="50">
        <v>45070.4065660069</v>
      </c>
      <c r="C4706" s="51">
        <v>1.01</v>
      </c>
      <c r="D4706" s="51">
        <v>65.0</v>
      </c>
      <c r="E4706" s="52" t="s">
        <v>25</v>
      </c>
      <c r="F4706" s="52" t="s">
        <v>26</v>
      </c>
      <c r="G4706" s="54"/>
    </row>
    <row r="4707">
      <c r="A4707" s="49">
        <v>45070.292033923615</v>
      </c>
      <c r="B4707" s="50">
        <v>45070.416998206</v>
      </c>
      <c r="C4707" s="51">
        <v>1.01</v>
      </c>
      <c r="D4707" s="51">
        <v>65.0</v>
      </c>
      <c r="E4707" s="52" t="s">
        <v>25</v>
      </c>
      <c r="F4707" s="52" t="s">
        <v>26</v>
      </c>
      <c r="G4707" s="54"/>
    </row>
    <row r="4708">
      <c r="A4708" s="49">
        <v>45070.30253011574</v>
      </c>
      <c r="B4708" s="50">
        <v>45070.4274415277</v>
      </c>
      <c r="C4708" s="51">
        <v>1.01</v>
      </c>
      <c r="D4708" s="51">
        <v>65.0</v>
      </c>
      <c r="E4708" s="52" t="s">
        <v>25</v>
      </c>
      <c r="F4708" s="52" t="s">
        <v>26</v>
      </c>
      <c r="G4708" s="54"/>
    </row>
    <row r="4709">
      <c r="A4709" s="49">
        <v>45070.312886678235</v>
      </c>
      <c r="B4709" s="50">
        <v>45070.4378625</v>
      </c>
      <c r="C4709" s="51">
        <v>1.01</v>
      </c>
      <c r="D4709" s="51">
        <v>65.0</v>
      </c>
      <c r="E4709" s="52" t="s">
        <v>25</v>
      </c>
      <c r="F4709" s="52" t="s">
        <v>26</v>
      </c>
      <c r="G4709" s="54"/>
    </row>
    <row r="4710">
      <c r="A4710" s="49">
        <v>45070.32337434028</v>
      </c>
      <c r="B4710" s="50">
        <v>45070.448295324</v>
      </c>
      <c r="C4710" s="51">
        <v>1.01</v>
      </c>
      <c r="D4710" s="51">
        <v>65.0</v>
      </c>
      <c r="E4710" s="52" t="s">
        <v>25</v>
      </c>
      <c r="F4710" s="52" t="s">
        <v>26</v>
      </c>
      <c r="G4710" s="54"/>
    </row>
    <row r="4711">
      <c r="A4711" s="49">
        <v>45070.333799513886</v>
      </c>
      <c r="B4711" s="50">
        <v>45070.4587170486</v>
      </c>
      <c r="C4711" s="51">
        <v>1.01</v>
      </c>
      <c r="D4711" s="51">
        <v>65.0</v>
      </c>
      <c r="E4711" s="52" t="s">
        <v>25</v>
      </c>
      <c r="F4711" s="52" t="s">
        <v>26</v>
      </c>
      <c r="G4711" s="54"/>
    </row>
    <row r="4712">
      <c r="A4712" s="49">
        <v>45070.34424071759</v>
      </c>
      <c r="B4712" s="50">
        <v>45070.4691374652</v>
      </c>
      <c r="C4712" s="51">
        <v>1.01</v>
      </c>
      <c r="D4712" s="51">
        <v>65.0</v>
      </c>
      <c r="E4712" s="52" t="s">
        <v>25</v>
      </c>
      <c r="F4712" s="52" t="s">
        <v>26</v>
      </c>
      <c r="G4712" s="54"/>
    </row>
    <row r="4713">
      <c r="A4713" s="49">
        <v>45070.35464987269</v>
      </c>
      <c r="B4713" s="50">
        <v>45070.4795589467</v>
      </c>
      <c r="C4713" s="51">
        <v>1.01</v>
      </c>
      <c r="D4713" s="51">
        <v>65.0</v>
      </c>
      <c r="E4713" s="52" t="s">
        <v>25</v>
      </c>
      <c r="F4713" s="52" t="s">
        <v>26</v>
      </c>
      <c r="G4713" s="54"/>
    </row>
    <row r="4714">
      <c r="A4714" s="49">
        <v>45070.36503972222</v>
      </c>
      <c r="B4714" s="50">
        <v>45070.4899810069</v>
      </c>
      <c r="C4714" s="51">
        <v>1.01</v>
      </c>
      <c r="D4714" s="51">
        <v>65.0</v>
      </c>
      <c r="E4714" s="52" t="s">
        <v>25</v>
      </c>
      <c r="F4714" s="52" t="s">
        <v>26</v>
      </c>
      <c r="G4714" s="54"/>
    </row>
    <row r="4715">
      <c r="A4715" s="49">
        <v>45070.37543436342</v>
      </c>
      <c r="B4715" s="50">
        <v>45070.5004012268</v>
      </c>
      <c r="C4715" s="51">
        <v>1.01</v>
      </c>
      <c r="D4715" s="51">
        <v>65.0</v>
      </c>
      <c r="E4715" s="52" t="s">
        <v>25</v>
      </c>
      <c r="F4715" s="52" t="s">
        <v>26</v>
      </c>
      <c r="G4715" s="54"/>
    </row>
    <row r="4716">
      <c r="A4716" s="49">
        <v>45070.385857650464</v>
      </c>
      <c r="B4716" s="50">
        <v>45070.5108332523</v>
      </c>
      <c r="C4716" s="51">
        <v>1.01</v>
      </c>
      <c r="D4716" s="51">
        <v>65.0</v>
      </c>
      <c r="E4716" s="52" t="s">
        <v>25</v>
      </c>
      <c r="F4716" s="52" t="s">
        <v>26</v>
      </c>
      <c r="G4716" s="54"/>
    </row>
    <row r="4717">
      <c r="A4717" s="49">
        <v>45070.39630878472</v>
      </c>
      <c r="B4717" s="50">
        <v>45070.5212657754</v>
      </c>
      <c r="C4717" s="51">
        <v>1.01</v>
      </c>
      <c r="D4717" s="51">
        <v>65.0</v>
      </c>
      <c r="E4717" s="52" t="s">
        <v>25</v>
      </c>
      <c r="F4717" s="52" t="s">
        <v>26</v>
      </c>
      <c r="G4717" s="54"/>
    </row>
    <row r="4718">
      <c r="A4718" s="49">
        <v>45070.40671653935</v>
      </c>
      <c r="B4718" s="50">
        <v>45070.5316860185</v>
      </c>
      <c r="C4718" s="51">
        <v>1.01</v>
      </c>
      <c r="D4718" s="51">
        <v>65.0</v>
      </c>
      <c r="E4718" s="52" t="s">
        <v>25</v>
      </c>
      <c r="F4718" s="52" t="s">
        <v>26</v>
      </c>
      <c r="G4718" s="54"/>
    </row>
    <row r="4719">
      <c r="A4719" s="49">
        <v>45070.41713108796</v>
      </c>
      <c r="B4719" s="50">
        <v>45070.5421072916</v>
      </c>
      <c r="C4719" s="51">
        <v>1.01</v>
      </c>
      <c r="D4719" s="51">
        <v>65.0</v>
      </c>
      <c r="E4719" s="52" t="s">
        <v>25</v>
      </c>
      <c r="F4719" s="52" t="s">
        <v>26</v>
      </c>
      <c r="G4719" s="54"/>
    </row>
    <row r="4720">
      <c r="A4720" s="49">
        <v>45070.42755579861</v>
      </c>
      <c r="B4720" s="50">
        <v>45070.5525270254</v>
      </c>
      <c r="C4720" s="51">
        <v>1.01</v>
      </c>
      <c r="D4720" s="51">
        <v>65.0</v>
      </c>
      <c r="E4720" s="52" t="s">
        <v>25</v>
      </c>
      <c r="F4720" s="52" t="s">
        <v>26</v>
      </c>
      <c r="G4720" s="54"/>
    </row>
    <row r="4721">
      <c r="A4721" s="49">
        <v>45070.43797005787</v>
      </c>
      <c r="B4721" s="50">
        <v>45070.5629490046</v>
      </c>
      <c r="C4721" s="51">
        <v>1.01</v>
      </c>
      <c r="D4721" s="51">
        <v>65.0</v>
      </c>
      <c r="E4721" s="52" t="s">
        <v>25</v>
      </c>
      <c r="F4721" s="52" t="s">
        <v>26</v>
      </c>
      <c r="G4721" s="54"/>
    </row>
    <row r="4722">
      <c r="A4722" s="49">
        <v>45070.448425173614</v>
      </c>
      <c r="B4722" s="50">
        <v>45070.5733934259</v>
      </c>
      <c r="C4722" s="51">
        <v>1.01</v>
      </c>
      <c r="D4722" s="51">
        <v>65.0</v>
      </c>
      <c r="E4722" s="52" t="s">
        <v>25</v>
      </c>
      <c r="F4722" s="52" t="s">
        <v>26</v>
      </c>
      <c r="G4722" s="54"/>
    </row>
    <row r="4723">
      <c r="A4723" s="49">
        <v>45070.45883829861</v>
      </c>
      <c r="B4723" s="50">
        <v>45070.5838147916</v>
      </c>
      <c r="C4723" s="51">
        <v>1.01</v>
      </c>
      <c r="D4723" s="51">
        <v>65.0</v>
      </c>
      <c r="E4723" s="52" t="s">
        <v>25</v>
      </c>
      <c r="F4723" s="52" t="s">
        <v>26</v>
      </c>
      <c r="G4723" s="54"/>
    </row>
    <row r="4724">
      <c r="A4724" s="49">
        <v>45070.46925618056</v>
      </c>
      <c r="B4724" s="50">
        <v>45070.5942345023</v>
      </c>
      <c r="C4724" s="51">
        <v>1.01</v>
      </c>
      <c r="D4724" s="51">
        <v>65.0</v>
      </c>
      <c r="E4724" s="52" t="s">
        <v>25</v>
      </c>
      <c r="F4724" s="52" t="s">
        <v>26</v>
      </c>
      <c r="G4724" s="54"/>
    </row>
    <row r="4725">
      <c r="A4725" s="49">
        <v>45070.47968233796</v>
      </c>
      <c r="B4725" s="50">
        <v>45070.604657037</v>
      </c>
      <c r="C4725" s="51">
        <v>1.01</v>
      </c>
      <c r="D4725" s="51">
        <v>65.0</v>
      </c>
      <c r="E4725" s="52" t="s">
        <v>25</v>
      </c>
      <c r="F4725" s="52" t="s">
        <v>26</v>
      </c>
      <c r="G4725" s="54"/>
    </row>
    <row r="4726">
      <c r="A4726" s="49">
        <v>45070.49010380787</v>
      </c>
      <c r="B4726" s="50">
        <v>45070.6150773032</v>
      </c>
      <c r="C4726" s="51">
        <v>1.01</v>
      </c>
      <c r="D4726" s="51">
        <v>65.0</v>
      </c>
      <c r="E4726" s="52" t="s">
        <v>25</v>
      </c>
      <c r="F4726" s="52" t="s">
        <v>26</v>
      </c>
      <c r="G4726" s="54"/>
    </row>
    <row r="4727">
      <c r="A4727" s="49">
        <v>45070.50052876158</v>
      </c>
      <c r="B4727" s="50">
        <v>45070.6254983449</v>
      </c>
      <c r="C4727" s="51">
        <v>1.01</v>
      </c>
      <c r="D4727" s="51">
        <v>65.0</v>
      </c>
      <c r="E4727" s="52" t="s">
        <v>25</v>
      </c>
      <c r="F4727" s="52" t="s">
        <v>26</v>
      </c>
      <c r="G4727" s="54"/>
    </row>
    <row r="4728">
      <c r="A4728" s="49">
        <v>45070.51095079861</v>
      </c>
      <c r="B4728" s="50">
        <v>45070.6359211689</v>
      </c>
      <c r="C4728" s="51">
        <v>1.01</v>
      </c>
      <c r="D4728" s="51">
        <v>65.0</v>
      </c>
      <c r="E4728" s="52" t="s">
        <v>25</v>
      </c>
      <c r="F4728" s="52" t="s">
        <v>26</v>
      </c>
      <c r="G4728" s="54"/>
    </row>
    <row r="4729">
      <c r="A4729" s="49">
        <v>45070.52137081018</v>
      </c>
      <c r="B4729" s="50">
        <v>45070.6463404745</v>
      </c>
      <c r="C4729" s="51">
        <v>1.01</v>
      </c>
      <c r="D4729" s="51">
        <v>65.0</v>
      </c>
      <c r="E4729" s="52" t="s">
        <v>25</v>
      </c>
      <c r="F4729" s="52" t="s">
        <v>26</v>
      </c>
      <c r="G4729" s="54"/>
    </row>
    <row r="4730">
      <c r="A4730" s="49">
        <v>45070.531788761575</v>
      </c>
      <c r="B4730" s="50">
        <v>45070.6567629629</v>
      </c>
      <c r="C4730" s="51">
        <v>1.01</v>
      </c>
      <c r="D4730" s="51">
        <v>65.0</v>
      </c>
      <c r="E4730" s="52" t="s">
        <v>25</v>
      </c>
      <c r="F4730" s="52" t="s">
        <v>26</v>
      </c>
      <c r="G4730" s="54"/>
    </row>
    <row r="4731">
      <c r="A4731" s="49">
        <v>45070.5422187963</v>
      </c>
      <c r="B4731" s="50">
        <v>45070.6671952893</v>
      </c>
      <c r="C4731" s="51">
        <v>1.01</v>
      </c>
      <c r="D4731" s="51">
        <v>65.0</v>
      </c>
      <c r="E4731" s="52" t="s">
        <v>25</v>
      </c>
      <c r="F4731" s="52" t="s">
        <v>26</v>
      </c>
      <c r="G4731" s="54"/>
    </row>
    <row r="4732">
      <c r="A4732" s="49">
        <v>45070.552664953706</v>
      </c>
      <c r="B4732" s="50">
        <v>45070.6776170949</v>
      </c>
      <c r="C4732" s="51">
        <v>1.01</v>
      </c>
      <c r="D4732" s="51">
        <v>65.0</v>
      </c>
      <c r="E4732" s="52" t="s">
        <v>25</v>
      </c>
      <c r="F4732" s="52" t="s">
        <v>26</v>
      </c>
      <c r="G4732" s="54"/>
    </row>
    <row r="4733">
      <c r="A4733" s="49">
        <v>45070.56307608796</v>
      </c>
      <c r="B4733" s="50">
        <v>45070.6880389467</v>
      </c>
      <c r="C4733" s="51">
        <v>1.01</v>
      </c>
      <c r="D4733" s="51">
        <v>65.0</v>
      </c>
      <c r="E4733" s="52" t="s">
        <v>25</v>
      </c>
      <c r="F4733" s="52" t="s">
        <v>26</v>
      </c>
      <c r="G4733" s="54"/>
    </row>
    <row r="4734">
      <c r="A4734" s="49">
        <v>45070.57348034722</v>
      </c>
      <c r="B4734" s="50">
        <v>45070.6984602546</v>
      </c>
      <c r="C4734" s="51">
        <v>1.01</v>
      </c>
      <c r="D4734" s="51">
        <v>65.0</v>
      </c>
      <c r="E4734" s="52" t="s">
        <v>25</v>
      </c>
      <c r="F4734" s="52" t="s">
        <v>26</v>
      </c>
      <c r="G4734" s="54"/>
    </row>
    <row r="4735">
      <c r="A4735" s="49">
        <v>45070.58392659722</v>
      </c>
      <c r="B4735" s="50">
        <v>45070.7088939004</v>
      </c>
      <c r="C4735" s="51">
        <v>1.01</v>
      </c>
      <c r="D4735" s="51">
        <v>65.0</v>
      </c>
      <c r="E4735" s="52" t="s">
        <v>25</v>
      </c>
      <c r="F4735" s="52" t="s">
        <v>26</v>
      </c>
      <c r="G4735" s="54"/>
    </row>
    <row r="4736">
      <c r="A4736" s="49">
        <v>45070.59433944445</v>
      </c>
      <c r="B4736" s="50">
        <v>45070.7193155671</v>
      </c>
      <c r="C4736" s="51">
        <v>1.01</v>
      </c>
      <c r="D4736" s="51">
        <v>65.0</v>
      </c>
      <c r="E4736" s="52" t="s">
        <v>25</v>
      </c>
      <c r="F4736" s="52" t="s">
        <v>26</v>
      </c>
      <c r="G4736" s="54"/>
    </row>
    <row r="4737">
      <c r="A4737" s="49">
        <v>45070.604759016205</v>
      </c>
      <c r="B4737" s="50">
        <v>45070.7297372222</v>
      </c>
      <c r="C4737" s="51">
        <v>1.01</v>
      </c>
      <c r="D4737" s="51">
        <v>65.0</v>
      </c>
      <c r="E4737" s="52" t="s">
        <v>25</v>
      </c>
      <c r="F4737" s="52" t="s">
        <v>26</v>
      </c>
      <c r="G4737" s="54"/>
    </row>
    <row r="4738">
      <c r="A4738" s="49">
        <v>45070.6152118287</v>
      </c>
      <c r="B4738" s="50">
        <v>45070.7401830324</v>
      </c>
      <c r="C4738" s="51">
        <v>1.01</v>
      </c>
      <c r="D4738" s="51">
        <v>65.0</v>
      </c>
      <c r="E4738" s="52" t="s">
        <v>25</v>
      </c>
      <c r="F4738" s="52" t="s">
        <v>26</v>
      </c>
      <c r="G4738" s="54"/>
    </row>
    <row r="4739">
      <c r="A4739" s="49">
        <v>45070.62563392361</v>
      </c>
      <c r="B4739" s="50">
        <v>45070.7506027546</v>
      </c>
      <c r="C4739" s="51">
        <v>1.01</v>
      </c>
      <c r="D4739" s="51">
        <v>65.0</v>
      </c>
      <c r="E4739" s="52" t="s">
        <v>25</v>
      </c>
      <c r="F4739" s="52" t="s">
        <v>26</v>
      </c>
      <c r="G4739" s="54"/>
    </row>
    <row r="4740">
      <c r="A4740" s="49">
        <v>45070.6360500463</v>
      </c>
      <c r="B4740" s="50">
        <v>45070.7610250694</v>
      </c>
      <c r="C4740" s="51">
        <v>1.01</v>
      </c>
      <c r="D4740" s="51">
        <v>65.0</v>
      </c>
      <c r="E4740" s="52" t="s">
        <v>25</v>
      </c>
      <c r="F4740" s="52" t="s">
        <v>26</v>
      </c>
      <c r="G4740" s="54"/>
    </row>
    <row r="4741">
      <c r="A4741" s="49">
        <v>45070.64647180555</v>
      </c>
      <c r="B4741" s="50">
        <v>45070.7714452083</v>
      </c>
      <c r="C4741" s="51">
        <v>1.01</v>
      </c>
      <c r="D4741" s="51">
        <v>65.0</v>
      </c>
      <c r="E4741" s="52" t="s">
        <v>25</v>
      </c>
      <c r="F4741" s="52" t="s">
        <v>26</v>
      </c>
      <c r="G4741" s="54"/>
    </row>
    <row r="4742">
      <c r="A4742" s="49">
        <v>45070.65688603009</v>
      </c>
      <c r="B4742" s="50">
        <v>45070.7818660648</v>
      </c>
      <c r="C4742" s="51">
        <v>1.01</v>
      </c>
      <c r="D4742" s="51">
        <v>65.0</v>
      </c>
      <c r="E4742" s="52" t="s">
        <v>25</v>
      </c>
      <c r="F4742" s="52" t="s">
        <v>26</v>
      </c>
      <c r="G4742" s="54"/>
    </row>
    <row r="4743">
      <c r="A4743" s="49">
        <v>45070.67775775463</v>
      </c>
      <c r="B4743" s="50">
        <v>45070.8027325694</v>
      </c>
      <c r="C4743" s="51">
        <v>1.01</v>
      </c>
      <c r="D4743" s="51">
        <v>65.0</v>
      </c>
      <c r="E4743" s="52" t="s">
        <v>25</v>
      </c>
      <c r="F4743" s="52" t="s">
        <v>26</v>
      </c>
      <c r="G4743" s="54"/>
    </row>
    <row r="4744">
      <c r="A4744" s="49">
        <v>45070.69860077546</v>
      </c>
      <c r="B4744" s="50">
        <v>45070.8235746875</v>
      </c>
      <c r="C4744" s="51">
        <v>1.01</v>
      </c>
      <c r="D4744" s="51">
        <v>65.0</v>
      </c>
      <c r="E4744" s="52" t="s">
        <v>25</v>
      </c>
      <c r="F4744" s="52" t="s">
        <v>26</v>
      </c>
      <c r="G4744" s="54"/>
    </row>
    <row r="4745">
      <c r="A4745" s="49">
        <v>45070.70902326389</v>
      </c>
      <c r="B4745" s="50">
        <v>45070.8339960995</v>
      </c>
      <c r="C4745" s="51">
        <v>1.01</v>
      </c>
      <c r="D4745" s="51">
        <v>65.0</v>
      </c>
      <c r="E4745" s="52" t="s">
        <v>25</v>
      </c>
      <c r="F4745" s="52" t="s">
        <v>26</v>
      </c>
      <c r="G4745" s="54"/>
    </row>
    <row r="4746">
      <c r="A4746" s="49">
        <v>45070.72986465278</v>
      </c>
      <c r="B4746" s="50">
        <v>45070.854837662</v>
      </c>
      <c r="C4746" s="51">
        <v>1.01</v>
      </c>
      <c r="D4746" s="51">
        <v>65.0</v>
      </c>
      <c r="E4746" s="52" t="s">
        <v>25</v>
      </c>
      <c r="F4746" s="52" t="s">
        <v>26</v>
      </c>
      <c r="G4746" s="54"/>
    </row>
    <row r="4747">
      <c r="A4747" s="49">
        <v>45070.7402887037</v>
      </c>
      <c r="B4747" s="50">
        <v>45070.8652575</v>
      </c>
      <c r="C4747" s="51">
        <v>1.01</v>
      </c>
      <c r="D4747" s="51">
        <v>65.0</v>
      </c>
      <c r="E4747" s="52" t="s">
        <v>25</v>
      </c>
      <c r="F4747" s="52" t="s">
        <v>26</v>
      </c>
      <c r="G4747" s="54"/>
    </row>
    <row r="4748">
      <c r="A4748" s="49">
        <v>45070.750709513886</v>
      </c>
      <c r="B4748" s="50">
        <v>45070.8756787037</v>
      </c>
      <c r="C4748" s="51">
        <v>1.01</v>
      </c>
      <c r="D4748" s="51">
        <v>65.0</v>
      </c>
      <c r="E4748" s="52" t="s">
        <v>25</v>
      </c>
      <c r="F4748" s="52" t="s">
        <v>26</v>
      </c>
      <c r="G4748" s="54"/>
    </row>
    <row r="4749">
      <c r="A4749" s="49">
        <v>45070.76113271991</v>
      </c>
      <c r="B4749" s="50">
        <v>45070.8861111458</v>
      </c>
      <c r="C4749" s="51">
        <v>1.01</v>
      </c>
      <c r="D4749" s="51">
        <v>65.0</v>
      </c>
      <c r="E4749" s="52" t="s">
        <v>25</v>
      </c>
      <c r="F4749" s="52" t="s">
        <v>26</v>
      </c>
      <c r="G4749" s="54"/>
    </row>
    <row r="4750">
      <c r="A4750" s="49">
        <v>45070.77156246528</v>
      </c>
      <c r="B4750" s="50">
        <v>45070.8965434837</v>
      </c>
      <c r="C4750" s="51">
        <v>1.01</v>
      </c>
      <c r="D4750" s="51">
        <v>65.0</v>
      </c>
      <c r="E4750" s="52" t="s">
        <v>25</v>
      </c>
      <c r="F4750" s="52" t="s">
        <v>26</v>
      </c>
      <c r="G4750" s="54"/>
    </row>
    <row r="4751">
      <c r="A4751" s="49">
        <v>45070.781987395836</v>
      </c>
      <c r="B4751" s="50">
        <v>45070.9069658912</v>
      </c>
      <c r="C4751" s="51">
        <v>1.01</v>
      </c>
      <c r="D4751" s="51">
        <v>65.0</v>
      </c>
      <c r="E4751" s="52" t="s">
        <v>25</v>
      </c>
      <c r="F4751" s="52" t="s">
        <v>26</v>
      </c>
      <c r="G4751" s="54"/>
    </row>
    <row r="4752">
      <c r="A4752" s="49">
        <v>45070.79240576389</v>
      </c>
      <c r="B4752" s="50">
        <v>45070.9173862963</v>
      </c>
      <c r="C4752" s="51">
        <v>1.01</v>
      </c>
      <c r="D4752" s="51">
        <v>65.0</v>
      </c>
      <c r="E4752" s="52" t="s">
        <v>25</v>
      </c>
      <c r="F4752" s="52" t="s">
        <v>26</v>
      </c>
      <c r="G4752" s="54"/>
    </row>
    <row r="4753">
      <c r="A4753" s="49">
        <v>45070.80285020833</v>
      </c>
      <c r="B4753" s="50">
        <v>45070.9278188888</v>
      </c>
      <c r="C4753" s="51">
        <v>1.01</v>
      </c>
      <c r="D4753" s="51">
        <v>65.0</v>
      </c>
      <c r="E4753" s="52" t="s">
        <v>25</v>
      </c>
      <c r="F4753" s="52" t="s">
        <v>26</v>
      </c>
      <c r="G4753" s="54"/>
    </row>
    <row r="4754">
      <c r="A4754" s="49">
        <v>45070.81327975694</v>
      </c>
      <c r="B4754" s="50">
        <v>45070.9382510069</v>
      </c>
      <c r="C4754" s="51">
        <v>1.01</v>
      </c>
      <c r="D4754" s="51">
        <v>65.0</v>
      </c>
      <c r="E4754" s="52" t="s">
        <v>25</v>
      </c>
      <c r="F4754" s="52" t="s">
        <v>26</v>
      </c>
      <c r="G4754" s="54"/>
    </row>
    <row r="4755">
      <c r="A4755" s="49">
        <v>45070.823710763885</v>
      </c>
      <c r="B4755" s="50">
        <v>45070.9486830787</v>
      </c>
      <c r="C4755" s="51">
        <v>1.01</v>
      </c>
      <c r="D4755" s="51">
        <v>65.0</v>
      </c>
      <c r="E4755" s="52" t="s">
        <v>25</v>
      </c>
      <c r="F4755" s="52" t="s">
        <v>26</v>
      </c>
      <c r="G4755" s="54"/>
    </row>
    <row r="4756">
      <c r="A4756" s="49">
        <v>45070.834143541666</v>
      </c>
      <c r="B4756" s="50">
        <v>45070.9591148148</v>
      </c>
      <c r="C4756" s="51">
        <v>1.01</v>
      </c>
      <c r="D4756" s="51">
        <v>65.0</v>
      </c>
      <c r="E4756" s="52" t="s">
        <v>25</v>
      </c>
      <c r="F4756" s="52" t="s">
        <v>26</v>
      </c>
      <c r="G4756" s="54"/>
    </row>
    <row r="4757">
      <c r="A4757" s="49">
        <v>45070.84456420139</v>
      </c>
      <c r="B4757" s="50">
        <v>45070.9695359375</v>
      </c>
      <c r="C4757" s="51">
        <v>1.01</v>
      </c>
      <c r="D4757" s="51">
        <v>65.0</v>
      </c>
      <c r="E4757" s="52" t="s">
        <v>25</v>
      </c>
      <c r="F4757" s="52" t="s">
        <v>26</v>
      </c>
      <c r="G4757" s="54"/>
    </row>
    <row r="4758">
      <c r="A4758" s="49">
        <v>45070.86540142361</v>
      </c>
      <c r="B4758" s="50">
        <v>45070.9903767361</v>
      </c>
      <c r="C4758" s="51">
        <v>1.01</v>
      </c>
      <c r="D4758" s="51">
        <v>65.0</v>
      </c>
      <c r="E4758" s="52" t="s">
        <v>25</v>
      </c>
      <c r="F4758" s="52" t="s">
        <v>26</v>
      </c>
      <c r="G4758" s="54"/>
    </row>
    <row r="4759">
      <c r="A4759" s="49">
        <v>45070.87585616898</v>
      </c>
      <c r="B4759" s="50">
        <v>45071.0008213426</v>
      </c>
      <c r="C4759" s="51">
        <v>1.01</v>
      </c>
      <c r="D4759" s="51">
        <v>65.0</v>
      </c>
      <c r="E4759" s="52" t="s">
        <v>25</v>
      </c>
      <c r="F4759" s="52" t="s">
        <v>26</v>
      </c>
      <c r="G4759" s="54"/>
    </row>
    <row r="4760">
      <c r="A4760" s="49">
        <v>45070.88627076389</v>
      </c>
      <c r="B4760" s="50">
        <v>45071.0112424074</v>
      </c>
      <c r="C4760" s="51">
        <v>1.01</v>
      </c>
      <c r="D4760" s="51">
        <v>65.0</v>
      </c>
      <c r="E4760" s="52" t="s">
        <v>25</v>
      </c>
      <c r="F4760" s="52" t="s">
        <v>26</v>
      </c>
      <c r="G4760" s="54"/>
    </row>
    <row r="4761">
      <c r="A4761" s="49">
        <v>45070.896692372684</v>
      </c>
      <c r="B4761" s="50">
        <v>45071.0216642592</v>
      </c>
      <c r="C4761" s="51">
        <v>1.01</v>
      </c>
      <c r="D4761" s="51">
        <v>65.0</v>
      </c>
      <c r="E4761" s="52" t="s">
        <v>25</v>
      </c>
      <c r="F4761" s="52" t="s">
        <v>26</v>
      </c>
      <c r="G4761" s="54"/>
    </row>
    <row r="4762">
      <c r="A4762" s="49">
        <v>45070.907125185186</v>
      </c>
      <c r="B4762" s="50">
        <v>45071.0320873495</v>
      </c>
      <c r="C4762" s="51">
        <v>1.01</v>
      </c>
      <c r="D4762" s="51">
        <v>65.0</v>
      </c>
      <c r="E4762" s="52" t="s">
        <v>25</v>
      </c>
      <c r="F4762" s="52" t="s">
        <v>26</v>
      </c>
      <c r="G4762" s="54"/>
    </row>
    <row r="4763">
      <c r="A4763" s="49">
        <v>45070.91753342593</v>
      </c>
      <c r="B4763" s="50">
        <v>45071.0425106134</v>
      </c>
      <c r="C4763" s="51">
        <v>1.01</v>
      </c>
      <c r="D4763" s="51">
        <v>65.0</v>
      </c>
      <c r="E4763" s="52" t="s">
        <v>25</v>
      </c>
      <c r="F4763" s="52" t="s">
        <v>26</v>
      </c>
      <c r="G4763" s="54"/>
    </row>
    <row r="4764">
      <c r="A4764" s="49">
        <v>45070.92796223379</v>
      </c>
      <c r="B4764" s="50">
        <v>45071.0529314236</v>
      </c>
      <c r="C4764" s="51">
        <v>1.01</v>
      </c>
      <c r="D4764" s="51">
        <v>65.0</v>
      </c>
      <c r="E4764" s="52" t="s">
        <v>25</v>
      </c>
      <c r="F4764" s="52" t="s">
        <v>26</v>
      </c>
      <c r="G4764" s="54"/>
    </row>
    <row r="4765">
      <c r="A4765" s="49">
        <v>45070.93839923611</v>
      </c>
      <c r="B4765" s="50">
        <v>45071.0633644444</v>
      </c>
      <c r="C4765" s="51">
        <v>1.01</v>
      </c>
      <c r="D4765" s="51">
        <v>65.0</v>
      </c>
      <c r="E4765" s="52" t="s">
        <v>25</v>
      </c>
      <c r="F4765" s="52" t="s">
        <v>26</v>
      </c>
      <c r="G4765" s="54"/>
    </row>
    <row r="4766">
      <c r="A4766" s="49">
        <v>45070.948826631946</v>
      </c>
      <c r="B4766" s="50">
        <v>45071.0737847685</v>
      </c>
      <c r="C4766" s="51">
        <v>1.01</v>
      </c>
      <c r="D4766" s="51">
        <v>65.0</v>
      </c>
      <c r="E4766" s="52" t="s">
        <v>25</v>
      </c>
      <c r="F4766" s="52" t="s">
        <v>26</v>
      </c>
      <c r="G4766" s="54"/>
    </row>
    <row r="4767">
      <c r="A4767" s="49">
        <v>45070.95923388889</v>
      </c>
      <c r="B4767" s="50">
        <v>45071.0842061921</v>
      </c>
      <c r="C4767" s="51">
        <v>1.01</v>
      </c>
      <c r="D4767" s="51">
        <v>65.0</v>
      </c>
      <c r="E4767" s="52" t="s">
        <v>25</v>
      </c>
      <c r="F4767" s="52" t="s">
        <v>26</v>
      </c>
      <c r="G4767" s="54"/>
    </row>
    <row r="4768">
      <c r="A4768" s="49">
        <v>45070.96965293981</v>
      </c>
      <c r="B4768" s="50">
        <v>45071.0946267245</v>
      </c>
      <c r="C4768" s="51">
        <v>1.01</v>
      </c>
      <c r="D4768" s="51">
        <v>65.0</v>
      </c>
      <c r="E4768" s="52" t="s">
        <v>25</v>
      </c>
      <c r="F4768" s="52" t="s">
        <v>26</v>
      </c>
      <c r="G4768" s="54"/>
    </row>
    <row r="4769">
      <c r="A4769" s="49">
        <v>45070.98007547454</v>
      </c>
      <c r="B4769" s="50">
        <v>45071.1050477893</v>
      </c>
      <c r="C4769" s="51">
        <v>1.01</v>
      </c>
      <c r="D4769" s="51">
        <v>65.0</v>
      </c>
      <c r="E4769" s="52" t="s">
        <v>25</v>
      </c>
      <c r="F4769" s="52" t="s">
        <v>26</v>
      </c>
      <c r="G4769" s="54"/>
    </row>
    <row r="4770">
      <c r="A4770" s="49">
        <v>45070.9904990625</v>
      </c>
      <c r="B4770" s="50">
        <v>45071.1154684953</v>
      </c>
      <c r="C4770" s="51">
        <v>1.01</v>
      </c>
      <c r="D4770" s="51">
        <v>65.0</v>
      </c>
      <c r="E4770" s="52" t="s">
        <v>25</v>
      </c>
      <c r="F4770" s="52" t="s">
        <v>26</v>
      </c>
      <c r="G4770" s="54"/>
    </row>
    <row r="4771">
      <c r="A4771" s="49">
        <v>45071.00091365741</v>
      </c>
      <c r="B4771" s="50">
        <v>45071.125888912</v>
      </c>
      <c r="C4771" s="51">
        <v>1.01</v>
      </c>
      <c r="D4771" s="51">
        <v>65.0</v>
      </c>
      <c r="E4771" s="52" t="s">
        <v>25</v>
      </c>
      <c r="F4771" s="52" t="s">
        <v>26</v>
      </c>
      <c r="G4771" s="54"/>
    </row>
    <row r="4772">
      <c r="A4772" s="49">
        <v>45071.01134221065</v>
      </c>
      <c r="B4772" s="50">
        <v>45071.1363104282</v>
      </c>
      <c r="C4772" s="51">
        <v>1.01</v>
      </c>
      <c r="D4772" s="51">
        <v>65.0</v>
      </c>
      <c r="E4772" s="52" t="s">
        <v>25</v>
      </c>
      <c r="F4772" s="52" t="s">
        <v>26</v>
      </c>
      <c r="G4772" s="54"/>
    </row>
    <row r="4773">
      <c r="A4773" s="49">
        <v>45071.02176344907</v>
      </c>
      <c r="B4773" s="50">
        <v>45071.1467291666</v>
      </c>
      <c r="C4773" s="51">
        <v>1.01</v>
      </c>
      <c r="D4773" s="51">
        <v>65.0</v>
      </c>
      <c r="E4773" s="52" t="s">
        <v>25</v>
      </c>
      <c r="F4773" s="52" t="s">
        <v>26</v>
      </c>
      <c r="G4773" s="54"/>
    </row>
    <row r="4774">
      <c r="A4774" s="49">
        <v>45071.03218693287</v>
      </c>
      <c r="B4774" s="50">
        <v>45071.1571493865</v>
      </c>
      <c r="C4774" s="51">
        <v>1.01</v>
      </c>
      <c r="D4774" s="51">
        <v>65.0</v>
      </c>
      <c r="E4774" s="52" t="s">
        <v>25</v>
      </c>
      <c r="F4774" s="52" t="s">
        <v>26</v>
      </c>
      <c r="G4774" s="54"/>
    </row>
    <row r="4775">
      <c r="A4775" s="49">
        <v>45071.04259373843</v>
      </c>
      <c r="B4775" s="50">
        <v>45071.1675703819</v>
      </c>
      <c r="C4775" s="51">
        <v>1.01</v>
      </c>
      <c r="D4775" s="51">
        <v>65.0</v>
      </c>
      <c r="E4775" s="52" t="s">
        <v>25</v>
      </c>
      <c r="F4775" s="52" t="s">
        <v>26</v>
      </c>
      <c r="G4775" s="54"/>
    </row>
    <row r="4776">
      <c r="A4776" s="49">
        <v>45071.0530152662</v>
      </c>
      <c r="B4776" s="50">
        <v>45071.1779914699</v>
      </c>
      <c r="C4776" s="51">
        <v>1.01</v>
      </c>
      <c r="D4776" s="51">
        <v>65.0</v>
      </c>
      <c r="E4776" s="52" t="s">
        <v>25</v>
      </c>
      <c r="F4776" s="52" t="s">
        <v>26</v>
      </c>
      <c r="G4776" s="54"/>
    </row>
    <row r="4777">
      <c r="A4777" s="49">
        <v>45071.06344362268</v>
      </c>
      <c r="B4777" s="50">
        <v>45071.1884110416</v>
      </c>
      <c r="C4777" s="51">
        <v>1.01</v>
      </c>
      <c r="D4777" s="51">
        <v>65.0</v>
      </c>
      <c r="E4777" s="52" t="s">
        <v>25</v>
      </c>
      <c r="F4777" s="52" t="s">
        <v>26</v>
      </c>
      <c r="G4777" s="54"/>
    </row>
    <row r="4778">
      <c r="A4778" s="49">
        <v>45071.073864363425</v>
      </c>
      <c r="B4778" s="50">
        <v>45071.1988327893</v>
      </c>
      <c r="C4778" s="51">
        <v>1.01</v>
      </c>
      <c r="D4778" s="51">
        <v>65.0</v>
      </c>
      <c r="E4778" s="52" t="s">
        <v>25</v>
      </c>
      <c r="F4778" s="52" t="s">
        <v>26</v>
      </c>
      <c r="G4778" s="54"/>
    </row>
    <row r="4779">
      <c r="A4779" s="49">
        <v>45071.084288032405</v>
      </c>
      <c r="B4779" s="50">
        <v>45071.2092531018</v>
      </c>
      <c r="C4779" s="51">
        <v>1.01</v>
      </c>
      <c r="D4779" s="51">
        <v>65.0</v>
      </c>
      <c r="E4779" s="52" t="s">
        <v>25</v>
      </c>
      <c r="F4779" s="52" t="s">
        <v>26</v>
      </c>
      <c r="G4779" s="54"/>
    </row>
    <row r="4780">
      <c r="A4780" s="49">
        <v>45071.10512597222</v>
      </c>
      <c r="B4780" s="50">
        <v>45071.23009875</v>
      </c>
      <c r="C4780" s="51">
        <v>1.01</v>
      </c>
      <c r="D4780" s="51">
        <v>65.0</v>
      </c>
      <c r="E4780" s="52" t="s">
        <v>25</v>
      </c>
      <c r="F4780" s="52" t="s">
        <v>26</v>
      </c>
      <c r="G4780" s="54"/>
    </row>
    <row r="4781">
      <c r="A4781" s="49">
        <v>45071.11555289352</v>
      </c>
      <c r="B4781" s="50">
        <v>45071.2405194444</v>
      </c>
      <c r="C4781" s="51">
        <v>1.01</v>
      </c>
      <c r="D4781" s="51">
        <v>65.0</v>
      </c>
      <c r="E4781" s="52" t="s">
        <v>25</v>
      </c>
      <c r="F4781" s="52" t="s">
        <v>26</v>
      </c>
      <c r="G4781" s="54"/>
    </row>
    <row r="4782">
      <c r="A4782" s="49">
        <v>45071.12596633102</v>
      </c>
      <c r="B4782" s="50">
        <v>45071.2509392245</v>
      </c>
      <c r="C4782" s="51">
        <v>1.01</v>
      </c>
      <c r="D4782" s="51">
        <v>65.0</v>
      </c>
      <c r="E4782" s="52" t="s">
        <v>25</v>
      </c>
      <c r="F4782" s="52" t="s">
        <v>26</v>
      </c>
      <c r="G4782" s="54"/>
    </row>
    <row r="4783">
      <c r="A4783" s="49">
        <v>45071.13639934028</v>
      </c>
      <c r="B4783" s="50">
        <v>45071.2613712615</v>
      </c>
      <c r="C4783" s="51">
        <v>1.01</v>
      </c>
      <c r="D4783" s="51">
        <v>65.0</v>
      </c>
      <c r="E4783" s="52" t="s">
        <v>25</v>
      </c>
      <c r="F4783" s="52" t="s">
        <v>26</v>
      </c>
      <c r="G4783" s="54"/>
    </row>
    <row r="4784">
      <c r="A4784" s="49">
        <v>45071.14682721064</v>
      </c>
      <c r="B4784" s="50">
        <v>45071.2718044791</v>
      </c>
      <c r="C4784" s="51">
        <v>1.01</v>
      </c>
      <c r="D4784" s="51">
        <v>65.0</v>
      </c>
      <c r="E4784" s="52" t="s">
        <v>25</v>
      </c>
      <c r="F4784" s="52" t="s">
        <v>26</v>
      </c>
      <c r="G4784" s="54"/>
    </row>
    <row r="4785">
      <c r="A4785" s="49">
        <v>45071.157258865744</v>
      </c>
      <c r="B4785" s="50">
        <v>45071.2822258796</v>
      </c>
      <c r="C4785" s="51">
        <v>1.01</v>
      </c>
      <c r="D4785" s="51">
        <v>65.0</v>
      </c>
      <c r="E4785" s="52" t="s">
        <v>25</v>
      </c>
      <c r="F4785" s="52" t="s">
        <v>26</v>
      </c>
      <c r="G4785" s="54"/>
    </row>
    <row r="4786">
      <c r="A4786" s="49">
        <v>45071.16767285879</v>
      </c>
      <c r="B4786" s="50">
        <v>45071.2926461111</v>
      </c>
      <c r="C4786" s="51">
        <v>1.01</v>
      </c>
      <c r="D4786" s="51">
        <v>65.0</v>
      </c>
      <c r="E4786" s="52" t="s">
        <v>25</v>
      </c>
      <c r="F4786" s="52" t="s">
        <v>26</v>
      </c>
      <c r="G4786" s="54"/>
    </row>
    <row r="4787">
      <c r="A4787" s="49">
        <v>45071.17809037037</v>
      </c>
      <c r="B4787" s="50">
        <v>45071.3030663078</v>
      </c>
      <c r="C4787" s="51">
        <v>1.01</v>
      </c>
      <c r="D4787" s="51">
        <v>65.0</v>
      </c>
      <c r="E4787" s="52" t="s">
        <v>25</v>
      </c>
      <c r="F4787" s="52" t="s">
        <v>26</v>
      </c>
      <c r="G4787" s="54"/>
    </row>
    <row r="4788">
      <c r="A4788" s="49">
        <v>45071.18854101852</v>
      </c>
      <c r="B4788" s="50">
        <v>45071.3134869444</v>
      </c>
      <c r="C4788" s="51">
        <v>1.01</v>
      </c>
      <c r="D4788" s="51">
        <v>65.0</v>
      </c>
      <c r="E4788" s="52" t="s">
        <v>25</v>
      </c>
      <c r="F4788" s="52" t="s">
        <v>26</v>
      </c>
      <c r="G4788" s="54"/>
    </row>
    <row r="4789">
      <c r="A4789" s="49">
        <v>45071.19893641204</v>
      </c>
      <c r="B4789" s="50">
        <v>45071.3239062615</v>
      </c>
      <c r="C4789" s="51">
        <v>1.01</v>
      </c>
      <c r="D4789" s="51">
        <v>65.0</v>
      </c>
      <c r="E4789" s="52" t="s">
        <v>25</v>
      </c>
      <c r="F4789" s="52" t="s">
        <v>26</v>
      </c>
      <c r="G4789" s="54"/>
    </row>
    <row r="4790">
      <c r="A4790" s="49">
        <v>45071.209353796294</v>
      </c>
      <c r="B4790" s="50">
        <v>45071.3343264236</v>
      </c>
      <c r="C4790" s="51">
        <v>1.01</v>
      </c>
      <c r="D4790" s="51">
        <v>65.0</v>
      </c>
      <c r="E4790" s="52" t="s">
        <v>25</v>
      </c>
      <c r="F4790" s="52" t="s">
        <v>26</v>
      </c>
      <c r="G4790" s="54"/>
    </row>
    <row r="4791">
      <c r="A4791" s="49">
        <v>45071.21976877315</v>
      </c>
      <c r="B4791" s="50">
        <v>45071.3447477314</v>
      </c>
      <c r="C4791" s="51">
        <v>1.01</v>
      </c>
      <c r="D4791" s="51">
        <v>65.0</v>
      </c>
      <c r="E4791" s="52" t="s">
        <v>25</v>
      </c>
      <c r="F4791" s="52" t="s">
        <v>26</v>
      </c>
      <c r="G4791" s="54"/>
    </row>
    <row r="4792">
      <c r="A4792" s="49">
        <v>45071.24062917824</v>
      </c>
      <c r="B4792" s="50">
        <v>45071.3656034259</v>
      </c>
      <c r="C4792" s="51">
        <v>1.01</v>
      </c>
      <c r="D4792" s="51">
        <v>65.0</v>
      </c>
      <c r="E4792" s="52" t="s">
        <v>25</v>
      </c>
      <c r="F4792" s="52" t="s">
        <v>26</v>
      </c>
      <c r="G4792" s="54"/>
    </row>
    <row r="4793">
      <c r="A4793" s="49">
        <v>45071.25105723379</v>
      </c>
      <c r="B4793" s="50">
        <v>45071.3760245023</v>
      </c>
      <c r="C4793" s="51">
        <v>1.01</v>
      </c>
      <c r="D4793" s="51">
        <v>65.0</v>
      </c>
      <c r="E4793" s="52" t="s">
        <v>25</v>
      </c>
      <c r="F4793" s="52" t="s">
        <v>26</v>
      </c>
      <c r="G4793" s="54"/>
    </row>
    <row r="4794">
      <c r="A4794" s="49">
        <v>45071.26147586806</v>
      </c>
      <c r="B4794" s="50">
        <v>45071.3864448611</v>
      </c>
      <c r="C4794" s="51">
        <v>1.01</v>
      </c>
      <c r="D4794" s="51">
        <v>65.0</v>
      </c>
      <c r="E4794" s="52" t="s">
        <v>25</v>
      </c>
      <c r="F4794" s="52" t="s">
        <v>26</v>
      </c>
      <c r="G4794" s="54"/>
    </row>
    <row r="4795">
      <c r="A4795" s="49">
        <v>45071.27189258102</v>
      </c>
      <c r="B4795" s="50">
        <v>45071.3968640509</v>
      </c>
      <c r="C4795" s="51">
        <v>1.01</v>
      </c>
      <c r="D4795" s="51">
        <v>65.0</v>
      </c>
      <c r="E4795" s="52" t="s">
        <v>25</v>
      </c>
      <c r="F4795" s="52" t="s">
        <v>26</v>
      </c>
      <c r="G4795" s="54"/>
    </row>
    <row r="4796">
      <c r="A4796" s="49">
        <v>45071.28235384259</v>
      </c>
      <c r="B4796" s="50">
        <v>45071.4073209606</v>
      </c>
      <c r="C4796" s="51">
        <v>1.01</v>
      </c>
      <c r="D4796" s="51">
        <v>65.0</v>
      </c>
      <c r="E4796" s="52" t="s">
        <v>25</v>
      </c>
      <c r="F4796" s="52" t="s">
        <v>26</v>
      </c>
      <c r="G4796" s="54"/>
    </row>
    <row r="4797">
      <c r="A4797" s="49">
        <v>45071.29277581019</v>
      </c>
      <c r="B4797" s="50">
        <v>45071.4177416898</v>
      </c>
      <c r="C4797" s="51">
        <v>1.01</v>
      </c>
      <c r="D4797" s="51">
        <v>65.0</v>
      </c>
      <c r="E4797" s="52" t="s">
        <v>25</v>
      </c>
      <c r="F4797" s="52" t="s">
        <v>26</v>
      </c>
      <c r="G4797" s="54"/>
    </row>
    <row r="4798">
      <c r="A4798" s="49">
        <v>45071.30318682871</v>
      </c>
      <c r="B4798" s="50">
        <v>45071.4281626157</v>
      </c>
      <c r="C4798" s="51">
        <v>1.01</v>
      </c>
      <c r="D4798" s="51">
        <v>65.0</v>
      </c>
      <c r="E4798" s="52" t="s">
        <v>25</v>
      </c>
      <c r="F4798" s="52" t="s">
        <v>26</v>
      </c>
      <c r="G4798" s="54"/>
    </row>
    <row r="4799">
      <c r="A4799" s="49">
        <v>45071.313614363426</v>
      </c>
      <c r="B4799" s="50">
        <v>45071.438583287</v>
      </c>
      <c r="C4799" s="51">
        <v>1.01</v>
      </c>
      <c r="D4799" s="51">
        <v>65.0</v>
      </c>
      <c r="E4799" s="52" t="s">
        <v>25</v>
      </c>
      <c r="F4799" s="52" t="s">
        <v>26</v>
      </c>
      <c r="G4799" s="54"/>
    </row>
    <row r="4800">
      <c r="A4800" s="49">
        <v>45071.32402901621</v>
      </c>
      <c r="B4800" s="50">
        <v>45071.4490055208</v>
      </c>
      <c r="C4800" s="51">
        <v>1.009</v>
      </c>
      <c r="D4800" s="51">
        <v>65.0</v>
      </c>
      <c r="E4800" s="52" t="s">
        <v>25</v>
      </c>
      <c r="F4800" s="52" t="s">
        <v>26</v>
      </c>
      <c r="G4800" s="54"/>
    </row>
    <row r="4801">
      <c r="A4801" s="49">
        <v>45071.33446010417</v>
      </c>
      <c r="B4801" s="50">
        <v>45071.4594269791</v>
      </c>
      <c r="C4801" s="51">
        <v>1.01</v>
      </c>
      <c r="D4801" s="51">
        <v>65.0</v>
      </c>
      <c r="E4801" s="52" t="s">
        <v>25</v>
      </c>
      <c r="F4801" s="52" t="s">
        <v>26</v>
      </c>
      <c r="G4801" s="54"/>
    </row>
    <row r="4802">
      <c r="A4802" s="49">
        <v>45071.34489753473</v>
      </c>
      <c r="B4802" s="50">
        <v>45071.469847662</v>
      </c>
      <c r="C4802" s="51">
        <v>1.01</v>
      </c>
      <c r="D4802" s="51">
        <v>65.0</v>
      </c>
      <c r="E4802" s="52" t="s">
        <v>25</v>
      </c>
      <c r="F4802" s="52" t="s">
        <v>26</v>
      </c>
      <c r="G4802" s="54"/>
    </row>
    <row r="4803">
      <c r="A4803" s="49">
        <v>45071.35530465278</v>
      </c>
      <c r="B4803" s="50">
        <v>45071.480269074</v>
      </c>
      <c r="C4803" s="51">
        <v>1.01</v>
      </c>
      <c r="D4803" s="51">
        <v>65.0</v>
      </c>
      <c r="E4803" s="52" t="s">
        <v>25</v>
      </c>
      <c r="F4803" s="52" t="s">
        <v>26</v>
      </c>
      <c r="G4803" s="54"/>
    </row>
    <row r="4804">
      <c r="A4804" s="49">
        <v>45071.36571559028</v>
      </c>
      <c r="B4804" s="50">
        <v>45071.490690243</v>
      </c>
      <c r="C4804" s="51">
        <v>1.01</v>
      </c>
      <c r="D4804" s="51">
        <v>65.0</v>
      </c>
      <c r="E4804" s="52" t="s">
        <v>25</v>
      </c>
      <c r="F4804" s="52" t="s">
        <v>26</v>
      </c>
      <c r="G4804" s="54"/>
    </row>
    <row r="4805">
      <c r="A4805" s="49">
        <v>45071.376134907405</v>
      </c>
      <c r="B4805" s="50">
        <v>45071.5011110185</v>
      </c>
      <c r="C4805" s="51">
        <v>1.01</v>
      </c>
      <c r="D4805" s="51">
        <v>65.0</v>
      </c>
      <c r="E4805" s="52" t="s">
        <v>25</v>
      </c>
      <c r="F4805" s="52" t="s">
        <v>26</v>
      </c>
      <c r="G4805" s="54"/>
    </row>
    <row r="4806">
      <c r="A4806" s="49">
        <v>45071.38656479167</v>
      </c>
      <c r="B4806" s="50">
        <v>45071.5115322685</v>
      </c>
      <c r="C4806" s="51">
        <v>1.01</v>
      </c>
      <c r="D4806" s="51">
        <v>65.0</v>
      </c>
      <c r="E4806" s="52" t="s">
        <v>25</v>
      </c>
      <c r="F4806" s="52" t="s">
        <v>26</v>
      </c>
      <c r="G4806" s="54"/>
    </row>
    <row r="4807">
      <c r="A4807" s="49">
        <v>45071.39698175926</v>
      </c>
      <c r="B4807" s="50">
        <v>45071.5219524305</v>
      </c>
      <c r="C4807" s="51">
        <v>1.009</v>
      </c>
      <c r="D4807" s="51">
        <v>65.0</v>
      </c>
      <c r="E4807" s="52" t="s">
        <v>25</v>
      </c>
      <c r="F4807" s="52" t="s">
        <v>26</v>
      </c>
      <c r="G4807" s="54"/>
    </row>
    <row r="4808">
      <c r="A4808" s="49">
        <v>45071.40739453703</v>
      </c>
      <c r="B4808" s="50">
        <v>45071.5323747338</v>
      </c>
      <c r="C4808" s="51">
        <v>1.009</v>
      </c>
      <c r="D4808" s="51">
        <v>65.0</v>
      </c>
      <c r="E4808" s="52" t="s">
        <v>25</v>
      </c>
      <c r="F4808" s="52" t="s">
        <v>26</v>
      </c>
      <c r="G4808" s="54"/>
    </row>
    <row r="4809">
      <c r="A4809" s="49">
        <v>45071.417841608796</v>
      </c>
      <c r="B4809" s="50">
        <v>45071.5428074768</v>
      </c>
      <c r="C4809" s="51">
        <v>1.01</v>
      </c>
      <c r="D4809" s="51">
        <v>65.0</v>
      </c>
      <c r="E4809" s="52" t="s">
        <v>25</v>
      </c>
      <c r="F4809" s="52" t="s">
        <v>26</v>
      </c>
      <c r="G4809" s="54"/>
    </row>
    <row r="4810">
      <c r="A4810" s="49">
        <v>45071.42827826389</v>
      </c>
      <c r="B4810" s="50">
        <v>45071.5532298495</v>
      </c>
      <c r="C4810" s="51">
        <v>1.01</v>
      </c>
      <c r="D4810" s="51">
        <v>65.0</v>
      </c>
      <c r="E4810" s="52" t="s">
        <v>25</v>
      </c>
      <c r="F4810" s="52" t="s">
        <v>26</v>
      </c>
      <c r="G4810" s="54"/>
    </row>
    <row r="4811">
      <c r="A4811" s="49">
        <v>45071.43867052083</v>
      </c>
      <c r="B4811" s="50">
        <v>45071.5636487615</v>
      </c>
      <c r="C4811" s="51">
        <v>1.01</v>
      </c>
      <c r="D4811" s="51">
        <v>65.0</v>
      </c>
      <c r="E4811" s="52" t="s">
        <v>25</v>
      </c>
      <c r="F4811" s="52" t="s">
        <v>26</v>
      </c>
      <c r="G4811" s="54"/>
    </row>
    <row r="4812">
      <c r="A4812" s="49">
        <v>45071.44909686343</v>
      </c>
      <c r="B4812" s="50">
        <v>45071.574070625</v>
      </c>
      <c r="C4812" s="51">
        <v>1.01</v>
      </c>
      <c r="D4812" s="51">
        <v>65.0</v>
      </c>
      <c r="E4812" s="52" t="s">
        <v>25</v>
      </c>
      <c r="F4812" s="52" t="s">
        <v>26</v>
      </c>
      <c r="G4812" s="54"/>
    </row>
    <row r="4813">
      <c r="A4813" s="49">
        <v>45071.45958711806</v>
      </c>
      <c r="B4813" s="50">
        <v>45071.5844909375</v>
      </c>
      <c r="C4813" s="51">
        <v>1.01</v>
      </c>
      <c r="D4813" s="51">
        <v>65.0</v>
      </c>
      <c r="E4813" s="52" t="s">
        <v>25</v>
      </c>
      <c r="F4813" s="52" t="s">
        <v>26</v>
      </c>
      <c r="G4813" s="54"/>
    </row>
    <row r="4814">
      <c r="A4814" s="49">
        <v>45071.46994231481</v>
      </c>
      <c r="B4814" s="50">
        <v>45071.5949119791</v>
      </c>
      <c r="C4814" s="51">
        <v>1.01</v>
      </c>
      <c r="D4814" s="51">
        <v>65.0</v>
      </c>
      <c r="E4814" s="52" t="s">
        <v>25</v>
      </c>
      <c r="F4814" s="52" t="s">
        <v>26</v>
      </c>
      <c r="G4814" s="54"/>
    </row>
    <row r="4815">
      <c r="A4815" s="49">
        <v>45071.48035582176</v>
      </c>
      <c r="B4815" s="50">
        <v>45071.6053336226</v>
      </c>
      <c r="C4815" s="51">
        <v>1.01</v>
      </c>
      <c r="D4815" s="51">
        <v>65.0</v>
      </c>
      <c r="E4815" s="52" t="s">
        <v>25</v>
      </c>
      <c r="F4815" s="52" t="s">
        <v>26</v>
      </c>
      <c r="G4815" s="54"/>
    </row>
    <row r="4816">
      <c r="A4816" s="49">
        <v>45071.49078733796</v>
      </c>
      <c r="B4816" s="50">
        <v>45071.615755324</v>
      </c>
      <c r="C4816" s="51">
        <v>1.01</v>
      </c>
      <c r="D4816" s="51">
        <v>65.0</v>
      </c>
      <c r="E4816" s="52" t="s">
        <v>25</v>
      </c>
      <c r="F4816" s="52" t="s">
        <v>26</v>
      </c>
      <c r="G4816" s="54"/>
    </row>
    <row r="4817">
      <c r="A4817" s="49">
        <v>45071.50121184028</v>
      </c>
      <c r="B4817" s="50">
        <v>45071.6261771759</v>
      </c>
      <c r="C4817" s="51">
        <v>1.01</v>
      </c>
      <c r="D4817" s="51">
        <v>65.0</v>
      </c>
      <c r="E4817" s="52" t="s">
        <v>25</v>
      </c>
      <c r="F4817" s="52" t="s">
        <v>26</v>
      </c>
      <c r="G4817" s="54"/>
    </row>
    <row r="4818">
      <c r="A4818" s="49">
        <v>45071.51162290509</v>
      </c>
      <c r="B4818" s="50">
        <v>45071.6365984722</v>
      </c>
      <c r="C4818" s="51">
        <v>1.01</v>
      </c>
      <c r="D4818" s="51">
        <v>65.0</v>
      </c>
      <c r="E4818" s="52" t="s">
        <v>25</v>
      </c>
      <c r="F4818" s="52" t="s">
        <v>26</v>
      </c>
      <c r="G4818" s="54"/>
    </row>
    <row r="4819">
      <c r="A4819" s="49">
        <v>45071.522052824075</v>
      </c>
      <c r="B4819" s="50">
        <v>45071.6470214699</v>
      </c>
      <c r="C4819" s="51">
        <v>1.01</v>
      </c>
      <c r="D4819" s="51">
        <v>65.0</v>
      </c>
      <c r="E4819" s="52" t="s">
        <v>25</v>
      </c>
      <c r="F4819" s="52" t="s">
        <v>26</v>
      </c>
      <c r="G4819" s="54"/>
    </row>
    <row r="4820">
      <c r="A4820" s="49">
        <v>45071.53247153935</v>
      </c>
      <c r="B4820" s="50">
        <v>45071.6574427893</v>
      </c>
      <c r="C4820" s="51">
        <v>1.01</v>
      </c>
      <c r="D4820" s="51">
        <v>65.0</v>
      </c>
      <c r="E4820" s="52" t="s">
        <v>25</v>
      </c>
      <c r="F4820" s="52" t="s">
        <v>26</v>
      </c>
      <c r="G4820" s="54"/>
    </row>
    <row r="4821">
      <c r="A4821" s="49">
        <v>45071.54288828703</v>
      </c>
      <c r="B4821" s="50">
        <v>45071.6678650926</v>
      </c>
      <c r="C4821" s="51">
        <v>1.01</v>
      </c>
      <c r="D4821" s="51">
        <v>65.0</v>
      </c>
      <c r="E4821" s="52" t="s">
        <v>25</v>
      </c>
      <c r="F4821" s="52" t="s">
        <v>26</v>
      </c>
      <c r="G4821" s="54"/>
    </row>
    <row r="4822">
      <c r="A4822" s="49">
        <v>45071.55334059028</v>
      </c>
      <c r="B4822" s="50">
        <v>45071.6783108564</v>
      </c>
      <c r="C4822" s="51">
        <v>1.01</v>
      </c>
      <c r="D4822" s="51">
        <v>65.0</v>
      </c>
      <c r="E4822" s="52" t="s">
        <v>25</v>
      </c>
      <c r="F4822" s="52" t="s">
        <v>26</v>
      </c>
      <c r="G4822" s="54"/>
    </row>
    <row r="4823">
      <c r="A4823" s="49">
        <v>45071.56377354167</v>
      </c>
      <c r="B4823" s="50">
        <v>45071.6887426157</v>
      </c>
      <c r="C4823" s="51">
        <v>1.01</v>
      </c>
      <c r="D4823" s="51">
        <v>65.0</v>
      </c>
      <c r="E4823" s="52" t="s">
        <v>25</v>
      </c>
      <c r="F4823" s="52" t="s">
        <v>26</v>
      </c>
      <c r="G4823" s="54"/>
    </row>
    <row r="4824">
      <c r="A4824" s="49">
        <v>45071.57421068287</v>
      </c>
      <c r="B4824" s="50">
        <v>45071.6991763426</v>
      </c>
      <c r="C4824" s="51">
        <v>1.01</v>
      </c>
      <c r="D4824" s="51">
        <v>65.0</v>
      </c>
      <c r="E4824" s="52" t="s">
        <v>25</v>
      </c>
      <c r="F4824" s="52" t="s">
        <v>26</v>
      </c>
      <c r="G4824" s="54"/>
    </row>
    <row r="4825">
      <c r="A4825" s="49">
        <v>45071.584626875</v>
      </c>
      <c r="B4825" s="50">
        <v>45071.7095961574</v>
      </c>
      <c r="C4825" s="51">
        <v>1.01</v>
      </c>
      <c r="D4825" s="51">
        <v>65.0</v>
      </c>
      <c r="E4825" s="52" t="s">
        <v>25</v>
      </c>
      <c r="F4825" s="52" t="s">
        <v>26</v>
      </c>
      <c r="G4825" s="54"/>
    </row>
    <row r="4826">
      <c r="A4826" s="49">
        <v>45071.59504665509</v>
      </c>
      <c r="B4826" s="50">
        <v>45071.7200178356</v>
      </c>
      <c r="C4826" s="51">
        <v>1.01</v>
      </c>
      <c r="D4826" s="51">
        <v>65.0</v>
      </c>
      <c r="E4826" s="52" t="s">
        <v>25</v>
      </c>
      <c r="F4826" s="52" t="s">
        <v>26</v>
      </c>
      <c r="G4826" s="54"/>
    </row>
    <row r="4827">
      <c r="A4827" s="49">
        <v>45071.60546690972</v>
      </c>
      <c r="B4827" s="50">
        <v>45071.7304392939</v>
      </c>
      <c r="C4827" s="51">
        <v>1.01</v>
      </c>
      <c r="D4827" s="51">
        <v>65.0</v>
      </c>
      <c r="E4827" s="52" t="s">
        <v>25</v>
      </c>
      <c r="F4827" s="52" t="s">
        <v>26</v>
      </c>
      <c r="G4827" s="54"/>
    </row>
    <row r="4828">
      <c r="A4828" s="49">
        <v>45071.61588899305</v>
      </c>
      <c r="B4828" s="50">
        <v>45071.7408613541</v>
      </c>
      <c r="C4828" s="51">
        <v>1.009</v>
      </c>
      <c r="D4828" s="51">
        <v>65.0</v>
      </c>
      <c r="E4828" s="52" t="s">
        <v>25</v>
      </c>
      <c r="F4828" s="52" t="s">
        <v>26</v>
      </c>
      <c r="G4828" s="54"/>
    </row>
    <row r="4829">
      <c r="A4829" s="49">
        <v>45071.62631344907</v>
      </c>
      <c r="B4829" s="50">
        <v>45071.7512853356</v>
      </c>
      <c r="C4829" s="51">
        <v>1.01</v>
      </c>
      <c r="D4829" s="51">
        <v>65.0</v>
      </c>
      <c r="E4829" s="52" t="s">
        <v>25</v>
      </c>
      <c r="F4829" s="52" t="s">
        <v>26</v>
      </c>
      <c r="G4829" s="54"/>
    </row>
    <row r="4830">
      <c r="A4830" s="49">
        <v>45071.63673878473</v>
      </c>
      <c r="B4830" s="50">
        <v>45071.7617059838</v>
      </c>
      <c r="C4830" s="51">
        <v>1.01</v>
      </c>
      <c r="D4830" s="51">
        <v>65.0</v>
      </c>
      <c r="E4830" s="52" t="s">
        <v>25</v>
      </c>
      <c r="F4830" s="52" t="s">
        <v>26</v>
      </c>
      <c r="G4830" s="54"/>
    </row>
    <row r="4831">
      <c r="A4831" s="49">
        <v>45071.647164166665</v>
      </c>
      <c r="B4831" s="50">
        <v>45071.7721390856</v>
      </c>
      <c r="C4831" s="51">
        <v>1.01</v>
      </c>
      <c r="D4831" s="51">
        <v>65.0</v>
      </c>
      <c r="E4831" s="52" t="s">
        <v>25</v>
      </c>
      <c r="F4831" s="52" t="s">
        <v>26</v>
      </c>
      <c r="G4831" s="54"/>
    </row>
    <row r="4832">
      <c r="A4832" s="49">
        <v>45071.657583622684</v>
      </c>
      <c r="B4832" s="50">
        <v>45071.7825601273</v>
      </c>
      <c r="C4832" s="51">
        <v>1.009</v>
      </c>
      <c r="D4832" s="51">
        <v>65.0</v>
      </c>
      <c r="E4832" s="52" t="s">
        <v>25</v>
      </c>
      <c r="F4832" s="52" t="s">
        <v>26</v>
      </c>
      <c r="G4832" s="54"/>
    </row>
    <row r="4833">
      <c r="A4833" s="49">
        <v>45071.66800384259</v>
      </c>
      <c r="B4833" s="50">
        <v>45071.7929806249</v>
      </c>
      <c r="C4833" s="51">
        <v>1.009</v>
      </c>
      <c r="D4833" s="51">
        <v>65.0</v>
      </c>
      <c r="E4833" s="52" t="s">
        <v>25</v>
      </c>
      <c r="F4833" s="52" t="s">
        <v>26</v>
      </c>
      <c r="G4833" s="54"/>
    </row>
    <row r="4834">
      <c r="A4834" s="49">
        <v>45071.678421840275</v>
      </c>
      <c r="B4834" s="50">
        <v>45071.8034027777</v>
      </c>
      <c r="C4834" s="51">
        <v>1.01</v>
      </c>
      <c r="D4834" s="51">
        <v>65.0</v>
      </c>
      <c r="E4834" s="52" t="s">
        <v>25</v>
      </c>
      <c r="F4834" s="52" t="s">
        <v>26</v>
      </c>
      <c r="G4834" s="54"/>
    </row>
    <row r="4835">
      <c r="A4835" s="49">
        <v>45071.688850729166</v>
      </c>
      <c r="B4835" s="50">
        <v>45071.8138234143</v>
      </c>
      <c r="C4835" s="51">
        <v>1.009</v>
      </c>
      <c r="D4835" s="51">
        <v>65.0</v>
      </c>
      <c r="E4835" s="52" t="s">
        <v>25</v>
      </c>
      <c r="F4835" s="52" t="s">
        <v>26</v>
      </c>
      <c r="G4835" s="54"/>
    </row>
    <row r="4836">
      <c r="A4836" s="49">
        <v>45071.69927378472</v>
      </c>
      <c r="B4836" s="50">
        <v>45071.8242458564</v>
      </c>
      <c r="C4836" s="51">
        <v>1.01</v>
      </c>
      <c r="D4836" s="51">
        <v>65.0</v>
      </c>
      <c r="E4836" s="52" t="s">
        <v>25</v>
      </c>
      <c r="F4836" s="52" t="s">
        <v>26</v>
      </c>
      <c r="G4836" s="54"/>
    </row>
    <row r="4837">
      <c r="A4837" s="49">
        <v>45071.70970313657</v>
      </c>
      <c r="B4837" s="50">
        <v>45071.8346775578</v>
      </c>
      <c r="C4837" s="51">
        <v>1.01</v>
      </c>
      <c r="D4837" s="51">
        <v>65.0</v>
      </c>
      <c r="E4837" s="52" t="s">
        <v>25</v>
      </c>
      <c r="F4837" s="52" t="s">
        <v>26</v>
      </c>
      <c r="G4837" s="54"/>
    </row>
    <row r="4838">
      <c r="A4838" s="49">
        <v>45071.73055918982</v>
      </c>
      <c r="B4838" s="50">
        <v>45071.8555298958</v>
      </c>
      <c r="C4838" s="51">
        <v>1.01</v>
      </c>
      <c r="D4838" s="51">
        <v>65.0</v>
      </c>
      <c r="E4838" s="52" t="s">
        <v>25</v>
      </c>
      <c r="F4838" s="52" t="s">
        <v>26</v>
      </c>
      <c r="G4838" s="54"/>
    </row>
    <row r="4839">
      <c r="A4839" s="49">
        <v>45071.74098721065</v>
      </c>
      <c r="B4839" s="50">
        <v>45071.8659632986</v>
      </c>
      <c r="C4839" s="51">
        <v>1.01</v>
      </c>
      <c r="D4839" s="51">
        <v>65.0</v>
      </c>
      <c r="E4839" s="52" t="s">
        <v>25</v>
      </c>
      <c r="F4839" s="52" t="s">
        <v>26</v>
      </c>
      <c r="G4839" s="54"/>
    </row>
    <row r="4840">
      <c r="A4840" s="49">
        <v>45071.75141283565</v>
      </c>
      <c r="B4840" s="50">
        <v>45071.8763848958</v>
      </c>
      <c r="C4840" s="51">
        <v>1.01</v>
      </c>
      <c r="D4840" s="51">
        <v>65.0</v>
      </c>
      <c r="E4840" s="52" t="s">
        <v>25</v>
      </c>
      <c r="F4840" s="52" t="s">
        <v>26</v>
      </c>
      <c r="G4840" s="54"/>
    </row>
    <row r="4841">
      <c r="A4841" s="49">
        <v>45071.7618453125</v>
      </c>
      <c r="B4841" s="50">
        <v>45071.8868154629</v>
      </c>
      <c r="C4841" s="51">
        <v>1.01</v>
      </c>
      <c r="D4841" s="51">
        <v>65.0</v>
      </c>
      <c r="E4841" s="52" t="s">
        <v>25</v>
      </c>
      <c r="F4841" s="52" t="s">
        <v>26</v>
      </c>
      <c r="G4841" s="54"/>
    </row>
    <row r="4842">
      <c r="A4842" s="49">
        <v>45071.77227996528</v>
      </c>
      <c r="B4842" s="50">
        <v>45071.8972494328</v>
      </c>
      <c r="C4842" s="51">
        <v>1.01</v>
      </c>
      <c r="D4842" s="51">
        <v>65.0</v>
      </c>
      <c r="E4842" s="52" t="s">
        <v>25</v>
      </c>
      <c r="F4842" s="52" t="s">
        <v>26</v>
      </c>
      <c r="G4842" s="54"/>
    </row>
    <row r="4843">
      <c r="A4843" s="49">
        <v>45071.78268899306</v>
      </c>
      <c r="B4843" s="50">
        <v>45071.9076703819</v>
      </c>
      <c r="C4843" s="51">
        <v>1.01</v>
      </c>
      <c r="D4843" s="51">
        <v>65.0</v>
      </c>
      <c r="E4843" s="52" t="s">
        <v>25</v>
      </c>
      <c r="F4843" s="52" t="s">
        <v>26</v>
      </c>
      <c r="G4843" s="54"/>
    </row>
    <row r="4844">
      <c r="A4844" s="49">
        <v>45071.79310924769</v>
      </c>
      <c r="B4844" s="50">
        <v>45071.9180927662</v>
      </c>
      <c r="C4844" s="51">
        <v>1.009</v>
      </c>
      <c r="D4844" s="51">
        <v>65.0</v>
      </c>
      <c r="E4844" s="52" t="s">
        <v>25</v>
      </c>
      <c r="F4844" s="52" t="s">
        <v>26</v>
      </c>
      <c r="G4844" s="54"/>
    </row>
    <row r="4845">
      <c r="A4845" s="49">
        <v>45071.803541747686</v>
      </c>
      <c r="B4845" s="50">
        <v>45071.9285152083</v>
      </c>
      <c r="C4845" s="51">
        <v>1.01</v>
      </c>
      <c r="D4845" s="51">
        <v>65.0</v>
      </c>
      <c r="E4845" s="52" t="s">
        <v>25</v>
      </c>
      <c r="F4845" s="52" t="s">
        <v>26</v>
      </c>
      <c r="G4845" s="54"/>
    </row>
    <row r="4846">
      <c r="A4846" s="49">
        <v>45071.813958865736</v>
      </c>
      <c r="B4846" s="50">
        <v>45071.938936493</v>
      </c>
      <c r="C4846" s="51">
        <v>1.01</v>
      </c>
      <c r="D4846" s="51">
        <v>65.0</v>
      </c>
      <c r="E4846" s="52" t="s">
        <v>25</v>
      </c>
      <c r="F4846" s="52" t="s">
        <v>26</v>
      </c>
      <c r="G4846" s="54"/>
    </row>
    <row r="4847">
      <c r="A4847" s="49">
        <v>45071.82437806713</v>
      </c>
      <c r="B4847" s="50">
        <v>45071.9493572685</v>
      </c>
      <c r="C4847" s="51">
        <v>1.01</v>
      </c>
      <c r="D4847" s="51">
        <v>65.0</v>
      </c>
      <c r="E4847" s="52" t="s">
        <v>25</v>
      </c>
      <c r="F4847" s="52" t="s">
        <v>26</v>
      </c>
      <c r="G4847" s="54"/>
    </row>
    <row r="4848">
      <c r="A4848" s="49">
        <v>45071.83482065972</v>
      </c>
      <c r="B4848" s="50">
        <v>45071.9597908912</v>
      </c>
      <c r="C4848" s="51">
        <v>1.01</v>
      </c>
      <c r="D4848" s="51">
        <v>65.0</v>
      </c>
      <c r="E4848" s="52" t="s">
        <v>25</v>
      </c>
      <c r="F4848" s="52" t="s">
        <v>26</v>
      </c>
      <c r="G4848" s="54"/>
    </row>
    <row r="4849">
      <c r="A4849" s="49">
        <v>45071.845241550924</v>
      </c>
      <c r="B4849" s="50">
        <v>45071.9702234375</v>
      </c>
      <c r="C4849" s="51">
        <v>1.009</v>
      </c>
      <c r="D4849" s="51">
        <v>65.0</v>
      </c>
      <c r="E4849" s="52" t="s">
        <v>25</v>
      </c>
      <c r="F4849" s="52" t="s">
        <v>26</v>
      </c>
      <c r="G4849" s="54"/>
    </row>
    <row r="4850">
      <c r="A4850" s="49">
        <v>45071.85573971065</v>
      </c>
      <c r="B4850" s="50">
        <v>45071.9806449652</v>
      </c>
      <c r="C4850" s="51">
        <v>1.009</v>
      </c>
      <c r="D4850" s="51">
        <v>65.0</v>
      </c>
      <c r="E4850" s="52" t="s">
        <v>25</v>
      </c>
      <c r="F4850" s="52" t="s">
        <v>26</v>
      </c>
      <c r="G4850" s="54"/>
    </row>
    <row r="4851">
      <c r="A4851" s="49">
        <v>45071.866084953705</v>
      </c>
      <c r="B4851" s="50">
        <v>45071.9910639236</v>
      </c>
      <c r="C4851" s="51">
        <v>1.009</v>
      </c>
      <c r="D4851" s="51">
        <v>65.0</v>
      </c>
      <c r="E4851" s="52" t="s">
        <v>25</v>
      </c>
      <c r="F4851" s="52" t="s">
        <v>26</v>
      </c>
      <c r="G4851" s="54"/>
    </row>
    <row r="4852">
      <c r="A4852" s="49">
        <v>45071.87651350694</v>
      </c>
      <c r="B4852" s="50">
        <v>45072.0014833449</v>
      </c>
      <c r="C4852" s="51">
        <v>1.009</v>
      </c>
      <c r="D4852" s="51">
        <v>65.0</v>
      </c>
      <c r="E4852" s="52" t="s">
        <v>25</v>
      </c>
      <c r="F4852" s="52" t="s">
        <v>26</v>
      </c>
      <c r="G4852" s="54"/>
    </row>
    <row r="4853">
      <c r="A4853" s="49">
        <v>45071.88692900463</v>
      </c>
      <c r="B4853" s="50">
        <v>45072.0119048148</v>
      </c>
      <c r="C4853" s="51">
        <v>1.01</v>
      </c>
      <c r="D4853" s="51">
        <v>65.0</v>
      </c>
      <c r="E4853" s="52" t="s">
        <v>25</v>
      </c>
      <c r="F4853" s="52" t="s">
        <v>26</v>
      </c>
      <c r="G4853" s="54"/>
    </row>
    <row r="4854">
      <c r="A4854" s="49">
        <v>45071.89734552083</v>
      </c>
      <c r="B4854" s="50">
        <v>45072.0223255555</v>
      </c>
      <c r="C4854" s="51">
        <v>1.009</v>
      </c>
      <c r="D4854" s="51">
        <v>65.0</v>
      </c>
      <c r="E4854" s="52" t="s">
        <v>25</v>
      </c>
      <c r="F4854" s="52" t="s">
        <v>26</v>
      </c>
      <c r="G4854" s="54"/>
    </row>
    <row r="4855">
      <c r="A4855" s="49">
        <v>45071.90777337963</v>
      </c>
      <c r="B4855" s="50">
        <v>45072.0327479051</v>
      </c>
      <c r="C4855" s="51">
        <v>1.009</v>
      </c>
      <c r="D4855" s="51">
        <v>65.0</v>
      </c>
      <c r="E4855" s="52" t="s">
        <v>25</v>
      </c>
      <c r="F4855" s="52" t="s">
        <v>26</v>
      </c>
      <c r="G4855" s="54"/>
    </row>
    <row r="4856">
      <c r="A4856" s="49">
        <v>45071.91820047454</v>
      </c>
      <c r="B4856" s="50">
        <v>45072.0431811921</v>
      </c>
      <c r="C4856" s="51">
        <v>1.009</v>
      </c>
      <c r="D4856" s="51">
        <v>65.0</v>
      </c>
      <c r="E4856" s="52" t="s">
        <v>25</v>
      </c>
      <c r="F4856" s="52" t="s">
        <v>26</v>
      </c>
      <c r="G4856" s="54"/>
    </row>
    <row r="4857">
      <c r="A4857" s="49">
        <v>45071.92863274306</v>
      </c>
      <c r="B4857" s="50">
        <v>45072.0536015972</v>
      </c>
      <c r="C4857" s="51">
        <v>1.009</v>
      </c>
      <c r="D4857" s="51">
        <v>65.0</v>
      </c>
      <c r="E4857" s="52" t="s">
        <v>25</v>
      </c>
      <c r="F4857" s="52" t="s">
        <v>26</v>
      </c>
      <c r="G4857" s="54"/>
    </row>
    <row r="4858">
      <c r="A4858" s="49">
        <v>45071.939050879635</v>
      </c>
      <c r="B4858" s="50">
        <v>45072.0640214699</v>
      </c>
      <c r="C4858" s="51">
        <v>1.009</v>
      </c>
      <c r="D4858" s="51">
        <v>65.0</v>
      </c>
      <c r="E4858" s="52" t="s">
        <v>25</v>
      </c>
      <c r="F4858" s="52" t="s">
        <v>26</v>
      </c>
      <c r="G4858" s="54"/>
    </row>
    <row r="4859">
      <c r="A4859" s="49">
        <v>45071.94948283565</v>
      </c>
      <c r="B4859" s="50">
        <v>45072.074455787</v>
      </c>
      <c r="C4859" s="51">
        <v>1.01</v>
      </c>
      <c r="D4859" s="51">
        <v>65.0</v>
      </c>
      <c r="E4859" s="52" t="s">
        <v>25</v>
      </c>
      <c r="F4859" s="52" t="s">
        <v>26</v>
      </c>
      <c r="G4859" s="54"/>
    </row>
    <row r="4860">
      <c r="A4860" s="49">
        <v>45071.959994675926</v>
      </c>
      <c r="B4860" s="50">
        <v>45072.084900868</v>
      </c>
      <c r="C4860" s="51">
        <v>1.009</v>
      </c>
      <c r="D4860" s="51">
        <v>65.0</v>
      </c>
      <c r="E4860" s="52" t="s">
        <v>25</v>
      </c>
      <c r="F4860" s="52" t="s">
        <v>26</v>
      </c>
      <c r="G4860" s="54"/>
    </row>
    <row r="4861">
      <c r="A4861" s="49">
        <v>45071.9703478588</v>
      </c>
      <c r="B4861" s="50">
        <v>45072.0953233449</v>
      </c>
      <c r="C4861" s="51">
        <v>1.01</v>
      </c>
      <c r="D4861" s="51">
        <v>65.0</v>
      </c>
      <c r="E4861" s="52" t="s">
        <v>25</v>
      </c>
      <c r="F4861" s="52" t="s">
        <v>26</v>
      </c>
      <c r="G4861" s="54"/>
    </row>
    <row r="4862">
      <c r="A4862" s="49">
        <v>45071.980791608796</v>
      </c>
      <c r="B4862" s="50">
        <v>45072.1057664699</v>
      </c>
      <c r="C4862" s="51">
        <v>1.01</v>
      </c>
      <c r="D4862" s="51">
        <v>65.0</v>
      </c>
      <c r="E4862" s="52" t="s">
        <v>25</v>
      </c>
      <c r="F4862" s="52" t="s">
        <v>26</v>
      </c>
      <c r="G4862" s="54"/>
    </row>
    <row r="4863">
      <c r="A4863" s="49">
        <v>45071.99121902778</v>
      </c>
      <c r="B4863" s="50">
        <v>45072.1161875115</v>
      </c>
      <c r="C4863" s="51">
        <v>1.01</v>
      </c>
      <c r="D4863" s="51">
        <v>65.0</v>
      </c>
      <c r="E4863" s="52" t="s">
        <v>25</v>
      </c>
      <c r="F4863" s="52" t="s">
        <v>26</v>
      </c>
      <c r="G4863" s="54"/>
    </row>
    <row r="4864">
      <c r="A4864" s="49">
        <v>45072.00163949074</v>
      </c>
      <c r="B4864" s="50">
        <v>45072.1266089467</v>
      </c>
      <c r="C4864" s="51">
        <v>1.009</v>
      </c>
      <c r="D4864" s="51">
        <v>65.0</v>
      </c>
      <c r="E4864" s="52" t="s">
        <v>25</v>
      </c>
      <c r="F4864" s="52" t="s">
        <v>26</v>
      </c>
      <c r="G4864" s="54"/>
    </row>
    <row r="4865">
      <c r="A4865" s="49">
        <v>45072.01205123843</v>
      </c>
      <c r="B4865" s="50">
        <v>45072.1370289004</v>
      </c>
      <c r="C4865" s="51">
        <v>1.01</v>
      </c>
      <c r="D4865" s="51">
        <v>65.0</v>
      </c>
      <c r="E4865" s="52" t="s">
        <v>25</v>
      </c>
      <c r="F4865" s="52" t="s">
        <v>26</v>
      </c>
      <c r="G4865" s="54"/>
    </row>
    <row r="4866">
      <c r="A4866" s="49">
        <v>45072.02249423611</v>
      </c>
      <c r="B4866" s="50">
        <v>45072.1474624305</v>
      </c>
      <c r="C4866" s="51">
        <v>1.009</v>
      </c>
      <c r="D4866" s="51">
        <v>65.0</v>
      </c>
      <c r="E4866" s="52" t="s">
        <v>25</v>
      </c>
      <c r="F4866" s="52" t="s">
        <v>26</v>
      </c>
      <c r="G4866" s="54"/>
    </row>
    <row r="4867">
      <c r="A4867" s="49">
        <v>45072.03291761574</v>
      </c>
      <c r="B4867" s="50">
        <v>45072.15789603</v>
      </c>
      <c r="C4867" s="51">
        <v>1.009</v>
      </c>
      <c r="D4867" s="51">
        <v>65.0</v>
      </c>
      <c r="E4867" s="52" t="s">
        <v>25</v>
      </c>
      <c r="F4867" s="52" t="s">
        <v>26</v>
      </c>
      <c r="G4867" s="54"/>
    </row>
    <row r="4868">
      <c r="A4868" s="49">
        <v>45072.04333908565</v>
      </c>
      <c r="B4868" s="50">
        <v>45072.1683186226</v>
      </c>
      <c r="C4868" s="51">
        <v>1.009</v>
      </c>
      <c r="D4868" s="51">
        <v>65.0</v>
      </c>
      <c r="E4868" s="52" t="s">
        <v>25</v>
      </c>
      <c r="F4868" s="52" t="s">
        <v>26</v>
      </c>
      <c r="G4868" s="54"/>
    </row>
    <row r="4869">
      <c r="A4869" s="49">
        <v>45072.05375782408</v>
      </c>
      <c r="B4869" s="50">
        <v>45072.1787391088</v>
      </c>
      <c r="C4869" s="51">
        <v>1.01</v>
      </c>
      <c r="D4869" s="51">
        <v>65.0</v>
      </c>
      <c r="E4869" s="52" t="s">
        <v>25</v>
      </c>
      <c r="F4869" s="52" t="s">
        <v>26</v>
      </c>
      <c r="G4869" s="54"/>
    </row>
    <row r="4870">
      <c r="A4870" s="49">
        <v>45072.06420282407</v>
      </c>
      <c r="B4870" s="50">
        <v>45072.1891713541</v>
      </c>
      <c r="C4870" s="51">
        <v>1.009</v>
      </c>
      <c r="D4870" s="51">
        <v>65.0</v>
      </c>
      <c r="E4870" s="52" t="s">
        <v>25</v>
      </c>
      <c r="F4870" s="52" t="s">
        <v>26</v>
      </c>
      <c r="G4870" s="54"/>
    </row>
    <row r="4871">
      <c r="A4871" s="49">
        <v>45072.07461766204</v>
      </c>
      <c r="B4871" s="50">
        <v>45072.1995928703</v>
      </c>
      <c r="C4871" s="51">
        <v>1.01</v>
      </c>
      <c r="D4871" s="51">
        <v>65.0</v>
      </c>
      <c r="E4871" s="52" t="s">
        <v>25</v>
      </c>
      <c r="F4871" s="52" t="s">
        <v>26</v>
      </c>
      <c r="G4871" s="54"/>
    </row>
    <row r="4872">
      <c r="A4872" s="49">
        <v>45072.08503402778</v>
      </c>
      <c r="B4872" s="50">
        <v>45072.2100134375</v>
      </c>
      <c r="C4872" s="51">
        <v>1.009</v>
      </c>
      <c r="D4872" s="51">
        <v>65.0</v>
      </c>
      <c r="E4872" s="52" t="s">
        <v>25</v>
      </c>
      <c r="F4872" s="52" t="s">
        <v>26</v>
      </c>
      <c r="G4872" s="54"/>
    </row>
    <row r="4873">
      <c r="A4873" s="49">
        <v>45072.09547290509</v>
      </c>
      <c r="B4873" s="50">
        <v>45072.2204445717</v>
      </c>
      <c r="C4873" s="51">
        <v>1.01</v>
      </c>
      <c r="D4873" s="51">
        <v>65.0</v>
      </c>
      <c r="E4873" s="52" t="s">
        <v>25</v>
      </c>
      <c r="F4873" s="52" t="s">
        <v>26</v>
      </c>
      <c r="G4873" s="54"/>
    </row>
    <row r="4874">
      <c r="A4874" s="49">
        <v>45072.10590134259</v>
      </c>
      <c r="B4874" s="50">
        <v>45072.2308679861</v>
      </c>
      <c r="C4874" s="51">
        <v>1.009</v>
      </c>
      <c r="D4874" s="51">
        <v>65.0</v>
      </c>
      <c r="E4874" s="52" t="s">
        <v>25</v>
      </c>
      <c r="F4874" s="52" t="s">
        <v>26</v>
      </c>
      <c r="G4874" s="54"/>
    </row>
    <row r="4875">
      <c r="A4875" s="49">
        <v>45072.11631333333</v>
      </c>
      <c r="B4875" s="50">
        <v>45072.2412884953</v>
      </c>
      <c r="C4875" s="51">
        <v>1.01</v>
      </c>
      <c r="D4875" s="51">
        <v>65.0</v>
      </c>
      <c r="E4875" s="52" t="s">
        <v>25</v>
      </c>
      <c r="F4875" s="52" t="s">
        <v>26</v>
      </c>
      <c r="G4875" s="54"/>
    </row>
    <row r="4876">
      <c r="A4876" s="49">
        <v>45072.126735011574</v>
      </c>
      <c r="B4876" s="50">
        <v>45072.2517090046</v>
      </c>
      <c r="C4876" s="51">
        <v>1.009</v>
      </c>
      <c r="D4876" s="51">
        <v>65.0</v>
      </c>
      <c r="E4876" s="52" t="s">
        <v>25</v>
      </c>
      <c r="F4876" s="52" t="s">
        <v>26</v>
      </c>
      <c r="G4876" s="54"/>
    </row>
    <row r="4877">
      <c r="A4877" s="49">
        <v>45072.1371512037</v>
      </c>
      <c r="B4877" s="50">
        <v>45072.2621299074</v>
      </c>
      <c r="C4877" s="51">
        <v>1.009</v>
      </c>
      <c r="D4877" s="51">
        <v>65.0</v>
      </c>
      <c r="E4877" s="52" t="s">
        <v>25</v>
      </c>
      <c r="F4877" s="52" t="s">
        <v>26</v>
      </c>
      <c r="G4877" s="54"/>
    </row>
    <row r="4878">
      <c r="A4878" s="49">
        <v>45072.14756875</v>
      </c>
      <c r="B4878" s="50">
        <v>45072.2725487152</v>
      </c>
      <c r="C4878" s="51">
        <v>1.009</v>
      </c>
      <c r="D4878" s="51">
        <v>65.0</v>
      </c>
      <c r="E4878" s="52" t="s">
        <v>25</v>
      </c>
      <c r="F4878" s="52" t="s">
        <v>26</v>
      </c>
      <c r="G4878" s="54"/>
    </row>
    <row r="4879">
      <c r="A4879" s="49">
        <v>45072.15799876157</v>
      </c>
      <c r="B4879" s="50">
        <v>45072.2829703819</v>
      </c>
      <c r="C4879" s="51">
        <v>1.009</v>
      </c>
      <c r="D4879" s="51">
        <v>65.0</v>
      </c>
      <c r="E4879" s="52" t="s">
        <v>25</v>
      </c>
      <c r="F4879" s="52" t="s">
        <v>26</v>
      </c>
      <c r="G4879" s="54"/>
    </row>
    <row r="4880">
      <c r="A4880" s="49">
        <v>45072.16841427083</v>
      </c>
      <c r="B4880" s="50">
        <v>45072.2933897685</v>
      </c>
      <c r="C4880" s="51">
        <v>1.009</v>
      </c>
      <c r="D4880" s="51">
        <v>65.0</v>
      </c>
      <c r="E4880" s="52" t="s">
        <v>25</v>
      </c>
      <c r="F4880" s="52" t="s">
        <v>26</v>
      </c>
      <c r="G4880" s="54"/>
    </row>
    <row r="4881">
      <c r="A4881" s="49">
        <v>45072.178831909725</v>
      </c>
      <c r="B4881" s="50">
        <v>45072.30381103</v>
      </c>
      <c r="C4881" s="51">
        <v>1.009</v>
      </c>
      <c r="D4881" s="51">
        <v>65.0</v>
      </c>
      <c r="E4881" s="52" t="s">
        <v>25</v>
      </c>
      <c r="F4881" s="52" t="s">
        <v>26</v>
      </c>
      <c r="G4881" s="54"/>
    </row>
    <row r="4882">
      <c r="A4882" s="49">
        <v>45072.189267222224</v>
      </c>
      <c r="B4882" s="50">
        <v>45072.3142331481</v>
      </c>
      <c r="C4882" s="51">
        <v>1.009</v>
      </c>
      <c r="D4882" s="51">
        <v>65.0</v>
      </c>
      <c r="E4882" s="52" t="s">
        <v>25</v>
      </c>
      <c r="F4882" s="52" t="s">
        <v>26</v>
      </c>
      <c r="G4882" s="54"/>
    </row>
    <row r="4883">
      <c r="A4883" s="49">
        <v>45072.19968765046</v>
      </c>
      <c r="B4883" s="50">
        <v>45072.3246543865</v>
      </c>
      <c r="C4883" s="51">
        <v>1.009</v>
      </c>
      <c r="D4883" s="51">
        <v>65.0</v>
      </c>
      <c r="E4883" s="52" t="s">
        <v>25</v>
      </c>
      <c r="F4883" s="52" t="s">
        <v>26</v>
      </c>
      <c r="G4883" s="54"/>
    </row>
    <row r="4884">
      <c r="A4884" s="49">
        <v>45072.2101308912</v>
      </c>
      <c r="B4884" s="50">
        <v>45072.3350879861</v>
      </c>
      <c r="C4884" s="51">
        <v>1.009</v>
      </c>
      <c r="D4884" s="51">
        <v>65.0</v>
      </c>
      <c r="E4884" s="52" t="s">
        <v>25</v>
      </c>
      <c r="F4884" s="52" t="s">
        <v>26</v>
      </c>
      <c r="G4884" s="54"/>
    </row>
    <row r="4885">
      <c r="A4885" s="49">
        <v>45072.22053770833</v>
      </c>
      <c r="B4885" s="50">
        <v>45072.345509456</v>
      </c>
      <c r="C4885" s="51">
        <v>1.009</v>
      </c>
      <c r="D4885" s="51">
        <v>65.0</v>
      </c>
      <c r="E4885" s="52" t="s">
        <v>25</v>
      </c>
      <c r="F4885" s="52" t="s">
        <v>26</v>
      </c>
      <c r="G4885" s="54"/>
    </row>
    <row r="4886">
      <c r="A4886" s="49">
        <v>45072.230974907405</v>
      </c>
      <c r="B4886" s="50">
        <v>45072.3559417592</v>
      </c>
      <c r="C4886" s="51">
        <v>1.009</v>
      </c>
      <c r="D4886" s="51">
        <v>65.0</v>
      </c>
      <c r="E4886" s="52" t="s">
        <v>25</v>
      </c>
      <c r="F4886" s="52" t="s">
        <v>26</v>
      </c>
      <c r="G4886" s="54"/>
    </row>
    <row r="4887">
      <c r="A4887" s="49">
        <v>45072.24139201389</v>
      </c>
      <c r="B4887" s="50">
        <v>45072.3663635185</v>
      </c>
      <c r="C4887" s="51">
        <v>1.009</v>
      </c>
      <c r="D4887" s="51">
        <v>65.0</v>
      </c>
      <c r="E4887" s="52" t="s">
        <v>25</v>
      </c>
      <c r="F4887" s="52" t="s">
        <v>26</v>
      </c>
      <c r="G4887" s="54"/>
    </row>
    <row r="4888">
      <c r="A4888" s="49">
        <v>45072.25191319444</v>
      </c>
      <c r="B4888" s="50">
        <v>45072.3767848263</v>
      </c>
      <c r="C4888" s="51">
        <v>1.009</v>
      </c>
      <c r="D4888" s="51">
        <v>65.0</v>
      </c>
      <c r="E4888" s="52" t="s">
        <v>25</v>
      </c>
      <c r="F4888" s="52" t="s">
        <v>26</v>
      </c>
      <c r="G4888" s="54"/>
    </row>
    <row r="4889">
      <c r="A4889" s="49">
        <v>45072.26223497685</v>
      </c>
      <c r="B4889" s="50">
        <v>45072.3872076736</v>
      </c>
      <c r="C4889" s="51">
        <v>1.009</v>
      </c>
      <c r="D4889" s="51">
        <v>65.0</v>
      </c>
      <c r="E4889" s="52" t="s">
        <v>25</v>
      </c>
      <c r="F4889" s="52" t="s">
        <v>26</v>
      </c>
      <c r="G4889" s="54"/>
    </row>
    <row r="4890">
      <c r="A4890" s="49">
        <v>45072.272661967596</v>
      </c>
      <c r="B4890" s="50">
        <v>45072.3976291088</v>
      </c>
      <c r="C4890" s="51">
        <v>1.009</v>
      </c>
      <c r="D4890" s="51">
        <v>65.0</v>
      </c>
      <c r="E4890" s="52" t="s">
        <v>25</v>
      </c>
      <c r="F4890" s="52" t="s">
        <v>26</v>
      </c>
      <c r="G4890" s="54"/>
    </row>
    <row r="4891">
      <c r="A4891" s="49">
        <v>45072.28308162037</v>
      </c>
      <c r="B4891" s="50">
        <v>45072.4080506134</v>
      </c>
      <c r="C4891" s="51">
        <v>1.009</v>
      </c>
      <c r="D4891" s="51">
        <v>65.0</v>
      </c>
      <c r="E4891" s="52" t="s">
        <v>25</v>
      </c>
      <c r="F4891" s="52" t="s">
        <v>26</v>
      </c>
      <c r="G4891" s="54"/>
    </row>
    <row r="4892">
      <c r="A4892" s="49">
        <v>45072.29349689815</v>
      </c>
      <c r="B4892" s="50">
        <v>45072.4184709259</v>
      </c>
      <c r="C4892" s="51">
        <v>1.009</v>
      </c>
      <c r="D4892" s="51">
        <v>65.0</v>
      </c>
      <c r="E4892" s="52" t="s">
        <v>25</v>
      </c>
      <c r="F4892" s="52" t="s">
        <v>26</v>
      </c>
      <c r="G4892" s="54"/>
    </row>
    <row r="4893">
      <c r="A4893" s="49">
        <v>45072.303917337966</v>
      </c>
      <c r="B4893" s="50">
        <v>45072.4288930787</v>
      </c>
      <c r="C4893" s="51">
        <v>1.009</v>
      </c>
      <c r="D4893" s="51">
        <v>65.0</v>
      </c>
      <c r="E4893" s="52" t="s">
        <v>25</v>
      </c>
      <c r="F4893" s="52" t="s">
        <v>26</v>
      </c>
      <c r="G4893" s="54"/>
    </row>
    <row r="4894">
      <c r="A4894" s="49">
        <v>45072.31434863426</v>
      </c>
      <c r="B4894" s="50">
        <v>45072.4393145254</v>
      </c>
      <c r="C4894" s="51">
        <v>1.009</v>
      </c>
      <c r="D4894" s="51">
        <v>65.0</v>
      </c>
      <c r="E4894" s="52" t="s">
        <v>25</v>
      </c>
      <c r="F4894" s="52" t="s">
        <v>26</v>
      </c>
      <c r="G4894" s="54"/>
    </row>
    <row r="4895">
      <c r="A4895" s="49">
        <v>45072.32476229167</v>
      </c>
      <c r="B4895" s="50">
        <v>45072.449737118</v>
      </c>
      <c r="C4895" s="51">
        <v>1.009</v>
      </c>
      <c r="D4895" s="51">
        <v>65.0</v>
      </c>
      <c r="E4895" s="52" t="s">
        <v>25</v>
      </c>
      <c r="F4895" s="52" t="s">
        <v>26</v>
      </c>
      <c r="G4895" s="54"/>
    </row>
    <row r="4896">
      <c r="A4896" s="49">
        <v>45072.335178622685</v>
      </c>
      <c r="B4896" s="50">
        <v>45072.4601584027</v>
      </c>
      <c r="C4896" s="51">
        <v>1.009</v>
      </c>
      <c r="D4896" s="51">
        <v>65.0</v>
      </c>
      <c r="E4896" s="52" t="s">
        <v>25</v>
      </c>
      <c r="F4896" s="52" t="s">
        <v>26</v>
      </c>
      <c r="G4896" s="54"/>
    </row>
    <row r="4897">
      <c r="A4897" s="49">
        <v>45072.345610902776</v>
      </c>
      <c r="B4897" s="50">
        <v>45072.4705802893</v>
      </c>
      <c r="C4897" s="51">
        <v>1.009</v>
      </c>
      <c r="D4897" s="51">
        <v>65.0</v>
      </c>
      <c r="E4897" s="52" t="s">
        <v>25</v>
      </c>
      <c r="F4897" s="52" t="s">
        <v>26</v>
      </c>
      <c r="G4897" s="54"/>
    </row>
    <row r="4898">
      <c r="A4898" s="49">
        <v>45072.35603112269</v>
      </c>
      <c r="B4898" s="50">
        <v>45072.4810018055</v>
      </c>
      <c r="C4898" s="51">
        <v>1.009</v>
      </c>
      <c r="D4898" s="51">
        <v>65.0</v>
      </c>
      <c r="E4898" s="52" t="s">
        <v>25</v>
      </c>
      <c r="F4898" s="52" t="s">
        <v>26</v>
      </c>
      <c r="G4898" s="54"/>
    </row>
    <row r="4899">
      <c r="A4899" s="49">
        <v>45072.36646525463</v>
      </c>
      <c r="B4899" s="50">
        <v>45072.4914334606</v>
      </c>
      <c r="C4899" s="51">
        <v>1.009</v>
      </c>
      <c r="D4899" s="51">
        <v>65.0</v>
      </c>
      <c r="E4899" s="52" t="s">
        <v>25</v>
      </c>
      <c r="F4899" s="52" t="s">
        <v>26</v>
      </c>
      <c r="G4899" s="54"/>
    </row>
    <row r="4900">
      <c r="A4900" s="49">
        <v>45072.376898622686</v>
      </c>
      <c r="B4900" s="50">
        <v>45072.5018642129</v>
      </c>
      <c r="C4900" s="51">
        <v>1.009</v>
      </c>
      <c r="D4900" s="51">
        <v>65.0</v>
      </c>
      <c r="E4900" s="52" t="s">
        <v>25</v>
      </c>
      <c r="F4900" s="52" t="s">
        <v>26</v>
      </c>
      <c r="G4900" s="54"/>
    </row>
    <row r="4901">
      <c r="A4901" s="49">
        <v>45072.38731987269</v>
      </c>
      <c r="B4901" s="50">
        <v>45072.5122840277</v>
      </c>
      <c r="C4901" s="51">
        <v>1.009</v>
      </c>
      <c r="D4901" s="51">
        <v>65.0</v>
      </c>
      <c r="E4901" s="52" t="s">
        <v>25</v>
      </c>
      <c r="F4901" s="52" t="s">
        <v>26</v>
      </c>
      <c r="G4901" s="54"/>
    </row>
    <row r="4902">
      <c r="A4902" s="49">
        <v>45072.39773378472</v>
      </c>
      <c r="B4902" s="50">
        <v>45072.5227059838</v>
      </c>
      <c r="C4902" s="51">
        <v>1.009</v>
      </c>
      <c r="D4902" s="51">
        <v>65.0</v>
      </c>
      <c r="E4902" s="52" t="s">
        <v>25</v>
      </c>
      <c r="F4902" s="52" t="s">
        <v>26</v>
      </c>
      <c r="G4902" s="54"/>
    </row>
    <row r="4903">
      <c r="A4903" s="49">
        <v>45072.40815537037</v>
      </c>
      <c r="B4903" s="50">
        <v>45072.5331275694</v>
      </c>
      <c r="C4903" s="51">
        <v>1.009</v>
      </c>
      <c r="D4903" s="51">
        <v>65.0</v>
      </c>
      <c r="E4903" s="52" t="s">
        <v>25</v>
      </c>
      <c r="F4903" s="52" t="s">
        <v>26</v>
      </c>
      <c r="G4903" s="54"/>
    </row>
    <row r="4904">
      <c r="A4904" s="49">
        <v>45072.418578032404</v>
      </c>
      <c r="B4904" s="50">
        <v>45072.5435492476</v>
      </c>
      <c r="C4904" s="51">
        <v>1.009</v>
      </c>
      <c r="D4904" s="51">
        <v>65.0</v>
      </c>
      <c r="E4904" s="52" t="s">
        <v>25</v>
      </c>
      <c r="F4904" s="52" t="s">
        <v>26</v>
      </c>
      <c r="G4904" s="54"/>
    </row>
    <row r="4905">
      <c r="A4905" s="49">
        <v>45072.42900635417</v>
      </c>
      <c r="B4905" s="50">
        <v>45072.5539815856</v>
      </c>
      <c r="C4905" s="51">
        <v>1.009</v>
      </c>
      <c r="D4905" s="51">
        <v>65.0</v>
      </c>
      <c r="E4905" s="52" t="s">
        <v>25</v>
      </c>
      <c r="F4905" s="52" t="s">
        <v>26</v>
      </c>
      <c r="G4905" s="54"/>
    </row>
    <row r="4906">
      <c r="A4906" s="49">
        <v>45072.439438807865</v>
      </c>
      <c r="B4906" s="50">
        <v>45072.5644035185</v>
      </c>
      <c r="C4906" s="51">
        <v>1.009</v>
      </c>
      <c r="D4906" s="51">
        <v>65.0</v>
      </c>
      <c r="E4906" s="52" t="s">
        <v>25</v>
      </c>
      <c r="F4906" s="52" t="s">
        <v>26</v>
      </c>
      <c r="G4906" s="54"/>
    </row>
    <row r="4907">
      <c r="A4907" s="49">
        <v>45072.44985880787</v>
      </c>
      <c r="B4907" s="50">
        <v>45072.5748265277</v>
      </c>
      <c r="C4907" s="51">
        <v>1.009</v>
      </c>
      <c r="D4907" s="51">
        <v>65.0</v>
      </c>
      <c r="E4907" s="52" t="s">
        <v>25</v>
      </c>
      <c r="F4907" s="52" t="s">
        <v>26</v>
      </c>
      <c r="G4907" s="54"/>
    </row>
    <row r="4908">
      <c r="A4908" s="49">
        <v>45072.46027733796</v>
      </c>
      <c r="B4908" s="50">
        <v>45072.5852463773</v>
      </c>
      <c r="C4908" s="51">
        <v>1.009</v>
      </c>
      <c r="D4908" s="51">
        <v>65.0</v>
      </c>
      <c r="E4908" s="52" t="s">
        <v>25</v>
      </c>
      <c r="F4908" s="52" t="s">
        <v>26</v>
      </c>
      <c r="G4908" s="54"/>
    </row>
    <row r="4909">
      <c r="A4909" s="49">
        <v>45072.47070150463</v>
      </c>
      <c r="B4909" s="50">
        <v>45072.5956680092</v>
      </c>
      <c r="C4909" s="51">
        <v>1.009</v>
      </c>
      <c r="D4909" s="51">
        <v>65.0</v>
      </c>
      <c r="E4909" s="52" t="s">
        <v>25</v>
      </c>
      <c r="F4909" s="52" t="s">
        <v>26</v>
      </c>
      <c r="G4909" s="54"/>
    </row>
    <row r="4910">
      <c r="A4910" s="49">
        <v>45072.481153726854</v>
      </c>
      <c r="B4910" s="50">
        <v>45072.6060896296</v>
      </c>
      <c r="C4910" s="51">
        <v>1.009</v>
      </c>
      <c r="D4910" s="51">
        <v>65.0</v>
      </c>
      <c r="E4910" s="52" t="s">
        <v>25</v>
      </c>
      <c r="F4910" s="52" t="s">
        <v>26</v>
      </c>
      <c r="G4910" s="54"/>
    </row>
    <row r="4911">
      <c r="A4911" s="49">
        <v>45072.491541967596</v>
      </c>
      <c r="B4911" s="50">
        <v>45072.6165129513</v>
      </c>
      <c r="C4911" s="51">
        <v>1.009</v>
      </c>
      <c r="D4911" s="51">
        <v>65.0</v>
      </c>
      <c r="E4911" s="52" t="s">
        <v>25</v>
      </c>
      <c r="F4911" s="52" t="s">
        <v>26</v>
      </c>
      <c r="G4911" s="54"/>
    </row>
    <row r="4912">
      <c r="A4912" s="49">
        <v>45072.50197715277</v>
      </c>
      <c r="B4912" s="50">
        <v>45072.6269450231</v>
      </c>
      <c r="C4912" s="51">
        <v>1.009</v>
      </c>
      <c r="D4912" s="51">
        <v>65.0</v>
      </c>
      <c r="E4912" s="52" t="s">
        <v>25</v>
      </c>
      <c r="F4912" s="52" t="s">
        <v>26</v>
      </c>
      <c r="G4912" s="54"/>
    </row>
    <row r="4913">
      <c r="A4913" s="49">
        <v>45072.51240482639</v>
      </c>
      <c r="B4913" s="50">
        <v>45072.6373675</v>
      </c>
      <c r="C4913" s="51">
        <v>1.009</v>
      </c>
      <c r="D4913" s="51">
        <v>65.0</v>
      </c>
      <c r="E4913" s="52" t="s">
        <v>25</v>
      </c>
      <c r="F4913" s="52" t="s">
        <v>26</v>
      </c>
      <c r="G4913" s="54"/>
    </row>
    <row r="4914">
      <c r="A4914" s="49">
        <v>45072.52282385417</v>
      </c>
      <c r="B4914" s="50">
        <v>45072.6477994213</v>
      </c>
      <c r="C4914" s="51">
        <v>1.009</v>
      </c>
      <c r="D4914" s="51">
        <v>65.0</v>
      </c>
      <c r="E4914" s="52" t="s">
        <v>25</v>
      </c>
      <c r="F4914" s="52" t="s">
        <v>26</v>
      </c>
      <c r="G4914" s="54"/>
    </row>
    <row r="4915">
      <c r="A4915" s="49">
        <v>45072.53325104166</v>
      </c>
      <c r="B4915" s="50">
        <v>45072.658231493</v>
      </c>
      <c r="C4915" s="51">
        <v>1.009</v>
      </c>
      <c r="D4915" s="51">
        <v>65.0</v>
      </c>
      <c r="E4915" s="52" t="s">
        <v>25</v>
      </c>
      <c r="F4915" s="52" t="s">
        <v>26</v>
      </c>
      <c r="G4915" s="54"/>
    </row>
    <row r="4916">
      <c r="A4916" s="49">
        <v>45072.543692928244</v>
      </c>
      <c r="B4916" s="50">
        <v>45072.6686622569</v>
      </c>
      <c r="C4916" s="51">
        <v>1.009</v>
      </c>
      <c r="D4916" s="51">
        <v>65.0</v>
      </c>
      <c r="E4916" s="52" t="s">
        <v>25</v>
      </c>
      <c r="F4916" s="52" t="s">
        <v>26</v>
      </c>
      <c r="G4916" s="54"/>
    </row>
    <row r="4917">
      <c r="A4917" s="49">
        <v>45072.55413428241</v>
      </c>
      <c r="B4917" s="50">
        <v>45072.6791078935</v>
      </c>
      <c r="C4917" s="51">
        <v>1.009</v>
      </c>
      <c r="D4917" s="51">
        <v>65.0</v>
      </c>
      <c r="E4917" s="52" t="s">
        <v>25</v>
      </c>
      <c r="F4917" s="52" t="s">
        <v>26</v>
      </c>
      <c r="G4917" s="54"/>
    </row>
    <row r="4918">
      <c r="A4918" s="49">
        <v>45072.56458377315</v>
      </c>
      <c r="B4918" s="50">
        <v>45072.689539618</v>
      </c>
      <c r="C4918" s="51">
        <v>1.009</v>
      </c>
      <c r="D4918" s="51">
        <v>65.0</v>
      </c>
      <c r="E4918" s="52" t="s">
        <v>25</v>
      </c>
      <c r="F4918" s="52" t="s">
        <v>26</v>
      </c>
      <c r="G4918" s="54"/>
    </row>
    <row r="4919">
      <c r="A4919" s="49">
        <v>45072.57499100694</v>
      </c>
      <c r="B4919" s="50">
        <v>45072.699961574</v>
      </c>
      <c r="C4919" s="51">
        <v>1.009</v>
      </c>
      <c r="D4919" s="51">
        <v>65.0</v>
      </c>
      <c r="E4919" s="52" t="s">
        <v>25</v>
      </c>
      <c r="F4919" s="52" t="s">
        <v>26</v>
      </c>
      <c r="G4919" s="54"/>
    </row>
    <row r="4920">
      <c r="A4920" s="49">
        <v>45072.58540729167</v>
      </c>
      <c r="B4920" s="50">
        <v>45072.7103815509</v>
      </c>
      <c r="C4920" s="51">
        <v>1.009</v>
      </c>
      <c r="D4920" s="51">
        <v>65.0</v>
      </c>
      <c r="E4920" s="52" t="s">
        <v>25</v>
      </c>
      <c r="F4920" s="52" t="s">
        <v>26</v>
      </c>
      <c r="G4920" s="54"/>
    </row>
    <row r="4921">
      <c r="A4921" s="49">
        <v>45072.59583196759</v>
      </c>
      <c r="B4921" s="50">
        <v>45072.7208022569</v>
      </c>
      <c r="C4921" s="51">
        <v>1.009</v>
      </c>
      <c r="D4921" s="51">
        <v>65.0</v>
      </c>
      <c r="E4921" s="52" t="s">
        <v>25</v>
      </c>
      <c r="F4921" s="52" t="s">
        <v>26</v>
      </c>
      <c r="G4921" s="54"/>
    </row>
    <row r="4922">
      <c r="A4922" s="49">
        <v>45072.60625040509</v>
      </c>
      <c r="B4922" s="50">
        <v>45072.7312240162</v>
      </c>
      <c r="C4922" s="51">
        <v>1.009</v>
      </c>
      <c r="D4922" s="51">
        <v>65.0</v>
      </c>
      <c r="E4922" s="52" t="s">
        <v>25</v>
      </c>
      <c r="F4922" s="52" t="s">
        <v>26</v>
      </c>
      <c r="G4922" s="54"/>
    </row>
    <row r="4923">
      <c r="A4923" s="49">
        <v>45072.61667693287</v>
      </c>
      <c r="B4923" s="50">
        <v>45072.7416451388</v>
      </c>
      <c r="C4923" s="51">
        <v>1.009</v>
      </c>
      <c r="D4923" s="51">
        <v>65.0</v>
      </c>
      <c r="E4923" s="52" t="s">
        <v>25</v>
      </c>
      <c r="F4923" s="52" t="s">
        <v>26</v>
      </c>
      <c r="G4923" s="54"/>
    </row>
    <row r="4924">
      <c r="A4924" s="49">
        <v>45072.62711935185</v>
      </c>
      <c r="B4924" s="50">
        <v>45072.7520919328</v>
      </c>
      <c r="C4924" s="51">
        <v>1.009</v>
      </c>
      <c r="D4924" s="51">
        <v>65.0</v>
      </c>
      <c r="E4924" s="52" t="s">
        <v>25</v>
      </c>
      <c r="F4924" s="52" t="s">
        <v>26</v>
      </c>
      <c r="G4924" s="54"/>
    </row>
    <row r="4925">
      <c r="A4925" s="49">
        <v>45072.63754391204</v>
      </c>
      <c r="B4925" s="50">
        <v>45072.7625129976</v>
      </c>
      <c r="C4925" s="51">
        <v>1.009</v>
      </c>
      <c r="D4925" s="51">
        <v>65.0</v>
      </c>
      <c r="E4925" s="52" t="s">
        <v>25</v>
      </c>
      <c r="F4925" s="52" t="s">
        <v>26</v>
      </c>
      <c r="G4925" s="54"/>
    </row>
    <row r="4926">
      <c r="A4926" s="49">
        <v>45072.64795979166</v>
      </c>
      <c r="B4926" s="50">
        <v>45072.7729352314</v>
      </c>
      <c r="C4926" s="51">
        <v>1.009</v>
      </c>
      <c r="D4926" s="51">
        <v>65.0</v>
      </c>
      <c r="E4926" s="52" t="s">
        <v>25</v>
      </c>
      <c r="F4926" s="52" t="s">
        <v>26</v>
      </c>
      <c r="G4926" s="54"/>
    </row>
    <row r="4927">
      <c r="A4927" s="49">
        <v>45072.658405891205</v>
      </c>
      <c r="B4927" s="50">
        <v>45072.7833564236</v>
      </c>
      <c r="C4927" s="51">
        <v>1.009</v>
      </c>
      <c r="D4927" s="51">
        <v>65.0</v>
      </c>
      <c r="E4927" s="52" t="s">
        <v>25</v>
      </c>
      <c r="F4927" s="52" t="s">
        <v>26</v>
      </c>
      <c r="G4927" s="54"/>
    </row>
    <row r="4928">
      <c r="A4928" s="49">
        <v>45072.668800405096</v>
      </c>
      <c r="B4928" s="50">
        <v>45072.7937765625</v>
      </c>
      <c r="C4928" s="51">
        <v>1.009</v>
      </c>
      <c r="D4928" s="51">
        <v>65.0</v>
      </c>
      <c r="E4928" s="52" t="s">
        <v>25</v>
      </c>
      <c r="F4928" s="52" t="s">
        <v>26</v>
      </c>
      <c r="G4928" s="54"/>
    </row>
    <row r="4929">
      <c r="A4929" s="49">
        <v>45072.67922347222</v>
      </c>
      <c r="B4929" s="50">
        <v>45072.8041982176</v>
      </c>
      <c r="C4929" s="51">
        <v>1.009</v>
      </c>
      <c r="D4929" s="51">
        <v>65.0</v>
      </c>
      <c r="E4929" s="52" t="s">
        <v>25</v>
      </c>
      <c r="F4929" s="52" t="s">
        <v>26</v>
      </c>
      <c r="G4929" s="54"/>
    </row>
    <row r="4930">
      <c r="A4930" s="49">
        <v>45072.68965388889</v>
      </c>
      <c r="B4930" s="50">
        <v>45072.8146185879</v>
      </c>
      <c r="C4930" s="51">
        <v>1.009</v>
      </c>
      <c r="D4930" s="51">
        <v>65.0</v>
      </c>
      <c r="E4930" s="52" t="s">
        <v>25</v>
      </c>
      <c r="F4930" s="52" t="s">
        <v>26</v>
      </c>
      <c r="G4930" s="54"/>
    </row>
    <row r="4931">
      <c r="A4931" s="49">
        <v>45072.70006321759</v>
      </c>
      <c r="B4931" s="50">
        <v>45072.8250413425</v>
      </c>
      <c r="C4931" s="51">
        <v>1.009</v>
      </c>
      <c r="D4931" s="51">
        <v>65.0</v>
      </c>
      <c r="E4931" s="52" t="s">
        <v>25</v>
      </c>
      <c r="F4931" s="52" t="s">
        <v>26</v>
      </c>
      <c r="G4931" s="54"/>
    </row>
    <row r="4932">
      <c r="A4932" s="49">
        <v>45072.710493391205</v>
      </c>
      <c r="B4932" s="50">
        <v>45072.8354628935</v>
      </c>
      <c r="C4932" s="51">
        <v>1.009</v>
      </c>
      <c r="D4932" s="51">
        <v>65.0</v>
      </c>
      <c r="E4932" s="52" t="s">
        <v>25</v>
      </c>
      <c r="F4932" s="52" t="s">
        <v>26</v>
      </c>
      <c r="G4932" s="54"/>
    </row>
    <row r="4933">
      <c r="A4933" s="49">
        <v>45072.720908125004</v>
      </c>
      <c r="B4933" s="50">
        <v>45072.8458854166</v>
      </c>
      <c r="C4933" s="51">
        <v>1.009</v>
      </c>
      <c r="D4933" s="51">
        <v>65.0</v>
      </c>
      <c r="E4933" s="52" t="s">
        <v>25</v>
      </c>
      <c r="F4933" s="52" t="s">
        <v>26</v>
      </c>
      <c r="G4933" s="54"/>
    </row>
    <row r="4934">
      <c r="A4934" s="49">
        <v>45072.73133293982</v>
      </c>
      <c r="B4934" s="50">
        <v>45072.8563067939</v>
      </c>
      <c r="C4934" s="51">
        <v>1.009</v>
      </c>
      <c r="D4934" s="51">
        <v>65.0</v>
      </c>
      <c r="E4934" s="52" t="s">
        <v>25</v>
      </c>
      <c r="F4934" s="52" t="s">
        <v>26</v>
      </c>
      <c r="G4934" s="54"/>
    </row>
    <row r="4935">
      <c r="A4935" s="49">
        <v>45072.74180726852</v>
      </c>
      <c r="B4935" s="50">
        <v>45072.8667282291</v>
      </c>
      <c r="C4935" s="51">
        <v>1.009</v>
      </c>
      <c r="D4935" s="51">
        <v>65.0</v>
      </c>
      <c r="E4935" s="52" t="s">
        <v>25</v>
      </c>
      <c r="F4935" s="52" t="s">
        <v>26</v>
      </c>
      <c r="G4935" s="54"/>
    </row>
    <row r="4936">
      <c r="A4936" s="49">
        <v>45072.752191990745</v>
      </c>
      <c r="B4936" s="50">
        <v>45072.8771613888</v>
      </c>
      <c r="C4936" s="51">
        <v>1.009</v>
      </c>
      <c r="D4936" s="51">
        <v>65.0</v>
      </c>
      <c r="E4936" s="52" t="s">
        <v>25</v>
      </c>
      <c r="F4936" s="52" t="s">
        <v>26</v>
      </c>
      <c r="G4936" s="54"/>
    </row>
    <row r="4937">
      <c r="A4937" s="49">
        <v>45072.76261398148</v>
      </c>
      <c r="B4937" s="50">
        <v>45072.8875823495</v>
      </c>
      <c r="C4937" s="51">
        <v>1.009</v>
      </c>
      <c r="D4937" s="51">
        <v>65.0</v>
      </c>
      <c r="E4937" s="52" t="s">
        <v>25</v>
      </c>
      <c r="F4937" s="52" t="s">
        <v>26</v>
      </c>
      <c r="G4937" s="54"/>
    </row>
    <row r="4938">
      <c r="A4938" s="49">
        <v>45072.773042754634</v>
      </c>
      <c r="B4938" s="50">
        <v>45072.8980148495</v>
      </c>
      <c r="C4938" s="51">
        <v>1.009</v>
      </c>
      <c r="D4938" s="51">
        <v>65.0</v>
      </c>
      <c r="E4938" s="52" t="s">
        <v>25</v>
      </c>
      <c r="F4938" s="52" t="s">
        <v>26</v>
      </c>
      <c r="G4938" s="54"/>
    </row>
    <row r="4939">
      <c r="A4939" s="49">
        <v>45072.78469429398</v>
      </c>
      <c r="B4939" s="50">
        <v>45072.9084357638</v>
      </c>
      <c r="C4939" s="51">
        <v>1.009</v>
      </c>
      <c r="D4939" s="51">
        <v>65.0</v>
      </c>
      <c r="E4939" s="52" t="s">
        <v>25</v>
      </c>
      <c r="F4939" s="52" t="s">
        <v>26</v>
      </c>
      <c r="G4939" s="54"/>
    </row>
    <row r="4940">
      <c r="A4940" s="49">
        <v>45072.793880937505</v>
      </c>
      <c r="B4940" s="50">
        <v>45072.9188558564</v>
      </c>
      <c r="C4940" s="51">
        <v>1.009</v>
      </c>
      <c r="D4940" s="51">
        <v>65.0</v>
      </c>
      <c r="E4940" s="52" t="s">
        <v>25</v>
      </c>
      <c r="F4940" s="52" t="s">
        <v>26</v>
      </c>
      <c r="G4940" s="54"/>
    </row>
    <row r="4941">
      <c r="A4941" s="49">
        <v>45072.80430116898</v>
      </c>
      <c r="B4941" s="50">
        <v>45072.9292781713</v>
      </c>
      <c r="C4941" s="51">
        <v>1.009</v>
      </c>
      <c r="D4941" s="51">
        <v>65.0</v>
      </c>
      <c r="E4941" s="52" t="s">
        <v>25</v>
      </c>
      <c r="F4941" s="52" t="s">
        <v>26</v>
      </c>
      <c r="G4941" s="54"/>
    </row>
    <row r="4942">
      <c r="A4942" s="49">
        <v>45072.81473893518</v>
      </c>
      <c r="B4942" s="50">
        <v>45072.9397112268</v>
      </c>
      <c r="C4942" s="51">
        <v>1.009</v>
      </c>
      <c r="D4942" s="51">
        <v>65.0</v>
      </c>
      <c r="E4942" s="52" t="s">
        <v>25</v>
      </c>
      <c r="F4942" s="52" t="s">
        <v>26</v>
      </c>
      <c r="G4942" s="54"/>
    </row>
    <row r="4943">
      <c r="A4943" s="49">
        <v>45072.825190625</v>
      </c>
      <c r="B4943" s="50">
        <v>45072.9501667592</v>
      </c>
      <c r="C4943" s="51">
        <v>1.009</v>
      </c>
      <c r="D4943" s="51">
        <v>65.0</v>
      </c>
      <c r="E4943" s="52" t="s">
        <v>25</v>
      </c>
      <c r="F4943" s="52" t="s">
        <v>26</v>
      </c>
      <c r="G4943" s="54"/>
    </row>
    <row r="4944">
      <c r="A4944" s="49">
        <v>45072.83562023148</v>
      </c>
      <c r="B4944" s="50">
        <v>45072.9605866319</v>
      </c>
      <c r="C4944" s="51">
        <v>1.009</v>
      </c>
      <c r="D4944" s="51">
        <v>65.0</v>
      </c>
      <c r="E4944" s="52" t="s">
        <v>25</v>
      </c>
      <c r="F4944" s="52" t="s">
        <v>26</v>
      </c>
      <c r="G4944" s="54"/>
    </row>
    <row r="4945">
      <c r="A4945" s="49">
        <v>45072.84605341435</v>
      </c>
      <c r="B4945" s="50">
        <v>45072.9710314699</v>
      </c>
      <c r="C4945" s="51">
        <v>1.009</v>
      </c>
      <c r="D4945" s="51">
        <v>65.0</v>
      </c>
      <c r="E4945" s="52" t="s">
        <v>25</v>
      </c>
      <c r="F4945" s="52" t="s">
        <v>26</v>
      </c>
      <c r="G4945" s="54"/>
    </row>
    <row r="4946">
      <c r="A4946" s="49">
        <v>45072.85649392361</v>
      </c>
      <c r="B4946" s="50">
        <v>45072.9814631828</v>
      </c>
      <c r="C4946" s="51">
        <v>1.009</v>
      </c>
      <c r="D4946" s="51">
        <v>65.0</v>
      </c>
      <c r="E4946" s="52" t="s">
        <v>25</v>
      </c>
      <c r="F4946" s="52" t="s">
        <v>26</v>
      </c>
      <c r="G4946" s="54"/>
    </row>
    <row r="4947">
      <c r="A4947" s="49">
        <v>45072.86693120371</v>
      </c>
      <c r="B4947" s="50">
        <v>45072.9918970138</v>
      </c>
      <c r="C4947" s="51">
        <v>1.009</v>
      </c>
      <c r="D4947" s="51">
        <v>65.0</v>
      </c>
      <c r="E4947" s="52" t="s">
        <v>25</v>
      </c>
      <c r="F4947" s="52" t="s">
        <v>26</v>
      </c>
      <c r="G4947" s="54"/>
    </row>
    <row r="4948">
      <c r="A4948" s="49">
        <v>45072.87736417824</v>
      </c>
      <c r="B4948" s="50">
        <v>45073.0023203009</v>
      </c>
      <c r="C4948" s="51">
        <v>1.009</v>
      </c>
      <c r="D4948" s="51">
        <v>65.0</v>
      </c>
      <c r="E4948" s="52" t="s">
        <v>25</v>
      </c>
      <c r="F4948" s="52" t="s">
        <v>26</v>
      </c>
      <c r="G4948" s="54"/>
    </row>
    <row r="4949">
      <c r="A4949" s="49">
        <v>45072.88777087963</v>
      </c>
      <c r="B4949" s="50">
        <v>45073.012740706</v>
      </c>
      <c r="C4949" s="51">
        <v>1.009</v>
      </c>
      <c r="D4949" s="51">
        <v>65.0</v>
      </c>
      <c r="E4949" s="52" t="s">
        <v>25</v>
      </c>
      <c r="F4949" s="52" t="s">
        <v>26</v>
      </c>
      <c r="G4949" s="54"/>
    </row>
    <row r="4950">
      <c r="A4950" s="49">
        <v>45072.89818849537</v>
      </c>
      <c r="B4950" s="50">
        <v>45073.0231615046</v>
      </c>
      <c r="C4950" s="51">
        <v>1.009</v>
      </c>
      <c r="D4950" s="51">
        <v>65.0</v>
      </c>
      <c r="E4950" s="52" t="s">
        <v>25</v>
      </c>
      <c r="F4950" s="52" t="s">
        <v>26</v>
      </c>
      <c r="G4950" s="54"/>
    </row>
    <row r="4951">
      <c r="A4951" s="49">
        <v>45072.908618622685</v>
      </c>
      <c r="B4951" s="50">
        <v>45073.033585162</v>
      </c>
      <c r="C4951" s="51">
        <v>1.009</v>
      </c>
      <c r="D4951" s="51">
        <v>65.0</v>
      </c>
      <c r="E4951" s="52" t="s">
        <v>25</v>
      </c>
      <c r="F4951" s="52" t="s">
        <v>26</v>
      </c>
      <c r="G4951" s="54"/>
    </row>
    <row r="4952">
      <c r="A4952" s="49">
        <v>45072.91903599537</v>
      </c>
      <c r="B4952" s="50">
        <v>45073.0440064351</v>
      </c>
      <c r="C4952" s="51">
        <v>1.009</v>
      </c>
      <c r="D4952" s="51">
        <v>65.0</v>
      </c>
      <c r="E4952" s="52" t="s">
        <v>25</v>
      </c>
      <c r="F4952" s="52" t="s">
        <v>26</v>
      </c>
      <c r="G4952" s="54"/>
    </row>
    <row r="4953">
      <c r="A4953" s="49">
        <v>45072.92946837963</v>
      </c>
      <c r="B4953" s="50">
        <v>45073.0544392708</v>
      </c>
      <c r="C4953" s="51">
        <v>1.009</v>
      </c>
      <c r="D4953" s="51">
        <v>65.0</v>
      </c>
      <c r="E4953" s="52" t="s">
        <v>25</v>
      </c>
      <c r="F4953" s="52" t="s">
        <v>26</v>
      </c>
      <c r="G4953" s="54"/>
    </row>
    <row r="4954">
      <c r="A4954" s="49">
        <v>45072.93988315972</v>
      </c>
      <c r="B4954" s="50">
        <v>45073.0648597569</v>
      </c>
      <c r="C4954" s="51">
        <v>1.009</v>
      </c>
      <c r="D4954" s="51">
        <v>65.0</v>
      </c>
      <c r="E4954" s="52" t="s">
        <v>25</v>
      </c>
      <c r="F4954" s="52" t="s">
        <v>26</v>
      </c>
      <c r="G4954" s="54"/>
    </row>
    <row r="4955">
      <c r="A4955" s="49">
        <v>45072.95030859954</v>
      </c>
      <c r="B4955" s="50">
        <v>45073.0752805555</v>
      </c>
      <c r="C4955" s="51">
        <v>1.009</v>
      </c>
      <c r="D4955" s="51">
        <v>65.0</v>
      </c>
      <c r="E4955" s="52" t="s">
        <v>25</v>
      </c>
      <c r="F4955" s="52" t="s">
        <v>26</v>
      </c>
      <c r="G4955" s="54"/>
    </row>
    <row r="4956">
      <c r="A4956" s="49">
        <v>45072.96073547454</v>
      </c>
      <c r="B4956" s="50">
        <v>45073.0857023148</v>
      </c>
      <c r="C4956" s="51">
        <v>1.009</v>
      </c>
      <c r="D4956" s="51">
        <v>65.0</v>
      </c>
      <c r="E4956" s="52" t="s">
        <v>25</v>
      </c>
      <c r="F4956" s="52" t="s">
        <v>26</v>
      </c>
      <c r="G4956" s="54"/>
    </row>
    <row r="4957">
      <c r="A4957" s="49">
        <v>45072.97115788194</v>
      </c>
      <c r="B4957" s="50">
        <v>45073.0961247106</v>
      </c>
      <c r="C4957" s="51">
        <v>1.009</v>
      </c>
      <c r="D4957" s="51">
        <v>65.0</v>
      </c>
      <c r="E4957" s="52" t="s">
        <v>25</v>
      </c>
      <c r="F4957" s="52" t="s">
        <v>26</v>
      </c>
      <c r="G4957" s="54"/>
    </row>
    <row r="4958">
      <c r="A4958" s="49">
        <v>45072.981572881945</v>
      </c>
      <c r="B4958" s="50">
        <v>45073.1065444676</v>
      </c>
      <c r="C4958" s="51">
        <v>1.009</v>
      </c>
      <c r="D4958" s="51">
        <v>65.0</v>
      </c>
      <c r="E4958" s="52" t="s">
        <v>25</v>
      </c>
      <c r="F4958" s="52" t="s">
        <v>26</v>
      </c>
      <c r="G4958" s="54"/>
    </row>
    <row r="4959">
      <c r="A4959" s="49">
        <v>45072.9919902199</v>
      </c>
      <c r="B4959" s="50">
        <v>45073.1169656712</v>
      </c>
      <c r="C4959" s="51">
        <v>1.009</v>
      </c>
      <c r="D4959" s="51">
        <v>65.0</v>
      </c>
      <c r="E4959" s="52" t="s">
        <v>25</v>
      </c>
      <c r="F4959" s="52" t="s">
        <v>26</v>
      </c>
      <c r="G4959" s="54"/>
    </row>
    <row r="4960">
      <c r="A4960" s="49">
        <v>45073.00242268518</v>
      </c>
      <c r="B4960" s="50">
        <v>45073.1273860185</v>
      </c>
      <c r="C4960" s="51">
        <v>1.009</v>
      </c>
      <c r="D4960" s="51">
        <v>65.0</v>
      </c>
      <c r="E4960" s="52" t="s">
        <v>25</v>
      </c>
      <c r="F4960" s="52" t="s">
        <v>26</v>
      </c>
      <c r="G4960" s="54"/>
    </row>
    <row r="4961">
      <c r="A4961" s="49">
        <v>45073.0128459838</v>
      </c>
      <c r="B4961" s="50">
        <v>45073.1378074652</v>
      </c>
      <c r="C4961" s="51">
        <v>1.009</v>
      </c>
      <c r="D4961" s="51">
        <v>65.0</v>
      </c>
      <c r="E4961" s="52" t="s">
        <v>25</v>
      </c>
      <c r="F4961" s="52" t="s">
        <v>26</v>
      </c>
      <c r="G4961" s="54"/>
    </row>
    <row r="4962">
      <c r="A4962" s="49">
        <v>45073.0232521875</v>
      </c>
      <c r="B4962" s="50">
        <v>45073.148228993</v>
      </c>
      <c r="C4962" s="51">
        <v>1.009</v>
      </c>
      <c r="D4962" s="51">
        <v>65.0</v>
      </c>
      <c r="E4962" s="52" t="s">
        <v>25</v>
      </c>
      <c r="F4962" s="52" t="s">
        <v>26</v>
      </c>
      <c r="G4962" s="54"/>
    </row>
    <row r="4963">
      <c r="A4963" s="49">
        <v>45073.03368094907</v>
      </c>
      <c r="B4963" s="50">
        <v>45073.1586497685</v>
      </c>
      <c r="C4963" s="51">
        <v>1.009</v>
      </c>
      <c r="D4963" s="51">
        <v>65.0</v>
      </c>
      <c r="E4963" s="52" t="s">
        <v>25</v>
      </c>
      <c r="F4963" s="52" t="s">
        <v>26</v>
      </c>
      <c r="G4963" s="54"/>
    </row>
    <row r="4964">
      <c r="A4964" s="49">
        <v>45073.0440934375</v>
      </c>
      <c r="B4964" s="50">
        <v>45073.1690688773</v>
      </c>
      <c r="C4964" s="51">
        <v>1.009</v>
      </c>
      <c r="D4964" s="51">
        <v>65.0</v>
      </c>
      <c r="E4964" s="52" t="s">
        <v>25</v>
      </c>
      <c r="F4964" s="52" t="s">
        <v>26</v>
      </c>
      <c r="G4964" s="54"/>
    </row>
    <row r="4965">
      <c r="A4965" s="49">
        <v>45073.05451233796</v>
      </c>
      <c r="B4965" s="50">
        <v>45073.1794904745</v>
      </c>
      <c r="C4965" s="51">
        <v>1.009</v>
      </c>
      <c r="D4965" s="51">
        <v>65.0</v>
      </c>
      <c r="E4965" s="52" t="s">
        <v>25</v>
      </c>
      <c r="F4965" s="52" t="s">
        <v>26</v>
      </c>
      <c r="G4965" s="54"/>
    </row>
    <row r="4966">
      <c r="A4966" s="49">
        <v>45073.064949548614</v>
      </c>
      <c r="B4966" s="50">
        <v>45073.189910162</v>
      </c>
      <c r="C4966" s="51">
        <v>1.009</v>
      </c>
      <c r="D4966" s="51">
        <v>65.0</v>
      </c>
      <c r="E4966" s="52" t="s">
        <v>25</v>
      </c>
      <c r="F4966" s="52" t="s">
        <v>26</v>
      </c>
      <c r="G4966" s="54"/>
    </row>
    <row r="4967">
      <c r="A4967" s="49">
        <v>45073.07535546296</v>
      </c>
      <c r="B4967" s="50">
        <v>45073.200330081</v>
      </c>
      <c r="C4967" s="51">
        <v>1.009</v>
      </c>
      <c r="D4967" s="51">
        <v>65.0</v>
      </c>
      <c r="E4967" s="52" t="s">
        <v>25</v>
      </c>
      <c r="F4967" s="52" t="s">
        <v>26</v>
      </c>
      <c r="G4967" s="54"/>
    </row>
    <row r="4968">
      <c r="A4968" s="49">
        <v>45073.085781898146</v>
      </c>
      <c r="B4968" s="50">
        <v>45073.2107499421</v>
      </c>
      <c r="C4968" s="51">
        <v>1.009</v>
      </c>
      <c r="D4968" s="51">
        <v>65.0</v>
      </c>
      <c r="E4968" s="52" t="s">
        <v>25</v>
      </c>
      <c r="F4968" s="52" t="s">
        <v>26</v>
      </c>
      <c r="G4968" s="54"/>
    </row>
    <row r="4969">
      <c r="A4969" s="49">
        <v>45073.09619625</v>
      </c>
      <c r="B4969" s="50">
        <v>45073.2211722685</v>
      </c>
      <c r="C4969" s="51">
        <v>1.009</v>
      </c>
      <c r="D4969" s="51">
        <v>65.0</v>
      </c>
      <c r="E4969" s="52" t="s">
        <v>25</v>
      </c>
      <c r="F4969" s="52" t="s">
        <v>26</v>
      </c>
      <c r="G4969" s="54"/>
    </row>
    <row r="4970">
      <c r="A4970" s="49">
        <v>45073.106620798615</v>
      </c>
      <c r="B4970" s="50">
        <v>45073.2315924074</v>
      </c>
      <c r="C4970" s="51">
        <v>1.009</v>
      </c>
      <c r="D4970" s="51">
        <v>65.0</v>
      </c>
      <c r="E4970" s="52" t="s">
        <v>25</v>
      </c>
      <c r="F4970" s="52" t="s">
        <v>26</v>
      </c>
      <c r="G4970" s="54"/>
    </row>
    <row r="4971">
      <c r="A4971" s="49">
        <v>45073.117046562504</v>
      </c>
      <c r="B4971" s="50">
        <v>45073.2420141435</v>
      </c>
      <c r="C4971" s="51">
        <v>1.009</v>
      </c>
      <c r="D4971" s="51">
        <v>65.0</v>
      </c>
      <c r="E4971" s="52" t="s">
        <v>25</v>
      </c>
      <c r="F4971" s="52" t="s">
        <v>26</v>
      </c>
      <c r="G4971" s="54"/>
    </row>
    <row r="4972">
      <c r="A4972" s="49">
        <v>45073.127462557866</v>
      </c>
      <c r="B4972" s="50">
        <v>45073.2524353588</v>
      </c>
      <c r="C4972" s="51">
        <v>1.009</v>
      </c>
      <c r="D4972" s="51">
        <v>65.0</v>
      </c>
      <c r="E4972" s="52" t="s">
        <v>25</v>
      </c>
      <c r="F4972" s="52" t="s">
        <v>26</v>
      </c>
      <c r="G4972" s="54"/>
    </row>
    <row r="4973">
      <c r="A4973" s="49">
        <v>45073.137892997685</v>
      </c>
      <c r="B4973" s="50">
        <v>45073.2628672916</v>
      </c>
      <c r="C4973" s="51">
        <v>1.009</v>
      </c>
      <c r="D4973" s="51">
        <v>65.0</v>
      </c>
      <c r="E4973" s="52" t="s">
        <v>25</v>
      </c>
      <c r="F4973" s="52" t="s">
        <v>26</v>
      </c>
      <c r="G4973" s="54"/>
    </row>
    <row r="4974">
      <c r="A4974" s="49">
        <v>45073.148336956016</v>
      </c>
      <c r="B4974" s="50">
        <v>45073.2733003356</v>
      </c>
      <c r="C4974" s="51">
        <v>1.009</v>
      </c>
      <c r="D4974" s="51">
        <v>65.0</v>
      </c>
      <c r="E4974" s="52" t="s">
        <v>25</v>
      </c>
      <c r="F4974" s="52" t="s">
        <v>26</v>
      </c>
      <c r="G4974" s="54"/>
    </row>
    <row r="4975">
      <c r="A4975" s="49">
        <v>45073.15875993056</v>
      </c>
      <c r="B4975" s="50">
        <v>45073.2837314814</v>
      </c>
      <c r="C4975" s="51">
        <v>1.009</v>
      </c>
      <c r="D4975" s="51">
        <v>65.0</v>
      </c>
      <c r="E4975" s="52" t="s">
        <v>25</v>
      </c>
      <c r="F4975" s="52" t="s">
        <v>26</v>
      </c>
      <c r="G4975" s="54"/>
    </row>
    <row r="4976">
      <c r="A4976" s="49">
        <v>45073.169186018524</v>
      </c>
      <c r="B4976" s="50">
        <v>45073.2941527083</v>
      </c>
      <c r="C4976" s="51">
        <v>1.009</v>
      </c>
      <c r="D4976" s="51">
        <v>65.0</v>
      </c>
      <c r="E4976" s="52" t="s">
        <v>25</v>
      </c>
      <c r="F4976" s="52" t="s">
        <v>26</v>
      </c>
      <c r="G4976" s="54"/>
    </row>
    <row r="4977">
      <c r="A4977" s="49">
        <v>45073.17960721065</v>
      </c>
      <c r="B4977" s="50">
        <v>45073.3045727083</v>
      </c>
      <c r="C4977" s="51">
        <v>1.009</v>
      </c>
      <c r="D4977" s="51">
        <v>65.0</v>
      </c>
      <c r="E4977" s="52" t="s">
        <v>25</v>
      </c>
      <c r="F4977" s="52" t="s">
        <v>26</v>
      </c>
      <c r="G4977" s="54"/>
    </row>
    <row r="4978">
      <c r="A4978" s="49">
        <v>45073.19002412037</v>
      </c>
      <c r="B4978" s="50">
        <v>45073.3149932638</v>
      </c>
      <c r="C4978" s="51">
        <v>1.009</v>
      </c>
      <c r="D4978" s="51">
        <v>65.0</v>
      </c>
      <c r="E4978" s="52" t="s">
        <v>25</v>
      </c>
      <c r="F4978" s="52" t="s">
        <v>26</v>
      </c>
      <c r="G4978" s="54"/>
    </row>
    <row r="4979">
      <c r="A4979" s="49">
        <v>45073.200439513894</v>
      </c>
      <c r="B4979" s="50">
        <v>45073.3254143518</v>
      </c>
      <c r="C4979" s="51">
        <v>1.009</v>
      </c>
      <c r="D4979" s="51">
        <v>65.0</v>
      </c>
      <c r="E4979" s="52" t="s">
        <v>25</v>
      </c>
      <c r="F4979" s="52" t="s">
        <v>26</v>
      </c>
      <c r="G4979" s="54"/>
    </row>
    <row r="4980">
      <c r="A4980" s="49">
        <v>45073.210867905094</v>
      </c>
      <c r="B4980" s="50">
        <v>45073.3358359259</v>
      </c>
      <c r="C4980" s="51">
        <v>1.009</v>
      </c>
      <c r="D4980" s="51">
        <v>65.0</v>
      </c>
      <c r="E4980" s="52" t="s">
        <v>25</v>
      </c>
      <c r="F4980" s="52" t="s">
        <v>26</v>
      </c>
      <c r="G4980" s="54"/>
    </row>
    <row r="4981">
      <c r="A4981" s="49">
        <v>45073.221300833335</v>
      </c>
      <c r="B4981" s="50">
        <v>45073.3462694791</v>
      </c>
      <c r="C4981" s="51">
        <v>1.009</v>
      </c>
      <c r="D4981" s="51">
        <v>65.0</v>
      </c>
      <c r="E4981" s="52" t="s">
        <v>25</v>
      </c>
      <c r="F4981" s="52" t="s">
        <v>26</v>
      </c>
      <c r="G4981" s="54"/>
    </row>
    <row r="4982">
      <c r="A4982" s="49">
        <v>45073.23172509259</v>
      </c>
      <c r="B4982" s="50">
        <v>45073.3567030787</v>
      </c>
      <c r="C4982" s="51">
        <v>1.009</v>
      </c>
      <c r="D4982" s="51">
        <v>65.0</v>
      </c>
      <c r="E4982" s="52" t="s">
        <v>25</v>
      </c>
      <c r="F4982" s="52" t="s">
        <v>26</v>
      </c>
      <c r="G4982" s="54"/>
    </row>
    <row r="4983">
      <c r="A4983" s="49">
        <v>45073.24214938657</v>
      </c>
      <c r="B4983" s="50">
        <v>45073.3671241551</v>
      </c>
      <c r="C4983" s="51">
        <v>1.009</v>
      </c>
      <c r="D4983" s="51">
        <v>65.0</v>
      </c>
      <c r="E4983" s="52" t="s">
        <v>25</v>
      </c>
      <c r="F4983" s="52" t="s">
        <v>26</v>
      </c>
      <c r="G4983" s="54"/>
    </row>
    <row r="4984">
      <c r="A4984" s="49">
        <v>45073.25257984953</v>
      </c>
      <c r="B4984" s="50">
        <v>45073.3775452083</v>
      </c>
      <c r="C4984" s="51">
        <v>1.009</v>
      </c>
      <c r="D4984" s="51">
        <v>65.0</v>
      </c>
      <c r="E4984" s="52" t="s">
        <v>25</v>
      </c>
      <c r="F4984" s="52" t="s">
        <v>26</v>
      </c>
      <c r="G4984" s="54"/>
    </row>
    <row r="4985">
      <c r="A4985" s="49">
        <v>45073.26300045139</v>
      </c>
      <c r="B4985" s="50">
        <v>45073.3879666551</v>
      </c>
      <c r="C4985" s="51">
        <v>1.009</v>
      </c>
      <c r="D4985" s="51">
        <v>65.0</v>
      </c>
      <c r="E4985" s="52" t="s">
        <v>25</v>
      </c>
      <c r="F4985" s="52" t="s">
        <v>26</v>
      </c>
      <c r="G4985" s="54"/>
    </row>
    <row r="4986">
      <c r="A4986" s="49">
        <v>45073.27341018518</v>
      </c>
      <c r="B4986" s="50">
        <v>45073.3983874074</v>
      </c>
      <c r="C4986" s="51">
        <v>1.009</v>
      </c>
      <c r="D4986" s="51">
        <v>65.0</v>
      </c>
      <c r="E4986" s="52" t="s">
        <v>25</v>
      </c>
      <c r="F4986" s="52" t="s">
        <v>26</v>
      </c>
      <c r="G4986" s="54"/>
    </row>
    <row r="4987">
      <c r="A4987" s="49">
        <v>45073.28386105324</v>
      </c>
      <c r="B4987" s="50">
        <v>45073.408832118</v>
      </c>
      <c r="C4987" s="51">
        <v>1.009</v>
      </c>
      <c r="D4987" s="51">
        <v>65.0</v>
      </c>
      <c r="E4987" s="52" t="s">
        <v>25</v>
      </c>
      <c r="F4987" s="52" t="s">
        <v>26</v>
      </c>
      <c r="G4987" s="54"/>
    </row>
    <row r="4988">
      <c r="A4988" s="49">
        <v>45073.2942815625</v>
      </c>
      <c r="B4988" s="50">
        <v>45073.4192541319</v>
      </c>
      <c r="C4988" s="51">
        <v>1.009</v>
      </c>
      <c r="D4988" s="51">
        <v>65.0</v>
      </c>
      <c r="E4988" s="52" t="s">
        <v>25</v>
      </c>
      <c r="F4988" s="52" t="s">
        <v>26</v>
      </c>
      <c r="G4988" s="54"/>
    </row>
    <row r="4989">
      <c r="A4989" s="49">
        <v>45073.304706932875</v>
      </c>
      <c r="B4989" s="50">
        <v>45073.4296747453</v>
      </c>
      <c r="C4989" s="51">
        <v>1.009</v>
      </c>
      <c r="D4989" s="51">
        <v>65.0</v>
      </c>
      <c r="E4989" s="52" t="s">
        <v>25</v>
      </c>
      <c r="F4989" s="52" t="s">
        <v>26</v>
      </c>
      <c r="G4989" s="54"/>
    </row>
    <row r="4990">
      <c r="A4990" s="49">
        <v>45073.31511671296</v>
      </c>
      <c r="B4990" s="50">
        <v>45073.4400938426</v>
      </c>
      <c r="C4990" s="51">
        <v>1.009</v>
      </c>
      <c r="D4990" s="51">
        <v>65.0</v>
      </c>
      <c r="E4990" s="52" t="s">
        <v>25</v>
      </c>
      <c r="F4990" s="52" t="s">
        <v>26</v>
      </c>
      <c r="G4990" s="54"/>
    </row>
    <row r="4991">
      <c r="A4991" s="49">
        <v>45073.325542175924</v>
      </c>
      <c r="B4991" s="50">
        <v>45073.4505140277</v>
      </c>
      <c r="C4991" s="51">
        <v>1.009</v>
      </c>
      <c r="D4991" s="51">
        <v>65.0</v>
      </c>
      <c r="E4991" s="52" t="s">
        <v>25</v>
      </c>
      <c r="F4991" s="52" t="s">
        <v>26</v>
      </c>
      <c r="G4991" s="54"/>
    </row>
    <row r="4992">
      <c r="A4992" s="49">
        <v>45073.33597378472</v>
      </c>
      <c r="B4992" s="50">
        <v>45073.4609348379</v>
      </c>
      <c r="C4992" s="51">
        <v>1.009</v>
      </c>
      <c r="D4992" s="51">
        <v>65.0</v>
      </c>
      <c r="E4992" s="52" t="s">
        <v>25</v>
      </c>
      <c r="F4992" s="52" t="s">
        <v>26</v>
      </c>
      <c r="G4992" s="54"/>
    </row>
    <row r="4993">
      <c r="A4993" s="49">
        <v>45073.34638170138</v>
      </c>
      <c r="B4993" s="50">
        <v>45073.4713558796</v>
      </c>
      <c r="C4993" s="51">
        <v>1.009</v>
      </c>
      <c r="D4993" s="51">
        <v>65.0</v>
      </c>
      <c r="E4993" s="52" t="s">
        <v>25</v>
      </c>
      <c r="F4993" s="52" t="s">
        <v>26</v>
      </c>
      <c r="G4993" s="54"/>
    </row>
    <row r="4994">
      <c r="A4994" s="49">
        <v>45073.35681590278</v>
      </c>
      <c r="B4994" s="50">
        <v>45073.481789699</v>
      </c>
      <c r="C4994" s="51">
        <v>1.009</v>
      </c>
      <c r="D4994" s="51">
        <v>65.0</v>
      </c>
      <c r="E4994" s="52" t="s">
        <v>25</v>
      </c>
      <c r="F4994" s="52" t="s">
        <v>26</v>
      </c>
      <c r="G4994" s="54"/>
    </row>
    <row r="4995">
      <c r="A4995" s="49">
        <v>45073.367236736114</v>
      </c>
      <c r="B4995" s="50">
        <v>45073.4922098032</v>
      </c>
      <c r="C4995" s="51">
        <v>1.009</v>
      </c>
      <c r="D4995" s="51">
        <v>65.0</v>
      </c>
      <c r="E4995" s="52" t="s">
        <v>25</v>
      </c>
      <c r="F4995" s="52" t="s">
        <v>26</v>
      </c>
      <c r="G4995" s="54"/>
    </row>
    <row r="4996">
      <c r="A4996" s="49">
        <v>45073.377676979166</v>
      </c>
      <c r="B4996" s="50">
        <v>45073.5026295486</v>
      </c>
      <c r="C4996" s="51">
        <v>1.009</v>
      </c>
      <c r="D4996" s="51">
        <v>65.0</v>
      </c>
      <c r="E4996" s="52" t="s">
        <v>25</v>
      </c>
      <c r="F4996" s="52" t="s">
        <v>26</v>
      </c>
      <c r="G4996" s="54"/>
    </row>
    <row r="4997">
      <c r="A4997" s="49">
        <v>45073.38810493056</v>
      </c>
      <c r="B4997" s="50">
        <v>45073.5130757523</v>
      </c>
      <c r="C4997" s="51">
        <v>1.009</v>
      </c>
      <c r="D4997" s="51">
        <v>65.0</v>
      </c>
      <c r="E4997" s="52" t="s">
        <v>25</v>
      </c>
      <c r="F4997" s="52" t="s">
        <v>26</v>
      </c>
      <c r="G4997" s="54"/>
    </row>
    <row r="4998">
      <c r="A4998" s="49">
        <v>45073.398528171296</v>
      </c>
      <c r="B4998" s="50">
        <v>45073.5234976851</v>
      </c>
      <c r="C4998" s="51">
        <v>1.009</v>
      </c>
      <c r="D4998" s="51">
        <v>65.0</v>
      </c>
      <c r="E4998" s="52" t="s">
        <v>25</v>
      </c>
      <c r="F4998" s="52" t="s">
        <v>26</v>
      </c>
      <c r="G4998" s="54"/>
    </row>
    <row r="4999">
      <c r="A4999" s="49">
        <v>45073.40894357639</v>
      </c>
      <c r="B4999" s="50">
        <v>45073.5339190856</v>
      </c>
      <c r="C4999" s="51">
        <v>1.009</v>
      </c>
      <c r="D4999" s="51">
        <v>65.0</v>
      </c>
      <c r="E4999" s="52" t="s">
        <v>25</v>
      </c>
      <c r="F4999" s="52" t="s">
        <v>26</v>
      </c>
      <c r="G4999" s="54"/>
    </row>
    <row r="5000">
      <c r="A5000" s="49">
        <v>45073.41936638889</v>
      </c>
      <c r="B5000" s="50">
        <v>45073.5443391203</v>
      </c>
      <c r="C5000" s="51">
        <v>1.009</v>
      </c>
      <c r="D5000" s="51">
        <v>65.0</v>
      </c>
      <c r="E5000" s="52" t="s">
        <v>25</v>
      </c>
      <c r="F5000" s="52" t="s">
        <v>26</v>
      </c>
      <c r="G5000" s="54"/>
    </row>
    <row r="5001">
      <c r="A5001" s="49">
        <v>45073.429785138884</v>
      </c>
      <c r="B5001" s="50">
        <v>45073.5547598726</v>
      </c>
      <c r="C5001" s="51">
        <v>1.009</v>
      </c>
      <c r="D5001" s="51">
        <v>65.0</v>
      </c>
      <c r="E5001" s="52" t="s">
        <v>25</v>
      </c>
      <c r="F5001" s="52" t="s">
        <v>26</v>
      </c>
      <c r="G5001" s="54"/>
    </row>
    <row r="5002">
      <c r="A5002" s="49">
        <v>45073.44020413194</v>
      </c>
      <c r="B5002" s="50">
        <v>45073.5651805092</v>
      </c>
      <c r="C5002" s="51">
        <v>1.009</v>
      </c>
      <c r="D5002" s="51">
        <v>65.0</v>
      </c>
      <c r="E5002" s="52" t="s">
        <v>25</v>
      </c>
      <c r="F5002" s="52" t="s">
        <v>26</v>
      </c>
      <c r="G5002" s="54"/>
    </row>
    <row r="5003">
      <c r="A5003" s="49">
        <v>45073.450623067125</v>
      </c>
      <c r="B5003" s="50">
        <v>45073.5756007407</v>
      </c>
      <c r="C5003" s="51">
        <v>1.009</v>
      </c>
      <c r="D5003" s="51">
        <v>65.0</v>
      </c>
      <c r="E5003" s="52" t="s">
        <v>25</v>
      </c>
      <c r="F5003" s="52" t="s">
        <v>26</v>
      </c>
      <c r="G5003" s="54"/>
    </row>
    <row r="5004">
      <c r="A5004" s="49">
        <v>45073.461056053246</v>
      </c>
      <c r="B5004" s="50">
        <v>45073.586023125</v>
      </c>
      <c r="C5004" s="51">
        <v>1.009</v>
      </c>
      <c r="D5004" s="51">
        <v>65.0</v>
      </c>
      <c r="E5004" s="52" t="s">
        <v>25</v>
      </c>
      <c r="F5004" s="52" t="s">
        <v>26</v>
      </c>
      <c r="G5004" s="54"/>
    </row>
    <row r="5005">
      <c r="A5005" s="49">
        <v>45073.47146775463</v>
      </c>
      <c r="B5005" s="50">
        <v>45073.5964437963</v>
      </c>
      <c r="C5005" s="51">
        <v>1.009</v>
      </c>
      <c r="D5005" s="51">
        <v>65.0</v>
      </c>
      <c r="E5005" s="52" t="s">
        <v>25</v>
      </c>
      <c r="F5005" s="52" t="s">
        <v>26</v>
      </c>
      <c r="G5005" s="54"/>
    </row>
    <row r="5006">
      <c r="A5006" s="49">
        <v>45073.48193224537</v>
      </c>
      <c r="B5006" s="50">
        <v>45073.6069009606</v>
      </c>
      <c r="C5006" s="51">
        <v>1.009</v>
      </c>
      <c r="D5006" s="51">
        <v>65.0</v>
      </c>
      <c r="E5006" s="52" t="s">
        <v>25</v>
      </c>
      <c r="F5006" s="52" t="s">
        <v>26</v>
      </c>
      <c r="G5006" s="54"/>
    </row>
    <row r="5007">
      <c r="A5007" s="49">
        <v>45073.49236015046</v>
      </c>
      <c r="B5007" s="50">
        <v>45073.6173205902</v>
      </c>
      <c r="C5007" s="51">
        <v>1.009</v>
      </c>
      <c r="D5007" s="51">
        <v>65.0</v>
      </c>
      <c r="E5007" s="52" t="s">
        <v>25</v>
      </c>
      <c r="F5007" s="52" t="s">
        <v>26</v>
      </c>
      <c r="G5007" s="54"/>
    </row>
    <row r="5008">
      <c r="A5008" s="49">
        <v>45073.5027703588</v>
      </c>
      <c r="B5008" s="50">
        <v>45073.6277413657</v>
      </c>
      <c r="C5008" s="51">
        <v>1.009</v>
      </c>
      <c r="D5008" s="51">
        <v>65.0</v>
      </c>
      <c r="E5008" s="52" t="s">
        <v>25</v>
      </c>
      <c r="F5008" s="52" t="s">
        <v>26</v>
      </c>
      <c r="G5008" s="54"/>
    </row>
    <row r="5009">
      <c r="A5009" s="49">
        <v>45073.513190682876</v>
      </c>
      <c r="B5009" s="50">
        <v>45073.6381624189</v>
      </c>
      <c r="C5009" s="51">
        <v>1.009</v>
      </c>
      <c r="D5009" s="51">
        <v>65.0</v>
      </c>
      <c r="E5009" s="52" t="s">
        <v>25</v>
      </c>
      <c r="F5009" s="52" t="s">
        <v>26</v>
      </c>
      <c r="G5009" s="54"/>
    </row>
    <row r="5010">
      <c r="A5010" s="49">
        <v>45073.52361719907</v>
      </c>
      <c r="B5010" s="50">
        <v>45073.6485824884</v>
      </c>
      <c r="C5010" s="51">
        <v>1.009</v>
      </c>
      <c r="D5010" s="51">
        <v>65.0</v>
      </c>
      <c r="E5010" s="52" t="s">
        <v>25</v>
      </c>
      <c r="F5010" s="52" t="s">
        <v>26</v>
      </c>
      <c r="G5010" s="54"/>
    </row>
    <row r="5011">
      <c r="A5011" s="49">
        <v>45073.53402569445</v>
      </c>
      <c r="B5011" s="50">
        <v>45073.6590031481</v>
      </c>
      <c r="C5011" s="51">
        <v>1.009</v>
      </c>
      <c r="D5011" s="51">
        <v>65.0</v>
      </c>
      <c r="E5011" s="52" t="s">
        <v>25</v>
      </c>
      <c r="F5011" s="52" t="s">
        <v>26</v>
      </c>
      <c r="G5011" s="54"/>
    </row>
    <row r="5012">
      <c r="A5012" s="49">
        <v>45073.54444616898</v>
      </c>
      <c r="B5012" s="50">
        <v>45073.6694235995</v>
      </c>
      <c r="C5012" s="51">
        <v>1.009</v>
      </c>
      <c r="D5012" s="51">
        <v>65.0</v>
      </c>
      <c r="E5012" s="52" t="s">
        <v>25</v>
      </c>
      <c r="F5012" s="52" t="s">
        <v>26</v>
      </c>
      <c r="G5012" s="54"/>
    </row>
    <row r="5013">
      <c r="A5013" s="49">
        <v>45073.554870127315</v>
      </c>
      <c r="B5013" s="50">
        <v>45073.6798426157</v>
      </c>
      <c r="C5013" s="51">
        <v>1.009</v>
      </c>
      <c r="D5013" s="51">
        <v>65.0</v>
      </c>
      <c r="E5013" s="52" t="s">
        <v>25</v>
      </c>
      <c r="F5013" s="52" t="s">
        <v>26</v>
      </c>
      <c r="G5013" s="54"/>
    </row>
    <row r="5014">
      <c r="A5014" s="49">
        <v>45073.56529407407</v>
      </c>
      <c r="B5014" s="50">
        <v>45073.6902617245</v>
      </c>
      <c r="C5014" s="51">
        <v>1.009</v>
      </c>
      <c r="D5014" s="51">
        <v>65.0</v>
      </c>
      <c r="E5014" s="52" t="s">
        <v>25</v>
      </c>
      <c r="F5014" s="52" t="s">
        <v>26</v>
      </c>
      <c r="G5014" s="54"/>
    </row>
    <row r="5015">
      <c r="A5015" s="49">
        <v>45073.575713645834</v>
      </c>
      <c r="B5015" s="50">
        <v>45073.7006829745</v>
      </c>
      <c r="C5015" s="51">
        <v>1.009</v>
      </c>
      <c r="D5015" s="51">
        <v>65.0</v>
      </c>
      <c r="E5015" s="52" t="s">
        <v>25</v>
      </c>
      <c r="F5015" s="52" t="s">
        <v>26</v>
      </c>
      <c r="G5015" s="54"/>
    </row>
    <row r="5016">
      <c r="A5016" s="49">
        <v>45073.58612905093</v>
      </c>
      <c r="B5016" s="50">
        <v>45073.71110478</v>
      </c>
      <c r="C5016" s="51">
        <v>1.009</v>
      </c>
      <c r="D5016" s="51">
        <v>65.0</v>
      </c>
      <c r="E5016" s="52" t="s">
        <v>25</v>
      </c>
      <c r="F5016" s="52" t="s">
        <v>26</v>
      </c>
      <c r="G5016" s="54"/>
    </row>
    <row r="5017">
      <c r="A5017" s="49">
        <v>45073.59655349537</v>
      </c>
      <c r="B5017" s="50">
        <v>45073.7215241435</v>
      </c>
      <c r="C5017" s="51">
        <v>1.009</v>
      </c>
      <c r="D5017" s="51">
        <v>65.0</v>
      </c>
      <c r="E5017" s="52" t="s">
        <v>25</v>
      </c>
      <c r="F5017" s="52" t="s">
        <v>26</v>
      </c>
      <c r="G5017" s="54"/>
    </row>
    <row r="5018">
      <c r="A5018" s="49">
        <v>45073.606970520836</v>
      </c>
      <c r="B5018" s="50">
        <v>45073.7319467245</v>
      </c>
      <c r="C5018" s="51">
        <v>1.009</v>
      </c>
      <c r="D5018" s="51">
        <v>65.0</v>
      </c>
      <c r="E5018" s="52" t="s">
        <v>25</v>
      </c>
      <c r="F5018" s="52" t="s">
        <v>26</v>
      </c>
      <c r="G5018" s="54"/>
    </row>
    <row r="5019">
      <c r="A5019" s="49">
        <v>45073.61740642361</v>
      </c>
      <c r="B5019" s="50">
        <v>45073.7423790393</v>
      </c>
      <c r="C5019" s="51">
        <v>1.009</v>
      </c>
      <c r="D5019" s="51">
        <v>65.0</v>
      </c>
      <c r="E5019" s="52" t="s">
        <v>25</v>
      </c>
      <c r="F5019" s="52" t="s">
        <v>26</v>
      </c>
      <c r="G5019" s="54"/>
    </row>
    <row r="5020">
      <c r="A5020" s="49">
        <v>45073.627830474536</v>
      </c>
      <c r="B5020" s="50">
        <v>45073.752812037</v>
      </c>
      <c r="C5020" s="51">
        <v>1.009</v>
      </c>
      <c r="D5020" s="51">
        <v>65.0</v>
      </c>
      <c r="E5020" s="52" t="s">
        <v>25</v>
      </c>
      <c r="F5020" s="52" t="s">
        <v>26</v>
      </c>
      <c r="G5020" s="54"/>
    </row>
    <row r="5021">
      <c r="A5021" s="49">
        <v>45073.63825615741</v>
      </c>
      <c r="B5021" s="50">
        <v>45073.7632330092</v>
      </c>
      <c r="C5021" s="51">
        <v>1.009</v>
      </c>
      <c r="D5021" s="51">
        <v>65.0</v>
      </c>
      <c r="E5021" s="52" t="s">
        <v>25</v>
      </c>
      <c r="F5021" s="52" t="s">
        <v>26</v>
      </c>
      <c r="G5021" s="54"/>
    </row>
    <row r="5022">
      <c r="A5022" s="49">
        <v>45073.64867623843</v>
      </c>
      <c r="B5022" s="50">
        <v>45073.7736543634</v>
      </c>
      <c r="C5022" s="51">
        <v>1.009</v>
      </c>
      <c r="D5022" s="51">
        <v>65.0</v>
      </c>
      <c r="E5022" s="52" t="s">
        <v>25</v>
      </c>
      <c r="F5022" s="52" t="s">
        <v>26</v>
      </c>
      <c r="G5022" s="54"/>
    </row>
    <row r="5023">
      <c r="A5023" s="49">
        <v>45073.6591108912</v>
      </c>
      <c r="B5023" s="50">
        <v>45073.7840756365</v>
      </c>
      <c r="C5023" s="51">
        <v>1.009</v>
      </c>
      <c r="D5023" s="51">
        <v>65.0</v>
      </c>
      <c r="E5023" s="52" t="s">
        <v>25</v>
      </c>
      <c r="F5023" s="52" t="s">
        <v>26</v>
      </c>
      <c r="G5023" s="54"/>
    </row>
    <row r="5024">
      <c r="A5024" s="49">
        <v>45073.66952418981</v>
      </c>
      <c r="B5024" s="50">
        <v>45073.7944959606</v>
      </c>
      <c r="C5024" s="51">
        <v>1.009</v>
      </c>
      <c r="D5024" s="51">
        <v>65.0</v>
      </c>
      <c r="E5024" s="52" t="s">
        <v>25</v>
      </c>
      <c r="F5024" s="52" t="s">
        <v>26</v>
      </c>
      <c r="G5024" s="54"/>
    </row>
    <row r="5025">
      <c r="A5025" s="49">
        <v>45073.679935821754</v>
      </c>
      <c r="B5025" s="50">
        <v>45073.804915868</v>
      </c>
      <c r="C5025" s="51">
        <v>1.009</v>
      </c>
      <c r="D5025" s="51">
        <v>65.0</v>
      </c>
      <c r="E5025" s="52" t="s">
        <v>25</v>
      </c>
      <c r="F5025" s="52" t="s">
        <v>26</v>
      </c>
      <c r="G5025" s="54"/>
    </row>
    <row r="5026">
      <c r="A5026" s="49">
        <v>45073.69036284722</v>
      </c>
      <c r="B5026" s="50">
        <v>45073.8153385185</v>
      </c>
      <c r="C5026" s="51">
        <v>1.009</v>
      </c>
      <c r="D5026" s="51">
        <v>65.0</v>
      </c>
      <c r="E5026" s="52" t="s">
        <v>25</v>
      </c>
      <c r="F5026" s="52" t="s">
        <v>26</v>
      </c>
      <c r="G5026" s="54"/>
    </row>
    <row r="5027">
      <c r="A5027" s="49">
        <v>45073.700784768516</v>
      </c>
      <c r="B5027" s="50">
        <v>45073.8257604861</v>
      </c>
      <c r="C5027" s="51">
        <v>1.009</v>
      </c>
      <c r="D5027" s="51">
        <v>65.0</v>
      </c>
      <c r="E5027" s="52" t="s">
        <v>25</v>
      </c>
      <c r="F5027" s="52" t="s">
        <v>26</v>
      </c>
      <c r="G5027" s="54"/>
    </row>
    <row r="5028">
      <c r="A5028" s="49">
        <v>45073.711206747685</v>
      </c>
      <c r="B5028" s="50">
        <v>45073.8361809027</v>
      </c>
      <c r="C5028" s="51">
        <v>1.009</v>
      </c>
      <c r="D5028" s="51">
        <v>65.0</v>
      </c>
      <c r="E5028" s="52" t="s">
        <v>25</v>
      </c>
      <c r="F5028" s="52" t="s">
        <v>26</v>
      </c>
      <c r="G5028" s="54"/>
    </row>
    <row r="5029">
      <c r="A5029" s="49">
        <v>45073.72162752315</v>
      </c>
      <c r="B5029" s="50">
        <v>45073.8466010069</v>
      </c>
      <c r="C5029" s="51">
        <v>1.009</v>
      </c>
      <c r="D5029" s="51">
        <v>65.0</v>
      </c>
      <c r="E5029" s="52" t="s">
        <v>25</v>
      </c>
      <c r="F5029" s="52" t="s">
        <v>26</v>
      </c>
      <c r="G5029" s="54"/>
    </row>
    <row r="5030">
      <c r="A5030" s="49">
        <v>45073.73204791667</v>
      </c>
      <c r="B5030" s="50">
        <v>45073.8570236574</v>
      </c>
      <c r="C5030" s="51">
        <v>1.009</v>
      </c>
      <c r="D5030" s="51">
        <v>65.0</v>
      </c>
      <c r="E5030" s="52" t="s">
        <v>25</v>
      </c>
      <c r="F5030" s="52" t="s">
        <v>26</v>
      </c>
      <c r="G5030" s="54"/>
    </row>
    <row r="5031">
      <c r="A5031" s="49">
        <v>45073.74247614584</v>
      </c>
      <c r="B5031" s="50">
        <v>45073.8674473148</v>
      </c>
      <c r="C5031" s="51">
        <v>1.009</v>
      </c>
      <c r="D5031" s="51">
        <v>65.0</v>
      </c>
      <c r="E5031" s="52" t="s">
        <v>25</v>
      </c>
      <c r="F5031" s="52" t="s">
        <v>26</v>
      </c>
      <c r="G5031" s="54"/>
    </row>
    <row r="5032">
      <c r="A5032" s="49">
        <v>45073.763318530095</v>
      </c>
      <c r="B5032" s="50">
        <v>45073.8883001157</v>
      </c>
      <c r="C5032" s="51">
        <v>1.009</v>
      </c>
      <c r="D5032" s="51">
        <v>65.0</v>
      </c>
      <c r="E5032" s="52" t="s">
        <v>25</v>
      </c>
      <c r="F5032" s="52" t="s">
        <v>26</v>
      </c>
      <c r="G5032" s="54"/>
    </row>
    <row r="5033">
      <c r="A5033" s="49">
        <v>45073.773747025465</v>
      </c>
      <c r="B5033" s="50">
        <v>45073.8987204282</v>
      </c>
      <c r="C5033" s="51">
        <v>1.009</v>
      </c>
      <c r="D5033" s="51">
        <v>65.0</v>
      </c>
      <c r="E5033" s="52" t="s">
        <v>25</v>
      </c>
      <c r="F5033" s="52" t="s">
        <v>26</v>
      </c>
      <c r="G5033" s="54"/>
    </row>
    <row r="5034">
      <c r="A5034" s="49">
        <v>45073.78416354167</v>
      </c>
      <c r="B5034" s="50">
        <v>45073.9091432291</v>
      </c>
      <c r="C5034" s="51">
        <v>1.009</v>
      </c>
      <c r="D5034" s="51">
        <v>65.0</v>
      </c>
      <c r="E5034" s="52" t="s">
        <v>25</v>
      </c>
      <c r="F5034" s="52" t="s">
        <v>26</v>
      </c>
      <c r="G5034" s="54"/>
    </row>
    <row r="5035">
      <c r="A5035" s="49">
        <v>45073.79460650463</v>
      </c>
      <c r="B5035" s="50">
        <v>45073.9195648958</v>
      </c>
      <c r="C5035" s="51">
        <v>1.009</v>
      </c>
      <c r="D5035" s="51">
        <v>65.0</v>
      </c>
      <c r="E5035" s="52" t="s">
        <v>25</v>
      </c>
      <c r="F5035" s="52" t="s">
        <v>26</v>
      </c>
      <c r="G5035" s="54"/>
    </row>
    <row r="5036">
      <c r="A5036" s="49">
        <v>45073.8050146412</v>
      </c>
      <c r="B5036" s="50">
        <v>45073.929987199</v>
      </c>
      <c r="C5036" s="51">
        <v>1.009</v>
      </c>
      <c r="D5036" s="51">
        <v>65.0</v>
      </c>
      <c r="E5036" s="52" t="s">
        <v>25</v>
      </c>
      <c r="F5036" s="52" t="s">
        <v>26</v>
      </c>
      <c r="G5036" s="54"/>
    </row>
    <row r="5037">
      <c r="A5037" s="49">
        <v>45073.81544305556</v>
      </c>
      <c r="B5037" s="50">
        <v>45073.9404188657</v>
      </c>
      <c r="C5037" s="51">
        <v>1.009</v>
      </c>
      <c r="D5037" s="51">
        <v>65.0</v>
      </c>
      <c r="E5037" s="52" t="s">
        <v>25</v>
      </c>
      <c r="F5037" s="52" t="s">
        <v>26</v>
      </c>
      <c r="G5037" s="54"/>
    </row>
    <row r="5038">
      <c r="A5038" s="49">
        <v>45073.82588240741</v>
      </c>
      <c r="B5038" s="50">
        <v>45073.9508618402</v>
      </c>
      <c r="C5038" s="51">
        <v>1.009</v>
      </c>
      <c r="D5038" s="51">
        <v>65.0</v>
      </c>
      <c r="E5038" s="52" t="s">
        <v>25</v>
      </c>
      <c r="F5038" s="52" t="s">
        <v>26</v>
      </c>
      <c r="G5038" s="54"/>
    </row>
    <row r="5039">
      <c r="A5039" s="49">
        <v>45073.83631550926</v>
      </c>
      <c r="B5039" s="50">
        <v>45073.9612931481</v>
      </c>
      <c r="C5039" s="51">
        <v>1.009</v>
      </c>
      <c r="D5039" s="51">
        <v>65.0</v>
      </c>
      <c r="E5039" s="52" t="s">
        <v>25</v>
      </c>
      <c r="F5039" s="52" t="s">
        <v>26</v>
      </c>
      <c r="G5039" s="54"/>
    </row>
    <row r="5040">
      <c r="A5040" s="49">
        <v>45073.8467480324</v>
      </c>
      <c r="B5040" s="50">
        <v>45073.9717148495</v>
      </c>
      <c r="C5040" s="51">
        <v>1.009</v>
      </c>
      <c r="D5040" s="51">
        <v>65.0</v>
      </c>
      <c r="E5040" s="52" t="s">
        <v>25</v>
      </c>
      <c r="F5040" s="52" t="s">
        <v>26</v>
      </c>
      <c r="G5040" s="54"/>
    </row>
    <row r="5041">
      <c r="A5041" s="49">
        <v>45073.857157708335</v>
      </c>
      <c r="B5041" s="50">
        <v>45073.982135625</v>
      </c>
      <c r="C5041" s="51">
        <v>1.009</v>
      </c>
      <c r="D5041" s="51">
        <v>65.0</v>
      </c>
      <c r="E5041" s="52" t="s">
        <v>25</v>
      </c>
      <c r="F5041" s="52" t="s">
        <v>26</v>
      </c>
      <c r="G5041" s="54"/>
    </row>
    <row r="5042">
      <c r="A5042" s="49">
        <v>45073.867590208334</v>
      </c>
      <c r="B5042" s="50">
        <v>45073.9925674884</v>
      </c>
      <c r="C5042" s="51">
        <v>1.009</v>
      </c>
      <c r="D5042" s="51">
        <v>65.0</v>
      </c>
      <c r="E5042" s="52" t="s">
        <v>25</v>
      </c>
      <c r="F5042" s="52" t="s">
        <v>26</v>
      </c>
      <c r="G5042" s="54"/>
    </row>
    <row r="5043">
      <c r="A5043" s="49">
        <v>45073.878014710644</v>
      </c>
      <c r="B5043" s="50">
        <v>45074.0029891435</v>
      </c>
      <c r="C5043" s="51">
        <v>1.009</v>
      </c>
      <c r="D5043" s="51">
        <v>65.0</v>
      </c>
      <c r="E5043" s="52" t="s">
        <v>25</v>
      </c>
      <c r="F5043" s="52" t="s">
        <v>26</v>
      </c>
      <c r="G5043" s="54"/>
    </row>
    <row r="5044">
      <c r="A5044" s="49">
        <v>45073.8884425</v>
      </c>
      <c r="B5044" s="50">
        <v>45074.013422824</v>
      </c>
      <c r="C5044" s="51">
        <v>1.009</v>
      </c>
      <c r="D5044" s="51">
        <v>65.0</v>
      </c>
      <c r="E5044" s="52" t="s">
        <v>25</v>
      </c>
      <c r="F5044" s="52" t="s">
        <v>26</v>
      </c>
      <c r="G5044" s="54"/>
    </row>
    <row r="5045">
      <c r="A5045" s="49">
        <v>45073.89887074074</v>
      </c>
      <c r="B5045" s="50">
        <v>45074.0238437731</v>
      </c>
      <c r="C5045" s="51">
        <v>1.009</v>
      </c>
      <c r="D5045" s="51">
        <v>65.0</v>
      </c>
      <c r="E5045" s="52" t="s">
        <v>25</v>
      </c>
      <c r="F5045" s="52" t="s">
        <v>26</v>
      </c>
      <c r="G5045" s="54"/>
    </row>
    <row r="5046">
      <c r="A5046" s="49">
        <v>45073.90929130787</v>
      </c>
      <c r="B5046" s="50">
        <v>45074.0342631944</v>
      </c>
      <c r="C5046" s="51">
        <v>1.009</v>
      </c>
      <c r="D5046" s="51">
        <v>65.0</v>
      </c>
      <c r="E5046" s="52" t="s">
        <v>25</v>
      </c>
      <c r="F5046" s="52" t="s">
        <v>26</v>
      </c>
      <c r="G5046" s="54"/>
    </row>
    <row r="5047">
      <c r="A5047" s="49">
        <v>45073.91971591435</v>
      </c>
      <c r="B5047" s="50">
        <v>45074.0446834838</v>
      </c>
      <c r="C5047" s="51">
        <v>1.009</v>
      </c>
      <c r="D5047" s="51">
        <v>65.0</v>
      </c>
      <c r="E5047" s="52" t="s">
        <v>25</v>
      </c>
      <c r="F5047" s="52" t="s">
        <v>26</v>
      </c>
      <c r="G5047" s="54"/>
    </row>
    <row r="5048">
      <c r="A5048" s="49">
        <v>45073.930127025465</v>
      </c>
      <c r="B5048" s="50">
        <v>45074.0551047106</v>
      </c>
      <c r="C5048" s="51">
        <v>1.009</v>
      </c>
      <c r="D5048" s="51">
        <v>65.0</v>
      </c>
      <c r="E5048" s="52" t="s">
        <v>25</v>
      </c>
      <c r="F5048" s="52" t="s">
        <v>26</v>
      </c>
      <c r="G5048" s="54"/>
    </row>
    <row r="5049">
      <c r="A5049" s="49">
        <v>45073.94055476852</v>
      </c>
      <c r="B5049" s="50">
        <v>45074.0655244791</v>
      </c>
      <c r="C5049" s="51">
        <v>1.009</v>
      </c>
      <c r="D5049" s="51">
        <v>65.0</v>
      </c>
      <c r="E5049" s="52" t="s">
        <v>25</v>
      </c>
      <c r="F5049" s="52" t="s">
        <v>26</v>
      </c>
      <c r="G5049" s="54"/>
    </row>
    <row r="5050">
      <c r="A5050" s="49">
        <v>45073.95097618055</v>
      </c>
      <c r="B5050" s="50">
        <v>45074.0759474768</v>
      </c>
      <c r="C5050" s="51">
        <v>1.009</v>
      </c>
      <c r="D5050" s="51">
        <v>65.0</v>
      </c>
      <c r="E5050" s="52" t="s">
        <v>25</v>
      </c>
      <c r="F5050" s="52" t="s">
        <v>26</v>
      </c>
      <c r="G5050" s="54"/>
    </row>
    <row r="5051">
      <c r="A5051" s="49">
        <v>45073.96139335648</v>
      </c>
      <c r="B5051" s="50">
        <v>45074.0863718287</v>
      </c>
      <c r="C5051" s="51">
        <v>1.009</v>
      </c>
      <c r="D5051" s="51">
        <v>65.0</v>
      </c>
      <c r="E5051" s="52" t="s">
        <v>25</v>
      </c>
      <c r="F5051" s="52" t="s">
        <v>26</v>
      </c>
      <c r="G5051" s="54"/>
    </row>
    <row r="5052">
      <c r="A5052" s="49">
        <v>45073.97182171296</v>
      </c>
      <c r="B5052" s="50">
        <v>45074.0967927777</v>
      </c>
      <c r="C5052" s="51">
        <v>1.009</v>
      </c>
      <c r="D5052" s="51">
        <v>65.0</v>
      </c>
      <c r="E5052" s="52" t="s">
        <v>25</v>
      </c>
      <c r="F5052" s="52" t="s">
        <v>26</v>
      </c>
      <c r="G5052" s="54"/>
    </row>
    <row r="5053">
      <c r="A5053" s="49">
        <v>45073.98223949074</v>
      </c>
      <c r="B5053" s="50">
        <v>45074.1072139814</v>
      </c>
      <c r="C5053" s="51">
        <v>1.009</v>
      </c>
      <c r="D5053" s="51">
        <v>65.0</v>
      </c>
      <c r="E5053" s="52" t="s">
        <v>25</v>
      </c>
      <c r="F5053" s="52" t="s">
        <v>26</v>
      </c>
      <c r="G5053" s="54"/>
    </row>
    <row r="5054">
      <c r="A5054" s="49">
        <v>45073.99265733796</v>
      </c>
      <c r="B5054" s="50">
        <v>45074.1176341319</v>
      </c>
      <c r="C5054" s="51">
        <v>1.009</v>
      </c>
      <c r="D5054" s="51">
        <v>65.0</v>
      </c>
      <c r="E5054" s="52" t="s">
        <v>25</v>
      </c>
      <c r="F5054" s="52" t="s">
        <v>26</v>
      </c>
      <c r="G5054" s="54"/>
    </row>
    <row r="5055">
      <c r="A5055" s="49">
        <v>45074.00308483797</v>
      </c>
      <c r="B5055" s="50">
        <v>45074.1280542708</v>
      </c>
      <c r="C5055" s="51">
        <v>1.008</v>
      </c>
      <c r="D5055" s="51">
        <v>65.0</v>
      </c>
      <c r="E5055" s="52" t="s">
        <v>25</v>
      </c>
      <c r="F5055" s="52" t="s">
        <v>26</v>
      </c>
      <c r="G5055" s="54"/>
    </row>
    <row r="5056">
      <c r="A5056" s="49">
        <v>45074.013506504634</v>
      </c>
      <c r="B5056" s="50">
        <v>45074.138475625</v>
      </c>
      <c r="C5056" s="51">
        <v>1.009</v>
      </c>
      <c r="D5056" s="51">
        <v>65.0</v>
      </c>
      <c r="E5056" s="52" t="s">
        <v>25</v>
      </c>
      <c r="F5056" s="52" t="s">
        <v>26</v>
      </c>
      <c r="G5056" s="54"/>
    </row>
    <row r="5057">
      <c r="A5057" s="49">
        <v>45074.023926354166</v>
      </c>
      <c r="B5057" s="50">
        <v>45074.1488980092</v>
      </c>
      <c r="C5057" s="51">
        <v>1.009</v>
      </c>
      <c r="D5057" s="51">
        <v>65.0</v>
      </c>
      <c r="E5057" s="52" t="s">
        <v>25</v>
      </c>
      <c r="F5057" s="52" t="s">
        <v>26</v>
      </c>
      <c r="G5057" s="54"/>
    </row>
    <row r="5058">
      <c r="A5058" s="49">
        <v>45074.03434408565</v>
      </c>
      <c r="B5058" s="50">
        <v>45074.1593170717</v>
      </c>
      <c r="C5058" s="51">
        <v>1.008</v>
      </c>
      <c r="D5058" s="51">
        <v>65.0</v>
      </c>
      <c r="E5058" s="52" t="s">
        <v>25</v>
      </c>
      <c r="F5058" s="52" t="s">
        <v>26</v>
      </c>
      <c r="G5058" s="54"/>
    </row>
    <row r="5059">
      <c r="A5059" s="49">
        <v>45074.04476689815</v>
      </c>
      <c r="B5059" s="50">
        <v>45074.1697371412</v>
      </c>
      <c r="C5059" s="51">
        <v>1.008</v>
      </c>
      <c r="D5059" s="51">
        <v>65.0</v>
      </c>
      <c r="E5059" s="52" t="s">
        <v>25</v>
      </c>
      <c r="F5059" s="52" t="s">
        <v>26</v>
      </c>
      <c r="G5059" s="54"/>
    </row>
    <row r="5060">
      <c r="A5060" s="49">
        <v>45074.05518585649</v>
      </c>
      <c r="B5060" s="50">
        <v>45074.1801604629</v>
      </c>
      <c r="C5060" s="51">
        <v>1.009</v>
      </c>
      <c r="D5060" s="51">
        <v>65.0</v>
      </c>
      <c r="E5060" s="52" t="s">
        <v>25</v>
      </c>
      <c r="F5060" s="52" t="s">
        <v>26</v>
      </c>
      <c r="G5060" s="54"/>
    </row>
    <row r="5061">
      <c r="A5061" s="49">
        <v>45074.06561607639</v>
      </c>
      <c r="B5061" s="50">
        <v>45074.1905923263</v>
      </c>
      <c r="C5061" s="51">
        <v>1.009</v>
      </c>
      <c r="D5061" s="51">
        <v>65.0</v>
      </c>
      <c r="E5061" s="52" t="s">
        <v>25</v>
      </c>
      <c r="F5061" s="52" t="s">
        <v>26</v>
      </c>
      <c r="G5061" s="54"/>
    </row>
    <row r="5062">
      <c r="A5062" s="49">
        <v>45074.076041493056</v>
      </c>
      <c r="B5062" s="50">
        <v>45074.2010135416</v>
      </c>
      <c r="C5062" s="51">
        <v>1.009</v>
      </c>
      <c r="D5062" s="51">
        <v>65.0</v>
      </c>
      <c r="E5062" s="52" t="s">
        <v>25</v>
      </c>
      <c r="F5062" s="52" t="s">
        <v>26</v>
      </c>
      <c r="G5062" s="54"/>
    </row>
    <row r="5063">
      <c r="A5063" s="49">
        <v>45074.08648534722</v>
      </c>
      <c r="B5063" s="50">
        <v>45074.2114570138</v>
      </c>
      <c r="C5063" s="51">
        <v>1.009</v>
      </c>
      <c r="D5063" s="51">
        <v>65.0</v>
      </c>
      <c r="E5063" s="52" t="s">
        <v>25</v>
      </c>
      <c r="F5063" s="52" t="s">
        <v>26</v>
      </c>
      <c r="G5063" s="54"/>
    </row>
    <row r="5064">
      <c r="A5064" s="49">
        <v>45074.09689886574</v>
      </c>
      <c r="B5064" s="50">
        <v>45074.2218767708</v>
      </c>
      <c r="C5064" s="51">
        <v>1.009</v>
      </c>
      <c r="D5064" s="51">
        <v>65.0</v>
      </c>
      <c r="E5064" s="52" t="s">
        <v>25</v>
      </c>
      <c r="F5064" s="52" t="s">
        <v>26</v>
      </c>
      <c r="G5064" s="54"/>
    </row>
    <row r="5065">
      <c r="A5065" s="49">
        <v>45074.10734070602</v>
      </c>
      <c r="B5065" s="50">
        <v>45074.2323207638</v>
      </c>
      <c r="C5065" s="51">
        <v>1.009</v>
      </c>
      <c r="D5065" s="51">
        <v>65.0</v>
      </c>
      <c r="E5065" s="52" t="s">
        <v>25</v>
      </c>
      <c r="F5065" s="52" t="s">
        <v>26</v>
      </c>
      <c r="G5065" s="54"/>
    </row>
    <row r="5066">
      <c r="A5066" s="49">
        <v>45074.11777795139</v>
      </c>
      <c r="B5066" s="50">
        <v>45074.2427437152</v>
      </c>
      <c r="C5066" s="51">
        <v>1.009</v>
      </c>
      <c r="D5066" s="51">
        <v>65.0</v>
      </c>
      <c r="E5066" s="52" t="s">
        <v>25</v>
      </c>
      <c r="F5066" s="52" t="s">
        <v>26</v>
      </c>
      <c r="G5066" s="54"/>
    </row>
    <row r="5067">
      <c r="A5067" s="49">
        <v>45074.12819700231</v>
      </c>
      <c r="B5067" s="50">
        <v>45074.2531659259</v>
      </c>
      <c r="C5067" s="51">
        <v>1.009</v>
      </c>
      <c r="D5067" s="51">
        <v>65.0</v>
      </c>
      <c r="E5067" s="52" t="s">
        <v>25</v>
      </c>
      <c r="F5067" s="52" t="s">
        <v>26</v>
      </c>
      <c r="G5067" s="54"/>
    </row>
    <row r="5068">
      <c r="A5068" s="49">
        <v>45074.13861780093</v>
      </c>
      <c r="B5068" s="50">
        <v>45074.2635885532</v>
      </c>
      <c r="C5068" s="51">
        <v>1.009</v>
      </c>
      <c r="D5068" s="51">
        <v>65.0</v>
      </c>
      <c r="E5068" s="52" t="s">
        <v>25</v>
      </c>
      <c r="F5068" s="52" t="s">
        <v>26</v>
      </c>
      <c r="G5068" s="54"/>
    </row>
    <row r="5069">
      <c r="A5069" s="49">
        <v>45074.14904193287</v>
      </c>
      <c r="B5069" s="50">
        <v>45074.2740103935</v>
      </c>
      <c r="C5069" s="51">
        <v>1.009</v>
      </c>
      <c r="D5069" s="51">
        <v>65.0</v>
      </c>
      <c r="E5069" s="52" t="s">
        <v>25</v>
      </c>
      <c r="F5069" s="52" t="s">
        <v>26</v>
      </c>
      <c r="G5069" s="54"/>
    </row>
    <row r="5070">
      <c r="A5070" s="49">
        <v>45074.159452708336</v>
      </c>
      <c r="B5070" s="50">
        <v>45074.2844304398</v>
      </c>
      <c r="C5070" s="51">
        <v>1.009</v>
      </c>
      <c r="D5070" s="51">
        <v>65.0</v>
      </c>
      <c r="E5070" s="52" t="s">
        <v>25</v>
      </c>
      <c r="F5070" s="52" t="s">
        <v>26</v>
      </c>
      <c r="G5070" s="54"/>
    </row>
    <row r="5071">
      <c r="A5071" s="49">
        <v>45074.16989388889</v>
      </c>
      <c r="B5071" s="50">
        <v>45074.294863287</v>
      </c>
      <c r="C5071" s="51">
        <v>1.009</v>
      </c>
      <c r="D5071" s="51">
        <v>65.0</v>
      </c>
      <c r="E5071" s="52" t="s">
        <v>25</v>
      </c>
      <c r="F5071" s="52" t="s">
        <v>26</v>
      </c>
      <c r="G5071" s="54"/>
    </row>
    <row r="5072">
      <c r="A5072" s="49">
        <v>45074.18031456019</v>
      </c>
      <c r="B5072" s="50">
        <v>45074.3052845601</v>
      </c>
      <c r="C5072" s="51">
        <v>1.009</v>
      </c>
      <c r="D5072" s="51">
        <v>65.0</v>
      </c>
      <c r="E5072" s="52" t="s">
        <v>25</v>
      </c>
      <c r="F5072" s="52" t="s">
        <v>26</v>
      </c>
      <c r="G5072" s="54"/>
    </row>
    <row r="5073">
      <c r="A5073" s="49">
        <v>45074.19074142361</v>
      </c>
      <c r="B5073" s="50">
        <v>45074.3157078703</v>
      </c>
      <c r="C5073" s="51">
        <v>1.009</v>
      </c>
      <c r="D5073" s="51">
        <v>65.0</v>
      </c>
      <c r="E5073" s="52" t="s">
        <v>25</v>
      </c>
      <c r="F5073" s="52" t="s">
        <v>26</v>
      </c>
      <c r="G5073" s="54"/>
    </row>
    <row r="5074">
      <c r="A5074" s="49">
        <v>45074.2011571412</v>
      </c>
      <c r="B5074" s="50">
        <v>45074.3261288657</v>
      </c>
      <c r="C5074" s="51">
        <v>1.008</v>
      </c>
      <c r="D5074" s="51">
        <v>65.0</v>
      </c>
      <c r="E5074" s="52" t="s">
        <v>25</v>
      </c>
      <c r="F5074" s="52" t="s">
        <v>26</v>
      </c>
      <c r="G5074" s="54"/>
    </row>
    <row r="5075">
      <c r="A5075" s="49">
        <v>45074.21158451389</v>
      </c>
      <c r="B5075" s="50">
        <v>45074.3365605555</v>
      </c>
      <c r="C5075" s="51">
        <v>1.009</v>
      </c>
      <c r="D5075" s="51">
        <v>65.0</v>
      </c>
      <c r="E5075" s="52" t="s">
        <v>25</v>
      </c>
      <c r="F5075" s="52" t="s">
        <v>26</v>
      </c>
      <c r="G5075" s="54"/>
    </row>
    <row r="5076">
      <c r="A5076" s="49">
        <v>45074.22203412037</v>
      </c>
      <c r="B5076" s="50">
        <v>45074.3470047222</v>
      </c>
      <c r="C5076" s="51">
        <v>1.008</v>
      </c>
      <c r="D5076" s="51">
        <v>65.0</v>
      </c>
      <c r="E5076" s="52" t="s">
        <v>25</v>
      </c>
      <c r="F5076" s="52" t="s">
        <v>26</v>
      </c>
      <c r="G5076" s="54"/>
    </row>
    <row r="5077">
      <c r="A5077" s="49">
        <v>45074.23245321759</v>
      </c>
      <c r="B5077" s="50">
        <v>45074.3574254861</v>
      </c>
      <c r="C5077" s="51">
        <v>1.008</v>
      </c>
      <c r="D5077" s="51">
        <v>65.0</v>
      </c>
      <c r="E5077" s="52" t="s">
        <v>25</v>
      </c>
      <c r="F5077" s="52" t="s">
        <v>26</v>
      </c>
      <c r="G5077" s="54"/>
    </row>
    <row r="5078">
      <c r="A5078" s="49">
        <v>45074.24286722222</v>
      </c>
      <c r="B5078" s="50">
        <v>45074.3678462615</v>
      </c>
      <c r="C5078" s="51">
        <v>1.009</v>
      </c>
      <c r="D5078" s="51">
        <v>65.0</v>
      </c>
      <c r="E5078" s="52" t="s">
        <v>25</v>
      </c>
      <c r="F5078" s="52" t="s">
        <v>26</v>
      </c>
      <c r="G5078" s="54"/>
    </row>
    <row r="5079">
      <c r="A5079" s="49">
        <v>45074.25329206018</v>
      </c>
      <c r="B5079" s="50">
        <v>45074.3782678472</v>
      </c>
      <c r="C5079" s="51">
        <v>1.009</v>
      </c>
      <c r="D5079" s="51">
        <v>65.0</v>
      </c>
      <c r="E5079" s="52" t="s">
        <v>25</v>
      </c>
      <c r="F5079" s="52" t="s">
        <v>26</v>
      </c>
      <c r="G5079" s="54"/>
    </row>
    <row r="5080">
      <c r="A5080" s="49">
        <v>45074.26372565972</v>
      </c>
      <c r="B5080" s="50">
        <v>45074.3886983912</v>
      </c>
      <c r="C5080" s="51">
        <v>1.008</v>
      </c>
      <c r="D5080" s="51">
        <v>65.0</v>
      </c>
      <c r="E5080" s="52" t="s">
        <v>25</v>
      </c>
      <c r="F5080" s="52" t="s">
        <v>26</v>
      </c>
      <c r="G5080" s="54"/>
    </row>
    <row r="5081">
      <c r="A5081" s="49">
        <v>45074.27413715278</v>
      </c>
      <c r="B5081" s="50">
        <v>45074.3991184953</v>
      </c>
      <c r="C5081" s="51">
        <v>1.009</v>
      </c>
      <c r="D5081" s="51">
        <v>65.0</v>
      </c>
      <c r="E5081" s="52" t="s">
        <v>25</v>
      </c>
      <c r="F5081" s="52" t="s">
        <v>26</v>
      </c>
      <c r="G5081" s="54"/>
    </row>
    <row r="5082">
      <c r="A5082" s="49">
        <v>45074.28456681713</v>
      </c>
      <c r="B5082" s="50">
        <v>45074.4095411805</v>
      </c>
      <c r="C5082" s="51">
        <v>1.009</v>
      </c>
      <c r="D5082" s="51">
        <v>65.0</v>
      </c>
      <c r="E5082" s="52" t="s">
        <v>25</v>
      </c>
      <c r="F5082" s="52" t="s">
        <v>26</v>
      </c>
      <c r="G5082" s="54"/>
    </row>
    <row r="5083">
      <c r="A5083" s="49">
        <v>45074.29499394676</v>
      </c>
      <c r="B5083" s="50">
        <v>45074.419961331</v>
      </c>
      <c r="C5083" s="51">
        <v>1.009</v>
      </c>
      <c r="D5083" s="51">
        <v>65.0</v>
      </c>
      <c r="E5083" s="52" t="s">
        <v>25</v>
      </c>
      <c r="F5083" s="52" t="s">
        <v>26</v>
      </c>
      <c r="G5083" s="54"/>
    </row>
    <row r="5084">
      <c r="A5084" s="49">
        <v>45074.30542578704</v>
      </c>
      <c r="B5084" s="50">
        <v>45074.4304052662</v>
      </c>
      <c r="C5084" s="51">
        <v>1.009</v>
      </c>
      <c r="D5084" s="51">
        <v>65.0</v>
      </c>
      <c r="E5084" s="52" t="s">
        <v>25</v>
      </c>
      <c r="F5084" s="52" t="s">
        <v>26</v>
      </c>
      <c r="G5084" s="54"/>
    </row>
    <row r="5085">
      <c r="A5085" s="49">
        <v>45074.315857361114</v>
      </c>
      <c r="B5085" s="50">
        <v>45074.4408268865</v>
      </c>
      <c r="C5085" s="51">
        <v>1.009</v>
      </c>
      <c r="D5085" s="51">
        <v>65.0</v>
      </c>
      <c r="E5085" s="52" t="s">
        <v>25</v>
      </c>
      <c r="F5085" s="52" t="s">
        <v>26</v>
      </c>
      <c r="G5085" s="54"/>
    </row>
    <row r="5086">
      <c r="A5086" s="49">
        <v>45074.3262744213</v>
      </c>
      <c r="B5086" s="50">
        <v>45074.4512479976</v>
      </c>
      <c r="C5086" s="51">
        <v>1.009</v>
      </c>
      <c r="D5086" s="51">
        <v>65.0</v>
      </c>
      <c r="E5086" s="52" t="s">
        <v>25</v>
      </c>
      <c r="F5086" s="52" t="s">
        <v>26</v>
      </c>
      <c r="G5086" s="54"/>
    </row>
    <row r="5087">
      <c r="A5087" s="49">
        <v>45074.33670745371</v>
      </c>
      <c r="B5087" s="50">
        <v>45074.4616688078</v>
      </c>
      <c r="C5087" s="51">
        <v>1.009</v>
      </c>
      <c r="D5087" s="51">
        <v>65.0</v>
      </c>
      <c r="E5087" s="52" t="s">
        <v>25</v>
      </c>
      <c r="F5087" s="52" t="s">
        <v>26</v>
      </c>
      <c r="G5087" s="54"/>
    </row>
    <row r="5088">
      <c r="A5088" s="49">
        <v>45074.34713028935</v>
      </c>
      <c r="B5088" s="50">
        <v>45074.4721018518</v>
      </c>
      <c r="C5088" s="51">
        <v>1.009</v>
      </c>
      <c r="D5088" s="51">
        <v>65.0</v>
      </c>
      <c r="E5088" s="52" t="s">
        <v>25</v>
      </c>
      <c r="F5088" s="52" t="s">
        <v>26</v>
      </c>
      <c r="G5088" s="54"/>
    </row>
    <row r="5089">
      <c r="A5089" s="49">
        <v>45074.35754452547</v>
      </c>
      <c r="B5089" s="50">
        <v>45074.4825241666</v>
      </c>
      <c r="C5089" s="51">
        <v>1.009</v>
      </c>
      <c r="D5089" s="51">
        <v>65.0</v>
      </c>
      <c r="E5089" s="52" t="s">
        <v>25</v>
      </c>
      <c r="F5089" s="52" t="s">
        <v>26</v>
      </c>
      <c r="G5089" s="54"/>
    </row>
    <row r="5090">
      <c r="A5090" s="49">
        <v>45074.36796511574</v>
      </c>
      <c r="B5090" s="50">
        <v>45074.4929462847</v>
      </c>
      <c r="C5090" s="51">
        <v>1.008</v>
      </c>
      <c r="D5090" s="51">
        <v>65.0</v>
      </c>
      <c r="E5090" s="52" t="s">
        <v>25</v>
      </c>
      <c r="F5090" s="52" t="s">
        <v>26</v>
      </c>
      <c r="G5090" s="54"/>
    </row>
    <row r="5091">
      <c r="A5091" s="49">
        <v>45074.37840702546</v>
      </c>
      <c r="B5091" s="50">
        <v>45074.5033781597</v>
      </c>
      <c r="C5091" s="51">
        <v>1.009</v>
      </c>
      <c r="D5091" s="51">
        <v>65.0</v>
      </c>
      <c r="E5091" s="52" t="s">
        <v>25</v>
      </c>
      <c r="F5091" s="52" t="s">
        <v>26</v>
      </c>
      <c r="G5091" s="54"/>
    </row>
    <row r="5092">
      <c r="A5092" s="49">
        <v>45074.38883278935</v>
      </c>
      <c r="B5092" s="50">
        <v>45074.5137979166</v>
      </c>
      <c r="C5092" s="51">
        <v>1.008</v>
      </c>
      <c r="D5092" s="51">
        <v>65.0</v>
      </c>
      <c r="E5092" s="52" t="s">
        <v>25</v>
      </c>
      <c r="F5092" s="52" t="s">
        <v>26</v>
      </c>
      <c r="G5092" s="54"/>
    </row>
    <row r="5093">
      <c r="A5093" s="49">
        <v>45074.399246643516</v>
      </c>
      <c r="B5093" s="50">
        <v>45074.5242185416</v>
      </c>
      <c r="C5093" s="51">
        <v>1.008</v>
      </c>
      <c r="D5093" s="51">
        <v>65.0</v>
      </c>
      <c r="E5093" s="52" t="s">
        <v>25</v>
      </c>
      <c r="F5093" s="52" t="s">
        <v>26</v>
      </c>
      <c r="G5093" s="54"/>
    </row>
    <row r="5094">
      <c r="A5094" s="49">
        <v>45074.409670127316</v>
      </c>
      <c r="B5094" s="50">
        <v>45074.5346424074</v>
      </c>
      <c r="C5094" s="51">
        <v>1.008</v>
      </c>
      <c r="D5094" s="51">
        <v>65.0</v>
      </c>
      <c r="E5094" s="52" t="s">
        <v>25</v>
      </c>
      <c r="F5094" s="52" t="s">
        <v>26</v>
      </c>
      <c r="G5094" s="54"/>
    </row>
    <row r="5095">
      <c r="A5095" s="49">
        <v>45074.42009</v>
      </c>
      <c r="B5095" s="50">
        <v>45074.5450632754</v>
      </c>
      <c r="C5095" s="51">
        <v>1.008</v>
      </c>
      <c r="D5095" s="51">
        <v>65.0</v>
      </c>
      <c r="E5095" s="52" t="s">
        <v>25</v>
      </c>
      <c r="F5095" s="52" t="s">
        <v>26</v>
      </c>
      <c r="G5095" s="54"/>
    </row>
    <row r="5096">
      <c r="A5096" s="49">
        <v>45074.4305307176</v>
      </c>
      <c r="B5096" s="50">
        <v>45074.5554838425</v>
      </c>
      <c r="C5096" s="51">
        <v>1.009</v>
      </c>
      <c r="D5096" s="51">
        <v>65.0</v>
      </c>
      <c r="E5096" s="52" t="s">
        <v>25</v>
      </c>
      <c r="F5096" s="52" t="s">
        <v>26</v>
      </c>
      <c r="G5096" s="54"/>
    </row>
    <row r="5097">
      <c r="A5097" s="49">
        <v>45074.440943124995</v>
      </c>
      <c r="B5097" s="50">
        <v>45074.5659161342</v>
      </c>
      <c r="C5097" s="51">
        <v>1.009</v>
      </c>
      <c r="D5097" s="51">
        <v>65.0</v>
      </c>
      <c r="E5097" s="52" t="s">
        <v>25</v>
      </c>
      <c r="F5097" s="52" t="s">
        <v>26</v>
      </c>
      <c r="G5097" s="54"/>
    </row>
    <row r="5098">
      <c r="A5098" s="49">
        <v>45074.451360439816</v>
      </c>
      <c r="B5098" s="50">
        <v>45074.576334537</v>
      </c>
      <c r="C5098" s="51">
        <v>1.008</v>
      </c>
      <c r="D5098" s="51">
        <v>65.0</v>
      </c>
      <c r="E5098" s="52" t="s">
        <v>25</v>
      </c>
      <c r="F5098" s="52" t="s">
        <v>26</v>
      </c>
      <c r="G5098" s="54"/>
    </row>
    <row r="5099">
      <c r="A5099" s="49">
        <v>45074.46178760417</v>
      </c>
      <c r="B5099" s="50">
        <v>45074.586755787</v>
      </c>
      <c r="C5099" s="51">
        <v>1.009</v>
      </c>
      <c r="D5099" s="51">
        <v>65.0</v>
      </c>
      <c r="E5099" s="52" t="s">
        <v>25</v>
      </c>
      <c r="F5099" s="52" t="s">
        <v>26</v>
      </c>
      <c r="G5099" s="54"/>
    </row>
    <row r="5100">
      <c r="A5100" s="49">
        <v>45074.47219512731</v>
      </c>
      <c r="B5100" s="50">
        <v>45074.5971779513</v>
      </c>
      <c r="C5100" s="51">
        <v>1.009</v>
      </c>
      <c r="D5100" s="51">
        <v>65.0</v>
      </c>
      <c r="E5100" s="52" t="s">
        <v>25</v>
      </c>
      <c r="F5100" s="52" t="s">
        <v>26</v>
      </c>
      <c r="G5100" s="54"/>
    </row>
    <row r="5101">
      <c r="A5101" s="49">
        <v>45074.48263013889</v>
      </c>
      <c r="B5101" s="50">
        <v>45074.6075992361</v>
      </c>
      <c r="C5101" s="51">
        <v>1.008</v>
      </c>
      <c r="D5101" s="51">
        <v>65.0</v>
      </c>
      <c r="E5101" s="52" t="s">
        <v>25</v>
      </c>
      <c r="F5101" s="52" t="s">
        <v>26</v>
      </c>
      <c r="G5101" s="54"/>
    </row>
    <row r="5102">
      <c r="A5102" s="49">
        <v>45074.49303799769</v>
      </c>
      <c r="B5102" s="50">
        <v>45074.6180191666</v>
      </c>
      <c r="C5102" s="51">
        <v>1.009</v>
      </c>
      <c r="D5102" s="51">
        <v>65.0</v>
      </c>
      <c r="E5102" s="52" t="s">
        <v>25</v>
      </c>
      <c r="F5102" s="52" t="s">
        <v>26</v>
      </c>
      <c r="G5102" s="54"/>
    </row>
    <row r="5103">
      <c r="A5103" s="49">
        <v>45074.50346177083</v>
      </c>
      <c r="B5103" s="50">
        <v>45074.628443206</v>
      </c>
      <c r="C5103" s="51">
        <v>1.008</v>
      </c>
      <c r="D5103" s="51">
        <v>65.0</v>
      </c>
      <c r="E5103" s="52" t="s">
        <v>25</v>
      </c>
      <c r="F5103" s="52" t="s">
        <v>26</v>
      </c>
      <c r="G5103" s="54"/>
    </row>
    <row r="5104">
      <c r="A5104" s="49">
        <v>45074.513886932866</v>
      </c>
      <c r="B5104" s="50">
        <v>45074.6388652199</v>
      </c>
      <c r="C5104" s="51">
        <v>1.008</v>
      </c>
      <c r="D5104" s="51">
        <v>65.0</v>
      </c>
      <c r="E5104" s="52" t="s">
        <v>25</v>
      </c>
      <c r="F5104" s="52" t="s">
        <v>26</v>
      </c>
      <c r="G5104" s="54"/>
    </row>
    <row r="5105">
      <c r="A5105" s="49">
        <v>45074.52432108796</v>
      </c>
      <c r="B5105" s="50">
        <v>45074.6492866782</v>
      </c>
      <c r="C5105" s="51">
        <v>1.008</v>
      </c>
      <c r="D5105" s="51">
        <v>65.0</v>
      </c>
      <c r="E5105" s="52" t="s">
        <v>25</v>
      </c>
      <c r="F5105" s="52" t="s">
        <v>26</v>
      </c>
      <c r="G5105" s="54"/>
    </row>
    <row r="5106">
      <c r="A5106" s="49">
        <v>45074.53473783565</v>
      </c>
      <c r="B5106" s="50">
        <v>45074.6597073726</v>
      </c>
      <c r="C5106" s="51">
        <v>1.008</v>
      </c>
      <c r="D5106" s="51">
        <v>65.0</v>
      </c>
      <c r="E5106" s="52" t="s">
        <v>25</v>
      </c>
      <c r="F5106" s="52" t="s">
        <v>26</v>
      </c>
      <c r="G5106" s="54"/>
    </row>
    <row r="5107">
      <c r="A5107" s="49">
        <v>45074.54516605324</v>
      </c>
      <c r="B5107" s="50">
        <v>45074.6701393634</v>
      </c>
      <c r="C5107" s="51">
        <v>1.009</v>
      </c>
      <c r="D5107" s="51">
        <v>65.0</v>
      </c>
      <c r="E5107" s="52" t="s">
        <v>25</v>
      </c>
      <c r="F5107" s="52" t="s">
        <v>26</v>
      </c>
      <c r="G5107" s="54"/>
    </row>
    <row r="5108">
      <c r="A5108" s="49">
        <v>45074.55559148148</v>
      </c>
      <c r="B5108" s="50">
        <v>45074.680560787</v>
      </c>
      <c r="C5108" s="51">
        <v>1.009</v>
      </c>
      <c r="D5108" s="51">
        <v>65.0</v>
      </c>
      <c r="E5108" s="52" t="s">
        <v>25</v>
      </c>
      <c r="F5108" s="52" t="s">
        <v>26</v>
      </c>
      <c r="G5108" s="54"/>
    </row>
    <row r="5109">
      <c r="A5109" s="49">
        <v>45074.57642386574</v>
      </c>
      <c r="B5109" s="50">
        <v>45074.7014048263</v>
      </c>
      <c r="C5109" s="51">
        <v>1.009</v>
      </c>
      <c r="D5109" s="51">
        <v>65.0</v>
      </c>
      <c r="E5109" s="52" t="s">
        <v>25</v>
      </c>
      <c r="F5109" s="52" t="s">
        <v>26</v>
      </c>
      <c r="G5109" s="54"/>
    </row>
    <row r="5110">
      <c r="A5110" s="49">
        <v>45074.586856793976</v>
      </c>
      <c r="B5110" s="50">
        <v>45074.7118270833</v>
      </c>
      <c r="C5110" s="51">
        <v>1.008</v>
      </c>
      <c r="D5110" s="51">
        <v>65.0</v>
      </c>
      <c r="E5110" s="52" t="s">
        <v>25</v>
      </c>
      <c r="F5110" s="52" t="s">
        <v>26</v>
      </c>
      <c r="G5110" s="54"/>
    </row>
    <row r="5111">
      <c r="A5111" s="49">
        <v>45074.59727164352</v>
      </c>
      <c r="B5111" s="50">
        <v>45074.7222480555</v>
      </c>
      <c r="C5111" s="51">
        <v>1.009</v>
      </c>
      <c r="D5111" s="51">
        <v>65.0</v>
      </c>
      <c r="E5111" s="52" t="s">
        <v>25</v>
      </c>
      <c r="F5111" s="52" t="s">
        <v>26</v>
      </c>
      <c r="G5111" s="54"/>
    </row>
    <row r="5112">
      <c r="A5112" s="49">
        <v>45074.607747372684</v>
      </c>
      <c r="B5112" s="50">
        <v>45074.7326692361</v>
      </c>
      <c r="C5112" s="51">
        <v>1.008</v>
      </c>
      <c r="D5112" s="51">
        <v>65.0</v>
      </c>
      <c r="E5112" s="52" t="s">
        <v>25</v>
      </c>
      <c r="F5112" s="52" t="s">
        <v>26</v>
      </c>
      <c r="G5112" s="54"/>
    </row>
    <row r="5113">
      <c r="A5113" s="49">
        <v>45074.618140729166</v>
      </c>
      <c r="B5113" s="50">
        <v>45074.7431147106</v>
      </c>
      <c r="C5113" s="51">
        <v>1.008</v>
      </c>
      <c r="D5113" s="51">
        <v>65.0</v>
      </c>
      <c r="E5113" s="52" t="s">
        <v>25</v>
      </c>
      <c r="F5113" s="52" t="s">
        <v>26</v>
      </c>
      <c r="G5113" s="54"/>
    </row>
    <row r="5114">
      <c r="A5114" s="49">
        <v>45074.62858655093</v>
      </c>
      <c r="B5114" s="50">
        <v>45074.7535475463</v>
      </c>
      <c r="C5114" s="51">
        <v>1.009</v>
      </c>
      <c r="D5114" s="51">
        <v>65.0</v>
      </c>
      <c r="E5114" s="52" t="s">
        <v>25</v>
      </c>
      <c r="F5114" s="52" t="s">
        <v>26</v>
      </c>
      <c r="G5114" s="54"/>
    </row>
    <row r="5115">
      <c r="A5115" s="49">
        <v>45074.63899765046</v>
      </c>
      <c r="B5115" s="50">
        <v>45074.7639688541</v>
      </c>
      <c r="C5115" s="51">
        <v>1.008</v>
      </c>
      <c r="D5115" s="51">
        <v>65.0</v>
      </c>
      <c r="E5115" s="52" t="s">
        <v>25</v>
      </c>
      <c r="F5115" s="52" t="s">
        <v>26</v>
      </c>
      <c r="G5115" s="54"/>
    </row>
    <row r="5116">
      <c r="A5116" s="49">
        <v>45074.649433796294</v>
      </c>
      <c r="B5116" s="50">
        <v>45074.7744006828</v>
      </c>
      <c r="C5116" s="51">
        <v>1.008</v>
      </c>
      <c r="D5116" s="51">
        <v>65.0</v>
      </c>
      <c r="E5116" s="52" t="s">
        <v>25</v>
      </c>
      <c r="F5116" s="52" t="s">
        <v>26</v>
      </c>
      <c r="G5116" s="54"/>
    </row>
    <row r="5117">
      <c r="A5117" s="49">
        <v>45074.65985532408</v>
      </c>
      <c r="B5117" s="50">
        <v>45074.7848227199</v>
      </c>
      <c r="C5117" s="51">
        <v>1.008</v>
      </c>
      <c r="D5117" s="51">
        <v>65.0</v>
      </c>
      <c r="E5117" s="52" t="s">
        <v>25</v>
      </c>
      <c r="F5117" s="52" t="s">
        <v>26</v>
      </c>
      <c r="G5117" s="54"/>
    </row>
    <row r="5118">
      <c r="A5118" s="49">
        <v>45074.670267291665</v>
      </c>
      <c r="B5118" s="50">
        <v>45074.7952443055</v>
      </c>
      <c r="C5118" s="51">
        <v>1.009</v>
      </c>
      <c r="D5118" s="51">
        <v>65.0</v>
      </c>
      <c r="E5118" s="52" t="s">
        <v>25</v>
      </c>
      <c r="F5118" s="52" t="s">
        <v>26</v>
      </c>
      <c r="G5118" s="54"/>
    </row>
    <row r="5119">
      <c r="A5119" s="49">
        <v>45074.68071017361</v>
      </c>
      <c r="B5119" s="50">
        <v>45074.8056774884</v>
      </c>
      <c r="C5119" s="51">
        <v>1.008</v>
      </c>
      <c r="D5119" s="51">
        <v>65.0</v>
      </c>
      <c r="E5119" s="52" t="s">
        <v>25</v>
      </c>
      <c r="F5119" s="52" t="s">
        <v>26</v>
      </c>
      <c r="G5119" s="54"/>
    </row>
    <row r="5120">
      <c r="A5120" s="49">
        <v>45074.69113795139</v>
      </c>
      <c r="B5120" s="50">
        <v>45074.8161102083</v>
      </c>
      <c r="C5120" s="51">
        <v>1.008</v>
      </c>
      <c r="D5120" s="51">
        <v>65.0</v>
      </c>
      <c r="E5120" s="52" t="s">
        <v>25</v>
      </c>
      <c r="F5120" s="52" t="s">
        <v>26</v>
      </c>
      <c r="G5120" s="54"/>
    </row>
    <row r="5121">
      <c r="A5121" s="49">
        <v>45074.70156648148</v>
      </c>
      <c r="B5121" s="50">
        <v>45074.8265330324</v>
      </c>
      <c r="C5121" s="51">
        <v>1.008</v>
      </c>
      <c r="D5121" s="51">
        <v>65.0</v>
      </c>
      <c r="E5121" s="52" t="s">
        <v>25</v>
      </c>
      <c r="F5121" s="52" t="s">
        <v>26</v>
      </c>
      <c r="G5121" s="54"/>
    </row>
    <row r="5122">
      <c r="A5122" s="49">
        <v>45074.7119991088</v>
      </c>
      <c r="B5122" s="50">
        <v>45074.8369655439</v>
      </c>
      <c r="C5122" s="51">
        <v>1.008</v>
      </c>
      <c r="D5122" s="51">
        <v>65.0</v>
      </c>
      <c r="E5122" s="52" t="s">
        <v>25</v>
      </c>
      <c r="F5122" s="52" t="s">
        <v>26</v>
      </c>
      <c r="G5122" s="54"/>
    </row>
    <row r="5123">
      <c r="A5123" s="49">
        <v>45074.72242751157</v>
      </c>
      <c r="B5123" s="50">
        <v>45074.8473983449</v>
      </c>
      <c r="C5123" s="51">
        <v>1.008</v>
      </c>
      <c r="D5123" s="51">
        <v>65.0</v>
      </c>
      <c r="E5123" s="52" t="s">
        <v>25</v>
      </c>
      <c r="F5123" s="52" t="s">
        <v>26</v>
      </c>
      <c r="G5123" s="54"/>
    </row>
    <row r="5124">
      <c r="A5124" s="49">
        <v>45074.73284456019</v>
      </c>
      <c r="B5124" s="50">
        <v>45074.857818368</v>
      </c>
      <c r="C5124" s="51">
        <v>1.008</v>
      </c>
      <c r="D5124" s="51">
        <v>65.0</v>
      </c>
      <c r="E5124" s="52" t="s">
        <v>25</v>
      </c>
      <c r="F5124" s="52" t="s">
        <v>26</v>
      </c>
      <c r="G5124" s="54"/>
    </row>
    <row r="5125">
      <c r="A5125" s="49">
        <v>45074.743281076386</v>
      </c>
      <c r="B5125" s="50">
        <v>45074.8682627662</v>
      </c>
      <c r="C5125" s="51">
        <v>1.008</v>
      </c>
      <c r="D5125" s="51">
        <v>65.0</v>
      </c>
      <c r="E5125" s="52" t="s">
        <v>25</v>
      </c>
      <c r="F5125" s="52" t="s">
        <v>26</v>
      </c>
      <c r="G5125" s="54"/>
    </row>
    <row r="5126">
      <c r="A5126" s="49">
        <v>45074.75372113426</v>
      </c>
      <c r="B5126" s="50">
        <v>45074.8786971064</v>
      </c>
      <c r="C5126" s="51">
        <v>1.008</v>
      </c>
      <c r="D5126" s="51">
        <v>65.0</v>
      </c>
      <c r="E5126" s="52" t="s">
        <v>25</v>
      </c>
      <c r="F5126" s="52" t="s">
        <v>26</v>
      </c>
      <c r="G5126" s="54"/>
    </row>
    <row r="5127">
      <c r="A5127" s="49">
        <v>45074.76422880787</v>
      </c>
      <c r="B5127" s="50">
        <v>45074.8891429629</v>
      </c>
      <c r="C5127" s="51">
        <v>1.008</v>
      </c>
      <c r="D5127" s="51">
        <v>65.0</v>
      </c>
      <c r="E5127" s="52" t="s">
        <v>25</v>
      </c>
      <c r="F5127" s="52" t="s">
        <v>26</v>
      </c>
      <c r="G5127" s="54"/>
    </row>
    <row r="5128">
      <c r="A5128" s="49">
        <v>45074.77459053241</v>
      </c>
      <c r="B5128" s="50">
        <v>45074.8995632291</v>
      </c>
      <c r="C5128" s="51">
        <v>1.008</v>
      </c>
      <c r="D5128" s="51">
        <v>65.0</v>
      </c>
      <c r="E5128" s="52" t="s">
        <v>25</v>
      </c>
      <c r="F5128" s="52" t="s">
        <v>26</v>
      </c>
      <c r="G5128" s="54"/>
    </row>
    <row r="5129">
      <c r="A5129" s="49">
        <v>45074.78501314815</v>
      </c>
      <c r="B5129" s="50">
        <v>45074.9099956828</v>
      </c>
      <c r="C5129" s="51">
        <v>1.008</v>
      </c>
      <c r="D5129" s="51">
        <v>65.0</v>
      </c>
      <c r="E5129" s="52" t="s">
        <v>25</v>
      </c>
      <c r="F5129" s="52" t="s">
        <v>26</v>
      </c>
      <c r="G5129" s="54"/>
    </row>
    <row r="5130">
      <c r="A5130" s="49">
        <v>45074.795443738425</v>
      </c>
      <c r="B5130" s="50">
        <v>45074.9204194097</v>
      </c>
      <c r="C5130" s="51">
        <v>1.008</v>
      </c>
      <c r="D5130" s="51">
        <v>65.0</v>
      </c>
      <c r="E5130" s="52" t="s">
        <v>25</v>
      </c>
      <c r="F5130" s="52" t="s">
        <v>26</v>
      </c>
      <c r="G5130" s="54"/>
    </row>
    <row r="5131">
      <c r="A5131" s="49">
        <v>45074.80587074074</v>
      </c>
      <c r="B5131" s="50">
        <v>45074.9308415162</v>
      </c>
      <c r="C5131" s="51">
        <v>1.008</v>
      </c>
      <c r="D5131" s="51">
        <v>65.0</v>
      </c>
      <c r="E5131" s="52" t="s">
        <v>25</v>
      </c>
      <c r="F5131" s="52" t="s">
        <v>26</v>
      </c>
      <c r="G5131" s="54"/>
    </row>
    <row r="5132">
      <c r="A5132" s="49">
        <v>45074.81630334491</v>
      </c>
      <c r="B5132" s="50">
        <v>45074.9412753472</v>
      </c>
      <c r="C5132" s="51">
        <v>1.008</v>
      </c>
      <c r="D5132" s="51">
        <v>65.0</v>
      </c>
      <c r="E5132" s="52" t="s">
        <v>25</v>
      </c>
      <c r="F5132" s="52" t="s">
        <v>26</v>
      </c>
      <c r="G5132" s="54"/>
    </row>
    <row r="5133">
      <c r="A5133" s="49">
        <v>45074.82671335648</v>
      </c>
      <c r="B5133" s="50">
        <v>45074.9516955324</v>
      </c>
      <c r="C5133" s="51">
        <v>1.009</v>
      </c>
      <c r="D5133" s="51">
        <v>65.0</v>
      </c>
      <c r="E5133" s="52" t="s">
        <v>25</v>
      </c>
      <c r="F5133" s="52" t="s">
        <v>26</v>
      </c>
      <c r="G5133" s="54"/>
    </row>
    <row r="5134">
      <c r="A5134" s="49">
        <v>45074.83714137731</v>
      </c>
      <c r="B5134" s="50">
        <v>45074.9621145949</v>
      </c>
      <c r="C5134" s="51">
        <v>1.008</v>
      </c>
      <c r="D5134" s="51">
        <v>65.0</v>
      </c>
      <c r="E5134" s="52" t="s">
        <v>25</v>
      </c>
      <c r="F5134" s="52" t="s">
        <v>26</v>
      </c>
      <c r="G5134" s="54"/>
    </row>
    <row r="5135">
      <c r="A5135" s="49">
        <v>45074.84755730324</v>
      </c>
      <c r="B5135" s="50">
        <v>45074.9725353472</v>
      </c>
      <c r="C5135" s="51">
        <v>1.008</v>
      </c>
      <c r="D5135" s="51">
        <v>65.0</v>
      </c>
      <c r="E5135" s="52" t="s">
        <v>25</v>
      </c>
      <c r="F5135" s="52" t="s">
        <v>26</v>
      </c>
      <c r="G5135" s="54"/>
    </row>
    <row r="5136">
      <c r="A5136" s="49">
        <v>45074.85798181713</v>
      </c>
      <c r="B5136" s="50">
        <v>45074.9829552199</v>
      </c>
      <c r="C5136" s="51">
        <v>1.008</v>
      </c>
      <c r="D5136" s="51">
        <v>65.0</v>
      </c>
      <c r="E5136" s="52" t="s">
        <v>25</v>
      </c>
      <c r="F5136" s="52" t="s">
        <v>26</v>
      </c>
      <c r="G5136" s="54"/>
    </row>
    <row r="5137">
      <c r="A5137" s="49">
        <v>45074.86840665509</v>
      </c>
      <c r="B5137" s="50">
        <v>45074.9933870254</v>
      </c>
      <c r="C5137" s="51">
        <v>1.008</v>
      </c>
      <c r="D5137" s="51">
        <v>65.0</v>
      </c>
      <c r="E5137" s="52" t="s">
        <v>25</v>
      </c>
      <c r="F5137" s="52" t="s">
        <v>26</v>
      </c>
      <c r="G5137" s="54"/>
    </row>
    <row r="5138">
      <c r="A5138" s="49">
        <v>45074.87883258102</v>
      </c>
      <c r="B5138" s="50">
        <v>45075.0038081018</v>
      </c>
      <c r="C5138" s="51">
        <v>1.008</v>
      </c>
      <c r="D5138" s="51">
        <v>65.0</v>
      </c>
      <c r="E5138" s="52" t="s">
        <v>25</v>
      </c>
      <c r="F5138" s="52" t="s">
        <v>26</v>
      </c>
      <c r="G5138" s="54"/>
    </row>
    <row r="5139">
      <c r="A5139" s="49">
        <v>45074.889273125</v>
      </c>
      <c r="B5139" s="50">
        <v>45075.0142524537</v>
      </c>
      <c r="C5139" s="51">
        <v>1.008</v>
      </c>
      <c r="D5139" s="51">
        <v>65.0</v>
      </c>
      <c r="E5139" s="52" t="s">
        <v>25</v>
      </c>
      <c r="F5139" s="52" t="s">
        <v>26</v>
      </c>
      <c r="G5139" s="54"/>
    </row>
    <row r="5140">
      <c r="A5140" s="49">
        <v>45074.899713425926</v>
      </c>
      <c r="B5140" s="50">
        <v>45075.0246845601</v>
      </c>
      <c r="C5140" s="51">
        <v>1.008</v>
      </c>
      <c r="D5140" s="51">
        <v>65.0</v>
      </c>
      <c r="E5140" s="52" t="s">
        <v>25</v>
      </c>
      <c r="F5140" s="52" t="s">
        <v>26</v>
      </c>
      <c r="G5140" s="54"/>
    </row>
    <row r="5141">
      <c r="A5141" s="49">
        <v>45074.91014140046</v>
      </c>
      <c r="B5141" s="50">
        <v>45075.0351183333</v>
      </c>
      <c r="C5141" s="51">
        <v>1.008</v>
      </c>
      <c r="D5141" s="51">
        <v>65.0</v>
      </c>
      <c r="E5141" s="52" t="s">
        <v>25</v>
      </c>
      <c r="F5141" s="52" t="s">
        <v>26</v>
      </c>
      <c r="G5141" s="54"/>
    </row>
    <row r="5142">
      <c r="A5142" s="49">
        <v>45074.920558287035</v>
      </c>
      <c r="B5142" s="50">
        <v>45075.0455394213</v>
      </c>
      <c r="C5142" s="51">
        <v>1.008</v>
      </c>
      <c r="D5142" s="51">
        <v>65.0</v>
      </c>
      <c r="E5142" s="52" t="s">
        <v>25</v>
      </c>
      <c r="F5142" s="52" t="s">
        <v>26</v>
      </c>
      <c r="G5142" s="54"/>
    </row>
    <row r="5143">
      <c r="A5143" s="49">
        <v>45074.931012870366</v>
      </c>
      <c r="B5143" s="50">
        <v>45075.0559833564</v>
      </c>
      <c r="C5143" s="51">
        <v>1.008</v>
      </c>
      <c r="D5143" s="51">
        <v>65.0</v>
      </c>
      <c r="E5143" s="52" t="s">
        <v>25</v>
      </c>
      <c r="F5143" s="52" t="s">
        <v>26</v>
      </c>
      <c r="G5143" s="54"/>
    </row>
    <row r="5144">
      <c r="A5144" s="49">
        <v>45074.941429074075</v>
      </c>
      <c r="B5144" s="50">
        <v>45075.0664039814</v>
      </c>
      <c r="C5144" s="51">
        <v>1.008</v>
      </c>
      <c r="D5144" s="51">
        <v>65.0</v>
      </c>
      <c r="E5144" s="52" t="s">
        <v>25</v>
      </c>
      <c r="F5144" s="52" t="s">
        <v>26</v>
      </c>
      <c r="G5144" s="54"/>
    </row>
    <row r="5145">
      <c r="A5145" s="49">
        <v>45074.95185197917</v>
      </c>
      <c r="B5145" s="50">
        <v>45075.0768247569</v>
      </c>
      <c r="C5145" s="51">
        <v>1.008</v>
      </c>
      <c r="D5145" s="51">
        <v>65.0</v>
      </c>
      <c r="E5145" s="52" t="s">
        <v>25</v>
      </c>
      <c r="F5145" s="52" t="s">
        <v>26</v>
      </c>
      <c r="G5145" s="54"/>
    </row>
    <row r="5146">
      <c r="A5146" s="49">
        <v>45074.96227186343</v>
      </c>
      <c r="B5146" s="50">
        <v>45075.0872450231</v>
      </c>
      <c r="C5146" s="51">
        <v>1.008</v>
      </c>
      <c r="D5146" s="51">
        <v>65.0</v>
      </c>
      <c r="E5146" s="52" t="s">
        <v>25</v>
      </c>
      <c r="F5146" s="52" t="s">
        <v>26</v>
      </c>
      <c r="G5146" s="54"/>
    </row>
    <row r="5147">
      <c r="A5147" s="49">
        <v>45074.97269591435</v>
      </c>
      <c r="B5147" s="50">
        <v>45075.0976673495</v>
      </c>
      <c r="C5147" s="51">
        <v>1.008</v>
      </c>
      <c r="D5147" s="51">
        <v>65.0</v>
      </c>
      <c r="E5147" s="52" t="s">
        <v>25</v>
      </c>
      <c r="F5147" s="52" t="s">
        <v>26</v>
      </c>
      <c r="G5147" s="54"/>
    </row>
    <row r="5148">
      <c r="A5148" s="49">
        <v>45074.983121944446</v>
      </c>
      <c r="B5148" s="50">
        <v>45075.1080999074</v>
      </c>
      <c r="C5148" s="51">
        <v>1.008</v>
      </c>
      <c r="D5148" s="51">
        <v>65.0</v>
      </c>
      <c r="E5148" s="52" t="s">
        <v>25</v>
      </c>
      <c r="F5148" s="52" t="s">
        <v>26</v>
      </c>
      <c r="G5148" s="54"/>
    </row>
    <row r="5149">
      <c r="A5149" s="49">
        <v>45074.993542337965</v>
      </c>
      <c r="B5149" s="50">
        <v>45075.1185209722</v>
      </c>
      <c r="C5149" s="51">
        <v>1.008</v>
      </c>
      <c r="D5149" s="51">
        <v>65.0</v>
      </c>
      <c r="E5149" s="52" t="s">
        <v>25</v>
      </c>
      <c r="F5149" s="52" t="s">
        <v>26</v>
      </c>
      <c r="G5149" s="54"/>
    </row>
    <row r="5150">
      <c r="A5150" s="49">
        <v>45075.003967384255</v>
      </c>
      <c r="B5150" s="50">
        <v>45075.1289426736</v>
      </c>
      <c r="C5150" s="51">
        <v>1.008</v>
      </c>
      <c r="D5150" s="51">
        <v>65.0</v>
      </c>
      <c r="E5150" s="52" t="s">
        <v>25</v>
      </c>
      <c r="F5150" s="52" t="s">
        <v>26</v>
      </c>
      <c r="G5150" s="54"/>
    </row>
    <row r="5151">
      <c r="A5151" s="49">
        <v>45075.01438670139</v>
      </c>
      <c r="B5151" s="50">
        <v>45075.1393659375</v>
      </c>
      <c r="C5151" s="51">
        <v>1.008</v>
      </c>
      <c r="D5151" s="51">
        <v>65.0</v>
      </c>
      <c r="E5151" s="52" t="s">
        <v>25</v>
      </c>
      <c r="F5151" s="52" t="s">
        <v>26</v>
      </c>
      <c r="G5151" s="54"/>
    </row>
    <row r="5152">
      <c r="A5152" s="49">
        <v>45075.02481295139</v>
      </c>
      <c r="B5152" s="50">
        <v>45075.1497861805</v>
      </c>
      <c r="C5152" s="51">
        <v>1.008</v>
      </c>
      <c r="D5152" s="51">
        <v>65.0</v>
      </c>
      <c r="E5152" s="52" t="s">
        <v>25</v>
      </c>
      <c r="F5152" s="52" t="s">
        <v>26</v>
      </c>
      <c r="G5152" s="54"/>
    </row>
    <row r="5153">
      <c r="A5153" s="49">
        <v>45075.035232442126</v>
      </c>
      <c r="B5153" s="50">
        <v>45075.1602078472</v>
      </c>
      <c r="C5153" s="51">
        <v>1.008</v>
      </c>
      <c r="D5153" s="51">
        <v>65.0</v>
      </c>
      <c r="E5153" s="52" t="s">
        <v>25</v>
      </c>
      <c r="F5153" s="52" t="s">
        <v>26</v>
      </c>
      <c r="G5153" s="54"/>
    </row>
    <row r="5154">
      <c r="A5154" s="49">
        <v>45075.045684895835</v>
      </c>
      <c r="B5154" s="50">
        <v>45075.1706517013</v>
      </c>
      <c r="C5154" s="51">
        <v>1.008</v>
      </c>
      <c r="D5154" s="51">
        <v>65.0</v>
      </c>
      <c r="E5154" s="52" t="s">
        <v>25</v>
      </c>
      <c r="F5154" s="52" t="s">
        <v>26</v>
      </c>
      <c r="G5154" s="54"/>
    </row>
    <row r="5155">
      <c r="A5155" s="49">
        <v>45075.05609733796</v>
      </c>
      <c r="B5155" s="50">
        <v>45075.1810726388</v>
      </c>
      <c r="C5155" s="51">
        <v>1.008</v>
      </c>
      <c r="D5155" s="51">
        <v>65.0</v>
      </c>
      <c r="E5155" s="52" t="s">
        <v>25</v>
      </c>
      <c r="F5155" s="52" t="s">
        <v>26</v>
      </c>
      <c r="G5155" s="54"/>
    </row>
    <row r="5156">
      <c r="A5156" s="49">
        <v>45075.066521886576</v>
      </c>
      <c r="B5156" s="50">
        <v>45075.1914949537</v>
      </c>
      <c r="C5156" s="51">
        <v>1.008</v>
      </c>
      <c r="D5156" s="51">
        <v>65.0</v>
      </c>
      <c r="E5156" s="52" t="s">
        <v>25</v>
      </c>
      <c r="F5156" s="52" t="s">
        <v>26</v>
      </c>
      <c r="G5156" s="54"/>
    </row>
    <row r="5157">
      <c r="A5157" s="49">
        <v>45075.076941736115</v>
      </c>
      <c r="B5157" s="50">
        <v>45075.2019153472</v>
      </c>
      <c r="C5157" s="51">
        <v>1.008</v>
      </c>
      <c r="D5157" s="51">
        <v>65.0</v>
      </c>
      <c r="E5157" s="52" t="s">
        <v>25</v>
      </c>
      <c r="F5157" s="52" t="s">
        <v>26</v>
      </c>
      <c r="G5157" s="54"/>
    </row>
    <row r="5158">
      <c r="A5158" s="49">
        <v>45075.087377696764</v>
      </c>
      <c r="B5158" s="50">
        <v>45075.2123593171</v>
      </c>
      <c r="C5158" s="51">
        <v>1.008</v>
      </c>
      <c r="D5158" s="51">
        <v>65.0</v>
      </c>
      <c r="E5158" s="52" t="s">
        <v>25</v>
      </c>
      <c r="F5158" s="52" t="s">
        <v>26</v>
      </c>
      <c r="G5158" s="54"/>
    </row>
    <row r="5159">
      <c r="A5159" s="49">
        <v>45075.09780488426</v>
      </c>
      <c r="B5159" s="50">
        <v>45075.2227808449</v>
      </c>
      <c r="C5159" s="51">
        <v>1.009</v>
      </c>
      <c r="D5159" s="51">
        <v>65.0</v>
      </c>
      <c r="E5159" s="52" t="s">
        <v>25</v>
      </c>
      <c r="F5159" s="52" t="s">
        <v>26</v>
      </c>
      <c r="G5159" s="54"/>
    </row>
    <row r="5160">
      <c r="A5160" s="49">
        <v>45075.108224895834</v>
      </c>
      <c r="B5160" s="50">
        <v>45075.2332015856</v>
      </c>
      <c r="C5160" s="51">
        <v>1.008</v>
      </c>
      <c r="D5160" s="51">
        <v>65.0</v>
      </c>
      <c r="E5160" s="52" t="s">
        <v>25</v>
      </c>
      <c r="F5160" s="52" t="s">
        <v>26</v>
      </c>
      <c r="G5160" s="54"/>
    </row>
    <row r="5161">
      <c r="A5161" s="49">
        <v>45075.118664814814</v>
      </c>
      <c r="B5161" s="50">
        <v>45075.243633993</v>
      </c>
      <c r="C5161" s="51">
        <v>1.008</v>
      </c>
      <c r="D5161" s="51">
        <v>65.0</v>
      </c>
      <c r="E5161" s="52" t="s">
        <v>25</v>
      </c>
      <c r="F5161" s="52" t="s">
        <v>26</v>
      </c>
      <c r="G5161" s="54"/>
    </row>
    <row r="5162">
      <c r="A5162" s="49">
        <v>45075.12908829861</v>
      </c>
      <c r="B5162" s="50">
        <v>45075.2540690856</v>
      </c>
      <c r="C5162" s="51">
        <v>1.008</v>
      </c>
      <c r="D5162" s="51">
        <v>65.0</v>
      </c>
      <c r="E5162" s="52" t="s">
        <v>25</v>
      </c>
      <c r="F5162" s="52" t="s">
        <v>26</v>
      </c>
      <c r="G5162" s="54"/>
    </row>
    <row r="5163">
      <c r="A5163" s="49">
        <v>45075.139510277775</v>
      </c>
      <c r="B5163" s="50">
        <v>45075.2644901041</v>
      </c>
      <c r="C5163" s="51">
        <v>1.008</v>
      </c>
      <c r="D5163" s="51">
        <v>65.0</v>
      </c>
      <c r="E5163" s="52" t="s">
        <v>25</v>
      </c>
      <c r="F5163" s="52" t="s">
        <v>26</v>
      </c>
      <c r="G5163" s="54"/>
    </row>
    <row r="5164">
      <c r="A5164" s="49">
        <v>45075.14994653936</v>
      </c>
      <c r="B5164" s="50">
        <v>45075.2749218981</v>
      </c>
      <c r="C5164" s="51">
        <v>1.008</v>
      </c>
      <c r="D5164" s="51">
        <v>65.0</v>
      </c>
      <c r="E5164" s="52" t="s">
        <v>25</v>
      </c>
      <c r="F5164" s="52" t="s">
        <v>26</v>
      </c>
      <c r="G5164" s="54"/>
    </row>
    <row r="5165">
      <c r="A5165" s="49">
        <v>45075.16036465278</v>
      </c>
      <c r="B5165" s="50">
        <v>45075.2853442708</v>
      </c>
      <c r="C5165" s="51">
        <v>1.008</v>
      </c>
      <c r="D5165" s="51">
        <v>65.0</v>
      </c>
      <c r="E5165" s="52" t="s">
        <v>25</v>
      </c>
      <c r="F5165" s="52" t="s">
        <v>26</v>
      </c>
      <c r="G5165" s="54"/>
    </row>
    <row r="5166">
      <c r="A5166" s="49">
        <v>45075.17078861111</v>
      </c>
      <c r="B5166" s="50">
        <v>45075.2957658796</v>
      </c>
      <c r="C5166" s="51">
        <v>1.008</v>
      </c>
      <c r="D5166" s="51">
        <v>65.0</v>
      </c>
      <c r="E5166" s="52" t="s">
        <v>25</v>
      </c>
      <c r="F5166" s="52" t="s">
        <v>26</v>
      </c>
      <c r="G5166" s="54"/>
    </row>
    <row r="5167">
      <c r="A5167" s="49">
        <v>45075.18121983796</v>
      </c>
      <c r="B5167" s="50">
        <v>45075.3061854398</v>
      </c>
      <c r="C5167" s="51">
        <v>1.008</v>
      </c>
      <c r="D5167" s="51">
        <v>65.0</v>
      </c>
      <c r="E5167" s="52" t="s">
        <v>25</v>
      </c>
      <c r="F5167" s="52" t="s">
        <v>26</v>
      </c>
      <c r="G5167" s="54"/>
    </row>
    <row r="5168">
      <c r="A5168" s="49">
        <v>45075.19164520834</v>
      </c>
      <c r="B5168" s="50">
        <v>45075.3166171759</v>
      </c>
      <c r="C5168" s="51">
        <v>1.008</v>
      </c>
      <c r="D5168" s="51">
        <v>65.0</v>
      </c>
      <c r="E5168" s="52" t="s">
        <v>25</v>
      </c>
      <c r="F5168" s="52" t="s">
        <v>26</v>
      </c>
      <c r="G5168" s="54"/>
    </row>
    <row r="5169">
      <c r="A5169" s="49">
        <v>45075.20211920139</v>
      </c>
      <c r="B5169" s="50">
        <v>45075.3270371643</v>
      </c>
      <c r="C5169" s="51">
        <v>1.008</v>
      </c>
      <c r="D5169" s="51">
        <v>65.0</v>
      </c>
      <c r="E5169" s="52" t="s">
        <v>25</v>
      </c>
      <c r="F5169" s="52" t="s">
        <v>26</v>
      </c>
      <c r="G5169" s="54"/>
    </row>
    <row r="5170">
      <c r="A5170" s="49">
        <v>45075.21248798611</v>
      </c>
      <c r="B5170" s="50">
        <v>45075.3374595254</v>
      </c>
      <c r="C5170" s="51">
        <v>1.008</v>
      </c>
      <c r="D5170" s="51">
        <v>65.0</v>
      </c>
      <c r="E5170" s="52" t="s">
        <v>25</v>
      </c>
      <c r="F5170" s="52" t="s">
        <v>26</v>
      </c>
      <c r="G5170" s="54"/>
    </row>
    <row r="5171">
      <c r="A5171" s="49">
        <v>45075.22291387731</v>
      </c>
      <c r="B5171" s="50">
        <v>45075.3478812384</v>
      </c>
      <c r="C5171" s="51">
        <v>1.008</v>
      </c>
      <c r="D5171" s="51">
        <v>65.0</v>
      </c>
      <c r="E5171" s="52" t="s">
        <v>25</v>
      </c>
      <c r="F5171" s="52" t="s">
        <v>26</v>
      </c>
      <c r="G5171" s="54"/>
    </row>
    <row r="5172">
      <c r="A5172" s="49">
        <v>45075.23332876158</v>
      </c>
      <c r="B5172" s="50">
        <v>45075.3583031597</v>
      </c>
      <c r="C5172" s="51">
        <v>1.008</v>
      </c>
      <c r="D5172" s="51">
        <v>65.0</v>
      </c>
      <c r="E5172" s="52" t="s">
        <v>25</v>
      </c>
      <c r="F5172" s="52" t="s">
        <v>26</v>
      </c>
      <c r="G5172" s="54"/>
    </row>
    <row r="5173">
      <c r="A5173" s="49">
        <v>45075.24375070602</v>
      </c>
      <c r="B5173" s="50">
        <v>45075.3687240625</v>
      </c>
      <c r="C5173" s="51">
        <v>1.008</v>
      </c>
      <c r="D5173" s="51">
        <v>65.0</v>
      </c>
      <c r="E5173" s="52" t="s">
        <v>25</v>
      </c>
      <c r="F5173" s="52" t="s">
        <v>26</v>
      </c>
      <c r="G5173" s="54"/>
    </row>
    <row r="5174">
      <c r="A5174" s="49">
        <v>45075.25417369213</v>
      </c>
      <c r="B5174" s="50">
        <v>45075.3791444907</v>
      </c>
      <c r="C5174" s="51">
        <v>1.008</v>
      </c>
      <c r="D5174" s="51">
        <v>65.0</v>
      </c>
      <c r="E5174" s="52" t="s">
        <v>25</v>
      </c>
      <c r="F5174" s="52" t="s">
        <v>26</v>
      </c>
      <c r="G5174" s="54"/>
    </row>
    <row r="5175">
      <c r="A5175" s="49">
        <v>45075.264592175925</v>
      </c>
      <c r="B5175" s="50">
        <v>45075.3895660532</v>
      </c>
      <c r="C5175" s="51">
        <v>1.008</v>
      </c>
      <c r="D5175" s="51">
        <v>65.0</v>
      </c>
      <c r="E5175" s="52" t="s">
        <v>25</v>
      </c>
      <c r="F5175" s="52" t="s">
        <v>26</v>
      </c>
      <c r="G5175" s="54"/>
    </row>
    <row r="5176">
      <c r="A5176" s="49">
        <v>45075.275012025464</v>
      </c>
      <c r="B5176" s="50">
        <v>45075.3999873032</v>
      </c>
      <c r="C5176" s="51">
        <v>1.008</v>
      </c>
      <c r="D5176" s="51">
        <v>65.0</v>
      </c>
      <c r="E5176" s="52" t="s">
        <v>25</v>
      </c>
      <c r="F5176" s="52" t="s">
        <v>26</v>
      </c>
      <c r="G5176" s="54"/>
    </row>
    <row r="5177">
      <c r="A5177" s="49">
        <v>45075.28546481481</v>
      </c>
      <c r="B5177" s="50">
        <v>45075.4104430555</v>
      </c>
      <c r="C5177" s="51">
        <v>1.008</v>
      </c>
      <c r="D5177" s="51">
        <v>65.0</v>
      </c>
      <c r="E5177" s="52" t="s">
        <v>25</v>
      </c>
      <c r="F5177" s="52" t="s">
        <v>26</v>
      </c>
      <c r="G5177" s="54"/>
    </row>
    <row r="5178">
      <c r="A5178" s="49">
        <v>45075.295896365744</v>
      </c>
      <c r="B5178" s="50">
        <v>45075.4208749652</v>
      </c>
      <c r="C5178" s="51">
        <v>1.008</v>
      </c>
      <c r="D5178" s="51">
        <v>65.0</v>
      </c>
      <c r="E5178" s="52" t="s">
        <v>25</v>
      </c>
      <c r="F5178" s="52" t="s">
        <v>26</v>
      </c>
      <c r="G5178" s="54"/>
    </row>
    <row r="5179">
      <c r="A5179" s="49">
        <v>45075.306357442125</v>
      </c>
      <c r="B5179" s="50">
        <v>45075.4313320138</v>
      </c>
      <c r="C5179" s="51">
        <v>1.008</v>
      </c>
      <c r="D5179" s="51">
        <v>65.0</v>
      </c>
      <c r="E5179" s="52" t="s">
        <v>25</v>
      </c>
      <c r="F5179" s="52" t="s">
        <v>26</v>
      </c>
      <c r="G5179" s="54"/>
    </row>
    <row r="5180">
      <c r="A5180" s="49">
        <v>45075.316807696756</v>
      </c>
      <c r="B5180" s="50">
        <v>45075.4417862152</v>
      </c>
      <c r="C5180" s="51">
        <v>1.008</v>
      </c>
      <c r="D5180" s="51">
        <v>65.0</v>
      </c>
      <c r="E5180" s="52" t="s">
        <v>25</v>
      </c>
      <c r="F5180" s="52" t="s">
        <v>26</v>
      </c>
      <c r="G5180" s="54"/>
    </row>
    <row r="5181">
      <c r="A5181" s="49">
        <v>45075.32723553241</v>
      </c>
      <c r="B5181" s="50">
        <v>45075.4522077314</v>
      </c>
      <c r="C5181" s="51">
        <v>1.008</v>
      </c>
      <c r="D5181" s="51">
        <v>65.0</v>
      </c>
      <c r="E5181" s="52" t="s">
        <v>25</v>
      </c>
      <c r="F5181" s="52" t="s">
        <v>26</v>
      </c>
      <c r="G5181" s="54"/>
    </row>
    <row r="5182">
      <c r="A5182" s="49">
        <v>45075.337654386574</v>
      </c>
      <c r="B5182" s="50">
        <v>45075.4626274189</v>
      </c>
      <c r="C5182" s="51">
        <v>1.008</v>
      </c>
      <c r="D5182" s="51">
        <v>65.0</v>
      </c>
      <c r="E5182" s="52" t="s">
        <v>25</v>
      </c>
      <c r="F5182" s="52" t="s">
        <v>26</v>
      </c>
      <c r="G5182" s="54"/>
    </row>
    <row r="5183">
      <c r="A5183" s="49">
        <v>45075.34808795139</v>
      </c>
      <c r="B5183" s="50">
        <v>45075.4730609259</v>
      </c>
      <c r="C5183" s="51">
        <v>1.008</v>
      </c>
      <c r="D5183" s="51">
        <v>65.0</v>
      </c>
      <c r="E5183" s="52" t="s">
        <v>25</v>
      </c>
      <c r="F5183" s="52" t="s">
        <v>26</v>
      </c>
      <c r="G5183" s="54"/>
    </row>
    <row r="5184">
      <c r="A5184" s="49">
        <v>45075.69211209491</v>
      </c>
      <c r="B5184" s="50">
        <v>45075.8170903587</v>
      </c>
      <c r="C5184" s="51">
        <v>1.008</v>
      </c>
      <c r="D5184" s="51">
        <v>65.0</v>
      </c>
      <c r="E5184" s="52" t="s">
        <v>25</v>
      </c>
      <c r="F5184" s="52" t="s">
        <v>26</v>
      </c>
      <c r="G5184" s="54"/>
    </row>
    <row r="5185">
      <c r="A5185" s="49">
        <v>45075.70254054398</v>
      </c>
      <c r="B5185" s="50">
        <v>45075.8275127314</v>
      </c>
      <c r="C5185" s="51">
        <v>1.008</v>
      </c>
      <c r="D5185" s="51">
        <v>65.0</v>
      </c>
      <c r="E5185" s="52" t="s">
        <v>25</v>
      </c>
      <c r="F5185" s="52" t="s">
        <v>26</v>
      </c>
      <c r="G5185" s="54"/>
    </row>
    <row r="5186">
      <c r="A5186" s="49">
        <v>45075.71296237269</v>
      </c>
      <c r="B5186" s="50">
        <v>45075.8379342361</v>
      </c>
      <c r="C5186" s="51">
        <v>1.008</v>
      </c>
      <c r="D5186" s="51">
        <v>65.0</v>
      </c>
      <c r="E5186" s="52" t="s">
        <v>25</v>
      </c>
      <c r="F5186" s="52" t="s">
        <v>26</v>
      </c>
      <c r="G5186" s="54"/>
    </row>
    <row r="5187">
      <c r="A5187" s="49">
        <v>45075.72338594907</v>
      </c>
      <c r="B5187" s="50">
        <v>45075.848355868</v>
      </c>
      <c r="C5187" s="51">
        <v>1.008</v>
      </c>
      <c r="D5187" s="51">
        <v>65.0</v>
      </c>
      <c r="E5187" s="52" t="s">
        <v>25</v>
      </c>
      <c r="F5187" s="52" t="s">
        <v>26</v>
      </c>
      <c r="G5187" s="54"/>
    </row>
    <row r="5188">
      <c r="A5188" s="49">
        <v>45075.73379873842</v>
      </c>
      <c r="B5188" s="50">
        <v>45075.8587751388</v>
      </c>
      <c r="C5188" s="51">
        <v>1.008</v>
      </c>
      <c r="D5188" s="51">
        <v>65.0</v>
      </c>
      <c r="E5188" s="52" t="s">
        <v>25</v>
      </c>
      <c r="F5188" s="52" t="s">
        <v>26</v>
      </c>
      <c r="G5188" s="54"/>
    </row>
    <row r="5189">
      <c r="A5189" s="49">
        <v>45075.74422774305</v>
      </c>
      <c r="B5189" s="50">
        <v>45075.8691956712</v>
      </c>
      <c r="C5189" s="51">
        <v>1.008</v>
      </c>
      <c r="D5189" s="51">
        <v>65.0</v>
      </c>
      <c r="E5189" s="52" t="s">
        <v>25</v>
      </c>
      <c r="F5189" s="52" t="s">
        <v>26</v>
      </c>
      <c r="G5189" s="54"/>
    </row>
    <row r="5190">
      <c r="A5190" s="49">
        <v>45075.754635868056</v>
      </c>
      <c r="B5190" s="50">
        <v>45075.8796162963</v>
      </c>
      <c r="C5190" s="51">
        <v>1.008</v>
      </c>
      <c r="D5190" s="51">
        <v>65.0</v>
      </c>
      <c r="E5190" s="52" t="s">
        <v>25</v>
      </c>
      <c r="F5190" s="52" t="s">
        <v>26</v>
      </c>
      <c r="G5190" s="54"/>
    </row>
    <row r="5191">
      <c r="A5191" s="49">
        <v>45075.76506020833</v>
      </c>
      <c r="B5191" s="50">
        <v>45075.8900372106</v>
      </c>
      <c r="C5191" s="51">
        <v>1.008</v>
      </c>
      <c r="D5191" s="51">
        <v>65.0</v>
      </c>
      <c r="E5191" s="52" t="s">
        <v>25</v>
      </c>
      <c r="F5191" s="52" t="s">
        <v>26</v>
      </c>
      <c r="G5191" s="54"/>
    </row>
    <row r="5192">
      <c r="A5192" s="49">
        <v>45075.7754853125</v>
      </c>
      <c r="B5192" s="50">
        <v>45075.9004577662</v>
      </c>
      <c r="C5192" s="51">
        <v>1.008</v>
      </c>
      <c r="D5192" s="51">
        <v>65.0</v>
      </c>
      <c r="E5192" s="52" t="s">
        <v>25</v>
      </c>
      <c r="F5192" s="52" t="s">
        <v>26</v>
      </c>
      <c r="G5192" s="54"/>
    </row>
    <row r="5193">
      <c r="A5193" s="49">
        <v>45075.78590858796</v>
      </c>
      <c r="B5193" s="50">
        <v>45075.9108787963</v>
      </c>
      <c r="C5193" s="51">
        <v>1.008</v>
      </c>
      <c r="D5193" s="51">
        <v>65.0</v>
      </c>
      <c r="E5193" s="52" t="s">
        <v>25</v>
      </c>
      <c r="F5193" s="52" t="s">
        <v>26</v>
      </c>
      <c r="G5193" s="54"/>
    </row>
    <row r="5194">
      <c r="A5194" s="49">
        <v>45075.79632763889</v>
      </c>
      <c r="B5194" s="50">
        <v>45075.9212999652</v>
      </c>
      <c r="C5194" s="51">
        <v>1.008</v>
      </c>
      <c r="D5194" s="51">
        <v>65.0</v>
      </c>
      <c r="E5194" s="52" t="s">
        <v>25</v>
      </c>
      <c r="F5194" s="52" t="s">
        <v>26</v>
      </c>
      <c r="G5194" s="54"/>
    </row>
    <row r="5195">
      <c r="A5195" s="49">
        <v>45075.80675550926</v>
      </c>
      <c r="B5195" s="50">
        <v>45075.9317201388</v>
      </c>
      <c r="C5195" s="51">
        <v>1.008</v>
      </c>
      <c r="D5195" s="51">
        <v>65.0</v>
      </c>
      <c r="E5195" s="52" t="s">
        <v>25</v>
      </c>
      <c r="F5195" s="52" t="s">
        <v>26</v>
      </c>
      <c r="G5195" s="54"/>
    </row>
    <row r="5196">
      <c r="A5196" s="49">
        <v>45075.81716295139</v>
      </c>
      <c r="B5196" s="50">
        <v>45075.9421409838</v>
      </c>
      <c r="C5196" s="51">
        <v>1.008</v>
      </c>
      <c r="D5196" s="51">
        <v>65.0</v>
      </c>
      <c r="E5196" s="52" t="s">
        <v>25</v>
      </c>
      <c r="F5196" s="52" t="s">
        <v>26</v>
      </c>
      <c r="G5196" s="54"/>
    </row>
    <row r="5197">
      <c r="A5197" s="49">
        <v>45075.827606736115</v>
      </c>
      <c r="B5197" s="50">
        <v>45075.9525740972</v>
      </c>
      <c r="C5197" s="51">
        <v>1.008</v>
      </c>
      <c r="D5197" s="51">
        <v>65.0</v>
      </c>
      <c r="E5197" s="52" t="s">
        <v>25</v>
      </c>
      <c r="F5197" s="52" t="s">
        <v>26</v>
      </c>
      <c r="G5197" s="54"/>
    </row>
    <row r="5198">
      <c r="A5198" s="49">
        <v>45075.83804451389</v>
      </c>
      <c r="B5198" s="50">
        <v>45075.9630188194</v>
      </c>
      <c r="C5198" s="51">
        <v>1.008</v>
      </c>
      <c r="D5198" s="51">
        <v>65.0</v>
      </c>
      <c r="E5198" s="52" t="s">
        <v>25</v>
      </c>
      <c r="F5198" s="52" t="s">
        <v>26</v>
      </c>
      <c r="G5198" s="54"/>
    </row>
    <row r="5199">
      <c r="A5199" s="49">
        <v>45075.848463622686</v>
      </c>
      <c r="B5199" s="50">
        <v>45075.973438912</v>
      </c>
      <c r="C5199" s="51">
        <v>1.008</v>
      </c>
      <c r="D5199" s="51">
        <v>65.0</v>
      </c>
      <c r="E5199" s="52" t="s">
        <v>25</v>
      </c>
      <c r="F5199" s="52" t="s">
        <v>26</v>
      </c>
      <c r="G5199" s="54"/>
    </row>
    <row r="5200">
      <c r="A5200" s="49">
        <v>45075.858880162035</v>
      </c>
      <c r="B5200" s="50">
        <v>45075.9838598032</v>
      </c>
      <c r="C5200" s="51">
        <v>1.008</v>
      </c>
      <c r="D5200" s="51">
        <v>65.0</v>
      </c>
      <c r="E5200" s="52" t="s">
        <v>25</v>
      </c>
      <c r="F5200" s="52" t="s">
        <v>26</v>
      </c>
      <c r="G5200" s="54"/>
    </row>
    <row r="5201">
      <c r="A5201" s="49">
        <v>45075.8693130787</v>
      </c>
      <c r="B5201" s="50">
        <v>45075.9942796296</v>
      </c>
      <c r="C5201" s="51">
        <v>1.008</v>
      </c>
      <c r="D5201" s="51">
        <v>65.0</v>
      </c>
      <c r="E5201" s="52" t="s">
        <v>25</v>
      </c>
      <c r="F5201" s="52" t="s">
        <v>26</v>
      </c>
      <c r="G5201" s="54"/>
    </row>
    <row r="5202">
      <c r="A5202" s="49">
        <v>45075.87974143519</v>
      </c>
      <c r="B5202" s="50">
        <v>45076.0047128125</v>
      </c>
      <c r="C5202" s="51">
        <v>1.008</v>
      </c>
      <c r="D5202" s="51">
        <v>65.0</v>
      </c>
      <c r="E5202" s="52" t="s">
        <v>25</v>
      </c>
      <c r="F5202" s="52" t="s">
        <v>26</v>
      </c>
      <c r="G5202" s="54"/>
    </row>
    <row r="5203">
      <c r="A5203" s="49">
        <v>45075.89016137732</v>
      </c>
      <c r="B5203" s="50">
        <v>45076.0151359953</v>
      </c>
      <c r="C5203" s="51">
        <v>1.008</v>
      </c>
      <c r="D5203" s="51">
        <v>65.0</v>
      </c>
      <c r="E5203" s="52" t="s">
        <v>25</v>
      </c>
      <c r="F5203" s="52" t="s">
        <v>26</v>
      </c>
      <c r="G5203" s="54"/>
    </row>
    <row r="5204">
      <c r="A5204" s="49">
        <v>45075.900590798614</v>
      </c>
      <c r="B5204" s="50">
        <v>45076.0255674074</v>
      </c>
      <c r="C5204" s="51">
        <v>1.008</v>
      </c>
      <c r="D5204" s="51">
        <v>65.0</v>
      </c>
      <c r="E5204" s="52" t="s">
        <v>25</v>
      </c>
      <c r="F5204" s="52" t="s">
        <v>26</v>
      </c>
      <c r="G5204" s="54"/>
    </row>
    <row r="5205">
      <c r="A5205" s="49">
        <v>45075.911021747685</v>
      </c>
      <c r="B5205" s="50">
        <v>45076.035988125</v>
      </c>
      <c r="C5205" s="51">
        <v>1.008</v>
      </c>
      <c r="D5205" s="51">
        <v>65.0</v>
      </c>
      <c r="E5205" s="52" t="s">
        <v>25</v>
      </c>
      <c r="F5205" s="52" t="s">
        <v>26</v>
      </c>
      <c r="G5205" s="54"/>
    </row>
    <row r="5206">
      <c r="A5206" s="49">
        <v>45075.92144046296</v>
      </c>
      <c r="B5206" s="50">
        <v>45076.0464086574</v>
      </c>
      <c r="C5206" s="51">
        <v>1.008</v>
      </c>
      <c r="D5206" s="51">
        <v>65.0</v>
      </c>
      <c r="E5206" s="52" t="s">
        <v>25</v>
      </c>
      <c r="F5206" s="52" t="s">
        <v>26</v>
      </c>
      <c r="G5206" s="54"/>
    </row>
    <row r="5207">
      <c r="A5207" s="49">
        <v>45075.93185594908</v>
      </c>
      <c r="B5207" s="50">
        <v>45076.0568292708</v>
      </c>
      <c r="C5207" s="51">
        <v>1.008</v>
      </c>
      <c r="D5207" s="51">
        <v>65.0</v>
      </c>
      <c r="E5207" s="52" t="s">
        <v>25</v>
      </c>
      <c r="F5207" s="52" t="s">
        <v>26</v>
      </c>
      <c r="G5207" s="54"/>
    </row>
    <row r="5208">
      <c r="A5208" s="49">
        <v>45075.94227645833</v>
      </c>
      <c r="B5208" s="50">
        <v>45076.0672498611</v>
      </c>
      <c r="C5208" s="51">
        <v>1.008</v>
      </c>
      <c r="D5208" s="51">
        <v>65.0</v>
      </c>
      <c r="E5208" s="52" t="s">
        <v>25</v>
      </c>
      <c r="F5208" s="52" t="s">
        <v>26</v>
      </c>
      <c r="G5208" s="54"/>
    </row>
    <row r="5209">
      <c r="A5209" s="49">
        <v>45075.952701284725</v>
      </c>
      <c r="B5209" s="50">
        <v>45076.0776712152</v>
      </c>
      <c r="C5209" s="51">
        <v>1.008</v>
      </c>
      <c r="D5209" s="51">
        <v>65.0</v>
      </c>
      <c r="E5209" s="52" t="s">
        <v>25</v>
      </c>
      <c r="F5209" s="52" t="s">
        <v>26</v>
      </c>
      <c r="G5209" s="54"/>
    </row>
    <row r="5210">
      <c r="A5210" s="49">
        <v>45075.96312373843</v>
      </c>
      <c r="B5210" s="50">
        <v>45076.0881017824</v>
      </c>
      <c r="C5210" s="51">
        <v>1.008</v>
      </c>
      <c r="D5210" s="51">
        <v>65.0</v>
      </c>
      <c r="E5210" s="52" t="s">
        <v>25</v>
      </c>
      <c r="F5210" s="52" t="s">
        <v>26</v>
      </c>
      <c r="G5210" s="54"/>
    </row>
    <row r="5211">
      <c r="A5211" s="49">
        <v>45075.9735509375</v>
      </c>
      <c r="B5211" s="50">
        <v>45076.0985245601</v>
      </c>
      <c r="C5211" s="51">
        <v>1.008</v>
      </c>
      <c r="D5211" s="51">
        <v>65.0</v>
      </c>
      <c r="E5211" s="52" t="s">
        <v>25</v>
      </c>
      <c r="F5211" s="52" t="s">
        <v>26</v>
      </c>
      <c r="G5211" s="54"/>
    </row>
    <row r="5212">
      <c r="A5212" s="49">
        <v>45075.98397863426</v>
      </c>
      <c r="B5212" s="50">
        <v>45076.108945868</v>
      </c>
      <c r="C5212" s="51">
        <v>1.008</v>
      </c>
      <c r="D5212" s="51">
        <v>65.0</v>
      </c>
      <c r="E5212" s="52" t="s">
        <v>25</v>
      </c>
      <c r="F5212" s="52" t="s">
        <v>26</v>
      </c>
      <c r="G5212" s="54"/>
    </row>
    <row r="5213">
      <c r="A5213" s="49">
        <v>45075.99442138889</v>
      </c>
      <c r="B5213" s="50">
        <v>45076.1193917361</v>
      </c>
      <c r="C5213" s="51">
        <v>1.008</v>
      </c>
      <c r="D5213" s="51">
        <v>65.0</v>
      </c>
      <c r="E5213" s="52" t="s">
        <v>25</v>
      </c>
      <c r="F5213" s="52" t="s">
        <v>26</v>
      </c>
      <c r="G5213" s="54"/>
    </row>
    <row r="5214">
      <c r="A5214" s="49">
        <v>45076.00484418981</v>
      </c>
      <c r="B5214" s="50">
        <v>45076.1298117939</v>
      </c>
      <c r="C5214" s="51">
        <v>1.008</v>
      </c>
      <c r="D5214" s="51">
        <v>65.0</v>
      </c>
      <c r="E5214" s="52" t="s">
        <v>25</v>
      </c>
      <c r="F5214" s="52" t="s">
        <v>26</v>
      </c>
      <c r="G5214" s="54"/>
    </row>
    <row r="5215">
      <c r="A5215" s="49">
        <v>45076.01526134259</v>
      </c>
      <c r="B5215" s="50">
        <v>45076.1402341898</v>
      </c>
      <c r="C5215" s="51">
        <v>1.008</v>
      </c>
      <c r="D5215" s="51">
        <v>65.0</v>
      </c>
      <c r="E5215" s="52" t="s">
        <v>25</v>
      </c>
      <c r="F5215" s="52" t="s">
        <v>26</v>
      </c>
      <c r="G5215" s="54"/>
    </row>
    <row r="5216">
      <c r="A5216" s="49">
        <v>45076.02568460648</v>
      </c>
      <c r="B5216" s="50">
        <v>45076.150654074</v>
      </c>
      <c r="C5216" s="51">
        <v>1.008</v>
      </c>
      <c r="D5216" s="51">
        <v>65.0</v>
      </c>
      <c r="E5216" s="52" t="s">
        <v>25</v>
      </c>
      <c r="F5216" s="52" t="s">
        <v>26</v>
      </c>
      <c r="G5216" s="54"/>
    </row>
    <row r="5217">
      <c r="A5217" s="49">
        <v>45076.036111712965</v>
      </c>
      <c r="B5217" s="50">
        <v>45076.161074618</v>
      </c>
      <c r="C5217" s="51">
        <v>1.008</v>
      </c>
      <c r="D5217" s="51">
        <v>65.0</v>
      </c>
      <c r="E5217" s="52" t="s">
        <v>25</v>
      </c>
      <c r="F5217" s="52" t="s">
        <v>26</v>
      </c>
      <c r="G5217" s="54"/>
    </row>
    <row r="5218">
      <c r="A5218" s="49">
        <v>45076.04652587963</v>
      </c>
      <c r="B5218" s="50">
        <v>45076.1714956944</v>
      </c>
      <c r="C5218" s="51">
        <v>1.008</v>
      </c>
      <c r="D5218" s="51">
        <v>65.0</v>
      </c>
      <c r="E5218" s="52" t="s">
        <v>25</v>
      </c>
      <c r="F5218" s="52" t="s">
        <v>26</v>
      </c>
      <c r="G5218" s="54"/>
    </row>
    <row r="5219">
      <c r="A5219" s="49">
        <v>45076.05694846065</v>
      </c>
      <c r="B5219" s="50">
        <v>45076.1819176388</v>
      </c>
      <c r="C5219" s="51">
        <v>1.008</v>
      </c>
      <c r="D5219" s="51">
        <v>65.0</v>
      </c>
      <c r="E5219" s="52" t="s">
        <v>25</v>
      </c>
      <c r="F5219" s="52" t="s">
        <v>26</v>
      </c>
      <c r="G5219" s="54"/>
    </row>
    <row r="5220">
      <c r="A5220" s="49">
        <v>45076.067369791665</v>
      </c>
      <c r="B5220" s="50">
        <v>45076.1923385648</v>
      </c>
      <c r="C5220" s="51">
        <v>1.008</v>
      </c>
      <c r="D5220" s="51">
        <v>65.0</v>
      </c>
      <c r="E5220" s="52" t="s">
        <v>25</v>
      </c>
      <c r="F5220" s="52" t="s">
        <v>26</v>
      </c>
      <c r="G5220" s="54"/>
    </row>
    <row r="5221">
      <c r="A5221" s="49">
        <v>45076.0778016088</v>
      </c>
      <c r="B5221" s="50">
        <v>45076.2027713194</v>
      </c>
      <c r="C5221" s="51">
        <v>1.008</v>
      </c>
      <c r="D5221" s="51">
        <v>65.0</v>
      </c>
      <c r="E5221" s="52" t="s">
        <v>25</v>
      </c>
      <c r="F5221" s="52" t="s">
        <v>26</v>
      </c>
      <c r="G5221" s="54"/>
    </row>
    <row r="5222">
      <c r="A5222" s="49">
        <v>45076.088263530095</v>
      </c>
      <c r="B5222" s="50">
        <v>45076.2132375694</v>
      </c>
      <c r="C5222" s="51">
        <v>1.008</v>
      </c>
      <c r="D5222" s="51">
        <v>65.0</v>
      </c>
      <c r="E5222" s="52" t="s">
        <v>25</v>
      </c>
      <c r="F5222" s="52" t="s">
        <v>26</v>
      </c>
      <c r="G5222" s="54"/>
    </row>
    <row r="5223">
      <c r="A5223" s="49">
        <v>45076.09868173611</v>
      </c>
      <c r="B5223" s="50">
        <v>45076.2236581481</v>
      </c>
      <c r="C5223" s="51">
        <v>1.008</v>
      </c>
      <c r="D5223" s="51">
        <v>65.0</v>
      </c>
      <c r="E5223" s="52" t="s">
        <v>25</v>
      </c>
      <c r="F5223" s="52" t="s">
        <v>26</v>
      </c>
      <c r="G5223" s="54"/>
    </row>
    <row r="5224">
      <c r="A5224" s="49">
        <v>45076.109107881945</v>
      </c>
      <c r="B5224" s="50">
        <v>45076.2340789699</v>
      </c>
      <c r="C5224" s="51">
        <v>1.008</v>
      </c>
      <c r="D5224" s="51">
        <v>65.0</v>
      </c>
      <c r="E5224" s="52" t="s">
        <v>25</v>
      </c>
      <c r="F5224" s="52" t="s">
        <v>26</v>
      </c>
      <c r="G5224" s="54"/>
    </row>
    <row r="5225">
      <c r="A5225" s="49">
        <v>45076.11952678241</v>
      </c>
      <c r="B5225" s="50">
        <v>45076.2444991782</v>
      </c>
      <c r="C5225" s="51">
        <v>1.008</v>
      </c>
      <c r="D5225" s="51">
        <v>65.0</v>
      </c>
      <c r="E5225" s="52" t="s">
        <v>25</v>
      </c>
      <c r="F5225" s="52" t="s">
        <v>26</v>
      </c>
      <c r="G5225" s="54"/>
    </row>
    <row r="5226">
      <c r="A5226" s="49">
        <v>45076.12994356481</v>
      </c>
      <c r="B5226" s="50">
        <v>45076.2549206597</v>
      </c>
      <c r="C5226" s="51">
        <v>1.008</v>
      </c>
      <c r="D5226" s="51">
        <v>65.0</v>
      </c>
      <c r="E5226" s="52" t="s">
        <v>25</v>
      </c>
      <c r="F5226" s="52" t="s">
        <v>26</v>
      </c>
      <c r="G5226" s="54"/>
    </row>
    <row r="5227">
      <c r="A5227" s="49">
        <v>45076.14036615741</v>
      </c>
      <c r="B5227" s="50">
        <v>45076.2653420601</v>
      </c>
      <c r="C5227" s="51">
        <v>1.008</v>
      </c>
      <c r="D5227" s="51">
        <v>65.0</v>
      </c>
      <c r="E5227" s="52" t="s">
        <v>25</v>
      </c>
      <c r="F5227" s="52" t="s">
        <v>26</v>
      </c>
      <c r="G5227" s="54"/>
    </row>
    <row r="5228">
      <c r="A5228" s="49">
        <v>45076.15079583334</v>
      </c>
      <c r="B5228" s="50">
        <v>45076.2757633796</v>
      </c>
      <c r="C5228" s="51">
        <v>1.008</v>
      </c>
      <c r="D5228" s="51">
        <v>65.0</v>
      </c>
      <c r="E5228" s="52" t="s">
        <v>25</v>
      </c>
      <c r="F5228" s="52" t="s">
        <v>26</v>
      </c>
      <c r="G5228" s="54"/>
    </row>
    <row r="5229">
      <c r="A5229" s="49">
        <v>45076.16120931713</v>
      </c>
      <c r="B5229" s="50">
        <v>45076.286183831</v>
      </c>
      <c r="C5229" s="51">
        <v>1.008</v>
      </c>
      <c r="D5229" s="51">
        <v>65.0</v>
      </c>
      <c r="E5229" s="52" t="s">
        <v>25</v>
      </c>
      <c r="F5229" s="52" t="s">
        <v>26</v>
      </c>
      <c r="G5229" s="54"/>
    </row>
    <row r="5230">
      <c r="A5230" s="49">
        <v>45076.17163868056</v>
      </c>
      <c r="B5230" s="50">
        <v>45076.2966046643</v>
      </c>
      <c r="C5230" s="51">
        <v>1.008</v>
      </c>
      <c r="D5230" s="51">
        <v>65.0</v>
      </c>
      <c r="E5230" s="52" t="s">
        <v>25</v>
      </c>
      <c r="F5230" s="52" t="s">
        <v>26</v>
      </c>
      <c r="G5230" s="54"/>
    </row>
    <row r="5231">
      <c r="A5231" s="49">
        <v>45076.18205579861</v>
      </c>
      <c r="B5231" s="50">
        <v>45076.3070243634</v>
      </c>
      <c r="C5231" s="51">
        <v>1.008</v>
      </c>
      <c r="D5231" s="51">
        <v>65.0</v>
      </c>
      <c r="E5231" s="52" t="s">
        <v>25</v>
      </c>
      <c r="F5231" s="52" t="s">
        <v>26</v>
      </c>
      <c r="G5231" s="54"/>
    </row>
    <row r="5232">
      <c r="A5232" s="49">
        <v>45076.19246835649</v>
      </c>
      <c r="B5232" s="50">
        <v>45076.3174458101</v>
      </c>
      <c r="C5232" s="51">
        <v>1.008</v>
      </c>
      <c r="D5232" s="51">
        <v>65.0</v>
      </c>
      <c r="E5232" s="52" t="s">
        <v>25</v>
      </c>
      <c r="F5232" s="52" t="s">
        <v>26</v>
      </c>
      <c r="G5232" s="54"/>
    </row>
    <row r="5233">
      <c r="A5233" s="49">
        <v>45076.20288221065</v>
      </c>
      <c r="B5233" s="50">
        <v>45076.3278646759</v>
      </c>
      <c r="C5233" s="51">
        <v>1.008</v>
      </c>
      <c r="D5233" s="51">
        <v>65.0</v>
      </c>
      <c r="E5233" s="52" t="s">
        <v>25</v>
      </c>
      <c r="F5233" s="52" t="s">
        <v>26</v>
      </c>
      <c r="G5233" s="54"/>
    </row>
    <row r="5234">
      <c r="A5234" s="49">
        <v>45076.2133125463</v>
      </c>
      <c r="B5234" s="50">
        <v>45076.3382874884</v>
      </c>
      <c r="C5234" s="51">
        <v>1.008</v>
      </c>
      <c r="D5234" s="51">
        <v>65.0</v>
      </c>
      <c r="E5234" s="52" t="s">
        <v>25</v>
      </c>
      <c r="F5234" s="52" t="s">
        <v>26</v>
      </c>
      <c r="G5234" s="54"/>
    </row>
    <row r="5235">
      <c r="A5235" s="49">
        <v>45076.22373172454</v>
      </c>
      <c r="B5235" s="50">
        <v>45076.3487076736</v>
      </c>
      <c r="C5235" s="51">
        <v>1.008</v>
      </c>
      <c r="D5235" s="51">
        <v>65.0</v>
      </c>
      <c r="E5235" s="52" t="s">
        <v>25</v>
      </c>
      <c r="F5235" s="52" t="s">
        <v>26</v>
      </c>
      <c r="G5235" s="54"/>
    </row>
    <row r="5236">
      <c r="A5236" s="49">
        <v>45076.23415590278</v>
      </c>
      <c r="B5236" s="50">
        <v>45076.3591302777</v>
      </c>
      <c r="C5236" s="51">
        <v>1.008</v>
      </c>
      <c r="D5236" s="51">
        <v>65.0</v>
      </c>
      <c r="E5236" s="52" t="s">
        <v>25</v>
      </c>
      <c r="F5236" s="52" t="s">
        <v>26</v>
      </c>
      <c r="G5236" s="54"/>
    </row>
    <row r="5237">
      <c r="A5237" s="49">
        <v>45076.244574675926</v>
      </c>
      <c r="B5237" s="50">
        <v>45076.369551493</v>
      </c>
      <c r="C5237" s="51">
        <v>1.008</v>
      </c>
      <c r="D5237" s="51">
        <v>65.0</v>
      </c>
      <c r="E5237" s="52" t="s">
        <v>25</v>
      </c>
      <c r="F5237" s="52" t="s">
        <v>26</v>
      </c>
      <c r="G5237" s="54"/>
    </row>
    <row r="5238">
      <c r="A5238" s="49">
        <v>45076.25499729167</v>
      </c>
      <c r="B5238" s="50">
        <v>45076.37997125</v>
      </c>
      <c r="C5238" s="51">
        <v>1.008</v>
      </c>
      <c r="D5238" s="51">
        <v>65.0</v>
      </c>
      <c r="E5238" s="52" t="s">
        <v>25</v>
      </c>
      <c r="F5238" s="52" t="s">
        <v>26</v>
      </c>
      <c r="G5238" s="54"/>
    </row>
    <row r="5239">
      <c r="A5239" s="49">
        <v>45076.265416608796</v>
      </c>
      <c r="B5239" s="50">
        <v>45076.3903910185</v>
      </c>
      <c r="C5239" s="51">
        <v>1.008</v>
      </c>
      <c r="D5239" s="51">
        <v>65.0</v>
      </c>
      <c r="E5239" s="52" t="s">
        <v>25</v>
      </c>
      <c r="F5239" s="52" t="s">
        <v>26</v>
      </c>
      <c r="G5239" s="54"/>
    </row>
    <row r="5240">
      <c r="A5240" s="49">
        <v>45076.27587525463</v>
      </c>
      <c r="B5240" s="50">
        <v>45076.4008103935</v>
      </c>
      <c r="C5240" s="51">
        <v>1.008</v>
      </c>
      <c r="D5240" s="51">
        <v>65.0</v>
      </c>
      <c r="E5240" s="52" t="s">
        <v>25</v>
      </c>
      <c r="F5240" s="52" t="s">
        <v>26</v>
      </c>
      <c r="G5240" s="54"/>
    </row>
    <row r="5241">
      <c r="A5241" s="49">
        <v>45076.286268449076</v>
      </c>
      <c r="B5241" s="50">
        <v>45076.4112422453</v>
      </c>
      <c r="C5241" s="51">
        <v>1.008</v>
      </c>
      <c r="D5241" s="51">
        <v>65.0</v>
      </c>
      <c r="E5241" s="52" t="s">
        <v>25</v>
      </c>
      <c r="F5241" s="52" t="s">
        <v>26</v>
      </c>
      <c r="G5241" s="54"/>
    </row>
    <row r="5242">
      <c r="A5242" s="49">
        <v>45076.29669653936</v>
      </c>
      <c r="B5242" s="50">
        <v>45076.4216629051</v>
      </c>
      <c r="C5242" s="51">
        <v>1.008</v>
      </c>
      <c r="D5242" s="51">
        <v>65.0</v>
      </c>
      <c r="E5242" s="52" t="s">
        <v>25</v>
      </c>
      <c r="F5242" s="52" t="s">
        <v>26</v>
      </c>
      <c r="G5242" s="54"/>
    </row>
    <row r="5243">
      <c r="A5243" s="49">
        <v>45076.30712405093</v>
      </c>
      <c r="B5243" s="50">
        <v>45076.4320964583</v>
      </c>
      <c r="C5243" s="51">
        <v>1.008</v>
      </c>
      <c r="D5243" s="51">
        <v>65.0</v>
      </c>
      <c r="E5243" s="52" t="s">
        <v>25</v>
      </c>
      <c r="F5243" s="52" t="s">
        <v>26</v>
      </c>
      <c r="G5243" s="54"/>
    </row>
    <row r="5244">
      <c r="A5244" s="49">
        <v>45076.31754833333</v>
      </c>
      <c r="B5244" s="50">
        <v>45076.4425162037</v>
      </c>
      <c r="C5244" s="51">
        <v>1.008</v>
      </c>
      <c r="D5244" s="51">
        <v>65.0</v>
      </c>
      <c r="E5244" s="52" t="s">
        <v>25</v>
      </c>
      <c r="F5244" s="52" t="s">
        <v>26</v>
      </c>
      <c r="G5244" s="54"/>
    </row>
    <row r="5245">
      <c r="A5245" s="49">
        <v>45076.32797592593</v>
      </c>
      <c r="B5245" s="50">
        <v>45076.4529488657</v>
      </c>
      <c r="C5245" s="51">
        <v>1.008</v>
      </c>
      <c r="D5245" s="51">
        <v>65.0</v>
      </c>
      <c r="E5245" s="52" t="s">
        <v>25</v>
      </c>
      <c r="F5245" s="52" t="s">
        <v>26</v>
      </c>
      <c r="G5245" s="54"/>
    </row>
    <row r="5246">
      <c r="A5246" s="49">
        <v>45076.338403518515</v>
      </c>
      <c r="B5246" s="50">
        <v>45076.4633709838</v>
      </c>
      <c r="C5246" s="51">
        <v>1.008</v>
      </c>
      <c r="D5246" s="51">
        <v>65.0</v>
      </c>
      <c r="E5246" s="52" t="s">
        <v>25</v>
      </c>
      <c r="F5246" s="52" t="s">
        <v>26</v>
      </c>
      <c r="G5246" s="54"/>
    </row>
    <row r="5247">
      <c r="A5247" s="49">
        <v>45076.34884168982</v>
      </c>
      <c r="B5247" s="50">
        <v>45076.4738145254</v>
      </c>
      <c r="C5247" s="51">
        <v>1.008</v>
      </c>
      <c r="D5247" s="51">
        <v>65.0</v>
      </c>
      <c r="E5247" s="52" t="s">
        <v>25</v>
      </c>
      <c r="F5247" s="52" t="s">
        <v>26</v>
      </c>
      <c r="G5247" s="54"/>
    </row>
    <row r="5248">
      <c r="A5248" s="49">
        <v>45076.359264259256</v>
      </c>
      <c r="B5248" s="50">
        <v>45076.4842343171</v>
      </c>
      <c r="C5248" s="51">
        <v>1.008</v>
      </c>
      <c r="D5248" s="51">
        <v>65.0</v>
      </c>
      <c r="E5248" s="52" t="s">
        <v>25</v>
      </c>
      <c r="F5248" s="52" t="s">
        <v>26</v>
      </c>
      <c r="G5248" s="54"/>
    </row>
    <row r="5249">
      <c r="A5249" s="49">
        <v>45076.369681261574</v>
      </c>
      <c r="B5249" s="50">
        <v>45076.4946544907</v>
      </c>
      <c r="C5249" s="51">
        <v>1.008</v>
      </c>
      <c r="D5249" s="51">
        <v>65.0</v>
      </c>
      <c r="E5249" s="52" t="s">
        <v>25</v>
      </c>
      <c r="F5249" s="52" t="s">
        <v>26</v>
      </c>
      <c r="G5249" s="54"/>
    </row>
    <row r="5250">
      <c r="A5250" s="49">
        <v>45076.38010693287</v>
      </c>
      <c r="B5250" s="50">
        <v>45076.5050871296</v>
      </c>
      <c r="C5250" s="51">
        <v>1.008</v>
      </c>
      <c r="D5250" s="51">
        <v>65.0</v>
      </c>
      <c r="E5250" s="52" t="s">
        <v>25</v>
      </c>
      <c r="F5250" s="52" t="s">
        <v>26</v>
      </c>
      <c r="G5250" s="54"/>
    </row>
    <row r="5251">
      <c r="A5251" s="49">
        <v>45076.390535949075</v>
      </c>
      <c r="B5251" s="50">
        <v>45076.5155062731</v>
      </c>
      <c r="C5251" s="51">
        <v>1.008</v>
      </c>
      <c r="D5251" s="51">
        <v>65.0</v>
      </c>
      <c r="E5251" s="52" t="s">
        <v>25</v>
      </c>
      <c r="F5251" s="52" t="s">
        <v>26</v>
      </c>
      <c r="G5251" s="54"/>
    </row>
    <row r="5252">
      <c r="A5252" s="49">
        <v>45076.40095734954</v>
      </c>
      <c r="B5252" s="50">
        <v>45076.5259252199</v>
      </c>
      <c r="C5252" s="51">
        <v>1.008</v>
      </c>
      <c r="D5252" s="51">
        <v>65.0</v>
      </c>
      <c r="E5252" s="52" t="s">
        <v>25</v>
      </c>
      <c r="F5252" s="52" t="s">
        <v>26</v>
      </c>
      <c r="G5252" s="54"/>
    </row>
    <row r="5253">
      <c r="A5253" s="49">
        <v>45076.411373055555</v>
      </c>
      <c r="B5253" s="50">
        <v>45076.5363465972</v>
      </c>
      <c r="C5253" s="51">
        <v>1.008</v>
      </c>
      <c r="D5253" s="51">
        <v>65.0</v>
      </c>
      <c r="E5253" s="52" t="s">
        <v>25</v>
      </c>
      <c r="F5253" s="52" t="s">
        <v>26</v>
      </c>
      <c r="G5253" s="54"/>
    </row>
    <row r="5254">
      <c r="A5254" s="49">
        <v>45076.421793657406</v>
      </c>
      <c r="B5254" s="50">
        <v>45076.5467668981</v>
      </c>
      <c r="C5254" s="51">
        <v>1.008</v>
      </c>
      <c r="D5254" s="51">
        <v>65.0</v>
      </c>
      <c r="E5254" s="52" t="s">
        <v>25</v>
      </c>
      <c r="F5254" s="52" t="s">
        <v>26</v>
      </c>
      <c r="G5254" s="54"/>
    </row>
    <row r="5255">
      <c r="A5255" s="49">
        <v>45076.432221192124</v>
      </c>
      <c r="B5255" s="50">
        <v>45076.5571876736</v>
      </c>
      <c r="C5255" s="51">
        <v>1.008</v>
      </c>
      <c r="D5255" s="51">
        <v>65.0</v>
      </c>
      <c r="E5255" s="52" t="s">
        <v>25</v>
      </c>
      <c r="F5255" s="52" t="s">
        <v>26</v>
      </c>
      <c r="G5255" s="54"/>
    </row>
    <row r="5256">
      <c r="A5256" s="49">
        <v>45076.44263215278</v>
      </c>
      <c r="B5256" s="50">
        <v>45076.5676091088</v>
      </c>
      <c r="C5256" s="51">
        <v>1.008</v>
      </c>
      <c r="D5256" s="51">
        <v>65.0</v>
      </c>
      <c r="E5256" s="52" t="s">
        <v>25</v>
      </c>
      <c r="F5256" s="52" t="s">
        <v>26</v>
      </c>
      <c r="G5256" s="54"/>
    </row>
    <row r="5257">
      <c r="A5257" s="49">
        <v>45076.45305480324</v>
      </c>
      <c r="B5257" s="50">
        <v>45076.5780307291</v>
      </c>
      <c r="C5257" s="51">
        <v>1.008</v>
      </c>
      <c r="D5257" s="51">
        <v>65.0</v>
      </c>
      <c r="E5257" s="52" t="s">
        <v>25</v>
      </c>
      <c r="F5257" s="52" t="s">
        <v>26</v>
      </c>
      <c r="G5257" s="54"/>
    </row>
    <row r="5258">
      <c r="A5258" s="49">
        <v>45076.46348005787</v>
      </c>
      <c r="B5258" s="50">
        <v>45076.588451875</v>
      </c>
      <c r="C5258" s="51">
        <v>1.008</v>
      </c>
      <c r="D5258" s="51">
        <v>65.0</v>
      </c>
      <c r="E5258" s="52" t="s">
        <v>25</v>
      </c>
      <c r="F5258" s="52" t="s">
        <v>26</v>
      </c>
      <c r="G5258" s="54"/>
    </row>
    <row r="5259">
      <c r="A5259" s="49">
        <v>45076.47389376158</v>
      </c>
      <c r="B5259" s="50">
        <v>45076.5988733564</v>
      </c>
      <c r="C5259" s="51">
        <v>1.008</v>
      </c>
      <c r="D5259" s="51">
        <v>65.0</v>
      </c>
      <c r="E5259" s="52" t="s">
        <v>25</v>
      </c>
      <c r="F5259" s="52" t="s">
        <v>26</v>
      </c>
      <c r="G5259" s="54"/>
    </row>
    <row r="5260">
      <c r="A5260" s="49">
        <v>45076.484333009255</v>
      </c>
      <c r="B5260" s="50">
        <v>45076.6093062731</v>
      </c>
      <c r="C5260" s="51">
        <v>1.008</v>
      </c>
      <c r="D5260" s="51">
        <v>65.0</v>
      </c>
      <c r="E5260" s="52" t="s">
        <v>25</v>
      </c>
      <c r="F5260" s="52" t="s">
        <v>26</v>
      </c>
      <c r="G5260" s="54"/>
    </row>
    <row r="5261">
      <c r="A5261" s="49">
        <v>45076.494755694446</v>
      </c>
      <c r="B5261" s="50">
        <v>45076.6197269328</v>
      </c>
      <c r="C5261" s="51">
        <v>1.007</v>
      </c>
      <c r="D5261" s="51">
        <v>65.0</v>
      </c>
      <c r="E5261" s="52" t="s">
        <v>25</v>
      </c>
      <c r="F5261" s="52" t="s">
        <v>26</v>
      </c>
      <c r="G5261" s="54"/>
    </row>
    <row r="5262">
      <c r="A5262" s="49">
        <v>45076.5051859375</v>
      </c>
      <c r="B5262" s="50">
        <v>45076.6301484375</v>
      </c>
      <c r="C5262" s="51">
        <v>1.008</v>
      </c>
      <c r="D5262" s="51">
        <v>65.0</v>
      </c>
      <c r="E5262" s="52" t="s">
        <v>25</v>
      </c>
      <c r="F5262" s="52" t="s">
        <v>26</v>
      </c>
      <c r="G5262" s="54"/>
    </row>
    <row r="5263">
      <c r="A5263" s="49">
        <v>45076.51561431713</v>
      </c>
      <c r="B5263" s="50">
        <v>45076.6405805671</v>
      </c>
      <c r="C5263" s="51">
        <v>1.008</v>
      </c>
      <c r="D5263" s="51">
        <v>65.0</v>
      </c>
      <c r="E5263" s="52" t="s">
        <v>25</v>
      </c>
      <c r="F5263" s="52" t="s">
        <v>26</v>
      </c>
      <c r="G5263" s="54"/>
    </row>
    <row r="5264">
      <c r="A5264" s="49">
        <v>45076.52604386574</v>
      </c>
      <c r="B5264" s="50">
        <v>45076.6510147222</v>
      </c>
      <c r="C5264" s="51">
        <v>1.008</v>
      </c>
      <c r="D5264" s="51">
        <v>65.0</v>
      </c>
      <c r="E5264" s="52" t="s">
        <v>25</v>
      </c>
      <c r="F5264" s="52" t="s">
        <v>26</v>
      </c>
      <c r="G5264" s="54"/>
    </row>
    <row r="5265">
      <c r="A5265" s="49">
        <v>45076.536466018515</v>
      </c>
      <c r="B5265" s="50">
        <v>45076.661434375</v>
      </c>
      <c r="C5265" s="51">
        <v>1.008</v>
      </c>
      <c r="D5265" s="51">
        <v>65.0</v>
      </c>
      <c r="E5265" s="52" t="s">
        <v>25</v>
      </c>
      <c r="F5265" s="52" t="s">
        <v>26</v>
      </c>
      <c r="G5265" s="54"/>
    </row>
    <row r="5266">
      <c r="A5266" s="49">
        <v>45076.54687855324</v>
      </c>
      <c r="B5266" s="50">
        <v>45076.6718556828</v>
      </c>
      <c r="C5266" s="51">
        <v>1.008</v>
      </c>
      <c r="D5266" s="51">
        <v>65.0</v>
      </c>
      <c r="E5266" s="52" t="s">
        <v>25</v>
      </c>
      <c r="F5266" s="52" t="s">
        <v>26</v>
      </c>
      <c r="G5266" s="54"/>
    </row>
    <row r="5267">
      <c r="A5267" s="49">
        <v>45076.55729938658</v>
      </c>
      <c r="B5267" s="50">
        <v>45076.6822762037</v>
      </c>
      <c r="C5267" s="51">
        <v>1.008</v>
      </c>
      <c r="D5267" s="51">
        <v>65.0</v>
      </c>
      <c r="E5267" s="52" t="s">
        <v>25</v>
      </c>
      <c r="F5267" s="52" t="s">
        <v>26</v>
      </c>
      <c r="G5267" s="54"/>
    </row>
    <row r="5268">
      <c r="A5268" s="49">
        <v>45076.56772380787</v>
      </c>
      <c r="B5268" s="50">
        <v>45076.6926955671</v>
      </c>
      <c r="C5268" s="51">
        <v>1.008</v>
      </c>
      <c r="D5268" s="51">
        <v>65.0</v>
      </c>
      <c r="E5268" s="52" t="s">
        <v>25</v>
      </c>
      <c r="F5268" s="52" t="s">
        <v>26</v>
      </c>
      <c r="G5268" s="54"/>
    </row>
    <row r="5269">
      <c r="A5269" s="49">
        <v>45076.578140451384</v>
      </c>
      <c r="B5269" s="50">
        <v>45076.7031168981</v>
      </c>
      <c r="C5269" s="51">
        <v>1.008</v>
      </c>
      <c r="D5269" s="51">
        <v>65.0</v>
      </c>
      <c r="E5269" s="52" t="s">
        <v>25</v>
      </c>
      <c r="F5269" s="52" t="s">
        <v>26</v>
      </c>
      <c r="G5269" s="54"/>
    </row>
    <row r="5270">
      <c r="A5270" s="49">
        <v>45076.588566921295</v>
      </c>
      <c r="B5270" s="50">
        <v>45076.7135502893</v>
      </c>
      <c r="C5270" s="51">
        <v>1.007</v>
      </c>
      <c r="D5270" s="51">
        <v>65.0</v>
      </c>
      <c r="E5270" s="52" t="s">
        <v>25</v>
      </c>
      <c r="F5270" s="52" t="s">
        <v>26</v>
      </c>
      <c r="G5270" s="54"/>
    </row>
    <row r="5271">
      <c r="A5271" s="49">
        <v>45076.59901844907</v>
      </c>
      <c r="B5271" s="50">
        <v>45076.7239842245</v>
      </c>
      <c r="C5271" s="51">
        <v>1.007</v>
      </c>
      <c r="D5271" s="51">
        <v>65.0</v>
      </c>
      <c r="E5271" s="52" t="s">
        <v>25</v>
      </c>
      <c r="F5271" s="52" t="s">
        <v>26</v>
      </c>
      <c r="G5271" s="54"/>
    </row>
    <row r="5272">
      <c r="A5272" s="49">
        <v>45076.609438287036</v>
      </c>
      <c r="B5272" s="50">
        <v>45076.7344170023</v>
      </c>
      <c r="C5272" s="51">
        <v>1.008</v>
      </c>
      <c r="D5272" s="51">
        <v>65.0</v>
      </c>
      <c r="E5272" s="52" t="s">
        <v>25</v>
      </c>
      <c r="F5272" s="52" t="s">
        <v>26</v>
      </c>
      <c r="G5272" s="54"/>
    </row>
    <row r="5273">
      <c r="A5273" s="49">
        <v>45076.61986690972</v>
      </c>
      <c r="B5273" s="50">
        <v>45076.7448373958</v>
      </c>
      <c r="C5273" s="51">
        <v>1.008</v>
      </c>
      <c r="D5273" s="51">
        <v>65.0</v>
      </c>
      <c r="E5273" s="52" t="s">
        <v>25</v>
      </c>
      <c r="F5273" s="52" t="s">
        <v>26</v>
      </c>
      <c r="G5273" s="54"/>
    </row>
    <row r="5274">
      <c r="A5274" s="49">
        <v>45076.63028</v>
      </c>
      <c r="B5274" s="50">
        <v>45076.7552582639</v>
      </c>
      <c r="C5274" s="51">
        <v>1.007</v>
      </c>
      <c r="D5274" s="51">
        <v>65.0</v>
      </c>
      <c r="E5274" s="52" t="s">
        <v>25</v>
      </c>
      <c r="F5274" s="52" t="s">
        <v>26</v>
      </c>
      <c r="G5274" s="54"/>
    </row>
    <row r="5275">
      <c r="A5275" s="49">
        <v>45076.64070798611</v>
      </c>
      <c r="B5275" s="50">
        <v>45076.765679074</v>
      </c>
      <c r="C5275" s="51">
        <v>1.008</v>
      </c>
      <c r="D5275" s="51">
        <v>65.0</v>
      </c>
      <c r="E5275" s="52" t="s">
        <v>25</v>
      </c>
      <c r="F5275" s="52" t="s">
        <v>26</v>
      </c>
      <c r="G5275" s="54"/>
    </row>
    <row r="5276">
      <c r="A5276" s="49">
        <v>45076.65112471065</v>
      </c>
      <c r="B5276" s="50">
        <v>45076.7761001736</v>
      </c>
      <c r="C5276" s="51">
        <v>1.008</v>
      </c>
      <c r="D5276" s="51">
        <v>65.0</v>
      </c>
      <c r="E5276" s="52" t="s">
        <v>25</v>
      </c>
      <c r="F5276" s="52" t="s">
        <v>26</v>
      </c>
      <c r="G5276" s="54"/>
    </row>
    <row r="5277">
      <c r="A5277" s="49">
        <v>45076.661561388886</v>
      </c>
      <c r="B5277" s="50">
        <v>45076.7865323495</v>
      </c>
      <c r="C5277" s="51">
        <v>1.007</v>
      </c>
      <c r="D5277" s="51">
        <v>65.0</v>
      </c>
      <c r="E5277" s="52" t="s">
        <v>25</v>
      </c>
      <c r="F5277" s="52" t="s">
        <v>26</v>
      </c>
      <c r="G5277" s="54"/>
    </row>
    <row r="5278">
      <c r="A5278" s="49">
        <v>45076.67200364583</v>
      </c>
      <c r="B5278" s="50">
        <v>45076.7969760532</v>
      </c>
      <c r="C5278" s="51">
        <v>1.007</v>
      </c>
      <c r="D5278" s="51">
        <v>65.0</v>
      </c>
      <c r="E5278" s="52" t="s">
        <v>25</v>
      </c>
      <c r="F5278" s="52" t="s">
        <v>26</v>
      </c>
      <c r="G5278" s="54"/>
    </row>
    <row r="5279">
      <c r="A5279" s="49">
        <v>45076.682432222224</v>
      </c>
      <c r="B5279" s="50">
        <v>45076.8074088773</v>
      </c>
      <c r="C5279" s="51">
        <v>1.008</v>
      </c>
      <c r="D5279" s="51">
        <v>65.0</v>
      </c>
      <c r="E5279" s="52" t="s">
        <v>25</v>
      </c>
      <c r="F5279" s="52" t="s">
        <v>26</v>
      </c>
      <c r="G5279" s="54"/>
    </row>
    <row r="5280">
      <c r="A5280" s="49">
        <v>45076.692860173614</v>
      </c>
      <c r="B5280" s="50">
        <v>45076.8178407986</v>
      </c>
      <c r="C5280" s="51">
        <v>1.008</v>
      </c>
      <c r="D5280" s="51">
        <v>65.0</v>
      </c>
      <c r="E5280" s="52" t="s">
        <v>25</v>
      </c>
      <c r="F5280" s="52" t="s">
        <v>26</v>
      </c>
      <c r="G5280" s="54"/>
    </row>
    <row r="5281">
      <c r="A5281" s="49">
        <v>45076.70327827546</v>
      </c>
      <c r="B5281" s="50">
        <v>45076.8282610995</v>
      </c>
      <c r="C5281" s="51">
        <v>1.007</v>
      </c>
      <c r="D5281" s="51">
        <v>65.0</v>
      </c>
      <c r="E5281" s="52" t="s">
        <v>25</v>
      </c>
      <c r="F5281" s="52" t="s">
        <v>26</v>
      </c>
      <c r="G5281" s="54"/>
    </row>
    <row r="5282">
      <c r="A5282" s="49">
        <v>45076.713710613425</v>
      </c>
      <c r="B5282" s="50">
        <v>45076.838683206</v>
      </c>
      <c r="C5282" s="51">
        <v>1.007</v>
      </c>
      <c r="D5282" s="51">
        <v>65.0</v>
      </c>
      <c r="E5282" s="52" t="s">
        <v>25</v>
      </c>
      <c r="F5282" s="52" t="s">
        <v>26</v>
      </c>
      <c r="G5282" s="54"/>
    </row>
    <row r="5283">
      <c r="A5283" s="49">
        <v>45076.7241384375</v>
      </c>
      <c r="B5283" s="50">
        <v>45076.8491169675</v>
      </c>
      <c r="C5283" s="51">
        <v>1.008</v>
      </c>
      <c r="D5283" s="51">
        <v>65.0</v>
      </c>
      <c r="E5283" s="52" t="s">
        <v>25</v>
      </c>
      <c r="F5283" s="52" t="s">
        <v>26</v>
      </c>
      <c r="G5283" s="54"/>
    </row>
    <row r="5284">
      <c r="A5284" s="49">
        <v>45076.73461190972</v>
      </c>
      <c r="B5284" s="50">
        <v>45076.8595842939</v>
      </c>
      <c r="C5284" s="51">
        <v>1.007</v>
      </c>
      <c r="D5284" s="51">
        <v>65.0</v>
      </c>
      <c r="E5284" s="52" t="s">
        <v>25</v>
      </c>
      <c r="F5284" s="52" t="s">
        <v>26</v>
      </c>
      <c r="G5284" s="54"/>
    </row>
    <row r="5285">
      <c r="A5285" s="49">
        <v>45076.74503373842</v>
      </c>
      <c r="B5285" s="50">
        <v>45076.8700064004</v>
      </c>
      <c r="C5285" s="51">
        <v>1.007</v>
      </c>
      <c r="D5285" s="51">
        <v>65.0</v>
      </c>
      <c r="E5285" s="52" t="s">
        <v>25</v>
      </c>
      <c r="F5285" s="52" t="s">
        <v>26</v>
      </c>
      <c r="G5285" s="54"/>
    </row>
    <row r="5286">
      <c r="A5286" s="49">
        <v>45076.75547820602</v>
      </c>
      <c r="B5286" s="50">
        <v>45076.8804505671</v>
      </c>
      <c r="C5286" s="51">
        <v>1.007</v>
      </c>
      <c r="D5286" s="51">
        <v>65.0</v>
      </c>
      <c r="E5286" s="52" t="s">
        <v>25</v>
      </c>
      <c r="F5286" s="52" t="s">
        <v>26</v>
      </c>
      <c r="G5286" s="54"/>
    </row>
    <row r="5287">
      <c r="A5287" s="49">
        <v>45076.76588953704</v>
      </c>
      <c r="B5287" s="50">
        <v>45076.8908709953</v>
      </c>
      <c r="C5287" s="51">
        <v>1.008</v>
      </c>
      <c r="D5287" s="51">
        <v>65.0</v>
      </c>
      <c r="E5287" s="52" t="s">
        <v>25</v>
      </c>
      <c r="F5287" s="52" t="s">
        <v>26</v>
      </c>
      <c r="G5287" s="54"/>
    </row>
    <row r="5288">
      <c r="A5288" s="49">
        <v>45076.77633453703</v>
      </c>
      <c r="B5288" s="50">
        <v>45076.9013143865</v>
      </c>
      <c r="C5288" s="51">
        <v>1.008</v>
      </c>
      <c r="D5288" s="51">
        <v>65.0</v>
      </c>
      <c r="E5288" s="52" t="s">
        <v>25</v>
      </c>
      <c r="F5288" s="52" t="s">
        <v>26</v>
      </c>
      <c r="G5288" s="54"/>
    </row>
    <row r="5289">
      <c r="A5289" s="49">
        <v>45076.78676202546</v>
      </c>
      <c r="B5289" s="50">
        <v>45076.9117349537</v>
      </c>
      <c r="C5289" s="51">
        <v>1.007</v>
      </c>
      <c r="D5289" s="51">
        <v>65.0</v>
      </c>
      <c r="E5289" s="52" t="s">
        <v>25</v>
      </c>
      <c r="F5289" s="52" t="s">
        <v>26</v>
      </c>
      <c r="G5289" s="54"/>
    </row>
    <row r="5290">
      <c r="A5290" s="49">
        <v>45076.79717842593</v>
      </c>
      <c r="B5290" s="50">
        <v>45076.9221557291</v>
      </c>
      <c r="C5290" s="51">
        <v>1.007</v>
      </c>
      <c r="D5290" s="51">
        <v>65.0</v>
      </c>
      <c r="E5290" s="52" t="s">
        <v>25</v>
      </c>
      <c r="F5290" s="52" t="s">
        <v>26</v>
      </c>
      <c r="G5290" s="54"/>
    </row>
    <row r="5291">
      <c r="A5291" s="49">
        <v>45076.80759645833</v>
      </c>
      <c r="B5291" s="50">
        <v>45076.9325787962</v>
      </c>
      <c r="C5291" s="51">
        <v>1.007</v>
      </c>
      <c r="D5291" s="51">
        <v>65.0</v>
      </c>
      <c r="E5291" s="52" t="s">
        <v>25</v>
      </c>
      <c r="F5291" s="52" t="s">
        <v>26</v>
      </c>
      <c r="G5291" s="54"/>
    </row>
    <row r="5292">
      <c r="A5292" s="49">
        <v>45076.8180240625</v>
      </c>
      <c r="B5292" s="50">
        <v>45076.9429999074</v>
      </c>
      <c r="C5292" s="51">
        <v>1.008</v>
      </c>
      <c r="D5292" s="51">
        <v>65.0</v>
      </c>
      <c r="E5292" s="52" t="s">
        <v>25</v>
      </c>
      <c r="F5292" s="52" t="s">
        <v>26</v>
      </c>
      <c r="G5292" s="54"/>
    </row>
    <row r="5293">
      <c r="A5293" s="49">
        <v>45076.82844138889</v>
      </c>
      <c r="B5293" s="50">
        <v>45076.9534205439</v>
      </c>
      <c r="C5293" s="51">
        <v>1.008</v>
      </c>
      <c r="D5293" s="51">
        <v>65.0</v>
      </c>
      <c r="E5293" s="52" t="s">
        <v>25</v>
      </c>
      <c r="F5293" s="52" t="s">
        <v>26</v>
      </c>
      <c r="G5293" s="54"/>
    </row>
    <row r="5294">
      <c r="A5294" s="49">
        <v>45076.838891377316</v>
      </c>
      <c r="B5294" s="50">
        <v>45076.9638661111</v>
      </c>
      <c r="C5294" s="51">
        <v>1.008</v>
      </c>
      <c r="D5294" s="51">
        <v>65.0</v>
      </c>
      <c r="E5294" s="52" t="s">
        <v>25</v>
      </c>
      <c r="F5294" s="52" t="s">
        <v>26</v>
      </c>
      <c r="G5294" s="54"/>
    </row>
    <row r="5295">
      <c r="A5295" s="49">
        <v>45076.849307592594</v>
      </c>
      <c r="B5295" s="50">
        <v>45076.9742877893</v>
      </c>
      <c r="C5295" s="51">
        <v>1.007</v>
      </c>
      <c r="D5295" s="51">
        <v>65.0</v>
      </c>
      <c r="E5295" s="52" t="s">
        <v>25</v>
      </c>
      <c r="F5295" s="52" t="s">
        <v>26</v>
      </c>
      <c r="G5295" s="54"/>
    </row>
    <row r="5296">
      <c r="A5296" s="49">
        <v>45076.85973887732</v>
      </c>
      <c r="B5296" s="50">
        <v>45076.9847089699</v>
      </c>
      <c r="C5296" s="51">
        <v>1.007</v>
      </c>
      <c r="D5296" s="51">
        <v>65.0</v>
      </c>
      <c r="E5296" s="52" t="s">
        <v>25</v>
      </c>
      <c r="F5296" s="52" t="s">
        <v>26</v>
      </c>
      <c r="G5296" s="54"/>
    </row>
    <row r="5297">
      <c r="A5297" s="49">
        <v>45076.87016333333</v>
      </c>
      <c r="B5297" s="50">
        <v>45076.9951415856</v>
      </c>
      <c r="C5297" s="51">
        <v>1.007</v>
      </c>
      <c r="D5297" s="51">
        <v>65.0</v>
      </c>
      <c r="E5297" s="52" t="s">
        <v>25</v>
      </c>
      <c r="F5297" s="52" t="s">
        <v>26</v>
      </c>
      <c r="G5297" s="54"/>
    </row>
    <row r="5298">
      <c r="A5298" s="49">
        <v>45076.88061450231</v>
      </c>
      <c r="B5298" s="50">
        <v>45077.0055869907</v>
      </c>
      <c r="C5298" s="51">
        <v>1.007</v>
      </c>
      <c r="D5298" s="51">
        <v>65.0</v>
      </c>
      <c r="E5298" s="52" t="s">
        <v>25</v>
      </c>
      <c r="F5298" s="52" t="s">
        <v>26</v>
      </c>
      <c r="G5298" s="54"/>
    </row>
    <row r="5299">
      <c r="A5299" s="49">
        <v>45076.89105106481</v>
      </c>
      <c r="B5299" s="50">
        <v>45077.016020949</v>
      </c>
      <c r="C5299" s="51">
        <v>1.007</v>
      </c>
      <c r="D5299" s="51">
        <v>65.0</v>
      </c>
      <c r="E5299" s="52" t="s">
        <v>25</v>
      </c>
      <c r="F5299" s="52" t="s">
        <v>26</v>
      </c>
      <c r="G5299" s="54"/>
    </row>
    <row r="5300">
      <c r="A5300" s="49">
        <v>45076.90147762731</v>
      </c>
      <c r="B5300" s="50">
        <v>45077.0264535648</v>
      </c>
      <c r="C5300" s="51">
        <v>1.007</v>
      </c>
      <c r="D5300" s="51">
        <v>65.0</v>
      </c>
      <c r="E5300" s="52" t="s">
        <v>25</v>
      </c>
      <c r="F5300" s="52" t="s">
        <v>26</v>
      </c>
      <c r="G5300" s="54"/>
    </row>
    <row r="5301">
      <c r="A5301" s="49">
        <v>45076.91189392361</v>
      </c>
      <c r="B5301" s="50">
        <v>45077.0368754398</v>
      </c>
      <c r="C5301" s="51">
        <v>1.007</v>
      </c>
      <c r="D5301" s="51">
        <v>65.0</v>
      </c>
      <c r="E5301" s="52" t="s">
        <v>25</v>
      </c>
      <c r="F5301" s="52" t="s">
        <v>26</v>
      </c>
      <c r="G5301" s="54"/>
    </row>
    <row r="5302">
      <c r="A5302" s="49">
        <v>45076.92232032407</v>
      </c>
      <c r="B5302" s="50">
        <v>45077.0472968634</v>
      </c>
      <c r="C5302" s="51">
        <v>1.008</v>
      </c>
      <c r="D5302" s="51">
        <v>65.0</v>
      </c>
      <c r="E5302" s="52" t="s">
        <v>25</v>
      </c>
      <c r="F5302" s="52" t="s">
        <v>26</v>
      </c>
      <c r="G5302" s="54"/>
    </row>
    <row r="5303">
      <c r="A5303" s="49">
        <v>45076.93273613426</v>
      </c>
      <c r="B5303" s="50">
        <v>45077.057717905</v>
      </c>
      <c r="C5303" s="51">
        <v>1.007</v>
      </c>
      <c r="D5303" s="51">
        <v>65.0</v>
      </c>
      <c r="E5303" s="52" t="s">
        <v>25</v>
      </c>
      <c r="F5303" s="52" t="s">
        <v>26</v>
      </c>
      <c r="G5303" s="54"/>
    </row>
    <row r="5304">
      <c r="A5304" s="49">
        <v>45076.9431622338</v>
      </c>
      <c r="B5304" s="50">
        <v>45077.0681405671</v>
      </c>
      <c r="C5304" s="51">
        <v>1.007</v>
      </c>
      <c r="D5304" s="51">
        <v>65.0</v>
      </c>
      <c r="E5304" s="52" t="s">
        <v>25</v>
      </c>
      <c r="F5304" s="52" t="s">
        <v>26</v>
      </c>
      <c r="G5304" s="54"/>
    </row>
    <row r="5305">
      <c r="A5305" s="49">
        <v>45076.9535891088</v>
      </c>
      <c r="B5305" s="50">
        <v>45077.078561875</v>
      </c>
      <c r="C5305" s="51">
        <v>1.007</v>
      </c>
      <c r="D5305" s="51">
        <v>65.0</v>
      </c>
      <c r="E5305" s="52" t="s">
        <v>25</v>
      </c>
      <c r="F5305" s="52" t="s">
        <v>26</v>
      </c>
      <c r="G5305" s="54"/>
    </row>
    <row r="5306">
      <c r="A5306" s="49">
        <v>45076.96400903935</v>
      </c>
      <c r="B5306" s="50">
        <v>45077.0889826504</v>
      </c>
      <c r="C5306" s="51">
        <v>1.007</v>
      </c>
      <c r="D5306" s="51">
        <v>65.0</v>
      </c>
      <c r="E5306" s="52" t="s">
        <v>25</v>
      </c>
      <c r="F5306" s="52" t="s">
        <v>26</v>
      </c>
      <c r="G5306" s="54"/>
    </row>
    <row r="5307">
      <c r="A5307" s="49">
        <v>45076.974421516206</v>
      </c>
      <c r="B5307" s="50">
        <v>45077.0994031481</v>
      </c>
      <c r="C5307" s="51">
        <v>1.007</v>
      </c>
      <c r="D5307" s="51">
        <v>65.0</v>
      </c>
      <c r="E5307" s="52" t="s">
        <v>25</v>
      </c>
      <c r="F5307" s="52" t="s">
        <v>26</v>
      </c>
      <c r="G5307" s="54"/>
    </row>
    <row r="5308">
      <c r="A5308" s="49">
        <v>45076.98484672453</v>
      </c>
      <c r="B5308" s="50">
        <v>45077.109823912</v>
      </c>
      <c r="C5308" s="51">
        <v>1.007</v>
      </c>
      <c r="D5308" s="51">
        <v>65.0</v>
      </c>
      <c r="E5308" s="52" t="s">
        <v>25</v>
      </c>
      <c r="F5308" s="52" t="s">
        <v>26</v>
      </c>
      <c r="G5308" s="54"/>
    </row>
    <row r="5309">
      <c r="A5309" s="49">
        <v>45076.99527630787</v>
      </c>
      <c r="B5309" s="50">
        <v>45077.1202451736</v>
      </c>
      <c r="C5309" s="51">
        <v>1.008</v>
      </c>
      <c r="D5309" s="51">
        <v>65.0</v>
      </c>
      <c r="E5309" s="52" t="s">
        <v>25</v>
      </c>
      <c r="F5309" s="52" t="s">
        <v>26</v>
      </c>
      <c r="G5309" s="54"/>
    </row>
    <row r="5310">
      <c r="A5310" s="49">
        <v>45077.00569466435</v>
      </c>
      <c r="B5310" s="50">
        <v>45077.1306673958</v>
      </c>
      <c r="C5310" s="51">
        <v>1.008</v>
      </c>
      <c r="D5310" s="51">
        <v>65.0</v>
      </c>
      <c r="E5310" s="52" t="s">
        <v>25</v>
      </c>
      <c r="F5310" s="52" t="s">
        <v>26</v>
      </c>
      <c r="G5310" s="54"/>
    </row>
    <row r="5311">
      <c r="A5311" s="49">
        <v>45077.016112881945</v>
      </c>
      <c r="B5311" s="50">
        <v>45077.1410894328</v>
      </c>
      <c r="C5311" s="51">
        <v>1.008</v>
      </c>
      <c r="D5311" s="51">
        <v>65.0</v>
      </c>
      <c r="E5311" s="52" t="s">
        <v>25</v>
      </c>
      <c r="F5311" s="52" t="s">
        <v>26</v>
      </c>
      <c r="G5311" s="54"/>
    </row>
    <row r="5312">
      <c r="A5312" s="49">
        <v>45077.02693840278</v>
      </c>
      <c r="B5312" s="50">
        <v>45077.1515343171</v>
      </c>
      <c r="C5312" s="51">
        <v>1.007</v>
      </c>
      <c r="D5312" s="51">
        <v>65.0</v>
      </c>
      <c r="E5312" s="52" t="s">
        <v>25</v>
      </c>
      <c r="F5312" s="52" t="s">
        <v>26</v>
      </c>
      <c r="G5312" s="54"/>
    </row>
    <row r="5313">
      <c r="A5313" s="49">
        <v>45077.036978344906</v>
      </c>
      <c r="B5313" s="50">
        <v>45077.1619568634</v>
      </c>
      <c r="C5313" s="51">
        <v>1.007</v>
      </c>
      <c r="D5313" s="51">
        <v>65.0</v>
      </c>
      <c r="E5313" s="52" t="s">
        <v>25</v>
      </c>
      <c r="F5313" s="52" t="s">
        <v>26</v>
      </c>
      <c r="G5313" s="54"/>
    </row>
    <row r="5314">
      <c r="A5314" s="49">
        <v>45077.04742837963</v>
      </c>
      <c r="B5314" s="50">
        <v>45077.1724023495</v>
      </c>
      <c r="C5314" s="51">
        <v>1.007</v>
      </c>
      <c r="D5314" s="51">
        <v>65.0</v>
      </c>
      <c r="E5314" s="52" t="s">
        <v>25</v>
      </c>
      <c r="F5314" s="52" t="s">
        <v>26</v>
      </c>
      <c r="G5314" s="54"/>
    </row>
    <row r="5315">
      <c r="A5315" s="49">
        <v>45077.05784355324</v>
      </c>
      <c r="B5315" s="50">
        <v>45077.1828219213</v>
      </c>
      <c r="C5315" s="51">
        <v>1.008</v>
      </c>
      <c r="D5315" s="51">
        <v>65.0</v>
      </c>
      <c r="E5315" s="52" t="s">
        <v>25</v>
      </c>
      <c r="F5315" s="52" t="s">
        <v>26</v>
      </c>
      <c r="G5315" s="54"/>
    </row>
    <row r="5316">
      <c r="A5316" s="49">
        <v>45077.068264050926</v>
      </c>
      <c r="B5316" s="50">
        <v>45077.1932425347</v>
      </c>
      <c r="C5316" s="51">
        <v>1.008</v>
      </c>
      <c r="D5316" s="51">
        <v>65.0</v>
      </c>
      <c r="E5316" s="52" t="s">
        <v>25</v>
      </c>
      <c r="F5316" s="52" t="s">
        <v>26</v>
      </c>
      <c r="G5316" s="54"/>
    </row>
    <row r="5317">
      <c r="A5317" s="49">
        <v>45077.07868805555</v>
      </c>
      <c r="B5317" s="50">
        <v>45077.2036630208</v>
      </c>
      <c r="C5317" s="51">
        <v>1.008</v>
      </c>
      <c r="D5317" s="51">
        <v>65.0</v>
      </c>
      <c r="E5317" s="52" t="s">
        <v>25</v>
      </c>
      <c r="F5317" s="52" t="s">
        <v>26</v>
      </c>
      <c r="G5317" s="54"/>
    </row>
    <row r="5318">
      <c r="A5318" s="49">
        <v>45077.08910667824</v>
      </c>
      <c r="B5318" s="50">
        <v>45077.2140835185</v>
      </c>
      <c r="C5318" s="51">
        <v>1.007</v>
      </c>
      <c r="D5318" s="51">
        <v>65.0</v>
      </c>
      <c r="E5318" s="52" t="s">
        <v>25</v>
      </c>
      <c r="F5318" s="52" t="s">
        <v>26</v>
      </c>
      <c r="G5318" s="54"/>
    </row>
    <row r="5319">
      <c r="A5319" s="49">
        <v>45077.09953015046</v>
      </c>
      <c r="B5319" s="50">
        <v>45077.2245036226</v>
      </c>
      <c r="C5319" s="51">
        <v>1.007</v>
      </c>
      <c r="D5319" s="51">
        <v>65.0</v>
      </c>
      <c r="E5319" s="52" t="s">
        <v>25</v>
      </c>
      <c r="F5319" s="52" t="s">
        <v>26</v>
      </c>
      <c r="G5319" s="54"/>
    </row>
    <row r="5320">
      <c r="A5320" s="49">
        <v>45077.10995484954</v>
      </c>
      <c r="B5320" s="50">
        <v>45077.2349246296</v>
      </c>
      <c r="C5320" s="51">
        <v>1.007</v>
      </c>
      <c r="D5320" s="51">
        <v>65.0</v>
      </c>
      <c r="E5320" s="52" t="s">
        <v>25</v>
      </c>
      <c r="F5320" s="52" t="s">
        <v>26</v>
      </c>
      <c r="G5320" s="54"/>
    </row>
    <row r="5321">
      <c r="A5321" s="49">
        <v>45077.120368090276</v>
      </c>
      <c r="B5321" s="50">
        <v>45077.2453448379</v>
      </c>
      <c r="C5321" s="51">
        <v>1.007</v>
      </c>
      <c r="D5321" s="51">
        <v>65.0</v>
      </c>
      <c r="E5321" s="52" t="s">
        <v>25</v>
      </c>
      <c r="F5321" s="52" t="s">
        <v>26</v>
      </c>
      <c r="G5321" s="54"/>
    </row>
    <row r="5322">
      <c r="A5322" s="49">
        <v>45077.13079546296</v>
      </c>
      <c r="B5322" s="50">
        <v>45077.2557648264</v>
      </c>
      <c r="C5322" s="51">
        <v>1.007</v>
      </c>
      <c r="D5322" s="51">
        <v>65.0</v>
      </c>
      <c r="E5322" s="52" t="s">
        <v>25</v>
      </c>
      <c r="F5322" s="52" t="s">
        <v>26</v>
      </c>
      <c r="G5322" s="54"/>
    </row>
    <row r="5323">
      <c r="A5323" s="49">
        <v>45077.14123606481</v>
      </c>
      <c r="B5323" s="50">
        <v>45077.2662092824</v>
      </c>
      <c r="C5323" s="51">
        <v>1.008</v>
      </c>
      <c r="D5323" s="51">
        <v>65.0</v>
      </c>
      <c r="E5323" s="52" t="s">
        <v>25</v>
      </c>
      <c r="F5323" s="52" t="s">
        <v>26</v>
      </c>
      <c r="G5323" s="54"/>
    </row>
    <row r="5324">
      <c r="A5324" s="49">
        <v>45077.151672430555</v>
      </c>
      <c r="B5324" s="50">
        <v>45077.2766424074</v>
      </c>
      <c r="C5324" s="51">
        <v>1.007</v>
      </c>
      <c r="D5324" s="51">
        <v>65.0</v>
      </c>
      <c r="E5324" s="52" t="s">
        <v>25</v>
      </c>
      <c r="F5324" s="52" t="s">
        <v>26</v>
      </c>
      <c r="G5324" s="54"/>
    </row>
    <row r="5325">
      <c r="A5325" s="49">
        <v>45077.162087951394</v>
      </c>
      <c r="B5325" s="50">
        <v>45077.2870637847</v>
      </c>
      <c r="C5325" s="51">
        <v>1.007</v>
      </c>
      <c r="D5325" s="51">
        <v>65.0</v>
      </c>
      <c r="E5325" s="52" t="s">
        <v>25</v>
      </c>
      <c r="F5325" s="52" t="s">
        <v>26</v>
      </c>
      <c r="G5325" s="54"/>
    </row>
    <row r="5326">
      <c r="A5326" s="49">
        <v>45077.17252334491</v>
      </c>
      <c r="B5326" s="50">
        <v>45077.2974952777</v>
      </c>
      <c r="C5326" s="51">
        <v>1.008</v>
      </c>
      <c r="D5326" s="51">
        <v>65.0</v>
      </c>
      <c r="E5326" s="52" t="s">
        <v>25</v>
      </c>
      <c r="F5326" s="52" t="s">
        <v>26</v>
      </c>
      <c r="G5326" s="54"/>
    </row>
    <row r="5327">
      <c r="A5327" s="49">
        <v>45077.182952303236</v>
      </c>
      <c r="B5327" s="50">
        <v>45077.3079284259</v>
      </c>
      <c r="C5327" s="51">
        <v>1.007</v>
      </c>
      <c r="D5327" s="51">
        <v>65.0</v>
      </c>
      <c r="E5327" s="52" t="s">
        <v>25</v>
      </c>
      <c r="F5327" s="52" t="s">
        <v>26</v>
      </c>
      <c r="G5327" s="54"/>
    </row>
    <row r="5328">
      <c r="A5328" s="49">
        <v>45077.19336788195</v>
      </c>
      <c r="B5328" s="50">
        <v>45077.3183496527</v>
      </c>
      <c r="C5328" s="51">
        <v>1.007</v>
      </c>
      <c r="D5328" s="51">
        <v>65.0</v>
      </c>
      <c r="E5328" s="52" t="s">
        <v>25</v>
      </c>
      <c r="F5328" s="52" t="s">
        <v>26</v>
      </c>
      <c r="G5328" s="54"/>
    </row>
    <row r="5329">
      <c r="A5329" s="49">
        <v>45077.2037965625</v>
      </c>
      <c r="B5329" s="50">
        <v>45077.3287713078</v>
      </c>
      <c r="C5329" s="51">
        <v>1.007</v>
      </c>
      <c r="D5329" s="51">
        <v>65.0</v>
      </c>
      <c r="E5329" s="52" t="s">
        <v>25</v>
      </c>
      <c r="F5329" s="52" t="s">
        <v>26</v>
      </c>
      <c r="G5329" s="54"/>
    </row>
    <row r="5330">
      <c r="A5330" s="49">
        <v>45077.214217719906</v>
      </c>
      <c r="B5330" s="50">
        <v>45077.3391898958</v>
      </c>
      <c r="C5330" s="51">
        <v>1.007</v>
      </c>
      <c r="D5330" s="51">
        <v>65.0</v>
      </c>
      <c r="E5330" s="52" t="s">
        <v>25</v>
      </c>
      <c r="F5330" s="52" t="s">
        <v>26</v>
      </c>
      <c r="G5330" s="54"/>
    </row>
    <row r="5331">
      <c r="A5331" s="49">
        <v>45077.22465188657</v>
      </c>
      <c r="B5331" s="50">
        <v>45077.3496219097</v>
      </c>
      <c r="C5331" s="51">
        <v>1.007</v>
      </c>
      <c r="D5331" s="51">
        <v>65.0</v>
      </c>
      <c r="E5331" s="52" t="s">
        <v>25</v>
      </c>
      <c r="F5331" s="52" t="s">
        <v>26</v>
      </c>
      <c r="G5331" s="54"/>
    </row>
    <row r="5332">
      <c r="A5332" s="49">
        <v>45077.235083148145</v>
      </c>
      <c r="B5332" s="50">
        <v>45077.3600551851</v>
      </c>
      <c r="C5332" s="51">
        <v>1.007</v>
      </c>
      <c r="D5332" s="51">
        <v>65.0</v>
      </c>
      <c r="E5332" s="52" t="s">
        <v>25</v>
      </c>
      <c r="F5332" s="52" t="s">
        <v>26</v>
      </c>
      <c r="G5332" s="54"/>
    </row>
    <row r="5333">
      <c r="A5333" s="49">
        <v>45077.24550608796</v>
      </c>
      <c r="B5333" s="50">
        <v>45077.3704756828</v>
      </c>
      <c r="C5333" s="51">
        <v>1.007</v>
      </c>
      <c r="D5333" s="51">
        <v>65.0</v>
      </c>
      <c r="E5333" s="52" t="s">
        <v>25</v>
      </c>
      <c r="F5333" s="52" t="s">
        <v>26</v>
      </c>
      <c r="G5333" s="54"/>
    </row>
    <row r="5334">
      <c r="A5334" s="49">
        <v>45077.25591475694</v>
      </c>
      <c r="B5334" s="50">
        <v>45077.3808954282</v>
      </c>
      <c r="C5334" s="51">
        <v>1.007</v>
      </c>
      <c r="D5334" s="51">
        <v>65.0</v>
      </c>
      <c r="E5334" s="52" t="s">
        <v>25</v>
      </c>
      <c r="F5334" s="52" t="s">
        <v>26</v>
      </c>
      <c r="G5334" s="54"/>
    </row>
    <row r="5335">
      <c r="A5335" s="49">
        <v>45077.26634829861</v>
      </c>
      <c r="B5335" s="50">
        <v>45077.3913287963</v>
      </c>
      <c r="C5335" s="51">
        <v>1.007</v>
      </c>
      <c r="D5335" s="51">
        <v>65.0</v>
      </c>
      <c r="E5335" s="52" t="s">
        <v>25</v>
      </c>
      <c r="F5335" s="52" t="s">
        <v>26</v>
      </c>
      <c r="G5335" s="54"/>
    </row>
    <row r="5336">
      <c r="A5336" s="49">
        <v>45077.27677337963</v>
      </c>
      <c r="B5336" s="50">
        <v>45077.4017510763</v>
      </c>
      <c r="C5336" s="51">
        <v>1.007</v>
      </c>
      <c r="D5336" s="51">
        <v>65.0</v>
      </c>
      <c r="E5336" s="52" t="s">
        <v>25</v>
      </c>
      <c r="F5336" s="52" t="s">
        <v>26</v>
      </c>
      <c r="G5336" s="54"/>
    </row>
    <row r="5337">
      <c r="A5337" s="49">
        <v>45077.287204849534</v>
      </c>
      <c r="B5337" s="50">
        <v>45077.4121844675</v>
      </c>
      <c r="C5337" s="51">
        <v>1.007</v>
      </c>
      <c r="D5337" s="51">
        <v>65.0</v>
      </c>
      <c r="E5337" s="52" t="s">
        <v>25</v>
      </c>
      <c r="F5337" s="52" t="s">
        <v>26</v>
      </c>
      <c r="G5337" s="54"/>
    </row>
    <row r="5338">
      <c r="A5338" s="49">
        <v>45077.297629988425</v>
      </c>
      <c r="B5338" s="50">
        <v>45077.4226040856</v>
      </c>
      <c r="C5338" s="51">
        <v>1.007</v>
      </c>
      <c r="D5338" s="51">
        <v>65.0</v>
      </c>
      <c r="E5338" s="52" t="s">
        <v>25</v>
      </c>
      <c r="F5338" s="52" t="s">
        <v>26</v>
      </c>
      <c r="G5338" s="54"/>
    </row>
    <row r="5339">
      <c r="A5339" s="49">
        <v>45077.308054375</v>
      </c>
      <c r="B5339" s="50">
        <v>45077.4330250578</v>
      </c>
      <c r="C5339" s="51">
        <v>1.007</v>
      </c>
      <c r="D5339" s="51">
        <v>65.0</v>
      </c>
      <c r="E5339" s="52" t="s">
        <v>25</v>
      </c>
      <c r="F5339" s="52" t="s">
        <v>26</v>
      </c>
      <c r="G5339" s="54"/>
    </row>
    <row r="5340">
      <c r="A5340" s="49">
        <v>45077.31846708333</v>
      </c>
      <c r="B5340" s="50">
        <v>45077.4434454282</v>
      </c>
      <c r="C5340" s="51">
        <v>1.007</v>
      </c>
      <c r="D5340" s="51">
        <v>65.0</v>
      </c>
      <c r="E5340" s="52" t="s">
        <v>25</v>
      </c>
      <c r="F5340" s="52" t="s">
        <v>26</v>
      </c>
      <c r="G5340" s="54"/>
    </row>
    <row r="5341">
      <c r="A5341" s="49">
        <v>45077.32888407407</v>
      </c>
      <c r="B5341" s="50">
        <v>45077.4538670138</v>
      </c>
      <c r="C5341" s="51">
        <v>1.007</v>
      </c>
      <c r="D5341" s="51">
        <v>65.0</v>
      </c>
      <c r="E5341" s="52" t="s">
        <v>25</v>
      </c>
      <c r="F5341" s="52" t="s">
        <v>26</v>
      </c>
      <c r="G5341" s="54"/>
    </row>
    <row r="5342">
      <c r="A5342" s="49">
        <v>45077.339314826386</v>
      </c>
      <c r="B5342" s="50">
        <v>45077.4642886689</v>
      </c>
      <c r="C5342" s="51">
        <v>1.007</v>
      </c>
      <c r="D5342" s="51">
        <v>65.0</v>
      </c>
      <c r="E5342" s="52" t="s">
        <v>25</v>
      </c>
      <c r="F5342" s="52" t="s">
        <v>26</v>
      </c>
      <c r="G5342" s="54"/>
    </row>
    <row r="5343">
      <c r="A5343" s="49">
        <v>45077.34973307871</v>
      </c>
      <c r="B5343" s="50">
        <v>45077.4747102893</v>
      </c>
      <c r="C5343" s="51">
        <v>1.007</v>
      </c>
      <c r="D5343" s="51">
        <v>65.0</v>
      </c>
      <c r="E5343" s="52" t="s">
        <v>25</v>
      </c>
      <c r="F5343" s="52" t="s">
        <v>26</v>
      </c>
      <c r="G5343" s="54"/>
    </row>
    <row r="5344">
      <c r="A5344" s="49">
        <v>45077.36015260417</v>
      </c>
      <c r="B5344" s="50">
        <v>45077.4851316203</v>
      </c>
      <c r="C5344" s="51">
        <v>1.007</v>
      </c>
      <c r="D5344" s="51">
        <v>65.0</v>
      </c>
      <c r="E5344" s="52" t="s">
        <v>25</v>
      </c>
      <c r="F5344" s="52" t="s">
        <v>26</v>
      </c>
      <c r="G5344" s="54"/>
    </row>
    <row r="5345">
      <c r="A5345" s="49">
        <v>45077.37058033565</v>
      </c>
      <c r="B5345" s="50">
        <v>45077.4955537731</v>
      </c>
      <c r="C5345" s="51">
        <v>1.007</v>
      </c>
      <c r="D5345" s="51">
        <v>65.0</v>
      </c>
      <c r="E5345" s="52" t="s">
        <v>25</v>
      </c>
      <c r="F5345" s="52" t="s">
        <v>26</v>
      </c>
      <c r="G5345" s="54"/>
    </row>
    <row r="5346">
      <c r="A5346" s="49">
        <v>45077.381002372684</v>
      </c>
      <c r="B5346" s="50">
        <v>45077.5059746412</v>
      </c>
      <c r="C5346" s="51">
        <v>1.007</v>
      </c>
      <c r="D5346" s="51">
        <v>65.0</v>
      </c>
      <c r="E5346" s="52" t="s">
        <v>25</v>
      </c>
      <c r="F5346" s="52" t="s">
        <v>26</v>
      </c>
      <c r="G5346" s="54"/>
    </row>
    <row r="5347">
      <c r="A5347" s="49">
        <v>45077.39141568287</v>
      </c>
      <c r="B5347" s="50">
        <v>45077.5163966435</v>
      </c>
      <c r="C5347" s="51">
        <v>1.007</v>
      </c>
      <c r="D5347" s="51">
        <v>65.0</v>
      </c>
      <c r="E5347" s="52" t="s">
        <v>25</v>
      </c>
      <c r="F5347" s="52" t="s">
        <v>26</v>
      </c>
      <c r="G5347" s="54"/>
    </row>
    <row r="5348">
      <c r="A5348" s="49">
        <v>45077.40184988426</v>
      </c>
      <c r="B5348" s="50">
        <v>45077.5268184259</v>
      </c>
      <c r="C5348" s="51">
        <v>1.007</v>
      </c>
      <c r="D5348" s="51">
        <v>65.0</v>
      </c>
      <c r="E5348" s="52" t="s">
        <v>25</v>
      </c>
      <c r="F5348" s="52" t="s">
        <v>26</v>
      </c>
      <c r="G5348" s="54"/>
    </row>
    <row r="5349">
      <c r="A5349" s="49">
        <v>45077.412262928236</v>
      </c>
      <c r="B5349" s="50">
        <v>45077.5372404861</v>
      </c>
      <c r="C5349" s="51">
        <v>1.007</v>
      </c>
      <c r="D5349" s="51">
        <v>65.0</v>
      </c>
      <c r="E5349" s="52" t="s">
        <v>25</v>
      </c>
      <c r="F5349" s="52" t="s">
        <v>26</v>
      </c>
      <c r="G5349" s="54"/>
    </row>
    <row r="5350">
      <c r="A5350" s="49">
        <v>45077.42271284723</v>
      </c>
      <c r="B5350" s="50">
        <v>45077.5476846643</v>
      </c>
      <c r="C5350" s="51">
        <v>1.007</v>
      </c>
      <c r="D5350" s="51">
        <v>65.0</v>
      </c>
      <c r="E5350" s="52" t="s">
        <v>25</v>
      </c>
      <c r="F5350" s="52" t="s">
        <v>26</v>
      </c>
      <c r="G5350" s="54"/>
    </row>
    <row r="5351">
      <c r="A5351" s="49">
        <v>45077.43312780093</v>
      </c>
      <c r="B5351" s="50">
        <v>45077.5581054398</v>
      </c>
      <c r="C5351" s="51">
        <v>1.007</v>
      </c>
      <c r="D5351" s="51">
        <v>65.0</v>
      </c>
      <c r="E5351" s="52" t="s">
        <v>25</v>
      </c>
      <c r="F5351" s="52" t="s">
        <v>26</v>
      </c>
      <c r="G5351" s="54"/>
    </row>
    <row r="5352">
      <c r="A5352" s="49">
        <v>45077.443568993054</v>
      </c>
      <c r="B5352" s="50">
        <v>45077.5685504976</v>
      </c>
      <c r="C5352" s="51">
        <v>1.007</v>
      </c>
      <c r="D5352" s="51">
        <v>65.0</v>
      </c>
      <c r="E5352" s="52" t="s">
        <v>25</v>
      </c>
      <c r="F5352" s="52" t="s">
        <v>26</v>
      </c>
      <c r="G5352" s="54"/>
    </row>
    <row r="5353">
      <c r="A5353" s="49">
        <v>45077.45400113426</v>
      </c>
      <c r="B5353" s="50">
        <v>45077.5789720138</v>
      </c>
      <c r="C5353" s="51">
        <v>1.007</v>
      </c>
      <c r="D5353" s="51">
        <v>65.0</v>
      </c>
      <c r="E5353" s="52" t="s">
        <v>25</v>
      </c>
      <c r="F5353" s="52" t="s">
        <v>26</v>
      </c>
      <c r="G5353" s="54"/>
    </row>
    <row r="5354">
      <c r="A5354" s="49">
        <v>45077.46444576389</v>
      </c>
      <c r="B5354" s="50">
        <v>45077.5894185764</v>
      </c>
      <c r="C5354" s="51">
        <v>1.007</v>
      </c>
      <c r="D5354" s="51">
        <v>65.0</v>
      </c>
      <c r="E5354" s="52" t="s">
        <v>25</v>
      </c>
      <c r="F5354" s="52" t="s">
        <v>26</v>
      </c>
      <c r="G5354" s="54"/>
    </row>
    <row r="5355">
      <c r="A5355" s="49">
        <v>45077.47486178241</v>
      </c>
      <c r="B5355" s="50">
        <v>45077.5998401041</v>
      </c>
      <c r="C5355" s="51">
        <v>1.007</v>
      </c>
      <c r="D5355" s="51">
        <v>65.0</v>
      </c>
      <c r="E5355" s="52" t="s">
        <v>25</v>
      </c>
      <c r="F5355" s="52" t="s">
        <v>26</v>
      </c>
      <c r="G5355" s="54"/>
    </row>
    <row r="5356">
      <c r="A5356" s="49">
        <v>45077.48528309028</v>
      </c>
      <c r="B5356" s="50">
        <v>45077.6102610763</v>
      </c>
      <c r="C5356" s="51">
        <v>1.007</v>
      </c>
      <c r="D5356" s="51">
        <v>65.0</v>
      </c>
      <c r="E5356" s="52" t="s">
        <v>25</v>
      </c>
      <c r="F5356" s="52" t="s">
        <v>26</v>
      </c>
      <c r="G5356" s="54"/>
    </row>
    <row r="5357">
      <c r="A5357" s="49">
        <v>45077.495734375</v>
      </c>
      <c r="B5357" s="50">
        <v>45077.6207159027</v>
      </c>
      <c r="C5357" s="51">
        <v>1.007</v>
      </c>
      <c r="D5357" s="51">
        <v>65.0</v>
      </c>
      <c r="E5357" s="52" t="s">
        <v>25</v>
      </c>
      <c r="F5357" s="52" t="s">
        <v>26</v>
      </c>
      <c r="G5357" s="54"/>
    </row>
    <row r="5358">
      <c r="A5358" s="49">
        <v>45077.50616819445</v>
      </c>
      <c r="B5358" s="50">
        <v>45077.6311470833</v>
      </c>
      <c r="C5358" s="51">
        <v>1.007</v>
      </c>
      <c r="D5358" s="51">
        <v>65.0</v>
      </c>
      <c r="E5358" s="52" t="s">
        <v>25</v>
      </c>
      <c r="F5358" s="52" t="s">
        <v>26</v>
      </c>
      <c r="G5358" s="54"/>
    </row>
    <row r="5359">
      <c r="A5359" s="49">
        <v>45077.51660109954</v>
      </c>
      <c r="B5359" s="50">
        <v>45077.6415681597</v>
      </c>
      <c r="C5359" s="51">
        <v>1.007</v>
      </c>
      <c r="D5359" s="51">
        <v>65.0</v>
      </c>
      <c r="E5359" s="52" t="s">
        <v>25</v>
      </c>
      <c r="F5359" s="52" t="s">
        <v>26</v>
      </c>
      <c r="G5359" s="54"/>
    </row>
    <row r="5360">
      <c r="A5360" s="49">
        <v>45077.52701636574</v>
      </c>
      <c r="B5360" s="50">
        <v>45077.651988912</v>
      </c>
      <c r="C5360" s="51">
        <v>1.007</v>
      </c>
      <c r="D5360" s="51">
        <v>65.0</v>
      </c>
      <c r="E5360" s="52" t="s">
        <v>25</v>
      </c>
      <c r="F5360" s="52" t="s">
        <v>26</v>
      </c>
      <c r="G5360" s="54"/>
    </row>
    <row r="5361">
      <c r="A5361" s="49">
        <v>45077.537434074075</v>
      </c>
      <c r="B5361" s="50">
        <v>45077.6624114004</v>
      </c>
      <c r="C5361" s="51">
        <v>1.007</v>
      </c>
      <c r="D5361" s="51">
        <v>65.0</v>
      </c>
      <c r="E5361" s="52" t="s">
        <v>25</v>
      </c>
      <c r="F5361" s="52" t="s">
        <v>26</v>
      </c>
      <c r="G5361" s="54"/>
    </row>
    <row r="5362">
      <c r="A5362" s="49">
        <v>45077.54785797454</v>
      </c>
      <c r="B5362" s="50">
        <v>45077.6728313773</v>
      </c>
      <c r="C5362" s="51">
        <v>1.007</v>
      </c>
      <c r="D5362" s="51">
        <v>65.0</v>
      </c>
      <c r="E5362" s="52" t="s">
        <v>25</v>
      </c>
      <c r="F5362" s="52" t="s">
        <v>26</v>
      </c>
      <c r="G5362" s="54"/>
    </row>
    <row r="5363">
      <c r="A5363" s="49">
        <v>45077.558282604165</v>
      </c>
      <c r="B5363" s="50">
        <v>45077.6832642592</v>
      </c>
      <c r="C5363" s="51">
        <v>1.007</v>
      </c>
      <c r="D5363" s="51">
        <v>65.0</v>
      </c>
      <c r="E5363" s="52" t="s">
        <v>25</v>
      </c>
      <c r="F5363" s="52" t="s">
        <v>26</v>
      </c>
      <c r="G5363" s="54"/>
    </row>
    <row r="5364">
      <c r="A5364" s="49">
        <v>45077.568709259256</v>
      </c>
      <c r="B5364" s="50">
        <v>45077.6936849768</v>
      </c>
      <c r="C5364" s="51">
        <v>1.007</v>
      </c>
      <c r="D5364" s="51">
        <v>65.0</v>
      </c>
      <c r="E5364" s="52" t="s">
        <v>25</v>
      </c>
      <c r="F5364" s="52" t="s">
        <v>26</v>
      </c>
      <c r="G5364" s="54"/>
    </row>
    <row r="5365">
      <c r="A5365" s="49">
        <v>45077.579145173615</v>
      </c>
      <c r="B5365" s="50">
        <v>45077.7041188657</v>
      </c>
      <c r="C5365" s="51">
        <v>1.007</v>
      </c>
      <c r="D5365" s="51">
        <v>65.0</v>
      </c>
      <c r="E5365" s="52" t="s">
        <v>25</v>
      </c>
      <c r="F5365" s="52" t="s">
        <v>26</v>
      </c>
      <c r="G5365" s="54"/>
    </row>
    <row r="5366">
      <c r="A5366" s="49">
        <v>45077.58956180555</v>
      </c>
      <c r="B5366" s="50">
        <v>45077.7145401157</v>
      </c>
      <c r="C5366" s="51">
        <v>1.007</v>
      </c>
      <c r="D5366" s="51">
        <v>65.0</v>
      </c>
      <c r="E5366" s="52" t="s">
        <v>25</v>
      </c>
      <c r="F5366" s="52" t="s">
        <v>26</v>
      </c>
      <c r="G5366" s="54"/>
    </row>
    <row r="5367">
      <c r="A5367" s="49">
        <v>45077.59998</v>
      </c>
      <c r="B5367" s="50">
        <v>45077.724962743</v>
      </c>
      <c r="C5367" s="51">
        <v>1.007</v>
      </c>
      <c r="D5367" s="51">
        <v>65.0</v>
      </c>
      <c r="E5367" s="52" t="s">
        <v>25</v>
      </c>
      <c r="F5367" s="52" t="s">
        <v>26</v>
      </c>
      <c r="G5367" s="54"/>
    </row>
    <row r="5368">
      <c r="A5368" s="49">
        <v>45077.610409305555</v>
      </c>
      <c r="B5368" s="50">
        <v>45077.7353849074</v>
      </c>
      <c r="C5368" s="51">
        <v>1.007</v>
      </c>
      <c r="D5368" s="51">
        <v>65.0</v>
      </c>
      <c r="E5368" s="52" t="s">
        <v>25</v>
      </c>
      <c r="F5368" s="52" t="s">
        <v>26</v>
      </c>
      <c r="G5368" s="54"/>
    </row>
    <row r="5369">
      <c r="A5369" s="49">
        <v>45077.62083115741</v>
      </c>
      <c r="B5369" s="50">
        <v>45077.7458047916</v>
      </c>
      <c r="C5369" s="51">
        <v>1.007</v>
      </c>
      <c r="D5369" s="51">
        <v>65.0</v>
      </c>
      <c r="E5369" s="52" t="s">
        <v>25</v>
      </c>
      <c r="F5369" s="52" t="s">
        <v>26</v>
      </c>
      <c r="G5369" s="54"/>
    </row>
    <row r="5370">
      <c r="A5370" s="49">
        <v>45077.63126054398</v>
      </c>
      <c r="B5370" s="50">
        <v>45077.7562264814</v>
      </c>
      <c r="C5370" s="51">
        <v>1.007</v>
      </c>
      <c r="D5370" s="51">
        <v>65.0</v>
      </c>
      <c r="E5370" s="52" t="s">
        <v>25</v>
      </c>
      <c r="F5370" s="52" t="s">
        <v>26</v>
      </c>
      <c r="G5370" s="54"/>
    </row>
    <row r="5371">
      <c r="A5371" s="49">
        <v>45077.64167457176</v>
      </c>
      <c r="B5371" s="50">
        <v>45077.7666476388</v>
      </c>
      <c r="C5371" s="51">
        <v>1.007</v>
      </c>
      <c r="D5371" s="51">
        <v>65.0</v>
      </c>
      <c r="E5371" s="52" t="s">
        <v>25</v>
      </c>
      <c r="F5371" s="52" t="s">
        <v>26</v>
      </c>
      <c r="G5371" s="54"/>
    </row>
    <row r="5372">
      <c r="A5372" s="49">
        <v>45077.652106574074</v>
      </c>
      <c r="B5372" s="50">
        <v>45077.7770804398</v>
      </c>
      <c r="C5372" s="51">
        <v>1.007</v>
      </c>
      <c r="D5372" s="51">
        <v>65.0</v>
      </c>
      <c r="E5372" s="52" t="s">
        <v>25</v>
      </c>
      <c r="F5372" s="52" t="s">
        <v>26</v>
      </c>
      <c r="G5372" s="54"/>
    </row>
    <row r="5373">
      <c r="A5373" s="49">
        <v>45077.662520659724</v>
      </c>
      <c r="B5373" s="50">
        <v>45077.7875012037</v>
      </c>
      <c r="C5373" s="51">
        <v>1.007</v>
      </c>
      <c r="D5373" s="51">
        <v>65.0</v>
      </c>
      <c r="E5373" s="52" t="s">
        <v>25</v>
      </c>
      <c r="F5373" s="52" t="s">
        <v>26</v>
      </c>
      <c r="G5373" s="54"/>
    </row>
    <row r="5374">
      <c r="A5374" s="49">
        <v>45077.672939421296</v>
      </c>
      <c r="B5374" s="50">
        <v>45077.7979221875</v>
      </c>
      <c r="C5374" s="51">
        <v>1.007</v>
      </c>
      <c r="D5374" s="51">
        <v>65.0</v>
      </c>
      <c r="E5374" s="52" t="s">
        <v>25</v>
      </c>
      <c r="F5374" s="52" t="s">
        <v>26</v>
      </c>
      <c r="G5374" s="54"/>
    </row>
    <row r="5375">
      <c r="A5375" s="49">
        <v>45077.68336045139</v>
      </c>
      <c r="B5375" s="50">
        <v>45077.8083433449</v>
      </c>
      <c r="C5375" s="51">
        <v>1.007</v>
      </c>
      <c r="D5375" s="51">
        <v>65.0</v>
      </c>
      <c r="E5375" s="52" t="s">
        <v>25</v>
      </c>
      <c r="F5375" s="52" t="s">
        <v>26</v>
      </c>
      <c r="G5375" s="54"/>
    </row>
    <row r="5376">
      <c r="A5376" s="49">
        <v>45077.69378487268</v>
      </c>
      <c r="B5376" s="50">
        <v>45077.8187639351</v>
      </c>
      <c r="C5376" s="51">
        <v>1.007</v>
      </c>
      <c r="D5376" s="51">
        <v>65.0</v>
      </c>
      <c r="E5376" s="52" t="s">
        <v>25</v>
      </c>
      <c r="F5376" s="52" t="s">
        <v>26</v>
      </c>
      <c r="G5376" s="54"/>
    </row>
    <row r="5377">
      <c r="A5377" s="49">
        <v>45077.704213425925</v>
      </c>
      <c r="B5377" s="50">
        <v>45077.829185</v>
      </c>
      <c r="C5377" s="51">
        <v>1.007</v>
      </c>
      <c r="D5377" s="51">
        <v>65.0</v>
      </c>
      <c r="E5377" s="52" t="s">
        <v>25</v>
      </c>
      <c r="F5377" s="52" t="s">
        <v>26</v>
      </c>
      <c r="G5377" s="54"/>
    </row>
    <row r="5378">
      <c r="A5378" s="49">
        <v>45077.71463253473</v>
      </c>
      <c r="B5378" s="50">
        <v>45077.839606331</v>
      </c>
      <c r="C5378" s="51">
        <v>1.007</v>
      </c>
      <c r="D5378" s="51">
        <v>65.0</v>
      </c>
      <c r="E5378" s="52" t="s">
        <v>25</v>
      </c>
      <c r="F5378" s="52" t="s">
        <v>26</v>
      </c>
      <c r="G5378" s="54"/>
    </row>
    <row r="5379">
      <c r="A5379" s="49">
        <v>45077.72506107639</v>
      </c>
      <c r="B5379" s="50">
        <v>45077.8500269328</v>
      </c>
      <c r="C5379" s="51">
        <v>1.007</v>
      </c>
      <c r="D5379" s="51">
        <v>65.0</v>
      </c>
      <c r="E5379" s="52" t="s">
        <v>25</v>
      </c>
      <c r="F5379" s="52" t="s">
        <v>26</v>
      </c>
      <c r="G5379" s="54"/>
    </row>
    <row r="5380">
      <c r="A5380" s="49">
        <v>45077.73547695602</v>
      </c>
      <c r="B5380" s="50">
        <v>45077.8604594675</v>
      </c>
      <c r="C5380" s="51">
        <v>1.007</v>
      </c>
      <c r="D5380" s="51">
        <v>65.0</v>
      </c>
      <c r="E5380" s="52" t="s">
        <v>25</v>
      </c>
      <c r="F5380" s="52" t="s">
        <v>26</v>
      </c>
      <c r="G5380" s="54"/>
    </row>
    <row r="5381">
      <c r="A5381" s="49">
        <v>45077.74590040509</v>
      </c>
      <c r="B5381" s="50">
        <v>45077.8708789467</v>
      </c>
      <c r="C5381" s="51">
        <v>1.007</v>
      </c>
      <c r="D5381" s="51">
        <v>65.0</v>
      </c>
      <c r="E5381" s="52" t="s">
        <v>25</v>
      </c>
      <c r="F5381" s="52" t="s">
        <v>26</v>
      </c>
      <c r="G5381" s="54"/>
    </row>
    <row r="5382">
      <c r="A5382" s="49">
        <v>45077.75634074074</v>
      </c>
      <c r="B5382" s="50">
        <v>45077.8813138078</v>
      </c>
      <c r="C5382" s="51">
        <v>1.007</v>
      </c>
      <c r="D5382" s="51">
        <v>65.0</v>
      </c>
      <c r="E5382" s="52" t="s">
        <v>25</v>
      </c>
      <c r="F5382" s="52" t="s">
        <v>26</v>
      </c>
      <c r="G5382" s="54"/>
    </row>
    <row r="5383">
      <c r="A5383" s="49">
        <v>45077.76677190972</v>
      </c>
      <c r="B5383" s="50">
        <v>45077.891747743</v>
      </c>
      <c r="C5383" s="51">
        <v>1.007</v>
      </c>
      <c r="D5383" s="51">
        <v>65.0</v>
      </c>
      <c r="E5383" s="52" t="s">
        <v>25</v>
      </c>
      <c r="F5383" s="52" t="s">
        <v>26</v>
      </c>
      <c r="G5383" s="54"/>
    </row>
    <row r="5384">
      <c r="A5384" s="49">
        <v>45077.777203645834</v>
      </c>
      <c r="B5384" s="50">
        <v>45077.902178993</v>
      </c>
      <c r="C5384" s="51">
        <v>1.007</v>
      </c>
      <c r="D5384" s="51">
        <v>65.0</v>
      </c>
      <c r="E5384" s="52" t="s">
        <v>25</v>
      </c>
      <c r="F5384" s="52" t="s">
        <v>26</v>
      </c>
      <c r="G5384" s="54"/>
    </row>
    <row r="5385">
      <c r="A5385" s="49">
        <v>45077.78763486111</v>
      </c>
      <c r="B5385" s="50">
        <v>45077.912611875</v>
      </c>
      <c r="C5385" s="51">
        <v>1.007</v>
      </c>
      <c r="D5385" s="51">
        <v>65.0</v>
      </c>
      <c r="E5385" s="52" t="s">
        <v>25</v>
      </c>
      <c r="F5385" s="52" t="s">
        <v>26</v>
      </c>
      <c r="G5385" s="54"/>
    </row>
    <row r="5386">
      <c r="A5386" s="49">
        <v>45077.79806680555</v>
      </c>
      <c r="B5386" s="50">
        <v>45077.9230435416</v>
      </c>
      <c r="C5386" s="51">
        <v>1.007</v>
      </c>
      <c r="D5386" s="51">
        <v>65.0</v>
      </c>
      <c r="E5386" s="52" t="s">
        <v>25</v>
      </c>
      <c r="F5386" s="52" t="s">
        <v>26</v>
      </c>
      <c r="G5386" s="54"/>
    </row>
    <row r="5387">
      <c r="A5387" s="49">
        <v>45077.80849027778</v>
      </c>
      <c r="B5387" s="50">
        <v>45077.9334643055</v>
      </c>
      <c r="C5387" s="51">
        <v>1.007</v>
      </c>
      <c r="D5387" s="51">
        <v>65.0</v>
      </c>
      <c r="E5387" s="52" t="s">
        <v>25</v>
      </c>
      <c r="F5387" s="52" t="s">
        <v>26</v>
      </c>
      <c r="G5387" s="54"/>
    </row>
    <row r="5388">
      <c r="A5388" s="49">
        <v>45077.81890252315</v>
      </c>
      <c r="B5388" s="50">
        <v>45077.9438849652</v>
      </c>
      <c r="C5388" s="51">
        <v>1.007</v>
      </c>
      <c r="D5388" s="51">
        <v>65.0</v>
      </c>
      <c r="E5388" s="52" t="s">
        <v>25</v>
      </c>
      <c r="F5388" s="52" t="s">
        <v>26</v>
      </c>
      <c r="G5388" s="54"/>
    </row>
    <row r="5389">
      <c r="A5389" s="49">
        <v>45077.829333738424</v>
      </c>
      <c r="B5389" s="50">
        <v>45077.9543169675</v>
      </c>
      <c r="C5389" s="51">
        <v>1.007</v>
      </c>
      <c r="D5389" s="51">
        <v>65.0</v>
      </c>
      <c r="E5389" s="52" t="s">
        <v>25</v>
      </c>
      <c r="F5389" s="52" t="s">
        <v>26</v>
      </c>
      <c r="G5389" s="54"/>
    </row>
    <row r="5390">
      <c r="A5390" s="49">
        <v>45077.839757511574</v>
      </c>
      <c r="B5390" s="50">
        <v>45077.9647368171</v>
      </c>
      <c r="C5390" s="51">
        <v>1.007</v>
      </c>
      <c r="D5390" s="51">
        <v>65.0</v>
      </c>
      <c r="E5390" s="52" t="s">
        <v>25</v>
      </c>
      <c r="F5390" s="52" t="s">
        <v>26</v>
      </c>
      <c r="G5390" s="54"/>
    </row>
    <row r="5391">
      <c r="A5391" s="49">
        <v>45077.85019469907</v>
      </c>
      <c r="B5391" s="50">
        <v>45077.9751672453</v>
      </c>
      <c r="C5391" s="51">
        <v>1.007</v>
      </c>
      <c r="D5391" s="51">
        <v>65.0</v>
      </c>
      <c r="E5391" s="52" t="s">
        <v>25</v>
      </c>
      <c r="F5391" s="52" t="s">
        <v>26</v>
      </c>
      <c r="G5391" s="54"/>
    </row>
    <row r="5392">
      <c r="A5392" s="49">
        <v>45077.86065212963</v>
      </c>
      <c r="B5392" s="50">
        <v>45077.9856235416</v>
      </c>
      <c r="C5392" s="51">
        <v>1.007</v>
      </c>
      <c r="D5392" s="51">
        <v>65.0</v>
      </c>
      <c r="E5392" s="52" t="s">
        <v>25</v>
      </c>
      <c r="F5392" s="52" t="s">
        <v>26</v>
      </c>
      <c r="G5392" s="54"/>
    </row>
    <row r="5393">
      <c r="A5393" s="49">
        <v>45077.87107357639</v>
      </c>
      <c r="B5393" s="50">
        <v>45077.9960444675</v>
      </c>
      <c r="C5393" s="51">
        <v>1.007</v>
      </c>
      <c r="D5393" s="51">
        <v>65.0</v>
      </c>
      <c r="E5393" s="52" t="s">
        <v>25</v>
      </c>
      <c r="F5393" s="52" t="s">
        <v>26</v>
      </c>
      <c r="G5393" s="54"/>
    </row>
    <row r="5394">
      <c r="A5394" s="49">
        <v>45077.88149501158</v>
      </c>
      <c r="B5394" s="50">
        <v>45078.006467905</v>
      </c>
      <c r="C5394" s="51">
        <v>1.007</v>
      </c>
      <c r="D5394" s="51">
        <v>65.0</v>
      </c>
      <c r="E5394" s="52" t="s">
        <v>25</v>
      </c>
      <c r="F5394" s="52" t="s">
        <v>26</v>
      </c>
      <c r="G5394" s="54"/>
    </row>
    <row r="5395">
      <c r="A5395" s="49">
        <v>45077.89193722222</v>
      </c>
      <c r="B5395" s="50">
        <v>45078.0169116088</v>
      </c>
      <c r="C5395" s="51">
        <v>1.007</v>
      </c>
      <c r="D5395" s="51">
        <v>65.0</v>
      </c>
      <c r="E5395" s="52" t="s">
        <v>25</v>
      </c>
      <c r="F5395" s="52" t="s">
        <v>26</v>
      </c>
      <c r="G5395" s="54"/>
    </row>
    <row r="5396">
      <c r="A5396" s="49">
        <v>45077.902359837964</v>
      </c>
      <c r="B5396" s="50">
        <v>45078.0273318402</v>
      </c>
      <c r="C5396" s="51">
        <v>1.007</v>
      </c>
      <c r="D5396" s="51">
        <v>65.0</v>
      </c>
      <c r="E5396" s="52" t="s">
        <v>25</v>
      </c>
      <c r="F5396" s="52" t="s">
        <v>26</v>
      </c>
      <c r="G5396" s="54"/>
    </row>
    <row r="5397">
      <c r="A5397" s="49">
        <v>45077.912848622684</v>
      </c>
      <c r="B5397" s="50">
        <v>45078.03782375</v>
      </c>
      <c r="C5397" s="51">
        <v>1.007</v>
      </c>
      <c r="D5397" s="51">
        <v>65.0</v>
      </c>
      <c r="E5397" s="52" t="s">
        <v>25</v>
      </c>
      <c r="F5397" s="52" t="s">
        <v>26</v>
      </c>
      <c r="G5397" s="54"/>
    </row>
    <row r="5398">
      <c r="A5398" s="49">
        <v>45077.92327104167</v>
      </c>
      <c r="B5398" s="50">
        <v>45078.0482438541</v>
      </c>
      <c r="C5398" s="51">
        <v>1.007</v>
      </c>
      <c r="D5398" s="51">
        <v>65.0</v>
      </c>
      <c r="E5398" s="52" t="s">
        <v>25</v>
      </c>
      <c r="F5398" s="52" t="s">
        <v>26</v>
      </c>
      <c r="G5398" s="54"/>
    </row>
    <row r="5399">
      <c r="A5399" s="49">
        <v>45077.933692094906</v>
      </c>
      <c r="B5399" s="50">
        <v>45078.0586645601</v>
      </c>
      <c r="C5399" s="51">
        <v>1.007</v>
      </c>
      <c r="D5399" s="51">
        <v>65.0</v>
      </c>
      <c r="E5399" s="52" t="s">
        <v>25</v>
      </c>
      <c r="F5399" s="52" t="s">
        <v>26</v>
      </c>
      <c r="G5399" s="54"/>
    </row>
    <row r="5400">
      <c r="A5400" s="49">
        <v>45077.94410302083</v>
      </c>
      <c r="B5400" s="50">
        <v>45078.0690834259</v>
      </c>
      <c r="C5400" s="51">
        <v>1.007</v>
      </c>
      <c r="D5400" s="51">
        <v>65.0</v>
      </c>
      <c r="E5400" s="52" t="s">
        <v>25</v>
      </c>
      <c r="F5400" s="52" t="s">
        <v>26</v>
      </c>
      <c r="G5400" s="54"/>
    </row>
    <row r="5401">
      <c r="A5401" s="49">
        <v>45077.95453072917</v>
      </c>
      <c r="B5401" s="50">
        <v>45078.0795046759</v>
      </c>
      <c r="C5401" s="51">
        <v>1.007</v>
      </c>
      <c r="D5401" s="51">
        <v>65.0</v>
      </c>
      <c r="E5401" s="52" t="s">
        <v>25</v>
      </c>
      <c r="F5401" s="52" t="s">
        <v>26</v>
      </c>
      <c r="G5401" s="54"/>
    </row>
    <row r="5402">
      <c r="A5402" s="49">
        <v>45077.964948611116</v>
      </c>
      <c r="B5402" s="50">
        <v>45078.0899274652</v>
      </c>
      <c r="C5402" s="51">
        <v>1.007</v>
      </c>
      <c r="D5402" s="51">
        <v>65.0</v>
      </c>
      <c r="E5402" s="52" t="s">
        <v>25</v>
      </c>
      <c r="F5402" s="52" t="s">
        <v>26</v>
      </c>
      <c r="G5402" s="54"/>
    </row>
    <row r="5403">
      <c r="A5403" s="49">
        <v>45077.97537422454</v>
      </c>
      <c r="B5403" s="50">
        <v>45078.1003484838</v>
      </c>
      <c r="C5403" s="51">
        <v>1.007</v>
      </c>
      <c r="D5403" s="51">
        <v>65.0</v>
      </c>
      <c r="E5403" s="52" t="s">
        <v>25</v>
      </c>
      <c r="F5403" s="52" t="s">
        <v>26</v>
      </c>
      <c r="G5403" s="54"/>
    </row>
    <row r="5404">
      <c r="A5404" s="49">
        <v>45077.98579554398</v>
      </c>
      <c r="B5404" s="50">
        <v>45078.110769618</v>
      </c>
      <c r="C5404" s="51">
        <v>1.007</v>
      </c>
      <c r="D5404" s="51">
        <v>65.0</v>
      </c>
      <c r="E5404" s="52" t="s">
        <v>25</v>
      </c>
      <c r="F5404" s="52" t="s">
        <v>26</v>
      </c>
      <c r="G5404" s="54"/>
    </row>
    <row r="5405">
      <c r="A5405" s="49">
        <v>45077.9962108912</v>
      </c>
      <c r="B5405" s="50">
        <v>45078.1211895601</v>
      </c>
      <c r="C5405" s="51">
        <v>1.007</v>
      </c>
      <c r="D5405" s="51">
        <v>65.0</v>
      </c>
      <c r="E5405" s="52" t="s">
        <v>25</v>
      </c>
      <c r="F5405" s="52" t="s">
        <v>26</v>
      </c>
      <c r="G5405" s="54"/>
    </row>
    <row r="5406">
      <c r="A5406" s="49">
        <v>45078.00664032408</v>
      </c>
      <c r="B5406" s="50">
        <v>45078.1316110995</v>
      </c>
      <c r="C5406" s="51">
        <v>1.007</v>
      </c>
      <c r="D5406" s="51">
        <v>65.0</v>
      </c>
      <c r="E5406" s="52" t="s">
        <v>25</v>
      </c>
      <c r="F5406" s="52" t="s">
        <v>26</v>
      </c>
      <c r="G5406" s="54"/>
    </row>
    <row r="5407">
      <c r="A5407" s="49">
        <v>45078.01706696759</v>
      </c>
      <c r="B5407" s="50">
        <v>45078.1420327083</v>
      </c>
      <c r="C5407" s="51">
        <v>1.007</v>
      </c>
      <c r="D5407" s="51">
        <v>65.0</v>
      </c>
      <c r="E5407" s="52" t="s">
        <v>25</v>
      </c>
      <c r="F5407" s="52" t="s">
        <v>26</v>
      </c>
      <c r="G5407" s="54"/>
    </row>
    <row r="5408">
      <c r="A5408" s="49">
        <v>45078.027483275466</v>
      </c>
      <c r="B5408" s="50">
        <v>45078.1524536226</v>
      </c>
      <c r="C5408" s="51">
        <v>1.007</v>
      </c>
      <c r="D5408" s="51">
        <v>65.0</v>
      </c>
      <c r="E5408" s="52" t="s">
        <v>25</v>
      </c>
      <c r="F5408" s="52" t="s">
        <v>26</v>
      </c>
      <c r="G5408" s="54"/>
    </row>
    <row r="5409">
      <c r="A5409" s="49">
        <v>45078.03791719908</v>
      </c>
      <c r="B5409" s="50">
        <v>45078.1628767361</v>
      </c>
      <c r="C5409" s="51">
        <v>1.007</v>
      </c>
      <c r="D5409" s="51">
        <v>65.0</v>
      </c>
      <c r="E5409" s="52" t="s">
        <v>25</v>
      </c>
      <c r="F5409" s="52" t="s">
        <v>26</v>
      </c>
      <c r="G5409" s="54"/>
    </row>
    <row r="5410">
      <c r="A5410" s="49">
        <v>45078.048331377315</v>
      </c>
      <c r="B5410" s="50">
        <v>45078.1732979629</v>
      </c>
      <c r="C5410" s="51">
        <v>1.007</v>
      </c>
      <c r="D5410" s="51">
        <v>65.0</v>
      </c>
      <c r="E5410" s="52" t="s">
        <v>25</v>
      </c>
      <c r="F5410" s="52" t="s">
        <v>26</v>
      </c>
      <c r="G5410" s="54"/>
    </row>
    <row r="5411">
      <c r="A5411" s="49">
        <v>45078.05875653935</v>
      </c>
      <c r="B5411" s="50">
        <v>45078.183729618</v>
      </c>
      <c r="C5411" s="51">
        <v>1.007</v>
      </c>
      <c r="D5411" s="51">
        <v>65.0</v>
      </c>
      <c r="E5411" s="52" t="s">
        <v>25</v>
      </c>
      <c r="F5411" s="52" t="s">
        <v>26</v>
      </c>
      <c r="G5411" s="54"/>
    </row>
    <row r="5412">
      <c r="A5412" s="49">
        <v>45078.06918103009</v>
      </c>
      <c r="B5412" s="50">
        <v>45078.1941507407</v>
      </c>
      <c r="C5412" s="51">
        <v>1.007</v>
      </c>
      <c r="D5412" s="51">
        <v>65.0</v>
      </c>
      <c r="E5412" s="52" t="s">
        <v>25</v>
      </c>
      <c r="F5412" s="52" t="s">
        <v>26</v>
      </c>
      <c r="G5412" s="54"/>
    </row>
    <row r="5413">
      <c r="A5413" s="49">
        <v>45078.0796131713</v>
      </c>
      <c r="B5413" s="50">
        <v>45078.2045799537</v>
      </c>
      <c r="C5413" s="51">
        <v>1.007</v>
      </c>
      <c r="D5413" s="51">
        <v>65.0</v>
      </c>
      <c r="E5413" s="52" t="s">
        <v>25</v>
      </c>
      <c r="F5413" s="52" t="s">
        <v>26</v>
      </c>
      <c r="G5413" s="54"/>
    </row>
    <row r="5414">
      <c r="A5414" s="49">
        <v>45078.09002590278</v>
      </c>
      <c r="B5414" s="50">
        <v>45078.2150017361</v>
      </c>
      <c r="C5414" s="51">
        <v>1.007</v>
      </c>
      <c r="D5414" s="51">
        <v>65.0</v>
      </c>
      <c r="E5414" s="52" t="s">
        <v>25</v>
      </c>
      <c r="F5414" s="52" t="s">
        <v>26</v>
      </c>
      <c r="G5414" s="54"/>
    </row>
    <row r="5415">
      <c r="A5415" s="49">
        <v>45078.100449537036</v>
      </c>
      <c r="B5415" s="50">
        <v>45078.225422743</v>
      </c>
      <c r="C5415" s="51">
        <v>1.007</v>
      </c>
      <c r="D5415" s="51">
        <v>65.0</v>
      </c>
      <c r="E5415" s="52" t="s">
        <v>25</v>
      </c>
      <c r="F5415" s="52" t="s">
        <v>26</v>
      </c>
      <c r="G5415" s="54"/>
    </row>
    <row r="5416">
      <c r="A5416" s="49">
        <v>45078.11086560185</v>
      </c>
      <c r="B5416" s="50">
        <v>45078.2358430555</v>
      </c>
      <c r="C5416" s="51">
        <v>1.007</v>
      </c>
      <c r="D5416" s="51">
        <v>65.0</v>
      </c>
      <c r="E5416" s="52" t="s">
        <v>25</v>
      </c>
      <c r="F5416" s="52" t="s">
        <v>26</v>
      </c>
      <c r="G5416" s="54"/>
    </row>
    <row r="5417">
      <c r="A5417" s="49">
        <v>45078.121284953704</v>
      </c>
      <c r="B5417" s="50">
        <v>45078.2462624884</v>
      </c>
      <c r="C5417" s="51">
        <v>1.007</v>
      </c>
      <c r="D5417" s="51">
        <v>65.0</v>
      </c>
      <c r="E5417" s="52" t="s">
        <v>25</v>
      </c>
      <c r="F5417" s="52" t="s">
        <v>26</v>
      </c>
      <c r="G5417" s="54"/>
    </row>
    <row r="5418">
      <c r="A5418" s="49">
        <v>45078.131704618056</v>
      </c>
      <c r="B5418" s="50">
        <v>45078.2566839814</v>
      </c>
      <c r="C5418" s="51">
        <v>1.007</v>
      </c>
      <c r="D5418" s="51">
        <v>65.0</v>
      </c>
      <c r="E5418" s="52" t="s">
        <v>25</v>
      </c>
      <c r="F5418" s="52" t="s">
        <v>26</v>
      </c>
      <c r="G5418" s="54"/>
    </row>
    <row r="5419">
      <c r="A5419" s="49">
        <v>45078.142134594906</v>
      </c>
      <c r="B5419" s="50">
        <v>45078.2671056944</v>
      </c>
      <c r="C5419" s="51">
        <v>1.007</v>
      </c>
      <c r="D5419" s="51">
        <v>65.0</v>
      </c>
      <c r="E5419" s="52" t="s">
        <v>25</v>
      </c>
      <c r="F5419" s="52" t="s">
        <v>26</v>
      </c>
      <c r="G5419" s="54"/>
    </row>
    <row r="5420">
      <c r="A5420" s="49">
        <v>45078.15254277778</v>
      </c>
      <c r="B5420" s="50">
        <v>45078.2775252893</v>
      </c>
      <c r="C5420" s="51">
        <v>1.007</v>
      </c>
      <c r="D5420" s="51">
        <v>65.0</v>
      </c>
      <c r="E5420" s="52" t="s">
        <v>25</v>
      </c>
      <c r="F5420" s="52" t="s">
        <v>26</v>
      </c>
      <c r="G5420" s="54"/>
    </row>
    <row r="5421">
      <c r="A5421" s="49">
        <v>45078.162988344906</v>
      </c>
      <c r="B5421" s="50">
        <v>45078.2879594676</v>
      </c>
      <c r="C5421" s="51">
        <v>1.007</v>
      </c>
      <c r="D5421" s="51">
        <v>65.0</v>
      </c>
      <c r="E5421" s="52" t="s">
        <v>25</v>
      </c>
      <c r="F5421" s="52" t="s">
        <v>26</v>
      </c>
      <c r="G5421" s="54"/>
    </row>
    <row r="5422">
      <c r="A5422" s="49">
        <v>45078.17340410879</v>
      </c>
      <c r="B5422" s="50">
        <v>45078.2983810879</v>
      </c>
      <c r="C5422" s="51">
        <v>1.007</v>
      </c>
      <c r="D5422" s="51">
        <v>65.0</v>
      </c>
      <c r="E5422" s="52" t="s">
        <v>25</v>
      </c>
      <c r="F5422" s="52" t="s">
        <v>26</v>
      </c>
      <c r="G5422" s="54"/>
    </row>
    <row r="5423">
      <c r="A5423" s="49">
        <v>45078.1838578125</v>
      </c>
      <c r="B5423" s="50">
        <v>45078.3088253819</v>
      </c>
      <c r="C5423" s="51">
        <v>1.007</v>
      </c>
      <c r="D5423" s="51">
        <v>65.0</v>
      </c>
      <c r="E5423" s="52" t="s">
        <v>25</v>
      </c>
      <c r="F5423" s="52" t="s">
        <v>26</v>
      </c>
      <c r="G5423" s="54"/>
    </row>
    <row r="5424">
      <c r="A5424" s="49">
        <v>45078.19426837963</v>
      </c>
      <c r="B5424" s="50">
        <v>45078.3192483101</v>
      </c>
      <c r="C5424" s="51">
        <v>1.007</v>
      </c>
      <c r="D5424" s="51">
        <v>65.0</v>
      </c>
      <c r="E5424" s="52" t="s">
        <v>25</v>
      </c>
      <c r="F5424" s="52" t="s">
        <v>26</v>
      </c>
      <c r="G5424" s="54"/>
    </row>
    <row r="5425">
      <c r="A5425" s="49">
        <v>45078.20468313657</v>
      </c>
      <c r="B5425" s="50">
        <v>45078.32966728</v>
      </c>
      <c r="C5425" s="51">
        <v>1.007</v>
      </c>
      <c r="D5425" s="51">
        <v>65.0</v>
      </c>
      <c r="E5425" s="52" t="s">
        <v>25</v>
      </c>
      <c r="F5425" s="52" t="s">
        <v>26</v>
      </c>
      <c r="G5425" s="54"/>
    </row>
    <row r="5426">
      <c r="A5426" s="49">
        <v>45078.21511207176</v>
      </c>
      <c r="B5426" s="50">
        <v>45078.3400879513</v>
      </c>
      <c r="C5426" s="51">
        <v>1.007</v>
      </c>
      <c r="D5426" s="51">
        <v>65.0</v>
      </c>
      <c r="E5426" s="52" t="s">
        <v>25</v>
      </c>
      <c r="F5426" s="52" t="s">
        <v>26</v>
      </c>
      <c r="G5426" s="54"/>
    </row>
    <row r="5427">
      <c r="A5427" s="49">
        <v>45078.22554425926</v>
      </c>
      <c r="B5427" s="50">
        <v>45078.3505092013</v>
      </c>
      <c r="C5427" s="51">
        <v>1.007</v>
      </c>
      <c r="D5427" s="51">
        <v>65.0</v>
      </c>
      <c r="E5427" s="52" t="s">
        <v>25</v>
      </c>
      <c r="F5427" s="52" t="s">
        <v>26</v>
      </c>
      <c r="G5427" s="54"/>
    </row>
    <row r="5428">
      <c r="A5428" s="49">
        <v>45078.2359550463</v>
      </c>
      <c r="B5428" s="50">
        <v>45078.3609294213</v>
      </c>
      <c r="C5428" s="51">
        <v>1.007</v>
      </c>
      <c r="D5428" s="51">
        <v>65.0</v>
      </c>
      <c r="E5428" s="52" t="s">
        <v>25</v>
      </c>
      <c r="F5428" s="52" t="s">
        <v>26</v>
      </c>
      <c r="G5428" s="54"/>
    </row>
    <row r="5429">
      <c r="A5429" s="49">
        <v>45078.24638060185</v>
      </c>
      <c r="B5429" s="50">
        <v>45078.3713507175</v>
      </c>
      <c r="C5429" s="51">
        <v>1.007</v>
      </c>
      <c r="D5429" s="51">
        <v>65.0</v>
      </c>
      <c r="E5429" s="52" t="s">
        <v>25</v>
      </c>
      <c r="F5429" s="52" t="s">
        <v>26</v>
      </c>
      <c r="G5429" s="54"/>
    </row>
    <row r="5430">
      <c r="A5430" s="49">
        <v>45078.2568077662</v>
      </c>
      <c r="B5430" s="50">
        <v>45078.3817829513</v>
      </c>
      <c r="C5430" s="51">
        <v>1.007</v>
      </c>
      <c r="D5430" s="51">
        <v>65.0</v>
      </c>
      <c r="E5430" s="52" t="s">
        <v>25</v>
      </c>
      <c r="F5430" s="52" t="s">
        <v>26</v>
      </c>
      <c r="G5430" s="54"/>
    </row>
    <row r="5431">
      <c r="A5431" s="49">
        <v>45078.267223877316</v>
      </c>
      <c r="B5431" s="50">
        <v>45078.3922032176</v>
      </c>
      <c r="C5431" s="51">
        <v>1.007</v>
      </c>
      <c r="D5431" s="51">
        <v>65.0</v>
      </c>
      <c r="E5431" s="52" t="s">
        <v>25</v>
      </c>
      <c r="F5431" s="52" t="s">
        <v>26</v>
      </c>
      <c r="G5431" s="54"/>
    </row>
    <row r="5432">
      <c r="A5432" s="49">
        <v>45078.27764079861</v>
      </c>
      <c r="B5432" s="50">
        <v>45078.4026228819</v>
      </c>
      <c r="C5432" s="51">
        <v>1.007</v>
      </c>
      <c r="D5432" s="51">
        <v>65.0</v>
      </c>
      <c r="E5432" s="52" t="s">
        <v>25</v>
      </c>
      <c r="F5432" s="52" t="s">
        <v>26</v>
      </c>
      <c r="G5432" s="54"/>
    </row>
    <row r="5433">
      <c r="A5433" s="49">
        <v>45078.28806390046</v>
      </c>
      <c r="B5433" s="50">
        <v>45078.4130451157</v>
      </c>
      <c r="C5433" s="51">
        <v>1.007</v>
      </c>
      <c r="D5433" s="51">
        <v>65.0</v>
      </c>
      <c r="E5433" s="52" t="s">
        <v>25</v>
      </c>
      <c r="F5433" s="52" t="s">
        <v>26</v>
      </c>
      <c r="G5433" s="54"/>
    </row>
    <row r="5434">
      <c r="A5434" s="49">
        <v>45078.29850583333</v>
      </c>
      <c r="B5434" s="50">
        <v>45078.4234771412</v>
      </c>
      <c r="C5434" s="51">
        <v>1.007</v>
      </c>
      <c r="D5434" s="51">
        <v>65.0</v>
      </c>
      <c r="E5434" s="52" t="s">
        <v>25</v>
      </c>
      <c r="F5434" s="52" t="s">
        <v>26</v>
      </c>
      <c r="G5434" s="54"/>
    </row>
    <row r="5435">
      <c r="A5435" s="49">
        <v>45078.30892496528</v>
      </c>
      <c r="B5435" s="50">
        <v>45078.4338979861</v>
      </c>
      <c r="C5435" s="51">
        <v>1.007</v>
      </c>
      <c r="D5435" s="51">
        <v>65.0</v>
      </c>
      <c r="E5435" s="52" t="s">
        <v>25</v>
      </c>
      <c r="F5435" s="52" t="s">
        <v>26</v>
      </c>
      <c r="G5435" s="54"/>
    </row>
    <row r="5436">
      <c r="A5436" s="49">
        <v>45078.319350798614</v>
      </c>
      <c r="B5436" s="50">
        <v>45078.4443198611</v>
      </c>
      <c r="C5436" s="51">
        <v>1.007</v>
      </c>
      <c r="D5436" s="51">
        <v>65.0</v>
      </c>
      <c r="E5436" s="52" t="s">
        <v>25</v>
      </c>
      <c r="F5436" s="52" t="s">
        <v>26</v>
      </c>
      <c r="G5436" s="54"/>
    </row>
    <row r="5437">
      <c r="A5437" s="49">
        <v>45078.32976466435</v>
      </c>
      <c r="B5437" s="50">
        <v>45078.4547417824</v>
      </c>
      <c r="C5437" s="51">
        <v>1.007</v>
      </c>
      <c r="D5437" s="51">
        <v>65.0</v>
      </c>
      <c r="E5437" s="52" t="s">
        <v>25</v>
      </c>
      <c r="F5437" s="52" t="s">
        <v>26</v>
      </c>
      <c r="G5437" s="54"/>
    </row>
    <row r="5438">
      <c r="A5438" s="49">
        <v>45078.340187118054</v>
      </c>
      <c r="B5438" s="50">
        <v>45078.465162743</v>
      </c>
      <c r="C5438" s="51">
        <v>1.007</v>
      </c>
      <c r="D5438" s="51">
        <v>65.0</v>
      </c>
      <c r="E5438" s="52" t="s">
        <v>25</v>
      </c>
      <c r="F5438" s="52" t="s">
        <v>26</v>
      </c>
      <c r="G5438" s="54"/>
    </row>
    <row r="5439">
      <c r="A5439" s="49">
        <v>45078.35061439815</v>
      </c>
      <c r="B5439" s="50">
        <v>45078.4755831944</v>
      </c>
      <c r="C5439" s="51">
        <v>1.007</v>
      </c>
      <c r="D5439" s="51">
        <v>65.0</v>
      </c>
      <c r="E5439" s="52" t="s">
        <v>25</v>
      </c>
      <c r="F5439" s="52" t="s">
        <v>26</v>
      </c>
      <c r="G5439" s="54"/>
    </row>
    <row r="5440">
      <c r="A5440" s="49">
        <v>45078.36104837963</v>
      </c>
      <c r="B5440" s="50">
        <v>45078.4860270254</v>
      </c>
      <c r="C5440" s="51">
        <v>1.007</v>
      </c>
      <c r="D5440" s="51">
        <v>65.0</v>
      </c>
      <c r="E5440" s="52" t="s">
        <v>25</v>
      </c>
      <c r="F5440" s="52" t="s">
        <v>26</v>
      </c>
      <c r="G5440" s="54"/>
    </row>
    <row r="5441">
      <c r="A5441" s="49">
        <v>45078.37149125</v>
      </c>
      <c r="B5441" s="50">
        <v>45078.4964592824</v>
      </c>
      <c r="C5441" s="51">
        <v>1.007</v>
      </c>
      <c r="D5441" s="51">
        <v>65.0</v>
      </c>
      <c r="E5441" s="52" t="s">
        <v>25</v>
      </c>
      <c r="F5441" s="52" t="s">
        <v>26</v>
      </c>
      <c r="G5441" s="54"/>
    </row>
    <row r="5442">
      <c r="A5442" s="49">
        <v>45078.38193366898</v>
      </c>
      <c r="B5442" s="50">
        <v>45078.5068809259</v>
      </c>
      <c r="C5442" s="51">
        <v>1.007</v>
      </c>
      <c r="D5442" s="51">
        <v>65.0</v>
      </c>
      <c r="E5442" s="52" t="s">
        <v>25</v>
      </c>
      <c r="F5442" s="52" t="s">
        <v>26</v>
      </c>
      <c r="G5442" s="54"/>
    </row>
    <row r="5443">
      <c r="A5443" s="49">
        <v>45078.39232813657</v>
      </c>
      <c r="B5443" s="50">
        <v>45078.5173021527</v>
      </c>
      <c r="C5443" s="51">
        <v>1.007</v>
      </c>
      <c r="D5443" s="51">
        <v>65.0</v>
      </c>
      <c r="E5443" s="52" t="s">
        <v>25</v>
      </c>
      <c r="F5443" s="52" t="s">
        <v>26</v>
      </c>
      <c r="G5443" s="54"/>
    </row>
    <row r="5444">
      <c r="A5444" s="49">
        <v>45078.40274421296</v>
      </c>
      <c r="B5444" s="50">
        <v>45078.5277236921</v>
      </c>
      <c r="C5444" s="51">
        <v>1.007</v>
      </c>
      <c r="D5444" s="51">
        <v>65.0</v>
      </c>
      <c r="E5444" s="52" t="s">
        <v>25</v>
      </c>
      <c r="F5444" s="52" t="s">
        <v>26</v>
      </c>
      <c r="G5444" s="54"/>
    </row>
    <row r="5445">
      <c r="A5445" s="49">
        <v>45078.41318199074</v>
      </c>
      <c r="B5445" s="50">
        <v>45078.5381567361</v>
      </c>
      <c r="C5445" s="51">
        <v>1.007</v>
      </c>
      <c r="D5445" s="51">
        <v>65.0</v>
      </c>
      <c r="E5445" s="52" t="s">
        <v>25</v>
      </c>
      <c r="F5445" s="52" t="s">
        <v>26</v>
      </c>
      <c r="G5445" s="54"/>
    </row>
    <row r="5446">
      <c r="A5446" s="49">
        <v>45078.42360678241</v>
      </c>
      <c r="B5446" s="50">
        <v>45078.548576655</v>
      </c>
      <c r="C5446" s="51">
        <v>1.007</v>
      </c>
      <c r="D5446" s="51">
        <v>65.0</v>
      </c>
      <c r="E5446" s="52" t="s">
        <v>25</v>
      </c>
      <c r="F5446" s="52" t="s">
        <v>26</v>
      </c>
      <c r="G5446" s="54"/>
    </row>
    <row r="5447">
      <c r="A5447" s="49">
        <v>45078.43402666667</v>
      </c>
      <c r="B5447" s="50">
        <v>45078.5589996296</v>
      </c>
      <c r="C5447" s="51">
        <v>1.007</v>
      </c>
      <c r="D5447" s="51">
        <v>65.0</v>
      </c>
      <c r="E5447" s="52" t="s">
        <v>25</v>
      </c>
      <c r="F5447" s="52" t="s">
        <v>26</v>
      </c>
      <c r="G5447" s="54"/>
    </row>
    <row r="5448">
      <c r="A5448" s="49">
        <v>45078.444449421295</v>
      </c>
      <c r="B5448" s="50">
        <v>45078.5694209838</v>
      </c>
      <c r="C5448" s="51">
        <v>1.007</v>
      </c>
      <c r="D5448" s="51">
        <v>65.0</v>
      </c>
      <c r="E5448" s="52" t="s">
        <v>25</v>
      </c>
      <c r="F5448" s="52" t="s">
        <v>26</v>
      </c>
      <c r="G5448" s="54"/>
    </row>
    <row r="5449">
      <c r="A5449" s="49">
        <v>45078.45488262731</v>
      </c>
      <c r="B5449" s="50">
        <v>45078.5798530902</v>
      </c>
      <c r="C5449" s="51">
        <v>1.007</v>
      </c>
      <c r="D5449" s="51">
        <v>65.0</v>
      </c>
      <c r="E5449" s="52" t="s">
        <v>25</v>
      </c>
      <c r="F5449" s="52" t="s">
        <v>26</v>
      </c>
      <c r="G5449" s="54"/>
    </row>
    <row r="5450">
      <c r="A5450" s="49">
        <v>45078.465299143514</v>
      </c>
      <c r="B5450" s="50">
        <v>45078.590272905</v>
      </c>
      <c r="C5450" s="51">
        <v>1.007</v>
      </c>
      <c r="D5450" s="51">
        <v>65.0</v>
      </c>
      <c r="E5450" s="52" t="s">
        <v>25</v>
      </c>
      <c r="F5450" s="52" t="s">
        <v>26</v>
      </c>
      <c r="G5450" s="54"/>
    </row>
    <row r="5451">
      <c r="A5451" s="49">
        <v>45078.47571892361</v>
      </c>
      <c r="B5451" s="50">
        <v>45078.6006938078</v>
      </c>
      <c r="C5451" s="51">
        <v>1.007</v>
      </c>
      <c r="D5451" s="51">
        <v>65.0</v>
      </c>
      <c r="E5451" s="52" t="s">
        <v>25</v>
      </c>
      <c r="F5451" s="52" t="s">
        <v>26</v>
      </c>
      <c r="G5451" s="54"/>
    </row>
    <row r="5452">
      <c r="A5452" s="49">
        <v>45078.48613447917</v>
      </c>
      <c r="B5452" s="50">
        <v>45078.6111157986</v>
      </c>
      <c r="C5452" s="51">
        <v>1.007</v>
      </c>
      <c r="D5452" s="51">
        <v>65.0</v>
      </c>
      <c r="E5452" s="52" t="s">
        <v>25</v>
      </c>
      <c r="F5452" s="52" t="s">
        <v>26</v>
      </c>
      <c r="G5452" s="54"/>
    </row>
    <row r="5453">
      <c r="A5453" s="49">
        <v>45078.49660543981</v>
      </c>
      <c r="B5453" s="50">
        <v>45078.6215732291</v>
      </c>
      <c r="C5453" s="51">
        <v>1.007</v>
      </c>
      <c r="D5453" s="51">
        <v>65.0</v>
      </c>
      <c r="E5453" s="52" t="s">
        <v>25</v>
      </c>
      <c r="F5453" s="52" t="s">
        <v>26</v>
      </c>
      <c r="G5453" s="54"/>
    </row>
    <row r="5454">
      <c r="A5454" s="49">
        <v>45078.50703136574</v>
      </c>
      <c r="B5454" s="50">
        <v>45078.6320057291</v>
      </c>
      <c r="C5454" s="51">
        <v>1.007</v>
      </c>
      <c r="D5454" s="51">
        <v>65.0</v>
      </c>
      <c r="E5454" s="52" t="s">
        <v>25</v>
      </c>
      <c r="F5454" s="52" t="s">
        <v>26</v>
      </c>
      <c r="G5454" s="54"/>
    </row>
    <row r="5455">
      <c r="A5455" s="49">
        <v>45078.51747371528</v>
      </c>
      <c r="B5455" s="50">
        <v>45078.6424493981</v>
      </c>
      <c r="C5455" s="51">
        <v>1.007</v>
      </c>
      <c r="D5455" s="51">
        <v>65.0</v>
      </c>
      <c r="E5455" s="52" t="s">
        <v>25</v>
      </c>
      <c r="F5455" s="52" t="s">
        <v>26</v>
      </c>
      <c r="G5455" s="54"/>
    </row>
    <row r="5456">
      <c r="A5456" s="49">
        <v>45078.52789832176</v>
      </c>
      <c r="B5456" s="50">
        <v>45078.6528717708</v>
      </c>
      <c r="C5456" s="51">
        <v>1.007</v>
      </c>
      <c r="D5456" s="51">
        <v>65.0</v>
      </c>
      <c r="E5456" s="52" t="s">
        <v>25</v>
      </c>
      <c r="F5456" s="52" t="s">
        <v>26</v>
      </c>
      <c r="G5456" s="54"/>
    </row>
    <row r="5457">
      <c r="A5457" s="49">
        <v>45078.53831847222</v>
      </c>
      <c r="B5457" s="50">
        <v>45078.6632920023</v>
      </c>
      <c r="C5457" s="51">
        <v>1.007</v>
      </c>
      <c r="D5457" s="51">
        <v>65.0</v>
      </c>
      <c r="E5457" s="52" t="s">
        <v>25</v>
      </c>
      <c r="F5457" s="52" t="s">
        <v>26</v>
      </c>
      <c r="G5457" s="54"/>
    </row>
    <row r="5458">
      <c r="A5458" s="49">
        <v>45078.5487747338</v>
      </c>
      <c r="B5458" s="50">
        <v>45078.6737471643</v>
      </c>
      <c r="C5458" s="51">
        <v>1.007</v>
      </c>
      <c r="D5458" s="51">
        <v>65.0</v>
      </c>
      <c r="E5458" s="52" t="s">
        <v>25</v>
      </c>
      <c r="F5458" s="52" t="s">
        <v>26</v>
      </c>
      <c r="G5458" s="54"/>
    </row>
    <row r="5459">
      <c r="A5459" s="49">
        <v>45078.55920508102</v>
      </c>
      <c r="B5459" s="50">
        <v>45078.6841792939</v>
      </c>
      <c r="C5459" s="51">
        <v>1.007</v>
      </c>
      <c r="D5459" s="51">
        <v>65.0</v>
      </c>
      <c r="E5459" s="52" t="s">
        <v>25</v>
      </c>
      <c r="F5459" s="52" t="s">
        <v>26</v>
      </c>
      <c r="G5459" s="54"/>
    </row>
    <row r="5460">
      <c r="A5460" s="49">
        <v>45078.569621331015</v>
      </c>
      <c r="B5460" s="50">
        <v>45078.6946000694</v>
      </c>
      <c r="C5460" s="51">
        <v>1.007</v>
      </c>
      <c r="D5460" s="51">
        <v>65.0</v>
      </c>
      <c r="E5460" s="52" t="s">
        <v>25</v>
      </c>
      <c r="F5460" s="52" t="s">
        <v>26</v>
      </c>
      <c r="G5460" s="54"/>
    </row>
    <row r="5461">
      <c r="A5461" s="49">
        <v>45078.580046724535</v>
      </c>
      <c r="B5461" s="50">
        <v>45078.7050225694</v>
      </c>
      <c r="C5461" s="51">
        <v>1.007</v>
      </c>
      <c r="D5461" s="51">
        <v>65.0</v>
      </c>
      <c r="E5461" s="52" t="s">
        <v>25</v>
      </c>
      <c r="F5461" s="52" t="s">
        <v>26</v>
      </c>
      <c r="G5461" s="54"/>
    </row>
    <row r="5462">
      <c r="A5462" s="49">
        <v>45078.59046553241</v>
      </c>
      <c r="B5462" s="50">
        <v>45078.7154446643</v>
      </c>
      <c r="C5462" s="51">
        <v>1.007</v>
      </c>
      <c r="D5462" s="51">
        <v>65.0</v>
      </c>
      <c r="E5462" s="52" t="s">
        <v>25</v>
      </c>
      <c r="F5462" s="52" t="s">
        <v>26</v>
      </c>
      <c r="G5462" s="54"/>
    </row>
    <row r="5463">
      <c r="A5463" s="49">
        <v>45078.600881782404</v>
      </c>
      <c r="B5463" s="50">
        <v>45078.7258649537</v>
      </c>
      <c r="C5463" s="51">
        <v>1.007</v>
      </c>
      <c r="D5463" s="51">
        <v>65.0</v>
      </c>
      <c r="E5463" s="52" t="s">
        <v>25</v>
      </c>
      <c r="F5463" s="52" t="s">
        <v>26</v>
      </c>
      <c r="G5463" s="54"/>
    </row>
    <row r="5464">
      <c r="A5464" s="49">
        <v>45078.61131228009</v>
      </c>
      <c r="B5464" s="50">
        <v>45078.7362844907</v>
      </c>
      <c r="C5464" s="51">
        <v>1.007</v>
      </c>
      <c r="D5464" s="51">
        <v>65.0</v>
      </c>
      <c r="E5464" s="52" t="s">
        <v>25</v>
      </c>
      <c r="F5464" s="52" t="s">
        <v>26</v>
      </c>
      <c r="G5464" s="54"/>
    </row>
    <row r="5465">
      <c r="A5465" s="49">
        <v>45078.6217305787</v>
      </c>
      <c r="B5465" s="50">
        <v>45078.7467052083</v>
      </c>
      <c r="C5465" s="51">
        <v>1.007</v>
      </c>
      <c r="D5465" s="51">
        <v>65.0</v>
      </c>
      <c r="E5465" s="52" t="s">
        <v>25</v>
      </c>
      <c r="F5465" s="52" t="s">
        <v>26</v>
      </c>
      <c r="G5465" s="54"/>
    </row>
    <row r="5466">
      <c r="A5466" s="49">
        <v>45078.63214818287</v>
      </c>
      <c r="B5466" s="50">
        <v>45078.757127824</v>
      </c>
      <c r="C5466" s="51">
        <v>1.007</v>
      </c>
      <c r="D5466" s="51">
        <v>65.0</v>
      </c>
      <c r="E5466" s="52" t="s">
        <v>25</v>
      </c>
      <c r="F5466" s="52" t="s">
        <v>26</v>
      </c>
      <c r="G5466" s="54"/>
    </row>
    <row r="5467">
      <c r="A5467" s="49">
        <v>45078.64258865741</v>
      </c>
      <c r="B5467" s="50">
        <v>45078.7675710416</v>
      </c>
      <c r="C5467" s="51">
        <v>1.007</v>
      </c>
      <c r="D5467" s="51">
        <v>65.0</v>
      </c>
      <c r="E5467" s="52" t="s">
        <v>25</v>
      </c>
      <c r="F5467" s="52" t="s">
        <v>26</v>
      </c>
      <c r="G5467" s="54"/>
    </row>
    <row r="5468">
      <c r="A5468" s="49">
        <v>45078.653021782404</v>
      </c>
      <c r="B5468" s="50">
        <v>45078.777993912</v>
      </c>
      <c r="C5468" s="51">
        <v>1.007</v>
      </c>
      <c r="D5468" s="51">
        <v>65.0</v>
      </c>
      <c r="E5468" s="52" t="s">
        <v>25</v>
      </c>
      <c r="F5468" s="52" t="s">
        <v>26</v>
      </c>
      <c r="G5468" s="54"/>
    </row>
    <row r="5469">
      <c r="A5469" s="49">
        <v>45078.66343460648</v>
      </c>
      <c r="B5469" s="50">
        <v>45078.7884142013</v>
      </c>
      <c r="C5469" s="51">
        <v>1.007</v>
      </c>
      <c r="D5469" s="51">
        <v>65.0</v>
      </c>
      <c r="E5469" s="52" t="s">
        <v>25</v>
      </c>
      <c r="F5469" s="52" t="s">
        <v>26</v>
      </c>
      <c r="G5469" s="54"/>
    </row>
    <row r="5470">
      <c r="A5470" s="49">
        <v>45078.673867708334</v>
      </c>
      <c r="B5470" s="50">
        <v>45078.798845868</v>
      </c>
      <c r="C5470" s="51">
        <v>1.007</v>
      </c>
      <c r="D5470" s="51">
        <v>65.0</v>
      </c>
      <c r="E5470" s="52" t="s">
        <v>25</v>
      </c>
      <c r="F5470" s="52" t="s">
        <v>26</v>
      </c>
      <c r="G5470" s="54"/>
    </row>
    <row r="5471">
      <c r="A5471" s="49">
        <v>45078.68429762732</v>
      </c>
      <c r="B5471" s="50">
        <v>45078.8092678935</v>
      </c>
      <c r="C5471" s="51">
        <v>1.007</v>
      </c>
      <c r="D5471" s="51">
        <v>65.0</v>
      </c>
      <c r="E5471" s="52" t="s">
        <v>25</v>
      </c>
      <c r="F5471" s="52" t="s">
        <v>26</v>
      </c>
      <c r="G5471" s="54"/>
    </row>
    <row r="5472">
      <c r="A5472" s="49">
        <v>45078.6947078125</v>
      </c>
      <c r="B5472" s="50">
        <v>45078.8196892129</v>
      </c>
      <c r="C5472" s="51">
        <v>1.007</v>
      </c>
      <c r="D5472" s="51">
        <v>65.0</v>
      </c>
      <c r="E5472" s="52" t="s">
        <v>25</v>
      </c>
      <c r="F5472" s="52" t="s">
        <v>26</v>
      </c>
      <c r="G5472" s="54"/>
    </row>
    <row r="5473">
      <c r="A5473" s="49">
        <v>45078.705138680554</v>
      </c>
      <c r="B5473" s="50">
        <v>45078.8301094675</v>
      </c>
      <c r="C5473" s="51">
        <v>1.007</v>
      </c>
      <c r="D5473" s="51">
        <v>65.0</v>
      </c>
      <c r="E5473" s="52" t="s">
        <v>25</v>
      </c>
      <c r="F5473" s="52" t="s">
        <v>26</v>
      </c>
      <c r="G5473" s="54"/>
    </row>
    <row r="5474">
      <c r="A5474" s="49">
        <v>45078.71555267361</v>
      </c>
      <c r="B5474" s="50">
        <v>45078.8405305555</v>
      </c>
      <c r="C5474" s="51">
        <v>1.007</v>
      </c>
      <c r="D5474" s="51">
        <v>65.0</v>
      </c>
      <c r="E5474" s="52" t="s">
        <v>25</v>
      </c>
      <c r="F5474" s="52" t="s">
        <v>26</v>
      </c>
      <c r="G5474" s="54"/>
    </row>
    <row r="5475">
      <c r="A5475" s="49">
        <v>45078.725984895835</v>
      </c>
      <c r="B5475" s="50">
        <v>45078.8509642476</v>
      </c>
      <c r="C5475" s="51">
        <v>1.007</v>
      </c>
      <c r="D5475" s="51">
        <v>65.0</v>
      </c>
      <c r="E5475" s="52" t="s">
        <v>25</v>
      </c>
      <c r="F5475" s="52" t="s">
        <v>26</v>
      </c>
      <c r="G5475" s="54"/>
    </row>
    <row r="5476">
      <c r="A5476" s="49">
        <v>45078.736409861114</v>
      </c>
      <c r="B5476" s="50">
        <v>45078.8613866666</v>
      </c>
      <c r="C5476" s="51">
        <v>1.007</v>
      </c>
      <c r="D5476" s="51">
        <v>65.0</v>
      </c>
      <c r="E5476" s="52" t="s">
        <v>25</v>
      </c>
      <c r="F5476" s="52" t="s">
        <v>26</v>
      </c>
      <c r="G5476" s="54"/>
    </row>
    <row r="5477">
      <c r="A5477" s="49">
        <v>45078.74683712963</v>
      </c>
      <c r="B5477" s="50">
        <v>45078.8718086574</v>
      </c>
      <c r="C5477" s="51">
        <v>1.006</v>
      </c>
      <c r="D5477" s="51">
        <v>65.0</v>
      </c>
      <c r="E5477" s="52" t="s">
        <v>25</v>
      </c>
      <c r="F5477" s="52" t="s">
        <v>26</v>
      </c>
      <c r="G5477" s="54"/>
    </row>
    <row r="5478">
      <c r="A5478" s="49">
        <v>45078.757254375</v>
      </c>
      <c r="B5478" s="50">
        <v>45078.8822303472</v>
      </c>
      <c r="C5478" s="51">
        <v>1.007</v>
      </c>
      <c r="D5478" s="51">
        <v>65.0</v>
      </c>
      <c r="E5478" s="52" t="s">
        <v>25</v>
      </c>
      <c r="F5478" s="52" t="s">
        <v>26</v>
      </c>
      <c r="G5478" s="54"/>
    </row>
    <row r="5479">
      <c r="A5479" s="49">
        <v>45078.76768322916</v>
      </c>
      <c r="B5479" s="50">
        <v>45078.8926509953</v>
      </c>
      <c r="C5479" s="51">
        <v>1.007</v>
      </c>
      <c r="D5479" s="51">
        <v>65.0</v>
      </c>
      <c r="E5479" s="52" t="s">
        <v>25</v>
      </c>
      <c r="F5479" s="52" t="s">
        <v>26</v>
      </c>
      <c r="G5479" s="54"/>
    </row>
    <row r="5480">
      <c r="A5480" s="49">
        <v>45078.77810733796</v>
      </c>
      <c r="B5480" s="50">
        <v>45078.9030819213</v>
      </c>
      <c r="C5480" s="51">
        <v>1.007</v>
      </c>
      <c r="D5480" s="51">
        <v>65.0</v>
      </c>
      <c r="E5480" s="52" t="s">
        <v>25</v>
      </c>
      <c r="F5480" s="52" t="s">
        <v>26</v>
      </c>
      <c r="G5480" s="54"/>
    </row>
    <row r="5481">
      <c r="A5481" s="49">
        <v>45078.78852815973</v>
      </c>
      <c r="B5481" s="50">
        <v>45078.9135025578</v>
      </c>
      <c r="C5481" s="51">
        <v>1.007</v>
      </c>
      <c r="D5481" s="51">
        <v>65.0</v>
      </c>
      <c r="E5481" s="52" t="s">
        <v>25</v>
      </c>
      <c r="F5481" s="52" t="s">
        <v>26</v>
      </c>
      <c r="G5481" s="54"/>
    </row>
    <row r="5482">
      <c r="A5482" s="49">
        <v>45078.7989525</v>
      </c>
      <c r="B5482" s="50">
        <v>45078.9239241898</v>
      </c>
      <c r="C5482" s="51">
        <v>1.007</v>
      </c>
      <c r="D5482" s="51">
        <v>65.0</v>
      </c>
      <c r="E5482" s="52" t="s">
        <v>25</v>
      </c>
      <c r="F5482" s="52" t="s">
        <v>26</v>
      </c>
      <c r="G5482" s="54"/>
    </row>
    <row r="5483">
      <c r="A5483" s="49">
        <v>45078.809374062505</v>
      </c>
      <c r="B5483" s="50">
        <v>45078.9343444676</v>
      </c>
      <c r="C5483" s="51">
        <v>1.007</v>
      </c>
      <c r="D5483" s="51">
        <v>65.0</v>
      </c>
      <c r="E5483" s="52" t="s">
        <v>25</v>
      </c>
      <c r="F5483" s="52" t="s">
        <v>26</v>
      </c>
      <c r="G5483" s="54"/>
    </row>
    <row r="5484">
      <c r="A5484" s="49">
        <v>45078.81980819444</v>
      </c>
      <c r="B5484" s="50">
        <v>45078.9447782986</v>
      </c>
      <c r="C5484" s="51">
        <v>1.007</v>
      </c>
      <c r="D5484" s="51">
        <v>65.0</v>
      </c>
      <c r="E5484" s="52" t="s">
        <v>25</v>
      </c>
      <c r="F5484" s="52" t="s">
        <v>26</v>
      </c>
      <c r="G5484" s="54"/>
    </row>
    <row r="5485">
      <c r="A5485" s="49">
        <v>45078.83023047454</v>
      </c>
      <c r="B5485" s="50">
        <v>45078.9552004861</v>
      </c>
      <c r="C5485" s="51">
        <v>1.007</v>
      </c>
      <c r="D5485" s="51">
        <v>65.0</v>
      </c>
      <c r="E5485" s="52" t="s">
        <v>25</v>
      </c>
      <c r="F5485" s="52" t="s">
        <v>26</v>
      </c>
      <c r="G5485" s="54"/>
    </row>
    <row r="5486">
      <c r="A5486" s="49">
        <v>45078.840649328704</v>
      </c>
      <c r="B5486" s="50">
        <v>45078.965622199</v>
      </c>
      <c r="C5486" s="51">
        <v>1.007</v>
      </c>
      <c r="D5486" s="51">
        <v>65.0</v>
      </c>
      <c r="E5486" s="52" t="s">
        <v>25</v>
      </c>
      <c r="F5486" s="52" t="s">
        <v>26</v>
      </c>
      <c r="G5486" s="54"/>
    </row>
    <row r="5487">
      <c r="A5487" s="49">
        <v>45078.85106981482</v>
      </c>
      <c r="B5487" s="50">
        <v>45078.9760463078</v>
      </c>
      <c r="C5487" s="51">
        <v>1.007</v>
      </c>
      <c r="D5487" s="51">
        <v>66.0</v>
      </c>
      <c r="E5487" s="52" t="s">
        <v>25</v>
      </c>
      <c r="F5487" s="52" t="s">
        <v>26</v>
      </c>
      <c r="G5487" s="54"/>
    </row>
    <row r="5488">
      <c r="A5488" s="49">
        <v>45078.86149206018</v>
      </c>
      <c r="B5488" s="50">
        <v>45078.9864649189</v>
      </c>
      <c r="C5488" s="51">
        <v>1.007</v>
      </c>
      <c r="D5488" s="51">
        <v>65.0</v>
      </c>
      <c r="E5488" s="52" t="s">
        <v>25</v>
      </c>
      <c r="F5488" s="52" t="s">
        <v>26</v>
      </c>
      <c r="G5488" s="54"/>
    </row>
    <row r="5489">
      <c r="A5489" s="49">
        <v>45078.87191483796</v>
      </c>
      <c r="B5489" s="50">
        <v>45078.9968859375</v>
      </c>
      <c r="C5489" s="51">
        <v>1.007</v>
      </c>
      <c r="D5489" s="51">
        <v>65.0</v>
      </c>
      <c r="E5489" s="52" t="s">
        <v>25</v>
      </c>
      <c r="F5489" s="52" t="s">
        <v>26</v>
      </c>
      <c r="G5489" s="54"/>
    </row>
    <row r="5490">
      <c r="A5490" s="49">
        <v>45078.88233381945</v>
      </c>
      <c r="B5490" s="50">
        <v>45079.0073077777</v>
      </c>
      <c r="C5490" s="51">
        <v>1.007</v>
      </c>
      <c r="D5490" s="51">
        <v>66.0</v>
      </c>
      <c r="E5490" s="52" t="s">
        <v>25</v>
      </c>
      <c r="F5490" s="52" t="s">
        <v>26</v>
      </c>
      <c r="G5490" s="54"/>
    </row>
    <row r="5491">
      <c r="A5491" s="49">
        <v>45078.89276711806</v>
      </c>
      <c r="B5491" s="50">
        <v>45079.0177388078</v>
      </c>
      <c r="C5491" s="51">
        <v>1.007</v>
      </c>
      <c r="D5491" s="51">
        <v>66.0</v>
      </c>
      <c r="E5491" s="52" t="s">
        <v>25</v>
      </c>
      <c r="F5491" s="52" t="s">
        <v>26</v>
      </c>
      <c r="G5491" s="54"/>
    </row>
    <row r="5492">
      <c r="A5492" s="49">
        <v>45078.90318658565</v>
      </c>
      <c r="B5492" s="50">
        <v>45079.0281596759</v>
      </c>
      <c r="C5492" s="51">
        <v>1.007</v>
      </c>
      <c r="D5492" s="51">
        <v>66.0</v>
      </c>
      <c r="E5492" s="52" t="s">
        <v>25</v>
      </c>
      <c r="F5492" s="52" t="s">
        <v>26</v>
      </c>
      <c r="G5492" s="54"/>
    </row>
    <row r="5493">
      <c r="A5493" s="49">
        <v>45078.913602291665</v>
      </c>
      <c r="B5493" s="50">
        <v>45079.0385820486</v>
      </c>
      <c r="C5493" s="51">
        <v>1.007</v>
      </c>
      <c r="D5493" s="51">
        <v>66.0</v>
      </c>
      <c r="E5493" s="52" t="s">
        <v>25</v>
      </c>
      <c r="F5493" s="52" t="s">
        <v>26</v>
      </c>
      <c r="G5493" s="54"/>
    </row>
    <row r="5494">
      <c r="A5494" s="49">
        <v>45078.92403469907</v>
      </c>
      <c r="B5494" s="50">
        <v>45079.0490015162</v>
      </c>
      <c r="C5494" s="51">
        <v>1.007</v>
      </c>
      <c r="D5494" s="51">
        <v>66.0</v>
      </c>
      <c r="E5494" s="52" t="s">
        <v>25</v>
      </c>
      <c r="F5494" s="52" t="s">
        <v>26</v>
      </c>
      <c r="G5494" s="54"/>
    </row>
    <row r="5495">
      <c r="A5495" s="49">
        <v>45078.93445424769</v>
      </c>
      <c r="B5495" s="50">
        <v>45079.0594343287</v>
      </c>
      <c r="C5495" s="51">
        <v>1.007</v>
      </c>
      <c r="D5495" s="51">
        <v>66.0</v>
      </c>
      <c r="E5495" s="52" t="s">
        <v>25</v>
      </c>
      <c r="F5495" s="52" t="s">
        <v>26</v>
      </c>
      <c r="G5495" s="54"/>
    </row>
    <row r="5496">
      <c r="A5496" s="49">
        <v>45078.94489732639</v>
      </c>
      <c r="B5496" s="50">
        <v>45079.0698662847</v>
      </c>
      <c r="C5496" s="51">
        <v>1.007</v>
      </c>
      <c r="D5496" s="51">
        <v>66.0</v>
      </c>
      <c r="E5496" s="52" t="s">
        <v>25</v>
      </c>
      <c r="F5496" s="52" t="s">
        <v>26</v>
      </c>
      <c r="G5496" s="54"/>
    </row>
    <row r="5497">
      <c r="A5497" s="49">
        <v>45078.95531730324</v>
      </c>
      <c r="B5497" s="50">
        <v>45079.0802870949</v>
      </c>
      <c r="C5497" s="51">
        <v>1.007</v>
      </c>
      <c r="D5497" s="51">
        <v>66.0</v>
      </c>
      <c r="E5497" s="52" t="s">
        <v>25</v>
      </c>
      <c r="F5497" s="52" t="s">
        <v>26</v>
      </c>
      <c r="G5497" s="54"/>
    </row>
    <row r="5498">
      <c r="A5498" s="49">
        <v>45078.96573107639</v>
      </c>
      <c r="B5498" s="50">
        <v>45079.0907081365</v>
      </c>
      <c r="C5498" s="51">
        <v>1.006</v>
      </c>
      <c r="D5498" s="51">
        <v>66.0</v>
      </c>
      <c r="E5498" s="52" t="s">
        <v>25</v>
      </c>
      <c r="F5498" s="52" t="s">
        <v>26</v>
      </c>
      <c r="G5498" s="54"/>
    </row>
    <row r="5499">
      <c r="A5499" s="49">
        <v>45078.976147361114</v>
      </c>
      <c r="B5499" s="50">
        <v>45079.1011292708</v>
      </c>
      <c r="C5499" s="51">
        <v>1.007</v>
      </c>
      <c r="D5499" s="51">
        <v>66.0</v>
      </c>
      <c r="E5499" s="52" t="s">
        <v>25</v>
      </c>
      <c r="F5499" s="52" t="s">
        <v>26</v>
      </c>
      <c r="G5499" s="54"/>
    </row>
    <row r="5500">
      <c r="A5500" s="49">
        <v>45078.98660231481</v>
      </c>
      <c r="B5500" s="50">
        <v>45079.1115765277</v>
      </c>
      <c r="C5500" s="51">
        <v>1.006</v>
      </c>
      <c r="D5500" s="51">
        <v>66.0</v>
      </c>
      <c r="E5500" s="52" t="s">
        <v>25</v>
      </c>
      <c r="F5500" s="52" t="s">
        <v>26</v>
      </c>
      <c r="G5500" s="54"/>
    </row>
    <row r="5501">
      <c r="A5501" s="49">
        <v>45078.99704023148</v>
      </c>
      <c r="B5501" s="50">
        <v>45079.122019074</v>
      </c>
      <c r="C5501" s="51">
        <v>1.007</v>
      </c>
      <c r="D5501" s="51">
        <v>66.0</v>
      </c>
      <c r="E5501" s="52" t="s">
        <v>25</v>
      </c>
      <c r="F5501" s="52" t="s">
        <v>26</v>
      </c>
      <c r="G5501" s="54"/>
    </row>
    <row r="5502">
      <c r="A5502" s="49">
        <v>45079.00748015047</v>
      </c>
      <c r="B5502" s="50">
        <v>45079.132453368</v>
      </c>
      <c r="C5502" s="51">
        <v>1.007</v>
      </c>
      <c r="D5502" s="51">
        <v>66.0</v>
      </c>
      <c r="E5502" s="52" t="s">
        <v>25</v>
      </c>
      <c r="F5502" s="52" t="s">
        <v>26</v>
      </c>
      <c r="G5502" s="54"/>
    </row>
    <row r="5503">
      <c r="A5503" s="49">
        <v>45079.01790710648</v>
      </c>
      <c r="B5503" s="50">
        <v>45079.1428871759</v>
      </c>
      <c r="C5503" s="51">
        <v>1.006</v>
      </c>
      <c r="D5503" s="51">
        <v>66.0</v>
      </c>
      <c r="E5503" s="52" t="s">
        <v>25</v>
      </c>
      <c r="F5503" s="52" t="s">
        <v>26</v>
      </c>
      <c r="G5503" s="54"/>
    </row>
    <row r="5504">
      <c r="A5504" s="49">
        <v>45079.02832524305</v>
      </c>
      <c r="B5504" s="50">
        <v>45079.1533078588</v>
      </c>
      <c r="C5504" s="51">
        <v>1.007</v>
      </c>
      <c r="D5504" s="51">
        <v>66.0</v>
      </c>
      <c r="E5504" s="52" t="s">
        <v>25</v>
      </c>
      <c r="F5504" s="52" t="s">
        <v>26</v>
      </c>
      <c r="G5504" s="54"/>
    </row>
    <row r="5505">
      <c r="A5505" s="49">
        <v>45079.038755925925</v>
      </c>
      <c r="B5505" s="50">
        <v>45079.1637293055</v>
      </c>
      <c r="C5505" s="51">
        <v>1.007</v>
      </c>
      <c r="D5505" s="51">
        <v>66.0</v>
      </c>
      <c r="E5505" s="52" t="s">
        <v>25</v>
      </c>
      <c r="F5505" s="52" t="s">
        <v>26</v>
      </c>
      <c r="G5505" s="54"/>
    </row>
    <row r="5506">
      <c r="A5506" s="49">
        <v>45079.049172314815</v>
      </c>
      <c r="B5506" s="50">
        <v>45079.1741499189</v>
      </c>
      <c r="C5506" s="51">
        <v>1.007</v>
      </c>
      <c r="D5506" s="51">
        <v>66.0</v>
      </c>
      <c r="E5506" s="52" t="s">
        <v>25</v>
      </c>
      <c r="F5506" s="52" t="s">
        <v>26</v>
      </c>
      <c r="G5506" s="54"/>
    </row>
    <row r="5507">
      <c r="A5507" s="49">
        <v>45079.05960071759</v>
      </c>
      <c r="B5507" s="50">
        <v>45079.1845710648</v>
      </c>
      <c r="C5507" s="51">
        <v>1.007</v>
      </c>
      <c r="D5507" s="51">
        <v>66.0</v>
      </c>
      <c r="E5507" s="52" t="s">
        <v>25</v>
      </c>
      <c r="F5507" s="52" t="s">
        <v>26</v>
      </c>
      <c r="G5507" s="54"/>
    </row>
    <row r="5508">
      <c r="A5508" s="49">
        <v>45079.07005563658</v>
      </c>
      <c r="B5508" s="50">
        <v>45079.1950270949</v>
      </c>
      <c r="C5508" s="51">
        <v>1.007</v>
      </c>
      <c r="D5508" s="51">
        <v>66.0</v>
      </c>
      <c r="E5508" s="52" t="s">
        <v>25</v>
      </c>
      <c r="F5508" s="52" t="s">
        <v>26</v>
      </c>
      <c r="G5508" s="54"/>
    </row>
    <row r="5509">
      <c r="A5509" s="49">
        <v>45079.080471608795</v>
      </c>
      <c r="B5509" s="50">
        <v>45079.2054484259</v>
      </c>
      <c r="C5509" s="51">
        <v>1.007</v>
      </c>
      <c r="D5509" s="51">
        <v>66.0</v>
      </c>
      <c r="E5509" s="52" t="s">
        <v>25</v>
      </c>
      <c r="F5509" s="52" t="s">
        <v>26</v>
      </c>
      <c r="G5509" s="54"/>
    </row>
    <row r="5510">
      <c r="A5510" s="49">
        <v>45079.090902951386</v>
      </c>
      <c r="B5510" s="50">
        <v>45079.2158801157</v>
      </c>
      <c r="C5510" s="51">
        <v>1.007</v>
      </c>
      <c r="D5510" s="51">
        <v>66.0</v>
      </c>
      <c r="E5510" s="52" t="s">
        <v>25</v>
      </c>
      <c r="F5510" s="52" t="s">
        <v>26</v>
      </c>
      <c r="G5510" s="54"/>
    </row>
    <row r="5511">
      <c r="A5511" s="49">
        <v>45079.10132959491</v>
      </c>
      <c r="B5511" s="50">
        <v>45079.2263000231</v>
      </c>
      <c r="C5511" s="51">
        <v>1.007</v>
      </c>
      <c r="D5511" s="51">
        <v>66.0</v>
      </c>
      <c r="E5511" s="52" t="s">
        <v>25</v>
      </c>
      <c r="F5511" s="52" t="s">
        <v>26</v>
      </c>
      <c r="G5511" s="54"/>
    </row>
    <row r="5512">
      <c r="A5512" s="49">
        <v>45079.11174709491</v>
      </c>
      <c r="B5512" s="50">
        <v>45079.2367217476</v>
      </c>
      <c r="C5512" s="51">
        <v>1.007</v>
      </c>
      <c r="D5512" s="51">
        <v>66.0</v>
      </c>
      <c r="E5512" s="52" t="s">
        <v>25</v>
      </c>
      <c r="F5512" s="52" t="s">
        <v>26</v>
      </c>
      <c r="G5512" s="54"/>
    </row>
    <row r="5513">
      <c r="A5513" s="49">
        <v>45079.12217152778</v>
      </c>
      <c r="B5513" s="50">
        <v>45079.2471431713</v>
      </c>
      <c r="C5513" s="51">
        <v>1.007</v>
      </c>
      <c r="D5513" s="51">
        <v>66.0</v>
      </c>
      <c r="E5513" s="52" t="s">
        <v>25</v>
      </c>
      <c r="F5513" s="52" t="s">
        <v>26</v>
      </c>
      <c r="G5513" s="54"/>
    </row>
    <row r="5514">
      <c r="A5514" s="49">
        <v>45079.13258762732</v>
      </c>
      <c r="B5514" s="50">
        <v>45079.2575642245</v>
      </c>
      <c r="C5514" s="51">
        <v>1.007</v>
      </c>
      <c r="D5514" s="51">
        <v>66.0</v>
      </c>
      <c r="E5514" s="52" t="s">
        <v>25</v>
      </c>
      <c r="F5514" s="52" t="s">
        <v>26</v>
      </c>
      <c r="G5514" s="54"/>
    </row>
    <row r="5515">
      <c r="A5515" s="49">
        <v>45079.14303871528</v>
      </c>
      <c r="B5515" s="50">
        <v>45079.2680093171</v>
      </c>
      <c r="C5515" s="51">
        <v>1.007</v>
      </c>
      <c r="D5515" s="51">
        <v>66.0</v>
      </c>
      <c r="E5515" s="52" t="s">
        <v>25</v>
      </c>
      <c r="F5515" s="52" t="s">
        <v>26</v>
      </c>
      <c r="G5515" s="54"/>
    </row>
    <row r="5516">
      <c r="A5516" s="49">
        <v>45079.15346378472</v>
      </c>
      <c r="B5516" s="50">
        <v>45079.2784426157</v>
      </c>
      <c r="C5516" s="51">
        <v>1.007</v>
      </c>
      <c r="D5516" s="51">
        <v>66.0</v>
      </c>
      <c r="E5516" s="52" t="s">
        <v>25</v>
      </c>
      <c r="F5516" s="52" t="s">
        <v>26</v>
      </c>
      <c r="G5516" s="54"/>
    </row>
    <row r="5517">
      <c r="A5517" s="49">
        <v>45079.16392086806</v>
      </c>
      <c r="B5517" s="50">
        <v>45079.2888857754</v>
      </c>
      <c r="C5517" s="51">
        <v>1.007</v>
      </c>
      <c r="D5517" s="51">
        <v>66.0</v>
      </c>
      <c r="E5517" s="52" t="s">
        <v>25</v>
      </c>
      <c r="F5517" s="52" t="s">
        <v>26</v>
      </c>
      <c r="G5517" s="54"/>
    </row>
    <row r="5518">
      <c r="A5518" s="49">
        <v>45079.17433648148</v>
      </c>
      <c r="B5518" s="50">
        <v>45079.2993071412</v>
      </c>
      <c r="C5518" s="51">
        <v>1.007</v>
      </c>
      <c r="D5518" s="51">
        <v>66.0</v>
      </c>
      <c r="E5518" s="52" t="s">
        <v>25</v>
      </c>
      <c r="F5518" s="52" t="s">
        <v>26</v>
      </c>
      <c r="G5518" s="54"/>
    </row>
    <row r="5519">
      <c r="A5519" s="49">
        <v>45079.18474791667</v>
      </c>
      <c r="B5519" s="50">
        <v>45079.3097280092</v>
      </c>
      <c r="C5519" s="51">
        <v>1.007</v>
      </c>
      <c r="D5519" s="51">
        <v>66.0</v>
      </c>
      <c r="E5519" s="52" t="s">
        <v>25</v>
      </c>
      <c r="F5519" s="52" t="s">
        <v>26</v>
      </c>
      <c r="G5519" s="54"/>
    </row>
    <row r="5520">
      <c r="A5520" s="49">
        <v>45079.195178055554</v>
      </c>
      <c r="B5520" s="50">
        <v>45079.3201490972</v>
      </c>
      <c r="C5520" s="51">
        <v>1.007</v>
      </c>
      <c r="D5520" s="51">
        <v>66.0</v>
      </c>
      <c r="E5520" s="52" t="s">
        <v>25</v>
      </c>
      <c r="F5520" s="52" t="s">
        <v>26</v>
      </c>
      <c r="G5520" s="54"/>
    </row>
    <row r="5521">
      <c r="A5521" s="49">
        <v>45079.20560865741</v>
      </c>
      <c r="B5521" s="50">
        <v>45079.3305824305</v>
      </c>
      <c r="C5521" s="51">
        <v>1.007</v>
      </c>
      <c r="D5521" s="51">
        <v>66.0</v>
      </c>
      <c r="E5521" s="52" t="s">
        <v>25</v>
      </c>
      <c r="F5521" s="52" t="s">
        <v>26</v>
      </c>
      <c r="G5521" s="54"/>
    </row>
    <row r="5522">
      <c r="A5522" s="49">
        <v>45079.21602984954</v>
      </c>
      <c r="B5522" s="50">
        <v>45079.3410036921</v>
      </c>
      <c r="C5522" s="51">
        <v>1.007</v>
      </c>
      <c r="D5522" s="51">
        <v>66.0</v>
      </c>
      <c r="E5522" s="52" t="s">
        <v>25</v>
      </c>
      <c r="F5522" s="52" t="s">
        <v>26</v>
      </c>
      <c r="G5522" s="54"/>
    </row>
    <row r="5523">
      <c r="A5523" s="49">
        <v>45079.22647016204</v>
      </c>
      <c r="B5523" s="50">
        <v>45079.3514470949</v>
      </c>
      <c r="C5523" s="51">
        <v>1.007</v>
      </c>
      <c r="D5523" s="51">
        <v>66.0</v>
      </c>
      <c r="E5523" s="52" t="s">
        <v>25</v>
      </c>
      <c r="F5523" s="52" t="s">
        <v>26</v>
      </c>
      <c r="G5523" s="54"/>
    </row>
    <row r="5524">
      <c r="A5524" s="49">
        <v>45079.236904467594</v>
      </c>
      <c r="B5524" s="50">
        <v>45079.3618814467</v>
      </c>
      <c r="C5524" s="51">
        <v>1.007</v>
      </c>
      <c r="D5524" s="51">
        <v>66.0</v>
      </c>
      <c r="E5524" s="52" t="s">
        <v>25</v>
      </c>
      <c r="F5524" s="52" t="s">
        <v>26</v>
      </c>
      <c r="G5524" s="54"/>
    </row>
    <row r="5525">
      <c r="A5525" s="49">
        <v>45079.247326805555</v>
      </c>
      <c r="B5525" s="50">
        <v>45079.3723005092</v>
      </c>
      <c r="C5525" s="51">
        <v>1.006</v>
      </c>
      <c r="D5525" s="51">
        <v>66.0</v>
      </c>
      <c r="E5525" s="52" t="s">
        <v>25</v>
      </c>
      <c r="F5525" s="52" t="s">
        <v>26</v>
      </c>
      <c r="G5525" s="54"/>
    </row>
    <row r="5526">
      <c r="A5526" s="49">
        <v>45079.25774729167</v>
      </c>
      <c r="B5526" s="50">
        <v>45079.3827214814</v>
      </c>
      <c r="C5526" s="51">
        <v>1.006</v>
      </c>
      <c r="D5526" s="51">
        <v>66.0</v>
      </c>
      <c r="E5526" s="52" t="s">
        <v>25</v>
      </c>
      <c r="F5526" s="52" t="s">
        <v>26</v>
      </c>
      <c r="G5526" s="54"/>
    </row>
    <row r="5527">
      <c r="A5527" s="49">
        <v>45079.26820667824</v>
      </c>
      <c r="B5527" s="50">
        <v>45079.3931654282</v>
      </c>
      <c r="C5527" s="51">
        <v>1.007</v>
      </c>
      <c r="D5527" s="51">
        <v>66.0</v>
      </c>
      <c r="E5527" s="52" t="s">
        <v>25</v>
      </c>
      <c r="F5527" s="52" t="s">
        <v>26</v>
      </c>
      <c r="G5527" s="54"/>
    </row>
    <row r="5528">
      <c r="A5528" s="49">
        <v>45079.2786078125</v>
      </c>
      <c r="B5528" s="50">
        <v>45079.4035869791</v>
      </c>
      <c r="C5528" s="51">
        <v>1.007</v>
      </c>
      <c r="D5528" s="51">
        <v>66.0</v>
      </c>
      <c r="E5528" s="52" t="s">
        <v>25</v>
      </c>
      <c r="F5528" s="52" t="s">
        <v>26</v>
      </c>
      <c r="G5528" s="54"/>
    </row>
    <row r="5529">
      <c r="A5529" s="49">
        <v>45079.28903407407</v>
      </c>
      <c r="B5529" s="50">
        <v>45079.4140065277</v>
      </c>
      <c r="C5529" s="51">
        <v>1.007</v>
      </c>
      <c r="D5529" s="51">
        <v>66.0</v>
      </c>
      <c r="E5529" s="52" t="s">
        <v>25</v>
      </c>
      <c r="F5529" s="52" t="s">
        <v>26</v>
      </c>
      <c r="G5529" s="54"/>
    </row>
    <row r="5530">
      <c r="A5530" s="49">
        <v>45079.299513125</v>
      </c>
      <c r="B5530" s="50">
        <v>45079.4244396759</v>
      </c>
      <c r="C5530" s="51">
        <v>1.007</v>
      </c>
      <c r="D5530" s="51">
        <v>66.0</v>
      </c>
      <c r="E5530" s="52" t="s">
        <v>25</v>
      </c>
      <c r="F5530" s="52" t="s">
        <v>26</v>
      </c>
      <c r="G5530" s="54"/>
    </row>
    <row r="5531">
      <c r="A5531" s="49">
        <v>45079.30989372685</v>
      </c>
      <c r="B5531" s="50">
        <v>45079.4348723379</v>
      </c>
      <c r="C5531" s="51">
        <v>1.007</v>
      </c>
      <c r="D5531" s="51">
        <v>66.0</v>
      </c>
      <c r="E5531" s="52" t="s">
        <v>25</v>
      </c>
      <c r="F5531" s="52" t="s">
        <v>26</v>
      </c>
      <c r="G5531" s="54"/>
    </row>
    <row r="5532">
      <c r="A5532" s="49">
        <v>45079.320337488425</v>
      </c>
      <c r="B5532" s="50">
        <v>45079.4453053125</v>
      </c>
      <c r="C5532" s="51">
        <v>1.007</v>
      </c>
      <c r="D5532" s="51">
        <v>66.0</v>
      </c>
      <c r="E5532" s="52" t="s">
        <v>25</v>
      </c>
      <c r="F5532" s="52" t="s">
        <v>26</v>
      </c>
      <c r="G5532" s="54"/>
    </row>
    <row r="5533">
      <c r="A5533" s="49">
        <v>45079.3307746412</v>
      </c>
      <c r="B5533" s="50">
        <v>45079.4557377314</v>
      </c>
      <c r="C5533" s="51">
        <v>1.007</v>
      </c>
      <c r="D5533" s="51">
        <v>66.0</v>
      </c>
      <c r="E5533" s="52" t="s">
        <v>25</v>
      </c>
      <c r="F5533" s="52" t="s">
        <v>26</v>
      </c>
      <c r="G5533" s="54"/>
    </row>
    <row r="5534">
      <c r="A5534" s="49">
        <v>45079.34119612268</v>
      </c>
      <c r="B5534" s="50">
        <v>45079.4661713194</v>
      </c>
      <c r="C5534" s="51">
        <v>1.007</v>
      </c>
      <c r="D5534" s="51">
        <v>66.0</v>
      </c>
      <c r="E5534" s="52" t="s">
        <v>25</v>
      </c>
      <c r="F5534" s="52" t="s">
        <v>26</v>
      </c>
      <c r="G5534" s="54"/>
    </row>
    <row r="5535">
      <c r="A5535" s="49">
        <v>45079.35161751157</v>
      </c>
      <c r="B5535" s="50">
        <v>45079.4765926273</v>
      </c>
      <c r="C5535" s="51">
        <v>1.006</v>
      </c>
      <c r="D5535" s="51">
        <v>66.0</v>
      </c>
      <c r="E5535" s="52" t="s">
        <v>25</v>
      </c>
      <c r="F5535" s="52" t="s">
        <v>26</v>
      </c>
      <c r="G5535" s="54"/>
    </row>
    <row r="5536">
      <c r="A5536" s="49">
        <v>45079.36204258102</v>
      </c>
      <c r="B5536" s="50">
        <v>45079.4870121875</v>
      </c>
      <c r="C5536" s="51">
        <v>1.007</v>
      </c>
      <c r="D5536" s="51">
        <v>66.0</v>
      </c>
      <c r="E5536" s="52" t="s">
        <v>25</v>
      </c>
      <c r="F5536" s="52" t="s">
        <v>26</v>
      </c>
      <c r="G5536" s="54"/>
    </row>
    <row r="5537">
      <c r="A5537" s="49">
        <v>45079.37247081018</v>
      </c>
      <c r="B5537" s="50">
        <v>45079.4974442129</v>
      </c>
      <c r="C5537" s="51">
        <v>1.007</v>
      </c>
      <c r="D5537" s="51">
        <v>66.0</v>
      </c>
      <c r="E5537" s="52" t="s">
        <v>25</v>
      </c>
      <c r="F5537" s="52" t="s">
        <v>26</v>
      </c>
      <c r="G5537" s="54"/>
    </row>
    <row r="5538">
      <c r="A5538" s="49">
        <v>45079.38288806713</v>
      </c>
      <c r="B5538" s="50">
        <v>45079.5078655902</v>
      </c>
      <c r="C5538" s="51">
        <v>1.007</v>
      </c>
      <c r="D5538" s="51">
        <v>66.0</v>
      </c>
      <c r="E5538" s="52" t="s">
        <v>25</v>
      </c>
      <c r="F5538" s="52" t="s">
        <v>26</v>
      </c>
      <c r="G5538" s="54"/>
    </row>
    <row r="5539">
      <c r="A5539" s="49">
        <v>45079.39331142361</v>
      </c>
      <c r="B5539" s="50">
        <v>45079.5182864814</v>
      </c>
      <c r="C5539" s="51">
        <v>1.007</v>
      </c>
      <c r="D5539" s="51">
        <v>66.0</v>
      </c>
      <c r="E5539" s="52" t="s">
        <v>25</v>
      </c>
      <c r="F5539" s="52" t="s">
        <v>26</v>
      </c>
      <c r="G5539" s="54"/>
    </row>
    <row r="5540">
      <c r="A5540" s="49">
        <v>45079.40374799768</v>
      </c>
      <c r="B5540" s="50">
        <v>45079.5287195023</v>
      </c>
      <c r="C5540" s="51">
        <v>1.007</v>
      </c>
      <c r="D5540" s="51">
        <v>66.0</v>
      </c>
      <c r="E5540" s="52" t="s">
        <v>25</v>
      </c>
      <c r="F5540" s="52" t="s">
        <v>26</v>
      </c>
      <c r="G5540" s="54"/>
    </row>
    <row r="5541">
      <c r="A5541" s="49">
        <v>45079.41417023148</v>
      </c>
      <c r="B5541" s="50">
        <v>45079.5391408912</v>
      </c>
      <c r="C5541" s="51">
        <v>1.007</v>
      </c>
      <c r="D5541" s="51">
        <v>66.0</v>
      </c>
      <c r="E5541" s="52" t="s">
        <v>25</v>
      </c>
      <c r="F5541" s="52" t="s">
        <v>26</v>
      </c>
      <c r="G5541" s="54"/>
    </row>
    <row r="5542">
      <c r="A5542" s="49">
        <v>45079.424587118054</v>
      </c>
      <c r="B5542" s="50">
        <v>45079.5495623263</v>
      </c>
      <c r="C5542" s="51">
        <v>1.006</v>
      </c>
      <c r="D5542" s="51">
        <v>66.0</v>
      </c>
      <c r="E5542" s="52" t="s">
        <v>25</v>
      </c>
      <c r="F5542" s="52" t="s">
        <v>26</v>
      </c>
      <c r="G5542" s="54"/>
    </row>
    <row r="5543">
      <c r="A5543" s="49">
        <v>45079.435004074076</v>
      </c>
      <c r="B5543" s="50">
        <v>45079.5599843055</v>
      </c>
      <c r="C5543" s="51">
        <v>1.007</v>
      </c>
      <c r="D5543" s="51">
        <v>66.0</v>
      </c>
      <c r="E5543" s="52" t="s">
        <v>25</v>
      </c>
      <c r="F5543" s="52" t="s">
        <v>26</v>
      </c>
      <c r="G5543" s="54"/>
    </row>
    <row r="5544">
      <c r="A5544" s="49">
        <v>45079.44542771991</v>
      </c>
      <c r="B5544" s="50">
        <v>45079.5704048842</v>
      </c>
      <c r="C5544" s="51">
        <v>1.007</v>
      </c>
      <c r="D5544" s="51">
        <v>66.0</v>
      </c>
      <c r="E5544" s="52" t="s">
        <v>25</v>
      </c>
      <c r="F5544" s="52" t="s">
        <v>26</v>
      </c>
      <c r="G5544" s="54"/>
    </row>
    <row r="5545">
      <c r="A5545" s="49">
        <v>45079.4560472338</v>
      </c>
      <c r="B5545" s="50">
        <v>45079.5808254166</v>
      </c>
      <c r="C5545" s="51">
        <v>1.006</v>
      </c>
      <c r="D5545" s="51">
        <v>66.0</v>
      </c>
      <c r="E5545" s="52" t="s">
        <v>25</v>
      </c>
      <c r="F5545" s="52" t="s">
        <v>26</v>
      </c>
      <c r="G5545" s="54"/>
    </row>
    <row r="5546">
      <c r="A5546" s="49">
        <v>45079.46627616898</v>
      </c>
      <c r="B5546" s="50">
        <v>45079.5912465162</v>
      </c>
      <c r="C5546" s="51">
        <v>1.006</v>
      </c>
      <c r="D5546" s="51">
        <v>66.0</v>
      </c>
      <c r="E5546" s="52" t="s">
        <v>25</v>
      </c>
      <c r="F5546" s="52" t="s">
        <v>26</v>
      </c>
      <c r="G5546" s="54"/>
    </row>
    <row r="5547">
      <c r="A5547" s="49">
        <v>45079.47669844907</v>
      </c>
      <c r="B5547" s="50">
        <v>45079.6016798263</v>
      </c>
      <c r="C5547" s="51">
        <v>1.007</v>
      </c>
      <c r="D5547" s="51">
        <v>66.0</v>
      </c>
      <c r="E5547" s="52" t="s">
        <v>25</v>
      </c>
      <c r="F5547" s="52" t="s">
        <v>26</v>
      </c>
      <c r="G5547" s="54"/>
    </row>
    <row r="5548">
      <c r="A5548" s="49">
        <v>45079.48713925926</v>
      </c>
      <c r="B5548" s="50">
        <v>45079.6121120138</v>
      </c>
      <c r="C5548" s="51">
        <v>1.007</v>
      </c>
      <c r="D5548" s="51">
        <v>66.0</v>
      </c>
      <c r="E5548" s="52" t="s">
        <v>25</v>
      </c>
      <c r="F5548" s="52" t="s">
        <v>26</v>
      </c>
      <c r="G5548" s="54"/>
    </row>
    <row r="5549">
      <c r="A5549" s="49">
        <v>45079.49757121528</v>
      </c>
      <c r="B5549" s="50">
        <v>45079.6225447222</v>
      </c>
      <c r="C5549" s="51">
        <v>1.007</v>
      </c>
      <c r="D5549" s="51">
        <v>66.0</v>
      </c>
      <c r="E5549" s="52" t="s">
        <v>25</v>
      </c>
      <c r="F5549" s="52" t="s">
        <v>26</v>
      </c>
      <c r="G5549" s="54"/>
    </row>
    <row r="5550">
      <c r="A5550" s="49">
        <v>45079.50799462963</v>
      </c>
      <c r="B5550" s="50">
        <v>45079.632965625</v>
      </c>
      <c r="C5550" s="51">
        <v>1.007</v>
      </c>
      <c r="D5550" s="51">
        <v>66.0</v>
      </c>
      <c r="E5550" s="52" t="s">
        <v>25</v>
      </c>
      <c r="F5550" s="52" t="s">
        <v>26</v>
      </c>
      <c r="G5550" s="54"/>
    </row>
    <row r="5551">
      <c r="A5551" s="49">
        <v>45079.51841408564</v>
      </c>
      <c r="B5551" s="50">
        <v>45079.643386956</v>
      </c>
      <c r="C5551" s="51">
        <v>1.006</v>
      </c>
      <c r="D5551" s="51">
        <v>66.0</v>
      </c>
      <c r="E5551" s="52" t="s">
        <v>25</v>
      </c>
      <c r="F5551" s="52" t="s">
        <v>26</v>
      </c>
      <c r="G5551" s="54"/>
    </row>
    <row r="5552">
      <c r="A5552" s="49">
        <v>45079.52883581018</v>
      </c>
      <c r="B5552" s="50">
        <v>45079.6538064467</v>
      </c>
      <c r="C5552" s="51">
        <v>1.007</v>
      </c>
      <c r="D5552" s="51">
        <v>66.0</v>
      </c>
      <c r="E5552" s="52" t="s">
        <v>25</v>
      </c>
      <c r="F5552" s="52" t="s">
        <v>26</v>
      </c>
      <c r="G5552" s="54"/>
    </row>
    <row r="5553">
      <c r="A5553" s="49">
        <v>45079.53925158565</v>
      </c>
      <c r="B5553" s="50">
        <v>45079.6642262152</v>
      </c>
      <c r="C5553" s="51">
        <v>1.007</v>
      </c>
      <c r="D5553" s="51">
        <v>66.0</v>
      </c>
      <c r="E5553" s="52" t="s">
        <v>25</v>
      </c>
      <c r="F5553" s="52" t="s">
        <v>26</v>
      </c>
      <c r="G5553" s="54"/>
    </row>
    <row r="5554">
      <c r="A5554" s="49">
        <v>45079.54967068287</v>
      </c>
      <c r="B5554" s="50">
        <v>45079.6746491203</v>
      </c>
      <c r="C5554" s="51">
        <v>1.006</v>
      </c>
      <c r="D5554" s="51">
        <v>66.0</v>
      </c>
      <c r="E5554" s="52" t="s">
        <v>25</v>
      </c>
      <c r="F5554" s="52" t="s">
        <v>26</v>
      </c>
      <c r="G5554" s="54"/>
    </row>
    <row r="5555">
      <c r="A5555" s="49">
        <v>45079.56012490741</v>
      </c>
      <c r="B5555" s="50">
        <v>45079.6850940277</v>
      </c>
      <c r="C5555" s="51">
        <v>1.007</v>
      </c>
      <c r="D5555" s="51">
        <v>66.0</v>
      </c>
      <c r="E5555" s="52" t="s">
        <v>25</v>
      </c>
      <c r="F5555" s="52" t="s">
        <v>26</v>
      </c>
      <c r="G5555" s="54"/>
    </row>
    <row r="5556">
      <c r="A5556" s="49">
        <v>45079.570541458335</v>
      </c>
      <c r="B5556" s="50">
        <v>45079.6955155555</v>
      </c>
      <c r="C5556" s="51">
        <v>1.007</v>
      </c>
      <c r="D5556" s="51">
        <v>66.0</v>
      </c>
      <c r="E5556" s="52" t="s">
        <v>25</v>
      </c>
      <c r="F5556" s="52" t="s">
        <v>26</v>
      </c>
      <c r="G5556" s="54"/>
    </row>
    <row r="5557">
      <c r="A5557" s="49">
        <v>45079.58096474537</v>
      </c>
      <c r="B5557" s="50">
        <v>45079.7059361805</v>
      </c>
      <c r="C5557" s="51">
        <v>1.006</v>
      </c>
      <c r="D5557" s="51">
        <v>66.0</v>
      </c>
      <c r="E5557" s="52" t="s">
        <v>25</v>
      </c>
      <c r="F5557" s="52" t="s">
        <v>26</v>
      </c>
      <c r="G5557" s="54"/>
    </row>
    <row r="5558">
      <c r="A5558" s="49">
        <v>45079.59140633102</v>
      </c>
      <c r="B5558" s="50">
        <v>45079.7163803935</v>
      </c>
      <c r="C5558" s="51">
        <v>1.006</v>
      </c>
      <c r="D5558" s="51">
        <v>66.0</v>
      </c>
      <c r="E5558" s="52" t="s">
        <v>25</v>
      </c>
      <c r="F5558" s="52" t="s">
        <v>26</v>
      </c>
      <c r="G5558" s="54"/>
    </row>
    <row r="5559">
      <c r="A5559" s="49">
        <v>45079.60182170139</v>
      </c>
      <c r="B5559" s="50">
        <v>45079.7268001157</v>
      </c>
      <c r="C5559" s="51">
        <v>1.006</v>
      </c>
      <c r="D5559" s="51">
        <v>66.0</v>
      </c>
      <c r="E5559" s="52" t="s">
        <v>25</v>
      </c>
      <c r="F5559" s="52" t="s">
        <v>26</v>
      </c>
      <c r="G5559" s="54"/>
    </row>
    <row r="5560">
      <c r="A5560" s="49">
        <v>45079.61224548611</v>
      </c>
      <c r="B5560" s="50">
        <v>45079.7372185648</v>
      </c>
      <c r="C5560" s="51">
        <v>1.006</v>
      </c>
      <c r="D5560" s="51">
        <v>66.0</v>
      </c>
      <c r="E5560" s="52" t="s">
        <v>25</v>
      </c>
      <c r="F5560" s="52" t="s">
        <v>26</v>
      </c>
      <c r="G5560" s="54"/>
    </row>
    <row r="5561">
      <c r="A5561" s="49">
        <v>45079.622660925925</v>
      </c>
      <c r="B5561" s="50">
        <v>45079.7476397106</v>
      </c>
      <c r="C5561" s="51">
        <v>1.006</v>
      </c>
      <c r="D5561" s="51">
        <v>66.0</v>
      </c>
      <c r="E5561" s="52" t="s">
        <v>25</v>
      </c>
      <c r="F5561" s="52" t="s">
        <v>26</v>
      </c>
      <c r="G5561" s="54"/>
    </row>
    <row r="5562">
      <c r="A5562" s="49">
        <v>45079.63310177083</v>
      </c>
      <c r="B5562" s="50">
        <v>45079.7580847685</v>
      </c>
      <c r="C5562" s="51">
        <v>1.006</v>
      </c>
      <c r="D5562" s="51">
        <v>66.0</v>
      </c>
      <c r="E5562" s="52" t="s">
        <v>25</v>
      </c>
      <c r="F5562" s="52" t="s">
        <v>26</v>
      </c>
      <c r="G5562" s="54"/>
    </row>
    <row r="5563">
      <c r="A5563" s="49">
        <v>45079.64352225694</v>
      </c>
      <c r="B5563" s="50">
        <v>45079.7685054513</v>
      </c>
      <c r="C5563" s="51">
        <v>1.007</v>
      </c>
      <c r="D5563" s="51">
        <v>66.0</v>
      </c>
      <c r="E5563" s="52" t="s">
        <v>25</v>
      </c>
      <c r="F5563" s="52" t="s">
        <v>26</v>
      </c>
      <c r="G5563" s="54"/>
    </row>
    <row r="5564">
      <c r="A5564" s="49">
        <v>45079.65394541666</v>
      </c>
      <c r="B5564" s="50">
        <v>45079.7789251851</v>
      </c>
      <c r="C5564" s="51">
        <v>1.006</v>
      </c>
      <c r="D5564" s="51">
        <v>66.0</v>
      </c>
      <c r="E5564" s="52" t="s">
        <v>25</v>
      </c>
      <c r="F5564" s="52" t="s">
        <v>26</v>
      </c>
      <c r="G5564" s="54"/>
    </row>
    <row r="5565">
      <c r="A5565" s="49">
        <v>45079.66437283564</v>
      </c>
      <c r="B5565" s="50">
        <v>45079.7893459838</v>
      </c>
      <c r="C5565" s="51">
        <v>1.007</v>
      </c>
      <c r="D5565" s="51">
        <v>66.0</v>
      </c>
      <c r="E5565" s="52" t="s">
        <v>25</v>
      </c>
      <c r="F5565" s="52" t="s">
        <v>26</v>
      </c>
      <c r="G5565" s="54"/>
    </row>
    <row r="5566">
      <c r="A5566" s="49">
        <v>45079.67479320602</v>
      </c>
      <c r="B5566" s="50">
        <v>45079.7997664004</v>
      </c>
      <c r="C5566" s="51">
        <v>1.007</v>
      </c>
      <c r="D5566" s="51">
        <v>66.0</v>
      </c>
      <c r="E5566" s="52" t="s">
        <v>25</v>
      </c>
      <c r="F5566" s="52" t="s">
        <v>26</v>
      </c>
      <c r="G5566" s="54"/>
    </row>
    <row r="5567">
      <c r="A5567" s="49">
        <v>45079.68521631944</v>
      </c>
      <c r="B5567" s="50">
        <v>45079.8101869328</v>
      </c>
      <c r="C5567" s="51">
        <v>1.007</v>
      </c>
      <c r="D5567" s="51">
        <v>66.0</v>
      </c>
      <c r="E5567" s="52" t="s">
        <v>25</v>
      </c>
      <c r="F5567" s="52" t="s">
        <v>26</v>
      </c>
      <c r="G5567" s="54"/>
    </row>
    <row r="5568">
      <c r="A5568" s="49">
        <v>45079.69564534722</v>
      </c>
      <c r="B5568" s="50">
        <v>45079.8206198379</v>
      </c>
      <c r="C5568" s="51">
        <v>1.006</v>
      </c>
      <c r="D5568" s="51">
        <v>66.0</v>
      </c>
      <c r="E5568" s="52" t="s">
        <v>25</v>
      </c>
      <c r="F5568" s="52" t="s">
        <v>26</v>
      </c>
      <c r="G5568" s="54"/>
    </row>
    <row r="5569">
      <c r="A5569" s="49">
        <v>45079.706076793984</v>
      </c>
      <c r="B5569" s="50">
        <v>45079.8310515856</v>
      </c>
      <c r="C5569" s="51">
        <v>1.006</v>
      </c>
      <c r="D5569" s="51">
        <v>66.0</v>
      </c>
      <c r="E5569" s="52" t="s">
        <v>25</v>
      </c>
      <c r="F5569" s="52" t="s">
        <v>26</v>
      </c>
      <c r="G5569" s="54"/>
    </row>
    <row r="5570">
      <c r="A5570" s="49">
        <v>45079.71648888889</v>
      </c>
      <c r="B5570" s="50">
        <v>45079.8414723495</v>
      </c>
      <c r="C5570" s="51">
        <v>1.007</v>
      </c>
      <c r="D5570" s="51">
        <v>66.0</v>
      </c>
      <c r="E5570" s="52" t="s">
        <v>25</v>
      </c>
      <c r="F5570" s="52" t="s">
        <v>26</v>
      </c>
      <c r="G5570" s="54"/>
    </row>
    <row r="5571">
      <c r="A5571" s="49">
        <v>45079.726921203706</v>
      </c>
      <c r="B5571" s="50">
        <v>45079.8518925463</v>
      </c>
      <c r="C5571" s="51">
        <v>1.006</v>
      </c>
      <c r="D5571" s="51">
        <v>66.0</v>
      </c>
      <c r="E5571" s="52" t="s">
        <v>25</v>
      </c>
      <c r="F5571" s="52" t="s">
        <v>26</v>
      </c>
      <c r="G5571" s="54"/>
    </row>
    <row r="5572">
      <c r="A5572" s="49">
        <v>45079.73733615741</v>
      </c>
      <c r="B5572" s="50">
        <v>45079.8623143981</v>
      </c>
      <c r="C5572" s="51">
        <v>1.007</v>
      </c>
      <c r="D5572" s="51">
        <v>66.0</v>
      </c>
      <c r="E5572" s="52" t="s">
        <v>25</v>
      </c>
      <c r="F5572" s="52" t="s">
        <v>26</v>
      </c>
      <c r="G5572" s="54"/>
    </row>
    <row r="5573">
      <c r="A5573" s="49">
        <v>45079.74775335648</v>
      </c>
      <c r="B5573" s="50">
        <v>45079.8727356481</v>
      </c>
      <c r="C5573" s="51">
        <v>1.007</v>
      </c>
      <c r="D5573" s="51">
        <v>66.0</v>
      </c>
      <c r="E5573" s="52" t="s">
        <v>25</v>
      </c>
      <c r="F5573" s="52" t="s">
        <v>26</v>
      </c>
      <c r="G5573" s="54"/>
    </row>
    <row r="5574">
      <c r="A5574" s="49">
        <v>45079.75819167824</v>
      </c>
      <c r="B5574" s="50">
        <v>45079.8831688194</v>
      </c>
      <c r="C5574" s="51">
        <v>1.006</v>
      </c>
      <c r="D5574" s="51">
        <v>66.0</v>
      </c>
      <c r="E5574" s="52" t="s">
        <v>25</v>
      </c>
      <c r="F5574" s="52" t="s">
        <v>26</v>
      </c>
      <c r="G5574" s="54"/>
    </row>
    <row r="5575">
      <c r="A5575" s="49">
        <v>45079.76861076389</v>
      </c>
      <c r="B5575" s="50">
        <v>45079.8935901041</v>
      </c>
      <c r="C5575" s="51">
        <v>1.006</v>
      </c>
      <c r="D5575" s="51">
        <v>66.0</v>
      </c>
      <c r="E5575" s="52" t="s">
        <v>25</v>
      </c>
      <c r="F5575" s="52" t="s">
        <v>26</v>
      </c>
      <c r="G5575" s="54"/>
    </row>
    <row r="5576">
      <c r="A5576" s="49">
        <v>45079.77904119213</v>
      </c>
      <c r="B5576" s="50">
        <v>45079.9040228009</v>
      </c>
      <c r="C5576" s="51">
        <v>1.007</v>
      </c>
      <c r="D5576" s="51">
        <v>66.0</v>
      </c>
      <c r="E5576" s="52" t="s">
        <v>25</v>
      </c>
      <c r="F5576" s="52" t="s">
        <v>26</v>
      </c>
      <c r="G5576" s="54"/>
    </row>
    <row r="5577">
      <c r="A5577" s="49">
        <v>45079.78947234954</v>
      </c>
      <c r="B5577" s="50">
        <v>45079.9144449768</v>
      </c>
      <c r="C5577" s="51">
        <v>1.006</v>
      </c>
      <c r="D5577" s="51">
        <v>66.0</v>
      </c>
      <c r="E5577" s="52" t="s">
        <v>25</v>
      </c>
      <c r="F5577" s="52" t="s">
        <v>26</v>
      </c>
      <c r="G5577" s="54"/>
    </row>
    <row r="5578">
      <c r="A5578" s="49">
        <v>45079.79988805555</v>
      </c>
      <c r="B5578" s="50">
        <v>45079.9248649305</v>
      </c>
      <c r="C5578" s="51">
        <v>1.006</v>
      </c>
      <c r="D5578" s="51">
        <v>66.0</v>
      </c>
      <c r="E5578" s="52" t="s">
        <v>25</v>
      </c>
      <c r="F5578" s="52" t="s">
        <v>26</v>
      </c>
      <c r="G5578" s="54"/>
    </row>
    <row r="5579">
      <c r="A5579" s="49">
        <v>45079.810328402775</v>
      </c>
      <c r="B5579" s="50">
        <v>45079.935308993</v>
      </c>
      <c r="C5579" s="51">
        <v>1.006</v>
      </c>
      <c r="D5579" s="51">
        <v>66.0</v>
      </c>
      <c r="E5579" s="52" t="s">
        <v>25</v>
      </c>
      <c r="F5579" s="52" t="s">
        <v>26</v>
      </c>
      <c r="G5579" s="54"/>
    </row>
    <row r="5580">
      <c r="A5580" s="49">
        <v>45079.820763055555</v>
      </c>
      <c r="B5580" s="50">
        <v>45079.9457301736</v>
      </c>
      <c r="C5580" s="51">
        <v>1.006</v>
      </c>
      <c r="D5580" s="51">
        <v>66.0</v>
      </c>
      <c r="E5580" s="52" t="s">
        <v>25</v>
      </c>
      <c r="F5580" s="52" t="s">
        <v>26</v>
      </c>
      <c r="G5580" s="54"/>
    </row>
    <row r="5581">
      <c r="A5581" s="49">
        <v>45079.83118050926</v>
      </c>
      <c r="B5581" s="50">
        <v>45079.9561503009</v>
      </c>
      <c r="C5581" s="51">
        <v>1.006</v>
      </c>
      <c r="D5581" s="51">
        <v>66.0</v>
      </c>
      <c r="E5581" s="52" t="s">
        <v>25</v>
      </c>
      <c r="F5581" s="52" t="s">
        <v>26</v>
      </c>
      <c r="G5581" s="54"/>
    </row>
    <row r="5582">
      <c r="A5582" s="49">
        <v>45079.84159390046</v>
      </c>
      <c r="B5582" s="50">
        <v>45079.9665709143</v>
      </c>
      <c r="C5582" s="51">
        <v>1.007</v>
      </c>
      <c r="D5582" s="51">
        <v>66.0</v>
      </c>
      <c r="E5582" s="52" t="s">
        <v>25</v>
      </c>
      <c r="F5582" s="52" t="s">
        <v>26</v>
      </c>
      <c r="G5582" s="54"/>
    </row>
    <row r="5583">
      <c r="A5583" s="49">
        <v>45079.85203097222</v>
      </c>
      <c r="B5583" s="50">
        <v>45079.9770034375</v>
      </c>
      <c r="C5583" s="51">
        <v>1.006</v>
      </c>
      <c r="D5583" s="51">
        <v>66.0</v>
      </c>
      <c r="E5583" s="52" t="s">
        <v>25</v>
      </c>
      <c r="F5583" s="52" t="s">
        <v>26</v>
      </c>
      <c r="G5583" s="54"/>
    </row>
    <row r="5584">
      <c r="A5584" s="49">
        <v>45079.86244577546</v>
      </c>
      <c r="B5584" s="50">
        <v>45079.9874225463</v>
      </c>
      <c r="C5584" s="51">
        <v>1.006</v>
      </c>
      <c r="D5584" s="51">
        <v>66.0</v>
      </c>
      <c r="E5584" s="52" t="s">
        <v>25</v>
      </c>
      <c r="F5584" s="52" t="s">
        <v>26</v>
      </c>
      <c r="G5584" s="54"/>
    </row>
    <row r="5585">
      <c r="A5585" s="49">
        <v>45079.87286553241</v>
      </c>
      <c r="B5585" s="50">
        <v>45079.9978442129</v>
      </c>
      <c r="C5585" s="51">
        <v>1.006</v>
      </c>
      <c r="D5585" s="51">
        <v>66.0</v>
      </c>
      <c r="E5585" s="52" t="s">
        <v>25</v>
      </c>
      <c r="F5585" s="52" t="s">
        <v>26</v>
      </c>
      <c r="G5585" s="54"/>
    </row>
    <row r="5586">
      <c r="A5586" s="49">
        <v>45079.88329320602</v>
      </c>
      <c r="B5586" s="50">
        <v>45080.0082655555</v>
      </c>
      <c r="C5586" s="51">
        <v>1.007</v>
      </c>
      <c r="D5586" s="51">
        <v>66.0</v>
      </c>
      <c r="E5586" s="52" t="s">
        <v>25</v>
      </c>
      <c r="F5586" s="52" t="s">
        <v>26</v>
      </c>
      <c r="G5586" s="54"/>
    </row>
    <row r="5587">
      <c r="A5587" s="49">
        <v>45079.89370782407</v>
      </c>
      <c r="B5587" s="50">
        <v>45080.0186877777</v>
      </c>
      <c r="C5587" s="51">
        <v>1.006</v>
      </c>
      <c r="D5587" s="51">
        <v>66.0</v>
      </c>
      <c r="E5587" s="52" t="s">
        <v>25</v>
      </c>
      <c r="F5587" s="52" t="s">
        <v>26</v>
      </c>
      <c r="G5587" s="54"/>
    </row>
    <row r="5588">
      <c r="A5588" s="49">
        <v>45079.90412914351</v>
      </c>
      <c r="B5588" s="50">
        <v>45080.0291079745</v>
      </c>
      <c r="C5588" s="51">
        <v>1.007</v>
      </c>
      <c r="D5588" s="51">
        <v>66.0</v>
      </c>
      <c r="E5588" s="52" t="s">
        <v>25</v>
      </c>
      <c r="F5588" s="52" t="s">
        <v>26</v>
      </c>
      <c r="G5588" s="54"/>
    </row>
    <row r="5589">
      <c r="A5589" s="49">
        <v>45079.91454769676</v>
      </c>
      <c r="B5589" s="50">
        <v>45080.039526412</v>
      </c>
      <c r="C5589" s="51">
        <v>1.006</v>
      </c>
      <c r="D5589" s="51">
        <v>66.0</v>
      </c>
      <c r="E5589" s="52" t="s">
        <v>25</v>
      </c>
      <c r="F5589" s="52" t="s">
        <v>26</v>
      </c>
      <c r="G5589" s="54"/>
    </row>
    <row r="5590">
      <c r="A5590" s="49">
        <v>45079.9249608449</v>
      </c>
      <c r="B5590" s="50">
        <v>45080.0499461111</v>
      </c>
      <c r="C5590" s="51">
        <v>1.006</v>
      </c>
      <c r="D5590" s="51">
        <v>66.0</v>
      </c>
      <c r="E5590" s="52" t="s">
        <v>25</v>
      </c>
      <c r="F5590" s="52" t="s">
        <v>26</v>
      </c>
      <c r="G5590" s="54"/>
    </row>
    <row r="5591">
      <c r="A5591" s="49">
        <v>45079.93539496528</v>
      </c>
      <c r="B5591" s="50">
        <v>45080.0603657175</v>
      </c>
      <c r="C5591" s="51">
        <v>1.006</v>
      </c>
      <c r="D5591" s="51">
        <v>66.0</v>
      </c>
      <c r="E5591" s="52" t="s">
        <v>25</v>
      </c>
      <c r="F5591" s="52" t="s">
        <v>26</v>
      </c>
      <c r="G5591" s="54"/>
    </row>
    <row r="5592">
      <c r="A5592" s="49">
        <v>45079.94581107639</v>
      </c>
      <c r="B5592" s="50">
        <v>45080.0707873611</v>
      </c>
      <c r="C5592" s="51">
        <v>1.006</v>
      </c>
      <c r="D5592" s="51">
        <v>66.0</v>
      </c>
      <c r="E5592" s="52" t="s">
        <v>25</v>
      </c>
      <c r="F5592" s="52" t="s">
        <v>26</v>
      </c>
      <c r="G5592" s="54"/>
    </row>
    <row r="5593">
      <c r="A5593" s="49">
        <v>45079.95623553241</v>
      </c>
      <c r="B5593" s="50">
        <v>45080.0812093865</v>
      </c>
      <c r="C5593" s="51">
        <v>1.006</v>
      </c>
      <c r="D5593" s="51">
        <v>66.0</v>
      </c>
      <c r="E5593" s="52" t="s">
        <v>25</v>
      </c>
      <c r="F5593" s="52" t="s">
        <v>26</v>
      </c>
      <c r="G5593" s="54"/>
    </row>
    <row r="5594">
      <c r="A5594" s="49">
        <v>45079.96665103009</v>
      </c>
      <c r="B5594" s="50">
        <v>45080.0916312847</v>
      </c>
      <c r="C5594" s="51">
        <v>1.006</v>
      </c>
      <c r="D5594" s="51">
        <v>66.0</v>
      </c>
      <c r="E5594" s="52" t="s">
        <v>25</v>
      </c>
      <c r="F5594" s="52" t="s">
        <v>26</v>
      </c>
      <c r="G5594" s="54"/>
    </row>
    <row r="5595">
      <c r="A5595" s="49">
        <v>45079.977072037036</v>
      </c>
      <c r="B5595" s="50">
        <v>45080.1020525115</v>
      </c>
      <c r="C5595" s="51">
        <v>1.007</v>
      </c>
      <c r="D5595" s="51">
        <v>66.0</v>
      </c>
      <c r="E5595" s="52" t="s">
        <v>25</v>
      </c>
      <c r="F5595" s="52" t="s">
        <v>26</v>
      </c>
      <c r="G5595" s="54"/>
    </row>
    <row r="5596">
      <c r="A5596" s="49">
        <v>45079.98749868055</v>
      </c>
      <c r="B5596" s="50">
        <v>45080.1124736111</v>
      </c>
      <c r="C5596" s="51">
        <v>1.006</v>
      </c>
      <c r="D5596" s="51">
        <v>66.0</v>
      </c>
      <c r="E5596" s="52" t="s">
        <v>25</v>
      </c>
      <c r="F5596" s="52" t="s">
        <v>26</v>
      </c>
      <c r="G5596" s="54"/>
    </row>
    <row r="5597">
      <c r="A5597" s="49">
        <v>45079.99792866898</v>
      </c>
      <c r="B5597" s="50">
        <v>45080.122905405</v>
      </c>
      <c r="C5597" s="51">
        <v>1.006</v>
      </c>
      <c r="D5597" s="51">
        <v>66.0</v>
      </c>
      <c r="E5597" s="52" t="s">
        <v>25</v>
      </c>
      <c r="F5597" s="52" t="s">
        <v>26</v>
      </c>
      <c r="G5597" s="54"/>
    </row>
    <row r="5598">
      <c r="A5598" s="49">
        <v>45080.00835826389</v>
      </c>
      <c r="B5598" s="50">
        <v>45080.1333384259</v>
      </c>
      <c r="C5598" s="51">
        <v>1.006</v>
      </c>
      <c r="D5598" s="51">
        <v>66.0</v>
      </c>
      <c r="E5598" s="52" t="s">
        <v>25</v>
      </c>
      <c r="F5598" s="52" t="s">
        <v>26</v>
      </c>
      <c r="G5598" s="54"/>
    </row>
    <row r="5599">
      <c r="A5599" s="49">
        <v>45080.01879819445</v>
      </c>
      <c r="B5599" s="50">
        <v>45080.1437703703</v>
      </c>
      <c r="C5599" s="51">
        <v>1.006</v>
      </c>
      <c r="D5599" s="51">
        <v>66.0</v>
      </c>
      <c r="E5599" s="52" t="s">
        <v>25</v>
      </c>
      <c r="F5599" s="52" t="s">
        <v>26</v>
      </c>
      <c r="G5599" s="54"/>
    </row>
    <row r="5600">
      <c r="A5600" s="49">
        <v>45080.029222418976</v>
      </c>
      <c r="B5600" s="50">
        <v>45080.1541904861</v>
      </c>
      <c r="C5600" s="51">
        <v>1.006</v>
      </c>
      <c r="D5600" s="51">
        <v>66.0</v>
      </c>
      <c r="E5600" s="52" t="s">
        <v>25</v>
      </c>
      <c r="F5600" s="52" t="s">
        <v>26</v>
      </c>
      <c r="G5600" s="54"/>
    </row>
    <row r="5601">
      <c r="A5601" s="49">
        <v>45080.039642557866</v>
      </c>
      <c r="B5601" s="50">
        <v>45080.1646109027</v>
      </c>
      <c r="C5601" s="51">
        <v>1.006</v>
      </c>
      <c r="D5601" s="51">
        <v>66.0</v>
      </c>
      <c r="E5601" s="52" t="s">
        <v>25</v>
      </c>
      <c r="F5601" s="52" t="s">
        <v>26</v>
      </c>
      <c r="G5601" s="54"/>
    </row>
    <row r="5602">
      <c r="A5602" s="49">
        <v>45080.050057939814</v>
      </c>
      <c r="B5602" s="50">
        <v>45080.1750315046</v>
      </c>
      <c r="C5602" s="51">
        <v>1.006</v>
      </c>
      <c r="D5602" s="51">
        <v>66.0</v>
      </c>
      <c r="E5602" s="52" t="s">
        <v>25</v>
      </c>
      <c r="F5602" s="52" t="s">
        <v>26</v>
      </c>
      <c r="G5602" s="54"/>
    </row>
    <row r="5603">
      <c r="A5603" s="49">
        <v>45080.06047951389</v>
      </c>
      <c r="B5603" s="50">
        <v>45080.1854535185</v>
      </c>
      <c r="C5603" s="51">
        <v>1.006</v>
      </c>
      <c r="D5603" s="51">
        <v>66.0</v>
      </c>
      <c r="E5603" s="52" t="s">
        <v>25</v>
      </c>
      <c r="F5603" s="52" t="s">
        <v>26</v>
      </c>
      <c r="G5603" s="54"/>
    </row>
    <row r="5604">
      <c r="A5604" s="49">
        <v>45080.07090038194</v>
      </c>
      <c r="B5604" s="50">
        <v>45080.19587478</v>
      </c>
      <c r="C5604" s="51">
        <v>1.006</v>
      </c>
      <c r="D5604" s="51">
        <v>66.0</v>
      </c>
      <c r="E5604" s="52" t="s">
        <v>25</v>
      </c>
      <c r="F5604" s="52" t="s">
        <v>26</v>
      </c>
      <c r="G5604" s="54"/>
    </row>
    <row r="5605">
      <c r="A5605" s="49">
        <v>45080.081315891206</v>
      </c>
      <c r="B5605" s="50">
        <v>45080.2062959838</v>
      </c>
      <c r="C5605" s="51">
        <v>1.006</v>
      </c>
      <c r="D5605" s="51">
        <v>67.0</v>
      </c>
      <c r="E5605" s="52" t="s">
        <v>25</v>
      </c>
      <c r="F5605" s="52" t="s">
        <v>26</v>
      </c>
      <c r="G5605" s="54"/>
    </row>
    <row r="5606">
      <c r="A5606" s="49">
        <v>45080.09173677083</v>
      </c>
      <c r="B5606" s="50">
        <v>45080.2167170717</v>
      </c>
      <c r="C5606" s="51">
        <v>1.006</v>
      </c>
      <c r="D5606" s="51">
        <v>66.0</v>
      </c>
      <c r="E5606" s="52" t="s">
        <v>25</v>
      </c>
      <c r="F5606" s="52" t="s">
        <v>26</v>
      </c>
      <c r="G5606" s="54"/>
    </row>
    <row r="5607">
      <c r="A5607" s="49">
        <v>45080.10216444444</v>
      </c>
      <c r="B5607" s="50">
        <v>45080.2271374537</v>
      </c>
      <c r="C5607" s="51">
        <v>1.006</v>
      </c>
      <c r="D5607" s="51">
        <v>67.0</v>
      </c>
      <c r="E5607" s="52" t="s">
        <v>25</v>
      </c>
      <c r="F5607" s="52" t="s">
        <v>26</v>
      </c>
      <c r="G5607" s="54"/>
    </row>
    <row r="5608">
      <c r="A5608" s="49">
        <v>45080.11258747685</v>
      </c>
      <c r="B5608" s="50">
        <v>45080.2375589814</v>
      </c>
      <c r="C5608" s="51">
        <v>1.006</v>
      </c>
      <c r="D5608" s="51">
        <v>66.0</v>
      </c>
      <c r="E5608" s="52" t="s">
        <v>25</v>
      </c>
      <c r="F5608" s="52" t="s">
        <v>26</v>
      </c>
      <c r="G5608" s="54"/>
    </row>
    <row r="5609">
      <c r="A5609" s="49">
        <v>45080.12299824074</v>
      </c>
      <c r="B5609" s="50">
        <v>45080.2479787152</v>
      </c>
      <c r="C5609" s="51">
        <v>1.006</v>
      </c>
      <c r="D5609" s="51">
        <v>67.0</v>
      </c>
      <c r="E5609" s="52" t="s">
        <v>25</v>
      </c>
      <c r="F5609" s="52" t="s">
        <v>26</v>
      </c>
      <c r="G5609" s="54"/>
    </row>
    <row r="5610">
      <c r="A5610" s="49">
        <v>45080.133430358794</v>
      </c>
      <c r="B5610" s="50">
        <v>45080.2584109606</v>
      </c>
      <c r="C5610" s="51">
        <v>1.006</v>
      </c>
      <c r="D5610" s="51">
        <v>67.0</v>
      </c>
      <c r="E5610" s="52" t="s">
        <v>25</v>
      </c>
      <c r="F5610" s="52" t="s">
        <v>26</v>
      </c>
      <c r="G5610" s="54"/>
    </row>
    <row r="5611">
      <c r="A5611" s="49">
        <v>45080.14385078703</v>
      </c>
      <c r="B5611" s="50">
        <v>45080.2688330439</v>
      </c>
      <c r="C5611" s="51">
        <v>1.006</v>
      </c>
      <c r="D5611" s="51">
        <v>67.0</v>
      </c>
      <c r="E5611" s="52" t="s">
        <v>25</v>
      </c>
      <c r="F5611" s="52" t="s">
        <v>26</v>
      </c>
      <c r="G5611" s="54"/>
    </row>
    <row r="5612">
      <c r="A5612" s="49">
        <v>45080.154281469906</v>
      </c>
      <c r="B5612" s="50">
        <v>45080.2792538194</v>
      </c>
      <c r="C5612" s="51">
        <v>1.006</v>
      </c>
      <c r="D5612" s="51">
        <v>67.0</v>
      </c>
      <c r="E5612" s="52" t="s">
        <v>25</v>
      </c>
      <c r="F5612" s="52" t="s">
        <v>26</v>
      </c>
      <c r="G5612" s="54"/>
    </row>
    <row r="5613">
      <c r="A5613" s="49">
        <v>45080.164700740745</v>
      </c>
      <c r="B5613" s="50">
        <v>45080.2896732986</v>
      </c>
      <c r="C5613" s="51">
        <v>1.006</v>
      </c>
      <c r="D5613" s="51">
        <v>67.0</v>
      </c>
      <c r="E5613" s="52" t="s">
        <v>25</v>
      </c>
      <c r="F5613" s="52" t="s">
        <v>26</v>
      </c>
      <c r="G5613" s="54"/>
    </row>
    <row r="5614">
      <c r="A5614" s="49">
        <v>45080.175122071756</v>
      </c>
      <c r="B5614" s="50">
        <v>45080.3000940046</v>
      </c>
      <c r="C5614" s="51">
        <v>1.006</v>
      </c>
      <c r="D5614" s="51">
        <v>67.0</v>
      </c>
      <c r="E5614" s="52" t="s">
        <v>25</v>
      </c>
      <c r="F5614" s="52" t="s">
        <v>26</v>
      </c>
      <c r="G5614" s="54"/>
    </row>
    <row r="5615">
      <c r="A5615" s="49">
        <v>45080.18553478009</v>
      </c>
      <c r="B5615" s="50">
        <v>45080.3105134606</v>
      </c>
      <c r="C5615" s="51">
        <v>1.006</v>
      </c>
      <c r="D5615" s="51">
        <v>67.0</v>
      </c>
      <c r="E5615" s="52" t="s">
        <v>25</v>
      </c>
      <c r="F5615" s="52" t="s">
        <v>26</v>
      </c>
      <c r="G5615" s="54"/>
    </row>
    <row r="5616">
      <c r="A5616" s="49">
        <v>45080.19595579861</v>
      </c>
      <c r="B5616" s="50">
        <v>45080.3209356365</v>
      </c>
      <c r="C5616" s="51">
        <v>1.006</v>
      </c>
      <c r="D5616" s="51">
        <v>67.0</v>
      </c>
      <c r="E5616" s="52" t="s">
        <v>25</v>
      </c>
      <c r="F5616" s="52" t="s">
        <v>26</v>
      </c>
      <c r="G5616" s="54"/>
    </row>
    <row r="5617">
      <c r="A5617" s="49">
        <v>45080.2063937037</v>
      </c>
      <c r="B5617" s="50">
        <v>45080.3313678935</v>
      </c>
      <c r="C5617" s="51">
        <v>1.006</v>
      </c>
      <c r="D5617" s="51">
        <v>67.0</v>
      </c>
      <c r="E5617" s="52" t="s">
        <v>25</v>
      </c>
      <c r="F5617" s="52" t="s">
        <v>26</v>
      </c>
      <c r="G5617" s="54"/>
    </row>
    <row r="5618">
      <c r="A5618" s="49">
        <v>45080.216818402776</v>
      </c>
      <c r="B5618" s="50">
        <v>45080.341789456</v>
      </c>
      <c r="C5618" s="51">
        <v>1.006</v>
      </c>
      <c r="D5618" s="51">
        <v>67.0</v>
      </c>
      <c r="E5618" s="52" t="s">
        <v>25</v>
      </c>
      <c r="F5618" s="52" t="s">
        <v>26</v>
      </c>
      <c r="G5618" s="54"/>
    </row>
    <row r="5619">
      <c r="A5619" s="49">
        <v>45080.22723239583</v>
      </c>
      <c r="B5619" s="50">
        <v>45080.3522082754</v>
      </c>
      <c r="C5619" s="51">
        <v>1.006</v>
      </c>
      <c r="D5619" s="51">
        <v>67.0</v>
      </c>
      <c r="E5619" s="52" t="s">
        <v>25</v>
      </c>
      <c r="F5619" s="52" t="s">
        <v>26</v>
      </c>
      <c r="G5619" s="54"/>
    </row>
    <row r="5620">
      <c r="A5620" s="49">
        <v>45080.23765081019</v>
      </c>
      <c r="B5620" s="50">
        <v>45080.3626286574</v>
      </c>
      <c r="C5620" s="51">
        <v>1.006</v>
      </c>
      <c r="D5620" s="51">
        <v>67.0</v>
      </c>
      <c r="E5620" s="52" t="s">
        <v>25</v>
      </c>
      <c r="F5620" s="52" t="s">
        <v>26</v>
      </c>
      <c r="G5620" s="54"/>
    </row>
    <row r="5621">
      <c r="A5621" s="49">
        <v>45080.24806619213</v>
      </c>
      <c r="B5621" s="50">
        <v>45080.3730474421</v>
      </c>
      <c r="C5621" s="51">
        <v>1.006</v>
      </c>
      <c r="D5621" s="51">
        <v>67.0</v>
      </c>
      <c r="E5621" s="52" t="s">
        <v>25</v>
      </c>
      <c r="F5621" s="52" t="s">
        <v>26</v>
      </c>
      <c r="G5621" s="54"/>
    </row>
    <row r="5622">
      <c r="A5622" s="49">
        <v>45080.25849378472</v>
      </c>
      <c r="B5622" s="50">
        <v>45080.3834671412</v>
      </c>
      <c r="C5622" s="51">
        <v>1.006</v>
      </c>
      <c r="D5622" s="51">
        <v>67.0</v>
      </c>
      <c r="E5622" s="52" t="s">
        <v>25</v>
      </c>
      <c r="F5622" s="52" t="s">
        <v>26</v>
      </c>
      <c r="G5622" s="54"/>
    </row>
    <row r="5623">
      <c r="A5623" s="49">
        <v>45080.268914201384</v>
      </c>
      <c r="B5623" s="50">
        <v>45080.3938878588</v>
      </c>
      <c r="C5623" s="51">
        <v>1.006</v>
      </c>
      <c r="D5623" s="51">
        <v>67.0</v>
      </c>
      <c r="E5623" s="52" t="s">
        <v>25</v>
      </c>
      <c r="F5623" s="52" t="s">
        <v>26</v>
      </c>
      <c r="G5623" s="54"/>
    </row>
    <row r="5624">
      <c r="A5624" s="49">
        <v>45080.27935224537</v>
      </c>
      <c r="B5624" s="50">
        <v>45080.4043335648</v>
      </c>
      <c r="C5624" s="51">
        <v>1.006</v>
      </c>
      <c r="D5624" s="51">
        <v>67.0</v>
      </c>
      <c r="E5624" s="52" t="s">
        <v>25</v>
      </c>
      <c r="F5624" s="52" t="s">
        <v>26</v>
      </c>
      <c r="G5624" s="54"/>
    </row>
    <row r="5625">
      <c r="A5625" s="49">
        <v>45080.28979313657</v>
      </c>
      <c r="B5625" s="50">
        <v>45080.414765706</v>
      </c>
      <c r="C5625" s="51">
        <v>1.006</v>
      </c>
      <c r="D5625" s="51">
        <v>67.0</v>
      </c>
      <c r="E5625" s="52" t="s">
        <v>25</v>
      </c>
      <c r="F5625" s="52" t="s">
        <v>26</v>
      </c>
      <c r="G5625" s="54"/>
    </row>
    <row r="5626">
      <c r="A5626" s="49">
        <v>45080.300212291666</v>
      </c>
      <c r="B5626" s="50">
        <v>45080.4251874074</v>
      </c>
      <c r="C5626" s="51">
        <v>1.006</v>
      </c>
      <c r="D5626" s="51">
        <v>67.0</v>
      </c>
      <c r="E5626" s="52" t="s">
        <v>25</v>
      </c>
      <c r="F5626" s="52" t="s">
        <v>26</v>
      </c>
      <c r="G5626" s="54"/>
    </row>
    <row r="5627">
      <c r="A5627" s="49">
        <v>45080.31063253472</v>
      </c>
      <c r="B5627" s="50">
        <v>45080.435609456</v>
      </c>
      <c r="C5627" s="51">
        <v>1.006</v>
      </c>
      <c r="D5627" s="51">
        <v>67.0</v>
      </c>
      <c r="E5627" s="52" t="s">
        <v>25</v>
      </c>
      <c r="F5627" s="52" t="s">
        <v>26</v>
      </c>
      <c r="G5627" s="54"/>
    </row>
    <row r="5628">
      <c r="A5628" s="49">
        <v>45080.32105746528</v>
      </c>
      <c r="B5628" s="50">
        <v>45080.4460313657</v>
      </c>
      <c r="C5628" s="51">
        <v>1.006</v>
      </c>
      <c r="D5628" s="51">
        <v>67.0</v>
      </c>
      <c r="E5628" s="52" t="s">
        <v>25</v>
      </c>
      <c r="F5628" s="52" t="s">
        <v>26</v>
      </c>
      <c r="G5628" s="54"/>
    </row>
    <row r="5629">
      <c r="A5629" s="49">
        <v>45080.331486979165</v>
      </c>
      <c r="B5629" s="50">
        <v>45080.4564652083</v>
      </c>
      <c r="C5629" s="51">
        <v>1.006</v>
      </c>
      <c r="D5629" s="51">
        <v>67.0</v>
      </c>
      <c r="E5629" s="52" t="s">
        <v>25</v>
      </c>
      <c r="F5629" s="52" t="s">
        <v>26</v>
      </c>
      <c r="G5629" s="54"/>
    </row>
    <row r="5630">
      <c r="A5630" s="49">
        <v>45080.34191221065</v>
      </c>
      <c r="B5630" s="50">
        <v>45080.4668853935</v>
      </c>
      <c r="C5630" s="51">
        <v>1.006</v>
      </c>
      <c r="D5630" s="51">
        <v>67.0</v>
      </c>
      <c r="E5630" s="52" t="s">
        <v>25</v>
      </c>
      <c r="F5630" s="52" t="s">
        <v>26</v>
      </c>
      <c r="G5630" s="54"/>
    </row>
    <row r="5631">
      <c r="A5631" s="49">
        <v>45080.35233055556</v>
      </c>
      <c r="B5631" s="50">
        <v>45080.4773048611</v>
      </c>
      <c r="C5631" s="51">
        <v>1.006</v>
      </c>
      <c r="D5631" s="51">
        <v>67.0</v>
      </c>
      <c r="E5631" s="52" t="s">
        <v>25</v>
      </c>
      <c r="F5631" s="52" t="s">
        <v>26</v>
      </c>
      <c r="G5631" s="54"/>
    </row>
    <row r="5632">
      <c r="A5632" s="49">
        <v>45080.36275915509</v>
      </c>
      <c r="B5632" s="50">
        <v>45080.4877382176</v>
      </c>
      <c r="C5632" s="51">
        <v>1.006</v>
      </c>
      <c r="D5632" s="51">
        <v>67.0</v>
      </c>
      <c r="E5632" s="52" t="s">
        <v>25</v>
      </c>
      <c r="F5632" s="52" t="s">
        <v>26</v>
      </c>
      <c r="G5632" s="54"/>
    </row>
    <row r="5633">
      <c r="A5633" s="49">
        <v>45080.373196342596</v>
      </c>
      <c r="B5633" s="50">
        <v>45080.4981705555</v>
      </c>
      <c r="C5633" s="51">
        <v>1.006</v>
      </c>
      <c r="D5633" s="51">
        <v>67.0</v>
      </c>
      <c r="E5633" s="52" t="s">
        <v>25</v>
      </c>
      <c r="F5633" s="52" t="s">
        <v>26</v>
      </c>
      <c r="G5633" s="54"/>
    </row>
    <row r="5634">
      <c r="A5634" s="49">
        <v>45080.38362601852</v>
      </c>
      <c r="B5634" s="50">
        <v>45080.5085917245</v>
      </c>
      <c r="C5634" s="51">
        <v>1.006</v>
      </c>
      <c r="D5634" s="51">
        <v>67.0</v>
      </c>
      <c r="E5634" s="52" t="s">
        <v>25</v>
      </c>
      <c r="F5634" s="52" t="s">
        <v>26</v>
      </c>
      <c r="G5634" s="54"/>
    </row>
    <row r="5635">
      <c r="A5635" s="49">
        <v>45080.39405081018</v>
      </c>
      <c r="B5635" s="50">
        <v>45080.5190239236</v>
      </c>
      <c r="C5635" s="51">
        <v>1.006</v>
      </c>
      <c r="D5635" s="51">
        <v>67.0</v>
      </c>
      <c r="E5635" s="52" t="s">
        <v>25</v>
      </c>
      <c r="F5635" s="52" t="s">
        <v>26</v>
      </c>
      <c r="G5635" s="54"/>
    </row>
    <row r="5636">
      <c r="A5636" s="49">
        <v>45080.40447340278</v>
      </c>
      <c r="B5636" s="50">
        <v>45080.5294562963</v>
      </c>
      <c r="C5636" s="51">
        <v>1.006</v>
      </c>
      <c r="D5636" s="51">
        <v>67.0</v>
      </c>
      <c r="E5636" s="52" t="s">
        <v>25</v>
      </c>
      <c r="F5636" s="52" t="s">
        <v>26</v>
      </c>
      <c r="G5636" s="54"/>
    </row>
    <row r="5637">
      <c r="A5637" s="49">
        <v>45080.41493204861</v>
      </c>
      <c r="B5637" s="50">
        <v>45080.5399132523</v>
      </c>
      <c r="C5637" s="51">
        <v>1.006</v>
      </c>
      <c r="D5637" s="51">
        <v>67.0</v>
      </c>
      <c r="E5637" s="52" t="s">
        <v>25</v>
      </c>
      <c r="F5637" s="52" t="s">
        <v>26</v>
      </c>
      <c r="G5637" s="54"/>
    </row>
    <row r="5638">
      <c r="A5638" s="49">
        <v>45080.42536435185</v>
      </c>
      <c r="B5638" s="50">
        <v>45080.5503346412</v>
      </c>
      <c r="C5638" s="51">
        <v>1.006</v>
      </c>
      <c r="D5638" s="51">
        <v>67.0</v>
      </c>
      <c r="E5638" s="52" t="s">
        <v>25</v>
      </c>
      <c r="F5638" s="52" t="s">
        <v>26</v>
      </c>
      <c r="G5638" s="54"/>
    </row>
    <row r="5639">
      <c r="A5639" s="49">
        <v>45080.4357828125</v>
      </c>
      <c r="B5639" s="50">
        <v>45080.5607561689</v>
      </c>
      <c r="C5639" s="51">
        <v>1.006</v>
      </c>
      <c r="D5639" s="51">
        <v>67.0</v>
      </c>
      <c r="E5639" s="52" t="s">
        <v>25</v>
      </c>
      <c r="F5639" s="52" t="s">
        <v>26</v>
      </c>
      <c r="G5639" s="54"/>
    </row>
    <row r="5640">
      <c r="A5640" s="49">
        <v>45080.44619787037</v>
      </c>
      <c r="B5640" s="50">
        <v>45080.5711785416</v>
      </c>
      <c r="C5640" s="51">
        <v>1.006</v>
      </c>
      <c r="D5640" s="51">
        <v>67.0</v>
      </c>
      <c r="E5640" s="52" t="s">
        <v>25</v>
      </c>
      <c r="F5640" s="52" t="s">
        <v>26</v>
      </c>
      <c r="G5640" s="54"/>
    </row>
    <row r="5641">
      <c r="A5641" s="49">
        <v>45080.45662564815</v>
      </c>
      <c r="B5641" s="50">
        <v>45080.5815986689</v>
      </c>
      <c r="C5641" s="51">
        <v>1.006</v>
      </c>
      <c r="D5641" s="51">
        <v>67.0</v>
      </c>
      <c r="E5641" s="52" t="s">
        <v>25</v>
      </c>
      <c r="F5641" s="52" t="s">
        <v>26</v>
      </c>
      <c r="G5641" s="54"/>
    </row>
    <row r="5642">
      <c r="A5642" s="49">
        <v>45080.46705453703</v>
      </c>
      <c r="B5642" s="50">
        <v>45080.5920204166</v>
      </c>
      <c r="C5642" s="51">
        <v>1.006</v>
      </c>
      <c r="D5642" s="51">
        <v>67.0</v>
      </c>
      <c r="E5642" s="52" t="s">
        <v>25</v>
      </c>
      <c r="F5642" s="52" t="s">
        <v>26</v>
      </c>
      <c r="G5642" s="54"/>
    </row>
    <row r="5643">
      <c r="A5643" s="49">
        <v>45080.47746850694</v>
      </c>
      <c r="B5643" s="50">
        <v>45080.6024401504</v>
      </c>
      <c r="C5643" s="51">
        <v>1.006</v>
      </c>
      <c r="D5643" s="51">
        <v>67.0</v>
      </c>
      <c r="E5643" s="52" t="s">
        <v>25</v>
      </c>
      <c r="F5643" s="52" t="s">
        <v>26</v>
      </c>
      <c r="G5643" s="54"/>
    </row>
    <row r="5644">
      <c r="A5644" s="49">
        <v>45080.487890752316</v>
      </c>
      <c r="B5644" s="50">
        <v>45080.6128623263</v>
      </c>
      <c r="C5644" s="51">
        <v>1.006</v>
      </c>
      <c r="D5644" s="51">
        <v>67.0</v>
      </c>
      <c r="E5644" s="52" t="s">
        <v>25</v>
      </c>
      <c r="F5644" s="52" t="s">
        <v>26</v>
      </c>
      <c r="G5644" s="54"/>
    </row>
    <row r="5645">
      <c r="A5645" s="49">
        <v>45080.49831778935</v>
      </c>
      <c r="B5645" s="50">
        <v>45080.6232842592</v>
      </c>
      <c r="C5645" s="51">
        <v>1.006</v>
      </c>
      <c r="D5645" s="51">
        <v>67.0</v>
      </c>
      <c r="E5645" s="52" t="s">
        <v>25</v>
      </c>
      <c r="F5645" s="52" t="s">
        <v>26</v>
      </c>
      <c r="G5645" s="54"/>
    </row>
    <row r="5646">
      <c r="A5646" s="49">
        <v>45080.5087275</v>
      </c>
      <c r="B5646" s="50">
        <v>45080.6337060185</v>
      </c>
      <c r="C5646" s="51">
        <v>1.006</v>
      </c>
      <c r="D5646" s="51">
        <v>67.0</v>
      </c>
      <c r="E5646" s="52" t="s">
        <v>25</v>
      </c>
      <c r="F5646" s="52" t="s">
        <v>26</v>
      </c>
      <c r="G5646" s="54"/>
    </row>
    <row r="5647">
      <c r="A5647" s="49">
        <v>45080.51915266203</v>
      </c>
      <c r="B5647" s="50">
        <v>45080.6441260995</v>
      </c>
      <c r="C5647" s="51">
        <v>1.006</v>
      </c>
      <c r="D5647" s="51">
        <v>67.0</v>
      </c>
      <c r="E5647" s="52" t="s">
        <v>25</v>
      </c>
      <c r="F5647" s="52" t="s">
        <v>26</v>
      </c>
      <c r="G5647" s="54"/>
    </row>
    <row r="5648">
      <c r="A5648" s="49">
        <v>45080.53002486112</v>
      </c>
      <c r="B5648" s="50">
        <v>45080.6545575347</v>
      </c>
      <c r="C5648" s="51">
        <v>1.006</v>
      </c>
      <c r="D5648" s="51">
        <v>67.0</v>
      </c>
      <c r="E5648" s="52" t="s">
        <v>25</v>
      </c>
      <c r="F5648" s="52" t="s">
        <v>26</v>
      </c>
      <c r="G5648" s="54"/>
    </row>
    <row r="5649">
      <c r="A5649" s="49">
        <v>45080.54000637731</v>
      </c>
      <c r="B5649" s="50">
        <v>45080.664979456</v>
      </c>
      <c r="C5649" s="51">
        <v>1.006</v>
      </c>
      <c r="D5649" s="51">
        <v>67.0</v>
      </c>
      <c r="E5649" s="52" t="s">
        <v>25</v>
      </c>
      <c r="F5649" s="52" t="s">
        <v>26</v>
      </c>
      <c r="G5649" s="54"/>
    </row>
    <row r="5650">
      <c r="A5650" s="49">
        <v>45080.55043041667</v>
      </c>
      <c r="B5650" s="50">
        <v>45080.6754126736</v>
      </c>
      <c r="C5650" s="51">
        <v>1.006</v>
      </c>
      <c r="D5650" s="51">
        <v>67.0</v>
      </c>
      <c r="E5650" s="52" t="s">
        <v>25</v>
      </c>
      <c r="F5650" s="52" t="s">
        <v>26</v>
      </c>
      <c r="G5650" s="54"/>
    </row>
    <row r="5651">
      <c r="A5651" s="49">
        <v>45080.56085972222</v>
      </c>
      <c r="B5651" s="50">
        <v>45080.6858327893</v>
      </c>
      <c r="C5651" s="51">
        <v>1.006</v>
      </c>
      <c r="D5651" s="51">
        <v>67.0</v>
      </c>
      <c r="E5651" s="52" t="s">
        <v>25</v>
      </c>
      <c r="F5651" s="52" t="s">
        <v>26</v>
      </c>
      <c r="G5651" s="54"/>
    </row>
    <row r="5652">
      <c r="A5652" s="49">
        <v>45080.57129209491</v>
      </c>
      <c r="B5652" s="50">
        <v>45080.6962663888</v>
      </c>
      <c r="C5652" s="51">
        <v>1.006</v>
      </c>
      <c r="D5652" s="51">
        <v>67.0</v>
      </c>
      <c r="E5652" s="52" t="s">
        <v>25</v>
      </c>
      <c r="F5652" s="52" t="s">
        <v>26</v>
      </c>
      <c r="G5652" s="54"/>
    </row>
    <row r="5653">
      <c r="A5653" s="49">
        <v>45080.58173935185</v>
      </c>
      <c r="B5653" s="50">
        <v>45080.7067097916</v>
      </c>
      <c r="C5653" s="51">
        <v>1.006</v>
      </c>
      <c r="D5653" s="51">
        <v>67.0</v>
      </c>
      <c r="E5653" s="52" t="s">
        <v>25</v>
      </c>
      <c r="F5653" s="52" t="s">
        <v>26</v>
      </c>
      <c r="G5653" s="54"/>
    </row>
    <row r="5654">
      <c r="A5654" s="49">
        <v>45080.59215859954</v>
      </c>
      <c r="B5654" s="50">
        <v>45080.7171305671</v>
      </c>
      <c r="C5654" s="51">
        <v>1.006</v>
      </c>
      <c r="D5654" s="51">
        <v>67.0</v>
      </c>
      <c r="E5654" s="52" t="s">
        <v>25</v>
      </c>
      <c r="F5654" s="52" t="s">
        <v>26</v>
      </c>
      <c r="G5654" s="54"/>
    </row>
    <row r="5655">
      <c r="A5655" s="49">
        <v>45080.60257440972</v>
      </c>
      <c r="B5655" s="50">
        <v>45080.7275523611</v>
      </c>
      <c r="C5655" s="51">
        <v>1.006</v>
      </c>
      <c r="D5655" s="51">
        <v>67.0</v>
      </c>
      <c r="E5655" s="52" t="s">
        <v>25</v>
      </c>
      <c r="F5655" s="52" t="s">
        <v>26</v>
      </c>
      <c r="G5655" s="54"/>
    </row>
    <row r="5656">
      <c r="A5656" s="49">
        <v>45080.61300599537</v>
      </c>
      <c r="B5656" s="50">
        <v>45080.7379739236</v>
      </c>
      <c r="C5656" s="51">
        <v>1.006</v>
      </c>
      <c r="D5656" s="51">
        <v>67.0</v>
      </c>
      <c r="E5656" s="52" t="s">
        <v>25</v>
      </c>
      <c r="F5656" s="52" t="s">
        <v>26</v>
      </c>
      <c r="G5656" s="54"/>
    </row>
    <row r="5657">
      <c r="A5657" s="49">
        <v>45080.623437291666</v>
      </c>
      <c r="B5657" s="50">
        <v>45080.7484051736</v>
      </c>
      <c r="C5657" s="51">
        <v>1.006</v>
      </c>
      <c r="D5657" s="51">
        <v>67.0</v>
      </c>
      <c r="E5657" s="52" t="s">
        <v>25</v>
      </c>
      <c r="F5657" s="52" t="s">
        <v>26</v>
      </c>
      <c r="G5657" s="54"/>
    </row>
    <row r="5658">
      <c r="A5658" s="49">
        <v>45080.63385868055</v>
      </c>
      <c r="B5658" s="50">
        <v>45080.758827118</v>
      </c>
      <c r="C5658" s="51">
        <v>1.006</v>
      </c>
      <c r="D5658" s="51">
        <v>67.0</v>
      </c>
      <c r="E5658" s="52" t="s">
        <v>25</v>
      </c>
      <c r="F5658" s="52" t="s">
        <v>26</v>
      </c>
      <c r="G5658" s="54"/>
    </row>
    <row r="5659">
      <c r="A5659" s="49">
        <v>45080.64427498843</v>
      </c>
      <c r="B5659" s="50">
        <v>45080.7692486342</v>
      </c>
      <c r="C5659" s="51">
        <v>1.006</v>
      </c>
      <c r="D5659" s="51">
        <v>67.0</v>
      </c>
      <c r="E5659" s="52" t="s">
        <v>25</v>
      </c>
      <c r="F5659" s="52" t="s">
        <v>26</v>
      </c>
      <c r="G5659" s="54"/>
    </row>
    <row r="5660">
      <c r="A5660" s="49">
        <v>45080.654688379625</v>
      </c>
      <c r="B5660" s="50">
        <v>45080.7796679513</v>
      </c>
      <c r="C5660" s="51">
        <v>1.006</v>
      </c>
      <c r="D5660" s="51">
        <v>67.0</v>
      </c>
      <c r="E5660" s="52" t="s">
        <v>25</v>
      </c>
      <c r="F5660" s="52" t="s">
        <v>26</v>
      </c>
      <c r="G5660" s="54"/>
    </row>
    <row r="5661">
      <c r="A5661" s="49">
        <v>45080.66512819444</v>
      </c>
      <c r="B5661" s="50">
        <v>45080.7901005324</v>
      </c>
      <c r="C5661" s="51">
        <v>1.006</v>
      </c>
      <c r="D5661" s="51">
        <v>67.0</v>
      </c>
      <c r="E5661" s="52" t="s">
        <v>25</v>
      </c>
      <c r="F5661" s="52" t="s">
        <v>26</v>
      </c>
      <c r="G5661" s="54"/>
    </row>
    <row r="5662">
      <c r="A5662" s="49">
        <v>45080.67555724537</v>
      </c>
      <c r="B5662" s="50">
        <v>45080.8005328935</v>
      </c>
      <c r="C5662" s="51">
        <v>1.006</v>
      </c>
      <c r="D5662" s="51">
        <v>67.0</v>
      </c>
      <c r="E5662" s="52" t="s">
        <v>25</v>
      </c>
      <c r="F5662" s="52" t="s">
        <v>26</v>
      </c>
      <c r="G5662" s="54"/>
    </row>
    <row r="5663">
      <c r="A5663" s="49">
        <v>45080.685984780095</v>
      </c>
      <c r="B5663" s="50">
        <v>45080.8109538078</v>
      </c>
      <c r="C5663" s="51">
        <v>1.006</v>
      </c>
      <c r="D5663" s="51">
        <v>67.0</v>
      </c>
      <c r="E5663" s="52" t="s">
        <v>25</v>
      </c>
      <c r="F5663" s="52" t="s">
        <v>26</v>
      </c>
      <c r="G5663" s="54"/>
    </row>
    <row r="5664">
      <c r="A5664" s="49">
        <v>45080.69640008102</v>
      </c>
      <c r="B5664" s="50">
        <v>45080.8213750347</v>
      </c>
      <c r="C5664" s="51">
        <v>1.006</v>
      </c>
      <c r="D5664" s="51">
        <v>67.0</v>
      </c>
      <c r="E5664" s="52" t="s">
        <v>25</v>
      </c>
      <c r="F5664" s="52" t="s">
        <v>26</v>
      </c>
      <c r="G5664" s="54"/>
    </row>
    <row r="5665">
      <c r="A5665" s="49">
        <v>45080.706825497684</v>
      </c>
      <c r="B5665" s="50">
        <v>45080.8317957638</v>
      </c>
      <c r="C5665" s="51">
        <v>1.006</v>
      </c>
      <c r="D5665" s="51">
        <v>67.0</v>
      </c>
      <c r="E5665" s="52" t="s">
        <v>25</v>
      </c>
      <c r="F5665" s="52" t="s">
        <v>26</v>
      </c>
      <c r="G5665" s="54"/>
    </row>
    <row r="5666">
      <c r="A5666" s="49">
        <v>45080.71725592593</v>
      </c>
      <c r="B5666" s="50">
        <v>45080.8422269676</v>
      </c>
      <c r="C5666" s="51">
        <v>1.006</v>
      </c>
      <c r="D5666" s="51">
        <v>67.0</v>
      </c>
      <c r="E5666" s="52" t="s">
        <v>25</v>
      </c>
      <c r="F5666" s="52" t="s">
        <v>26</v>
      </c>
      <c r="G5666" s="54"/>
    </row>
    <row r="5667">
      <c r="A5667" s="49">
        <v>45080.727683310186</v>
      </c>
      <c r="B5667" s="50">
        <v>45080.8526591435</v>
      </c>
      <c r="C5667" s="51">
        <v>1.006</v>
      </c>
      <c r="D5667" s="51">
        <v>67.0</v>
      </c>
      <c r="E5667" s="52" t="s">
        <v>25</v>
      </c>
      <c r="F5667" s="52" t="s">
        <v>26</v>
      </c>
      <c r="G5667" s="54"/>
    </row>
    <row r="5668">
      <c r="A5668" s="49">
        <v>45080.7381062037</v>
      </c>
      <c r="B5668" s="50">
        <v>45080.8630793518</v>
      </c>
      <c r="C5668" s="51">
        <v>1.006</v>
      </c>
      <c r="D5668" s="51">
        <v>67.0</v>
      </c>
      <c r="E5668" s="52" t="s">
        <v>25</v>
      </c>
      <c r="F5668" s="52" t="s">
        <v>26</v>
      </c>
      <c r="G5668" s="54"/>
    </row>
    <row r="5669">
      <c r="A5669" s="49">
        <v>45080.7485256713</v>
      </c>
      <c r="B5669" s="50">
        <v>45080.8734998958</v>
      </c>
      <c r="C5669" s="51">
        <v>1.006</v>
      </c>
      <c r="D5669" s="51">
        <v>67.0</v>
      </c>
      <c r="E5669" s="52" t="s">
        <v>25</v>
      </c>
      <c r="F5669" s="52" t="s">
        <v>26</v>
      </c>
      <c r="G5669" s="54"/>
    </row>
    <row r="5670">
      <c r="A5670" s="49">
        <v>45080.758958136576</v>
      </c>
      <c r="B5670" s="50">
        <v>45080.8839209027</v>
      </c>
      <c r="C5670" s="51">
        <v>1.006</v>
      </c>
      <c r="D5670" s="51">
        <v>67.0</v>
      </c>
      <c r="E5670" s="52" t="s">
        <v>25</v>
      </c>
      <c r="F5670" s="52" t="s">
        <v>26</v>
      </c>
      <c r="G5670" s="54"/>
    </row>
    <row r="5671">
      <c r="A5671" s="49">
        <v>45080.76935857639</v>
      </c>
      <c r="B5671" s="50">
        <v>45080.8943423611</v>
      </c>
      <c r="C5671" s="51">
        <v>1.006</v>
      </c>
      <c r="D5671" s="51">
        <v>67.0</v>
      </c>
      <c r="E5671" s="52" t="s">
        <v>25</v>
      </c>
      <c r="F5671" s="52" t="s">
        <v>26</v>
      </c>
      <c r="G5671" s="54"/>
    </row>
    <row r="5672">
      <c r="A5672" s="49">
        <v>45080.77980771991</v>
      </c>
      <c r="B5672" s="50">
        <v>45080.9047855671</v>
      </c>
      <c r="C5672" s="51">
        <v>1.006</v>
      </c>
      <c r="D5672" s="51">
        <v>67.0</v>
      </c>
      <c r="E5672" s="52" t="s">
        <v>25</v>
      </c>
      <c r="F5672" s="52" t="s">
        <v>26</v>
      </c>
      <c r="G5672" s="54"/>
    </row>
    <row r="5673">
      <c r="A5673" s="49">
        <v>45080.79023990741</v>
      </c>
      <c r="B5673" s="50">
        <v>45080.915207662</v>
      </c>
      <c r="C5673" s="51">
        <v>1.006</v>
      </c>
      <c r="D5673" s="51">
        <v>67.0</v>
      </c>
      <c r="E5673" s="52" t="s">
        <v>25</v>
      </c>
      <c r="F5673" s="52" t="s">
        <v>26</v>
      </c>
      <c r="G5673" s="54"/>
    </row>
    <row r="5674">
      <c r="A5674" s="49">
        <v>45080.80065344907</v>
      </c>
      <c r="B5674" s="50">
        <v>45080.9256285532</v>
      </c>
      <c r="C5674" s="51">
        <v>1.006</v>
      </c>
      <c r="D5674" s="51">
        <v>67.0</v>
      </c>
      <c r="E5674" s="52" t="s">
        <v>25</v>
      </c>
      <c r="F5674" s="52" t="s">
        <v>26</v>
      </c>
      <c r="G5674" s="54"/>
    </row>
    <row r="5675">
      <c r="A5675" s="49">
        <v>45080.81107762731</v>
      </c>
      <c r="B5675" s="50">
        <v>45080.9360487268</v>
      </c>
      <c r="C5675" s="51">
        <v>1.006</v>
      </c>
      <c r="D5675" s="51">
        <v>67.0</v>
      </c>
      <c r="E5675" s="52" t="s">
        <v>25</v>
      </c>
      <c r="F5675" s="52" t="s">
        <v>26</v>
      </c>
      <c r="G5675" s="54"/>
    </row>
    <row r="5676">
      <c r="A5676" s="49">
        <v>45080.8215274074</v>
      </c>
      <c r="B5676" s="50">
        <v>45080.9465040856</v>
      </c>
      <c r="C5676" s="51">
        <v>1.006</v>
      </c>
      <c r="D5676" s="51">
        <v>67.0</v>
      </c>
      <c r="E5676" s="52" t="s">
        <v>25</v>
      </c>
      <c r="F5676" s="52" t="s">
        <v>26</v>
      </c>
      <c r="G5676" s="54"/>
    </row>
    <row r="5677">
      <c r="A5677" s="49">
        <v>45080.83195209491</v>
      </c>
      <c r="B5677" s="50">
        <v>45080.9569253009</v>
      </c>
      <c r="C5677" s="51">
        <v>1.006</v>
      </c>
      <c r="D5677" s="51">
        <v>67.0</v>
      </c>
      <c r="E5677" s="52" t="s">
        <v>25</v>
      </c>
      <c r="F5677" s="52" t="s">
        <v>26</v>
      </c>
      <c r="G5677" s="54"/>
    </row>
    <row r="5678">
      <c r="A5678" s="49">
        <v>45080.84237496528</v>
      </c>
      <c r="B5678" s="50">
        <v>45080.967345324</v>
      </c>
      <c r="C5678" s="51">
        <v>1.006</v>
      </c>
      <c r="D5678" s="51">
        <v>67.0</v>
      </c>
      <c r="E5678" s="52" t="s">
        <v>25</v>
      </c>
      <c r="F5678" s="52" t="s">
        <v>26</v>
      </c>
      <c r="G5678" s="54"/>
    </row>
    <row r="5679">
      <c r="A5679" s="49">
        <v>45080.85278487268</v>
      </c>
      <c r="B5679" s="50">
        <v>45080.9777665972</v>
      </c>
      <c r="C5679" s="51">
        <v>1.006</v>
      </c>
      <c r="D5679" s="51">
        <v>67.0</v>
      </c>
      <c r="E5679" s="52" t="s">
        <v>25</v>
      </c>
      <c r="F5679" s="52" t="s">
        <v>26</v>
      </c>
      <c r="G5679" s="54"/>
    </row>
    <row r="5680">
      <c r="A5680" s="49">
        <v>45080.863203587964</v>
      </c>
      <c r="B5680" s="50">
        <v>45080.9881862268</v>
      </c>
      <c r="C5680" s="51">
        <v>1.006</v>
      </c>
      <c r="D5680" s="51">
        <v>67.0</v>
      </c>
      <c r="E5680" s="52" t="s">
        <v>25</v>
      </c>
      <c r="F5680" s="52" t="s">
        <v>26</v>
      </c>
      <c r="G5680" s="54"/>
    </row>
    <row r="5681">
      <c r="A5681" s="49">
        <v>45080.87363372685</v>
      </c>
      <c r="B5681" s="50">
        <v>45080.9986068402</v>
      </c>
      <c r="C5681" s="51">
        <v>1.006</v>
      </c>
      <c r="D5681" s="51">
        <v>67.0</v>
      </c>
      <c r="E5681" s="52" t="s">
        <v>25</v>
      </c>
      <c r="F5681" s="52" t="s">
        <v>26</v>
      </c>
      <c r="G5681" s="54"/>
    </row>
    <row r="5682">
      <c r="A5682" s="49">
        <v>45080.88406087963</v>
      </c>
      <c r="B5682" s="50">
        <v>45081.0090389351</v>
      </c>
      <c r="C5682" s="51">
        <v>1.006</v>
      </c>
      <c r="D5682" s="51">
        <v>67.0</v>
      </c>
      <c r="E5682" s="52" t="s">
        <v>25</v>
      </c>
      <c r="F5682" s="52" t="s">
        <v>26</v>
      </c>
      <c r="G5682" s="54"/>
    </row>
    <row r="5683">
      <c r="A5683" s="49">
        <v>45080.89448707176</v>
      </c>
      <c r="B5683" s="50">
        <v>45081.0194610648</v>
      </c>
      <c r="C5683" s="51">
        <v>1.006</v>
      </c>
      <c r="D5683" s="51">
        <v>67.0</v>
      </c>
      <c r="E5683" s="52" t="s">
        <v>25</v>
      </c>
      <c r="F5683" s="52" t="s">
        <v>26</v>
      </c>
      <c r="G5683" s="54"/>
    </row>
    <row r="5684">
      <c r="A5684" s="49">
        <v>45080.90490333333</v>
      </c>
      <c r="B5684" s="50">
        <v>45081.0298810069</v>
      </c>
      <c r="C5684" s="51">
        <v>1.006</v>
      </c>
      <c r="D5684" s="51">
        <v>67.0</v>
      </c>
      <c r="E5684" s="52" t="s">
        <v>25</v>
      </c>
      <c r="F5684" s="52" t="s">
        <v>26</v>
      </c>
      <c r="G5684" s="54"/>
    </row>
    <row r="5685">
      <c r="A5685" s="49">
        <v>45080.915331157405</v>
      </c>
      <c r="B5685" s="50">
        <v>45081.0403041435</v>
      </c>
      <c r="C5685" s="51">
        <v>1.006</v>
      </c>
      <c r="D5685" s="51">
        <v>67.0</v>
      </c>
      <c r="E5685" s="52" t="s">
        <v>25</v>
      </c>
      <c r="F5685" s="52" t="s">
        <v>26</v>
      </c>
      <c r="G5685" s="54"/>
    </row>
    <row r="5686">
      <c r="A5686" s="49">
        <v>45080.92574560185</v>
      </c>
      <c r="B5686" s="50">
        <v>45081.0507250694</v>
      </c>
      <c r="C5686" s="51">
        <v>1.006</v>
      </c>
      <c r="D5686" s="51">
        <v>67.0</v>
      </c>
      <c r="E5686" s="52" t="s">
        <v>25</v>
      </c>
      <c r="F5686" s="52" t="s">
        <v>26</v>
      </c>
      <c r="G5686" s="54"/>
    </row>
    <row r="5687">
      <c r="A5687" s="49">
        <v>45080.9361715625</v>
      </c>
      <c r="B5687" s="50">
        <v>45081.0611467245</v>
      </c>
      <c r="C5687" s="51">
        <v>1.006</v>
      </c>
      <c r="D5687" s="51">
        <v>67.0</v>
      </c>
      <c r="E5687" s="52" t="s">
        <v>25</v>
      </c>
      <c r="F5687" s="52" t="s">
        <v>26</v>
      </c>
      <c r="G5687" s="54"/>
    </row>
    <row r="5688">
      <c r="A5688" s="49">
        <v>45080.946675370375</v>
      </c>
      <c r="B5688" s="50">
        <v>45081.071590625</v>
      </c>
      <c r="C5688" s="51">
        <v>1.006</v>
      </c>
      <c r="D5688" s="51">
        <v>67.0</v>
      </c>
      <c r="E5688" s="52" t="s">
        <v>25</v>
      </c>
      <c r="F5688" s="52" t="s">
        <v>26</v>
      </c>
      <c r="G5688" s="54"/>
    </row>
    <row r="5689">
      <c r="A5689" s="49">
        <v>45080.95703642361</v>
      </c>
      <c r="B5689" s="50">
        <v>45081.0820121296</v>
      </c>
      <c r="C5689" s="51">
        <v>1.006</v>
      </c>
      <c r="D5689" s="51">
        <v>67.0</v>
      </c>
      <c r="E5689" s="52" t="s">
        <v>25</v>
      </c>
      <c r="F5689" s="52" t="s">
        <v>26</v>
      </c>
      <c r="G5689" s="54"/>
    </row>
    <row r="5690">
      <c r="A5690" s="49">
        <v>45080.96746842592</v>
      </c>
      <c r="B5690" s="50">
        <v>45081.092445949</v>
      </c>
      <c r="C5690" s="51">
        <v>1.006</v>
      </c>
      <c r="D5690" s="51">
        <v>67.0</v>
      </c>
      <c r="E5690" s="52" t="s">
        <v>25</v>
      </c>
      <c r="F5690" s="52" t="s">
        <v>26</v>
      </c>
      <c r="G5690" s="54"/>
    </row>
    <row r="5691">
      <c r="A5691" s="49">
        <v>45080.97788844907</v>
      </c>
      <c r="B5691" s="50">
        <v>45081.102864155</v>
      </c>
      <c r="C5691" s="51">
        <v>1.006</v>
      </c>
      <c r="D5691" s="51">
        <v>67.0</v>
      </c>
      <c r="E5691" s="52" t="s">
        <v>25</v>
      </c>
      <c r="F5691" s="52" t="s">
        <v>26</v>
      </c>
      <c r="G5691" s="54"/>
    </row>
    <row r="5692">
      <c r="A5692" s="49">
        <v>45080.98830890046</v>
      </c>
      <c r="B5692" s="50">
        <v>45081.1132848842</v>
      </c>
      <c r="C5692" s="51">
        <v>1.006</v>
      </c>
      <c r="D5692" s="51">
        <v>67.0</v>
      </c>
      <c r="E5692" s="52" t="s">
        <v>25</v>
      </c>
      <c r="F5692" s="52" t="s">
        <v>26</v>
      </c>
      <c r="G5692" s="54"/>
    </row>
    <row r="5693">
      <c r="A5693" s="49">
        <v>45080.99874755787</v>
      </c>
      <c r="B5693" s="50">
        <v>45081.1237172569</v>
      </c>
      <c r="C5693" s="51">
        <v>1.006</v>
      </c>
      <c r="D5693" s="51">
        <v>67.0</v>
      </c>
      <c r="E5693" s="52" t="s">
        <v>25</v>
      </c>
      <c r="F5693" s="52" t="s">
        <v>26</v>
      </c>
      <c r="G5693" s="54"/>
    </row>
    <row r="5694">
      <c r="A5694" s="49">
        <v>45081.00915854167</v>
      </c>
      <c r="B5694" s="50">
        <v>45081.134137199</v>
      </c>
      <c r="C5694" s="51">
        <v>1.006</v>
      </c>
      <c r="D5694" s="51">
        <v>67.0</v>
      </c>
      <c r="E5694" s="52" t="s">
        <v>25</v>
      </c>
      <c r="F5694" s="52" t="s">
        <v>26</v>
      </c>
      <c r="G5694" s="54"/>
    </row>
    <row r="5695">
      <c r="A5695" s="49">
        <v>45081.019585497685</v>
      </c>
      <c r="B5695" s="50">
        <v>45081.144558993</v>
      </c>
      <c r="C5695" s="51">
        <v>1.006</v>
      </c>
      <c r="D5695" s="51">
        <v>67.0</v>
      </c>
      <c r="E5695" s="52" t="s">
        <v>25</v>
      </c>
      <c r="F5695" s="52" t="s">
        <v>26</v>
      </c>
      <c r="G5695" s="54"/>
    </row>
    <row r="5696">
      <c r="A5696" s="49">
        <v>45081.030006064815</v>
      </c>
      <c r="B5696" s="50">
        <v>45081.1549793981</v>
      </c>
      <c r="C5696" s="51">
        <v>1.006</v>
      </c>
      <c r="D5696" s="51">
        <v>67.0</v>
      </c>
      <c r="E5696" s="52" t="s">
        <v>25</v>
      </c>
      <c r="F5696" s="52" t="s">
        <v>26</v>
      </c>
      <c r="G5696" s="54"/>
    </row>
    <row r="5697">
      <c r="A5697" s="49">
        <v>45081.040475925925</v>
      </c>
      <c r="B5697" s="50">
        <v>45081.1654479745</v>
      </c>
      <c r="C5697" s="51">
        <v>1.006</v>
      </c>
      <c r="D5697" s="51">
        <v>67.0</v>
      </c>
      <c r="E5697" s="52" t="s">
        <v>25</v>
      </c>
      <c r="F5697" s="52" t="s">
        <v>26</v>
      </c>
      <c r="G5697" s="54"/>
    </row>
    <row r="5698">
      <c r="A5698" s="49">
        <v>45081.05089745371</v>
      </c>
      <c r="B5698" s="50">
        <v>45081.1758692476</v>
      </c>
      <c r="C5698" s="51">
        <v>1.006</v>
      </c>
      <c r="D5698" s="51">
        <v>67.0</v>
      </c>
      <c r="E5698" s="52" t="s">
        <v>25</v>
      </c>
      <c r="F5698" s="52" t="s">
        <v>26</v>
      </c>
      <c r="G5698" s="54"/>
    </row>
    <row r="5699">
      <c r="A5699" s="49">
        <v>45081.06131171296</v>
      </c>
      <c r="B5699" s="50">
        <v>45081.186288206</v>
      </c>
      <c r="C5699" s="51">
        <v>1.006</v>
      </c>
      <c r="D5699" s="51">
        <v>67.0</v>
      </c>
      <c r="E5699" s="52" t="s">
        <v>25</v>
      </c>
      <c r="F5699" s="52" t="s">
        <v>26</v>
      </c>
      <c r="G5699" s="54"/>
    </row>
    <row r="5700">
      <c r="A5700" s="49">
        <v>45081.071738645835</v>
      </c>
      <c r="B5700" s="50">
        <v>45081.1967089467</v>
      </c>
      <c r="C5700" s="51">
        <v>1.006</v>
      </c>
      <c r="D5700" s="51">
        <v>67.0</v>
      </c>
      <c r="E5700" s="52" t="s">
        <v>25</v>
      </c>
      <c r="F5700" s="52" t="s">
        <v>26</v>
      </c>
      <c r="G5700" s="54"/>
    </row>
    <row r="5701">
      <c r="A5701" s="49">
        <v>45081.08216111111</v>
      </c>
      <c r="B5701" s="50">
        <v>45081.2071314351</v>
      </c>
      <c r="C5701" s="51">
        <v>1.006</v>
      </c>
      <c r="D5701" s="51">
        <v>67.0</v>
      </c>
      <c r="E5701" s="52" t="s">
        <v>25</v>
      </c>
      <c r="F5701" s="52" t="s">
        <v>26</v>
      </c>
      <c r="G5701" s="54"/>
    </row>
    <row r="5702">
      <c r="A5702" s="49">
        <v>45081.09257631944</v>
      </c>
      <c r="B5702" s="50">
        <v>45081.2175524421</v>
      </c>
      <c r="C5702" s="51">
        <v>1.006</v>
      </c>
      <c r="D5702" s="51">
        <v>67.0</v>
      </c>
      <c r="E5702" s="52" t="s">
        <v>25</v>
      </c>
      <c r="F5702" s="52" t="s">
        <v>26</v>
      </c>
      <c r="G5702" s="54"/>
    </row>
    <row r="5703">
      <c r="A5703" s="49">
        <v>45081.10299834491</v>
      </c>
      <c r="B5703" s="50">
        <v>45081.2279715162</v>
      </c>
      <c r="C5703" s="51">
        <v>1.006</v>
      </c>
      <c r="D5703" s="51">
        <v>67.0</v>
      </c>
      <c r="E5703" s="52" t="s">
        <v>25</v>
      </c>
      <c r="F5703" s="52" t="s">
        <v>26</v>
      </c>
      <c r="G5703" s="54"/>
    </row>
    <row r="5704">
      <c r="A5704" s="49">
        <v>45081.1134558912</v>
      </c>
      <c r="B5704" s="50">
        <v>45081.2384268865</v>
      </c>
      <c r="C5704" s="51">
        <v>1.006</v>
      </c>
      <c r="D5704" s="51">
        <v>67.0</v>
      </c>
      <c r="E5704" s="52" t="s">
        <v>25</v>
      </c>
      <c r="F5704" s="52" t="s">
        <v>26</v>
      </c>
      <c r="G5704" s="54"/>
    </row>
    <row r="5705">
      <c r="A5705" s="49">
        <v>45081.12387236111</v>
      </c>
      <c r="B5705" s="50">
        <v>45081.2488474652</v>
      </c>
      <c r="C5705" s="51">
        <v>1.006</v>
      </c>
      <c r="D5705" s="51">
        <v>67.0</v>
      </c>
      <c r="E5705" s="52" t="s">
        <v>25</v>
      </c>
      <c r="F5705" s="52" t="s">
        <v>26</v>
      </c>
      <c r="G5705" s="54"/>
    </row>
    <row r="5706">
      <c r="A5706" s="49">
        <v>45081.1342969213</v>
      </c>
      <c r="B5706" s="50">
        <v>45081.2592694907</v>
      </c>
      <c r="C5706" s="51">
        <v>1.006</v>
      </c>
      <c r="D5706" s="51">
        <v>67.0</v>
      </c>
      <c r="E5706" s="52" t="s">
        <v>25</v>
      </c>
      <c r="F5706" s="52" t="s">
        <v>26</v>
      </c>
      <c r="G5706" s="54"/>
    </row>
    <row r="5707">
      <c r="A5707" s="49">
        <v>45081.144715636576</v>
      </c>
      <c r="B5707" s="50">
        <v>45081.2696927662</v>
      </c>
      <c r="C5707" s="51">
        <v>1.006</v>
      </c>
      <c r="D5707" s="51">
        <v>67.0</v>
      </c>
      <c r="E5707" s="52" t="s">
        <v>25</v>
      </c>
      <c r="F5707" s="52" t="s">
        <v>26</v>
      </c>
      <c r="G5707" s="54"/>
    </row>
    <row r="5708">
      <c r="A5708" s="49">
        <v>45081.15513371528</v>
      </c>
      <c r="B5708" s="50">
        <v>45081.2801135069</v>
      </c>
      <c r="C5708" s="51">
        <v>1.006</v>
      </c>
      <c r="D5708" s="51">
        <v>67.0</v>
      </c>
      <c r="E5708" s="52" t="s">
        <v>25</v>
      </c>
      <c r="F5708" s="52" t="s">
        <v>26</v>
      </c>
      <c r="G5708" s="54"/>
    </row>
    <row r="5709">
      <c r="A5709" s="49">
        <v>45081.16555493056</v>
      </c>
      <c r="B5709" s="50">
        <v>45081.2905360879</v>
      </c>
      <c r="C5709" s="51">
        <v>1.006</v>
      </c>
      <c r="D5709" s="51">
        <v>67.0</v>
      </c>
      <c r="E5709" s="52" t="s">
        <v>25</v>
      </c>
      <c r="F5709" s="52" t="s">
        <v>26</v>
      </c>
      <c r="G5709" s="54"/>
    </row>
    <row r="5710">
      <c r="A5710" s="49">
        <v>45081.17598247685</v>
      </c>
      <c r="B5710" s="50">
        <v>45081.3009562152</v>
      </c>
      <c r="C5710" s="51">
        <v>1.006</v>
      </c>
      <c r="D5710" s="51">
        <v>67.0</v>
      </c>
      <c r="E5710" s="52" t="s">
        <v>25</v>
      </c>
      <c r="F5710" s="52" t="s">
        <v>26</v>
      </c>
      <c r="G5710" s="54"/>
    </row>
    <row r="5711">
      <c r="A5711" s="49">
        <v>45081.18640380787</v>
      </c>
      <c r="B5711" s="50">
        <v>45081.3113775347</v>
      </c>
      <c r="C5711" s="51">
        <v>1.006</v>
      </c>
      <c r="D5711" s="51">
        <v>67.0</v>
      </c>
      <c r="E5711" s="52" t="s">
        <v>25</v>
      </c>
      <c r="F5711" s="52" t="s">
        <v>26</v>
      </c>
      <c r="G5711" s="54"/>
    </row>
    <row r="5712">
      <c r="A5712" s="49">
        <v>45081.19682150463</v>
      </c>
      <c r="B5712" s="50">
        <v>45081.3217983796</v>
      </c>
      <c r="C5712" s="51">
        <v>1.006</v>
      </c>
      <c r="D5712" s="51">
        <v>67.0</v>
      </c>
      <c r="E5712" s="52" t="s">
        <v>25</v>
      </c>
      <c r="F5712" s="52" t="s">
        <v>26</v>
      </c>
      <c r="G5712" s="54"/>
    </row>
    <row r="5713">
      <c r="A5713" s="49">
        <v>45081.20723861111</v>
      </c>
      <c r="B5713" s="50">
        <v>45081.3322195601</v>
      </c>
      <c r="C5713" s="51">
        <v>1.006</v>
      </c>
      <c r="D5713" s="51">
        <v>67.0</v>
      </c>
      <c r="E5713" s="52" t="s">
        <v>25</v>
      </c>
      <c r="F5713" s="52" t="s">
        <v>26</v>
      </c>
      <c r="G5713" s="54"/>
    </row>
    <row r="5714">
      <c r="A5714" s="49">
        <v>45081.217688564815</v>
      </c>
      <c r="B5714" s="50">
        <v>45081.3426648263</v>
      </c>
      <c r="C5714" s="51">
        <v>1.006</v>
      </c>
      <c r="D5714" s="51">
        <v>67.0</v>
      </c>
      <c r="E5714" s="52" t="s">
        <v>25</v>
      </c>
      <c r="F5714" s="52" t="s">
        <v>26</v>
      </c>
      <c r="G5714" s="54"/>
    </row>
    <row r="5715">
      <c r="A5715" s="49">
        <v>45081.22810788194</v>
      </c>
      <c r="B5715" s="50">
        <v>45081.3530874768</v>
      </c>
      <c r="C5715" s="51">
        <v>1.006</v>
      </c>
      <c r="D5715" s="51">
        <v>67.0</v>
      </c>
      <c r="E5715" s="52" t="s">
        <v>25</v>
      </c>
      <c r="F5715" s="52" t="s">
        <v>26</v>
      </c>
      <c r="G5715" s="54"/>
    </row>
    <row r="5716">
      <c r="A5716" s="49">
        <v>45081.238529236114</v>
      </c>
      <c r="B5716" s="50">
        <v>45081.3635097222</v>
      </c>
      <c r="C5716" s="51">
        <v>1.006</v>
      </c>
      <c r="D5716" s="51">
        <v>67.0</v>
      </c>
      <c r="E5716" s="52" t="s">
        <v>25</v>
      </c>
      <c r="F5716" s="52" t="s">
        <v>26</v>
      </c>
      <c r="G5716" s="54"/>
    </row>
    <row r="5717">
      <c r="A5717" s="49">
        <v>45081.24895142361</v>
      </c>
      <c r="B5717" s="50">
        <v>45081.3739287037</v>
      </c>
      <c r="C5717" s="51">
        <v>1.006</v>
      </c>
      <c r="D5717" s="51">
        <v>67.0</v>
      </c>
      <c r="E5717" s="52" t="s">
        <v>25</v>
      </c>
      <c r="F5717" s="52" t="s">
        <v>26</v>
      </c>
      <c r="G5717" s="54"/>
    </row>
    <row r="5718">
      <c r="A5718" s="49">
        <v>45081.25939032408</v>
      </c>
      <c r="B5718" s="50">
        <v>45081.3843620833</v>
      </c>
      <c r="C5718" s="51">
        <v>1.006</v>
      </c>
      <c r="D5718" s="51">
        <v>67.0</v>
      </c>
      <c r="E5718" s="52" t="s">
        <v>25</v>
      </c>
      <c r="F5718" s="52" t="s">
        <v>26</v>
      </c>
      <c r="G5718" s="54"/>
    </row>
    <row r="5719">
      <c r="A5719" s="49">
        <v>45081.269816678236</v>
      </c>
      <c r="B5719" s="50">
        <v>45081.3947946296</v>
      </c>
      <c r="C5719" s="51">
        <v>1.006</v>
      </c>
      <c r="D5719" s="51">
        <v>67.0</v>
      </c>
      <c r="E5719" s="52" t="s">
        <v>25</v>
      </c>
      <c r="F5719" s="52" t="s">
        <v>26</v>
      </c>
      <c r="G5719" s="54"/>
    </row>
    <row r="5720">
      <c r="A5720" s="49">
        <v>45081.28024408565</v>
      </c>
      <c r="B5720" s="50">
        <v>45081.4052261805</v>
      </c>
      <c r="C5720" s="51">
        <v>1.006</v>
      </c>
      <c r="D5720" s="51">
        <v>67.0</v>
      </c>
      <c r="E5720" s="52" t="s">
        <v>25</v>
      </c>
      <c r="F5720" s="52" t="s">
        <v>26</v>
      </c>
      <c r="G5720" s="54"/>
    </row>
    <row r="5721">
      <c r="A5721" s="49">
        <v>45081.290720081015</v>
      </c>
      <c r="B5721" s="50">
        <v>45081.4156942939</v>
      </c>
      <c r="C5721" s="51">
        <v>1.006</v>
      </c>
      <c r="D5721" s="51">
        <v>67.0</v>
      </c>
      <c r="E5721" s="52" t="s">
        <v>25</v>
      </c>
      <c r="F5721" s="52" t="s">
        <v>26</v>
      </c>
      <c r="G5721" s="54"/>
    </row>
    <row r="5722">
      <c r="A5722" s="49">
        <v>45081.3011375</v>
      </c>
      <c r="B5722" s="50">
        <v>45081.4261176504</v>
      </c>
      <c r="C5722" s="51">
        <v>1.006</v>
      </c>
      <c r="D5722" s="51">
        <v>67.0</v>
      </c>
      <c r="E5722" s="52" t="s">
        <v>25</v>
      </c>
      <c r="F5722" s="52" t="s">
        <v>26</v>
      </c>
      <c r="G5722" s="54"/>
    </row>
    <row r="5723">
      <c r="A5723" s="49">
        <v>45081.31158171296</v>
      </c>
      <c r="B5723" s="50">
        <v>45081.4365509953</v>
      </c>
      <c r="C5723" s="51">
        <v>1.006</v>
      </c>
      <c r="D5723" s="51">
        <v>67.0</v>
      </c>
      <c r="E5723" s="52" t="s">
        <v>25</v>
      </c>
      <c r="F5723" s="52" t="s">
        <v>26</v>
      </c>
      <c r="G5723" s="54"/>
    </row>
    <row r="5724">
      <c r="A5724" s="49">
        <v>45081.32201914352</v>
      </c>
      <c r="B5724" s="50">
        <v>45081.4469849768</v>
      </c>
      <c r="C5724" s="51">
        <v>1.006</v>
      </c>
      <c r="D5724" s="51">
        <v>67.0</v>
      </c>
      <c r="E5724" s="52" t="s">
        <v>25</v>
      </c>
      <c r="F5724" s="52" t="s">
        <v>26</v>
      </c>
      <c r="G5724" s="54"/>
    </row>
    <row r="5725">
      <c r="A5725" s="49">
        <v>45081.33243311342</v>
      </c>
      <c r="B5725" s="50">
        <v>45081.4574073263</v>
      </c>
      <c r="C5725" s="51">
        <v>1.006</v>
      </c>
      <c r="D5725" s="51">
        <v>67.0</v>
      </c>
      <c r="E5725" s="52" t="s">
        <v>25</v>
      </c>
      <c r="F5725" s="52" t="s">
        <v>26</v>
      </c>
      <c r="G5725" s="54"/>
    </row>
    <row r="5726">
      <c r="A5726" s="49">
        <v>45081.34285991898</v>
      </c>
      <c r="B5726" s="50">
        <v>45081.4678306018</v>
      </c>
      <c r="C5726" s="51">
        <v>1.006</v>
      </c>
      <c r="D5726" s="51">
        <v>67.0</v>
      </c>
      <c r="E5726" s="52" t="s">
        <v>25</v>
      </c>
      <c r="F5726" s="52" t="s">
        <v>26</v>
      </c>
      <c r="G5726" s="54"/>
    </row>
    <row r="5727">
      <c r="A5727" s="49">
        <v>45081.353274305555</v>
      </c>
      <c r="B5727" s="50">
        <v>45081.4782512731</v>
      </c>
      <c r="C5727" s="51">
        <v>1.006</v>
      </c>
      <c r="D5727" s="51">
        <v>67.0</v>
      </c>
      <c r="E5727" s="52" t="s">
        <v>25</v>
      </c>
      <c r="F5727" s="52" t="s">
        <v>26</v>
      </c>
      <c r="G5727" s="54"/>
    </row>
    <row r="5728">
      <c r="A5728" s="49">
        <v>45081.363723518516</v>
      </c>
      <c r="B5728" s="50">
        <v>45081.4886959953</v>
      </c>
      <c r="C5728" s="51">
        <v>1.006</v>
      </c>
      <c r="D5728" s="51">
        <v>67.0</v>
      </c>
      <c r="E5728" s="52" t="s">
        <v>25</v>
      </c>
      <c r="F5728" s="52" t="s">
        <v>26</v>
      </c>
      <c r="G5728" s="54"/>
    </row>
    <row r="5729">
      <c r="A5729" s="49">
        <v>45081.37414126158</v>
      </c>
      <c r="B5729" s="50">
        <v>45081.4991172569</v>
      </c>
      <c r="C5729" s="51">
        <v>1.006</v>
      </c>
      <c r="D5729" s="51">
        <v>67.0</v>
      </c>
      <c r="E5729" s="52" t="s">
        <v>25</v>
      </c>
      <c r="F5729" s="52" t="s">
        <v>26</v>
      </c>
      <c r="G5729" s="54"/>
    </row>
    <row r="5730">
      <c r="A5730" s="49">
        <v>45081.38456229167</v>
      </c>
      <c r="B5730" s="50">
        <v>45081.5095382523</v>
      </c>
      <c r="C5730" s="51">
        <v>1.006</v>
      </c>
      <c r="D5730" s="51">
        <v>67.0</v>
      </c>
      <c r="E5730" s="52" t="s">
        <v>25</v>
      </c>
      <c r="F5730" s="52" t="s">
        <v>26</v>
      </c>
      <c r="G5730" s="54"/>
    </row>
    <row r="5731">
      <c r="A5731" s="49">
        <v>45081.39498084491</v>
      </c>
      <c r="B5731" s="50">
        <v>45081.5199579976</v>
      </c>
      <c r="C5731" s="51">
        <v>1.006</v>
      </c>
      <c r="D5731" s="51">
        <v>67.0</v>
      </c>
      <c r="E5731" s="52" t="s">
        <v>25</v>
      </c>
      <c r="F5731" s="52" t="s">
        <v>26</v>
      </c>
      <c r="G5731" s="54"/>
    </row>
    <row r="5732">
      <c r="A5732" s="49">
        <v>45081.40542121528</v>
      </c>
      <c r="B5732" s="50">
        <v>45081.5303919907</v>
      </c>
      <c r="C5732" s="51">
        <v>1.006</v>
      </c>
      <c r="D5732" s="51">
        <v>67.0</v>
      </c>
      <c r="E5732" s="52" t="s">
        <v>25</v>
      </c>
      <c r="F5732" s="52" t="s">
        <v>26</v>
      </c>
      <c r="G5732" s="54"/>
    </row>
    <row r="5733">
      <c r="A5733" s="49">
        <v>45081.41584290509</v>
      </c>
      <c r="B5733" s="50">
        <v>45081.5408131134</v>
      </c>
      <c r="C5733" s="51">
        <v>1.006</v>
      </c>
      <c r="D5733" s="51">
        <v>67.0</v>
      </c>
      <c r="E5733" s="52" t="s">
        <v>25</v>
      </c>
      <c r="F5733" s="52" t="s">
        <v>26</v>
      </c>
      <c r="G5733" s="54"/>
    </row>
    <row r="5734">
      <c r="A5734" s="49">
        <v>45081.42625685185</v>
      </c>
      <c r="B5734" s="50">
        <v>45081.5512346643</v>
      </c>
      <c r="C5734" s="51">
        <v>1.006</v>
      </c>
      <c r="D5734" s="51">
        <v>67.0</v>
      </c>
      <c r="E5734" s="52" t="s">
        <v>25</v>
      </c>
      <c r="F5734" s="52" t="s">
        <v>26</v>
      </c>
      <c r="G5734" s="54"/>
    </row>
    <row r="5735">
      <c r="A5735" s="49">
        <v>45081.436675694444</v>
      </c>
      <c r="B5735" s="50">
        <v>45081.5616558912</v>
      </c>
      <c r="C5735" s="51">
        <v>1.006</v>
      </c>
      <c r="D5735" s="51">
        <v>67.0</v>
      </c>
      <c r="E5735" s="52" t="s">
        <v>25</v>
      </c>
      <c r="F5735" s="52" t="s">
        <v>26</v>
      </c>
      <c r="G5735" s="54"/>
    </row>
    <row r="5736">
      <c r="A5736" s="49">
        <v>45081.447115497685</v>
      </c>
      <c r="B5736" s="50">
        <v>45081.572087037</v>
      </c>
      <c r="C5736" s="51">
        <v>1.006</v>
      </c>
      <c r="D5736" s="51">
        <v>67.0</v>
      </c>
      <c r="E5736" s="52" t="s">
        <v>25</v>
      </c>
      <c r="F5736" s="52" t="s">
        <v>26</v>
      </c>
      <c r="G5736" s="54"/>
    </row>
    <row r="5737">
      <c r="A5737" s="49">
        <v>45081.45752913195</v>
      </c>
      <c r="B5737" s="50">
        <v>45081.5825087962</v>
      </c>
      <c r="C5737" s="51">
        <v>1.006</v>
      </c>
      <c r="D5737" s="51">
        <v>67.0</v>
      </c>
      <c r="E5737" s="52" t="s">
        <v>25</v>
      </c>
      <c r="F5737" s="52" t="s">
        <v>26</v>
      </c>
      <c r="G5737" s="54"/>
    </row>
    <row r="5738">
      <c r="A5738" s="49">
        <v>45081.4679615162</v>
      </c>
      <c r="B5738" s="50">
        <v>45081.5929320717</v>
      </c>
      <c r="C5738" s="51">
        <v>1.006</v>
      </c>
      <c r="D5738" s="51">
        <v>67.0</v>
      </c>
      <c r="E5738" s="52" t="s">
        <v>25</v>
      </c>
      <c r="F5738" s="52" t="s">
        <v>26</v>
      </c>
      <c r="G5738" s="54"/>
    </row>
    <row r="5739">
      <c r="A5739" s="49">
        <v>45081.47837725695</v>
      </c>
      <c r="B5739" s="50">
        <v>45081.6033516666</v>
      </c>
      <c r="C5739" s="51">
        <v>1.006</v>
      </c>
      <c r="D5739" s="51">
        <v>67.0</v>
      </c>
      <c r="E5739" s="52" t="s">
        <v>25</v>
      </c>
      <c r="F5739" s="52" t="s">
        <v>26</v>
      </c>
      <c r="G5739" s="54"/>
    </row>
    <row r="5740">
      <c r="A5740" s="49">
        <v>45081.48881407407</v>
      </c>
      <c r="B5740" s="50">
        <v>45081.6137860185</v>
      </c>
      <c r="C5740" s="51">
        <v>1.006</v>
      </c>
      <c r="D5740" s="51">
        <v>67.0</v>
      </c>
      <c r="E5740" s="52" t="s">
        <v>25</v>
      </c>
      <c r="F5740" s="52" t="s">
        <v>26</v>
      </c>
      <c r="G5740" s="54"/>
    </row>
    <row r="5741">
      <c r="A5741" s="49">
        <v>45081.49923976852</v>
      </c>
      <c r="B5741" s="50">
        <v>45081.6242192476</v>
      </c>
      <c r="C5741" s="51">
        <v>1.006</v>
      </c>
      <c r="D5741" s="51">
        <v>67.0</v>
      </c>
      <c r="E5741" s="52" t="s">
        <v>25</v>
      </c>
      <c r="F5741" s="52" t="s">
        <v>26</v>
      </c>
      <c r="G5741" s="54"/>
    </row>
    <row r="5742">
      <c r="A5742" s="49">
        <v>45081.50972625</v>
      </c>
      <c r="B5742" s="50">
        <v>45081.6346407986</v>
      </c>
      <c r="C5742" s="51">
        <v>1.006</v>
      </c>
      <c r="D5742" s="51">
        <v>67.0</v>
      </c>
      <c r="E5742" s="52" t="s">
        <v>25</v>
      </c>
      <c r="F5742" s="52" t="s">
        <v>26</v>
      </c>
      <c r="G5742" s="54"/>
    </row>
    <row r="5743">
      <c r="A5743" s="49">
        <v>45081.52009291667</v>
      </c>
      <c r="B5743" s="50">
        <v>45081.6450620833</v>
      </c>
      <c r="C5743" s="51">
        <v>1.006</v>
      </c>
      <c r="D5743" s="51">
        <v>67.0</v>
      </c>
      <c r="E5743" s="52" t="s">
        <v>25</v>
      </c>
      <c r="F5743" s="52" t="s">
        <v>26</v>
      </c>
      <c r="G5743" s="54"/>
    </row>
    <row r="5744">
      <c r="A5744" s="49">
        <v>45081.53052542824</v>
      </c>
      <c r="B5744" s="50">
        <v>45081.6554934953</v>
      </c>
      <c r="C5744" s="51">
        <v>1.006</v>
      </c>
      <c r="D5744" s="51">
        <v>67.0</v>
      </c>
      <c r="E5744" s="52" t="s">
        <v>25</v>
      </c>
      <c r="F5744" s="52" t="s">
        <v>26</v>
      </c>
      <c r="G5744" s="54"/>
    </row>
    <row r="5745">
      <c r="A5745" s="49">
        <v>45081.54093204861</v>
      </c>
      <c r="B5745" s="50">
        <v>45081.6659142245</v>
      </c>
      <c r="C5745" s="51">
        <v>1.006</v>
      </c>
      <c r="D5745" s="51">
        <v>67.0</v>
      </c>
      <c r="E5745" s="52" t="s">
        <v>25</v>
      </c>
      <c r="F5745" s="52" t="s">
        <v>26</v>
      </c>
      <c r="G5745" s="54"/>
    </row>
    <row r="5746">
      <c r="A5746" s="49">
        <v>45081.551424074074</v>
      </c>
      <c r="B5746" s="50">
        <v>45081.676346875</v>
      </c>
      <c r="C5746" s="51">
        <v>1.005</v>
      </c>
      <c r="D5746" s="51">
        <v>67.0</v>
      </c>
      <c r="E5746" s="52" t="s">
        <v>25</v>
      </c>
      <c r="F5746" s="52" t="s">
        <v>26</v>
      </c>
      <c r="G5746" s="54"/>
    </row>
    <row r="5747">
      <c r="A5747" s="49">
        <v>45081.561791203705</v>
      </c>
      <c r="B5747" s="50">
        <v>45081.686765243</v>
      </c>
      <c r="C5747" s="51">
        <v>1.006</v>
      </c>
      <c r="D5747" s="51">
        <v>67.0</v>
      </c>
      <c r="E5747" s="52" t="s">
        <v>25</v>
      </c>
      <c r="F5747" s="52" t="s">
        <v>26</v>
      </c>
      <c r="G5747" s="54"/>
    </row>
    <row r="5748">
      <c r="A5748" s="49">
        <v>45081.57221287037</v>
      </c>
      <c r="B5748" s="50">
        <v>45081.6971864583</v>
      </c>
      <c r="C5748" s="51">
        <v>1.006</v>
      </c>
      <c r="D5748" s="51">
        <v>67.0</v>
      </c>
      <c r="E5748" s="52" t="s">
        <v>25</v>
      </c>
      <c r="F5748" s="52" t="s">
        <v>26</v>
      </c>
      <c r="G5748" s="54"/>
    </row>
    <row r="5749">
      <c r="A5749" s="49">
        <v>45081.58263709491</v>
      </c>
      <c r="B5749" s="50">
        <v>45081.7076087615</v>
      </c>
      <c r="C5749" s="51">
        <v>1.006</v>
      </c>
      <c r="D5749" s="51">
        <v>67.0</v>
      </c>
      <c r="E5749" s="52" t="s">
        <v>25</v>
      </c>
      <c r="F5749" s="52" t="s">
        <v>26</v>
      </c>
      <c r="G5749" s="54"/>
    </row>
    <row r="5750">
      <c r="A5750" s="49">
        <v>45081.59305833333</v>
      </c>
      <c r="B5750" s="50">
        <v>45081.7180304166</v>
      </c>
      <c r="C5750" s="51">
        <v>1.006</v>
      </c>
      <c r="D5750" s="51">
        <v>67.0</v>
      </c>
      <c r="E5750" s="52" t="s">
        <v>25</v>
      </c>
      <c r="F5750" s="52" t="s">
        <v>26</v>
      </c>
      <c r="G5750" s="54"/>
    </row>
    <row r="5751">
      <c r="A5751" s="49">
        <v>45081.603485115746</v>
      </c>
      <c r="B5751" s="50">
        <v>45081.7284514236</v>
      </c>
      <c r="C5751" s="51">
        <v>1.005</v>
      </c>
      <c r="D5751" s="51">
        <v>67.0</v>
      </c>
      <c r="E5751" s="52" t="s">
        <v>25</v>
      </c>
      <c r="F5751" s="52" t="s">
        <v>26</v>
      </c>
      <c r="G5751" s="54"/>
    </row>
    <row r="5752">
      <c r="A5752" s="49">
        <v>45081.61388960648</v>
      </c>
      <c r="B5752" s="50">
        <v>45081.7388721527</v>
      </c>
      <c r="C5752" s="51">
        <v>1.006</v>
      </c>
      <c r="D5752" s="51">
        <v>67.0</v>
      </c>
      <c r="E5752" s="52" t="s">
        <v>25</v>
      </c>
      <c r="F5752" s="52" t="s">
        <v>26</v>
      </c>
      <c r="G5752" s="54"/>
    </row>
    <row r="5753">
      <c r="A5753" s="49">
        <v>45081.624321678246</v>
      </c>
      <c r="B5753" s="50">
        <v>45081.7492929976</v>
      </c>
      <c r="C5753" s="51">
        <v>1.006</v>
      </c>
      <c r="D5753" s="51">
        <v>67.0</v>
      </c>
      <c r="E5753" s="52" t="s">
        <v>25</v>
      </c>
      <c r="F5753" s="52" t="s">
        <v>26</v>
      </c>
      <c r="G5753" s="54"/>
    </row>
    <row r="5754">
      <c r="A5754" s="49">
        <v>45081.634744097224</v>
      </c>
      <c r="B5754" s="50">
        <v>45081.7597148148</v>
      </c>
      <c r="C5754" s="51">
        <v>1.006</v>
      </c>
      <c r="D5754" s="51">
        <v>67.0</v>
      </c>
      <c r="E5754" s="52" t="s">
        <v>25</v>
      </c>
      <c r="F5754" s="52" t="s">
        <v>26</v>
      </c>
      <c r="G5754" s="54"/>
    </row>
    <row r="5755">
      <c r="A5755" s="49">
        <v>45081.6451621875</v>
      </c>
      <c r="B5755" s="50">
        <v>45081.7701370833</v>
      </c>
      <c r="C5755" s="51">
        <v>1.006</v>
      </c>
      <c r="D5755" s="51">
        <v>67.0</v>
      </c>
      <c r="E5755" s="52" t="s">
        <v>25</v>
      </c>
      <c r="F5755" s="52" t="s">
        <v>26</v>
      </c>
      <c r="G5755" s="54"/>
    </row>
    <row r="5756">
      <c r="A5756" s="49">
        <v>45081.65558071759</v>
      </c>
      <c r="B5756" s="50">
        <v>45081.7805600462</v>
      </c>
      <c r="C5756" s="51">
        <v>1.006</v>
      </c>
      <c r="D5756" s="51">
        <v>67.0</v>
      </c>
      <c r="E5756" s="52" t="s">
        <v>25</v>
      </c>
      <c r="F5756" s="52" t="s">
        <v>26</v>
      </c>
      <c r="G5756" s="54"/>
    </row>
    <row r="5757">
      <c r="A5757" s="49">
        <v>45081.66601324074</v>
      </c>
      <c r="B5757" s="50">
        <v>45081.790981574</v>
      </c>
      <c r="C5757" s="51">
        <v>1.006</v>
      </c>
      <c r="D5757" s="51">
        <v>67.0</v>
      </c>
      <c r="E5757" s="52" t="s">
        <v>25</v>
      </c>
      <c r="F5757" s="52" t="s">
        <v>26</v>
      </c>
      <c r="G5757" s="54"/>
    </row>
    <row r="5758">
      <c r="A5758" s="49">
        <v>45081.6764409375</v>
      </c>
      <c r="B5758" s="50">
        <v>45081.8014162731</v>
      </c>
      <c r="C5758" s="51">
        <v>1.006</v>
      </c>
      <c r="D5758" s="51">
        <v>67.0</v>
      </c>
      <c r="E5758" s="52" t="s">
        <v>25</v>
      </c>
      <c r="F5758" s="52" t="s">
        <v>26</v>
      </c>
      <c r="G5758" s="54"/>
    </row>
    <row r="5759">
      <c r="A5759" s="49">
        <v>45081.68693024306</v>
      </c>
      <c r="B5759" s="50">
        <v>45081.811850324</v>
      </c>
      <c r="C5759" s="51">
        <v>1.006</v>
      </c>
      <c r="D5759" s="51">
        <v>67.0</v>
      </c>
      <c r="E5759" s="52" t="s">
        <v>25</v>
      </c>
      <c r="F5759" s="52" t="s">
        <v>26</v>
      </c>
      <c r="G5759" s="54"/>
    </row>
    <row r="5760">
      <c r="A5760" s="49">
        <v>45081.69735923611</v>
      </c>
      <c r="B5760" s="50">
        <v>45081.8222722106</v>
      </c>
      <c r="C5760" s="51">
        <v>1.006</v>
      </c>
      <c r="D5760" s="51">
        <v>67.0</v>
      </c>
      <c r="E5760" s="52" t="s">
        <v>25</v>
      </c>
      <c r="F5760" s="52" t="s">
        <v>26</v>
      </c>
      <c r="G5760" s="54"/>
    </row>
    <row r="5761">
      <c r="A5761" s="49">
        <v>45081.70777540509</v>
      </c>
      <c r="B5761" s="50">
        <v>45081.8326934259</v>
      </c>
      <c r="C5761" s="51">
        <v>1.006</v>
      </c>
      <c r="D5761" s="51">
        <v>67.0</v>
      </c>
      <c r="E5761" s="52" t="s">
        <v>25</v>
      </c>
      <c r="F5761" s="52" t="s">
        <v>26</v>
      </c>
      <c r="G5761" s="54"/>
    </row>
    <row r="5762">
      <c r="A5762" s="49">
        <v>45081.718135937495</v>
      </c>
      <c r="B5762" s="50">
        <v>45081.8431157175</v>
      </c>
      <c r="C5762" s="51">
        <v>1.006</v>
      </c>
      <c r="D5762" s="51">
        <v>67.0</v>
      </c>
      <c r="E5762" s="52" t="s">
        <v>25</v>
      </c>
      <c r="F5762" s="52" t="s">
        <v>26</v>
      </c>
      <c r="G5762" s="54"/>
    </row>
    <row r="5763">
      <c r="A5763" s="49">
        <v>45081.72862391204</v>
      </c>
      <c r="B5763" s="50">
        <v>45081.8535495949</v>
      </c>
      <c r="C5763" s="51">
        <v>1.006</v>
      </c>
      <c r="D5763" s="51">
        <v>67.0</v>
      </c>
      <c r="E5763" s="52" t="s">
        <v>25</v>
      </c>
      <c r="F5763" s="52" t="s">
        <v>26</v>
      </c>
      <c r="G5763" s="54"/>
    </row>
    <row r="5764">
      <c r="A5764" s="49">
        <v>45081.73899540509</v>
      </c>
      <c r="B5764" s="50">
        <v>45081.8639700578</v>
      </c>
      <c r="C5764" s="51">
        <v>1.006</v>
      </c>
      <c r="D5764" s="51">
        <v>67.0</v>
      </c>
      <c r="E5764" s="52" t="s">
        <v>25</v>
      </c>
      <c r="F5764" s="52" t="s">
        <v>26</v>
      </c>
      <c r="G5764" s="54"/>
    </row>
    <row r="5765">
      <c r="A5765" s="49">
        <v>45081.74941364583</v>
      </c>
      <c r="B5765" s="50">
        <v>45081.8743921759</v>
      </c>
      <c r="C5765" s="51">
        <v>1.006</v>
      </c>
      <c r="D5765" s="51">
        <v>67.0</v>
      </c>
      <c r="E5765" s="52" t="s">
        <v>25</v>
      </c>
      <c r="F5765" s="52" t="s">
        <v>26</v>
      </c>
      <c r="G5765" s="54"/>
    </row>
    <row r="5766">
      <c r="A5766" s="49">
        <v>45081.75990476852</v>
      </c>
      <c r="B5766" s="50">
        <v>45081.8848132176</v>
      </c>
      <c r="C5766" s="51">
        <v>1.006</v>
      </c>
      <c r="D5766" s="51">
        <v>67.0</v>
      </c>
      <c r="E5766" s="52" t="s">
        <v>25</v>
      </c>
      <c r="F5766" s="52" t="s">
        <v>26</v>
      </c>
      <c r="G5766" s="54"/>
    </row>
    <row r="5767">
      <c r="A5767" s="49">
        <v>45081.770257951386</v>
      </c>
      <c r="B5767" s="50">
        <v>45081.8952351273</v>
      </c>
      <c r="C5767" s="51">
        <v>1.006</v>
      </c>
      <c r="D5767" s="51">
        <v>67.0</v>
      </c>
      <c r="E5767" s="52" t="s">
        <v>25</v>
      </c>
      <c r="F5767" s="52" t="s">
        <v>26</v>
      </c>
      <c r="G5767" s="54"/>
    </row>
    <row r="5768">
      <c r="A5768" s="49">
        <v>45081.78074594907</v>
      </c>
      <c r="B5768" s="50">
        <v>45081.9056566666</v>
      </c>
      <c r="C5768" s="51">
        <v>1.006</v>
      </c>
      <c r="D5768" s="51">
        <v>67.0</v>
      </c>
      <c r="E5768" s="52" t="s">
        <v>25</v>
      </c>
      <c r="F5768" s="52" t="s">
        <v>26</v>
      </c>
      <c r="G5768" s="54"/>
    </row>
    <row r="5769">
      <c r="A5769" s="49">
        <v>45081.79116070602</v>
      </c>
      <c r="B5769" s="50">
        <v>45081.9160753703</v>
      </c>
      <c r="C5769" s="51">
        <v>1.006</v>
      </c>
      <c r="D5769" s="51">
        <v>67.0</v>
      </c>
      <c r="E5769" s="52" t="s">
        <v>25</v>
      </c>
      <c r="F5769" s="52" t="s">
        <v>26</v>
      </c>
      <c r="G5769" s="54"/>
    </row>
    <row r="5770">
      <c r="A5770" s="49">
        <v>45081.8015775463</v>
      </c>
      <c r="B5770" s="50">
        <v>45081.926495787</v>
      </c>
      <c r="C5770" s="51">
        <v>1.006</v>
      </c>
      <c r="D5770" s="51">
        <v>67.0</v>
      </c>
      <c r="E5770" s="52" t="s">
        <v>25</v>
      </c>
      <c r="F5770" s="52" t="s">
        <v>26</v>
      </c>
      <c r="G5770" s="54"/>
    </row>
    <row r="5771">
      <c r="A5771" s="49">
        <v>45081.81194517361</v>
      </c>
      <c r="B5771" s="50">
        <v>45081.9369160185</v>
      </c>
      <c r="C5771" s="51">
        <v>1.006</v>
      </c>
      <c r="D5771" s="51">
        <v>67.0</v>
      </c>
      <c r="E5771" s="52" t="s">
        <v>25</v>
      </c>
      <c r="F5771" s="52" t="s">
        <v>26</v>
      </c>
      <c r="G5771" s="54"/>
    </row>
    <row r="5772">
      <c r="A5772" s="49">
        <v>45081.82237207176</v>
      </c>
      <c r="B5772" s="50">
        <v>45081.9473505324</v>
      </c>
      <c r="C5772" s="51">
        <v>1.006</v>
      </c>
      <c r="D5772" s="51">
        <v>67.0</v>
      </c>
      <c r="E5772" s="52" t="s">
        <v>25</v>
      </c>
      <c r="F5772" s="52" t="s">
        <v>26</v>
      </c>
      <c r="G5772" s="54"/>
    </row>
    <row r="5773">
      <c r="A5773" s="49">
        <v>45081.83280089121</v>
      </c>
      <c r="B5773" s="50">
        <v>45081.9577744791</v>
      </c>
      <c r="C5773" s="51">
        <v>1.006</v>
      </c>
      <c r="D5773" s="51">
        <v>67.0</v>
      </c>
      <c r="E5773" s="52" t="s">
        <v>25</v>
      </c>
      <c r="F5773" s="52" t="s">
        <v>26</v>
      </c>
      <c r="G5773" s="54"/>
    </row>
    <row r="5774">
      <c r="A5774" s="49">
        <v>45081.84322358796</v>
      </c>
      <c r="B5774" s="50">
        <v>45081.9681972222</v>
      </c>
      <c r="C5774" s="51">
        <v>1.006</v>
      </c>
      <c r="D5774" s="51">
        <v>67.0</v>
      </c>
      <c r="E5774" s="52" t="s">
        <v>25</v>
      </c>
      <c r="F5774" s="52" t="s">
        <v>26</v>
      </c>
      <c r="G5774" s="54"/>
    </row>
    <row r="5775">
      <c r="A5775" s="49">
        <v>45081.85364427083</v>
      </c>
      <c r="B5775" s="50">
        <v>45081.9786178472</v>
      </c>
      <c r="C5775" s="51">
        <v>1.006</v>
      </c>
      <c r="D5775" s="51">
        <v>67.0</v>
      </c>
      <c r="E5775" s="52" t="s">
        <v>25</v>
      </c>
      <c r="F5775" s="52" t="s">
        <v>26</v>
      </c>
      <c r="G5775" s="54"/>
    </row>
    <row r="5776">
      <c r="A5776" s="49">
        <v>45081.864056886574</v>
      </c>
      <c r="B5776" s="50">
        <v>45081.9890372685</v>
      </c>
      <c r="C5776" s="51">
        <v>1.006</v>
      </c>
      <c r="D5776" s="51">
        <v>67.0</v>
      </c>
      <c r="E5776" s="52" t="s">
        <v>25</v>
      </c>
      <c r="F5776" s="52" t="s">
        <v>26</v>
      </c>
      <c r="G5776" s="54"/>
    </row>
    <row r="5777">
      <c r="A5777" s="49">
        <v>45081.87448607638</v>
      </c>
      <c r="B5777" s="50">
        <v>45081.9994600347</v>
      </c>
      <c r="C5777" s="51">
        <v>1.006</v>
      </c>
      <c r="D5777" s="51">
        <v>67.0</v>
      </c>
      <c r="E5777" s="52" t="s">
        <v>25</v>
      </c>
      <c r="F5777" s="52" t="s">
        <v>26</v>
      </c>
      <c r="G5777" s="54"/>
    </row>
    <row r="5778">
      <c r="A5778" s="49">
        <v>45081.88499064815</v>
      </c>
      <c r="B5778" s="50">
        <v>45082.0099037615</v>
      </c>
      <c r="C5778" s="51">
        <v>1.006</v>
      </c>
      <c r="D5778" s="51">
        <v>67.0</v>
      </c>
      <c r="E5778" s="52" t="s">
        <v>25</v>
      </c>
      <c r="F5778" s="52" t="s">
        <v>26</v>
      </c>
      <c r="G5778" s="54"/>
    </row>
    <row r="5779">
      <c r="A5779" s="49">
        <v>45081.89542792824</v>
      </c>
      <c r="B5779" s="50">
        <v>45082.0203251157</v>
      </c>
      <c r="C5779" s="51">
        <v>1.006</v>
      </c>
      <c r="D5779" s="51">
        <v>67.0</v>
      </c>
      <c r="E5779" s="52" t="s">
        <v>25</v>
      </c>
      <c r="F5779" s="52" t="s">
        <v>26</v>
      </c>
      <c r="G5779" s="54"/>
    </row>
    <row r="5780">
      <c r="A5780" s="49">
        <v>45081.90578472222</v>
      </c>
      <c r="B5780" s="50">
        <v>45082.0307479629</v>
      </c>
      <c r="C5780" s="51">
        <v>1.006</v>
      </c>
      <c r="D5780" s="51">
        <v>67.0</v>
      </c>
      <c r="E5780" s="52" t="s">
        <v>25</v>
      </c>
      <c r="F5780" s="52" t="s">
        <v>26</v>
      </c>
      <c r="G5780" s="54"/>
    </row>
    <row r="5781">
      <c r="A5781" s="49">
        <v>45081.91627177084</v>
      </c>
      <c r="B5781" s="50">
        <v>45082.0411918749</v>
      </c>
      <c r="C5781" s="51">
        <v>1.006</v>
      </c>
      <c r="D5781" s="51">
        <v>67.0</v>
      </c>
      <c r="E5781" s="52" t="s">
        <v>25</v>
      </c>
      <c r="F5781" s="52" t="s">
        <v>26</v>
      </c>
      <c r="G5781" s="54"/>
    </row>
    <row r="5782">
      <c r="A5782" s="49">
        <v>45081.92668945601</v>
      </c>
      <c r="B5782" s="50">
        <v>45082.0516168981</v>
      </c>
      <c r="C5782" s="51">
        <v>1.005</v>
      </c>
      <c r="D5782" s="51">
        <v>67.0</v>
      </c>
      <c r="E5782" s="52" t="s">
        <v>25</v>
      </c>
      <c r="F5782" s="52" t="s">
        <v>26</v>
      </c>
      <c r="G5782" s="54"/>
    </row>
    <row r="5783">
      <c r="A5783" s="49">
        <v>45081.93710234953</v>
      </c>
      <c r="B5783" s="50">
        <v>45082.0620359722</v>
      </c>
      <c r="C5783" s="51">
        <v>1.006</v>
      </c>
      <c r="D5783" s="51">
        <v>67.0</v>
      </c>
      <c r="E5783" s="52" t="s">
        <v>25</v>
      </c>
      <c r="F5783" s="52" t="s">
        <v>26</v>
      </c>
      <c r="G5783" s="54"/>
    </row>
    <row r="5784">
      <c r="A5784" s="49">
        <v>45081.94754167824</v>
      </c>
      <c r="B5784" s="50">
        <v>45082.0724572338</v>
      </c>
      <c r="C5784" s="51">
        <v>1.006</v>
      </c>
      <c r="D5784" s="51">
        <v>67.0</v>
      </c>
      <c r="E5784" s="52" t="s">
        <v>25</v>
      </c>
      <c r="F5784" s="52" t="s">
        <v>26</v>
      </c>
      <c r="G5784" s="54"/>
    </row>
    <row r="5785">
      <c r="A5785" s="49">
        <v>45081.957978715276</v>
      </c>
      <c r="B5785" s="50">
        <v>45082.0828784259</v>
      </c>
      <c r="C5785" s="51">
        <v>1.006</v>
      </c>
      <c r="D5785" s="51">
        <v>67.0</v>
      </c>
      <c r="E5785" s="52" t="s">
        <v>25</v>
      </c>
      <c r="F5785" s="52" t="s">
        <v>26</v>
      </c>
      <c r="G5785" s="54"/>
    </row>
    <row r="5786">
      <c r="A5786" s="49">
        <v>45081.968328483796</v>
      </c>
      <c r="B5786" s="50">
        <v>45082.0932992592</v>
      </c>
      <c r="C5786" s="51">
        <v>1.006</v>
      </c>
      <c r="D5786" s="51">
        <v>67.0</v>
      </c>
      <c r="E5786" s="52" t="s">
        <v>25</v>
      </c>
      <c r="F5786" s="52" t="s">
        <v>26</v>
      </c>
      <c r="G5786" s="54"/>
    </row>
    <row r="5787">
      <c r="A5787" s="49">
        <v>45081.97876599537</v>
      </c>
      <c r="B5787" s="50">
        <v>45082.1037337847</v>
      </c>
      <c r="C5787" s="51">
        <v>1.006</v>
      </c>
      <c r="D5787" s="51">
        <v>67.0</v>
      </c>
      <c r="E5787" s="52" t="s">
        <v>25</v>
      </c>
      <c r="F5787" s="52" t="s">
        <v>26</v>
      </c>
      <c r="G5787" s="54"/>
    </row>
    <row r="5788">
      <c r="A5788" s="49">
        <v>45081.9891903588</v>
      </c>
      <c r="B5788" s="50">
        <v>45082.114155</v>
      </c>
      <c r="C5788" s="51">
        <v>1.006</v>
      </c>
      <c r="D5788" s="51">
        <v>67.0</v>
      </c>
      <c r="E5788" s="52" t="s">
        <v>25</v>
      </c>
      <c r="F5788" s="52" t="s">
        <v>26</v>
      </c>
      <c r="G5788" s="54"/>
    </row>
    <row r="5789">
      <c r="A5789" s="49">
        <v>45081.999606736106</v>
      </c>
      <c r="B5789" s="50">
        <v>45082.124574456</v>
      </c>
      <c r="C5789" s="51">
        <v>1.005</v>
      </c>
      <c r="D5789" s="51">
        <v>67.0</v>
      </c>
      <c r="E5789" s="52" t="s">
        <v>25</v>
      </c>
      <c r="F5789" s="52" t="s">
        <v>26</v>
      </c>
      <c r="G5789" s="54"/>
    </row>
    <row r="5790">
      <c r="A5790" s="49">
        <v>45082.01011491899</v>
      </c>
      <c r="B5790" s="50">
        <v>45082.1349961574</v>
      </c>
      <c r="C5790" s="51">
        <v>1.006</v>
      </c>
      <c r="D5790" s="51">
        <v>67.0</v>
      </c>
      <c r="E5790" s="52" t="s">
        <v>25</v>
      </c>
      <c r="F5790" s="52" t="s">
        <v>26</v>
      </c>
      <c r="G5790" s="54"/>
    </row>
    <row r="5791">
      <c r="A5791" s="49">
        <v>45082.020446400464</v>
      </c>
      <c r="B5791" s="50">
        <v>45082.1454174884</v>
      </c>
      <c r="C5791" s="51">
        <v>1.006</v>
      </c>
      <c r="D5791" s="51">
        <v>67.0</v>
      </c>
      <c r="E5791" s="52" t="s">
        <v>25</v>
      </c>
      <c r="F5791" s="52" t="s">
        <v>26</v>
      </c>
      <c r="G5791" s="54"/>
    </row>
    <row r="5792">
      <c r="A5792" s="49">
        <v>45082.0308765625</v>
      </c>
      <c r="B5792" s="50">
        <v>45082.1558507638</v>
      </c>
      <c r="C5792" s="51">
        <v>1.005</v>
      </c>
      <c r="D5792" s="51">
        <v>67.0</v>
      </c>
      <c r="E5792" s="52" t="s">
        <v>25</v>
      </c>
      <c r="F5792" s="52" t="s">
        <v>26</v>
      </c>
      <c r="G5792" s="54"/>
    </row>
    <row r="5793">
      <c r="A5793" s="49">
        <v>45082.04131800926</v>
      </c>
      <c r="B5793" s="50">
        <v>45082.1662849537</v>
      </c>
      <c r="C5793" s="51">
        <v>1.006</v>
      </c>
      <c r="D5793" s="51">
        <v>67.0</v>
      </c>
      <c r="E5793" s="52" t="s">
        <v>25</v>
      </c>
      <c r="F5793" s="52" t="s">
        <v>26</v>
      </c>
      <c r="G5793" s="54"/>
    </row>
    <row r="5794">
      <c r="A5794" s="49">
        <v>45082.05179863426</v>
      </c>
      <c r="B5794" s="50">
        <v>45082.1767163194</v>
      </c>
      <c r="C5794" s="51">
        <v>1.006</v>
      </c>
      <c r="D5794" s="51">
        <v>67.0</v>
      </c>
      <c r="E5794" s="52" t="s">
        <v>25</v>
      </c>
      <c r="F5794" s="52" t="s">
        <v>26</v>
      </c>
      <c r="G5794" s="54"/>
    </row>
    <row r="5795">
      <c r="A5795" s="49">
        <v>45082.06222798611</v>
      </c>
      <c r="B5795" s="50">
        <v>45082.1871358101</v>
      </c>
      <c r="C5795" s="51">
        <v>1.006</v>
      </c>
      <c r="D5795" s="51">
        <v>67.0</v>
      </c>
      <c r="E5795" s="52" t="s">
        <v>25</v>
      </c>
      <c r="F5795" s="52" t="s">
        <v>26</v>
      </c>
      <c r="G5795" s="54"/>
    </row>
    <row r="5796">
      <c r="A5796" s="49">
        <v>45082.07257952546</v>
      </c>
      <c r="B5796" s="50">
        <v>45082.197556331</v>
      </c>
      <c r="C5796" s="51">
        <v>1.006</v>
      </c>
      <c r="D5796" s="51">
        <v>67.0</v>
      </c>
      <c r="E5796" s="52" t="s">
        <v>25</v>
      </c>
      <c r="F5796" s="52" t="s">
        <v>26</v>
      </c>
      <c r="G5796" s="54"/>
    </row>
    <row r="5797">
      <c r="A5797" s="49">
        <v>45082.083014421296</v>
      </c>
      <c r="B5797" s="50">
        <v>45082.2079781481</v>
      </c>
      <c r="C5797" s="51">
        <v>1.006</v>
      </c>
      <c r="D5797" s="51">
        <v>67.0</v>
      </c>
      <c r="E5797" s="52" t="s">
        <v>25</v>
      </c>
      <c r="F5797" s="52" t="s">
        <v>26</v>
      </c>
      <c r="G5797" s="54"/>
    </row>
    <row r="5798">
      <c r="A5798" s="49">
        <v>45082.093427395834</v>
      </c>
      <c r="B5798" s="50">
        <v>45082.218399074</v>
      </c>
      <c r="C5798" s="51">
        <v>1.006</v>
      </c>
      <c r="D5798" s="51">
        <v>67.0</v>
      </c>
      <c r="E5798" s="52" t="s">
        <v>25</v>
      </c>
      <c r="F5798" s="52" t="s">
        <v>26</v>
      </c>
      <c r="G5798" s="54"/>
    </row>
    <row r="5799">
      <c r="A5799" s="49">
        <v>45082.103848495375</v>
      </c>
      <c r="B5799" s="50">
        <v>45082.2288198958</v>
      </c>
      <c r="C5799" s="51">
        <v>1.006</v>
      </c>
      <c r="D5799" s="51">
        <v>67.0</v>
      </c>
      <c r="E5799" s="52" t="s">
        <v>25</v>
      </c>
      <c r="F5799" s="52" t="s">
        <v>26</v>
      </c>
      <c r="G5799" s="54"/>
    </row>
    <row r="5800">
      <c r="A5800" s="49">
        <v>45082.11428081019</v>
      </c>
      <c r="B5800" s="50">
        <v>45082.2392526157</v>
      </c>
      <c r="C5800" s="51">
        <v>1.005</v>
      </c>
      <c r="D5800" s="51">
        <v>67.0</v>
      </c>
      <c r="E5800" s="52" t="s">
        <v>25</v>
      </c>
      <c r="F5800" s="52" t="s">
        <v>26</v>
      </c>
      <c r="G5800" s="54"/>
    </row>
    <row r="5801">
      <c r="A5801" s="49">
        <v>45082.12472423611</v>
      </c>
      <c r="B5801" s="50">
        <v>45082.2496741666</v>
      </c>
      <c r="C5801" s="51">
        <v>1.006</v>
      </c>
      <c r="D5801" s="51">
        <v>67.0</v>
      </c>
      <c r="E5801" s="52" t="s">
        <v>25</v>
      </c>
      <c r="F5801" s="52" t="s">
        <v>26</v>
      </c>
      <c r="G5801" s="54"/>
    </row>
    <row r="5802">
      <c r="A5802" s="49">
        <v>45082.135122962965</v>
      </c>
      <c r="B5802" s="50">
        <v>45082.260097037</v>
      </c>
      <c r="C5802" s="51">
        <v>1.006</v>
      </c>
      <c r="D5802" s="51">
        <v>67.0</v>
      </c>
      <c r="E5802" s="52" t="s">
        <v>25</v>
      </c>
      <c r="F5802" s="52" t="s">
        <v>26</v>
      </c>
      <c r="G5802" s="54"/>
    </row>
    <row r="5803">
      <c r="A5803" s="49">
        <v>45082.14556474537</v>
      </c>
      <c r="B5803" s="50">
        <v>45082.2705182175</v>
      </c>
      <c r="C5803" s="51">
        <v>1.006</v>
      </c>
      <c r="D5803" s="51">
        <v>67.0</v>
      </c>
      <c r="E5803" s="52" t="s">
        <v>25</v>
      </c>
      <c r="F5803" s="52" t="s">
        <v>26</v>
      </c>
      <c r="G5803" s="54"/>
    </row>
    <row r="5804">
      <c r="A5804" s="49">
        <v>45082.15598225694</v>
      </c>
      <c r="B5804" s="50">
        <v>45082.2809522338</v>
      </c>
      <c r="C5804" s="51">
        <v>1.006</v>
      </c>
      <c r="D5804" s="51">
        <v>67.0</v>
      </c>
      <c r="E5804" s="52" t="s">
        <v>25</v>
      </c>
      <c r="F5804" s="52" t="s">
        <v>26</v>
      </c>
      <c r="G5804" s="54"/>
    </row>
    <row r="5805">
      <c r="A5805" s="49">
        <v>45082.16640682871</v>
      </c>
      <c r="B5805" s="50">
        <v>45082.2913744212</v>
      </c>
      <c r="C5805" s="51">
        <v>1.006</v>
      </c>
      <c r="D5805" s="51">
        <v>67.0</v>
      </c>
      <c r="E5805" s="52" t="s">
        <v>25</v>
      </c>
      <c r="F5805" s="52" t="s">
        <v>26</v>
      </c>
      <c r="G5805" s="54"/>
    </row>
    <row r="5806">
      <c r="A5806" s="49">
        <v>45082.17684443287</v>
      </c>
      <c r="B5806" s="50">
        <v>45082.3018077199</v>
      </c>
      <c r="C5806" s="51">
        <v>1.006</v>
      </c>
      <c r="D5806" s="51">
        <v>67.0</v>
      </c>
      <c r="E5806" s="52" t="s">
        <v>25</v>
      </c>
      <c r="F5806" s="52" t="s">
        <v>26</v>
      </c>
      <c r="G5806" s="54"/>
    </row>
    <row r="5807">
      <c r="A5807" s="49">
        <v>45082.18725666667</v>
      </c>
      <c r="B5807" s="50">
        <v>45082.3122286111</v>
      </c>
      <c r="C5807" s="51">
        <v>1.005</v>
      </c>
      <c r="D5807" s="51">
        <v>67.0</v>
      </c>
      <c r="E5807" s="52" t="s">
        <v>25</v>
      </c>
      <c r="F5807" s="52" t="s">
        <v>26</v>
      </c>
      <c r="G5807" s="54"/>
    </row>
    <row r="5808">
      <c r="A5808" s="49">
        <v>45082.19768541667</v>
      </c>
      <c r="B5808" s="50">
        <v>45082.322650405</v>
      </c>
      <c r="C5808" s="51">
        <v>1.006</v>
      </c>
      <c r="D5808" s="51">
        <v>67.0</v>
      </c>
      <c r="E5808" s="52" t="s">
        <v>25</v>
      </c>
      <c r="F5808" s="52" t="s">
        <v>26</v>
      </c>
      <c r="G5808" s="54"/>
    </row>
    <row r="5809">
      <c r="A5809" s="49">
        <v>45082.20812273148</v>
      </c>
      <c r="B5809" s="50">
        <v>45082.3330854629</v>
      </c>
      <c r="C5809" s="51">
        <v>1.005</v>
      </c>
      <c r="D5809" s="51">
        <v>67.0</v>
      </c>
      <c r="E5809" s="52" t="s">
        <v>25</v>
      </c>
      <c r="F5809" s="52" t="s">
        <v>26</v>
      </c>
      <c r="G5809" s="54"/>
    </row>
    <row r="5810">
      <c r="A5810" s="49">
        <v>45082.218605462964</v>
      </c>
      <c r="B5810" s="50">
        <v>45082.3435302662</v>
      </c>
      <c r="C5810" s="51">
        <v>1.005</v>
      </c>
      <c r="D5810" s="51">
        <v>67.0</v>
      </c>
      <c r="E5810" s="52" t="s">
        <v>25</v>
      </c>
      <c r="F5810" s="52" t="s">
        <v>26</v>
      </c>
      <c r="G5810" s="54"/>
    </row>
    <row r="5811">
      <c r="A5811" s="49">
        <v>45082.229041203704</v>
      </c>
      <c r="B5811" s="50">
        <v>45082.3539522685</v>
      </c>
      <c r="C5811" s="51">
        <v>1.006</v>
      </c>
      <c r="D5811" s="51">
        <v>67.0</v>
      </c>
      <c r="E5811" s="52" t="s">
        <v>25</v>
      </c>
      <c r="F5811" s="52" t="s">
        <v>26</v>
      </c>
      <c r="G5811" s="54"/>
    </row>
    <row r="5812">
      <c r="A5812" s="49">
        <v>45082.23944888889</v>
      </c>
      <c r="B5812" s="50">
        <v>45082.3643735069</v>
      </c>
      <c r="C5812" s="51">
        <v>1.006</v>
      </c>
      <c r="D5812" s="51">
        <v>67.0</v>
      </c>
      <c r="E5812" s="52" t="s">
        <v>25</v>
      </c>
      <c r="F5812" s="52" t="s">
        <v>26</v>
      </c>
      <c r="G5812" s="54"/>
    </row>
    <row r="5813">
      <c r="A5813" s="49">
        <v>45082.24986935185</v>
      </c>
      <c r="B5813" s="50">
        <v>45082.3748057175</v>
      </c>
      <c r="C5813" s="51">
        <v>1.005</v>
      </c>
      <c r="D5813" s="51">
        <v>67.0</v>
      </c>
      <c r="E5813" s="52" t="s">
        <v>25</v>
      </c>
      <c r="F5813" s="52" t="s">
        <v>26</v>
      </c>
      <c r="G5813" s="54"/>
    </row>
    <row r="5814">
      <c r="A5814" s="49">
        <v>45082.26029864584</v>
      </c>
      <c r="B5814" s="50">
        <v>45082.3852385648</v>
      </c>
      <c r="C5814" s="51">
        <v>1.005</v>
      </c>
      <c r="D5814" s="51">
        <v>67.0</v>
      </c>
      <c r="E5814" s="52" t="s">
        <v>25</v>
      </c>
      <c r="F5814" s="52" t="s">
        <v>26</v>
      </c>
      <c r="G5814" s="54"/>
    </row>
    <row r="5815">
      <c r="A5815" s="49">
        <v>45082.27073541666</v>
      </c>
      <c r="B5815" s="50">
        <v>45082.3956592824</v>
      </c>
      <c r="C5815" s="51">
        <v>1.006</v>
      </c>
      <c r="D5815" s="51">
        <v>67.0</v>
      </c>
      <c r="E5815" s="52" t="s">
        <v>25</v>
      </c>
      <c r="F5815" s="52" t="s">
        <v>26</v>
      </c>
      <c r="G5815" s="54"/>
    </row>
    <row r="5816">
      <c r="A5816" s="49">
        <v>45082.28116596065</v>
      </c>
      <c r="B5816" s="50">
        <v>45082.4060793055</v>
      </c>
      <c r="C5816" s="51">
        <v>1.006</v>
      </c>
      <c r="D5816" s="51">
        <v>67.0</v>
      </c>
      <c r="E5816" s="52" t="s">
        <v>25</v>
      </c>
      <c r="F5816" s="52" t="s">
        <v>26</v>
      </c>
      <c r="G5816" s="54"/>
    </row>
    <row r="5817">
      <c r="A5817" s="49">
        <v>45082.291580150464</v>
      </c>
      <c r="B5817" s="50">
        <v>45082.4165231365</v>
      </c>
      <c r="C5817" s="51">
        <v>1.005</v>
      </c>
      <c r="D5817" s="51">
        <v>67.0</v>
      </c>
      <c r="E5817" s="52" t="s">
        <v>25</v>
      </c>
      <c r="F5817" s="52" t="s">
        <v>26</v>
      </c>
      <c r="G5817" s="54"/>
    </row>
    <row r="5818">
      <c r="A5818" s="49">
        <v>45082.302010266205</v>
      </c>
      <c r="B5818" s="50">
        <v>45082.4269556134</v>
      </c>
      <c r="C5818" s="51">
        <v>1.006</v>
      </c>
      <c r="D5818" s="51">
        <v>67.0</v>
      </c>
      <c r="E5818" s="52" t="s">
        <v>25</v>
      </c>
      <c r="F5818" s="52" t="s">
        <v>26</v>
      </c>
      <c r="G5818" s="54"/>
    </row>
    <row r="5819">
      <c r="A5819" s="49">
        <v>45082.31243423611</v>
      </c>
      <c r="B5819" s="50">
        <v>45082.4373878935</v>
      </c>
      <c r="C5819" s="51">
        <v>1.005</v>
      </c>
      <c r="D5819" s="51">
        <v>67.0</v>
      </c>
      <c r="E5819" s="52" t="s">
        <v>25</v>
      </c>
      <c r="F5819" s="52" t="s">
        <v>26</v>
      </c>
      <c r="G5819" s="54"/>
    </row>
    <row r="5820">
      <c r="A5820" s="49">
        <v>45082.32286001157</v>
      </c>
      <c r="B5820" s="50">
        <v>45082.4478103819</v>
      </c>
      <c r="C5820" s="51">
        <v>1.006</v>
      </c>
      <c r="D5820" s="51">
        <v>67.0</v>
      </c>
      <c r="E5820" s="52" t="s">
        <v>25</v>
      </c>
      <c r="F5820" s="52" t="s">
        <v>26</v>
      </c>
      <c r="G5820" s="54"/>
    </row>
    <row r="5821">
      <c r="A5821" s="49">
        <v>45082.3332909375</v>
      </c>
      <c r="B5821" s="50">
        <v>45082.4582422685</v>
      </c>
      <c r="C5821" s="51">
        <v>1.006</v>
      </c>
      <c r="D5821" s="51">
        <v>67.0</v>
      </c>
      <c r="E5821" s="52" t="s">
        <v>25</v>
      </c>
      <c r="F5821" s="52" t="s">
        <v>26</v>
      </c>
      <c r="G5821" s="54"/>
    </row>
    <row r="5822">
      <c r="A5822" s="49">
        <v>45082.34371008102</v>
      </c>
      <c r="B5822" s="50">
        <v>45082.4686634143</v>
      </c>
      <c r="C5822" s="51">
        <v>1.006</v>
      </c>
      <c r="D5822" s="51">
        <v>67.0</v>
      </c>
      <c r="E5822" s="52" t="s">
        <v>25</v>
      </c>
      <c r="F5822" s="52" t="s">
        <v>26</v>
      </c>
      <c r="G5822" s="54"/>
    </row>
    <row r="5823">
      <c r="A5823" s="49">
        <v>45082.35412826389</v>
      </c>
      <c r="B5823" s="50">
        <v>45082.479085324</v>
      </c>
      <c r="C5823" s="51">
        <v>1.006</v>
      </c>
      <c r="D5823" s="51">
        <v>67.0</v>
      </c>
      <c r="E5823" s="52" t="s">
        <v>25</v>
      </c>
      <c r="F5823" s="52" t="s">
        <v>26</v>
      </c>
      <c r="G5823" s="54"/>
    </row>
    <row r="5824">
      <c r="A5824" s="49">
        <v>45082.36455607638</v>
      </c>
      <c r="B5824" s="50">
        <v>45082.4895068055</v>
      </c>
      <c r="C5824" s="51">
        <v>1.005</v>
      </c>
      <c r="D5824" s="51">
        <v>67.0</v>
      </c>
      <c r="E5824" s="52" t="s">
        <v>25</v>
      </c>
      <c r="F5824" s="52" t="s">
        <v>26</v>
      </c>
      <c r="G5824" s="54"/>
    </row>
    <row r="5825">
      <c r="A5825" s="49">
        <v>45082.374969375</v>
      </c>
      <c r="B5825" s="50">
        <v>45082.4999275231</v>
      </c>
      <c r="C5825" s="51">
        <v>1.005</v>
      </c>
      <c r="D5825" s="51">
        <v>67.0</v>
      </c>
      <c r="E5825" s="52" t="s">
        <v>25</v>
      </c>
      <c r="F5825" s="52" t="s">
        <v>26</v>
      </c>
      <c r="G5825" s="54"/>
    </row>
    <row r="5826">
      <c r="A5826" s="49">
        <v>45082.38542247685</v>
      </c>
      <c r="B5826" s="50">
        <v>45082.5103491666</v>
      </c>
      <c r="C5826" s="51">
        <v>1.005</v>
      </c>
      <c r="D5826" s="51">
        <v>67.0</v>
      </c>
      <c r="E5826" s="52" t="s">
        <v>25</v>
      </c>
      <c r="F5826" s="52" t="s">
        <v>26</v>
      </c>
      <c r="G5826" s="54"/>
    </row>
    <row r="5827">
      <c r="A5827" s="49">
        <v>45082.39583836806</v>
      </c>
      <c r="B5827" s="50">
        <v>45082.5207704166</v>
      </c>
      <c r="C5827" s="51">
        <v>1.005</v>
      </c>
      <c r="D5827" s="51">
        <v>67.0</v>
      </c>
      <c r="E5827" s="52" t="s">
        <v>25</v>
      </c>
      <c r="F5827" s="52" t="s">
        <v>26</v>
      </c>
      <c r="G5827" s="54"/>
    </row>
    <row r="5828">
      <c r="A5828" s="49">
        <v>45082.406265451384</v>
      </c>
      <c r="B5828" s="50">
        <v>45082.5312029166</v>
      </c>
      <c r="C5828" s="51">
        <v>1.006</v>
      </c>
      <c r="D5828" s="51">
        <v>67.0</v>
      </c>
      <c r="E5828" s="52" t="s">
        <v>25</v>
      </c>
      <c r="F5828" s="52" t="s">
        <v>26</v>
      </c>
      <c r="G5828" s="54"/>
    </row>
    <row r="5829">
      <c r="A5829" s="49">
        <v>45082.41669865741</v>
      </c>
      <c r="B5829" s="50">
        <v>45082.5416243171</v>
      </c>
      <c r="C5829" s="51">
        <v>1.006</v>
      </c>
      <c r="D5829" s="51">
        <v>67.0</v>
      </c>
      <c r="E5829" s="52" t="s">
        <v>25</v>
      </c>
      <c r="F5829" s="52" t="s">
        <v>26</v>
      </c>
      <c r="G5829" s="54"/>
    </row>
    <row r="5830">
      <c r="A5830" s="49">
        <v>45082.427120011576</v>
      </c>
      <c r="B5830" s="50">
        <v>45082.5520459953</v>
      </c>
      <c r="C5830" s="51">
        <v>1.006</v>
      </c>
      <c r="D5830" s="51">
        <v>67.0</v>
      </c>
      <c r="E5830" s="52" t="s">
        <v>25</v>
      </c>
      <c r="F5830" s="52" t="s">
        <v>26</v>
      </c>
      <c r="G5830" s="54"/>
    </row>
    <row r="5831">
      <c r="A5831" s="49">
        <v>45082.43753747686</v>
      </c>
      <c r="B5831" s="50">
        <v>45082.5624771759</v>
      </c>
      <c r="C5831" s="51">
        <v>1.005</v>
      </c>
      <c r="D5831" s="51">
        <v>67.0</v>
      </c>
      <c r="E5831" s="52" t="s">
        <v>25</v>
      </c>
      <c r="F5831" s="52" t="s">
        <v>26</v>
      </c>
      <c r="G5831" s="54"/>
    </row>
    <row r="5832">
      <c r="A5832" s="49">
        <v>45082.44798251157</v>
      </c>
      <c r="B5832" s="50">
        <v>45082.572918993</v>
      </c>
      <c r="C5832" s="51">
        <v>1.006</v>
      </c>
      <c r="D5832" s="51">
        <v>67.0</v>
      </c>
      <c r="E5832" s="52" t="s">
        <v>25</v>
      </c>
      <c r="F5832" s="52" t="s">
        <v>26</v>
      </c>
      <c r="G5832" s="54"/>
    </row>
    <row r="5833">
      <c r="A5833" s="49">
        <v>45082.458396111106</v>
      </c>
      <c r="B5833" s="50">
        <v>45082.5833408333</v>
      </c>
      <c r="C5833" s="51">
        <v>1.005</v>
      </c>
      <c r="D5833" s="51">
        <v>67.0</v>
      </c>
      <c r="E5833" s="52" t="s">
        <v>25</v>
      </c>
      <c r="F5833" s="52" t="s">
        <v>26</v>
      </c>
      <c r="G5833" s="54"/>
    </row>
    <row r="5834">
      <c r="A5834" s="49">
        <v>45082.468810590275</v>
      </c>
      <c r="B5834" s="50">
        <v>45082.593762118</v>
      </c>
      <c r="C5834" s="51">
        <v>1.006</v>
      </c>
      <c r="D5834" s="51">
        <v>67.0</v>
      </c>
      <c r="E5834" s="52" t="s">
        <v>25</v>
      </c>
      <c r="F5834" s="52" t="s">
        <v>26</v>
      </c>
      <c r="G5834" s="54"/>
    </row>
    <row r="5835">
      <c r="A5835" s="49">
        <v>45082.47924303241</v>
      </c>
      <c r="B5835" s="50">
        <v>45082.6041946064</v>
      </c>
      <c r="C5835" s="51">
        <v>1.005</v>
      </c>
      <c r="D5835" s="51">
        <v>67.0</v>
      </c>
      <c r="E5835" s="52" t="s">
        <v>25</v>
      </c>
      <c r="F5835" s="52" t="s">
        <v>26</v>
      </c>
      <c r="G5835" s="54"/>
    </row>
    <row r="5836">
      <c r="A5836" s="49">
        <v>45082.48966116898</v>
      </c>
      <c r="B5836" s="50">
        <v>45082.6146158217</v>
      </c>
      <c r="C5836" s="51">
        <v>1.005</v>
      </c>
      <c r="D5836" s="51">
        <v>67.0</v>
      </c>
      <c r="E5836" s="52" t="s">
        <v>25</v>
      </c>
      <c r="F5836" s="52" t="s">
        <v>26</v>
      </c>
      <c r="G5836" s="54"/>
    </row>
    <row r="5837">
      <c r="A5837" s="49">
        <v>45082.500077847224</v>
      </c>
      <c r="B5837" s="50">
        <v>45082.625036655</v>
      </c>
      <c r="C5837" s="51">
        <v>1.005</v>
      </c>
      <c r="D5837" s="51">
        <v>67.0</v>
      </c>
      <c r="E5837" s="52" t="s">
        <v>25</v>
      </c>
      <c r="F5837" s="52" t="s">
        <v>26</v>
      </c>
      <c r="G5837" s="54"/>
    </row>
    <row r="5838">
      <c r="A5838" s="49">
        <v>45082.51050070602</v>
      </c>
      <c r="B5838" s="50">
        <v>45082.6354685879</v>
      </c>
      <c r="C5838" s="51">
        <v>1.005</v>
      </c>
      <c r="D5838" s="51">
        <v>67.0</v>
      </c>
      <c r="E5838" s="52" t="s">
        <v>25</v>
      </c>
      <c r="F5838" s="52" t="s">
        <v>26</v>
      </c>
      <c r="G5838" s="54"/>
    </row>
    <row r="5839">
      <c r="A5839" s="49">
        <v>45082.52093013889</v>
      </c>
      <c r="B5839" s="50">
        <v>45082.6458913657</v>
      </c>
      <c r="C5839" s="51">
        <v>1.005</v>
      </c>
      <c r="D5839" s="51">
        <v>67.0</v>
      </c>
      <c r="E5839" s="52" t="s">
        <v>25</v>
      </c>
      <c r="F5839" s="52" t="s">
        <v>26</v>
      </c>
      <c r="G5839" s="54"/>
    </row>
    <row r="5840">
      <c r="A5840" s="49">
        <v>45082.53135483796</v>
      </c>
      <c r="B5840" s="50">
        <v>45082.656337118</v>
      </c>
      <c r="C5840" s="51">
        <v>1.005</v>
      </c>
      <c r="D5840" s="51">
        <v>67.0</v>
      </c>
      <c r="E5840" s="52" t="s">
        <v>25</v>
      </c>
      <c r="F5840" s="52" t="s">
        <v>26</v>
      </c>
      <c r="G5840" s="54"/>
    </row>
    <row r="5841">
      <c r="A5841" s="49">
        <v>45082.541784375004</v>
      </c>
      <c r="B5841" s="50">
        <v>45082.666758368</v>
      </c>
      <c r="C5841" s="51">
        <v>1.005</v>
      </c>
      <c r="D5841" s="51">
        <v>67.0</v>
      </c>
      <c r="E5841" s="52" t="s">
        <v>25</v>
      </c>
      <c r="F5841" s="52" t="s">
        <v>26</v>
      </c>
      <c r="G5841" s="54"/>
    </row>
    <row r="5842">
      <c r="A5842" s="49">
        <v>45082.552214560186</v>
      </c>
      <c r="B5842" s="50">
        <v>45082.6771784259</v>
      </c>
      <c r="C5842" s="51">
        <v>1.005</v>
      </c>
      <c r="D5842" s="51">
        <v>67.0</v>
      </c>
      <c r="E5842" s="52" t="s">
        <v>25</v>
      </c>
      <c r="F5842" s="52" t="s">
        <v>26</v>
      </c>
      <c r="G5842" s="54"/>
    </row>
    <row r="5843">
      <c r="A5843" s="49">
        <v>45082.56262693287</v>
      </c>
      <c r="B5843" s="50">
        <v>45082.6875989236</v>
      </c>
      <c r="C5843" s="51">
        <v>1.006</v>
      </c>
      <c r="D5843" s="51">
        <v>67.0</v>
      </c>
      <c r="E5843" s="52" t="s">
        <v>25</v>
      </c>
      <c r="F5843" s="52" t="s">
        <v>26</v>
      </c>
      <c r="G5843" s="54"/>
    </row>
    <row r="5844">
      <c r="A5844" s="49">
        <v>45082.573046805555</v>
      </c>
      <c r="B5844" s="50">
        <v>45082.6980176273</v>
      </c>
      <c r="C5844" s="51">
        <v>1.005</v>
      </c>
      <c r="D5844" s="51">
        <v>67.0</v>
      </c>
      <c r="E5844" s="52" t="s">
        <v>25</v>
      </c>
      <c r="F5844" s="52" t="s">
        <v>26</v>
      </c>
      <c r="G5844" s="54"/>
    </row>
    <row r="5845">
      <c r="A5845" s="49">
        <v>45082.58346898148</v>
      </c>
      <c r="B5845" s="50">
        <v>45082.708441412</v>
      </c>
      <c r="C5845" s="51">
        <v>1.005</v>
      </c>
      <c r="D5845" s="51">
        <v>67.0</v>
      </c>
      <c r="E5845" s="52" t="s">
        <v>25</v>
      </c>
      <c r="F5845" s="52" t="s">
        <v>26</v>
      </c>
      <c r="G5845" s="54"/>
    </row>
    <row r="5846">
      <c r="A5846" s="49">
        <v>45082.59390255787</v>
      </c>
      <c r="B5846" s="50">
        <v>45082.7188739004</v>
      </c>
      <c r="C5846" s="51">
        <v>1.005</v>
      </c>
      <c r="D5846" s="51">
        <v>67.0</v>
      </c>
      <c r="E5846" s="52" t="s">
        <v>25</v>
      </c>
      <c r="F5846" s="52" t="s">
        <v>26</v>
      </c>
      <c r="G5846" s="54"/>
    </row>
    <row r="5847">
      <c r="A5847" s="49">
        <v>45082.60432787037</v>
      </c>
      <c r="B5847" s="50">
        <v>45082.7292938773</v>
      </c>
      <c r="C5847" s="51">
        <v>1.005</v>
      </c>
      <c r="D5847" s="51">
        <v>67.0</v>
      </c>
      <c r="E5847" s="52" t="s">
        <v>25</v>
      </c>
      <c r="F5847" s="52" t="s">
        <v>26</v>
      </c>
      <c r="G5847" s="54"/>
    </row>
    <row r="5848">
      <c r="A5848" s="49">
        <v>45082.61475173611</v>
      </c>
      <c r="B5848" s="50">
        <v>45082.7397139351</v>
      </c>
      <c r="C5848" s="51">
        <v>1.005</v>
      </c>
      <c r="D5848" s="51">
        <v>67.0</v>
      </c>
      <c r="E5848" s="52" t="s">
        <v>25</v>
      </c>
      <c r="F5848" s="52" t="s">
        <v>26</v>
      </c>
      <c r="G5848" s="54"/>
    </row>
    <row r="5849">
      <c r="A5849" s="49">
        <v>45082.62517810185</v>
      </c>
      <c r="B5849" s="50">
        <v>45082.7501331134</v>
      </c>
      <c r="C5849" s="51">
        <v>1.006</v>
      </c>
      <c r="D5849" s="51">
        <v>67.0</v>
      </c>
      <c r="E5849" s="52" t="s">
        <v>25</v>
      </c>
      <c r="F5849" s="52" t="s">
        <v>26</v>
      </c>
      <c r="G5849" s="54"/>
    </row>
    <row r="5850">
      <c r="A5850" s="49">
        <v>45082.63559347222</v>
      </c>
      <c r="B5850" s="50">
        <v>45082.7605652314</v>
      </c>
      <c r="C5850" s="51">
        <v>1.005</v>
      </c>
      <c r="D5850" s="51">
        <v>67.0</v>
      </c>
      <c r="E5850" s="52" t="s">
        <v>25</v>
      </c>
      <c r="F5850" s="52" t="s">
        <v>26</v>
      </c>
      <c r="G5850" s="54"/>
    </row>
    <row r="5851">
      <c r="A5851" s="49">
        <v>45082.64602612269</v>
      </c>
      <c r="B5851" s="50">
        <v>45082.7709984953</v>
      </c>
      <c r="C5851" s="51">
        <v>1.006</v>
      </c>
      <c r="D5851" s="51">
        <v>67.0</v>
      </c>
      <c r="E5851" s="52" t="s">
        <v>25</v>
      </c>
      <c r="F5851" s="52" t="s">
        <v>26</v>
      </c>
      <c r="G5851" s="54"/>
    </row>
    <row r="5852">
      <c r="A5852" s="49">
        <v>45082.65645037037</v>
      </c>
      <c r="B5852" s="50">
        <v>45082.7814299305</v>
      </c>
      <c r="C5852" s="51">
        <v>1.006</v>
      </c>
      <c r="D5852" s="51">
        <v>67.0</v>
      </c>
      <c r="E5852" s="52" t="s">
        <v>25</v>
      </c>
      <c r="F5852" s="52" t="s">
        <v>26</v>
      </c>
      <c r="G5852" s="54"/>
    </row>
    <row r="5853">
      <c r="A5853" s="49">
        <v>45082.66687590278</v>
      </c>
      <c r="B5853" s="50">
        <v>45082.7918516435</v>
      </c>
      <c r="C5853" s="51">
        <v>1.006</v>
      </c>
      <c r="D5853" s="51">
        <v>67.0</v>
      </c>
      <c r="E5853" s="52" t="s">
        <v>25</v>
      </c>
      <c r="F5853" s="52" t="s">
        <v>26</v>
      </c>
      <c r="G5853" s="54"/>
    </row>
    <row r="5854">
      <c r="A5854" s="49">
        <v>45082.67730055556</v>
      </c>
      <c r="B5854" s="50">
        <v>45082.8022725231</v>
      </c>
      <c r="C5854" s="51">
        <v>1.005</v>
      </c>
      <c r="D5854" s="51">
        <v>67.0</v>
      </c>
      <c r="E5854" s="52" t="s">
        <v>25</v>
      </c>
      <c r="F5854" s="52" t="s">
        <v>26</v>
      </c>
      <c r="G5854" s="54"/>
    </row>
    <row r="5855">
      <c r="A5855" s="49">
        <v>45082.6877247338</v>
      </c>
      <c r="B5855" s="50">
        <v>45082.8126932291</v>
      </c>
      <c r="C5855" s="51">
        <v>1.005</v>
      </c>
      <c r="D5855" s="51">
        <v>67.0</v>
      </c>
      <c r="E5855" s="52" t="s">
        <v>25</v>
      </c>
      <c r="F5855" s="52" t="s">
        <v>26</v>
      </c>
      <c r="G5855" s="54"/>
    </row>
    <row r="5856">
      <c r="A5856" s="49">
        <v>45082.698143587964</v>
      </c>
      <c r="B5856" s="50">
        <v>45082.8231136805</v>
      </c>
      <c r="C5856" s="51">
        <v>1.005</v>
      </c>
      <c r="D5856" s="51">
        <v>67.0</v>
      </c>
      <c r="E5856" s="52" t="s">
        <v>25</v>
      </c>
      <c r="F5856" s="52" t="s">
        <v>26</v>
      </c>
      <c r="G5856" s="54"/>
    </row>
    <row r="5857">
      <c r="A5857" s="49">
        <v>45082.70858506944</v>
      </c>
      <c r="B5857" s="50">
        <v>45082.8335571643</v>
      </c>
      <c r="C5857" s="51">
        <v>1.006</v>
      </c>
      <c r="D5857" s="51">
        <v>67.0</v>
      </c>
      <c r="E5857" s="52" t="s">
        <v>25</v>
      </c>
      <c r="F5857" s="52" t="s">
        <v>26</v>
      </c>
      <c r="G5857" s="54"/>
    </row>
    <row r="5858">
      <c r="A5858" s="49">
        <v>45082.71899810185</v>
      </c>
      <c r="B5858" s="50">
        <v>45082.8439770601</v>
      </c>
      <c r="C5858" s="51">
        <v>1.005</v>
      </c>
      <c r="D5858" s="51">
        <v>67.0</v>
      </c>
      <c r="E5858" s="52" t="s">
        <v>25</v>
      </c>
      <c r="F5858" s="52" t="s">
        <v>26</v>
      </c>
      <c r="G5858" s="54"/>
    </row>
    <row r="5859">
      <c r="A5859" s="49">
        <v>45082.72941675926</v>
      </c>
      <c r="B5859" s="50">
        <v>45082.8543989583</v>
      </c>
      <c r="C5859" s="51">
        <v>1.005</v>
      </c>
      <c r="D5859" s="51">
        <v>67.0</v>
      </c>
      <c r="E5859" s="52" t="s">
        <v>25</v>
      </c>
      <c r="F5859" s="52" t="s">
        <v>26</v>
      </c>
      <c r="G5859" s="54"/>
    </row>
    <row r="5860">
      <c r="A5860" s="49">
        <v>45082.73984524306</v>
      </c>
      <c r="B5860" s="50">
        <v>45082.8648213657</v>
      </c>
      <c r="C5860" s="51">
        <v>1.005</v>
      </c>
      <c r="D5860" s="51">
        <v>67.0</v>
      </c>
      <c r="E5860" s="52" t="s">
        <v>25</v>
      </c>
      <c r="F5860" s="52" t="s">
        <v>26</v>
      </c>
      <c r="G5860" s="54"/>
    </row>
    <row r="5861">
      <c r="A5861" s="49">
        <v>45082.75028554398</v>
      </c>
      <c r="B5861" s="50">
        <v>45082.8752426851</v>
      </c>
      <c r="C5861" s="51">
        <v>1.005</v>
      </c>
      <c r="D5861" s="51">
        <v>67.0</v>
      </c>
      <c r="E5861" s="52" t="s">
        <v>25</v>
      </c>
      <c r="F5861" s="52" t="s">
        <v>26</v>
      </c>
      <c r="G5861" s="54"/>
    </row>
    <row r="5862">
      <c r="A5862" s="49">
        <v>45082.760690497686</v>
      </c>
      <c r="B5862" s="50">
        <v>45082.8856646412</v>
      </c>
      <c r="C5862" s="51">
        <v>1.005</v>
      </c>
      <c r="D5862" s="51">
        <v>67.0</v>
      </c>
      <c r="E5862" s="52" t="s">
        <v>25</v>
      </c>
      <c r="F5862" s="52" t="s">
        <v>26</v>
      </c>
      <c r="G5862" s="54"/>
    </row>
    <row r="5863">
      <c r="A5863" s="49">
        <v>45082.7711065162</v>
      </c>
      <c r="B5863" s="50">
        <v>45082.8960854166</v>
      </c>
      <c r="C5863" s="51">
        <v>1.005</v>
      </c>
      <c r="D5863" s="51">
        <v>67.0</v>
      </c>
      <c r="E5863" s="52" t="s">
        <v>25</v>
      </c>
      <c r="F5863" s="52" t="s">
        <v>26</v>
      </c>
      <c r="G5863" s="54"/>
    </row>
    <row r="5864">
      <c r="A5864" s="49">
        <v>45082.7815309375</v>
      </c>
      <c r="B5864" s="50">
        <v>45082.9065051851</v>
      </c>
      <c r="C5864" s="51">
        <v>1.006</v>
      </c>
      <c r="D5864" s="51">
        <v>67.0</v>
      </c>
      <c r="E5864" s="52" t="s">
        <v>25</v>
      </c>
      <c r="F5864" s="52" t="s">
        <v>26</v>
      </c>
      <c r="G5864" s="54"/>
    </row>
    <row r="5865">
      <c r="A5865" s="49">
        <v>45082.79195201389</v>
      </c>
      <c r="B5865" s="50">
        <v>45082.9169279513</v>
      </c>
      <c r="C5865" s="51">
        <v>1.005</v>
      </c>
      <c r="D5865" s="51">
        <v>67.0</v>
      </c>
      <c r="E5865" s="52" t="s">
        <v>25</v>
      </c>
      <c r="F5865" s="52" t="s">
        <v>26</v>
      </c>
      <c r="G5865" s="54"/>
    </row>
    <row r="5866">
      <c r="A5866" s="49">
        <v>45082.80239054398</v>
      </c>
      <c r="B5866" s="50">
        <v>45082.9273602199</v>
      </c>
      <c r="C5866" s="51">
        <v>1.005</v>
      </c>
      <c r="D5866" s="51">
        <v>67.0</v>
      </c>
      <c r="E5866" s="52" t="s">
        <v>25</v>
      </c>
      <c r="F5866" s="52" t="s">
        <v>26</v>
      </c>
      <c r="G5866" s="54"/>
    </row>
    <row r="5867">
      <c r="A5867" s="49">
        <v>45082.813328159726</v>
      </c>
      <c r="B5867" s="50">
        <v>45082.9377806481</v>
      </c>
      <c r="C5867" s="51">
        <v>1.005</v>
      </c>
      <c r="D5867" s="51">
        <v>67.0</v>
      </c>
      <c r="E5867" s="52" t="s">
        <v>25</v>
      </c>
      <c r="F5867" s="52" t="s">
        <v>26</v>
      </c>
      <c r="G5867" s="54"/>
    </row>
    <row r="5868">
      <c r="A5868" s="49">
        <v>45082.8232369676</v>
      </c>
      <c r="B5868" s="50">
        <v>45082.9482022222</v>
      </c>
      <c r="C5868" s="51">
        <v>1.005</v>
      </c>
      <c r="D5868" s="51">
        <v>67.0</v>
      </c>
      <c r="E5868" s="52" t="s">
        <v>25</v>
      </c>
      <c r="F5868" s="52" t="s">
        <v>26</v>
      </c>
      <c r="G5868" s="54"/>
    </row>
    <row r="5869">
      <c r="A5869" s="49">
        <v>45082.833646493054</v>
      </c>
      <c r="B5869" s="50">
        <v>45082.9586230555</v>
      </c>
      <c r="C5869" s="51">
        <v>1.005</v>
      </c>
      <c r="D5869" s="51">
        <v>67.0</v>
      </c>
      <c r="E5869" s="52" t="s">
        <v>25</v>
      </c>
      <c r="F5869" s="52" t="s">
        <v>26</v>
      </c>
      <c r="G5869" s="54"/>
    </row>
    <row r="5870">
      <c r="A5870" s="49">
        <v>45082.844064317134</v>
      </c>
      <c r="B5870" s="50">
        <v>45082.9690441551</v>
      </c>
      <c r="C5870" s="51">
        <v>1.005</v>
      </c>
      <c r="D5870" s="51">
        <v>67.0</v>
      </c>
      <c r="E5870" s="52" t="s">
        <v>25</v>
      </c>
      <c r="F5870" s="52" t="s">
        <v>26</v>
      </c>
      <c r="G5870" s="54"/>
    </row>
    <row r="5871">
      <c r="A5871" s="49">
        <v>45082.854490046295</v>
      </c>
      <c r="B5871" s="50">
        <v>45082.9794646412</v>
      </c>
      <c r="C5871" s="51">
        <v>1.005</v>
      </c>
      <c r="D5871" s="51">
        <v>67.0</v>
      </c>
      <c r="E5871" s="52" t="s">
        <v>25</v>
      </c>
      <c r="F5871" s="52" t="s">
        <v>26</v>
      </c>
      <c r="G5871" s="54"/>
    </row>
    <row r="5872">
      <c r="A5872" s="49">
        <v>45082.864908171294</v>
      </c>
      <c r="B5872" s="50">
        <v>45082.9898859375</v>
      </c>
      <c r="C5872" s="51">
        <v>1.005</v>
      </c>
      <c r="D5872" s="51">
        <v>67.0</v>
      </c>
      <c r="E5872" s="52" t="s">
        <v>25</v>
      </c>
      <c r="F5872" s="52" t="s">
        <v>26</v>
      </c>
      <c r="G5872" s="54"/>
    </row>
    <row r="5873">
      <c r="A5873" s="49">
        <v>45082.87533646991</v>
      </c>
      <c r="B5873" s="50">
        <v>45083.0003073032</v>
      </c>
      <c r="C5873" s="51">
        <v>1.005</v>
      </c>
      <c r="D5873" s="51">
        <v>67.0</v>
      </c>
      <c r="E5873" s="52" t="s">
        <v>25</v>
      </c>
      <c r="F5873" s="52" t="s">
        <v>26</v>
      </c>
      <c r="G5873" s="54"/>
    </row>
    <row r="5874">
      <c r="A5874" s="49">
        <v>45082.885752291666</v>
      </c>
      <c r="B5874" s="50">
        <v>45083.0107285763</v>
      </c>
      <c r="C5874" s="51">
        <v>1.005</v>
      </c>
      <c r="D5874" s="51">
        <v>67.0</v>
      </c>
      <c r="E5874" s="52" t="s">
        <v>25</v>
      </c>
      <c r="F5874" s="52" t="s">
        <v>26</v>
      </c>
      <c r="G5874" s="54"/>
    </row>
    <row r="5875">
      <c r="A5875" s="49">
        <v>45082.89617018518</v>
      </c>
      <c r="B5875" s="50">
        <v>45083.0211487152</v>
      </c>
      <c r="C5875" s="51">
        <v>1.005</v>
      </c>
      <c r="D5875" s="51">
        <v>67.0</v>
      </c>
      <c r="E5875" s="52" t="s">
        <v>25</v>
      </c>
      <c r="F5875" s="52" t="s">
        <v>26</v>
      </c>
      <c r="G5875" s="54"/>
    </row>
    <row r="5876">
      <c r="A5876" s="49">
        <v>45082.90660744213</v>
      </c>
      <c r="B5876" s="50">
        <v>45083.0315782754</v>
      </c>
      <c r="C5876" s="51">
        <v>1.006</v>
      </c>
      <c r="D5876" s="51">
        <v>67.0</v>
      </c>
      <c r="E5876" s="52" t="s">
        <v>25</v>
      </c>
      <c r="F5876" s="52" t="s">
        <v>26</v>
      </c>
      <c r="G5876" s="54"/>
    </row>
    <row r="5877">
      <c r="A5877" s="49">
        <v>45082.917039479165</v>
      </c>
      <c r="B5877" s="50">
        <v>45083.0420098495</v>
      </c>
      <c r="C5877" s="51">
        <v>1.005</v>
      </c>
      <c r="D5877" s="51">
        <v>67.0</v>
      </c>
      <c r="E5877" s="52" t="s">
        <v>25</v>
      </c>
      <c r="F5877" s="52" t="s">
        <v>26</v>
      </c>
      <c r="G5877" s="54"/>
    </row>
    <row r="5878">
      <c r="A5878" s="49">
        <v>45082.92746247685</v>
      </c>
      <c r="B5878" s="50">
        <v>45083.052440949</v>
      </c>
      <c r="C5878" s="51">
        <v>1.005</v>
      </c>
      <c r="D5878" s="51">
        <v>67.0</v>
      </c>
      <c r="E5878" s="52" t="s">
        <v>25</v>
      </c>
      <c r="F5878" s="52" t="s">
        <v>26</v>
      </c>
      <c r="G5878" s="54"/>
    </row>
    <row r="5879">
      <c r="A5879" s="49">
        <v>45082.937886099535</v>
      </c>
      <c r="B5879" s="50">
        <v>45083.0628632175</v>
      </c>
      <c r="C5879" s="51">
        <v>1.005</v>
      </c>
      <c r="D5879" s="51">
        <v>67.0</v>
      </c>
      <c r="E5879" s="52" t="s">
        <v>25</v>
      </c>
      <c r="F5879" s="52" t="s">
        <v>26</v>
      </c>
      <c r="G5879" s="54"/>
    </row>
    <row r="5880">
      <c r="A5880" s="49">
        <v>45082.94830876157</v>
      </c>
      <c r="B5880" s="50">
        <v>45083.0732833912</v>
      </c>
      <c r="C5880" s="51">
        <v>1.005</v>
      </c>
      <c r="D5880" s="51">
        <v>67.0</v>
      </c>
      <c r="E5880" s="52" t="s">
        <v>25</v>
      </c>
      <c r="F5880" s="52" t="s">
        <v>26</v>
      </c>
      <c r="G5880" s="54"/>
    </row>
    <row r="5881">
      <c r="A5881" s="49">
        <v>45082.95873398148</v>
      </c>
      <c r="B5881" s="50">
        <v>45083.0837057175</v>
      </c>
      <c r="C5881" s="51">
        <v>1.005</v>
      </c>
      <c r="D5881" s="51">
        <v>67.0</v>
      </c>
      <c r="E5881" s="52" t="s">
        <v>25</v>
      </c>
      <c r="F5881" s="52" t="s">
        <v>26</v>
      </c>
      <c r="G5881" s="54"/>
    </row>
    <row r="5882">
      <c r="A5882" s="49">
        <v>45082.96917016203</v>
      </c>
      <c r="B5882" s="50">
        <v>45083.0941387731</v>
      </c>
      <c r="C5882" s="51">
        <v>1.005</v>
      </c>
      <c r="D5882" s="51">
        <v>67.0</v>
      </c>
      <c r="E5882" s="52" t="s">
        <v>25</v>
      </c>
      <c r="F5882" s="52" t="s">
        <v>26</v>
      </c>
      <c r="G5882" s="54"/>
    </row>
    <row r="5883">
      <c r="A5883" s="49">
        <v>45082.97958950231</v>
      </c>
      <c r="B5883" s="50">
        <v>45083.1045597453</v>
      </c>
      <c r="C5883" s="51">
        <v>1.005</v>
      </c>
      <c r="D5883" s="51">
        <v>67.0</v>
      </c>
      <c r="E5883" s="52" t="s">
        <v>25</v>
      </c>
      <c r="F5883" s="52" t="s">
        <v>26</v>
      </c>
      <c r="G5883" s="54"/>
    </row>
    <row r="5884">
      <c r="A5884" s="49">
        <v>45082.99000806713</v>
      </c>
      <c r="B5884" s="50">
        <v>45083.1149823148</v>
      </c>
      <c r="C5884" s="51">
        <v>1.005</v>
      </c>
      <c r="D5884" s="51">
        <v>67.0</v>
      </c>
      <c r="E5884" s="52" t="s">
        <v>25</v>
      </c>
      <c r="F5884" s="52" t="s">
        <v>26</v>
      </c>
      <c r="G5884" s="54"/>
    </row>
    <row r="5885">
      <c r="A5885" s="49">
        <v>45083.000430960645</v>
      </c>
      <c r="B5885" s="50">
        <v>45083.1254028009</v>
      </c>
      <c r="C5885" s="51">
        <v>1.005</v>
      </c>
      <c r="D5885" s="51">
        <v>67.0</v>
      </c>
      <c r="E5885" s="52" t="s">
        <v>25</v>
      </c>
      <c r="F5885" s="52" t="s">
        <v>26</v>
      </c>
      <c r="G5885" s="54"/>
    </row>
    <row r="5886">
      <c r="A5886" s="49">
        <v>45083.01086540509</v>
      </c>
      <c r="B5886" s="50">
        <v>45083.1358348264</v>
      </c>
      <c r="C5886" s="51">
        <v>1.005</v>
      </c>
      <c r="D5886" s="51">
        <v>67.0</v>
      </c>
      <c r="E5886" s="52" t="s">
        <v>25</v>
      </c>
      <c r="F5886" s="52" t="s">
        <v>26</v>
      </c>
      <c r="G5886" s="54"/>
    </row>
    <row r="5887">
      <c r="A5887" s="49">
        <v>45083.02127982639</v>
      </c>
      <c r="B5887" s="50">
        <v>45083.1462552199</v>
      </c>
      <c r="C5887" s="51">
        <v>1.005</v>
      </c>
      <c r="D5887" s="51">
        <v>67.0</v>
      </c>
      <c r="E5887" s="52" t="s">
        <v>25</v>
      </c>
      <c r="F5887" s="52" t="s">
        <v>26</v>
      </c>
      <c r="G5887" s="54"/>
    </row>
    <row r="5888">
      <c r="A5888" s="49">
        <v>45083.03171858796</v>
      </c>
      <c r="B5888" s="50">
        <v>45083.1566990046</v>
      </c>
      <c r="C5888" s="51">
        <v>1.006</v>
      </c>
      <c r="D5888" s="51">
        <v>67.0</v>
      </c>
      <c r="E5888" s="52" t="s">
        <v>25</v>
      </c>
      <c r="F5888" s="52" t="s">
        <v>26</v>
      </c>
      <c r="G5888" s="54"/>
    </row>
    <row r="5889">
      <c r="A5889" s="49">
        <v>45083.042149155095</v>
      </c>
      <c r="B5889" s="50">
        <v>45083.1671207291</v>
      </c>
      <c r="C5889" s="51">
        <v>1.005</v>
      </c>
      <c r="D5889" s="51">
        <v>67.0</v>
      </c>
      <c r="E5889" s="52" t="s">
        <v>25</v>
      </c>
      <c r="F5889" s="52" t="s">
        <v>26</v>
      </c>
      <c r="G5889" s="54"/>
    </row>
    <row r="5890">
      <c r="A5890" s="49">
        <v>45083.05256459491</v>
      </c>
      <c r="B5890" s="50">
        <v>45083.1775414699</v>
      </c>
      <c r="C5890" s="51">
        <v>1.006</v>
      </c>
      <c r="D5890" s="51">
        <v>67.0</v>
      </c>
      <c r="E5890" s="52" t="s">
        <v>25</v>
      </c>
      <c r="F5890" s="52" t="s">
        <v>26</v>
      </c>
      <c r="G5890" s="54"/>
    </row>
    <row r="5891">
      <c r="A5891" s="49">
        <v>45083.062994328706</v>
      </c>
      <c r="B5891" s="50">
        <v>45083.187963368</v>
      </c>
      <c r="C5891" s="51">
        <v>1.005</v>
      </c>
      <c r="D5891" s="51">
        <v>67.0</v>
      </c>
      <c r="E5891" s="52" t="s">
        <v>25</v>
      </c>
      <c r="F5891" s="52" t="s">
        <v>26</v>
      </c>
      <c r="G5891" s="54"/>
    </row>
    <row r="5892">
      <c r="A5892" s="49">
        <v>45083.07340847222</v>
      </c>
      <c r="B5892" s="50">
        <v>45083.1983828703</v>
      </c>
      <c r="C5892" s="51">
        <v>1.005</v>
      </c>
      <c r="D5892" s="51">
        <v>67.0</v>
      </c>
      <c r="E5892" s="52" t="s">
        <v>25</v>
      </c>
      <c r="F5892" s="52" t="s">
        <v>26</v>
      </c>
      <c r="G5892" s="54"/>
    </row>
    <row r="5893">
      <c r="A5893" s="49">
        <v>45083.083834895835</v>
      </c>
      <c r="B5893" s="50">
        <v>45083.2088023726</v>
      </c>
      <c r="C5893" s="51">
        <v>1.005</v>
      </c>
      <c r="D5893" s="51">
        <v>67.0</v>
      </c>
      <c r="E5893" s="52" t="s">
        <v>25</v>
      </c>
      <c r="F5893" s="52" t="s">
        <v>26</v>
      </c>
      <c r="G5893" s="54"/>
    </row>
    <row r="5894">
      <c r="A5894" s="49">
        <v>45083.09424332176</v>
      </c>
      <c r="B5894" s="50">
        <v>45083.2192228588</v>
      </c>
      <c r="C5894" s="51">
        <v>1.005</v>
      </c>
      <c r="D5894" s="51">
        <v>67.0</v>
      </c>
      <c r="E5894" s="52" t="s">
        <v>25</v>
      </c>
      <c r="F5894" s="52" t="s">
        <v>26</v>
      </c>
      <c r="G5894" s="54"/>
    </row>
    <row r="5895">
      <c r="A5895" s="49">
        <v>45083.104671215275</v>
      </c>
      <c r="B5895" s="50">
        <v>45083.2296448263</v>
      </c>
      <c r="C5895" s="51">
        <v>1.005</v>
      </c>
      <c r="D5895" s="51">
        <v>67.0</v>
      </c>
      <c r="E5895" s="52" t="s">
        <v>25</v>
      </c>
      <c r="F5895" s="52" t="s">
        <v>26</v>
      </c>
      <c r="G5895" s="54"/>
    </row>
    <row r="5896">
      <c r="A5896" s="49">
        <v>45083.11509502315</v>
      </c>
      <c r="B5896" s="50">
        <v>45083.2400647453</v>
      </c>
      <c r="C5896" s="51">
        <v>1.005</v>
      </c>
      <c r="D5896" s="51">
        <v>67.0</v>
      </c>
      <c r="E5896" s="52" t="s">
        <v>25</v>
      </c>
      <c r="F5896" s="52" t="s">
        <v>26</v>
      </c>
      <c r="G5896" s="54"/>
    </row>
    <row r="5897">
      <c r="A5897" s="49">
        <v>45083.1255084375</v>
      </c>
      <c r="B5897" s="50">
        <v>45083.2504856828</v>
      </c>
      <c r="C5897" s="51">
        <v>1.005</v>
      </c>
      <c r="D5897" s="51">
        <v>67.0</v>
      </c>
      <c r="E5897" s="52" t="s">
        <v>25</v>
      </c>
      <c r="F5897" s="52" t="s">
        <v>26</v>
      </c>
      <c r="G5897" s="54"/>
    </row>
    <row r="5898">
      <c r="A5898" s="49">
        <v>45083.13593074074</v>
      </c>
      <c r="B5898" s="50">
        <v>45083.2609065509</v>
      </c>
      <c r="C5898" s="51">
        <v>1.005</v>
      </c>
      <c r="D5898" s="51">
        <v>67.0</v>
      </c>
      <c r="E5898" s="52" t="s">
        <v>25</v>
      </c>
      <c r="F5898" s="52" t="s">
        <v>26</v>
      </c>
      <c r="G5898" s="54"/>
    </row>
    <row r="5899">
      <c r="A5899" s="49">
        <v>45083.146389375004</v>
      </c>
      <c r="B5899" s="50">
        <v>45083.2713620486</v>
      </c>
      <c r="C5899" s="51">
        <v>1.005</v>
      </c>
      <c r="D5899" s="51">
        <v>67.0</v>
      </c>
      <c r="E5899" s="52" t="s">
        <v>25</v>
      </c>
      <c r="F5899" s="52" t="s">
        <v>26</v>
      </c>
      <c r="G5899" s="54"/>
    </row>
    <row r="5900">
      <c r="A5900" s="49">
        <v>45083.156814675924</v>
      </c>
      <c r="B5900" s="50">
        <v>45083.2817831828</v>
      </c>
      <c r="C5900" s="51">
        <v>1.005</v>
      </c>
      <c r="D5900" s="51">
        <v>67.0</v>
      </c>
      <c r="E5900" s="52" t="s">
        <v>25</v>
      </c>
      <c r="F5900" s="52" t="s">
        <v>26</v>
      </c>
      <c r="G5900" s="54"/>
    </row>
    <row r="5901">
      <c r="A5901" s="49">
        <v>45083.16723299769</v>
      </c>
      <c r="B5901" s="50">
        <v>45083.2922036226</v>
      </c>
      <c r="C5901" s="51">
        <v>1.005</v>
      </c>
      <c r="D5901" s="51">
        <v>67.0</v>
      </c>
      <c r="E5901" s="52" t="s">
        <v>25</v>
      </c>
      <c r="F5901" s="52" t="s">
        <v>26</v>
      </c>
      <c r="G5901" s="54"/>
    </row>
    <row r="5902">
      <c r="A5902" s="49">
        <v>45083.17765543982</v>
      </c>
      <c r="B5902" s="50">
        <v>45083.302625787</v>
      </c>
      <c r="C5902" s="51">
        <v>1.005</v>
      </c>
      <c r="D5902" s="51">
        <v>67.0</v>
      </c>
      <c r="E5902" s="52" t="s">
        <v>25</v>
      </c>
      <c r="F5902" s="52" t="s">
        <v>26</v>
      </c>
      <c r="G5902" s="54"/>
    </row>
    <row r="5903">
      <c r="A5903" s="49">
        <v>45083.188080231484</v>
      </c>
      <c r="B5903" s="50">
        <v>45083.3130583101</v>
      </c>
      <c r="C5903" s="51">
        <v>1.005</v>
      </c>
      <c r="D5903" s="51">
        <v>67.0</v>
      </c>
      <c r="E5903" s="52" t="s">
        <v>25</v>
      </c>
      <c r="F5903" s="52" t="s">
        <v>26</v>
      </c>
      <c r="G5903" s="54"/>
    </row>
    <row r="5904">
      <c r="A5904" s="49">
        <v>45083.19850856482</v>
      </c>
      <c r="B5904" s="50">
        <v>45083.3234791898</v>
      </c>
      <c r="C5904" s="51">
        <v>1.005</v>
      </c>
      <c r="D5904" s="51">
        <v>67.0</v>
      </c>
      <c r="E5904" s="52" t="s">
        <v>25</v>
      </c>
      <c r="F5904" s="52" t="s">
        <v>26</v>
      </c>
      <c r="G5904" s="54"/>
    </row>
    <row r="5905">
      <c r="A5905" s="49">
        <v>45083.2089421875</v>
      </c>
      <c r="B5905" s="50">
        <v>45083.3339119791</v>
      </c>
      <c r="C5905" s="51">
        <v>1.005</v>
      </c>
      <c r="D5905" s="51">
        <v>67.0</v>
      </c>
      <c r="E5905" s="52" t="s">
        <v>25</v>
      </c>
      <c r="F5905" s="52" t="s">
        <v>26</v>
      </c>
      <c r="G5905" s="54"/>
    </row>
    <row r="5906">
      <c r="A5906" s="49">
        <v>45083.21936020833</v>
      </c>
      <c r="B5906" s="50">
        <v>45083.3443325578</v>
      </c>
      <c r="C5906" s="51">
        <v>1.005</v>
      </c>
      <c r="D5906" s="51">
        <v>67.0</v>
      </c>
      <c r="E5906" s="52" t="s">
        <v>25</v>
      </c>
      <c r="F5906" s="52" t="s">
        <v>26</v>
      </c>
      <c r="G5906" s="54"/>
    </row>
    <row r="5907">
      <c r="A5907" s="49">
        <v>45083.22977666667</v>
      </c>
      <c r="B5907" s="50">
        <v>45083.3547545949</v>
      </c>
      <c r="C5907" s="51">
        <v>1.005</v>
      </c>
      <c r="D5907" s="51">
        <v>67.0</v>
      </c>
      <c r="E5907" s="52" t="s">
        <v>25</v>
      </c>
      <c r="F5907" s="52" t="s">
        <v>26</v>
      </c>
      <c r="G5907" s="54"/>
    </row>
    <row r="5908">
      <c r="A5908" s="49">
        <v>45083.240207511575</v>
      </c>
      <c r="B5908" s="50">
        <v>45083.3651738194</v>
      </c>
      <c r="C5908" s="51">
        <v>1.005</v>
      </c>
      <c r="D5908" s="51">
        <v>67.0</v>
      </c>
      <c r="E5908" s="52" t="s">
        <v>25</v>
      </c>
      <c r="F5908" s="52" t="s">
        <v>26</v>
      </c>
      <c r="G5908" s="54"/>
    </row>
    <row r="5909">
      <c r="A5909" s="49">
        <v>45083.250643657404</v>
      </c>
      <c r="B5909" s="50">
        <v>45083.3756171875</v>
      </c>
      <c r="C5909" s="51">
        <v>1.005</v>
      </c>
      <c r="D5909" s="51">
        <v>67.0</v>
      </c>
      <c r="E5909" s="52" t="s">
        <v>25</v>
      </c>
      <c r="F5909" s="52" t="s">
        <v>26</v>
      </c>
      <c r="G5909" s="54"/>
    </row>
    <row r="5910">
      <c r="A5910" s="49">
        <v>45083.26105945602</v>
      </c>
      <c r="B5910" s="50">
        <v>45083.3860390046</v>
      </c>
      <c r="C5910" s="51">
        <v>1.005</v>
      </c>
      <c r="D5910" s="51">
        <v>67.0</v>
      </c>
      <c r="E5910" s="52" t="s">
        <v>25</v>
      </c>
      <c r="F5910" s="52" t="s">
        <v>26</v>
      </c>
      <c r="G5910" s="54"/>
    </row>
    <row r="5911">
      <c r="A5911" s="49">
        <v>45083.27148739583</v>
      </c>
      <c r="B5911" s="50">
        <v>45083.3964595717</v>
      </c>
      <c r="C5911" s="51">
        <v>1.005</v>
      </c>
      <c r="D5911" s="51">
        <v>67.0</v>
      </c>
      <c r="E5911" s="52" t="s">
        <v>25</v>
      </c>
      <c r="F5911" s="52" t="s">
        <v>26</v>
      </c>
      <c r="G5911" s="54"/>
    </row>
    <row r="5912">
      <c r="A5912" s="49">
        <v>45083.28190930556</v>
      </c>
      <c r="B5912" s="50">
        <v>45083.4068803703</v>
      </c>
      <c r="C5912" s="51">
        <v>1.005</v>
      </c>
      <c r="D5912" s="51">
        <v>67.0</v>
      </c>
      <c r="E5912" s="52" t="s">
        <v>25</v>
      </c>
      <c r="F5912" s="52" t="s">
        <v>26</v>
      </c>
      <c r="G5912" s="54"/>
    </row>
    <row r="5913">
      <c r="A5913" s="49">
        <v>45083.29234436342</v>
      </c>
      <c r="B5913" s="50">
        <v>45083.4173139004</v>
      </c>
      <c r="C5913" s="51">
        <v>1.005</v>
      </c>
      <c r="D5913" s="51">
        <v>67.0</v>
      </c>
      <c r="E5913" s="52" t="s">
        <v>25</v>
      </c>
      <c r="F5913" s="52" t="s">
        <v>26</v>
      </c>
      <c r="G5913" s="54"/>
    </row>
    <row r="5914">
      <c r="A5914" s="49">
        <v>45083.30279083333</v>
      </c>
      <c r="B5914" s="50">
        <v>45083.427757743</v>
      </c>
      <c r="C5914" s="51">
        <v>1.005</v>
      </c>
      <c r="D5914" s="51">
        <v>67.0</v>
      </c>
      <c r="E5914" s="52" t="s">
        <v>25</v>
      </c>
      <c r="F5914" s="52" t="s">
        <v>26</v>
      </c>
      <c r="G5914" s="54"/>
    </row>
    <row r="5915">
      <c r="A5915" s="49">
        <v>45083.31320260417</v>
      </c>
      <c r="B5915" s="50">
        <v>45083.4381780555</v>
      </c>
      <c r="C5915" s="51">
        <v>1.005</v>
      </c>
      <c r="D5915" s="51">
        <v>67.0</v>
      </c>
      <c r="E5915" s="52" t="s">
        <v>25</v>
      </c>
      <c r="F5915" s="52" t="s">
        <v>26</v>
      </c>
      <c r="G5915" s="54"/>
    </row>
    <row r="5916">
      <c r="A5916" s="49">
        <v>45083.323628831015</v>
      </c>
      <c r="B5916" s="50">
        <v>45083.4486003703</v>
      </c>
      <c r="C5916" s="51">
        <v>1.005</v>
      </c>
      <c r="D5916" s="51">
        <v>67.0</v>
      </c>
      <c r="E5916" s="52" t="s">
        <v>25</v>
      </c>
      <c r="F5916" s="52" t="s">
        <v>26</v>
      </c>
      <c r="G5916" s="54"/>
    </row>
    <row r="5917">
      <c r="A5917" s="49">
        <v>45083.33404994213</v>
      </c>
      <c r="B5917" s="50">
        <v>45083.4590212963</v>
      </c>
      <c r="C5917" s="51">
        <v>1.005</v>
      </c>
      <c r="D5917" s="51">
        <v>67.0</v>
      </c>
      <c r="E5917" s="52" t="s">
        <v>25</v>
      </c>
      <c r="F5917" s="52" t="s">
        <v>26</v>
      </c>
      <c r="G5917" s="54"/>
    </row>
    <row r="5918">
      <c r="A5918" s="49">
        <v>45083.344477280094</v>
      </c>
      <c r="B5918" s="50">
        <v>45083.4694545601</v>
      </c>
      <c r="C5918" s="51">
        <v>1.005</v>
      </c>
      <c r="D5918" s="51">
        <v>67.0</v>
      </c>
      <c r="E5918" s="52" t="s">
        <v>25</v>
      </c>
      <c r="F5918" s="52" t="s">
        <v>26</v>
      </c>
      <c r="G5918" s="54"/>
    </row>
    <row r="5919">
      <c r="A5919" s="49">
        <v>45083.35491869213</v>
      </c>
      <c r="B5919" s="50">
        <v>45083.479888125</v>
      </c>
      <c r="C5919" s="51">
        <v>1.005</v>
      </c>
      <c r="D5919" s="51">
        <v>67.0</v>
      </c>
      <c r="E5919" s="52" t="s">
        <v>25</v>
      </c>
      <c r="F5919" s="52" t="s">
        <v>26</v>
      </c>
      <c r="G5919" s="54"/>
    </row>
    <row r="5920">
      <c r="A5920" s="49">
        <v>45083.365333344904</v>
      </c>
      <c r="B5920" s="50">
        <v>45083.4903084953</v>
      </c>
      <c r="C5920" s="51">
        <v>1.005</v>
      </c>
      <c r="D5920" s="51">
        <v>67.0</v>
      </c>
      <c r="E5920" s="52" t="s">
        <v>25</v>
      </c>
      <c r="F5920" s="52" t="s">
        <v>26</v>
      </c>
      <c r="G5920" s="54"/>
    </row>
    <row r="5921">
      <c r="A5921" s="49">
        <v>45083.375752418986</v>
      </c>
      <c r="B5921" s="50">
        <v>45083.5007282175</v>
      </c>
      <c r="C5921" s="51">
        <v>1.005</v>
      </c>
      <c r="D5921" s="51">
        <v>67.0</v>
      </c>
      <c r="E5921" s="52" t="s">
        <v>25</v>
      </c>
      <c r="F5921" s="52" t="s">
        <v>26</v>
      </c>
      <c r="G5921" s="54"/>
    </row>
    <row r="5922">
      <c r="A5922" s="49">
        <v>45083.38617164352</v>
      </c>
      <c r="B5922" s="50">
        <v>45083.5111498032</v>
      </c>
      <c r="C5922" s="51">
        <v>1.005</v>
      </c>
      <c r="D5922" s="51">
        <v>67.0</v>
      </c>
      <c r="E5922" s="52" t="s">
        <v>25</v>
      </c>
      <c r="F5922" s="52" t="s">
        <v>26</v>
      </c>
      <c r="G5922" s="54"/>
    </row>
    <row r="5923">
      <c r="A5923" s="49">
        <v>45083.396614363424</v>
      </c>
      <c r="B5923" s="50">
        <v>45083.521592743</v>
      </c>
      <c r="C5923" s="51">
        <v>1.005</v>
      </c>
      <c r="D5923" s="51">
        <v>67.0</v>
      </c>
      <c r="E5923" s="52" t="s">
        <v>25</v>
      </c>
      <c r="F5923" s="52" t="s">
        <v>26</v>
      </c>
      <c r="G5923" s="54"/>
    </row>
    <row r="5924">
      <c r="A5924" s="49">
        <v>45083.40703283565</v>
      </c>
      <c r="B5924" s="50">
        <v>45083.5320145486</v>
      </c>
      <c r="C5924" s="51">
        <v>1.005</v>
      </c>
      <c r="D5924" s="51">
        <v>67.0</v>
      </c>
      <c r="E5924" s="52" t="s">
        <v>25</v>
      </c>
      <c r="F5924" s="52" t="s">
        <v>26</v>
      </c>
      <c r="G5924" s="54"/>
    </row>
    <row r="5925">
      <c r="A5925" s="49">
        <v>45083.41746503473</v>
      </c>
      <c r="B5925" s="50">
        <v>45083.5424362037</v>
      </c>
      <c r="C5925" s="51">
        <v>1.005</v>
      </c>
      <c r="D5925" s="51">
        <v>67.0</v>
      </c>
      <c r="E5925" s="52" t="s">
        <v>25</v>
      </c>
      <c r="F5925" s="52" t="s">
        <v>26</v>
      </c>
      <c r="G5925" s="54"/>
    </row>
    <row r="5926">
      <c r="A5926" s="49">
        <v>45083.42788859954</v>
      </c>
      <c r="B5926" s="50">
        <v>45083.5528587847</v>
      </c>
      <c r="C5926" s="51">
        <v>1.005</v>
      </c>
      <c r="D5926" s="51">
        <v>67.0</v>
      </c>
      <c r="E5926" s="52" t="s">
        <v>25</v>
      </c>
      <c r="F5926" s="52" t="s">
        <v>26</v>
      </c>
      <c r="G5926" s="54"/>
    </row>
    <row r="5927">
      <c r="A5927" s="49">
        <v>45083.43829979167</v>
      </c>
      <c r="B5927" s="50">
        <v>45083.5632799074</v>
      </c>
      <c r="C5927" s="51">
        <v>1.005</v>
      </c>
      <c r="D5927" s="51">
        <v>67.0</v>
      </c>
      <c r="E5927" s="52" t="s">
        <v>25</v>
      </c>
      <c r="F5927" s="52" t="s">
        <v>26</v>
      </c>
      <c r="G5927" s="54"/>
    </row>
    <row r="5928">
      <c r="A5928" s="49">
        <v>45083.44872666667</v>
      </c>
      <c r="B5928" s="50">
        <v>45083.5737004051</v>
      </c>
      <c r="C5928" s="51">
        <v>1.005</v>
      </c>
      <c r="D5928" s="51">
        <v>67.0</v>
      </c>
      <c r="E5928" s="52" t="s">
        <v>25</v>
      </c>
      <c r="F5928" s="52" t="s">
        <v>26</v>
      </c>
      <c r="G5928" s="54"/>
    </row>
    <row r="5929">
      <c r="A5929" s="49">
        <v>45083.45915086806</v>
      </c>
      <c r="B5929" s="50">
        <v>45083.5841207638</v>
      </c>
      <c r="C5929" s="51">
        <v>1.005</v>
      </c>
      <c r="D5929" s="51">
        <v>67.0</v>
      </c>
      <c r="E5929" s="52" t="s">
        <v>25</v>
      </c>
      <c r="F5929" s="52" t="s">
        <v>26</v>
      </c>
      <c r="G5929" s="54"/>
    </row>
    <row r="5930">
      <c r="A5930" s="49">
        <v>45083.469569293986</v>
      </c>
      <c r="B5930" s="50">
        <v>45083.5945409143</v>
      </c>
      <c r="C5930" s="51">
        <v>1.005</v>
      </c>
      <c r="D5930" s="51">
        <v>67.0</v>
      </c>
      <c r="E5930" s="52" t="s">
        <v>25</v>
      </c>
      <c r="F5930" s="52" t="s">
        <v>26</v>
      </c>
      <c r="G5930" s="54"/>
    </row>
    <row r="5931">
      <c r="A5931" s="49">
        <v>45083.479984791666</v>
      </c>
      <c r="B5931" s="50">
        <v>45083.6049608796</v>
      </c>
      <c r="C5931" s="51">
        <v>1.005</v>
      </c>
      <c r="D5931" s="51">
        <v>67.0</v>
      </c>
      <c r="E5931" s="52" t="s">
        <v>25</v>
      </c>
      <c r="F5931" s="52" t="s">
        <v>26</v>
      </c>
      <c r="G5931" s="54"/>
    </row>
    <row r="5932">
      <c r="A5932" s="49">
        <v>45083.49042447917</v>
      </c>
      <c r="B5932" s="50">
        <v>45083.6153940277</v>
      </c>
      <c r="C5932" s="51">
        <v>1.005</v>
      </c>
      <c r="D5932" s="51">
        <v>67.0</v>
      </c>
      <c r="E5932" s="52" t="s">
        <v>25</v>
      </c>
      <c r="F5932" s="52" t="s">
        <v>26</v>
      </c>
      <c r="G5932" s="54"/>
    </row>
    <row r="5933">
      <c r="A5933" s="49">
        <v>45083.500841284724</v>
      </c>
      <c r="B5933" s="50">
        <v>45083.6258149768</v>
      </c>
      <c r="C5933" s="51">
        <v>1.005</v>
      </c>
      <c r="D5933" s="51">
        <v>67.0</v>
      </c>
      <c r="E5933" s="52" t="s">
        <v>25</v>
      </c>
      <c r="F5933" s="52" t="s">
        <v>26</v>
      </c>
      <c r="G5933" s="54"/>
    </row>
    <row r="5934">
      <c r="A5934" s="49">
        <v>45083.51125622685</v>
      </c>
      <c r="B5934" s="50">
        <v>45083.6362348495</v>
      </c>
      <c r="C5934" s="51">
        <v>1.005</v>
      </c>
      <c r="D5934" s="51">
        <v>67.0</v>
      </c>
      <c r="E5934" s="52" t="s">
        <v>25</v>
      </c>
      <c r="F5934" s="52" t="s">
        <v>26</v>
      </c>
      <c r="G5934" s="54"/>
    </row>
    <row r="5935">
      <c r="A5935" s="49">
        <v>45083.52168657407</v>
      </c>
      <c r="B5935" s="50">
        <v>45083.6466564351</v>
      </c>
      <c r="C5935" s="51">
        <v>1.005</v>
      </c>
      <c r="D5935" s="51">
        <v>67.0</v>
      </c>
      <c r="E5935" s="52" t="s">
        <v>25</v>
      </c>
      <c r="F5935" s="52" t="s">
        <v>26</v>
      </c>
      <c r="G5935" s="54"/>
    </row>
    <row r="5936">
      <c r="A5936" s="49">
        <v>45083.53210415509</v>
      </c>
      <c r="B5936" s="50">
        <v>45083.6570762384</v>
      </c>
      <c r="C5936" s="51">
        <v>1.005</v>
      </c>
      <c r="D5936" s="51">
        <v>67.0</v>
      </c>
      <c r="E5936" s="52" t="s">
        <v>25</v>
      </c>
      <c r="F5936" s="52" t="s">
        <v>26</v>
      </c>
      <c r="G5936" s="54"/>
    </row>
    <row r="5937">
      <c r="A5937" s="49">
        <v>45083.5425233912</v>
      </c>
      <c r="B5937" s="50">
        <v>45083.6674952546</v>
      </c>
      <c r="C5937" s="51">
        <v>1.005</v>
      </c>
      <c r="D5937" s="51">
        <v>67.0</v>
      </c>
      <c r="E5937" s="52" t="s">
        <v>25</v>
      </c>
      <c r="F5937" s="52" t="s">
        <v>26</v>
      </c>
      <c r="G5937" s="54"/>
    </row>
    <row r="5938">
      <c r="A5938" s="49">
        <v>45083.55294054398</v>
      </c>
      <c r="B5938" s="50">
        <v>45083.6779166782</v>
      </c>
      <c r="C5938" s="51">
        <v>1.005</v>
      </c>
      <c r="D5938" s="51">
        <v>67.0</v>
      </c>
      <c r="E5938" s="52" t="s">
        <v>25</v>
      </c>
      <c r="F5938" s="52" t="s">
        <v>26</v>
      </c>
      <c r="G5938" s="54"/>
    </row>
    <row r="5939">
      <c r="A5939" s="49">
        <v>45083.563363657406</v>
      </c>
      <c r="B5939" s="50">
        <v>45083.6883386458</v>
      </c>
      <c r="C5939" s="51">
        <v>1.005</v>
      </c>
      <c r="D5939" s="51">
        <v>67.0</v>
      </c>
      <c r="E5939" s="52" t="s">
        <v>25</v>
      </c>
      <c r="F5939" s="52" t="s">
        <v>26</v>
      </c>
      <c r="G5939" s="54"/>
    </row>
    <row r="5940">
      <c r="A5940" s="49">
        <v>45083.57380067129</v>
      </c>
      <c r="B5940" s="50">
        <v>45083.6987730902</v>
      </c>
      <c r="C5940" s="51">
        <v>1.005</v>
      </c>
      <c r="D5940" s="51">
        <v>67.0</v>
      </c>
      <c r="E5940" s="52" t="s">
        <v>25</v>
      </c>
      <c r="F5940" s="52" t="s">
        <v>26</v>
      </c>
      <c r="G5940" s="54"/>
    </row>
    <row r="5941">
      <c r="A5941" s="49">
        <v>45083.58422070602</v>
      </c>
      <c r="B5941" s="50">
        <v>45083.7091944097</v>
      </c>
      <c r="C5941" s="51">
        <v>1.005</v>
      </c>
      <c r="D5941" s="51">
        <v>67.0</v>
      </c>
      <c r="E5941" s="52" t="s">
        <v>25</v>
      </c>
      <c r="F5941" s="52" t="s">
        <v>26</v>
      </c>
      <c r="G5941" s="54"/>
    </row>
    <row r="5942">
      <c r="A5942" s="49">
        <v>45083.59463847222</v>
      </c>
      <c r="B5942" s="50">
        <v>45083.7196143055</v>
      </c>
      <c r="C5942" s="51">
        <v>1.005</v>
      </c>
      <c r="D5942" s="51">
        <v>67.0</v>
      </c>
      <c r="E5942" s="52" t="s">
        <v>25</v>
      </c>
      <c r="F5942" s="52" t="s">
        <v>26</v>
      </c>
      <c r="G5942" s="54"/>
    </row>
    <row r="5943">
      <c r="A5943" s="49">
        <v>45083.605061608796</v>
      </c>
      <c r="B5943" s="50">
        <v>45083.7300355324</v>
      </c>
      <c r="C5943" s="51">
        <v>1.005</v>
      </c>
      <c r="D5943" s="51">
        <v>67.0</v>
      </c>
      <c r="E5943" s="52" t="s">
        <v>25</v>
      </c>
      <c r="F5943" s="52" t="s">
        <v>26</v>
      </c>
      <c r="G5943" s="54"/>
    </row>
    <row r="5944">
      <c r="A5944" s="49">
        <v>45083.61551038195</v>
      </c>
      <c r="B5944" s="50">
        <v>45083.7404807176</v>
      </c>
      <c r="C5944" s="51">
        <v>1.005</v>
      </c>
      <c r="D5944" s="51">
        <v>67.0</v>
      </c>
      <c r="E5944" s="52" t="s">
        <v>25</v>
      </c>
      <c r="F5944" s="52" t="s">
        <v>26</v>
      </c>
      <c r="G5944" s="54"/>
    </row>
    <row r="5945">
      <c r="A5945" s="49">
        <v>45083.6259306713</v>
      </c>
      <c r="B5945" s="50">
        <v>45083.750901412</v>
      </c>
      <c r="C5945" s="51">
        <v>1.005</v>
      </c>
      <c r="D5945" s="51">
        <v>67.0</v>
      </c>
      <c r="E5945" s="52" t="s">
        <v>25</v>
      </c>
      <c r="F5945" s="52" t="s">
        <v>26</v>
      </c>
      <c r="G5945" s="54"/>
    </row>
    <row r="5946">
      <c r="A5946" s="49">
        <v>45083.636349872686</v>
      </c>
      <c r="B5946" s="50">
        <v>45083.761323125</v>
      </c>
      <c r="C5946" s="51">
        <v>1.005</v>
      </c>
      <c r="D5946" s="51">
        <v>67.0</v>
      </c>
      <c r="E5946" s="52" t="s">
        <v>25</v>
      </c>
      <c r="F5946" s="52" t="s">
        <v>26</v>
      </c>
      <c r="G5946" s="54"/>
    </row>
    <row r="5947">
      <c r="A5947" s="49">
        <v>45083.646769942134</v>
      </c>
      <c r="B5947" s="50">
        <v>45083.7717438888</v>
      </c>
      <c r="C5947" s="51">
        <v>1.005</v>
      </c>
      <c r="D5947" s="51">
        <v>67.0</v>
      </c>
      <c r="E5947" s="52" t="s">
        <v>25</v>
      </c>
      <c r="F5947" s="52" t="s">
        <v>26</v>
      </c>
      <c r="G5947" s="54"/>
    </row>
    <row r="5948">
      <c r="A5948" s="49">
        <v>45083.6571884838</v>
      </c>
      <c r="B5948" s="50">
        <v>45083.782167118</v>
      </c>
      <c r="C5948" s="51">
        <v>1.005</v>
      </c>
      <c r="D5948" s="51">
        <v>67.0</v>
      </c>
      <c r="E5948" s="52" t="s">
        <v>25</v>
      </c>
      <c r="F5948" s="52" t="s">
        <v>26</v>
      </c>
      <c r="G5948" s="54"/>
    </row>
    <row r="5949">
      <c r="A5949" s="49">
        <v>45083.667616782404</v>
      </c>
      <c r="B5949" s="50">
        <v>45083.7925884027</v>
      </c>
      <c r="C5949" s="51">
        <v>1.005</v>
      </c>
      <c r="D5949" s="51">
        <v>67.0</v>
      </c>
      <c r="E5949" s="52" t="s">
        <v>25</v>
      </c>
      <c r="F5949" s="52" t="s">
        <v>26</v>
      </c>
      <c r="G5949" s="54"/>
    </row>
    <row r="5950">
      <c r="A5950" s="49">
        <v>45083.67803322917</v>
      </c>
      <c r="B5950" s="50">
        <v>45083.8030094328</v>
      </c>
      <c r="C5950" s="51">
        <v>1.005</v>
      </c>
      <c r="D5950" s="51">
        <v>67.0</v>
      </c>
      <c r="E5950" s="52" t="s">
        <v>25</v>
      </c>
      <c r="F5950" s="52" t="s">
        <v>26</v>
      </c>
      <c r="G5950" s="54"/>
    </row>
    <row r="5951">
      <c r="A5951" s="49">
        <v>45083.68845274305</v>
      </c>
      <c r="B5951" s="50">
        <v>45083.8134311458</v>
      </c>
      <c r="C5951" s="51">
        <v>1.005</v>
      </c>
      <c r="D5951" s="51">
        <v>67.0</v>
      </c>
      <c r="E5951" s="52" t="s">
        <v>25</v>
      </c>
      <c r="F5951" s="52" t="s">
        <v>26</v>
      </c>
      <c r="G5951" s="54"/>
    </row>
    <row r="5952">
      <c r="A5952" s="49">
        <v>45083.698881435186</v>
      </c>
      <c r="B5952" s="50">
        <v>45083.8238523842</v>
      </c>
      <c r="C5952" s="51">
        <v>1.005</v>
      </c>
      <c r="D5952" s="51">
        <v>67.0</v>
      </c>
      <c r="E5952" s="52" t="s">
        <v>25</v>
      </c>
      <c r="F5952" s="52" t="s">
        <v>26</v>
      </c>
      <c r="G5952" s="54"/>
    </row>
    <row r="5953">
      <c r="A5953" s="49">
        <v>45083.70929554398</v>
      </c>
      <c r="B5953" s="50">
        <v>45083.8342726273</v>
      </c>
      <c r="C5953" s="51">
        <v>1.005</v>
      </c>
      <c r="D5953" s="51">
        <v>67.0</v>
      </c>
      <c r="E5953" s="52" t="s">
        <v>25</v>
      </c>
      <c r="F5953" s="52" t="s">
        <v>26</v>
      </c>
      <c r="G5953" s="54"/>
    </row>
    <row r="5954">
      <c r="A5954" s="49">
        <v>45083.71971469907</v>
      </c>
      <c r="B5954" s="50">
        <v>45083.8446942824</v>
      </c>
      <c r="C5954" s="51">
        <v>1.005</v>
      </c>
      <c r="D5954" s="51">
        <v>67.0</v>
      </c>
      <c r="E5954" s="52" t="s">
        <v>25</v>
      </c>
      <c r="F5954" s="52" t="s">
        <v>26</v>
      </c>
      <c r="G5954" s="54"/>
    </row>
    <row r="5955">
      <c r="A5955" s="49">
        <v>45083.73017358796</v>
      </c>
      <c r="B5955" s="50">
        <v>45083.8551491319</v>
      </c>
      <c r="C5955" s="51">
        <v>1.005</v>
      </c>
      <c r="D5955" s="51">
        <v>67.0</v>
      </c>
      <c r="E5955" s="52" t="s">
        <v>25</v>
      </c>
      <c r="F5955" s="52" t="s">
        <v>26</v>
      </c>
      <c r="G5955" s="54"/>
    </row>
    <row r="5956">
      <c r="A5956" s="49">
        <v>45083.740598923614</v>
      </c>
      <c r="B5956" s="50">
        <v>45083.8655722222</v>
      </c>
      <c r="C5956" s="51">
        <v>1.005</v>
      </c>
      <c r="D5956" s="51">
        <v>67.0</v>
      </c>
      <c r="E5956" s="52" t="s">
        <v>25</v>
      </c>
      <c r="F5956" s="52" t="s">
        <v>26</v>
      </c>
      <c r="G5956" s="54"/>
    </row>
    <row r="5957">
      <c r="A5957" s="49">
        <v>45083.75101760417</v>
      </c>
      <c r="B5957" s="50">
        <v>45083.875993125</v>
      </c>
      <c r="C5957" s="51">
        <v>1.005</v>
      </c>
      <c r="D5957" s="51">
        <v>67.0</v>
      </c>
      <c r="E5957" s="52" t="s">
        <v>25</v>
      </c>
      <c r="F5957" s="52" t="s">
        <v>26</v>
      </c>
      <c r="G5957" s="54"/>
    </row>
    <row r="5958">
      <c r="A5958" s="49">
        <v>45083.76144486111</v>
      </c>
      <c r="B5958" s="50">
        <v>45083.8864144791</v>
      </c>
      <c r="C5958" s="51">
        <v>1.005</v>
      </c>
      <c r="D5958" s="51">
        <v>67.0</v>
      </c>
      <c r="E5958" s="52" t="s">
        <v>25</v>
      </c>
      <c r="F5958" s="52" t="s">
        <v>26</v>
      </c>
      <c r="G5958" s="54"/>
    </row>
    <row r="5959">
      <c r="A5959" s="49">
        <v>45083.77188623842</v>
      </c>
      <c r="B5959" s="50">
        <v>45083.8968584722</v>
      </c>
      <c r="C5959" s="51">
        <v>1.005</v>
      </c>
      <c r="D5959" s="51">
        <v>67.0</v>
      </c>
      <c r="E5959" s="52" t="s">
        <v>25</v>
      </c>
      <c r="F5959" s="52" t="s">
        <v>26</v>
      </c>
      <c r="G5959" s="54"/>
    </row>
    <row r="5960">
      <c r="A5960" s="49">
        <v>45083.78230356482</v>
      </c>
      <c r="B5960" s="50">
        <v>45083.90727875</v>
      </c>
      <c r="C5960" s="51">
        <v>1.005</v>
      </c>
      <c r="D5960" s="51">
        <v>67.0</v>
      </c>
      <c r="E5960" s="52" t="s">
        <v>25</v>
      </c>
      <c r="F5960" s="52" t="s">
        <v>26</v>
      </c>
      <c r="G5960" s="54"/>
    </row>
    <row r="5961">
      <c r="A5961" s="49">
        <v>45083.79271972222</v>
      </c>
      <c r="B5961" s="50">
        <v>45083.9176990046</v>
      </c>
      <c r="C5961" s="51">
        <v>1.005</v>
      </c>
      <c r="D5961" s="51">
        <v>67.0</v>
      </c>
      <c r="E5961" s="52" t="s">
        <v>25</v>
      </c>
      <c r="F5961" s="52" t="s">
        <v>26</v>
      </c>
      <c r="G5961" s="54"/>
    </row>
    <row r="5962">
      <c r="A5962" s="49">
        <v>45083.803154733796</v>
      </c>
      <c r="B5962" s="50">
        <v>45083.92811978</v>
      </c>
      <c r="C5962" s="51">
        <v>1.005</v>
      </c>
      <c r="D5962" s="51">
        <v>67.0</v>
      </c>
      <c r="E5962" s="52" t="s">
        <v>25</v>
      </c>
      <c r="F5962" s="52" t="s">
        <v>26</v>
      </c>
      <c r="G5962" s="54"/>
    </row>
    <row r="5963">
      <c r="A5963" s="49">
        <v>45083.81356787037</v>
      </c>
      <c r="B5963" s="50">
        <v>45083.93854125</v>
      </c>
      <c r="C5963" s="51">
        <v>1.005</v>
      </c>
      <c r="D5963" s="51">
        <v>67.0</v>
      </c>
      <c r="E5963" s="52" t="s">
        <v>25</v>
      </c>
      <c r="F5963" s="52" t="s">
        <v>26</v>
      </c>
      <c r="G5963" s="54"/>
    </row>
    <row r="5964">
      <c r="A5964" s="49">
        <v>45083.8239869213</v>
      </c>
      <c r="B5964" s="50">
        <v>45083.948962581</v>
      </c>
      <c r="C5964" s="51">
        <v>1.005</v>
      </c>
      <c r="D5964" s="51">
        <v>67.0</v>
      </c>
      <c r="E5964" s="52" t="s">
        <v>25</v>
      </c>
      <c r="F5964" s="52" t="s">
        <v>26</v>
      </c>
      <c r="G5964" s="54"/>
    </row>
    <row r="5965">
      <c r="A5965" s="49">
        <v>45083.834425</v>
      </c>
      <c r="B5965" s="50">
        <v>45083.9593822569</v>
      </c>
      <c r="C5965" s="51">
        <v>1.005</v>
      </c>
      <c r="D5965" s="51">
        <v>67.0</v>
      </c>
      <c r="E5965" s="52" t="s">
        <v>25</v>
      </c>
      <c r="F5965" s="52" t="s">
        <v>26</v>
      </c>
      <c r="G5965" s="54"/>
    </row>
    <row r="5966">
      <c r="A5966" s="49">
        <v>45083.844830925926</v>
      </c>
      <c r="B5966" s="50">
        <v>45083.969802662</v>
      </c>
      <c r="C5966" s="51">
        <v>1.005</v>
      </c>
      <c r="D5966" s="51">
        <v>67.0</v>
      </c>
      <c r="E5966" s="52" t="s">
        <v>25</v>
      </c>
      <c r="F5966" s="52" t="s">
        <v>26</v>
      </c>
      <c r="G5966" s="54"/>
    </row>
    <row r="5967">
      <c r="A5967" s="49">
        <v>45083.855299131945</v>
      </c>
      <c r="B5967" s="50">
        <v>45083.9802708912</v>
      </c>
      <c r="C5967" s="51">
        <v>1.005</v>
      </c>
      <c r="D5967" s="51">
        <v>67.0</v>
      </c>
      <c r="E5967" s="52" t="s">
        <v>25</v>
      </c>
      <c r="F5967" s="52" t="s">
        <v>26</v>
      </c>
      <c r="G5967" s="54"/>
    </row>
    <row r="5968">
      <c r="A5968" s="49">
        <v>45083.8657177662</v>
      </c>
      <c r="B5968" s="50">
        <v>45083.9906920254</v>
      </c>
      <c r="C5968" s="51">
        <v>1.005</v>
      </c>
      <c r="D5968" s="51">
        <v>67.0</v>
      </c>
      <c r="E5968" s="52" t="s">
        <v>25</v>
      </c>
      <c r="F5968" s="52" t="s">
        <v>26</v>
      </c>
      <c r="G5968" s="54"/>
    </row>
    <row r="5969">
      <c r="A5969" s="49">
        <v>45083.87613929398</v>
      </c>
      <c r="B5969" s="50">
        <v>45084.0011129861</v>
      </c>
      <c r="C5969" s="51">
        <v>1.005</v>
      </c>
      <c r="D5969" s="51">
        <v>67.0</v>
      </c>
      <c r="E5969" s="52" t="s">
        <v>25</v>
      </c>
      <c r="F5969" s="52" t="s">
        <v>26</v>
      </c>
      <c r="G5969" s="54"/>
    </row>
    <row r="5970">
      <c r="A5970" s="49">
        <v>45083.88656677083</v>
      </c>
      <c r="B5970" s="50">
        <v>45084.0115337152</v>
      </c>
      <c r="C5970" s="51">
        <v>1.005</v>
      </c>
      <c r="D5970" s="51">
        <v>67.0</v>
      </c>
      <c r="E5970" s="52" t="s">
        <v>25</v>
      </c>
      <c r="F5970" s="52" t="s">
        <v>26</v>
      </c>
      <c r="G5970" s="54"/>
    </row>
    <row r="5971">
      <c r="A5971" s="49">
        <v>45083.896984085644</v>
      </c>
      <c r="B5971" s="50">
        <v>45084.021953206</v>
      </c>
      <c r="C5971" s="51">
        <v>1.005</v>
      </c>
      <c r="D5971" s="51">
        <v>67.0</v>
      </c>
      <c r="E5971" s="52" t="s">
        <v>25</v>
      </c>
      <c r="F5971" s="52" t="s">
        <v>26</v>
      </c>
      <c r="G5971" s="54"/>
    </row>
    <row r="5972">
      <c r="A5972" s="49">
        <v>45083.90740127314</v>
      </c>
      <c r="B5972" s="50">
        <v>45084.0323752199</v>
      </c>
      <c r="C5972" s="51">
        <v>1.005</v>
      </c>
      <c r="D5972" s="51">
        <v>67.0</v>
      </c>
      <c r="E5972" s="52" t="s">
        <v>25</v>
      </c>
      <c r="F5972" s="52" t="s">
        <v>26</v>
      </c>
      <c r="G5972" s="54"/>
    </row>
    <row r="5973">
      <c r="A5973" s="49">
        <v>45083.917827048615</v>
      </c>
      <c r="B5973" s="50">
        <v>45084.0427974537</v>
      </c>
      <c r="C5973" s="51">
        <v>1.005</v>
      </c>
      <c r="D5973" s="51">
        <v>67.0</v>
      </c>
      <c r="E5973" s="52" t="s">
        <v>25</v>
      </c>
      <c r="F5973" s="52" t="s">
        <v>26</v>
      </c>
      <c r="G5973" s="54"/>
    </row>
    <row r="5974">
      <c r="A5974" s="49">
        <v>45083.92824559028</v>
      </c>
      <c r="B5974" s="50">
        <v>45084.0532199305</v>
      </c>
      <c r="C5974" s="51">
        <v>1.005</v>
      </c>
      <c r="D5974" s="51">
        <v>67.0</v>
      </c>
      <c r="E5974" s="52" t="s">
        <v>25</v>
      </c>
      <c r="F5974" s="52" t="s">
        <v>26</v>
      </c>
      <c r="G5974" s="54"/>
    </row>
    <row r="5975">
      <c r="A5975" s="49">
        <v>45083.938664953705</v>
      </c>
      <c r="B5975" s="50">
        <v>45084.0636413194</v>
      </c>
      <c r="C5975" s="51">
        <v>1.005</v>
      </c>
      <c r="D5975" s="51">
        <v>67.0</v>
      </c>
      <c r="E5975" s="52" t="s">
        <v>25</v>
      </c>
      <c r="F5975" s="52" t="s">
        <v>26</v>
      </c>
      <c r="G5975" s="54"/>
    </row>
    <row r="5976">
      <c r="A5976" s="49">
        <v>45083.94908737269</v>
      </c>
      <c r="B5976" s="50">
        <v>45084.0740613773</v>
      </c>
      <c r="C5976" s="51">
        <v>1.005</v>
      </c>
      <c r="D5976" s="51">
        <v>67.0</v>
      </c>
      <c r="E5976" s="52" t="s">
        <v>25</v>
      </c>
      <c r="F5976" s="52" t="s">
        <v>26</v>
      </c>
      <c r="G5976" s="54"/>
    </row>
    <row r="5977">
      <c r="A5977" s="49">
        <v>45083.959519826385</v>
      </c>
      <c r="B5977" s="50">
        <v>45084.0844948842</v>
      </c>
      <c r="C5977" s="51">
        <v>1.005</v>
      </c>
      <c r="D5977" s="51">
        <v>67.0</v>
      </c>
      <c r="E5977" s="52" t="s">
        <v>25</v>
      </c>
      <c r="F5977" s="52" t="s">
        <v>26</v>
      </c>
      <c r="G5977" s="54"/>
    </row>
    <row r="5978">
      <c r="A5978" s="49">
        <v>45083.96994613426</v>
      </c>
      <c r="B5978" s="50">
        <v>45084.0949173379</v>
      </c>
      <c r="C5978" s="51">
        <v>1.005</v>
      </c>
      <c r="D5978" s="51">
        <v>67.0</v>
      </c>
      <c r="E5978" s="52" t="s">
        <v>25</v>
      </c>
      <c r="F5978" s="52" t="s">
        <v>26</v>
      </c>
      <c r="G5978" s="54"/>
    </row>
    <row r="5979">
      <c r="A5979" s="49">
        <v>45083.98037952546</v>
      </c>
      <c r="B5979" s="50">
        <v>45084.1053505324</v>
      </c>
      <c r="C5979" s="51">
        <v>1.005</v>
      </c>
      <c r="D5979" s="51">
        <v>67.0</v>
      </c>
      <c r="E5979" s="52" t="s">
        <v>25</v>
      </c>
      <c r="F5979" s="52" t="s">
        <v>26</v>
      </c>
      <c r="G5979" s="54"/>
    </row>
    <row r="5980">
      <c r="A5980" s="49">
        <v>45083.99085513889</v>
      </c>
      <c r="B5980" s="50">
        <v>45084.1157704629</v>
      </c>
      <c r="C5980" s="51">
        <v>1.005</v>
      </c>
      <c r="D5980" s="51">
        <v>67.0</v>
      </c>
      <c r="E5980" s="52" t="s">
        <v>25</v>
      </c>
      <c r="F5980" s="52" t="s">
        <v>26</v>
      </c>
      <c r="G5980" s="54"/>
    </row>
    <row r="5981">
      <c r="A5981" s="49">
        <v>45084.00121689815</v>
      </c>
      <c r="B5981" s="50">
        <v>45084.1261910763</v>
      </c>
      <c r="C5981" s="51">
        <v>1.005</v>
      </c>
      <c r="D5981" s="51">
        <v>67.0</v>
      </c>
      <c r="E5981" s="52" t="s">
        <v>25</v>
      </c>
      <c r="F5981" s="52" t="s">
        <v>26</v>
      </c>
      <c r="G5981" s="54"/>
    </row>
    <row r="5982">
      <c r="A5982" s="49">
        <v>45084.0116349537</v>
      </c>
      <c r="B5982" s="50">
        <v>45084.1366134143</v>
      </c>
      <c r="C5982" s="51">
        <v>1.005</v>
      </c>
      <c r="D5982" s="51">
        <v>67.0</v>
      </c>
      <c r="E5982" s="52" t="s">
        <v>25</v>
      </c>
      <c r="F5982" s="52" t="s">
        <v>26</v>
      </c>
      <c r="G5982" s="54"/>
    </row>
    <row r="5983">
      <c r="A5983" s="49">
        <v>45084.02205876158</v>
      </c>
      <c r="B5983" s="50">
        <v>45084.1470355902</v>
      </c>
      <c r="C5983" s="51">
        <v>1.005</v>
      </c>
      <c r="D5983" s="51">
        <v>67.0</v>
      </c>
      <c r="E5983" s="52" t="s">
        <v>25</v>
      </c>
      <c r="F5983" s="52" t="s">
        <v>26</v>
      </c>
      <c r="G5983" s="54"/>
    </row>
    <row r="5984">
      <c r="A5984" s="49">
        <v>45084.03247679398</v>
      </c>
      <c r="B5984" s="50">
        <v>45084.1574559953</v>
      </c>
      <c r="C5984" s="51">
        <v>1.005</v>
      </c>
      <c r="D5984" s="51">
        <v>67.0</v>
      </c>
      <c r="E5984" s="52" t="s">
        <v>25</v>
      </c>
      <c r="F5984" s="52" t="s">
        <v>26</v>
      </c>
      <c r="G5984" s="54"/>
    </row>
    <row r="5985">
      <c r="A5985" s="49">
        <v>45084.04290465278</v>
      </c>
      <c r="B5985" s="50">
        <v>45084.1678762847</v>
      </c>
      <c r="C5985" s="51">
        <v>1.005</v>
      </c>
      <c r="D5985" s="51">
        <v>67.0</v>
      </c>
      <c r="E5985" s="52" t="s">
        <v>25</v>
      </c>
      <c r="F5985" s="52" t="s">
        <v>26</v>
      </c>
      <c r="G5985" s="54"/>
    </row>
    <row r="5986">
      <c r="A5986" s="49">
        <v>45084.05333189815</v>
      </c>
      <c r="B5986" s="50">
        <v>45084.1783074768</v>
      </c>
      <c r="C5986" s="51">
        <v>1.005</v>
      </c>
      <c r="D5986" s="51">
        <v>67.0</v>
      </c>
      <c r="E5986" s="52" t="s">
        <v>25</v>
      </c>
      <c r="F5986" s="52" t="s">
        <v>26</v>
      </c>
      <c r="G5986" s="54"/>
    </row>
    <row r="5987">
      <c r="A5987" s="49">
        <v>45084.06377278935</v>
      </c>
      <c r="B5987" s="50">
        <v>45084.1887525115</v>
      </c>
      <c r="C5987" s="51">
        <v>1.005</v>
      </c>
      <c r="D5987" s="51">
        <v>67.0</v>
      </c>
      <c r="E5987" s="52" t="s">
        <v>25</v>
      </c>
      <c r="F5987" s="52" t="s">
        <v>26</v>
      </c>
      <c r="G5987" s="54"/>
    </row>
    <row r="5988">
      <c r="A5988" s="49">
        <v>45084.074206053236</v>
      </c>
      <c r="B5988" s="50">
        <v>45084.1991744097</v>
      </c>
      <c r="C5988" s="51">
        <v>1.005</v>
      </c>
      <c r="D5988" s="51">
        <v>67.0</v>
      </c>
      <c r="E5988" s="52" t="s">
        <v>25</v>
      </c>
      <c r="F5988" s="52" t="s">
        <v>26</v>
      </c>
      <c r="G5988" s="54"/>
    </row>
    <row r="5989">
      <c r="A5989" s="49">
        <v>45084.08463159722</v>
      </c>
      <c r="B5989" s="50">
        <v>45084.2096074652</v>
      </c>
      <c r="C5989" s="51">
        <v>1.005</v>
      </c>
      <c r="D5989" s="51">
        <v>67.0</v>
      </c>
      <c r="E5989" s="52" t="s">
        <v>25</v>
      </c>
      <c r="F5989" s="52" t="s">
        <v>26</v>
      </c>
      <c r="G5989" s="54"/>
    </row>
    <row r="5990">
      <c r="A5990" s="49">
        <v>45084.09505021991</v>
      </c>
      <c r="B5990" s="50">
        <v>45084.22002875</v>
      </c>
      <c r="C5990" s="51">
        <v>1.005</v>
      </c>
      <c r="D5990" s="51">
        <v>67.0</v>
      </c>
      <c r="E5990" s="52" t="s">
        <v>25</v>
      </c>
      <c r="F5990" s="52" t="s">
        <v>26</v>
      </c>
      <c r="G5990" s="54"/>
    </row>
    <row r="5991">
      <c r="A5991" s="49">
        <v>45084.10555881944</v>
      </c>
      <c r="B5991" s="50">
        <v>45084.2304730324</v>
      </c>
      <c r="C5991" s="51">
        <v>1.005</v>
      </c>
      <c r="D5991" s="51">
        <v>67.0</v>
      </c>
      <c r="E5991" s="52" t="s">
        <v>25</v>
      </c>
      <c r="F5991" s="52" t="s">
        <v>26</v>
      </c>
      <c r="G5991" s="54"/>
    </row>
    <row r="5992">
      <c r="A5992" s="49">
        <v>45084.11593024306</v>
      </c>
      <c r="B5992" s="50">
        <v>45084.2409055555</v>
      </c>
      <c r="C5992" s="51">
        <v>1.005</v>
      </c>
      <c r="D5992" s="51">
        <v>67.0</v>
      </c>
      <c r="E5992" s="52" t="s">
        <v>25</v>
      </c>
      <c r="F5992" s="52" t="s">
        <v>26</v>
      </c>
      <c r="G5992" s="54"/>
    </row>
    <row r="5993">
      <c r="A5993" s="49">
        <v>45084.126417997686</v>
      </c>
      <c r="B5993" s="50">
        <v>45084.2513389236</v>
      </c>
      <c r="C5993" s="51">
        <v>1.005</v>
      </c>
      <c r="D5993" s="51">
        <v>67.0</v>
      </c>
      <c r="E5993" s="52" t="s">
        <v>25</v>
      </c>
      <c r="F5993" s="52" t="s">
        <v>26</v>
      </c>
      <c r="G5993" s="54"/>
    </row>
    <row r="5994">
      <c r="A5994" s="49">
        <v>45084.13683527778</v>
      </c>
      <c r="B5994" s="50">
        <v>45084.2617701967</v>
      </c>
      <c r="C5994" s="51">
        <v>1.005</v>
      </c>
      <c r="D5994" s="51">
        <v>67.0</v>
      </c>
      <c r="E5994" s="52" t="s">
        <v>25</v>
      </c>
      <c r="F5994" s="52" t="s">
        <v>26</v>
      </c>
      <c r="G5994" s="54"/>
    </row>
    <row r="5995">
      <c r="A5995" s="49">
        <v>45084.14725755787</v>
      </c>
      <c r="B5995" s="50">
        <v>45084.2721901851</v>
      </c>
      <c r="C5995" s="51">
        <v>1.005</v>
      </c>
      <c r="D5995" s="51">
        <v>67.0</v>
      </c>
      <c r="E5995" s="52" t="s">
        <v>25</v>
      </c>
      <c r="F5995" s="52" t="s">
        <v>26</v>
      </c>
      <c r="G5995" s="54"/>
    </row>
    <row r="5996">
      <c r="A5996" s="49">
        <v>45084.15769648148</v>
      </c>
      <c r="B5996" s="50">
        <v>45084.2826106944</v>
      </c>
      <c r="C5996" s="51">
        <v>1.005</v>
      </c>
      <c r="D5996" s="51">
        <v>67.0</v>
      </c>
      <c r="E5996" s="52" t="s">
        <v>25</v>
      </c>
      <c r="F5996" s="52" t="s">
        <v>26</v>
      </c>
      <c r="G5996" s="54"/>
    </row>
    <row r="5997">
      <c r="A5997" s="49">
        <v>45084.16811773148</v>
      </c>
      <c r="B5997" s="50">
        <v>45084.2930356481</v>
      </c>
      <c r="C5997" s="51">
        <v>1.005</v>
      </c>
      <c r="D5997" s="51">
        <v>67.0</v>
      </c>
      <c r="E5997" s="52" t="s">
        <v>25</v>
      </c>
      <c r="F5997" s="52" t="s">
        <v>26</v>
      </c>
      <c r="G5997" s="54"/>
    </row>
    <row r="5998">
      <c r="A5998" s="49">
        <v>45084.17848376157</v>
      </c>
      <c r="B5998" s="50">
        <v>45084.3034551967</v>
      </c>
      <c r="C5998" s="51">
        <v>1.005</v>
      </c>
      <c r="D5998" s="51">
        <v>67.0</v>
      </c>
      <c r="E5998" s="52" t="s">
        <v>25</v>
      </c>
      <c r="F5998" s="52" t="s">
        <v>26</v>
      </c>
      <c r="G5998" s="54"/>
    </row>
    <row r="5999">
      <c r="A5999" s="49">
        <v>45084.18896681713</v>
      </c>
      <c r="B5999" s="50">
        <v>45084.3138898379</v>
      </c>
      <c r="C5999" s="51">
        <v>1.005</v>
      </c>
      <c r="D5999" s="51">
        <v>67.0</v>
      </c>
      <c r="E5999" s="52" t="s">
        <v>25</v>
      </c>
      <c r="F5999" s="52" t="s">
        <v>26</v>
      </c>
      <c r="G5999" s="54"/>
    </row>
    <row r="6000">
      <c r="A6000" s="49">
        <v>45084.199406643515</v>
      </c>
      <c r="B6000" s="50">
        <v>45084.3243243171</v>
      </c>
      <c r="C6000" s="51">
        <v>1.005</v>
      </c>
      <c r="D6000" s="51">
        <v>67.0</v>
      </c>
      <c r="E6000" s="52" t="s">
        <v>25</v>
      </c>
      <c r="F6000" s="52" t="s">
        <v>26</v>
      </c>
      <c r="G6000" s="54"/>
    </row>
    <row r="6001">
      <c r="A6001" s="49">
        <v>45084.20982451389</v>
      </c>
      <c r="B6001" s="50">
        <v>45084.3347473726</v>
      </c>
      <c r="C6001" s="51">
        <v>1.005</v>
      </c>
      <c r="D6001" s="51">
        <v>67.0</v>
      </c>
      <c r="E6001" s="52" t="s">
        <v>25</v>
      </c>
      <c r="F6001" s="52" t="s">
        <v>26</v>
      </c>
      <c r="G6001" s="54"/>
    </row>
    <row r="6002">
      <c r="A6002" s="49">
        <v>45084.22024759259</v>
      </c>
      <c r="B6002" s="50">
        <v>45084.3451800115</v>
      </c>
      <c r="C6002" s="51">
        <v>1.005</v>
      </c>
      <c r="D6002" s="51">
        <v>67.0</v>
      </c>
      <c r="E6002" s="52" t="s">
        <v>25</v>
      </c>
      <c r="F6002" s="52" t="s">
        <v>26</v>
      </c>
      <c r="G6002" s="54"/>
    </row>
    <row r="6003">
      <c r="A6003" s="49">
        <v>45084.23067935185</v>
      </c>
      <c r="B6003" s="50">
        <v>45084.3556006944</v>
      </c>
      <c r="C6003" s="51">
        <v>1.005</v>
      </c>
      <c r="D6003" s="51">
        <v>67.0</v>
      </c>
      <c r="E6003" s="52" t="s">
        <v>25</v>
      </c>
      <c r="F6003" s="52" t="s">
        <v>26</v>
      </c>
      <c r="G6003" s="54"/>
    </row>
    <row r="6004">
      <c r="A6004" s="49">
        <v>45084.24105048611</v>
      </c>
      <c r="B6004" s="50">
        <v>45084.3660208564</v>
      </c>
      <c r="C6004" s="51">
        <v>1.005</v>
      </c>
      <c r="D6004" s="51">
        <v>67.0</v>
      </c>
      <c r="E6004" s="52" t="s">
        <v>25</v>
      </c>
      <c r="F6004" s="52" t="s">
        <v>26</v>
      </c>
      <c r="G6004" s="54"/>
    </row>
    <row r="6005">
      <c r="A6005" s="49">
        <v>45084.25147012732</v>
      </c>
      <c r="B6005" s="50">
        <v>45084.37644353</v>
      </c>
      <c r="C6005" s="51">
        <v>1.005</v>
      </c>
      <c r="D6005" s="51">
        <v>67.0</v>
      </c>
      <c r="E6005" s="52" t="s">
        <v>25</v>
      </c>
      <c r="F6005" s="52" t="s">
        <v>26</v>
      </c>
      <c r="G6005" s="54"/>
    </row>
    <row r="6006">
      <c r="A6006" s="49">
        <v>45084.261901412036</v>
      </c>
      <c r="B6006" s="50">
        <v>45084.3868769328</v>
      </c>
      <c r="C6006" s="51">
        <v>1.005</v>
      </c>
      <c r="D6006" s="51">
        <v>67.0</v>
      </c>
      <c r="E6006" s="52" t="s">
        <v>25</v>
      </c>
      <c r="F6006" s="52" t="s">
        <v>26</v>
      </c>
      <c r="G6006" s="54"/>
    </row>
    <row r="6007">
      <c r="A6007" s="49">
        <v>45084.272317372684</v>
      </c>
      <c r="B6007" s="50">
        <v>45084.3972975463</v>
      </c>
      <c r="C6007" s="51">
        <v>1.005</v>
      </c>
      <c r="D6007" s="51">
        <v>67.0</v>
      </c>
      <c r="E6007" s="52" t="s">
        <v>25</v>
      </c>
      <c r="F6007" s="52" t="s">
        <v>26</v>
      </c>
      <c r="G6007" s="54"/>
    </row>
    <row r="6008">
      <c r="A6008" s="49">
        <v>45084.28281665509</v>
      </c>
      <c r="B6008" s="50">
        <v>45084.4077296875</v>
      </c>
      <c r="C6008" s="51">
        <v>1.005</v>
      </c>
      <c r="D6008" s="51">
        <v>67.0</v>
      </c>
      <c r="E6008" s="52" t="s">
        <v>25</v>
      </c>
      <c r="F6008" s="52" t="s">
        <v>26</v>
      </c>
      <c r="G6008" s="54"/>
    </row>
    <row r="6009">
      <c r="A6009" s="49">
        <v>45084.29323966435</v>
      </c>
      <c r="B6009" s="50">
        <v>45084.4181616666</v>
      </c>
      <c r="C6009" s="51">
        <v>1.005</v>
      </c>
      <c r="D6009" s="51">
        <v>67.0</v>
      </c>
      <c r="E6009" s="52" t="s">
        <v>25</v>
      </c>
      <c r="F6009" s="52" t="s">
        <v>26</v>
      </c>
      <c r="G6009" s="54"/>
    </row>
    <row r="6010">
      <c r="A6010" s="49">
        <v>45084.30362439815</v>
      </c>
      <c r="B6010" s="50">
        <v>45084.4285937268</v>
      </c>
      <c r="C6010" s="51">
        <v>1.005</v>
      </c>
      <c r="D6010" s="51">
        <v>67.0</v>
      </c>
      <c r="E6010" s="52" t="s">
        <v>25</v>
      </c>
      <c r="F6010" s="52" t="s">
        <v>26</v>
      </c>
      <c r="G6010" s="54"/>
    </row>
    <row r="6011">
      <c r="A6011" s="49">
        <v>45084.31405539352</v>
      </c>
      <c r="B6011" s="50">
        <v>45084.4390260069</v>
      </c>
      <c r="C6011" s="51">
        <v>1.005</v>
      </c>
      <c r="D6011" s="51">
        <v>67.0</v>
      </c>
      <c r="E6011" s="52" t="s">
        <v>25</v>
      </c>
      <c r="F6011" s="52" t="s">
        <v>26</v>
      </c>
      <c r="G6011" s="54"/>
    </row>
    <row r="6012">
      <c r="A6012" s="49">
        <v>45084.32453533565</v>
      </c>
      <c r="B6012" s="50">
        <v>45084.4494479976</v>
      </c>
      <c r="C6012" s="51">
        <v>1.005</v>
      </c>
      <c r="D6012" s="51">
        <v>67.0</v>
      </c>
      <c r="E6012" s="52" t="s">
        <v>25</v>
      </c>
      <c r="F6012" s="52" t="s">
        <v>26</v>
      </c>
      <c r="G6012" s="54"/>
    </row>
    <row r="6013">
      <c r="A6013" s="49">
        <v>45084.334978495375</v>
      </c>
      <c r="B6013" s="50">
        <v>45084.4598807523</v>
      </c>
      <c r="C6013" s="51">
        <v>1.005</v>
      </c>
      <c r="D6013" s="51">
        <v>67.0</v>
      </c>
      <c r="E6013" s="52" t="s">
        <v>25</v>
      </c>
      <c r="F6013" s="52" t="s">
        <v>26</v>
      </c>
      <c r="G6013" s="54"/>
    </row>
    <row r="6014">
      <c r="A6014" s="49">
        <v>45084.34540140047</v>
      </c>
      <c r="B6014" s="50">
        <v>45084.4703126041</v>
      </c>
      <c r="C6014" s="51">
        <v>1.005</v>
      </c>
      <c r="D6014" s="51">
        <v>67.0</v>
      </c>
      <c r="E6014" s="52" t="s">
        <v>25</v>
      </c>
      <c r="F6014" s="52" t="s">
        <v>26</v>
      </c>
      <c r="G6014" s="54"/>
    </row>
    <row r="6015">
      <c r="A6015" s="49">
        <v>45084.35581094907</v>
      </c>
      <c r="B6015" s="50">
        <v>45084.4807344675</v>
      </c>
      <c r="C6015" s="51">
        <v>1.005</v>
      </c>
      <c r="D6015" s="51">
        <v>67.0</v>
      </c>
      <c r="E6015" s="52" t="s">
        <v>25</v>
      </c>
      <c r="F6015" s="52" t="s">
        <v>26</v>
      </c>
      <c r="G6015" s="54"/>
    </row>
    <row r="6016">
      <c r="A6016" s="49">
        <v>45084.36624028935</v>
      </c>
      <c r="B6016" s="50">
        <v>45084.491154074</v>
      </c>
      <c r="C6016" s="51">
        <v>1.005</v>
      </c>
      <c r="D6016" s="51">
        <v>67.0</v>
      </c>
      <c r="E6016" s="52" t="s">
        <v>25</v>
      </c>
      <c r="F6016" s="52" t="s">
        <v>26</v>
      </c>
      <c r="G6016" s="54"/>
    </row>
    <row r="6017">
      <c r="A6017" s="49">
        <v>45084.37665622685</v>
      </c>
      <c r="B6017" s="50">
        <v>45084.5015768287</v>
      </c>
      <c r="C6017" s="51">
        <v>1.005</v>
      </c>
      <c r="D6017" s="51">
        <v>67.0</v>
      </c>
      <c r="E6017" s="52" t="s">
        <v>25</v>
      </c>
      <c r="F6017" s="52" t="s">
        <v>26</v>
      </c>
      <c r="G6017" s="54"/>
    </row>
    <row r="6018">
      <c r="A6018" s="49">
        <v>45084.38708512731</v>
      </c>
      <c r="B6018" s="50">
        <v>45084.512043912</v>
      </c>
      <c r="C6018" s="51">
        <v>1.005</v>
      </c>
      <c r="D6018" s="51">
        <v>67.0</v>
      </c>
      <c r="E6018" s="52" t="s">
        <v>25</v>
      </c>
      <c r="F6018" s="52" t="s">
        <v>26</v>
      </c>
      <c r="G6018" s="54"/>
    </row>
    <row r="6019">
      <c r="A6019" s="49">
        <v>45084.39750663194</v>
      </c>
      <c r="B6019" s="50">
        <v>45084.522465706</v>
      </c>
      <c r="C6019" s="51">
        <v>1.005</v>
      </c>
      <c r="D6019" s="51">
        <v>67.0</v>
      </c>
      <c r="E6019" s="52" t="s">
        <v>25</v>
      </c>
      <c r="F6019" s="52" t="s">
        <v>26</v>
      </c>
      <c r="G6019" s="54"/>
    </row>
    <row r="6020">
      <c r="A6020" s="49">
        <v>45084.40792695602</v>
      </c>
      <c r="B6020" s="50">
        <v>45084.5328872222</v>
      </c>
      <c r="C6020" s="51">
        <v>1.005</v>
      </c>
      <c r="D6020" s="51">
        <v>67.0</v>
      </c>
      <c r="E6020" s="52" t="s">
        <v>25</v>
      </c>
      <c r="F6020" s="52" t="s">
        <v>26</v>
      </c>
      <c r="G6020" s="54"/>
    </row>
    <row r="6021">
      <c r="A6021" s="49">
        <v>45084.41834724537</v>
      </c>
      <c r="B6021" s="50">
        <v>45084.5433079513</v>
      </c>
      <c r="C6021" s="51">
        <v>1.005</v>
      </c>
      <c r="D6021" s="51">
        <v>67.0</v>
      </c>
      <c r="E6021" s="52" t="s">
        <v>25</v>
      </c>
      <c r="F6021" s="52" t="s">
        <v>26</v>
      </c>
      <c r="G6021" s="54"/>
    </row>
    <row r="6022">
      <c r="A6022" s="49">
        <v>45084.42877194444</v>
      </c>
      <c r="B6022" s="50">
        <v>45084.5537290277</v>
      </c>
      <c r="C6022" s="51">
        <v>1.005</v>
      </c>
      <c r="D6022" s="51">
        <v>67.0</v>
      </c>
      <c r="E6022" s="52" t="s">
        <v>25</v>
      </c>
      <c r="F6022" s="52" t="s">
        <v>26</v>
      </c>
      <c r="G6022" s="54"/>
    </row>
    <row r="6023">
      <c r="A6023" s="49">
        <v>45084.43921694445</v>
      </c>
      <c r="B6023" s="50">
        <v>45084.564149699</v>
      </c>
      <c r="C6023" s="51">
        <v>1.005</v>
      </c>
      <c r="D6023" s="51">
        <v>67.0</v>
      </c>
      <c r="E6023" s="52" t="s">
        <v>25</v>
      </c>
      <c r="F6023" s="52" t="s">
        <v>26</v>
      </c>
      <c r="G6023" s="54"/>
    </row>
    <row r="6024">
      <c r="A6024" s="49">
        <v>45084.449631678246</v>
      </c>
      <c r="B6024" s="50">
        <v>45084.5745699768</v>
      </c>
      <c r="C6024" s="51">
        <v>1.005</v>
      </c>
      <c r="D6024" s="51">
        <v>67.0</v>
      </c>
      <c r="E6024" s="52" t="s">
        <v>25</v>
      </c>
      <c r="F6024" s="52" t="s">
        <v>26</v>
      </c>
      <c r="G6024" s="54"/>
    </row>
    <row r="6025">
      <c r="A6025" s="49">
        <v>45084.46005738426</v>
      </c>
      <c r="B6025" s="50">
        <v>45084.5849921527</v>
      </c>
      <c r="C6025" s="51">
        <v>1.005</v>
      </c>
      <c r="D6025" s="51">
        <v>67.0</v>
      </c>
      <c r="E6025" s="52" t="s">
        <v>25</v>
      </c>
      <c r="F6025" s="52" t="s">
        <v>26</v>
      </c>
      <c r="G6025" s="54"/>
    </row>
    <row r="6026">
      <c r="A6026" s="49">
        <v>45084.47048805555</v>
      </c>
      <c r="B6026" s="50">
        <v>45084.5954121412</v>
      </c>
      <c r="C6026" s="51">
        <v>1.005</v>
      </c>
      <c r="D6026" s="51">
        <v>67.0</v>
      </c>
      <c r="E6026" s="52" t="s">
        <v>25</v>
      </c>
      <c r="F6026" s="52" t="s">
        <v>26</v>
      </c>
      <c r="G6026" s="54"/>
    </row>
    <row r="6027">
      <c r="A6027" s="49">
        <v>45084.480910011574</v>
      </c>
      <c r="B6027" s="50">
        <v>45084.6058326388</v>
      </c>
      <c r="C6027" s="51">
        <v>1.005</v>
      </c>
      <c r="D6027" s="51">
        <v>67.0</v>
      </c>
      <c r="E6027" s="52" t="s">
        <v>25</v>
      </c>
      <c r="F6027" s="52" t="s">
        <v>26</v>
      </c>
      <c r="G6027" s="54"/>
    </row>
    <row r="6028">
      <c r="A6028" s="49">
        <v>45084.49134253472</v>
      </c>
      <c r="B6028" s="50">
        <v>45084.6163002662</v>
      </c>
      <c r="C6028" s="51">
        <v>1.005</v>
      </c>
      <c r="D6028" s="51">
        <v>67.0</v>
      </c>
      <c r="E6028" s="52" t="s">
        <v>25</v>
      </c>
      <c r="F6028" s="52" t="s">
        <v>26</v>
      </c>
      <c r="G6028" s="54"/>
    </row>
    <row r="6029">
      <c r="A6029" s="49">
        <v>45084.50178178241</v>
      </c>
      <c r="B6029" s="50">
        <v>45084.6267218287</v>
      </c>
      <c r="C6029" s="51">
        <v>1.005</v>
      </c>
      <c r="D6029" s="51">
        <v>67.0</v>
      </c>
      <c r="E6029" s="52" t="s">
        <v>25</v>
      </c>
      <c r="F6029" s="52" t="s">
        <v>26</v>
      </c>
      <c r="G6029" s="54"/>
    </row>
    <row r="6030">
      <c r="A6030" s="49">
        <v>45084.51220278935</v>
      </c>
      <c r="B6030" s="50">
        <v>45084.6371558796</v>
      </c>
      <c r="C6030" s="51">
        <v>1.005</v>
      </c>
      <c r="D6030" s="51">
        <v>67.0</v>
      </c>
      <c r="E6030" s="52" t="s">
        <v>25</v>
      </c>
      <c r="F6030" s="52" t="s">
        <v>26</v>
      </c>
      <c r="G6030" s="54"/>
    </row>
    <row r="6031">
      <c r="A6031" s="49">
        <v>45084.52263412037</v>
      </c>
      <c r="B6031" s="50">
        <v>45084.6475783912</v>
      </c>
      <c r="C6031" s="51">
        <v>1.005</v>
      </c>
      <c r="D6031" s="51">
        <v>67.0</v>
      </c>
      <c r="E6031" s="52" t="s">
        <v>25</v>
      </c>
      <c r="F6031" s="52" t="s">
        <v>26</v>
      </c>
      <c r="G6031" s="54"/>
    </row>
    <row r="6032">
      <c r="A6032" s="49">
        <v>45084.53306003472</v>
      </c>
      <c r="B6032" s="50">
        <v>45084.6579991551</v>
      </c>
      <c r="C6032" s="51">
        <v>1.005</v>
      </c>
      <c r="D6032" s="51">
        <v>67.0</v>
      </c>
      <c r="E6032" s="52" t="s">
        <v>25</v>
      </c>
      <c r="F6032" s="52" t="s">
        <v>26</v>
      </c>
      <c r="G6032" s="54"/>
    </row>
    <row r="6033">
      <c r="A6033" s="49">
        <v>45084.54347795139</v>
      </c>
      <c r="B6033" s="50">
        <v>45084.6684208912</v>
      </c>
      <c r="C6033" s="51">
        <v>1.005</v>
      </c>
      <c r="D6033" s="51">
        <v>67.0</v>
      </c>
      <c r="E6033" s="52" t="s">
        <v>25</v>
      </c>
      <c r="F6033" s="52" t="s">
        <v>26</v>
      </c>
      <c r="G6033" s="54"/>
    </row>
    <row r="6034">
      <c r="A6034" s="49">
        <v>45084.5539068287</v>
      </c>
      <c r="B6034" s="50">
        <v>45084.6788894675</v>
      </c>
      <c r="C6034" s="51">
        <v>1.005</v>
      </c>
      <c r="D6034" s="51">
        <v>67.0</v>
      </c>
      <c r="E6034" s="52" t="s">
        <v>25</v>
      </c>
      <c r="F6034" s="52" t="s">
        <v>26</v>
      </c>
      <c r="G6034" s="54"/>
    </row>
    <row r="6035">
      <c r="A6035" s="49">
        <v>45084.56433538195</v>
      </c>
      <c r="B6035" s="50">
        <v>45084.6893103703</v>
      </c>
      <c r="C6035" s="51">
        <v>1.005</v>
      </c>
      <c r="D6035" s="51">
        <v>67.0</v>
      </c>
      <c r="E6035" s="52" t="s">
        <v>25</v>
      </c>
      <c r="F6035" s="52" t="s">
        <v>26</v>
      </c>
      <c r="G6035" s="54"/>
    </row>
    <row r="6036">
      <c r="A6036" s="49">
        <v>45084.57475903935</v>
      </c>
      <c r="B6036" s="50">
        <v>45084.6997310763</v>
      </c>
      <c r="C6036" s="51">
        <v>1.005</v>
      </c>
      <c r="D6036" s="51">
        <v>67.0</v>
      </c>
      <c r="E6036" s="52" t="s">
        <v>25</v>
      </c>
      <c r="F6036" s="52" t="s">
        <v>26</v>
      </c>
      <c r="G6036" s="54"/>
    </row>
    <row r="6037">
      <c r="A6037" s="49">
        <v>45084.5851815162</v>
      </c>
      <c r="B6037" s="50">
        <v>45084.7101526041</v>
      </c>
      <c r="C6037" s="51">
        <v>1.005</v>
      </c>
      <c r="D6037" s="51">
        <v>67.0</v>
      </c>
      <c r="E6037" s="52" t="s">
        <v>25</v>
      </c>
      <c r="F6037" s="52" t="s">
        <v>26</v>
      </c>
      <c r="G6037" s="54"/>
    </row>
    <row r="6038">
      <c r="A6038" s="49">
        <v>45084.595616701394</v>
      </c>
      <c r="B6038" s="50">
        <v>45084.7205854398</v>
      </c>
      <c r="C6038" s="51">
        <v>1.005</v>
      </c>
      <c r="D6038" s="51">
        <v>67.0</v>
      </c>
      <c r="E6038" s="52" t="s">
        <v>25</v>
      </c>
      <c r="F6038" s="52" t="s">
        <v>26</v>
      </c>
      <c r="G6038" s="54"/>
    </row>
    <row r="6039">
      <c r="A6039" s="49">
        <v>45084.60603501157</v>
      </c>
      <c r="B6039" s="50">
        <v>45084.731006574</v>
      </c>
      <c r="C6039" s="51">
        <v>1.005</v>
      </c>
      <c r="D6039" s="51">
        <v>67.0</v>
      </c>
      <c r="E6039" s="52" t="s">
        <v>25</v>
      </c>
      <c r="F6039" s="52" t="s">
        <v>26</v>
      </c>
      <c r="G6039" s="54"/>
    </row>
    <row r="6040">
      <c r="A6040" s="49">
        <v>45084.61648924768</v>
      </c>
      <c r="B6040" s="50">
        <v>45084.7414268402</v>
      </c>
      <c r="C6040" s="51">
        <v>1.005</v>
      </c>
      <c r="D6040" s="51">
        <v>67.0</v>
      </c>
      <c r="E6040" s="52" t="s">
        <v>25</v>
      </c>
      <c r="F6040" s="52" t="s">
        <v>26</v>
      </c>
      <c r="G6040" s="54"/>
    </row>
    <row r="6041">
      <c r="A6041" s="49">
        <v>45084.62691769676</v>
      </c>
      <c r="B6041" s="50">
        <v>45084.7518465856</v>
      </c>
      <c r="C6041" s="51">
        <v>1.005</v>
      </c>
      <c r="D6041" s="51">
        <v>67.0</v>
      </c>
      <c r="E6041" s="52" t="s">
        <v>25</v>
      </c>
      <c r="F6041" s="52" t="s">
        <v>26</v>
      </c>
      <c r="G6041" s="54"/>
    </row>
    <row r="6042">
      <c r="A6042" s="49">
        <v>45084.63734299768</v>
      </c>
      <c r="B6042" s="50">
        <v>45084.7622807986</v>
      </c>
      <c r="C6042" s="51">
        <v>1.005</v>
      </c>
      <c r="D6042" s="51">
        <v>67.0</v>
      </c>
      <c r="E6042" s="52" t="s">
        <v>25</v>
      </c>
      <c r="F6042" s="52" t="s">
        <v>26</v>
      </c>
      <c r="G6042" s="54"/>
    </row>
    <row r="6043">
      <c r="A6043" s="49">
        <v>45084.64776228009</v>
      </c>
      <c r="B6043" s="50">
        <v>45084.7727146527</v>
      </c>
      <c r="C6043" s="51">
        <v>1.005</v>
      </c>
      <c r="D6043" s="51">
        <v>67.0</v>
      </c>
      <c r="E6043" s="52" t="s">
        <v>25</v>
      </c>
      <c r="F6043" s="52" t="s">
        <v>26</v>
      </c>
      <c r="G6043" s="54"/>
    </row>
    <row r="6044">
      <c r="A6044" s="49">
        <v>45084.65819224537</v>
      </c>
      <c r="B6044" s="50">
        <v>45084.7831367708</v>
      </c>
      <c r="C6044" s="51">
        <v>1.005</v>
      </c>
      <c r="D6044" s="51">
        <v>67.0</v>
      </c>
      <c r="E6044" s="52" t="s">
        <v>25</v>
      </c>
      <c r="F6044" s="52" t="s">
        <v>26</v>
      </c>
      <c r="G6044" s="54"/>
    </row>
    <row r="6045">
      <c r="A6045" s="49">
        <v>45084.66862895833</v>
      </c>
      <c r="B6045" s="50">
        <v>45084.7935570023</v>
      </c>
      <c r="C6045" s="51">
        <v>1.005</v>
      </c>
      <c r="D6045" s="51">
        <v>67.0</v>
      </c>
      <c r="E6045" s="52" t="s">
        <v>25</v>
      </c>
      <c r="F6045" s="52" t="s">
        <v>26</v>
      </c>
      <c r="G6045" s="54"/>
    </row>
    <row r="6046">
      <c r="A6046" s="49">
        <v>45084.67908453704</v>
      </c>
      <c r="B6046" s="50">
        <v>45084.803999375</v>
      </c>
      <c r="C6046" s="51">
        <v>1.005</v>
      </c>
      <c r="D6046" s="51">
        <v>67.0</v>
      </c>
      <c r="E6046" s="52" t="s">
        <v>25</v>
      </c>
      <c r="F6046" s="52" t="s">
        <v>26</v>
      </c>
      <c r="G6046" s="54"/>
    </row>
    <row r="6047">
      <c r="A6047" s="49">
        <v>45084.689512233796</v>
      </c>
      <c r="B6047" s="50">
        <v>45084.8144319097</v>
      </c>
      <c r="C6047" s="51">
        <v>1.005</v>
      </c>
      <c r="D6047" s="51">
        <v>67.0</v>
      </c>
      <c r="E6047" s="52" t="s">
        <v>25</v>
      </c>
      <c r="F6047" s="52" t="s">
        <v>26</v>
      </c>
      <c r="G6047" s="54"/>
    </row>
    <row r="6048">
      <c r="A6048" s="49">
        <v>45084.69994552083</v>
      </c>
      <c r="B6048" s="50">
        <v>45084.8248540393</v>
      </c>
      <c r="C6048" s="51">
        <v>1.005</v>
      </c>
      <c r="D6048" s="51">
        <v>67.0</v>
      </c>
      <c r="E6048" s="52" t="s">
        <v>25</v>
      </c>
      <c r="F6048" s="52" t="s">
        <v>26</v>
      </c>
      <c r="G6048" s="54"/>
    </row>
    <row r="6049">
      <c r="A6049" s="49">
        <v>45084.710369803244</v>
      </c>
      <c r="B6049" s="50">
        <v>45084.83528853</v>
      </c>
      <c r="C6049" s="51">
        <v>1.005</v>
      </c>
      <c r="D6049" s="51">
        <v>67.0</v>
      </c>
      <c r="E6049" s="52" t="s">
        <v>25</v>
      </c>
      <c r="F6049" s="52" t="s">
        <v>26</v>
      </c>
      <c r="G6049" s="54"/>
    </row>
    <row r="6050">
      <c r="A6050" s="49">
        <v>45084.72074186342</v>
      </c>
      <c r="B6050" s="50">
        <v>45084.845708993</v>
      </c>
      <c r="C6050" s="51">
        <v>1.005</v>
      </c>
      <c r="D6050" s="51">
        <v>67.0</v>
      </c>
      <c r="E6050" s="52" t="s">
        <v>25</v>
      </c>
      <c r="F6050" s="52" t="s">
        <v>26</v>
      </c>
      <c r="G6050" s="54"/>
    </row>
    <row r="6051">
      <c r="A6051" s="49">
        <v>45084.73115561342</v>
      </c>
      <c r="B6051" s="50">
        <v>45084.8561293518</v>
      </c>
      <c r="C6051" s="51">
        <v>1.005</v>
      </c>
      <c r="D6051" s="51">
        <v>67.0</v>
      </c>
      <c r="E6051" s="52" t="s">
        <v>25</v>
      </c>
      <c r="F6051" s="52" t="s">
        <v>26</v>
      </c>
      <c r="G6051" s="54"/>
    </row>
    <row r="6052">
      <c r="A6052" s="49">
        <v>45084.74157559028</v>
      </c>
      <c r="B6052" s="50">
        <v>45084.8665489814</v>
      </c>
      <c r="C6052" s="51">
        <v>1.005</v>
      </c>
      <c r="D6052" s="51">
        <v>67.0</v>
      </c>
      <c r="E6052" s="52" t="s">
        <v>25</v>
      </c>
      <c r="F6052" s="52" t="s">
        <v>26</v>
      </c>
      <c r="G6052" s="54"/>
    </row>
    <row r="6053">
      <c r="A6053" s="49">
        <v>45084.751990289355</v>
      </c>
      <c r="B6053" s="50">
        <v>45084.8769697685</v>
      </c>
      <c r="C6053" s="51">
        <v>1.005</v>
      </c>
      <c r="D6053" s="51">
        <v>67.0</v>
      </c>
      <c r="E6053" s="52" t="s">
        <v>25</v>
      </c>
      <c r="F6053" s="52" t="s">
        <v>26</v>
      </c>
      <c r="G6053" s="54"/>
    </row>
    <row r="6054">
      <c r="A6054" s="49">
        <v>45084.76241924769</v>
      </c>
      <c r="B6054" s="50">
        <v>45084.8873925347</v>
      </c>
      <c r="C6054" s="51">
        <v>1.005</v>
      </c>
      <c r="D6054" s="51">
        <v>67.0</v>
      </c>
      <c r="E6054" s="52" t="s">
        <v>25</v>
      </c>
      <c r="F6054" s="52" t="s">
        <v>26</v>
      </c>
      <c r="G6054" s="54"/>
    </row>
    <row r="6055">
      <c r="A6055" s="49">
        <v>45084.77283615741</v>
      </c>
      <c r="B6055" s="50">
        <v>45084.897815868</v>
      </c>
      <c r="C6055" s="51">
        <v>1.005</v>
      </c>
      <c r="D6055" s="51">
        <v>67.0</v>
      </c>
      <c r="E6055" s="52" t="s">
        <v>25</v>
      </c>
      <c r="F6055" s="52" t="s">
        <v>26</v>
      </c>
      <c r="G6055" s="54"/>
    </row>
    <row r="6056">
      <c r="A6056" s="49">
        <v>45084.783255856484</v>
      </c>
      <c r="B6056" s="50">
        <v>45084.9082350231</v>
      </c>
      <c r="C6056" s="51">
        <v>1.005</v>
      </c>
      <c r="D6056" s="51">
        <v>67.0</v>
      </c>
      <c r="E6056" s="52" t="s">
        <v>25</v>
      </c>
      <c r="F6056" s="52" t="s">
        <v>26</v>
      </c>
      <c r="G6056" s="54"/>
    </row>
    <row r="6057">
      <c r="A6057" s="49">
        <v>45084.7936879051</v>
      </c>
      <c r="B6057" s="50">
        <v>45084.9186560879</v>
      </c>
      <c r="C6057" s="51">
        <v>1.005</v>
      </c>
      <c r="D6057" s="51">
        <v>67.0</v>
      </c>
      <c r="E6057" s="52" t="s">
        <v>25</v>
      </c>
      <c r="F6057" s="52" t="s">
        <v>26</v>
      </c>
      <c r="G6057" s="54"/>
    </row>
    <row r="6058">
      <c r="A6058" s="49">
        <v>45084.80411574074</v>
      </c>
      <c r="B6058" s="50">
        <v>45084.9290881018</v>
      </c>
      <c r="C6058" s="51">
        <v>1.005</v>
      </c>
      <c r="D6058" s="51">
        <v>67.0</v>
      </c>
      <c r="E6058" s="52" t="s">
        <v>25</v>
      </c>
      <c r="F6058" s="52" t="s">
        <v>26</v>
      </c>
      <c r="G6058" s="54"/>
    </row>
    <row r="6059">
      <c r="A6059" s="49">
        <v>45084.81458290509</v>
      </c>
      <c r="B6059" s="50">
        <v>45084.9395546759</v>
      </c>
      <c r="C6059" s="51">
        <v>1.005</v>
      </c>
      <c r="D6059" s="51">
        <v>67.0</v>
      </c>
      <c r="E6059" s="52" t="s">
        <v>25</v>
      </c>
      <c r="F6059" s="52" t="s">
        <v>26</v>
      </c>
      <c r="G6059" s="54"/>
    </row>
    <row r="6060">
      <c r="A6060" s="49">
        <v>45084.825003680555</v>
      </c>
      <c r="B6060" s="50">
        <v>45084.9499748495</v>
      </c>
      <c r="C6060" s="51">
        <v>1.005</v>
      </c>
      <c r="D6060" s="51">
        <v>67.0</v>
      </c>
      <c r="E6060" s="52" t="s">
        <v>25</v>
      </c>
      <c r="F6060" s="52" t="s">
        <v>26</v>
      </c>
      <c r="G6060" s="54"/>
    </row>
    <row r="6061">
      <c r="A6061" s="49">
        <v>45084.83542991898</v>
      </c>
      <c r="B6061" s="50">
        <v>45084.9603977314</v>
      </c>
      <c r="C6061" s="51">
        <v>1.005</v>
      </c>
      <c r="D6061" s="51">
        <v>67.0</v>
      </c>
      <c r="E6061" s="52" t="s">
        <v>25</v>
      </c>
      <c r="F6061" s="52" t="s">
        <v>26</v>
      </c>
      <c r="G6061" s="54"/>
    </row>
    <row r="6062">
      <c r="A6062" s="49">
        <v>45084.845839131944</v>
      </c>
      <c r="B6062" s="50">
        <v>45084.9708185532</v>
      </c>
      <c r="C6062" s="51">
        <v>1.005</v>
      </c>
      <c r="D6062" s="51">
        <v>67.0</v>
      </c>
      <c r="E6062" s="52" t="s">
        <v>25</v>
      </c>
      <c r="F6062" s="52" t="s">
        <v>26</v>
      </c>
      <c r="G6062" s="54"/>
    </row>
    <row r="6063">
      <c r="A6063" s="49">
        <v>45084.85625622685</v>
      </c>
      <c r="B6063" s="50">
        <v>45084.9812393865</v>
      </c>
      <c r="C6063" s="51">
        <v>1.005</v>
      </c>
      <c r="D6063" s="51">
        <v>67.0</v>
      </c>
      <c r="E6063" s="52" t="s">
        <v>25</v>
      </c>
      <c r="F6063" s="52" t="s">
        <v>26</v>
      </c>
      <c r="G6063" s="54"/>
    </row>
    <row r="6064">
      <c r="A6064" s="49">
        <v>45084.86668561342</v>
      </c>
      <c r="B6064" s="50">
        <v>45084.9916601273</v>
      </c>
      <c r="C6064" s="51">
        <v>1.005</v>
      </c>
      <c r="D6064" s="51">
        <v>67.0</v>
      </c>
      <c r="E6064" s="52" t="s">
        <v>25</v>
      </c>
      <c r="F6064" s="52" t="s">
        <v>26</v>
      </c>
      <c r="G6064" s="54"/>
    </row>
    <row r="6065">
      <c r="A6065" s="49">
        <v>45084.87710866898</v>
      </c>
      <c r="B6065" s="50">
        <v>45085.0020811921</v>
      </c>
      <c r="C6065" s="51">
        <v>1.005</v>
      </c>
      <c r="D6065" s="51">
        <v>67.0</v>
      </c>
      <c r="E6065" s="52" t="s">
        <v>25</v>
      </c>
      <c r="F6065" s="52" t="s">
        <v>26</v>
      </c>
      <c r="G6065" s="54"/>
    </row>
    <row r="6066">
      <c r="A6066" s="49">
        <v>45084.88753375</v>
      </c>
      <c r="B6066" s="50">
        <v>45085.0125141898</v>
      </c>
      <c r="C6066" s="51">
        <v>1.005</v>
      </c>
      <c r="D6066" s="51">
        <v>67.0</v>
      </c>
      <c r="E6066" s="52" t="s">
        <v>25</v>
      </c>
      <c r="F6066" s="52" t="s">
        <v>26</v>
      </c>
      <c r="G6066" s="54"/>
    </row>
    <row r="6067">
      <c r="A6067" s="49">
        <v>45084.89796564815</v>
      </c>
      <c r="B6067" s="50">
        <v>45085.0229335185</v>
      </c>
      <c r="C6067" s="51">
        <v>1.005</v>
      </c>
      <c r="D6067" s="51">
        <v>67.0</v>
      </c>
      <c r="E6067" s="52" t="s">
        <v>25</v>
      </c>
      <c r="F6067" s="52" t="s">
        <v>26</v>
      </c>
      <c r="G6067" s="54"/>
    </row>
    <row r="6068">
      <c r="A6068" s="49">
        <v>45084.90837690972</v>
      </c>
      <c r="B6068" s="50">
        <v>45085.033353206</v>
      </c>
      <c r="C6068" s="51">
        <v>1.005</v>
      </c>
      <c r="D6068" s="51">
        <v>67.0</v>
      </c>
      <c r="E6068" s="52" t="s">
        <v>25</v>
      </c>
      <c r="F6068" s="52" t="s">
        <v>26</v>
      </c>
      <c r="G6068" s="54"/>
    </row>
    <row r="6069">
      <c r="A6069" s="49">
        <v>45084.91881180556</v>
      </c>
      <c r="B6069" s="50">
        <v>45085.0437860069</v>
      </c>
      <c r="C6069" s="51">
        <v>1.005</v>
      </c>
      <c r="D6069" s="51">
        <v>67.0</v>
      </c>
      <c r="E6069" s="52" t="s">
        <v>25</v>
      </c>
      <c r="F6069" s="52" t="s">
        <v>26</v>
      </c>
      <c r="G6069" s="54"/>
    </row>
    <row r="6070">
      <c r="A6070" s="49">
        <v>45084.92923497685</v>
      </c>
      <c r="B6070" s="50">
        <v>45085.054207199</v>
      </c>
      <c r="C6070" s="51">
        <v>1.005</v>
      </c>
      <c r="D6070" s="51">
        <v>67.0</v>
      </c>
      <c r="E6070" s="52" t="s">
        <v>25</v>
      </c>
      <c r="F6070" s="52" t="s">
        <v>26</v>
      </c>
      <c r="G6070" s="54"/>
    </row>
    <row r="6071">
      <c r="A6071" s="49">
        <v>45084.939665185186</v>
      </c>
      <c r="B6071" s="50">
        <v>45085.0646395486</v>
      </c>
      <c r="C6071" s="51">
        <v>1.005</v>
      </c>
      <c r="D6071" s="51">
        <v>67.0</v>
      </c>
      <c r="E6071" s="52" t="s">
        <v>25</v>
      </c>
      <c r="F6071" s="52" t="s">
        <v>26</v>
      </c>
      <c r="G6071" s="54"/>
    </row>
    <row r="6072">
      <c r="A6072" s="49">
        <v>45084.95008755787</v>
      </c>
      <c r="B6072" s="50">
        <v>45085.0750603819</v>
      </c>
      <c r="C6072" s="51">
        <v>1.005</v>
      </c>
      <c r="D6072" s="51">
        <v>67.0</v>
      </c>
      <c r="E6072" s="52" t="s">
        <v>25</v>
      </c>
      <c r="F6072" s="52" t="s">
        <v>26</v>
      </c>
      <c r="G6072" s="54"/>
    </row>
    <row r="6073">
      <c r="A6073" s="49">
        <v>45084.96050946759</v>
      </c>
      <c r="B6073" s="50">
        <v>45085.0854815625</v>
      </c>
      <c r="C6073" s="51">
        <v>1.005</v>
      </c>
      <c r="D6073" s="51">
        <v>67.0</v>
      </c>
      <c r="E6073" s="52" t="s">
        <v>25</v>
      </c>
      <c r="F6073" s="52" t="s">
        <v>26</v>
      </c>
      <c r="G6073" s="54"/>
    </row>
    <row r="6074">
      <c r="A6074" s="49">
        <v>45084.970930173615</v>
      </c>
      <c r="B6074" s="50">
        <v>45085.0959027662</v>
      </c>
      <c r="C6074" s="51">
        <v>1.005</v>
      </c>
      <c r="D6074" s="51">
        <v>67.0</v>
      </c>
      <c r="E6074" s="52" t="s">
        <v>25</v>
      </c>
      <c r="F6074" s="52" t="s">
        <v>26</v>
      </c>
      <c r="G6074" s="54"/>
    </row>
    <row r="6075">
      <c r="A6075" s="49">
        <v>45084.98135126157</v>
      </c>
      <c r="B6075" s="50">
        <v>45085.106324375</v>
      </c>
      <c r="C6075" s="51">
        <v>1.005</v>
      </c>
      <c r="D6075" s="51">
        <v>67.0</v>
      </c>
      <c r="E6075" s="52" t="s">
        <v>25</v>
      </c>
      <c r="F6075" s="52" t="s">
        <v>26</v>
      </c>
      <c r="G6075" s="54"/>
    </row>
    <row r="6076">
      <c r="A6076" s="49">
        <v>45084.99176524306</v>
      </c>
      <c r="B6076" s="50">
        <v>45085.1167449884</v>
      </c>
      <c r="C6076" s="51">
        <v>1.005</v>
      </c>
      <c r="D6076" s="51">
        <v>67.0</v>
      </c>
      <c r="E6076" s="52" t="s">
        <v>25</v>
      </c>
      <c r="F6076" s="52" t="s">
        <v>26</v>
      </c>
      <c r="G6076" s="54"/>
    </row>
    <row r="6077">
      <c r="A6077" s="49">
        <v>45085.00219101852</v>
      </c>
      <c r="B6077" s="50">
        <v>45085.1271662384</v>
      </c>
      <c r="C6077" s="51">
        <v>1.005</v>
      </c>
      <c r="D6077" s="51">
        <v>67.0</v>
      </c>
      <c r="E6077" s="52" t="s">
        <v>25</v>
      </c>
      <c r="F6077" s="52" t="s">
        <v>26</v>
      </c>
      <c r="G6077" s="54"/>
    </row>
    <row r="6078">
      <c r="A6078" s="49">
        <v>45085.0126234375</v>
      </c>
      <c r="B6078" s="50">
        <v>45085.1375994907</v>
      </c>
      <c r="C6078" s="51">
        <v>1.005</v>
      </c>
      <c r="D6078" s="51">
        <v>67.0</v>
      </c>
      <c r="E6078" s="52" t="s">
        <v>25</v>
      </c>
      <c r="F6078" s="52" t="s">
        <v>26</v>
      </c>
      <c r="G6078" s="54"/>
    </row>
    <row r="6079">
      <c r="A6079" s="49">
        <v>45085.02305924769</v>
      </c>
      <c r="B6079" s="50">
        <v>45085.1480331828</v>
      </c>
      <c r="C6079" s="51">
        <v>1.005</v>
      </c>
      <c r="D6079" s="51">
        <v>67.0</v>
      </c>
      <c r="E6079" s="52" t="s">
        <v>25</v>
      </c>
      <c r="F6079" s="52" t="s">
        <v>26</v>
      </c>
      <c r="G6079" s="54"/>
    </row>
    <row r="6080">
      <c r="A6080" s="49">
        <v>45085.033486342596</v>
      </c>
      <c r="B6080" s="50">
        <v>45085.1584673379</v>
      </c>
      <c r="C6080" s="51">
        <v>1.005</v>
      </c>
      <c r="D6080" s="51">
        <v>67.0</v>
      </c>
      <c r="E6080" s="52" t="s">
        <v>25</v>
      </c>
      <c r="F6080" s="52" t="s">
        <v>26</v>
      </c>
      <c r="G6080" s="54"/>
    </row>
    <row r="6081">
      <c r="A6081" s="49">
        <v>45085.04391633102</v>
      </c>
      <c r="B6081" s="50">
        <v>45085.1688886574</v>
      </c>
      <c r="C6081" s="51">
        <v>1.005</v>
      </c>
      <c r="D6081" s="51">
        <v>67.0</v>
      </c>
      <c r="E6081" s="52" t="s">
        <v>25</v>
      </c>
      <c r="F6081" s="52" t="s">
        <v>26</v>
      </c>
      <c r="G6081" s="54"/>
    </row>
    <row r="6082">
      <c r="A6082" s="49">
        <v>45085.05435046296</v>
      </c>
      <c r="B6082" s="50">
        <v>45085.1793204745</v>
      </c>
      <c r="C6082" s="51">
        <v>1.005</v>
      </c>
      <c r="D6082" s="51">
        <v>67.0</v>
      </c>
      <c r="E6082" s="52" t="s">
        <v>25</v>
      </c>
      <c r="F6082" s="52" t="s">
        <v>26</v>
      </c>
      <c r="G6082" s="54"/>
    </row>
    <row r="6083">
      <c r="A6083" s="49">
        <v>45085.06477540509</v>
      </c>
      <c r="B6083" s="50">
        <v>45085.1897432523</v>
      </c>
      <c r="C6083" s="51">
        <v>1.005</v>
      </c>
      <c r="D6083" s="51">
        <v>67.0</v>
      </c>
      <c r="E6083" s="52" t="s">
        <v>25</v>
      </c>
      <c r="F6083" s="52" t="s">
        <v>26</v>
      </c>
      <c r="G6083" s="54"/>
    </row>
    <row r="6084">
      <c r="A6084" s="49">
        <v>45085.075199432875</v>
      </c>
      <c r="B6084" s="50">
        <v>45085.200177824</v>
      </c>
      <c r="C6084" s="51">
        <v>1.004</v>
      </c>
      <c r="D6084" s="51">
        <v>67.0</v>
      </c>
      <c r="E6084" s="52" t="s">
        <v>25</v>
      </c>
      <c r="F6084" s="52" t="s">
        <v>26</v>
      </c>
      <c r="G6084" s="54"/>
    </row>
    <row r="6085">
      <c r="A6085" s="49">
        <v>45085.08562168981</v>
      </c>
      <c r="B6085" s="50">
        <v>45085.2105988888</v>
      </c>
      <c r="C6085" s="51">
        <v>1.005</v>
      </c>
      <c r="D6085" s="51">
        <v>67.0</v>
      </c>
      <c r="E6085" s="52" t="s">
        <v>25</v>
      </c>
      <c r="F6085" s="52" t="s">
        <v>26</v>
      </c>
      <c r="G6085" s="54"/>
    </row>
    <row r="6086">
      <c r="A6086" s="49">
        <v>45085.096055682865</v>
      </c>
      <c r="B6086" s="50">
        <v>45085.2210326967</v>
      </c>
      <c r="C6086" s="51">
        <v>1.005</v>
      </c>
      <c r="D6086" s="51">
        <v>67.0</v>
      </c>
      <c r="E6086" s="52" t="s">
        <v>25</v>
      </c>
      <c r="F6086" s="52" t="s">
        <v>26</v>
      </c>
      <c r="G6086" s="54"/>
    </row>
    <row r="6087">
      <c r="A6087" s="49">
        <v>45085.10648820602</v>
      </c>
      <c r="B6087" s="50">
        <v>45085.2314654166</v>
      </c>
      <c r="C6087" s="51">
        <v>1.005</v>
      </c>
      <c r="D6087" s="51">
        <v>67.0</v>
      </c>
      <c r="E6087" s="52" t="s">
        <v>25</v>
      </c>
      <c r="F6087" s="52" t="s">
        <v>26</v>
      </c>
      <c r="G6087" s="54"/>
    </row>
    <row r="6088">
      <c r="A6088" s="49">
        <v>45085.1169147801</v>
      </c>
      <c r="B6088" s="50">
        <v>45085.2418865162</v>
      </c>
      <c r="C6088" s="51">
        <v>1.005</v>
      </c>
      <c r="D6088" s="51">
        <v>67.0</v>
      </c>
      <c r="E6088" s="52" t="s">
        <v>25</v>
      </c>
      <c r="F6088" s="52" t="s">
        <v>26</v>
      </c>
      <c r="G6088" s="54"/>
    </row>
    <row r="6089">
      <c r="A6089" s="49">
        <v>45085.12735995371</v>
      </c>
      <c r="B6089" s="50">
        <v>45085.2523302314</v>
      </c>
      <c r="C6089" s="51">
        <v>1.005</v>
      </c>
      <c r="D6089" s="51">
        <v>67.0</v>
      </c>
      <c r="E6089" s="52" t="s">
        <v>25</v>
      </c>
      <c r="F6089" s="52" t="s">
        <v>26</v>
      </c>
      <c r="G6089" s="54"/>
    </row>
    <row r="6090">
      <c r="A6090" s="49">
        <v>45085.13776938657</v>
      </c>
      <c r="B6090" s="50">
        <v>45085.262750081</v>
      </c>
      <c r="C6090" s="51">
        <v>1.005</v>
      </c>
      <c r="D6090" s="51">
        <v>67.0</v>
      </c>
      <c r="E6090" s="52" t="s">
        <v>25</v>
      </c>
      <c r="F6090" s="52" t="s">
        <v>26</v>
      </c>
      <c r="G6090" s="54"/>
    </row>
    <row r="6091">
      <c r="A6091" s="49">
        <v>45085.14819391204</v>
      </c>
      <c r="B6091" s="50">
        <v>45085.2731707175</v>
      </c>
      <c r="C6091" s="51">
        <v>1.005</v>
      </c>
      <c r="D6091" s="51">
        <v>67.0</v>
      </c>
      <c r="E6091" s="52" t="s">
        <v>25</v>
      </c>
      <c r="F6091" s="52" t="s">
        <v>26</v>
      </c>
      <c r="G6091" s="54"/>
    </row>
    <row r="6092">
      <c r="A6092" s="49">
        <v>45085.15861916667</v>
      </c>
      <c r="B6092" s="50">
        <v>45085.2835911805</v>
      </c>
      <c r="C6092" s="51">
        <v>1.005</v>
      </c>
      <c r="D6092" s="51">
        <v>67.0</v>
      </c>
      <c r="E6092" s="52" t="s">
        <v>25</v>
      </c>
      <c r="F6092" s="52" t="s">
        <v>26</v>
      </c>
      <c r="G6092" s="54"/>
    </row>
    <row r="6093">
      <c r="A6093" s="49">
        <v>45085.16903160879</v>
      </c>
      <c r="B6093" s="50">
        <v>45085.294012037</v>
      </c>
      <c r="C6093" s="51">
        <v>1.005</v>
      </c>
      <c r="D6093" s="51">
        <v>67.0</v>
      </c>
      <c r="E6093" s="52" t="s">
        <v>25</v>
      </c>
      <c r="F6093" s="52" t="s">
        <v>26</v>
      </c>
      <c r="G6093" s="54"/>
    </row>
    <row r="6094">
      <c r="A6094" s="49">
        <v>45085.17948226852</v>
      </c>
      <c r="B6094" s="50">
        <v>45085.304457199</v>
      </c>
      <c r="C6094" s="51">
        <v>1.005</v>
      </c>
      <c r="D6094" s="51">
        <v>67.0</v>
      </c>
      <c r="E6094" s="52" t="s">
        <v>25</v>
      </c>
      <c r="F6094" s="52" t="s">
        <v>26</v>
      </c>
      <c r="G6094" s="54"/>
    </row>
    <row r="6095">
      <c r="A6095" s="49">
        <v>45085.18989949074</v>
      </c>
      <c r="B6095" s="50">
        <v>45085.3148785763</v>
      </c>
      <c r="C6095" s="51">
        <v>1.005</v>
      </c>
      <c r="D6095" s="51">
        <v>67.0</v>
      </c>
      <c r="E6095" s="52" t="s">
        <v>25</v>
      </c>
      <c r="F6095" s="52" t="s">
        <v>26</v>
      </c>
      <c r="G6095" s="54"/>
    </row>
    <row r="6096">
      <c r="A6096" s="49">
        <v>45085.20033537037</v>
      </c>
      <c r="B6096" s="50">
        <v>45085.3253111458</v>
      </c>
      <c r="C6096" s="51">
        <v>1.005</v>
      </c>
      <c r="D6096" s="51">
        <v>67.0</v>
      </c>
      <c r="E6096" s="52" t="s">
        <v>25</v>
      </c>
      <c r="F6096" s="52" t="s">
        <v>26</v>
      </c>
      <c r="G6096" s="54"/>
    </row>
    <row r="6097">
      <c r="A6097" s="49">
        <v>45085.21076972222</v>
      </c>
      <c r="B6097" s="50">
        <v>45085.3357340509</v>
      </c>
      <c r="C6097" s="51">
        <v>1.005</v>
      </c>
      <c r="D6097" s="51">
        <v>67.0</v>
      </c>
      <c r="E6097" s="52" t="s">
        <v>25</v>
      </c>
      <c r="F6097" s="52" t="s">
        <v>26</v>
      </c>
      <c r="G6097" s="54"/>
    </row>
    <row r="6098">
      <c r="A6098" s="49">
        <v>45085.22120068287</v>
      </c>
      <c r="B6098" s="50">
        <v>45085.3461680324</v>
      </c>
      <c r="C6098" s="51">
        <v>1.005</v>
      </c>
      <c r="D6098" s="51">
        <v>67.0</v>
      </c>
      <c r="E6098" s="52" t="s">
        <v>25</v>
      </c>
      <c r="F6098" s="52" t="s">
        <v>26</v>
      </c>
      <c r="G6098" s="54"/>
    </row>
    <row r="6099">
      <c r="A6099" s="49">
        <v>45085.23160746528</v>
      </c>
      <c r="B6099" s="50">
        <v>45085.3565863078</v>
      </c>
      <c r="C6099" s="51">
        <v>1.005</v>
      </c>
      <c r="D6099" s="51">
        <v>67.0</v>
      </c>
      <c r="E6099" s="52" t="s">
        <v>25</v>
      </c>
      <c r="F6099" s="52" t="s">
        <v>26</v>
      </c>
      <c r="G6099" s="54"/>
    </row>
    <row r="6100">
      <c r="A6100" s="49">
        <v>45085.24204788194</v>
      </c>
      <c r="B6100" s="50">
        <v>45085.3670209375</v>
      </c>
      <c r="C6100" s="51">
        <v>1.005</v>
      </c>
      <c r="D6100" s="51">
        <v>67.0</v>
      </c>
      <c r="E6100" s="52" t="s">
        <v>25</v>
      </c>
      <c r="F6100" s="52" t="s">
        <v>26</v>
      </c>
      <c r="G6100" s="54"/>
    </row>
    <row r="6101">
      <c r="A6101" s="49">
        <v>45085.25248215278</v>
      </c>
      <c r="B6101" s="50">
        <v>45085.3774541435</v>
      </c>
      <c r="C6101" s="51">
        <v>1.005</v>
      </c>
      <c r="D6101" s="51">
        <v>67.0</v>
      </c>
      <c r="E6101" s="52" t="s">
        <v>25</v>
      </c>
      <c r="F6101" s="52" t="s">
        <v>26</v>
      </c>
      <c r="G6101" s="54"/>
    </row>
    <row r="6102">
      <c r="A6102" s="49">
        <v>45085.26292001158</v>
      </c>
      <c r="B6102" s="50">
        <v>45085.3878868634</v>
      </c>
      <c r="C6102" s="51">
        <v>1.005</v>
      </c>
      <c r="D6102" s="51">
        <v>67.0</v>
      </c>
      <c r="E6102" s="52" t="s">
        <v>25</v>
      </c>
      <c r="F6102" s="52" t="s">
        <v>26</v>
      </c>
      <c r="G6102" s="54"/>
    </row>
    <row r="6103">
      <c r="A6103" s="49">
        <v>45085.27334674769</v>
      </c>
      <c r="B6103" s="50">
        <v>45085.3983194097</v>
      </c>
      <c r="C6103" s="51">
        <v>1.004</v>
      </c>
      <c r="D6103" s="51">
        <v>67.0</v>
      </c>
      <c r="E6103" s="52" t="s">
        <v>25</v>
      </c>
      <c r="F6103" s="52" t="s">
        <v>26</v>
      </c>
      <c r="G6103" s="54"/>
    </row>
    <row r="6104">
      <c r="A6104" s="49">
        <v>45085.28376464121</v>
      </c>
      <c r="B6104" s="50">
        <v>45085.408739155</v>
      </c>
      <c r="C6104" s="51">
        <v>1.005</v>
      </c>
      <c r="D6104" s="51">
        <v>67.0</v>
      </c>
      <c r="E6104" s="52" t="s">
        <v>25</v>
      </c>
      <c r="F6104" s="52" t="s">
        <v>26</v>
      </c>
      <c r="G6104" s="54"/>
    </row>
    <row r="6105">
      <c r="A6105" s="49">
        <v>45085.29419954861</v>
      </c>
      <c r="B6105" s="50">
        <v>45085.4191720601</v>
      </c>
      <c r="C6105" s="51">
        <v>1.005</v>
      </c>
      <c r="D6105" s="51">
        <v>67.0</v>
      </c>
      <c r="E6105" s="52" t="s">
        <v>25</v>
      </c>
      <c r="F6105" s="52" t="s">
        <v>26</v>
      </c>
      <c r="G6105" s="54"/>
    </row>
    <row r="6106">
      <c r="A6106" s="49">
        <v>45085.30462368055</v>
      </c>
      <c r="B6106" s="50">
        <v>45085.4295923726</v>
      </c>
      <c r="C6106" s="51">
        <v>1.005</v>
      </c>
      <c r="D6106" s="51">
        <v>67.0</v>
      </c>
      <c r="E6106" s="52" t="s">
        <v>25</v>
      </c>
      <c r="F6106" s="52" t="s">
        <v>26</v>
      </c>
      <c r="G6106" s="54"/>
    </row>
    <row r="6107">
      <c r="A6107" s="49">
        <v>45085.31503857639</v>
      </c>
      <c r="B6107" s="50">
        <v>45085.4400131018</v>
      </c>
      <c r="C6107" s="51">
        <v>1.005</v>
      </c>
      <c r="D6107" s="51">
        <v>67.0</v>
      </c>
      <c r="E6107" s="52" t="s">
        <v>25</v>
      </c>
      <c r="F6107" s="52" t="s">
        <v>26</v>
      </c>
      <c r="G6107" s="54"/>
    </row>
    <row r="6108">
      <c r="A6108" s="49">
        <v>45085.32545907407</v>
      </c>
      <c r="B6108" s="50">
        <v>45085.4504332291</v>
      </c>
      <c r="C6108" s="51">
        <v>1.005</v>
      </c>
      <c r="D6108" s="51">
        <v>66.0</v>
      </c>
      <c r="E6108" s="52" t="s">
        <v>25</v>
      </c>
      <c r="F6108" s="52" t="s">
        <v>26</v>
      </c>
      <c r="G6108" s="54"/>
    </row>
    <row r="6109">
      <c r="A6109" s="49">
        <v>45085.335907615736</v>
      </c>
      <c r="B6109" s="50">
        <v>45085.4608748379</v>
      </c>
      <c r="C6109" s="51">
        <v>1.005</v>
      </c>
      <c r="D6109" s="51">
        <v>67.0</v>
      </c>
      <c r="E6109" s="52" t="s">
        <v>25</v>
      </c>
      <c r="F6109" s="52" t="s">
        <v>26</v>
      </c>
      <c r="G6109" s="54"/>
    </row>
    <row r="6110">
      <c r="A6110" s="49">
        <v>45085.34633929398</v>
      </c>
      <c r="B6110" s="50">
        <v>45085.4713199305</v>
      </c>
      <c r="C6110" s="51">
        <v>1.005</v>
      </c>
      <c r="D6110" s="51">
        <v>67.0</v>
      </c>
      <c r="E6110" s="52" t="s">
        <v>25</v>
      </c>
      <c r="F6110" s="52" t="s">
        <v>26</v>
      </c>
      <c r="G6110" s="54"/>
    </row>
    <row r="6111">
      <c r="A6111" s="49">
        <v>45085.356771631945</v>
      </c>
      <c r="B6111" s="50">
        <v>45085.4817417129</v>
      </c>
      <c r="C6111" s="51">
        <v>1.004</v>
      </c>
      <c r="D6111" s="51">
        <v>67.0</v>
      </c>
      <c r="E6111" s="52" t="s">
        <v>25</v>
      </c>
      <c r="F6111" s="52" t="s">
        <v>26</v>
      </c>
      <c r="G6111" s="54"/>
    </row>
    <row r="6112">
      <c r="A6112" s="49">
        <v>45085.36719983796</v>
      </c>
      <c r="B6112" s="50">
        <v>45085.4921618634</v>
      </c>
      <c r="C6112" s="51">
        <v>1.005</v>
      </c>
      <c r="D6112" s="51">
        <v>67.0</v>
      </c>
      <c r="E6112" s="52" t="s">
        <v>25</v>
      </c>
      <c r="F6112" s="52" t="s">
        <v>26</v>
      </c>
      <c r="G6112" s="54"/>
    </row>
    <row r="6113">
      <c r="A6113" s="49">
        <v>45085.37763366898</v>
      </c>
      <c r="B6113" s="50">
        <v>45085.5026054976</v>
      </c>
      <c r="C6113" s="51">
        <v>1.005</v>
      </c>
      <c r="D6113" s="51">
        <v>67.0</v>
      </c>
      <c r="E6113" s="52" t="s">
        <v>25</v>
      </c>
      <c r="F6113" s="52" t="s">
        <v>26</v>
      </c>
      <c r="G6113" s="54"/>
    </row>
    <row r="6114">
      <c r="A6114" s="49">
        <v>45085.388071469904</v>
      </c>
      <c r="B6114" s="50">
        <v>45085.513048912</v>
      </c>
      <c r="C6114" s="51">
        <v>1.005</v>
      </c>
      <c r="D6114" s="51">
        <v>67.0</v>
      </c>
      <c r="E6114" s="52" t="s">
        <v>25</v>
      </c>
      <c r="F6114" s="52" t="s">
        <v>26</v>
      </c>
      <c r="G6114" s="54"/>
    </row>
    <row r="6115">
      <c r="A6115" s="49">
        <v>45085.39852800926</v>
      </c>
      <c r="B6115" s="50">
        <v>45085.5235042476</v>
      </c>
      <c r="C6115" s="51">
        <v>1.005</v>
      </c>
      <c r="D6115" s="51">
        <v>67.0</v>
      </c>
      <c r="E6115" s="52" t="s">
        <v>25</v>
      </c>
      <c r="F6115" s="52" t="s">
        <v>26</v>
      </c>
      <c r="G6115" s="54"/>
    </row>
    <row r="6116">
      <c r="A6116" s="49">
        <v>45085.40895622685</v>
      </c>
      <c r="B6116" s="50">
        <v>45085.5339265625</v>
      </c>
      <c r="C6116" s="51">
        <v>1.004</v>
      </c>
      <c r="D6116" s="51">
        <v>67.0</v>
      </c>
      <c r="E6116" s="52" t="s">
        <v>25</v>
      </c>
      <c r="F6116" s="52" t="s">
        <v>26</v>
      </c>
      <c r="G6116" s="54"/>
    </row>
    <row r="6117">
      <c r="A6117" s="49">
        <v>45085.419370567135</v>
      </c>
      <c r="B6117" s="50">
        <v>45085.5443467592</v>
      </c>
      <c r="C6117" s="51">
        <v>1.005</v>
      </c>
      <c r="D6117" s="51">
        <v>67.0</v>
      </c>
      <c r="E6117" s="52" t="s">
        <v>25</v>
      </c>
      <c r="F6117" s="52" t="s">
        <v>26</v>
      </c>
      <c r="G6117" s="54"/>
    </row>
    <row r="6118">
      <c r="A6118" s="49">
        <v>45085.42979016204</v>
      </c>
      <c r="B6118" s="50">
        <v>45085.5547661574</v>
      </c>
      <c r="C6118" s="51">
        <v>1.005</v>
      </c>
      <c r="D6118" s="51">
        <v>67.0</v>
      </c>
      <c r="E6118" s="52" t="s">
        <v>25</v>
      </c>
      <c r="F6118" s="52" t="s">
        <v>26</v>
      </c>
      <c r="G6118" s="54"/>
    </row>
    <row r="6119">
      <c r="A6119" s="49">
        <v>45085.44022872685</v>
      </c>
      <c r="B6119" s="50">
        <v>45085.565201331</v>
      </c>
      <c r="C6119" s="51">
        <v>1.004</v>
      </c>
      <c r="D6119" s="51">
        <v>67.0</v>
      </c>
      <c r="E6119" s="52" t="s">
        <v>25</v>
      </c>
      <c r="F6119" s="52" t="s">
        <v>26</v>
      </c>
      <c r="G6119" s="54"/>
    </row>
    <row r="6120">
      <c r="A6120" s="49">
        <v>45085.45065078704</v>
      </c>
      <c r="B6120" s="50">
        <v>45085.5756227777</v>
      </c>
      <c r="C6120" s="51">
        <v>1.005</v>
      </c>
      <c r="D6120" s="51">
        <v>67.0</v>
      </c>
      <c r="E6120" s="52" t="s">
        <v>25</v>
      </c>
      <c r="F6120" s="52" t="s">
        <v>26</v>
      </c>
      <c r="G6120" s="54"/>
    </row>
    <row r="6121">
      <c r="A6121" s="49">
        <v>45085.46106530093</v>
      </c>
      <c r="B6121" s="50">
        <v>45085.5860439583</v>
      </c>
      <c r="C6121" s="51">
        <v>1.005</v>
      </c>
      <c r="D6121" s="51">
        <v>67.0</v>
      </c>
      <c r="E6121" s="52" t="s">
        <v>25</v>
      </c>
      <c r="F6121" s="52" t="s">
        <v>26</v>
      </c>
      <c r="G6121" s="54"/>
    </row>
    <row r="6122">
      <c r="A6122" s="49">
        <v>45085.47150436342</v>
      </c>
      <c r="B6122" s="50">
        <v>45085.5964768287</v>
      </c>
      <c r="C6122" s="51">
        <v>1.005</v>
      </c>
      <c r="D6122" s="51">
        <v>66.0</v>
      </c>
      <c r="E6122" s="52" t="s">
        <v>25</v>
      </c>
      <c r="F6122" s="52" t="s">
        <v>26</v>
      </c>
      <c r="G6122" s="54"/>
    </row>
    <row r="6123">
      <c r="A6123" s="49">
        <v>45085.481949594905</v>
      </c>
      <c r="B6123" s="50">
        <v>45085.606921412</v>
      </c>
      <c r="C6123" s="51">
        <v>1.005</v>
      </c>
      <c r="D6123" s="51">
        <v>67.0</v>
      </c>
      <c r="E6123" s="52" t="s">
        <v>25</v>
      </c>
      <c r="F6123" s="52" t="s">
        <v>26</v>
      </c>
      <c r="G6123" s="54"/>
    </row>
    <row r="6124">
      <c r="A6124" s="49">
        <v>45085.49237658565</v>
      </c>
      <c r="B6124" s="50">
        <v>45085.6173549305</v>
      </c>
      <c r="C6124" s="51">
        <v>1.005</v>
      </c>
      <c r="D6124" s="51">
        <v>67.0</v>
      </c>
      <c r="E6124" s="52" t="s">
        <v>25</v>
      </c>
      <c r="F6124" s="52" t="s">
        <v>26</v>
      </c>
      <c r="G6124" s="54"/>
    </row>
    <row r="6125">
      <c r="A6125" s="49">
        <v>45085.50281348379</v>
      </c>
      <c r="B6125" s="50">
        <v>45085.6277880208</v>
      </c>
      <c r="C6125" s="51">
        <v>1.005</v>
      </c>
      <c r="D6125" s="51">
        <v>67.0</v>
      </c>
      <c r="E6125" s="52" t="s">
        <v>25</v>
      </c>
      <c r="F6125" s="52" t="s">
        <v>26</v>
      </c>
      <c r="G6125" s="54"/>
    </row>
    <row r="6126">
      <c r="A6126" s="49">
        <v>45085.51324555556</v>
      </c>
      <c r="B6126" s="50">
        <v>45085.6382210763</v>
      </c>
      <c r="C6126" s="51">
        <v>1.005</v>
      </c>
      <c r="D6126" s="51">
        <v>67.0</v>
      </c>
      <c r="E6126" s="52" t="s">
        <v>25</v>
      </c>
      <c r="F6126" s="52" t="s">
        <v>26</v>
      </c>
      <c r="G6126" s="54"/>
    </row>
    <row r="6127">
      <c r="A6127" s="49">
        <v>45085.523666759254</v>
      </c>
      <c r="B6127" s="50">
        <v>45085.6486439236</v>
      </c>
      <c r="C6127" s="51">
        <v>1.005</v>
      </c>
      <c r="D6127" s="51">
        <v>67.0</v>
      </c>
      <c r="E6127" s="52" t="s">
        <v>25</v>
      </c>
      <c r="F6127" s="52" t="s">
        <v>26</v>
      </c>
      <c r="G6127" s="54"/>
    </row>
    <row r="6128">
      <c r="A6128" s="49">
        <v>45085.53409494213</v>
      </c>
      <c r="B6128" s="50">
        <v>45085.6590776851</v>
      </c>
      <c r="C6128" s="51">
        <v>1.005</v>
      </c>
      <c r="D6128" s="51">
        <v>67.0</v>
      </c>
      <c r="E6128" s="52" t="s">
        <v>25</v>
      </c>
      <c r="F6128" s="52" t="s">
        <v>26</v>
      </c>
      <c r="G6128" s="54"/>
    </row>
    <row r="6129">
      <c r="A6129" s="49">
        <v>45085.54454163194</v>
      </c>
      <c r="B6129" s="50">
        <v>45085.6695112037</v>
      </c>
      <c r="C6129" s="51">
        <v>1.005</v>
      </c>
      <c r="D6129" s="51">
        <v>67.0</v>
      </c>
      <c r="E6129" s="52" t="s">
        <v>25</v>
      </c>
      <c r="F6129" s="52" t="s">
        <v>26</v>
      </c>
      <c r="G6129" s="54"/>
    </row>
    <row r="6130">
      <c r="A6130" s="49">
        <v>45085.55495898148</v>
      </c>
      <c r="B6130" s="50">
        <v>45085.679931493</v>
      </c>
      <c r="C6130" s="51">
        <v>1.005</v>
      </c>
      <c r="D6130" s="51">
        <v>67.0</v>
      </c>
      <c r="E6130" s="52" t="s">
        <v>25</v>
      </c>
      <c r="F6130" s="52" t="s">
        <v>26</v>
      </c>
      <c r="G6130" s="54"/>
    </row>
    <row r="6131">
      <c r="A6131" s="49">
        <v>45085.56537405093</v>
      </c>
      <c r="B6131" s="50">
        <v>45085.6903508217</v>
      </c>
      <c r="C6131" s="51">
        <v>1.005</v>
      </c>
      <c r="D6131" s="51">
        <v>67.0</v>
      </c>
      <c r="E6131" s="52" t="s">
        <v>25</v>
      </c>
      <c r="F6131" s="52" t="s">
        <v>26</v>
      </c>
      <c r="G6131" s="54"/>
    </row>
    <row r="6132">
      <c r="A6132" s="49">
        <v>45085.57580855324</v>
      </c>
      <c r="B6132" s="50">
        <v>45085.7007852083</v>
      </c>
      <c r="C6132" s="51">
        <v>1.005</v>
      </c>
      <c r="D6132" s="51">
        <v>67.0</v>
      </c>
      <c r="E6132" s="52" t="s">
        <v>25</v>
      </c>
      <c r="F6132" s="52" t="s">
        <v>26</v>
      </c>
      <c r="G6132" s="54"/>
    </row>
    <row r="6133">
      <c r="A6133" s="49">
        <v>45085.586239490745</v>
      </c>
      <c r="B6133" s="50">
        <v>45085.7112180902</v>
      </c>
      <c r="C6133" s="51">
        <v>1.005</v>
      </c>
      <c r="D6133" s="51">
        <v>67.0</v>
      </c>
      <c r="E6133" s="52" t="s">
        <v>25</v>
      </c>
      <c r="F6133" s="52" t="s">
        <v>26</v>
      </c>
      <c r="G6133" s="54"/>
    </row>
    <row r="6134">
      <c r="A6134" s="49">
        <v>45085.59665799768</v>
      </c>
      <c r="B6134" s="50">
        <v>45085.7216407523</v>
      </c>
      <c r="C6134" s="51">
        <v>1.005</v>
      </c>
      <c r="D6134" s="51">
        <v>67.0</v>
      </c>
      <c r="E6134" s="52" t="s">
        <v>25</v>
      </c>
      <c r="F6134" s="52" t="s">
        <v>26</v>
      </c>
      <c r="G6134" s="54"/>
    </row>
    <row r="6135">
      <c r="A6135" s="49">
        <v>45085.60709261574</v>
      </c>
      <c r="B6135" s="50">
        <v>45085.7320628935</v>
      </c>
      <c r="C6135" s="51">
        <v>1.005</v>
      </c>
      <c r="D6135" s="51">
        <v>67.0</v>
      </c>
      <c r="E6135" s="52" t="s">
        <v>25</v>
      </c>
      <c r="F6135" s="52" t="s">
        <v>26</v>
      </c>
      <c r="G6135" s="54"/>
    </row>
    <row r="6136">
      <c r="A6136" s="49">
        <v>45085.617504375</v>
      </c>
      <c r="B6136" s="50">
        <v>45085.7424837037</v>
      </c>
      <c r="C6136" s="51">
        <v>1.005</v>
      </c>
      <c r="D6136" s="51">
        <v>67.0</v>
      </c>
      <c r="E6136" s="52" t="s">
        <v>25</v>
      </c>
      <c r="F6136" s="52" t="s">
        <v>26</v>
      </c>
      <c r="G6136" s="54"/>
    </row>
    <row r="6137">
      <c r="A6137" s="49">
        <v>45085.627931180556</v>
      </c>
      <c r="B6137" s="50">
        <v>45085.7529043865</v>
      </c>
      <c r="C6137" s="51">
        <v>1.005</v>
      </c>
      <c r="D6137" s="51">
        <v>67.0</v>
      </c>
      <c r="E6137" s="52" t="s">
        <v>25</v>
      </c>
      <c r="F6137" s="52" t="s">
        <v>26</v>
      </c>
      <c r="G6137" s="54"/>
    </row>
    <row r="6138">
      <c r="A6138" s="49">
        <v>45085.63834818287</v>
      </c>
      <c r="B6138" s="50">
        <v>45085.7633247685</v>
      </c>
      <c r="C6138" s="51">
        <v>1.005</v>
      </c>
      <c r="D6138" s="51">
        <v>67.0</v>
      </c>
      <c r="E6138" s="52" t="s">
        <v>25</v>
      </c>
      <c r="F6138" s="52" t="s">
        <v>26</v>
      </c>
      <c r="G6138" s="54"/>
    </row>
    <row r="6139">
      <c r="A6139" s="49">
        <v>45085.64877165509</v>
      </c>
      <c r="B6139" s="50">
        <v>45085.7737449421</v>
      </c>
      <c r="C6139" s="51">
        <v>1.005</v>
      </c>
      <c r="D6139" s="51">
        <v>67.0</v>
      </c>
      <c r="E6139" s="52" t="s">
        <v>25</v>
      </c>
      <c r="F6139" s="52" t="s">
        <v>26</v>
      </c>
      <c r="G6139" s="54"/>
    </row>
    <row r="6140">
      <c r="A6140" s="49">
        <v>45085.659182256946</v>
      </c>
      <c r="B6140" s="50">
        <v>45085.7841651388</v>
      </c>
      <c r="C6140" s="51">
        <v>1.005</v>
      </c>
      <c r="D6140" s="51">
        <v>67.0</v>
      </c>
      <c r="E6140" s="52" t="s">
        <v>25</v>
      </c>
      <c r="F6140" s="52" t="s">
        <v>26</v>
      </c>
      <c r="G6140" s="54"/>
    </row>
    <row r="6141">
      <c r="A6141" s="49">
        <v>45085.66961060185</v>
      </c>
      <c r="B6141" s="50">
        <v>45085.7945870254</v>
      </c>
      <c r="C6141" s="51">
        <v>1.005</v>
      </c>
      <c r="D6141" s="51">
        <v>67.0</v>
      </c>
      <c r="E6141" s="52" t="s">
        <v>25</v>
      </c>
      <c r="F6141" s="52" t="s">
        <v>26</v>
      </c>
      <c r="G6141" s="54"/>
    </row>
    <row r="6142">
      <c r="A6142" s="49">
        <v>45085.68003398148</v>
      </c>
      <c r="B6142" s="50">
        <v>45085.8050086689</v>
      </c>
      <c r="C6142" s="51">
        <v>1.005</v>
      </c>
      <c r="D6142" s="51">
        <v>67.0</v>
      </c>
      <c r="E6142" s="52" t="s">
        <v>25</v>
      </c>
      <c r="F6142" s="52" t="s">
        <v>26</v>
      </c>
      <c r="G6142" s="54"/>
    </row>
    <row r="6143">
      <c r="A6143" s="49">
        <v>45085.69046305555</v>
      </c>
      <c r="B6143" s="50">
        <v>45085.815441331</v>
      </c>
      <c r="C6143" s="51">
        <v>1.005</v>
      </c>
      <c r="D6143" s="51">
        <v>67.0</v>
      </c>
      <c r="E6143" s="52" t="s">
        <v>25</v>
      </c>
      <c r="F6143" s="52" t="s">
        <v>26</v>
      </c>
      <c r="G6143" s="54"/>
    </row>
    <row r="6144">
      <c r="A6144" s="49">
        <v>45085.70089143519</v>
      </c>
      <c r="B6144" s="50">
        <v>45085.8258629398</v>
      </c>
      <c r="C6144" s="51">
        <v>1.005</v>
      </c>
      <c r="D6144" s="51">
        <v>67.0</v>
      </c>
      <c r="E6144" s="52" t="s">
        <v>25</v>
      </c>
      <c r="F6144" s="52" t="s">
        <v>26</v>
      </c>
      <c r="G6144" s="54"/>
    </row>
    <row r="6145">
      <c r="A6145" s="49">
        <v>45085.71132364583</v>
      </c>
      <c r="B6145" s="50">
        <v>45085.8362956134</v>
      </c>
      <c r="C6145" s="51">
        <v>1.005</v>
      </c>
      <c r="D6145" s="51">
        <v>67.0</v>
      </c>
      <c r="E6145" s="52" t="s">
        <v>25</v>
      </c>
      <c r="F6145" s="52" t="s">
        <v>26</v>
      </c>
      <c r="G6145" s="54"/>
    </row>
    <row r="6146">
      <c r="A6146" s="49">
        <v>45085.72174850694</v>
      </c>
      <c r="B6146" s="50">
        <v>45085.8467265046</v>
      </c>
      <c r="C6146" s="51">
        <v>1.005</v>
      </c>
      <c r="D6146" s="51">
        <v>67.0</v>
      </c>
      <c r="E6146" s="52" t="s">
        <v>25</v>
      </c>
      <c r="F6146" s="52" t="s">
        <v>26</v>
      </c>
      <c r="G6146" s="54"/>
    </row>
    <row r="6147">
      <c r="A6147" s="49">
        <v>45085.73217081018</v>
      </c>
      <c r="B6147" s="50">
        <v>45085.8571464814</v>
      </c>
      <c r="C6147" s="51">
        <v>1.004</v>
      </c>
      <c r="D6147" s="51">
        <v>67.0</v>
      </c>
      <c r="E6147" s="52" t="s">
        <v>25</v>
      </c>
      <c r="F6147" s="52" t="s">
        <v>26</v>
      </c>
      <c r="G6147" s="54"/>
    </row>
    <row r="6148">
      <c r="A6148" s="49">
        <v>45085.74258265046</v>
      </c>
      <c r="B6148" s="50">
        <v>45085.8675681018</v>
      </c>
      <c r="C6148" s="51">
        <v>1.005</v>
      </c>
      <c r="D6148" s="51">
        <v>67.0</v>
      </c>
      <c r="E6148" s="52" t="s">
        <v>25</v>
      </c>
      <c r="F6148" s="52" t="s">
        <v>26</v>
      </c>
      <c r="G6148" s="54"/>
    </row>
    <row r="6149">
      <c r="A6149" s="49">
        <v>45085.75301119213</v>
      </c>
      <c r="B6149" s="50">
        <v>45085.8779905324</v>
      </c>
      <c r="C6149" s="51">
        <v>1.005</v>
      </c>
      <c r="D6149" s="51">
        <v>67.0</v>
      </c>
      <c r="E6149" s="52" t="s">
        <v>25</v>
      </c>
      <c r="F6149" s="52" t="s">
        <v>26</v>
      </c>
      <c r="G6149" s="54"/>
    </row>
    <row r="6150">
      <c r="A6150" s="49">
        <v>45085.76343605324</v>
      </c>
      <c r="B6150" s="50">
        <v>45085.8884105787</v>
      </c>
      <c r="C6150" s="51">
        <v>1.004</v>
      </c>
      <c r="D6150" s="51">
        <v>67.0</v>
      </c>
      <c r="E6150" s="52" t="s">
        <v>25</v>
      </c>
      <c r="F6150" s="52" t="s">
        <v>26</v>
      </c>
      <c r="G6150" s="54"/>
    </row>
    <row r="6151">
      <c r="A6151" s="49">
        <v>45085.773862372684</v>
      </c>
      <c r="B6151" s="50">
        <v>45085.8988315509</v>
      </c>
      <c r="C6151" s="51">
        <v>1.005</v>
      </c>
      <c r="D6151" s="51">
        <v>67.0</v>
      </c>
      <c r="E6151" s="52" t="s">
        <v>25</v>
      </c>
      <c r="F6151" s="52" t="s">
        <v>26</v>
      </c>
      <c r="G6151" s="54"/>
    </row>
    <row r="6152">
      <c r="A6152" s="49">
        <v>45085.78428635417</v>
      </c>
      <c r="B6152" s="50">
        <v>45085.9092640972</v>
      </c>
      <c r="C6152" s="51">
        <v>1.005</v>
      </c>
      <c r="D6152" s="51">
        <v>67.0</v>
      </c>
      <c r="E6152" s="52" t="s">
        <v>25</v>
      </c>
      <c r="F6152" s="52" t="s">
        <v>26</v>
      </c>
      <c r="G6152" s="54"/>
    </row>
    <row r="6153">
      <c r="A6153" s="49">
        <v>45085.794721805556</v>
      </c>
      <c r="B6153" s="50">
        <v>45085.9196956481</v>
      </c>
      <c r="C6153" s="51">
        <v>1.004</v>
      </c>
      <c r="D6153" s="51">
        <v>67.0</v>
      </c>
      <c r="E6153" s="52" t="s">
        <v>25</v>
      </c>
      <c r="F6153" s="52" t="s">
        <v>26</v>
      </c>
      <c r="G6153" s="54"/>
    </row>
    <row r="6154">
      <c r="A6154" s="49">
        <v>45085.805134803246</v>
      </c>
      <c r="B6154" s="50">
        <v>45085.9301154513</v>
      </c>
      <c r="C6154" s="51">
        <v>1.005</v>
      </c>
      <c r="D6154" s="51">
        <v>67.0</v>
      </c>
      <c r="E6154" s="52" t="s">
        <v>25</v>
      </c>
      <c r="F6154" s="52" t="s">
        <v>26</v>
      </c>
      <c r="G6154" s="54"/>
    </row>
    <row r="6155">
      <c r="A6155" s="49">
        <v>45085.81557559028</v>
      </c>
      <c r="B6155" s="50">
        <v>45085.9405597685</v>
      </c>
      <c r="C6155" s="51">
        <v>1.005</v>
      </c>
      <c r="D6155" s="51">
        <v>67.0</v>
      </c>
      <c r="E6155" s="52" t="s">
        <v>25</v>
      </c>
      <c r="F6155" s="52" t="s">
        <v>26</v>
      </c>
      <c r="G6155" s="54"/>
    </row>
    <row r="6156">
      <c r="A6156" s="49">
        <v>45085.82601040509</v>
      </c>
      <c r="B6156" s="50">
        <v>45085.9509921064</v>
      </c>
      <c r="C6156" s="51">
        <v>1.005</v>
      </c>
      <c r="D6156" s="51">
        <v>67.0</v>
      </c>
      <c r="E6156" s="52" t="s">
        <v>25</v>
      </c>
      <c r="F6156" s="52" t="s">
        <v>26</v>
      </c>
      <c r="G6156" s="54"/>
    </row>
    <row r="6157">
      <c r="A6157" s="49">
        <v>45085.83644002315</v>
      </c>
      <c r="B6157" s="50">
        <v>45085.9614116088</v>
      </c>
      <c r="C6157" s="51">
        <v>1.005</v>
      </c>
      <c r="D6157" s="51">
        <v>67.0</v>
      </c>
      <c r="E6157" s="52" t="s">
        <v>25</v>
      </c>
      <c r="F6157" s="52" t="s">
        <v>26</v>
      </c>
      <c r="G6157" s="54"/>
    </row>
    <row r="6158">
      <c r="A6158" s="49">
        <v>45085.84685461805</v>
      </c>
      <c r="B6158" s="50">
        <v>45085.9718323148</v>
      </c>
      <c r="C6158" s="51">
        <v>1.005</v>
      </c>
      <c r="D6158" s="51">
        <v>67.0</v>
      </c>
      <c r="E6158" s="52" t="s">
        <v>25</v>
      </c>
      <c r="F6158" s="52" t="s">
        <v>26</v>
      </c>
      <c r="G6158" s="54"/>
    </row>
    <row r="6159">
      <c r="A6159" s="49">
        <v>45085.857271319444</v>
      </c>
      <c r="B6159" s="50">
        <v>45085.9822536226</v>
      </c>
      <c r="C6159" s="51">
        <v>1.004</v>
      </c>
      <c r="D6159" s="51">
        <v>67.0</v>
      </c>
      <c r="E6159" s="52" t="s">
        <v>25</v>
      </c>
      <c r="F6159" s="52" t="s">
        <v>26</v>
      </c>
      <c r="G6159" s="54"/>
    </row>
    <row r="6160">
      <c r="A6160" s="49">
        <v>45085.86770379629</v>
      </c>
      <c r="B6160" s="50">
        <v>45085.9926752314</v>
      </c>
      <c r="C6160" s="51">
        <v>1.005</v>
      </c>
      <c r="D6160" s="51">
        <v>67.0</v>
      </c>
      <c r="E6160" s="52" t="s">
        <v>25</v>
      </c>
      <c r="F6160" s="52" t="s">
        <v>26</v>
      </c>
      <c r="G6160" s="54"/>
    </row>
    <row r="6161">
      <c r="A6161" s="49">
        <v>45085.87811701389</v>
      </c>
      <c r="B6161" s="50">
        <v>45086.0030964236</v>
      </c>
      <c r="C6161" s="51">
        <v>1.005</v>
      </c>
      <c r="D6161" s="51">
        <v>67.0</v>
      </c>
      <c r="E6161" s="52" t="s">
        <v>25</v>
      </c>
      <c r="F6161" s="52" t="s">
        <v>26</v>
      </c>
      <c r="G6161" s="54"/>
    </row>
    <row r="6162">
      <c r="A6162" s="49">
        <v>45085.888532997684</v>
      </c>
      <c r="B6162" s="50">
        <v>45086.0135182523</v>
      </c>
      <c r="C6162" s="51">
        <v>1.005</v>
      </c>
      <c r="D6162" s="51">
        <v>67.0</v>
      </c>
      <c r="E6162" s="52" t="s">
        <v>25</v>
      </c>
      <c r="F6162" s="52" t="s">
        <v>26</v>
      </c>
      <c r="G6162" s="54"/>
    </row>
    <row r="6163">
      <c r="A6163" s="49">
        <v>45085.898972905095</v>
      </c>
      <c r="B6163" s="50">
        <v>45086.023950949</v>
      </c>
      <c r="C6163" s="51">
        <v>1.005</v>
      </c>
      <c r="D6163" s="51">
        <v>67.0</v>
      </c>
      <c r="E6163" s="52" t="s">
        <v>25</v>
      </c>
      <c r="F6163" s="52" t="s">
        <v>26</v>
      </c>
      <c r="G6163" s="54"/>
    </row>
    <row r="6164">
      <c r="A6164" s="49">
        <v>45085.90940430555</v>
      </c>
      <c r="B6164" s="50">
        <v>45086.0343837731</v>
      </c>
      <c r="C6164" s="51">
        <v>1.004</v>
      </c>
      <c r="D6164" s="51">
        <v>67.0</v>
      </c>
      <c r="E6164" s="52" t="s">
        <v>25</v>
      </c>
      <c r="F6164" s="52" t="s">
        <v>26</v>
      </c>
      <c r="G6164" s="54"/>
    </row>
    <row r="6165">
      <c r="A6165" s="49">
        <v>45085.91983246528</v>
      </c>
      <c r="B6165" s="50">
        <v>45086.0448138541</v>
      </c>
      <c r="C6165" s="51">
        <v>1.005</v>
      </c>
      <c r="D6165" s="51">
        <v>67.0</v>
      </c>
      <c r="E6165" s="52" t="s">
        <v>25</v>
      </c>
      <c r="F6165" s="52" t="s">
        <v>26</v>
      </c>
      <c r="G6165" s="54"/>
    </row>
    <row r="6166">
      <c r="A6166" s="49">
        <v>45085.930259201385</v>
      </c>
      <c r="B6166" s="50">
        <v>45086.055234375</v>
      </c>
      <c r="C6166" s="51">
        <v>1.005</v>
      </c>
      <c r="D6166" s="51">
        <v>67.0</v>
      </c>
      <c r="E6166" s="52" t="s">
        <v>25</v>
      </c>
      <c r="F6166" s="52" t="s">
        <v>26</v>
      </c>
      <c r="G6166" s="54"/>
    </row>
    <row r="6167">
      <c r="A6167" s="49">
        <v>45085.94067925926</v>
      </c>
      <c r="B6167" s="50">
        <v>45086.0656560532</v>
      </c>
      <c r="C6167" s="51">
        <v>1.005</v>
      </c>
      <c r="D6167" s="51">
        <v>67.0</v>
      </c>
      <c r="E6167" s="52" t="s">
        <v>25</v>
      </c>
      <c r="F6167" s="52" t="s">
        <v>26</v>
      </c>
      <c r="G6167" s="54"/>
    </row>
    <row r="6168">
      <c r="A6168" s="49">
        <v>45085.95110157407</v>
      </c>
      <c r="B6168" s="50">
        <v>45086.0760762037</v>
      </c>
      <c r="C6168" s="51">
        <v>1.004</v>
      </c>
      <c r="D6168" s="51">
        <v>67.0</v>
      </c>
      <c r="E6168" s="52" t="s">
        <v>25</v>
      </c>
      <c r="F6168" s="52" t="s">
        <v>26</v>
      </c>
      <c r="G6168" s="54"/>
    </row>
    <row r="6169">
      <c r="A6169" s="49">
        <v>45085.96151356482</v>
      </c>
      <c r="B6169" s="50">
        <v>45086.0864967013</v>
      </c>
      <c r="C6169" s="51">
        <v>1.004</v>
      </c>
      <c r="D6169" s="51">
        <v>67.0</v>
      </c>
      <c r="E6169" s="52" t="s">
        <v>25</v>
      </c>
      <c r="F6169" s="52" t="s">
        <v>26</v>
      </c>
      <c r="G6169" s="54"/>
    </row>
    <row r="6170">
      <c r="A6170" s="49">
        <v>45085.971950011575</v>
      </c>
      <c r="B6170" s="50">
        <v>45086.096919155</v>
      </c>
      <c r="C6170" s="51">
        <v>1.005</v>
      </c>
      <c r="D6170" s="51">
        <v>67.0</v>
      </c>
      <c r="E6170" s="52" t="s">
        <v>25</v>
      </c>
      <c r="F6170" s="52" t="s">
        <v>26</v>
      </c>
      <c r="G6170" s="54"/>
    </row>
    <row r="6171">
      <c r="A6171" s="49">
        <v>45085.98235957176</v>
      </c>
      <c r="B6171" s="50">
        <v>45086.1073405439</v>
      </c>
      <c r="C6171" s="51">
        <v>1.005</v>
      </c>
      <c r="D6171" s="51">
        <v>67.0</v>
      </c>
      <c r="E6171" s="52" t="s">
        <v>25</v>
      </c>
      <c r="F6171" s="52" t="s">
        <v>26</v>
      </c>
      <c r="G6171" s="54"/>
    </row>
    <row r="6172">
      <c r="A6172" s="49">
        <v>45085.99279152778</v>
      </c>
      <c r="B6172" s="50">
        <v>45086.1177629282</v>
      </c>
      <c r="C6172" s="51">
        <v>1.005</v>
      </c>
      <c r="D6172" s="51">
        <v>67.0</v>
      </c>
      <c r="E6172" s="52" t="s">
        <v>25</v>
      </c>
      <c r="F6172" s="52" t="s">
        <v>26</v>
      </c>
      <c r="G6172" s="54"/>
    </row>
    <row r="6173">
      <c r="A6173" s="49">
        <v>45086.00322219907</v>
      </c>
      <c r="B6173" s="50">
        <v>45086.1281957407</v>
      </c>
      <c r="C6173" s="51">
        <v>1.005</v>
      </c>
      <c r="D6173" s="51">
        <v>67.0</v>
      </c>
      <c r="E6173" s="52" t="s">
        <v>25</v>
      </c>
      <c r="F6173" s="52" t="s">
        <v>26</v>
      </c>
      <c r="G6173" s="54"/>
    </row>
    <row r="6174">
      <c r="A6174" s="49">
        <v>45086.01363832176</v>
      </c>
      <c r="B6174" s="50">
        <v>45086.1386176736</v>
      </c>
      <c r="C6174" s="51">
        <v>1.004</v>
      </c>
      <c r="D6174" s="51">
        <v>67.0</v>
      </c>
      <c r="E6174" s="52" t="s">
        <v>25</v>
      </c>
      <c r="F6174" s="52" t="s">
        <v>26</v>
      </c>
      <c r="G6174" s="54"/>
    </row>
    <row r="6175">
      <c r="A6175" s="49">
        <v>45086.024077870374</v>
      </c>
      <c r="B6175" s="50">
        <v>45086.1490509722</v>
      </c>
      <c r="C6175" s="51">
        <v>1.004</v>
      </c>
      <c r="D6175" s="51">
        <v>67.0</v>
      </c>
      <c r="E6175" s="52" t="s">
        <v>25</v>
      </c>
      <c r="F6175" s="52" t="s">
        <v>26</v>
      </c>
      <c r="G6175" s="54"/>
    </row>
    <row r="6176">
      <c r="A6176" s="49">
        <v>45086.034494293985</v>
      </c>
      <c r="B6176" s="50">
        <v>45086.1594725</v>
      </c>
      <c r="C6176" s="51">
        <v>1.005</v>
      </c>
      <c r="D6176" s="51">
        <v>67.0</v>
      </c>
      <c r="E6176" s="52" t="s">
        <v>25</v>
      </c>
      <c r="F6176" s="52" t="s">
        <v>26</v>
      </c>
      <c r="G6176" s="54"/>
    </row>
    <row r="6177">
      <c r="A6177" s="49">
        <v>45086.04491199074</v>
      </c>
      <c r="B6177" s="50">
        <v>45086.1698922338</v>
      </c>
      <c r="C6177" s="51">
        <v>1.005</v>
      </c>
      <c r="D6177" s="51">
        <v>67.0</v>
      </c>
      <c r="E6177" s="52" t="s">
        <v>25</v>
      </c>
      <c r="F6177" s="52" t="s">
        <v>26</v>
      </c>
      <c r="G6177" s="54"/>
    </row>
    <row r="6178">
      <c r="A6178" s="49">
        <v>45086.05532730324</v>
      </c>
      <c r="B6178" s="50">
        <v>45086.180312199</v>
      </c>
      <c r="C6178" s="51">
        <v>1.004</v>
      </c>
      <c r="D6178" s="51">
        <v>66.0</v>
      </c>
      <c r="E6178" s="52" t="s">
        <v>25</v>
      </c>
      <c r="F6178" s="52" t="s">
        <v>26</v>
      </c>
      <c r="G6178" s="54"/>
    </row>
    <row r="6179">
      <c r="A6179" s="49">
        <v>45086.06575310185</v>
      </c>
      <c r="B6179" s="50">
        <v>45086.1907318402</v>
      </c>
      <c r="C6179" s="51">
        <v>1.005</v>
      </c>
      <c r="D6179" s="51">
        <v>67.0</v>
      </c>
      <c r="E6179" s="52" t="s">
        <v>25</v>
      </c>
      <c r="F6179" s="52" t="s">
        <v>26</v>
      </c>
      <c r="G6179" s="54"/>
    </row>
    <row r="6180">
      <c r="A6180" s="49">
        <v>45086.07617747685</v>
      </c>
      <c r="B6180" s="50">
        <v>45086.2011518402</v>
      </c>
      <c r="C6180" s="51">
        <v>1.005</v>
      </c>
      <c r="D6180" s="51">
        <v>67.0</v>
      </c>
      <c r="E6180" s="52" t="s">
        <v>25</v>
      </c>
      <c r="F6180" s="52" t="s">
        <v>26</v>
      </c>
      <c r="G6180" s="54"/>
    </row>
    <row r="6181">
      <c r="A6181" s="49">
        <v>45086.08661362268</v>
      </c>
      <c r="B6181" s="50">
        <v>45086.2115748958</v>
      </c>
      <c r="C6181" s="51">
        <v>1.005</v>
      </c>
      <c r="D6181" s="51">
        <v>67.0</v>
      </c>
      <c r="E6181" s="52" t="s">
        <v>25</v>
      </c>
      <c r="F6181" s="52" t="s">
        <v>26</v>
      </c>
      <c r="G6181" s="54"/>
    </row>
    <row r="6182">
      <c r="A6182" s="49">
        <v>45086.09702648148</v>
      </c>
      <c r="B6182" s="50">
        <v>45086.2219971643</v>
      </c>
      <c r="C6182" s="51">
        <v>1.004</v>
      </c>
      <c r="D6182" s="51">
        <v>67.0</v>
      </c>
      <c r="E6182" s="52" t="s">
        <v>25</v>
      </c>
      <c r="F6182" s="52" t="s">
        <v>26</v>
      </c>
      <c r="G6182" s="54"/>
    </row>
    <row r="6183">
      <c r="A6183" s="49">
        <v>45086.1074529051</v>
      </c>
      <c r="B6183" s="50">
        <v>45086.2324306944</v>
      </c>
      <c r="C6183" s="51">
        <v>1.004</v>
      </c>
      <c r="D6183" s="51">
        <v>67.0</v>
      </c>
      <c r="E6183" s="52" t="s">
        <v>25</v>
      </c>
      <c r="F6183" s="52" t="s">
        <v>26</v>
      </c>
      <c r="G6183" s="54"/>
    </row>
    <row r="6184">
      <c r="A6184" s="49">
        <v>45086.117871724535</v>
      </c>
      <c r="B6184" s="50">
        <v>45086.2428523495</v>
      </c>
      <c r="C6184" s="51">
        <v>1.005</v>
      </c>
      <c r="D6184" s="51">
        <v>66.0</v>
      </c>
      <c r="E6184" s="52" t="s">
        <v>25</v>
      </c>
      <c r="F6184" s="52" t="s">
        <v>26</v>
      </c>
      <c r="G6184" s="54"/>
    </row>
    <row r="6185">
      <c r="A6185" s="49">
        <v>45086.12828847222</v>
      </c>
      <c r="B6185" s="50">
        <v>45086.2532734837</v>
      </c>
      <c r="C6185" s="51">
        <v>1.005</v>
      </c>
      <c r="D6185" s="51">
        <v>66.0</v>
      </c>
      <c r="E6185" s="52" t="s">
        <v>25</v>
      </c>
      <c r="F6185" s="52" t="s">
        <v>26</v>
      </c>
      <c r="G6185" s="54"/>
    </row>
    <row r="6186">
      <c r="A6186" s="49">
        <v>45086.13872042824</v>
      </c>
      <c r="B6186" s="50">
        <v>45086.2636950925</v>
      </c>
      <c r="C6186" s="51">
        <v>1.004</v>
      </c>
      <c r="D6186" s="51">
        <v>66.0</v>
      </c>
      <c r="E6186" s="52" t="s">
        <v>25</v>
      </c>
      <c r="F6186" s="52" t="s">
        <v>26</v>
      </c>
      <c r="G6186" s="54"/>
    </row>
    <row r="6187">
      <c r="A6187" s="49">
        <v>45086.149137141205</v>
      </c>
      <c r="B6187" s="50">
        <v>45086.2741144907</v>
      </c>
      <c r="C6187" s="51">
        <v>1.005</v>
      </c>
      <c r="D6187" s="51">
        <v>66.0</v>
      </c>
      <c r="E6187" s="52" t="s">
        <v>25</v>
      </c>
      <c r="F6187" s="52" t="s">
        <v>26</v>
      </c>
      <c r="G6187" s="54"/>
    </row>
    <row r="6188">
      <c r="A6188" s="49">
        <v>45086.15956289352</v>
      </c>
      <c r="B6188" s="50">
        <v>45086.2845356365</v>
      </c>
      <c r="C6188" s="51">
        <v>1.005</v>
      </c>
      <c r="D6188" s="51">
        <v>66.0</v>
      </c>
      <c r="E6188" s="52" t="s">
        <v>25</v>
      </c>
      <c r="F6188" s="52" t="s">
        <v>26</v>
      </c>
      <c r="G6188" s="54"/>
    </row>
    <row r="6189">
      <c r="A6189" s="49">
        <v>45086.169991030096</v>
      </c>
      <c r="B6189" s="50">
        <v>45086.2949693865</v>
      </c>
      <c r="C6189" s="51">
        <v>1.004</v>
      </c>
      <c r="D6189" s="51">
        <v>66.0</v>
      </c>
      <c r="E6189" s="52" t="s">
        <v>25</v>
      </c>
      <c r="F6189" s="52" t="s">
        <v>26</v>
      </c>
      <c r="G6189" s="54"/>
    </row>
    <row r="6190">
      <c r="A6190" s="49">
        <v>45086.18041349537</v>
      </c>
      <c r="B6190" s="50">
        <v>45086.3053894675</v>
      </c>
      <c r="C6190" s="51">
        <v>1.004</v>
      </c>
      <c r="D6190" s="51">
        <v>66.0</v>
      </c>
      <c r="E6190" s="52" t="s">
        <v>25</v>
      </c>
      <c r="F6190" s="52" t="s">
        <v>26</v>
      </c>
      <c r="G6190" s="54"/>
    </row>
    <row r="6191">
      <c r="A6191" s="49">
        <v>45086.190839780094</v>
      </c>
      <c r="B6191" s="50">
        <v>45086.3158104629</v>
      </c>
      <c r="C6191" s="51">
        <v>1.004</v>
      </c>
      <c r="D6191" s="51">
        <v>66.0</v>
      </c>
      <c r="E6191" s="52" t="s">
        <v>25</v>
      </c>
      <c r="F6191" s="52" t="s">
        <v>26</v>
      </c>
      <c r="G6191" s="54"/>
    </row>
    <row r="6192">
      <c r="A6192" s="49">
        <v>45086.20125466435</v>
      </c>
      <c r="B6192" s="50">
        <v>45086.3262318981</v>
      </c>
      <c r="C6192" s="51">
        <v>1.004</v>
      </c>
      <c r="D6192" s="51">
        <v>66.0</v>
      </c>
      <c r="E6192" s="52" t="s">
        <v>25</v>
      </c>
      <c r="F6192" s="52" t="s">
        <v>26</v>
      </c>
      <c r="G6192" s="54"/>
    </row>
    <row r="6193">
      <c r="A6193" s="49">
        <v>45086.21168233796</v>
      </c>
      <c r="B6193" s="50">
        <v>45086.3366539351</v>
      </c>
      <c r="C6193" s="51">
        <v>1.004</v>
      </c>
      <c r="D6193" s="51">
        <v>66.0</v>
      </c>
      <c r="E6193" s="52" t="s">
        <v>25</v>
      </c>
      <c r="F6193" s="52" t="s">
        <v>26</v>
      </c>
      <c r="G6193" s="54"/>
    </row>
    <row r="6194">
      <c r="A6194" s="49">
        <v>45086.22210506945</v>
      </c>
      <c r="B6194" s="50">
        <v>45086.3470740972</v>
      </c>
      <c r="C6194" s="51">
        <v>1.004</v>
      </c>
      <c r="D6194" s="51">
        <v>66.0</v>
      </c>
      <c r="E6194" s="52" t="s">
        <v>25</v>
      </c>
      <c r="F6194" s="52" t="s">
        <v>26</v>
      </c>
      <c r="G6194" s="54"/>
    </row>
    <row r="6195">
      <c r="A6195" s="49">
        <v>45086.232555995375</v>
      </c>
      <c r="B6195" s="50">
        <v>45086.357530162</v>
      </c>
      <c r="C6195" s="51">
        <v>1.005</v>
      </c>
      <c r="D6195" s="51">
        <v>66.0</v>
      </c>
      <c r="E6195" s="52" t="s">
        <v>25</v>
      </c>
      <c r="F6195" s="52" t="s">
        <v>26</v>
      </c>
      <c r="G6195" s="54"/>
    </row>
    <row r="6196">
      <c r="A6196" s="49">
        <v>45086.24298003472</v>
      </c>
      <c r="B6196" s="50">
        <v>45086.3679506134</v>
      </c>
      <c r="C6196" s="51">
        <v>1.004</v>
      </c>
      <c r="D6196" s="51">
        <v>66.0</v>
      </c>
      <c r="E6196" s="52" t="s">
        <v>25</v>
      </c>
      <c r="F6196" s="52" t="s">
        <v>26</v>
      </c>
      <c r="G6196" s="54"/>
    </row>
    <row r="6197">
      <c r="A6197" s="49">
        <v>45086.25347135417</v>
      </c>
      <c r="B6197" s="50">
        <v>45086.3783852662</v>
      </c>
      <c r="C6197" s="51">
        <v>1.004</v>
      </c>
      <c r="D6197" s="51">
        <v>66.0</v>
      </c>
      <c r="E6197" s="52" t="s">
        <v>25</v>
      </c>
      <c r="F6197" s="52" t="s">
        <v>26</v>
      </c>
      <c r="G6197" s="54"/>
    </row>
    <row r="6198">
      <c r="A6198" s="49">
        <v>45086.263831840275</v>
      </c>
      <c r="B6198" s="50">
        <v>45086.3888059027</v>
      </c>
      <c r="C6198" s="51">
        <v>1.004</v>
      </c>
      <c r="D6198" s="51">
        <v>66.0</v>
      </c>
      <c r="E6198" s="52" t="s">
        <v>25</v>
      </c>
      <c r="F6198" s="52" t="s">
        <v>26</v>
      </c>
      <c r="G6198" s="54"/>
    </row>
    <row r="6199">
      <c r="A6199" s="49">
        <v>45086.274255682874</v>
      </c>
      <c r="B6199" s="50">
        <v>45086.3992270486</v>
      </c>
      <c r="C6199" s="51">
        <v>1.005</v>
      </c>
      <c r="D6199" s="51">
        <v>66.0</v>
      </c>
      <c r="E6199" s="52" t="s">
        <v>25</v>
      </c>
      <c r="F6199" s="52" t="s">
        <v>26</v>
      </c>
      <c r="G6199" s="54"/>
    </row>
    <row r="6200">
      <c r="A6200" s="49">
        <v>45086.284687569445</v>
      </c>
      <c r="B6200" s="50">
        <v>45086.4096603935</v>
      </c>
      <c r="C6200" s="51">
        <v>1.005</v>
      </c>
      <c r="D6200" s="51">
        <v>66.0</v>
      </c>
      <c r="E6200" s="52" t="s">
        <v>25</v>
      </c>
      <c r="F6200" s="52" t="s">
        <v>26</v>
      </c>
      <c r="G6200" s="54"/>
    </row>
    <row r="6201">
      <c r="A6201" s="49">
        <v>45086.29511525463</v>
      </c>
      <c r="B6201" s="50">
        <v>45086.4200935301</v>
      </c>
      <c r="C6201" s="51">
        <v>1.004</v>
      </c>
      <c r="D6201" s="51">
        <v>66.0</v>
      </c>
      <c r="E6201" s="52" t="s">
        <v>25</v>
      </c>
      <c r="F6201" s="52" t="s">
        <v>26</v>
      </c>
      <c r="G6201" s="54"/>
    </row>
    <row r="6202">
      <c r="A6202" s="49">
        <v>45086.30554609954</v>
      </c>
      <c r="B6202" s="50">
        <v>45086.4305166782</v>
      </c>
      <c r="C6202" s="51">
        <v>1.004</v>
      </c>
      <c r="D6202" s="51">
        <v>66.0</v>
      </c>
      <c r="E6202" s="52" t="s">
        <v>25</v>
      </c>
      <c r="F6202" s="52" t="s">
        <v>26</v>
      </c>
      <c r="G6202" s="54"/>
    </row>
    <row r="6203">
      <c r="A6203" s="49">
        <v>45086.315960486114</v>
      </c>
      <c r="B6203" s="50">
        <v>45086.4409376388</v>
      </c>
      <c r="C6203" s="51">
        <v>1.004</v>
      </c>
      <c r="D6203" s="51">
        <v>66.0</v>
      </c>
      <c r="E6203" s="52" t="s">
        <v>25</v>
      </c>
      <c r="F6203" s="52" t="s">
        <v>26</v>
      </c>
      <c r="G6203" s="54"/>
    </row>
    <row r="6204">
      <c r="A6204" s="49">
        <v>45086.326379907405</v>
      </c>
      <c r="B6204" s="50">
        <v>45086.4513587615</v>
      </c>
      <c r="C6204" s="51">
        <v>1.004</v>
      </c>
      <c r="D6204" s="51">
        <v>66.0</v>
      </c>
      <c r="E6204" s="52" t="s">
        <v>25</v>
      </c>
      <c r="F6204" s="52" t="s">
        <v>26</v>
      </c>
      <c r="G6204" s="54"/>
    </row>
    <row r="6205">
      <c r="A6205" s="49">
        <v>45086.3368040625</v>
      </c>
      <c r="B6205" s="50">
        <v>45086.4617819676</v>
      </c>
      <c r="C6205" s="51">
        <v>1.004</v>
      </c>
      <c r="D6205" s="51">
        <v>66.0</v>
      </c>
      <c r="E6205" s="52" t="s">
        <v>25</v>
      </c>
      <c r="F6205" s="52" t="s">
        <v>26</v>
      </c>
      <c r="G6205" s="54"/>
    </row>
    <row r="6206">
      <c r="A6206" s="49">
        <v>45086.34722609953</v>
      </c>
      <c r="B6206" s="50">
        <v>45086.4722033333</v>
      </c>
      <c r="C6206" s="51">
        <v>1.005</v>
      </c>
      <c r="D6206" s="51">
        <v>66.0</v>
      </c>
      <c r="E6206" s="52" t="s">
        <v>25</v>
      </c>
      <c r="F6206" s="52" t="s">
        <v>26</v>
      </c>
      <c r="G6206" s="54"/>
    </row>
    <row r="6207">
      <c r="A6207" s="49">
        <v>45086.35765559028</v>
      </c>
      <c r="B6207" s="50">
        <v>45086.4826253009</v>
      </c>
      <c r="C6207" s="51">
        <v>1.004</v>
      </c>
      <c r="D6207" s="51">
        <v>66.0</v>
      </c>
      <c r="E6207" s="52" t="s">
        <v>25</v>
      </c>
      <c r="F6207" s="52" t="s">
        <v>26</v>
      </c>
      <c r="G6207" s="54"/>
    </row>
    <row r="6208">
      <c r="A6208" s="49">
        <v>45086.36807515046</v>
      </c>
      <c r="B6208" s="50">
        <v>45086.4930467129</v>
      </c>
      <c r="C6208" s="51">
        <v>1.004</v>
      </c>
      <c r="D6208" s="51">
        <v>66.0</v>
      </c>
      <c r="E6208" s="52" t="s">
        <v>25</v>
      </c>
      <c r="F6208" s="52" t="s">
        <v>26</v>
      </c>
      <c r="G6208" s="54"/>
    </row>
    <row r="6209">
      <c r="A6209" s="49">
        <v>45086.37848802083</v>
      </c>
      <c r="B6209" s="50">
        <v>45086.5034672453</v>
      </c>
      <c r="C6209" s="51">
        <v>1.005</v>
      </c>
      <c r="D6209" s="51">
        <v>66.0</v>
      </c>
      <c r="E6209" s="52" t="s">
        <v>25</v>
      </c>
      <c r="F6209" s="52" t="s">
        <v>26</v>
      </c>
      <c r="G6209" s="54"/>
    </row>
    <row r="6210">
      <c r="A6210" s="49">
        <v>45086.38891574074</v>
      </c>
      <c r="B6210" s="50">
        <v>45086.5138877777</v>
      </c>
      <c r="C6210" s="51">
        <v>1.004</v>
      </c>
      <c r="D6210" s="51">
        <v>66.0</v>
      </c>
      <c r="E6210" s="52" t="s">
        <v>25</v>
      </c>
      <c r="F6210" s="52" t="s">
        <v>26</v>
      </c>
      <c r="G6210" s="54"/>
    </row>
    <row r="6211">
      <c r="A6211" s="49">
        <v>45086.399337870374</v>
      </c>
      <c r="B6211" s="50">
        <v>45086.5243094907</v>
      </c>
      <c r="C6211" s="51">
        <v>1.005</v>
      </c>
      <c r="D6211" s="51">
        <v>66.0</v>
      </c>
      <c r="E6211" s="52" t="s">
        <v>25</v>
      </c>
      <c r="F6211" s="52" t="s">
        <v>26</v>
      </c>
      <c r="G6211" s="54"/>
    </row>
    <row r="6212">
      <c r="A6212" s="49">
        <v>45086.409751087966</v>
      </c>
      <c r="B6212" s="50">
        <v>45086.5347312384</v>
      </c>
      <c r="C6212" s="51">
        <v>1.004</v>
      </c>
      <c r="D6212" s="51">
        <v>66.0</v>
      </c>
      <c r="E6212" s="52" t="s">
        <v>25</v>
      </c>
      <c r="F6212" s="52" t="s">
        <v>26</v>
      </c>
      <c r="G6212" s="54"/>
    </row>
    <row r="6213">
      <c r="A6213" s="49">
        <v>45086.42017706019</v>
      </c>
      <c r="B6213" s="50">
        <v>45086.5451523495</v>
      </c>
      <c r="C6213" s="51">
        <v>1.004</v>
      </c>
      <c r="D6213" s="51">
        <v>66.0</v>
      </c>
      <c r="E6213" s="52" t="s">
        <v>25</v>
      </c>
      <c r="F6213" s="52" t="s">
        <v>26</v>
      </c>
      <c r="G6213" s="54"/>
    </row>
    <row r="6214">
      <c r="A6214" s="49">
        <v>45086.430590625</v>
      </c>
      <c r="B6214" s="50">
        <v>45086.5555735532</v>
      </c>
      <c r="C6214" s="51">
        <v>1.004</v>
      </c>
      <c r="D6214" s="51">
        <v>66.0</v>
      </c>
      <c r="E6214" s="52" t="s">
        <v>25</v>
      </c>
      <c r="F6214" s="52" t="s">
        <v>26</v>
      </c>
      <c r="G6214" s="54"/>
    </row>
    <row r="6215">
      <c r="A6215" s="49">
        <v>45086.441021666666</v>
      </c>
      <c r="B6215" s="50">
        <v>45086.5659955902</v>
      </c>
      <c r="C6215" s="51">
        <v>1.004</v>
      </c>
      <c r="D6215" s="51">
        <v>66.0</v>
      </c>
      <c r="E6215" s="52" t="s">
        <v>25</v>
      </c>
      <c r="F6215" s="52" t="s">
        <v>26</v>
      </c>
      <c r="G6215" s="54"/>
    </row>
    <row r="6216">
      <c r="A6216" s="49">
        <v>45086.45144738426</v>
      </c>
      <c r="B6216" s="50">
        <v>45086.5764199305</v>
      </c>
      <c r="C6216" s="51">
        <v>1.005</v>
      </c>
      <c r="D6216" s="51">
        <v>66.0</v>
      </c>
      <c r="E6216" s="52" t="s">
        <v>25</v>
      </c>
      <c r="F6216" s="52" t="s">
        <v>26</v>
      </c>
      <c r="G6216" s="54"/>
    </row>
    <row r="6217">
      <c r="A6217" s="49">
        <v>45086.46188667824</v>
      </c>
      <c r="B6217" s="50">
        <v>45086.5868526157</v>
      </c>
      <c r="C6217" s="51">
        <v>1.004</v>
      </c>
      <c r="D6217" s="51">
        <v>66.0</v>
      </c>
      <c r="E6217" s="52" t="s">
        <v>25</v>
      </c>
      <c r="F6217" s="52" t="s">
        <v>26</v>
      </c>
      <c r="G6217" s="54"/>
    </row>
    <row r="6218">
      <c r="A6218" s="49">
        <v>45086.472300821755</v>
      </c>
      <c r="B6218" s="50">
        <v>45086.5972749305</v>
      </c>
      <c r="C6218" s="51">
        <v>1.004</v>
      </c>
      <c r="D6218" s="51">
        <v>66.0</v>
      </c>
      <c r="E6218" s="52" t="s">
        <v>25</v>
      </c>
      <c r="F6218" s="52" t="s">
        <v>26</v>
      </c>
      <c r="G6218" s="54"/>
    </row>
    <row r="6219">
      <c r="A6219" s="49">
        <v>45086.48271658565</v>
      </c>
      <c r="B6219" s="50">
        <v>45086.607695868</v>
      </c>
      <c r="C6219" s="51">
        <v>1.005</v>
      </c>
      <c r="D6219" s="51">
        <v>66.0</v>
      </c>
      <c r="E6219" s="52" t="s">
        <v>25</v>
      </c>
      <c r="F6219" s="52" t="s">
        <v>26</v>
      </c>
      <c r="G6219" s="54"/>
    </row>
    <row r="6220">
      <c r="A6220" s="49">
        <v>45086.49314839121</v>
      </c>
      <c r="B6220" s="50">
        <v>45086.618117824</v>
      </c>
      <c r="C6220" s="51">
        <v>1.004</v>
      </c>
      <c r="D6220" s="51">
        <v>66.0</v>
      </c>
      <c r="E6220" s="52" t="s">
        <v>25</v>
      </c>
      <c r="F6220" s="52" t="s">
        <v>26</v>
      </c>
      <c r="G6220" s="54"/>
    </row>
    <row r="6221">
      <c r="A6221" s="49">
        <v>45086.50356891204</v>
      </c>
      <c r="B6221" s="50">
        <v>45086.6285381713</v>
      </c>
      <c r="C6221" s="51">
        <v>1.004</v>
      </c>
      <c r="D6221" s="51">
        <v>66.0</v>
      </c>
      <c r="E6221" s="52" t="s">
        <v>25</v>
      </c>
      <c r="F6221" s="52" t="s">
        <v>26</v>
      </c>
      <c r="G6221" s="54"/>
    </row>
    <row r="6222">
      <c r="A6222" s="49">
        <v>45086.5139924074</v>
      </c>
      <c r="B6222" s="50">
        <v>45086.6389609606</v>
      </c>
      <c r="C6222" s="51">
        <v>1.004</v>
      </c>
      <c r="D6222" s="51">
        <v>66.0</v>
      </c>
      <c r="E6222" s="52" t="s">
        <v>25</v>
      </c>
      <c r="F6222" s="52" t="s">
        <v>26</v>
      </c>
      <c r="G6222" s="54"/>
    </row>
    <row r="6223">
      <c r="A6223" s="49">
        <v>45086.52440815972</v>
      </c>
      <c r="B6223" s="50">
        <v>45086.6493812615</v>
      </c>
      <c r="C6223" s="51">
        <v>1.004</v>
      </c>
      <c r="D6223" s="51">
        <v>66.0</v>
      </c>
      <c r="E6223" s="52" t="s">
        <v>25</v>
      </c>
      <c r="F6223" s="52" t="s">
        <v>26</v>
      </c>
      <c r="G6223" s="54"/>
    </row>
    <row r="6224">
      <c r="A6224" s="49">
        <v>45086.53482818287</v>
      </c>
      <c r="B6224" s="50">
        <v>45086.6598040162</v>
      </c>
      <c r="C6224" s="51">
        <v>1.004</v>
      </c>
      <c r="D6224" s="51">
        <v>66.0</v>
      </c>
      <c r="E6224" s="52" t="s">
        <v>25</v>
      </c>
      <c r="F6224" s="52" t="s">
        <v>26</v>
      </c>
      <c r="G6224" s="54"/>
    </row>
    <row r="6225">
      <c r="A6225" s="49">
        <v>45086.54524535879</v>
      </c>
      <c r="B6225" s="50">
        <v>45086.6702233796</v>
      </c>
      <c r="C6225" s="51">
        <v>1.004</v>
      </c>
      <c r="D6225" s="51">
        <v>66.0</v>
      </c>
      <c r="E6225" s="52" t="s">
        <v>25</v>
      </c>
      <c r="F6225" s="52" t="s">
        <v>26</v>
      </c>
      <c r="G6225" s="54"/>
    </row>
    <row r="6226">
      <c r="A6226" s="49">
        <v>45086.55567465277</v>
      </c>
      <c r="B6226" s="50">
        <v>45086.6806443634</v>
      </c>
      <c r="C6226" s="51">
        <v>1.004</v>
      </c>
      <c r="D6226" s="51">
        <v>66.0</v>
      </c>
      <c r="E6226" s="52" t="s">
        <v>25</v>
      </c>
      <c r="F6226" s="52" t="s">
        <v>26</v>
      </c>
      <c r="G6226" s="54"/>
    </row>
    <row r="6227">
      <c r="A6227" s="49">
        <v>45086.56610401621</v>
      </c>
      <c r="B6227" s="50">
        <v>45086.6910773842</v>
      </c>
      <c r="C6227" s="51">
        <v>1.004</v>
      </c>
      <c r="D6227" s="51">
        <v>66.0</v>
      </c>
      <c r="E6227" s="52" t="s">
        <v>25</v>
      </c>
      <c r="F6227" s="52" t="s">
        <v>26</v>
      </c>
      <c r="G6227" s="54"/>
    </row>
    <row r="6228">
      <c r="A6228" s="49">
        <v>45086.576520567134</v>
      </c>
      <c r="B6228" s="50">
        <v>45086.7014972338</v>
      </c>
      <c r="C6228" s="51">
        <v>1.004</v>
      </c>
      <c r="D6228" s="51">
        <v>66.0</v>
      </c>
      <c r="E6228" s="52" t="s">
        <v>25</v>
      </c>
      <c r="F6228" s="52" t="s">
        <v>26</v>
      </c>
      <c r="G6228" s="54"/>
    </row>
    <row r="6229">
      <c r="A6229" s="49">
        <v>45086.58696230324</v>
      </c>
      <c r="B6229" s="50">
        <v>45086.7119405324</v>
      </c>
      <c r="C6229" s="51">
        <v>1.004</v>
      </c>
      <c r="D6229" s="51">
        <v>66.0</v>
      </c>
      <c r="E6229" s="52" t="s">
        <v>25</v>
      </c>
      <c r="F6229" s="52" t="s">
        <v>26</v>
      </c>
      <c r="G6229" s="54"/>
    </row>
    <row r="6230">
      <c r="A6230" s="49">
        <v>45086.59740266204</v>
      </c>
      <c r="B6230" s="50">
        <v>45086.7223740046</v>
      </c>
      <c r="C6230" s="51">
        <v>1.004</v>
      </c>
      <c r="D6230" s="51">
        <v>66.0</v>
      </c>
      <c r="E6230" s="52" t="s">
        <v>25</v>
      </c>
      <c r="F6230" s="52" t="s">
        <v>26</v>
      </c>
      <c r="G6230" s="54"/>
    </row>
    <row r="6231">
      <c r="A6231" s="49">
        <v>45086.607820370366</v>
      </c>
      <c r="B6231" s="50">
        <v>45086.7327964236</v>
      </c>
      <c r="C6231" s="51">
        <v>1.004</v>
      </c>
      <c r="D6231" s="51">
        <v>66.0</v>
      </c>
      <c r="E6231" s="52" t="s">
        <v>25</v>
      </c>
      <c r="F6231" s="52" t="s">
        <v>26</v>
      </c>
      <c r="G6231" s="54"/>
    </row>
    <row r="6232">
      <c r="A6232" s="49">
        <v>45086.61823395833</v>
      </c>
      <c r="B6232" s="50">
        <v>45086.743215949</v>
      </c>
      <c r="C6232" s="51">
        <v>1.004</v>
      </c>
      <c r="D6232" s="51">
        <v>66.0</v>
      </c>
      <c r="E6232" s="52" t="s">
        <v>25</v>
      </c>
      <c r="F6232" s="52" t="s">
        <v>26</v>
      </c>
      <c r="G6232" s="54"/>
    </row>
    <row r="6233">
      <c r="A6233" s="49">
        <v>45086.628677002314</v>
      </c>
      <c r="B6233" s="50">
        <v>45086.7536498148</v>
      </c>
      <c r="C6233" s="51">
        <v>1.004</v>
      </c>
      <c r="D6233" s="51">
        <v>66.0</v>
      </c>
      <c r="E6233" s="52" t="s">
        <v>25</v>
      </c>
      <c r="F6233" s="52" t="s">
        <v>26</v>
      </c>
      <c r="G6233" s="54"/>
    </row>
    <row r="6234">
      <c r="A6234" s="49">
        <v>45086.639090254626</v>
      </c>
      <c r="B6234" s="50">
        <v>45086.7640726736</v>
      </c>
      <c r="C6234" s="51">
        <v>1.004</v>
      </c>
      <c r="D6234" s="51">
        <v>66.0</v>
      </c>
      <c r="E6234" s="52" t="s">
        <v>25</v>
      </c>
      <c r="F6234" s="52" t="s">
        <v>26</v>
      </c>
      <c r="G6234" s="54"/>
    </row>
    <row r="6235">
      <c r="A6235" s="49">
        <v>45086.64955714121</v>
      </c>
      <c r="B6235" s="50">
        <v>45086.7745287384</v>
      </c>
      <c r="C6235" s="51">
        <v>1.005</v>
      </c>
      <c r="D6235" s="51">
        <v>66.0</v>
      </c>
      <c r="E6235" s="52" t="s">
        <v>25</v>
      </c>
      <c r="F6235" s="52" t="s">
        <v>26</v>
      </c>
      <c r="G6235" s="54"/>
    </row>
    <row r="6236">
      <c r="A6236" s="49">
        <v>45086.659993611116</v>
      </c>
      <c r="B6236" s="50">
        <v>45086.7849711805</v>
      </c>
      <c r="C6236" s="51">
        <v>1.004</v>
      </c>
      <c r="D6236" s="51">
        <v>67.0</v>
      </c>
      <c r="E6236" s="52" t="s">
        <v>25</v>
      </c>
      <c r="F6236" s="52" t="s">
        <v>26</v>
      </c>
      <c r="G6236" s="54"/>
    </row>
    <row r="6237">
      <c r="A6237" s="49">
        <v>45086.67041142361</v>
      </c>
      <c r="B6237" s="50">
        <v>45086.7953924074</v>
      </c>
      <c r="C6237" s="51">
        <v>1.004</v>
      </c>
      <c r="D6237" s="51">
        <v>66.0</v>
      </c>
      <c r="E6237" s="52" t="s">
        <v>25</v>
      </c>
      <c r="F6237" s="52" t="s">
        <v>26</v>
      </c>
      <c r="G6237" s="54"/>
    </row>
    <row r="6238">
      <c r="A6238" s="49">
        <v>45086.680852488425</v>
      </c>
      <c r="B6238" s="50">
        <v>45086.8058267592</v>
      </c>
      <c r="C6238" s="51">
        <v>1.004</v>
      </c>
      <c r="D6238" s="51">
        <v>66.0</v>
      </c>
      <c r="E6238" s="52" t="s">
        <v>25</v>
      </c>
      <c r="F6238" s="52" t="s">
        <v>26</v>
      </c>
      <c r="G6238" s="54"/>
    </row>
    <row r="6239">
      <c r="A6239" s="49">
        <v>45086.691294675926</v>
      </c>
      <c r="B6239" s="50">
        <v>45086.8162721875</v>
      </c>
      <c r="C6239" s="51">
        <v>1.004</v>
      </c>
      <c r="D6239" s="51">
        <v>66.0</v>
      </c>
      <c r="E6239" s="52" t="s">
        <v>25</v>
      </c>
      <c r="F6239" s="52" t="s">
        <v>26</v>
      </c>
      <c r="G6239" s="54"/>
    </row>
    <row r="6240">
      <c r="A6240" s="49">
        <v>45086.70171934028</v>
      </c>
      <c r="B6240" s="50">
        <v>45086.8266936689</v>
      </c>
      <c r="C6240" s="51">
        <v>1.004</v>
      </c>
      <c r="D6240" s="51">
        <v>66.0</v>
      </c>
      <c r="E6240" s="52" t="s">
        <v>25</v>
      </c>
      <c r="F6240" s="52" t="s">
        <v>26</v>
      </c>
      <c r="G6240" s="54"/>
    </row>
    <row r="6241">
      <c r="A6241" s="49">
        <v>45086.712134155096</v>
      </c>
      <c r="B6241" s="50">
        <v>45086.8371129398</v>
      </c>
      <c r="C6241" s="51">
        <v>1.004</v>
      </c>
      <c r="D6241" s="51">
        <v>66.0</v>
      </c>
      <c r="E6241" s="52" t="s">
        <v>25</v>
      </c>
      <c r="F6241" s="52" t="s">
        <v>26</v>
      </c>
      <c r="G6241" s="54"/>
    </row>
    <row r="6242">
      <c r="A6242" s="49">
        <v>45086.722551307874</v>
      </c>
      <c r="B6242" s="50">
        <v>45086.8475363773</v>
      </c>
      <c r="C6242" s="51">
        <v>1.004</v>
      </c>
      <c r="D6242" s="51">
        <v>66.0</v>
      </c>
      <c r="E6242" s="52" t="s">
        <v>25</v>
      </c>
      <c r="F6242" s="52" t="s">
        <v>26</v>
      </c>
      <c r="G6242" s="54"/>
    </row>
    <row r="6243">
      <c r="A6243" s="49">
        <v>45086.73297287037</v>
      </c>
      <c r="B6243" s="50">
        <v>45086.8579583912</v>
      </c>
      <c r="C6243" s="51">
        <v>1.004</v>
      </c>
      <c r="D6243" s="51">
        <v>66.0</v>
      </c>
      <c r="E6243" s="52" t="s">
        <v>25</v>
      </c>
      <c r="F6243" s="52" t="s">
        <v>26</v>
      </c>
      <c r="G6243" s="54"/>
    </row>
    <row r="6244">
      <c r="A6244" s="49">
        <v>45086.74341591435</v>
      </c>
      <c r="B6244" s="50">
        <v>45086.8683908101</v>
      </c>
      <c r="C6244" s="51">
        <v>1.004</v>
      </c>
      <c r="D6244" s="51">
        <v>66.0</v>
      </c>
      <c r="E6244" s="52" t="s">
        <v>25</v>
      </c>
      <c r="F6244" s="52" t="s">
        <v>26</v>
      </c>
      <c r="G6244" s="54"/>
    </row>
    <row r="6245">
      <c r="A6245" s="49">
        <v>45086.753850277775</v>
      </c>
      <c r="B6245" s="50">
        <v>45086.8788231018</v>
      </c>
      <c r="C6245" s="51">
        <v>1.004</v>
      </c>
      <c r="D6245" s="51">
        <v>66.0</v>
      </c>
      <c r="E6245" s="52" t="s">
        <v>25</v>
      </c>
      <c r="F6245" s="52" t="s">
        <v>26</v>
      </c>
      <c r="G6245" s="54"/>
    </row>
    <row r="6246">
      <c r="A6246" s="49">
        <v>45086.7642753588</v>
      </c>
      <c r="B6246" s="50">
        <v>45086.8892565856</v>
      </c>
      <c r="C6246" s="51">
        <v>1.004</v>
      </c>
      <c r="D6246" s="51">
        <v>66.0</v>
      </c>
      <c r="E6246" s="52" t="s">
        <v>25</v>
      </c>
      <c r="F6246" s="52" t="s">
        <v>26</v>
      </c>
      <c r="G6246" s="54"/>
    </row>
    <row r="6247">
      <c r="A6247" s="49">
        <v>45086.77469931713</v>
      </c>
      <c r="B6247" s="50">
        <v>45086.8996779166</v>
      </c>
      <c r="C6247" s="51">
        <v>1.004</v>
      </c>
      <c r="D6247" s="51">
        <v>66.0</v>
      </c>
      <c r="E6247" s="52" t="s">
        <v>25</v>
      </c>
      <c r="F6247" s="52" t="s">
        <v>26</v>
      </c>
      <c r="G6247" s="54"/>
    </row>
    <row r="6248">
      <c r="A6248" s="49">
        <v>45086.785135185186</v>
      </c>
      <c r="B6248" s="50">
        <v>45086.9101100347</v>
      </c>
      <c r="C6248" s="51">
        <v>1.004</v>
      </c>
      <c r="D6248" s="51">
        <v>67.0</v>
      </c>
      <c r="E6248" s="52" t="s">
        <v>25</v>
      </c>
      <c r="F6248" s="52" t="s">
        <v>26</v>
      </c>
      <c r="G6248" s="54"/>
    </row>
    <row r="6249">
      <c r="A6249" s="49">
        <v>45086.795558356476</v>
      </c>
      <c r="B6249" s="50">
        <v>45086.9205308449</v>
      </c>
      <c r="C6249" s="51">
        <v>1.004</v>
      </c>
      <c r="D6249" s="51">
        <v>66.0</v>
      </c>
      <c r="E6249" s="52" t="s">
        <v>25</v>
      </c>
      <c r="F6249" s="52" t="s">
        <v>26</v>
      </c>
      <c r="G6249" s="54"/>
    </row>
    <row r="6250">
      <c r="A6250" s="49">
        <v>45086.805969270834</v>
      </c>
      <c r="B6250" s="50">
        <v>45086.930952662</v>
      </c>
      <c r="C6250" s="51">
        <v>1.004</v>
      </c>
      <c r="D6250" s="51">
        <v>67.0</v>
      </c>
      <c r="E6250" s="52" t="s">
        <v>25</v>
      </c>
      <c r="F6250" s="52" t="s">
        <v>26</v>
      </c>
      <c r="G6250" s="54"/>
    </row>
    <row r="6251">
      <c r="A6251" s="49">
        <v>45086.81640689815</v>
      </c>
      <c r="B6251" s="50">
        <v>45086.9413846643</v>
      </c>
      <c r="C6251" s="51">
        <v>1.004</v>
      </c>
      <c r="D6251" s="51">
        <v>66.0</v>
      </c>
      <c r="E6251" s="52" t="s">
        <v>25</v>
      </c>
      <c r="F6251" s="52" t="s">
        <v>26</v>
      </c>
      <c r="G6251" s="54"/>
    </row>
    <row r="6252">
      <c r="A6252" s="49">
        <v>45086.82682989583</v>
      </c>
      <c r="B6252" s="50">
        <v>45086.9518052662</v>
      </c>
      <c r="C6252" s="51">
        <v>1.004</v>
      </c>
      <c r="D6252" s="51">
        <v>66.0</v>
      </c>
      <c r="E6252" s="52" t="s">
        <v>25</v>
      </c>
      <c r="F6252" s="52" t="s">
        <v>26</v>
      </c>
      <c r="G6252" s="54"/>
    </row>
    <row r="6253">
      <c r="A6253" s="49">
        <v>45086.83726344907</v>
      </c>
      <c r="B6253" s="50">
        <v>45086.9622387268</v>
      </c>
      <c r="C6253" s="51">
        <v>1.004</v>
      </c>
      <c r="D6253" s="51">
        <v>66.0</v>
      </c>
      <c r="E6253" s="52" t="s">
        <v>25</v>
      </c>
      <c r="F6253" s="52" t="s">
        <v>26</v>
      </c>
      <c r="G6253" s="54"/>
    </row>
    <row r="6254">
      <c r="A6254" s="49">
        <v>45086.847689525464</v>
      </c>
      <c r="B6254" s="50">
        <v>45086.9726590277</v>
      </c>
      <c r="C6254" s="51">
        <v>1.004</v>
      </c>
      <c r="D6254" s="51">
        <v>66.0</v>
      </c>
      <c r="E6254" s="52" t="s">
        <v>25</v>
      </c>
      <c r="F6254" s="52" t="s">
        <v>26</v>
      </c>
      <c r="G6254" s="54"/>
    </row>
    <row r="6255">
      <c r="A6255" s="49">
        <v>45086.858101412035</v>
      </c>
      <c r="B6255" s="50">
        <v>45086.9830792824</v>
      </c>
      <c r="C6255" s="51">
        <v>1.004</v>
      </c>
      <c r="D6255" s="51">
        <v>66.0</v>
      </c>
      <c r="E6255" s="52" t="s">
        <v>25</v>
      </c>
      <c r="F6255" s="52" t="s">
        <v>26</v>
      </c>
      <c r="G6255" s="54"/>
    </row>
    <row r="6256">
      <c r="A6256" s="49">
        <v>45086.86851721065</v>
      </c>
      <c r="B6256" s="50">
        <v>45086.9934985532</v>
      </c>
      <c r="C6256" s="51">
        <v>1.004</v>
      </c>
      <c r="D6256" s="51">
        <v>66.0</v>
      </c>
      <c r="E6256" s="52" t="s">
        <v>25</v>
      </c>
      <c r="F6256" s="52" t="s">
        <v>26</v>
      </c>
      <c r="G6256" s="54"/>
    </row>
    <row r="6257">
      <c r="A6257" s="49">
        <v>45086.87897356482</v>
      </c>
      <c r="B6257" s="50">
        <v>45087.0039454976</v>
      </c>
      <c r="C6257" s="51">
        <v>1.004</v>
      </c>
      <c r="D6257" s="51">
        <v>66.0</v>
      </c>
      <c r="E6257" s="52" t="s">
        <v>25</v>
      </c>
      <c r="F6257" s="52" t="s">
        <v>26</v>
      </c>
      <c r="G6257" s="54"/>
    </row>
    <row r="6258">
      <c r="A6258" s="49">
        <v>45086.88938902778</v>
      </c>
      <c r="B6258" s="50">
        <v>45087.0143645254</v>
      </c>
      <c r="C6258" s="51">
        <v>1.004</v>
      </c>
      <c r="D6258" s="51">
        <v>67.0</v>
      </c>
      <c r="E6258" s="52" t="s">
        <v>25</v>
      </c>
      <c r="F6258" s="52" t="s">
        <v>26</v>
      </c>
      <c r="G6258" s="54"/>
    </row>
    <row r="6259">
      <c r="A6259" s="49">
        <v>45086.899807141206</v>
      </c>
      <c r="B6259" s="50">
        <v>45087.0247844328</v>
      </c>
      <c r="C6259" s="51">
        <v>1.004</v>
      </c>
      <c r="D6259" s="51">
        <v>67.0</v>
      </c>
      <c r="E6259" s="52" t="s">
        <v>25</v>
      </c>
      <c r="F6259" s="52" t="s">
        <v>26</v>
      </c>
      <c r="G6259" s="54"/>
    </row>
    <row r="6260">
      <c r="A6260" s="49">
        <v>45086.9102359838</v>
      </c>
      <c r="B6260" s="50">
        <v>45087.0352063657</v>
      </c>
      <c r="C6260" s="51">
        <v>1.004</v>
      </c>
      <c r="D6260" s="51">
        <v>66.0</v>
      </c>
      <c r="E6260" s="52" t="s">
        <v>25</v>
      </c>
      <c r="F6260" s="52" t="s">
        <v>26</v>
      </c>
      <c r="G6260" s="54"/>
    </row>
    <row r="6261">
      <c r="A6261" s="49">
        <v>45086.92064778935</v>
      </c>
      <c r="B6261" s="50">
        <v>45087.0456276504</v>
      </c>
      <c r="C6261" s="51">
        <v>1.004</v>
      </c>
      <c r="D6261" s="51">
        <v>66.0</v>
      </c>
      <c r="E6261" s="52" t="s">
        <v>25</v>
      </c>
      <c r="F6261" s="52" t="s">
        <v>26</v>
      </c>
      <c r="G6261" s="54"/>
    </row>
    <row r="6262">
      <c r="A6262" s="49">
        <v>45086.9310765625</v>
      </c>
      <c r="B6262" s="50">
        <v>45087.0560502314</v>
      </c>
      <c r="C6262" s="51">
        <v>1.004</v>
      </c>
      <c r="D6262" s="51">
        <v>66.0</v>
      </c>
      <c r="E6262" s="52" t="s">
        <v>25</v>
      </c>
      <c r="F6262" s="52" t="s">
        <v>26</v>
      </c>
      <c r="G6262" s="54"/>
    </row>
    <row r="6263">
      <c r="A6263" s="49">
        <v>45086.94150540509</v>
      </c>
      <c r="B6263" s="50">
        <v>45087.0664830555</v>
      </c>
      <c r="C6263" s="51">
        <v>1.004</v>
      </c>
      <c r="D6263" s="51">
        <v>66.0</v>
      </c>
      <c r="E6263" s="52" t="s">
        <v>25</v>
      </c>
      <c r="F6263" s="52" t="s">
        <v>26</v>
      </c>
      <c r="G6263" s="54"/>
    </row>
    <row r="6264">
      <c r="A6264" s="49">
        <v>45086.95193509259</v>
      </c>
      <c r="B6264" s="50">
        <v>45087.076905625</v>
      </c>
      <c r="C6264" s="51">
        <v>1.004</v>
      </c>
      <c r="D6264" s="51">
        <v>66.0</v>
      </c>
      <c r="E6264" s="52" t="s">
        <v>25</v>
      </c>
      <c r="F6264" s="52" t="s">
        <v>26</v>
      </c>
      <c r="G6264" s="54"/>
    </row>
    <row r="6265">
      <c r="A6265" s="49">
        <v>45086.962363125</v>
      </c>
      <c r="B6265" s="50">
        <v>45087.0873397338</v>
      </c>
      <c r="C6265" s="51">
        <v>1.004</v>
      </c>
      <c r="D6265" s="51">
        <v>66.0</v>
      </c>
      <c r="E6265" s="52" t="s">
        <v>25</v>
      </c>
      <c r="F6265" s="52" t="s">
        <v>26</v>
      </c>
      <c r="G6265" s="54"/>
    </row>
    <row r="6266">
      <c r="A6266" s="49">
        <v>45086.97277969908</v>
      </c>
      <c r="B6266" s="50">
        <v>45087.0977595138</v>
      </c>
      <c r="C6266" s="51">
        <v>1.004</v>
      </c>
      <c r="D6266" s="51">
        <v>66.0</v>
      </c>
      <c r="E6266" s="52" t="s">
        <v>25</v>
      </c>
      <c r="F6266" s="52" t="s">
        <v>26</v>
      </c>
      <c r="G6266" s="54"/>
    </row>
    <row r="6267">
      <c r="A6267" s="49">
        <v>45086.983205937504</v>
      </c>
      <c r="B6267" s="50">
        <v>45087.1081808333</v>
      </c>
      <c r="C6267" s="51">
        <v>1.004</v>
      </c>
      <c r="D6267" s="51">
        <v>66.0</v>
      </c>
      <c r="E6267" s="52" t="s">
        <v>25</v>
      </c>
      <c r="F6267" s="52" t="s">
        <v>26</v>
      </c>
      <c r="G6267" s="54"/>
    </row>
    <row r="6268">
      <c r="A6268" s="49">
        <v>45086.99363512731</v>
      </c>
      <c r="B6268" s="50">
        <v>45087.1186128009</v>
      </c>
      <c r="C6268" s="51">
        <v>1.004</v>
      </c>
      <c r="D6268" s="51">
        <v>67.0</v>
      </c>
      <c r="E6268" s="52" t="s">
        <v>25</v>
      </c>
      <c r="F6268" s="52" t="s">
        <v>26</v>
      </c>
      <c r="G6268" s="54"/>
    </row>
    <row r="6269">
      <c r="A6269" s="49">
        <v>45087.00405782407</v>
      </c>
      <c r="B6269" s="50">
        <v>45087.1290338078</v>
      </c>
      <c r="C6269" s="51">
        <v>1.004</v>
      </c>
      <c r="D6269" s="51">
        <v>66.0</v>
      </c>
      <c r="E6269" s="52" t="s">
        <v>25</v>
      </c>
      <c r="F6269" s="52" t="s">
        <v>26</v>
      </c>
      <c r="G6269" s="54"/>
    </row>
    <row r="6270">
      <c r="A6270" s="49">
        <v>45087.01448539352</v>
      </c>
      <c r="B6270" s="50">
        <v>45087.1394649074</v>
      </c>
      <c r="C6270" s="51">
        <v>1.004</v>
      </c>
      <c r="D6270" s="51">
        <v>66.0</v>
      </c>
      <c r="E6270" s="52" t="s">
        <v>25</v>
      </c>
      <c r="F6270" s="52" t="s">
        <v>26</v>
      </c>
      <c r="G6270" s="54"/>
    </row>
    <row r="6271">
      <c r="A6271" s="49">
        <v>45087.024915092596</v>
      </c>
      <c r="B6271" s="50">
        <v>45087.1498866088</v>
      </c>
      <c r="C6271" s="51">
        <v>1.004</v>
      </c>
      <c r="D6271" s="51">
        <v>66.0</v>
      </c>
      <c r="E6271" s="52" t="s">
        <v>25</v>
      </c>
      <c r="F6271" s="52" t="s">
        <v>26</v>
      </c>
      <c r="G6271" s="54"/>
    </row>
    <row r="6272">
      <c r="A6272" s="49">
        <v>45087.03532818287</v>
      </c>
      <c r="B6272" s="50">
        <v>45087.160307824</v>
      </c>
      <c r="C6272" s="51">
        <v>1.004</v>
      </c>
      <c r="D6272" s="51">
        <v>66.0</v>
      </c>
      <c r="E6272" s="52" t="s">
        <v>25</v>
      </c>
      <c r="F6272" s="52" t="s">
        <v>26</v>
      </c>
      <c r="G6272" s="54"/>
    </row>
    <row r="6273">
      <c r="A6273" s="49">
        <v>45087.045747662036</v>
      </c>
      <c r="B6273" s="50">
        <v>45087.170730324</v>
      </c>
      <c r="C6273" s="51">
        <v>1.004</v>
      </c>
      <c r="D6273" s="51">
        <v>66.0</v>
      </c>
      <c r="E6273" s="52" t="s">
        <v>25</v>
      </c>
      <c r="F6273" s="52" t="s">
        <v>26</v>
      </c>
      <c r="G6273" s="54"/>
    </row>
    <row r="6274">
      <c r="A6274" s="49">
        <v>45087.056170868054</v>
      </c>
      <c r="B6274" s="50">
        <v>45087.1811514004</v>
      </c>
      <c r="C6274" s="51">
        <v>1.004</v>
      </c>
      <c r="D6274" s="51">
        <v>66.0</v>
      </c>
      <c r="E6274" s="52" t="s">
        <v>25</v>
      </c>
      <c r="F6274" s="52" t="s">
        <v>26</v>
      </c>
      <c r="G6274" s="54"/>
    </row>
    <row r="6275">
      <c r="A6275" s="49">
        <v>45087.06659277777</v>
      </c>
      <c r="B6275" s="50">
        <v>45087.1915732291</v>
      </c>
      <c r="C6275" s="51">
        <v>1.004</v>
      </c>
      <c r="D6275" s="51">
        <v>66.0</v>
      </c>
      <c r="E6275" s="52" t="s">
        <v>25</v>
      </c>
      <c r="F6275" s="52" t="s">
        <v>26</v>
      </c>
      <c r="G6275" s="54"/>
    </row>
    <row r="6276">
      <c r="A6276" s="49">
        <v>45087.07701814815</v>
      </c>
      <c r="B6276" s="50">
        <v>45087.201994074</v>
      </c>
      <c r="C6276" s="51">
        <v>1.004</v>
      </c>
      <c r="D6276" s="51">
        <v>66.0</v>
      </c>
      <c r="E6276" s="52" t="s">
        <v>25</v>
      </c>
      <c r="F6276" s="52" t="s">
        <v>26</v>
      </c>
      <c r="G6276" s="54"/>
    </row>
    <row r="6277">
      <c r="A6277" s="49">
        <v>45087.087442187505</v>
      </c>
      <c r="B6277" s="50">
        <v>45087.2124144097</v>
      </c>
      <c r="C6277" s="51">
        <v>1.004</v>
      </c>
      <c r="D6277" s="51">
        <v>66.0</v>
      </c>
      <c r="E6277" s="52" t="s">
        <v>25</v>
      </c>
      <c r="F6277" s="52" t="s">
        <v>26</v>
      </c>
      <c r="G6277" s="54"/>
    </row>
    <row r="6278">
      <c r="A6278" s="49">
        <v>45087.09786217593</v>
      </c>
      <c r="B6278" s="50">
        <v>45087.2228364004</v>
      </c>
      <c r="C6278" s="51">
        <v>1.004</v>
      </c>
      <c r="D6278" s="51">
        <v>66.0</v>
      </c>
      <c r="E6278" s="52" t="s">
        <v>25</v>
      </c>
      <c r="F6278" s="52" t="s">
        <v>26</v>
      </c>
      <c r="G6278" s="54"/>
    </row>
    <row r="6279">
      <c r="A6279" s="49">
        <v>45087.10829002315</v>
      </c>
      <c r="B6279" s="50">
        <v>45087.2332578009</v>
      </c>
      <c r="C6279" s="51">
        <v>1.004</v>
      </c>
      <c r="D6279" s="51">
        <v>66.0</v>
      </c>
      <c r="E6279" s="52" t="s">
        <v>25</v>
      </c>
      <c r="F6279" s="52" t="s">
        <v>26</v>
      </c>
      <c r="G6279" s="54"/>
    </row>
    <row r="6280">
      <c r="A6280" s="49">
        <v>45087.11870622685</v>
      </c>
      <c r="B6280" s="50">
        <v>45087.2436771412</v>
      </c>
      <c r="C6280" s="51">
        <v>1.004</v>
      </c>
      <c r="D6280" s="51">
        <v>67.0</v>
      </c>
      <c r="E6280" s="52" t="s">
        <v>25</v>
      </c>
      <c r="F6280" s="52" t="s">
        <v>26</v>
      </c>
      <c r="G6280" s="54"/>
    </row>
    <row r="6281">
      <c r="A6281" s="49">
        <v>45087.12912510417</v>
      </c>
      <c r="B6281" s="50">
        <v>45087.2540984722</v>
      </c>
      <c r="C6281" s="51">
        <v>1.004</v>
      </c>
      <c r="D6281" s="51">
        <v>66.0</v>
      </c>
      <c r="E6281" s="52" t="s">
        <v>25</v>
      </c>
      <c r="F6281" s="52" t="s">
        <v>26</v>
      </c>
      <c r="G6281" s="54"/>
    </row>
    <row r="6282">
      <c r="A6282" s="49">
        <v>45087.1395506713</v>
      </c>
      <c r="B6282" s="50">
        <v>45087.26452</v>
      </c>
      <c r="C6282" s="51">
        <v>1.004</v>
      </c>
      <c r="D6282" s="51">
        <v>66.0</v>
      </c>
      <c r="E6282" s="52" t="s">
        <v>25</v>
      </c>
      <c r="F6282" s="52" t="s">
        <v>26</v>
      </c>
      <c r="G6282" s="54"/>
    </row>
    <row r="6283">
      <c r="A6283" s="49">
        <v>45087.14996890046</v>
      </c>
      <c r="B6283" s="50">
        <v>45087.2749401504</v>
      </c>
      <c r="C6283" s="51">
        <v>1.004</v>
      </c>
      <c r="D6283" s="51">
        <v>66.0</v>
      </c>
      <c r="E6283" s="52" t="s">
        <v>25</v>
      </c>
      <c r="F6283" s="52" t="s">
        <v>26</v>
      </c>
      <c r="G6283" s="54"/>
    </row>
    <row r="6284">
      <c r="A6284" s="49">
        <v>45087.16038494213</v>
      </c>
      <c r="B6284" s="50">
        <v>45087.2853604398</v>
      </c>
      <c r="C6284" s="51">
        <v>1.004</v>
      </c>
      <c r="D6284" s="51">
        <v>66.0</v>
      </c>
      <c r="E6284" s="52" t="s">
        <v>25</v>
      </c>
      <c r="F6284" s="52" t="s">
        <v>26</v>
      </c>
      <c r="G6284" s="54"/>
    </row>
    <row r="6285">
      <c r="A6285" s="49">
        <v>45087.17080465278</v>
      </c>
      <c r="B6285" s="50">
        <v>45087.2957820949</v>
      </c>
      <c r="C6285" s="51">
        <v>1.004</v>
      </c>
      <c r="D6285" s="51">
        <v>66.0</v>
      </c>
      <c r="E6285" s="52" t="s">
        <v>25</v>
      </c>
      <c r="F6285" s="52" t="s">
        <v>26</v>
      </c>
      <c r="G6285" s="54"/>
    </row>
    <row r="6286">
      <c r="A6286" s="49">
        <v>45087.18122936343</v>
      </c>
      <c r="B6286" s="50">
        <v>45087.3062040856</v>
      </c>
      <c r="C6286" s="51">
        <v>1.004</v>
      </c>
      <c r="D6286" s="51">
        <v>66.0</v>
      </c>
      <c r="E6286" s="52" t="s">
        <v>25</v>
      </c>
      <c r="F6286" s="52" t="s">
        <v>26</v>
      </c>
      <c r="G6286" s="54"/>
    </row>
    <row r="6287">
      <c r="A6287" s="49">
        <v>45087.19164483796</v>
      </c>
      <c r="B6287" s="50">
        <v>45087.3166253935</v>
      </c>
      <c r="C6287" s="51">
        <v>1.004</v>
      </c>
      <c r="D6287" s="51">
        <v>66.0</v>
      </c>
      <c r="E6287" s="52" t="s">
        <v>25</v>
      </c>
      <c r="F6287" s="52" t="s">
        <v>26</v>
      </c>
      <c r="G6287" s="54"/>
    </row>
    <row r="6288">
      <c r="A6288" s="49">
        <v>45087.202074733796</v>
      </c>
      <c r="B6288" s="50">
        <v>45087.3270478125</v>
      </c>
      <c r="C6288" s="51">
        <v>1.004</v>
      </c>
      <c r="D6288" s="51">
        <v>66.0</v>
      </c>
      <c r="E6288" s="52" t="s">
        <v>25</v>
      </c>
      <c r="F6288" s="52" t="s">
        <v>26</v>
      </c>
      <c r="G6288" s="54"/>
    </row>
    <row r="6289">
      <c r="A6289" s="49">
        <v>45087.21248802083</v>
      </c>
      <c r="B6289" s="50">
        <v>45087.3374696296</v>
      </c>
      <c r="C6289" s="51">
        <v>1.004</v>
      </c>
      <c r="D6289" s="51">
        <v>66.0</v>
      </c>
      <c r="E6289" s="52" t="s">
        <v>25</v>
      </c>
      <c r="F6289" s="52" t="s">
        <v>26</v>
      </c>
      <c r="G6289" s="54"/>
    </row>
    <row r="6290">
      <c r="A6290" s="49">
        <v>45087.222913125</v>
      </c>
      <c r="B6290" s="50">
        <v>45087.3478914583</v>
      </c>
      <c r="C6290" s="51">
        <v>1.004</v>
      </c>
      <c r="D6290" s="51">
        <v>66.0</v>
      </c>
      <c r="E6290" s="52" t="s">
        <v>25</v>
      </c>
      <c r="F6290" s="52" t="s">
        <v>26</v>
      </c>
      <c r="G6290" s="54"/>
    </row>
    <row r="6291">
      <c r="A6291" s="49">
        <v>45087.233332013886</v>
      </c>
      <c r="B6291" s="50">
        <v>45087.3583114814</v>
      </c>
      <c r="C6291" s="51">
        <v>1.004</v>
      </c>
      <c r="D6291" s="51">
        <v>66.0</v>
      </c>
      <c r="E6291" s="52" t="s">
        <v>25</v>
      </c>
      <c r="F6291" s="52" t="s">
        <v>26</v>
      </c>
      <c r="G6291" s="54"/>
    </row>
    <row r="6292">
      <c r="A6292" s="49">
        <v>45087.24376322917</v>
      </c>
      <c r="B6292" s="50">
        <v>45087.368732662</v>
      </c>
      <c r="C6292" s="51">
        <v>1.004</v>
      </c>
      <c r="D6292" s="51">
        <v>66.0</v>
      </c>
      <c r="E6292" s="52" t="s">
        <v>25</v>
      </c>
      <c r="F6292" s="52" t="s">
        <v>26</v>
      </c>
      <c r="G6292" s="54"/>
    </row>
    <row r="6293">
      <c r="A6293" s="49">
        <v>45087.25420708333</v>
      </c>
      <c r="B6293" s="50">
        <v>45087.3791552314</v>
      </c>
      <c r="C6293" s="51">
        <v>1.004</v>
      </c>
      <c r="D6293" s="51">
        <v>66.0</v>
      </c>
      <c r="E6293" s="52" t="s">
        <v>25</v>
      </c>
      <c r="F6293" s="52" t="s">
        <v>26</v>
      </c>
      <c r="G6293" s="54"/>
    </row>
    <row r="6294">
      <c r="A6294" s="49">
        <v>45087.26461570602</v>
      </c>
      <c r="B6294" s="50">
        <v>45087.3895872106</v>
      </c>
      <c r="C6294" s="51">
        <v>1.004</v>
      </c>
      <c r="D6294" s="51">
        <v>66.0</v>
      </c>
      <c r="E6294" s="52" t="s">
        <v>25</v>
      </c>
      <c r="F6294" s="52" t="s">
        <v>26</v>
      </c>
      <c r="G6294" s="54"/>
    </row>
    <row r="6295">
      <c r="A6295" s="49">
        <v>45087.27503971064</v>
      </c>
      <c r="B6295" s="50">
        <v>45087.4000081712</v>
      </c>
      <c r="C6295" s="51">
        <v>1.004</v>
      </c>
      <c r="D6295" s="51">
        <v>66.0</v>
      </c>
      <c r="E6295" s="52" t="s">
        <v>25</v>
      </c>
      <c r="F6295" s="52" t="s">
        <v>26</v>
      </c>
      <c r="G6295" s="54"/>
    </row>
    <row r="6296">
      <c r="A6296" s="49">
        <v>45087.28545917824</v>
      </c>
      <c r="B6296" s="50">
        <v>45087.410428368</v>
      </c>
      <c r="C6296" s="51">
        <v>1.004</v>
      </c>
      <c r="D6296" s="51">
        <v>66.0</v>
      </c>
      <c r="E6296" s="52" t="s">
        <v>25</v>
      </c>
      <c r="F6296" s="52" t="s">
        <v>26</v>
      </c>
      <c r="G6296" s="54"/>
    </row>
    <row r="6297">
      <c r="A6297" s="49">
        <v>45087.29587396991</v>
      </c>
      <c r="B6297" s="50">
        <v>45087.4208482291</v>
      </c>
      <c r="C6297" s="51">
        <v>1.004</v>
      </c>
      <c r="D6297" s="51">
        <v>66.0</v>
      </c>
      <c r="E6297" s="52" t="s">
        <v>25</v>
      </c>
      <c r="F6297" s="52" t="s">
        <v>26</v>
      </c>
      <c r="G6297" s="54"/>
    </row>
    <row r="6298">
      <c r="A6298" s="49">
        <v>45087.30629353009</v>
      </c>
      <c r="B6298" s="50">
        <v>45087.43127</v>
      </c>
      <c r="C6298" s="51">
        <v>1.004</v>
      </c>
      <c r="D6298" s="51">
        <v>66.0</v>
      </c>
      <c r="E6298" s="52" t="s">
        <v>25</v>
      </c>
      <c r="F6298" s="52" t="s">
        <v>26</v>
      </c>
      <c r="G6298" s="54"/>
    </row>
    <row r="6299">
      <c r="A6299" s="49">
        <v>45087.3167240162</v>
      </c>
      <c r="B6299" s="50">
        <v>45087.4417017939</v>
      </c>
      <c r="C6299" s="51">
        <v>1.004</v>
      </c>
      <c r="D6299" s="51">
        <v>66.0</v>
      </c>
      <c r="E6299" s="52" t="s">
        <v>25</v>
      </c>
      <c r="F6299" s="52" t="s">
        <v>26</v>
      </c>
      <c r="G6299" s="54"/>
    </row>
    <row r="6300">
      <c r="A6300" s="49">
        <v>45087.32714824074</v>
      </c>
      <c r="B6300" s="50">
        <v>45087.4521233912</v>
      </c>
      <c r="C6300" s="51">
        <v>1.004</v>
      </c>
      <c r="D6300" s="51">
        <v>66.0</v>
      </c>
      <c r="E6300" s="52" t="s">
        <v>25</v>
      </c>
      <c r="F6300" s="52" t="s">
        <v>26</v>
      </c>
      <c r="G6300" s="54"/>
    </row>
    <row r="6301">
      <c r="A6301" s="49">
        <v>45087.33757201389</v>
      </c>
      <c r="B6301" s="50">
        <v>45087.4625440972</v>
      </c>
      <c r="C6301" s="51">
        <v>1.004</v>
      </c>
      <c r="D6301" s="51">
        <v>66.0</v>
      </c>
      <c r="E6301" s="52" t="s">
        <v>25</v>
      </c>
      <c r="F6301" s="52" t="s">
        <v>26</v>
      </c>
      <c r="G6301" s="54"/>
    </row>
    <row r="6302">
      <c r="A6302" s="49">
        <v>45087.34799184027</v>
      </c>
      <c r="B6302" s="50">
        <v>45087.4729638541</v>
      </c>
      <c r="C6302" s="51">
        <v>1.004</v>
      </c>
      <c r="D6302" s="51">
        <v>66.0</v>
      </c>
      <c r="E6302" s="52" t="s">
        <v>25</v>
      </c>
      <c r="F6302" s="52" t="s">
        <v>26</v>
      </c>
      <c r="G6302" s="54"/>
    </row>
    <row r="6303">
      <c r="A6303" s="49">
        <v>45087.35840990741</v>
      </c>
      <c r="B6303" s="50">
        <v>45087.4833862152</v>
      </c>
      <c r="C6303" s="51">
        <v>1.004</v>
      </c>
      <c r="D6303" s="51">
        <v>66.0</v>
      </c>
      <c r="E6303" s="52" t="s">
        <v>25</v>
      </c>
      <c r="F6303" s="52" t="s">
        <v>26</v>
      </c>
      <c r="G6303" s="54"/>
    </row>
    <row r="6304">
      <c r="A6304" s="49">
        <v>45087.368828900464</v>
      </c>
      <c r="B6304" s="50">
        <v>45087.4938077893</v>
      </c>
      <c r="C6304" s="51">
        <v>1.004</v>
      </c>
      <c r="D6304" s="51">
        <v>66.0</v>
      </c>
      <c r="E6304" s="52" t="s">
        <v>25</v>
      </c>
      <c r="F6304" s="52" t="s">
        <v>26</v>
      </c>
      <c r="G6304" s="54"/>
    </row>
    <row r="6305">
      <c r="A6305" s="49">
        <v>45087.37925561343</v>
      </c>
      <c r="B6305" s="50">
        <v>45087.5042286574</v>
      </c>
      <c r="C6305" s="51">
        <v>1.004</v>
      </c>
      <c r="D6305" s="51">
        <v>66.0</v>
      </c>
      <c r="E6305" s="52" t="s">
        <v>25</v>
      </c>
      <c r="F6305" s="52" t="s">
        <v>26</v>
      </c>
      <c r="G6305" s="54"/>
    </row>
    <row r="6306">
      <c r="A6306" s="49">
        <v>45087.38967751157</v>
      </c>
      <c r="B6306" s="50">
        <v>45087.5146492708</v>
      </c>
      <c r="C6306" s="51">
        <v>1.004</v>
      </c>
      <c r="D6306" s="51">
        <v>66.0</v>
      </c>
      <c r="E6306" s="52" t="s">
        <v>25</v>
      </c>
      <c r="F6306" s="52" t="s">
        <v>26</v>
      </c>
      <c r="G6306" s="54"/>
    </row>
    <row r="6307">
      <c r="A6307" s="49">
        <v>45087.40008979167</v>
      </c>
      <c r="B6307" s="50">
        <v>45087.5250688888</v>
      </c>
      <c r="C6307" s="51">
        <v>1.004</v>
      </c>
      <c r="D6307" s="51">
        <v>66.0</v>
      </c>
      <c r="E6307" s="52" t="s">
        <v>25</v>
      </c>
      <c r="F6307" s="52" t="s">
        <v>26</v>
      </c>
      <c r="G6307" s="54"/>
    </row>
    <row r="6308">
      <c r="A6308" s="49">
        <v>45087.410518958335</v>
      </c>
      <c r="B6308" s="50">
        <v>45087.5354995833</v>
      </c>
      <c r="C6308" s="51">
        <v>1.004</v>
      </c>
      <c r="D6308" s="51">
        <v>66.0</v>
      </c>
      <c r="E6308" s="52" t="s">
        <v>25</v>
      </c>
      <c r="F6308" s="52" t="s">
        <v>26</v>
      </c>
      <c r="G6308" s="54"/>
    </row>
    <row r="6309">
      <c r="A6309" s="49">
        <v>45087.42093956019</v>
      </c>
      <c r="B6309" s="50">
        <v>45087.5459195138</v>
      </c>
      <c r="C6309" s="51">
        <v>1.004</v>
      </c>
      <c r="D6309" s="51">
        <v>66.0</v>
      </c>
      <c r="E6309" s="52" t="s">
        <v>25</v>
      </c>
      <c r="F6309" s="52" t="s">
        <v>26</v>
      </c>
      <c r="G6309" s="54"/>
    </row>
    <row r="6310">
      <c r="A6310" s="49">
        <v>45087.43136136574</v>
      </c>
      <c r="B6310" s="50">
        <v>45087.5563395138</v>
      </c>
      <c r="C6310" s="51">
        <v>1.004</v>
      </c>
      <c r="D6310" s="51">
        <v>66.0</v>
      </c>
      <c r="E6310" s="52" t="s">
        <v>25</v>
      </c>
      <c r="F6310" s="52" t="s">
        <v>26</v>
      </c>
      <c r="G6310" s="54"/>
    </row>
    <row r="6311">
      <c r="A6311" s="49">
        <v>45087.441799050925</v>
      </c>
      <c r="B6311" s="50">
        <v>45087.5667722453</v>
      </c>
      <c r="C6311" s="51">
        <v>1.004</v>
      </c>
      <c r="D6311" s="51">
        <v>66.0</v>
      </c>
      <c r="E6311" s="52" t="s">
        <v>25</v>
      </c>
      <c r="F6311" s="52" t="s">
        <v>26</v>
      </c>
      <c r="G6311" s="54"/>
    </row>
    <row r="6312">
      <c r="A6312" s="49">
        <v>45087.45222116898</v>
      </c>
      <c r="B6312" s="50">
        <v>45087.5771942361</v>
      </c>
      <c r="C6312" s="51">
        <v>1.004</v>
      </c>
      <c r="D6312" s="51">
        <v>66.0</v>
      </c>
      <c r="E6312" s="52" t="s">
        <v>25</v>
      </c>
      <c r="F6312" s="52" t="s">
        <v>26</v>
      </c>
      <c r="G6312" s="54"/>
    </row>
    <row r="6313">
      <c r="A6313" s="49">
        <v>45087.462637627315</v>
      </c>
      <c r="B6313" s="50">
        <v>45087.5876151273</v>
      </c>
      <c r="C6313" s="51">
        <v>1.004</v>
      </c>
      <c r="D6313" s="51">
        <v>66.0</v>
      </c>
      <c r="E6313" s="52" t="s">
        <v>25</v>
      </c>
      <c r="F6313" s="52" t="s">
        <v>26</v>
      </c>
      <c r="G6313" s="54"/>
    </row>
    <row r="6314">
      <c r="A6314" s="49">
        <v>45087.47307774305</v>
      </c>
      <c r="B6314" s="50">
        <v>45087.5980483449</v>
      </c>
      <c r="C6314" s="51">
        <v>1.004</v>
      </c>
      <c r="D6314" s="51">
        <v>66.0</v>
      </c>
      <c r="E6314" s="52" t="s">
        <v>25</v>
      </c>
      <c r="F6314" s="52" t="s">
        <v>26</v>
      </c>
      <c r="G6314" s="54"/>
    </row>
    <row r="6315">
      <c r="A6315" s="49">
        <v>45087.48349305555</v>
      </c>
      <c r="B6315" s="50">
        <v>45087.6084683449</v>
      </c>
      <c r="C6315" s="51">
        <v>1.004</v>
      </c>
      <c r="D6315" s="51">
        <v>66.0</v>
      </c>
      <c r="E6315" s="52" t="s">
        <v>25</v>
      </c>
      <c r="F6315" s="52" t="s">
        <v>26</v>
      </c>
      <c r="G6315" s="54"/>
    </row>
    <row r="6316">
      <c r="A6316" s="49">
        <v>45087.493913171296</v>
      </c>
      <c r="B6316" s="50">
        <v>45087.6188919097</v>
      </c>
      <c r="C6316" s="51">
        <v>1.004</v>
      </c>
      <c r="D6316" s="51">
        <v>66.0</v>
      </c>
      <c r="E6316" s="52" t="s">
        <v>25</v>
      </c>
      <c r="F6316" s="52" t="s">
        <v>26</v>
      </c>
      <c r="G6316" s="54"/>
    </row>
    <row r="6317">
      <c r="A6317" s="49">
        <v>45087.50433736111</v>
      </c>
      <c r="B6317" s="50">
        <v>45087.629312118</v>
      </c>
      <c r="C6317" s="51">
        <v>1.004</v>
      </c>
      <c r="D6317" s="51">
        <v>66.0</v>
      </c>
      <c r="E6317" s="52" t="s">
        <v>25</v>
      </c>
      <c r="F6317" s="52" t="s">
        <v>26</v>
      </c>
      <c r="G6317" s="54"/>
    </row>
    <row r="6318">
      <c r="A6318" s="49">
        <v>45087.51475628473</v>
      </c>
      <c r="B6318" s="50">
        <v>45087.639732118</v>
      </c>
      <c r="C6318" s="51">
        <v>1.004</v>
      </c>
      <c r="D6318" s="51">
        <v>66.0</v>
      </c>
      <c r="E6318" s="52" t="s">
        <v>25</v>
      </c>
      <c r="F6318" s="52" t="s">
        <v>26</v>
      </c>
      <c r="G6318" s="54"/>
    </row>
    <row r="6319">
      <c r="A6319" s="49">
        <v>45087.52517221065</v>
      </c>
      <c r="B6319" s="50">
        <v>45087.6501528356</v>
      </c>
      <c r="C6319" s="51">
        <v>1.004</v>
      </c>
      <c r="D6319" s="51">
        <v>66.0</v>
      </c>
      <c r="E6319" s="52" t="s">
        <v>25</v>
      </c>
      <c r="F6319" s="52" t="s">
        <v>26</v>
      </c>
      <c r="G6319" s="54"/>
    </row>
    <row r="6320">
      <c r="A6320" s="49">
        <v>45087.535602662036</v>
      </c>
      <c r="B6320" s="50">
        <v>45087.6605742245</v>
      </c>
      <c r="C6320" s="51">
        <v>1.004</v>
      </c>
      <c r="D6320" s="51">
        <v>66.0</v>
      </c>
      <c r="E6320" s="52" t="s">
        <v>25</v>
      </c>
      <c r="F6320" s="52" t="s">
        <v>26</v>
      </c>
      <c r="G6320" s="54"/>
    </row>
    <row r="6321">
      <c r="A6321" s="49">
        <v>45087.54601619213</v>
      </c>
      <c r="B6321" s="50">
        <v>45087.6709966666</v>
      </c>
      <c r="C6321" s="51">
        <v>1.004</v>
      </c>
      <c r="D6321" s="51">
        <v>66.0</v>
      </c>
      <c r="E6321" s="52" t="s">
        <v>25</v>
      </c>
      <c r="F6321" s="52" t="s">
        <v>26</v>
      </c>
      <c r="G6321" s="54"/>
    </row>
    <row r="6322">
      <c r="A6322" s="49">
        <v>45087.55647930555</v>
      </c>
      <c r="B6322" s="50">
        <v>45087.6814533912</v>
      </c>
      <c r="C6322" s="51">
        <v>1.004</v>
      </c>
      <c r="D6322" s="51">
        <v>66.0</v>
      </c>
      <c r="E6322" s="52" t="s">
        <v>25</v>
      </c>
      <c r="F6322" s="52" t="s">
        <v>26</v>
      </c>
      <c r="G6322" s="54"/>
    </row>
    <row r="6323">
      <c r="A6323" s="49">
        <v>45087.56689847222</v>
      </c>
      <c r="B6323" s="50">
        <v>45087.6918737384</v>
      </c>
      <c r="C6323" s="51">
        <v>1.004</v>
      </c>
      <c r="D6323" s="51">
        <v>66.0</v>
      </c>
      <c r="E6323" s="52" t="s">
        <v>25</v>
      </c>
      <c r="F6323" s="52" t="s">
        <v>26</v>
      </c>
      <c r="G6323" s="54"/>
    </row>
    <row r="6324">
      <c r="A6324" s="49">
        <v>45087.57732474537</v>
      </c>
      <c r="B6324" s="50">
        <v>45087.7022957754</v>
      </c>
      <c r="C6324" s="51">
        <v>1.004</v>
      </c>
      <c r="D6324" s="51">
        <v>66.0</v>
      </c>
      <c r="E6324" s="52" t="s">
        <v>25</v>
      </c>
      <c r="F6324" s="52" t="s">
        <v>26</v>
      </c>
      <c r="G6324" s="54"/>
    </row>
    <row r="6325">
      <c r="A6325" s="49">
        <v>45087.5877531713</v>
      </c>
      <c r="B6325" s="50">
        <v>45087.7127285879</v>
      </c>
      <c r="C6325" s="51">
        <v>1.004</v>
      </c>
      <c r="D6325" s="51">
        <v>66.0</v>
      </c>
      <c r="E6325" s="52" t="s">
        <v>25</v>
      </c>
      <c r="F6325" s="52" t="s">
        <v>26</v>
      </c>
      <c r="G6325" s="54"/>
    </row>
    <row r="6326">
      <c r="A6326" s="49">
        <v>45087.59817726852</v>
      </c>
      <c r="B6326" s="50">
        <v>45087.7231479629</v>
      </c>
      <c r="C6326" s="51">
        <v>1.004</v>
      </c>
      <c r="D6326" s="51">
        <v>66.0</v>
      </c>
      <c r="E6326" s="52" t="s">
        <v>25</v>
      </c>
      <c r="F6326" s="52" t="s">
        <v>26</v>
      </c>
      <c r="G6326" s="54"/>
    </row>
    <row r="6327">
      <c r="A6327" s="49">
        <v>45087.60859928241</v>
      </c>
      <c r="B6327" s="50">
        <v>45087.7335691203</v>
      </c>
      <c r="C6327" s="51">
        <v>1.004</v>
      </c>
      <c r="D6327" s="51">
        <v>66.0</v>
      </c>
      <c r="E6327" s="52" t="s">
        <v>25</v>
      </c>
      <c r="F6327" s="52" t="s">
        <v>26</v>
      </c>
      <c r="G6327" s="54"/>
    </row>
    <row r="6328">
      <c r="A6328" s="49">
        <v>45087.61901555555</v>
      </c>
      <c r="B6328" s="50">
        <v>45087.7439889814</v>
      </c>
      <c r="C6328" s="51">
        <v>1.004</v>
      </c>
      <c r="D6328" s="51">
        <v>66.0</v>
      </c>
      <c r="E6328" s="52" t="s">
        <v>25</v>
      </c>
      <c r="F6328" s="52" t="s">
        <v>26</v>
      </c>
      <c r="G6328" s="54"/>
    </row>
    <row r="6329">
      <c r="A6329" s="49">
        <v>45087.629437916665</v>
      </c>
      <c r="B6329" s="50">
        <v>45087.7544098842</v>
      </c>
      <c r="C6329" s="51">
        <v>1.004</v>
      </c>
      <c r="D6329" s="51">
        <v>67.0</v>
      </c>
      <c r="E6329" s="52" t="s">
        <v>25</v>
      </c>
      <c r="F6329" s="52" t="s">
        <v>26</v>
      </c>
      <c r="G6329" s="54"/>
    </row>
    <row r="6330">
      <c r="A6330" s="49">
        <v>45087.6398772338</v>
      </c>
      <c r="B6330" s="50">
        <v>45087.7648425115</v>
      </c>
      <c r="C6330" s="51">
        <v>1.004</v>
      </c>
      <c r="D6330" s="51">
        <v>66.0</v>
      </c>
      <c r="E6330" s="52" t="s">
        <v>25</v>
      </c>
      <c r="F6330" s="52" t="s">
        <v>26</v>
      </c>
      <c r="G6330" s="54"/>
    </row>
    <row r="6331">
      <c r="A6331" s="49">
        <v>45087.65031633102</v>
      </c>
      <c r="B6331" s="50">
        <v>45087.7752853125</v>
      </c>
      <c r="C6331" s="51">
        <v>1.004</v>
      </c>
      <c r="D6331" s="51">
        <v>66.0</v>
      </c>
      <c r="E6331" s="52" t="s">
        <v>25</v>
      </c>
      <c r="F6331" s="52" t="s">
        <v>26</v>
      </c>
      <c r="G6331" s="54"/>
    </row>
    <row r="6332">
      <c r="A6332" s="49">
        <v>45087.66073754629</v>
      </c>
      <c r="B6332" s="50">
        <v>45087.7857086689</v>
      </c>
      <c r="C6332" s="51">
        <v>1.004</v>
      </c>
      <c r="D6332" s="51">
        <v>67.0</v>
      </c>
      <c r="E6332" s="52" t="s">
        <v>25</v>
      </c>
      <c r="F6332" s="52" t="s">
        <v>26</v>
      </c>
      <c r="G6332" s="54"/>
    </row>
    <row r="6333">
      <c r="A6333" s="49">
        <v>45087.67115523148</v>
      </c>
      <c r="B6333" s="50">
        <v>45087.7961314004</v>
      </c>
      <c r="C6333" s="51">
        <v>1.004</v>
      </c>
      <c r="D6333" s="51">
        <v>66.0</v>
      </c>
      <c r="E6333" s="52" t="s">
        <v>25</v>
      </c>
      <c r="F6333" s="52" t="s">
        <v>26</v>
      </c>
      <c r="G6333" s="54"/>
    </row>
    <row r="6334">
      <c r="A6334" s="49">
        <v>45087.681575173614</v>
      </c>
      <c r="B6334" s="50">
        <v>45087.8065517476</v>
      </c>
      <c r="C6334" s="51">
        <v>1.004</v>
      </c>
      <c r="D6334" s="51">
        <v>67.0</v>
      </c>
      <c r="E6334" s="52" t="s">
        <v>25</v>
      </c>
      <c r="F6334" s="52" t="s">
        <v>26</v>
      </c>
      <c r="G6334" s="54"/>
    </row>
    <row r="6335">
      <c r="A6335" s="49">
        <v>45087.691009375005</v>
      </c>
      <c r="B6335" s="50">
        <v>45087.8158906481</v>
      </c>
      <c r="C6335" s="51">
        <v>1.004</v>
      </c>
      <c r="D6335" s="51">
        <v>67.0</v>
      </c>
      <c r="E6335" s="52" t="s">
        <v>25</v>
      </c>
      <c r="F6335" s="52" t="s">
        <v>26</v>
      </c>
      <c r="G6335" s="54"/>
    </row>
    <row r="6336">
      <c r="A6336" s="49">
        <v>45087.70135138889</v>
      </c>
      <c r="B6336" s="50">
        <v>45087.8263235185</v>
      </c>
      <c r="C6336" s="51">
        <v>1.004</v>
      </c>
      <c r="D6336" s="51">
        <v>66.0</v>
      </c>
      <c r="E6336" s="52" t="s">
        <v>25</v>
      </c>
      <c r="F6336" s="52" t="s">
        <v>26</v>
      </c>
      <c r="G6336" s="54"/>
    </row>
    <row r="6337">
      <c r="A6337" s="49">
        <v>45087.711775752316</v>
      </c>
      <c r="B6337" s="50">
        <v>45087.8367447106</v>
      </c>
      <c r="C6337" s="51">
        <v>1.004</v>
      </c>
      <c r="D6337" s="51">
        <v>67.0</v>
      </c>
      <c r="E6337" s="52" t="s">
        <v>25</v>
      </c>
      <c r="F6337" s="52" t="s">
        <v>26</v>
      </c>
      <c r="G6337" s="54"/>
    </row>
    <row r="6338">
      <c r="A6338" s="49">
        <v>45087.72219006944</v>
      </c>
      <c r="B6338" s="50">
        <v>45087.8471669676</v>
      </c>
      <c r="C6338" s="51">
        <v>1.004</v>
      </c>
      <c r="D6338" s="51">
        <v>67.0</v>
      </c>
      <c r="E6338" s="52" t="s">
        <v>25</v>
      </c>
      <c r="F6338" s="52" t="s">
        <v>26</v>
      </c>
      <c r="G6338" s="54"/>
    </row>
    <row r="6339">
      <c r="A6339" s="49">
        <v>45087.73261420139</v>
      </c>
      <c r="B6339" s="50">
        <v>45087.857587824</v>
      </c>
      <c r="C6339" s="51">
        <v>1.004</v>
      </c>
      <c r="D6339" s="51">
        <v>67.0</v>
      </c>
      <c r="E6339" s="52" t="s">
        <v>25</v>
      </c>
      <c r="F6339" s="52" t="s">
        <v>26</v>
      </c>
      <c r="G6339" s="54"/>
    </row>
    <row r="6340">
      <c r="A6340" s="49">
        <v>45087.743037002314</v>
      </c>
      <c r="B6340" s="50">
        <v>45087.8680087962</v>
      </c>
      <c r="C6340" s="51">
        <v>1.004</v>
      </c>
      <c r="D6340" s="51">
        <v>67.0</v>
      </c>
      <c r="E6340" s="52" t="s">
        <v>25</v>
      </c>
      <c r="F6340" s="52" t="s">
        <v>26</v>
      </c>
      <c r="G6340" s="54"/>
    </row>
    <row r="6341">
      <c r="A6341" s="49">
        <v>45087.75345574074</v>
      </c>
      <c r="B6341" s="50">
        <v>45087.878430706</v>
      </c>
      <c r="C6341" s="51">
        <v>1.004</v>
      </c>
      <c r="D6341" s="51">
        <v>67.0</v>
      </c>
      <c r="E6341" s="52" t="s">
        <v>25</v>
      </c>
      <c r="F6341" s="52" t="s">
        <v>26</v>
      </c>
      <c r="G6341" s="54"/>
    </row>
    <row r="6342">
      <c r="A6342" s="49">
        <v>45087.76387734954</v>
      </c>
      <c r="B6342" s="50">
        <v>45087.8888514583</v>
      </c>
      <c r="C6342" s="51">
        <v>1.004</v>
      </c>
      <c r="D6342" s="51">
        <v>67.0</v>
      </c>
      <c r="E6342" s="52" t="s">
        <v>25</v>
      </c>
      <c r="F6342" s="52" t="s">
        <v>26</v>
      </c>
      <c r="G6342" s="54"/>
    </row>
    <row r="6343">
      <c r="A6343" s="49">
        <v>45087.774302465274</v>
      </c>
      <c r="B6343" s="50">
        <v>45087.8992733564</v>
      </c>
      <c r="C6343" s="51">
        <v>1.004</v>
      </c>
      <c r="D6343" s="51">
        <v>67.0</v>
      </c>
      <c r="E6343" s="52" t="s">
        <v>25</v>
      </c>
      <c r="F6343" s="52" t="s">
        <v>26</v>
      </c>
      <c r="G6343" s="54"/>
    </row>
    <row r="6344">
      <c r="A6344" s="49">
        <v>45087.784722233795</v>
      </c>
      <c r="B6344" s="50">
        <v>45087.909695243</v>
      </c>
      <c r="C6344" s="51">
        <v>1.004</v>
      </c>
      <c r="D6344" s="51">
        <v>67.0</v>
      </c>
      <c r="E6344" s="52" t="s">
        <v>25</v>
      </c>
      <c r="F6344" s="52" t="s">
        <v>26</v>
      </c>
      <c r="G6344" s="54"/>
    </row>
    <row r="6345">
      <c r="A6345" s="49">
        <v>45087.795164027775</v>
      </c>
      <c r="B6345" s="50">
        <v>45087.920140787</v>
      </c>
      <c r="C6345" s="51">
        <v>1.004</v>
      </c>
      <c r="D6345" s="51">
        <v>67.0</v>
      </c>
      <c r="E6345" s="52" t="s">
        <v>25</v>
      </c>
      <c r="F6345" s="52" t="s">
        <v>26</v>
      </c>
      <c r="G6345" s="54"/>
    </row>
    <row r="6346">
      <c r="A6346" s="49">
        <v>45087.80561578704</v>
      </c>
      <c r="B6346" s="50">
        <v>45087.930585949</v>
      </c>
      <c r="C6346" s="51">
        <v>1.004</v>
      </c>
      <c r="D6346" s="51">
        <v>67.0</v>
      </c>
      <c r="E6346" s="52" t="s">
        <v>25</v>
      </c>
      <c r="F6346" s="52" t="s">
        <v>26</v>
      </c>
      <c r="G6346" s="54"/>
    </row>
    <row r="6347">
      <c r="A6347" s="49">
        <v>45087.81603209491</v>
      </c>
      <c r="B6347" s="50">
        <v>45087.9410052662</v>
      </c>
      <c r="C6347" s="51">
        <v>1.004</v>
      </c>
      <c r="D6347" s="51">
        <v>67.0</v>
      </c>
      <c r="E6347" s="52" t="s">
        <v>25</v>
      </c>
      <c r="F6347" s="52" t="s">
        <v>26</v>
      </c>
      <c r="G6347" s="54"/>
    </row>
    <row r="6348">
      <c r="A6348" s="49">
        <v>45087.82645449074</v>
      </c>
      <c r="B6348" s="50">
        <v>45087.9514263194</v>
      </c>
      <c r="C6348" s="51">
        <v>1.004</v>
      </c>
      <c r="D6348" s="51">
        <v>67.0</v>
      </c>
      <c r="E6348" s="52" t="s">
        <v>25</v>
      </c>
      <c r="F6348" s="52" t="s">
        <v>26</v>
      </c>
      <c r="G6348" s="54"/>
    </row>
    <row r="6349">
      <c r="A6349" s="49">
        <v>45087.836872071755</v>
      </c>
      <c r="B6349" s="50">
        <v>45087.9618488426</v>
      </c>
      <c r="C6349" s="51">
        <v>1.004</v>
      </c>
      <c r="D6349" s="51">
        <v>67.0</v>
      </c>
      <c r="E6349" s="52" t="s">
        <v>25</v>
      </c>
      <c r="F6349" s="52" t="s">
        <v>26</v>
      </c>
      <c r="G6349" s="54"/>
    </row>
    <row r="6350">
      <c r="A6350" s="49">
        <v>45087.84729494213</v>
      </c>
      <c r="B6350" s="50">
        <v>45087.972269537</v>
      </c>
      <c r="C6350" s="51">
        <v>1.004</v>
      </c>
      <c r="D6350" s="51">
        <v>67.0</v>
      </c>
      <c r="E6350" s="52" t="s">
        <v>25</v>
      </c>
      <c r="F6350" s="52" t="s">
        <v>26</v>
      </c>
      <c r="G6350" s="54"/>
    </row>
    <row r="6351">
      <c r="A6351" s="49">
        <v>45087.857721886576</v>
      </c>
      <c r="B6351" s="50">
        <v>45087.9826897338</v>
      </c>
      <c r="C6351" s="51">
        <v>1.004</v>
      </c>
      <c r="D6351" s="51">
        <v>67.0</v>
      </c>
      <c r="E6351" s="52" t="s">
        <v>25</v>
      </c>
      <c r="F6351" s="52" t="s">
        <v>26</v>
      </c>
      <c r="G6351" s="54"/>
    </row>
    <row r="6352">
      <c r="A6352" s="49">
        <v>45087.86813527778</v>
      </c>
      <c r="B6352" s="50">
        <v>45087.9931102314</v>
      </c>
      <c r="C6352" s="51">
        <v>1.004</v>
      </c>
      <c r="D6352" s="51">
        <v>67.0</v>
      </c>
      <c r="E6352" s="52" t="s">
        <v>25</v>
      </c>
      <c r="F6352" s="52" t="s">
        <v>26</v>
      </c>
      <c r="G6352" s="54"/>
    </row>
    <row r="6353">
      <c r="A6353" s="49">
        <v>45087.87855079861</v>
      </c>
      <c r="B6353" s="50">
        <v>45088.0035309722</v>
      </c>
      <c r="C6353" s="51">
        <v>1.004</v>
      </c>
      <c r="D6353" s="51">
        <v>67.0</v>
      </c>
      <c r="E6353" s="52" t="s">
        <v>25</v>
      </c>
      <c r="F6353" s="52" t="s">
        <v>26</v>
      </c>
      <c r="G6353" s="54"/>
    </row>
    <row r="6354">
      <c r="A6354" s="49">
        <v>45087.88897840278</v>
      </c>
      <c r="B6354" s="50">
        <v>45088.0139526041</v>
      </c>
      <c r="C6354" s="51">
        <v>1.004</v>
      </c>
      <c r="D6354" s="51">
        <v>67.0</v>
      </c>
      <c r="E6354" s="52" t="s">
        <v>25</v>
      </c>
      <c r="F6354" s="52" t="s">
        <v>26</v>
      </c>
      <c r="G6354" s="54"/>
    </row>
    <row r="6355">
      <c r="A6355" s="49">
        <v>45087.89940425926</v>
      </c>
      <c r="B6355" s="50">
        <v>45088.0243844791</v>
      </c>
      <c r="C6355" s="51">
        <v>1.004</v>
      </c>
      <c r="D6355" s="51">
        <v>67.0</v>
      </c>
      <c r="E6355" s="52" t="s">
        <v>25</v>
      </c>
      <c r="F6355" s="52" t="s">
        <v>26</v>
      </c>
      <c r="G6355" s="54"/>
    </row>
    <row r="6356">
      <c r="A6356" s="49">
        <v>45087.90983575232</v>
      </c>
      <c r="B6356" s="50">
        <v>45088.0348081134</v>
      </c>
      <c r="C6356" s="51">
        <v>1.004</v>
      </c>
      <c r="D6356" s="51">
        <v>67.0</v>
      </c>
      <c r="E6356" s="52" t="s">
        <v>25</v>
      </c>
      <c r="F6356" s="52" t="s">
        <v>26</v>
      </c>
      <c r="G6356" s="54"/>
    </row>
    <row r="6357">
      <c r="A6357" s="49">
        <v>45087.920252951386</v>
      </c>
      <c r="B6357" s="50">
        <v>45088.0452275694</v>
      </c>
      <c r="C6357" s="51">
        <v>1.004</v>
      </c>
      <c r="D6357" s="51">
        <v>67.0</v>
      </c>
      <c r="E6357" s="52" t="s">
        <v>25</v>
      </c>
      <c r="F6357" s="52" t="s">
        <v>26</v>
      </c>
      <c r="G6357" s="54"/>
    </row>
    <row r="6358">
      <c r="A6358" s="49">
        <v>45087.930675578704</v>
      </c>
      <c r="B6358" s="50">
        <v>45088.0556481828</v>
      </c>
      <c r="C6358" s="51">
        <v>1.004</v>
      </c>
      <c r="D6358" s="51">
        <v>67.0</v>
      </c>
      <c r="E6358" s="52" t="s">
        <v>25</v>
      </c>
      <c r="F6358" s="52" t="s">
        <v>26</v>
      </c>
      <c r="G6358" s="54"/>
    </row>
    <row r="6359">
      <c r="A6359" s="49">
        <v>45087.94110917824</v>
      </c>
      <c r="B6359" s="50">
        <v>45088.0660802546</v>
      </c>
      <c r="C6359" s="51">
        <v>1.004</v>
      </c>
      <c r="D6359" s="51">
        <v>67.0</v>
      </c>
      <c r="E6359" s="52" t="s">
        <v>25</v>
      </c>
      <c r="F6359" s="52" t="s">
        <v>26</v>
      </c>
      <c r="G6359" s="54"/>
    </row>
    <row r="6360">
      <c r="A6360" s="49">
        <v>45087.95152728009</v>
      </c>
      <c r="B6360" s="50">
        <v>45088.0765026157</v>
      </c>
      <c r="C6360" s="51">
        <v>1.004</v>
      </c>
      <c r="D6360" s="51">
        <v>67.0</v>
      </c>
      <c r="E6360" s="52" t="s">
        <v>25</v>
      </c>
      <c r="F6360" s="52" t="s">
        <v>26</v>
      </c>
      <c r="G6360" s="54"/>
    </row>
    <row r="6361">
      <c r="A6361" s="49">
        <v>45087.961946469906</v>
      </c>
      <c r="B6361" s="50">
        <v>45088.0869232754</v>
      </c>
      <c r="C6361" s="51">
        <v>1.004</v>
      </c>
      <c r="D6361" s="51">
        <v>67.0</v>
      </c>
      <c r="E6361" s="52" t="s">
        <v>25</v>
      </c>
      <c r="F6361" s="52" t="s">
        <v>26</v>
      </c>
      <c r="G6361" s="54"/>
    </row>
    <row r="6362">
      <c r="A6362" s="49">
        <v>45087.972370613425</v>
      </c>
      <c r="B6362" s="50">
        <v>45088.0973432523</v>
      </c>
      <c r="C6362" s="51">
        <v>1.004</v>
      </c>
      <c r="D6362" s="51">
        <v>67.0</v>
      </c>
      <c r="E6362" s="52" t="s">
        <v>25</v>
      </c>
      <c r="F6362" s="52" t="s">
        <v>26</v>
      </c>
      <c r="G6362" s="54"/>
    </row>
    <row r="6363">
      <c r="A6363" s="49">
        <v>45087.982788124995</v>
      </c>
      <c r="B6363" s="50">
        <v>45088.1077657754</v>
      </c>
      <c r="C6363" s="51">
        <v>1.004</v>
      </c>
      <c r="D6363" s="51">
        <v>67.0</v>
      </c>
      <c r="E6363" s="52" t="s">
        <v>25</v>
      </c>
      <c r="F6363" s="52" t="s">
        <v>26</v>
      </c>
      <c r="G6363" s="54"/>
    </row>
    <row r="6364">
      <c r="A6364" s="49">
        <v>45087.99322824074</v>
      </c>
      <c r="B6364" s="50">
        <v>45088.1181980671</v>
      </c>
      <c r="C6364" s="51">
        <v>1.004</v>
      </c>
      <c r="D6364" s="51">
        <v>67.0</v>
      </c>
      <c r="E6364" s="52" t="s">
        <v>25</v>
      </c>
      <c r="F6364" s="52" t="s">
        <v>26</v>
      </c>
      <c r="G6364" s="54"/>
    </row>
    <row r="6365">
      <c r="A6365" s="49">
        <v>45088.00367015046</v>
      </c>
      <c r="B6365" s="50">
        <v>45088.1286427314</v>
      </c>
      <c r="C6365" s="51">
        <v>1.004</v>
      </c>
      <c r="D6365" s="51">
        <v>67.0</v>
      </c>
      <c r="E6365" s="52" t="s">
        <v>25</v>
      </c>
      <c r="F6365" s="52" t="s">
        <v>26</v>
      </c>
      <c r="G6365" s="54"/>
    </row>
    <row r="6366">
      <c r="A6366" s="49">
        <v>45088.01408472222</v>
      </c>
      <c r="B6366" s="50">
        <v>45088.1390641666</v>
      </c>
      <c r="C6366" s="51">
        <v>1.004</v>
      </c>
      <c r="D6366" s="51">
        <v>67.0</v>
      </c>
      <c r="E6366" s="52" t="s">
        <v>25</v>
      </c>
      <c r="F6366" s="52" t="s">
        <v>26</v>
      </c>
      <c r="G6366" s="54"/>
    </row>
    <row r="6367">
      <c r="A6367" s="49">
        <v>45088.02450857639</v>
      </c>
      <c r="B6367" s="50">
        <v>45088.1494837268</v>
      </c>
      <c r="C6367" s="51">
        <v>1.004</v>
      </c>
      <c r="D6367" s="51">
        <v>67.0</v>
      </c>
      <c r="E6367" s="52" t="s">
        <v>25</v>
      </c>
      <c r="F6367" s="52" t="s">
        <v>26</v>
      </c>
      <c r="G6367" s="54"/>
    </row>
    <row r="6368">
      <c r="A6368" s="49">
        <v>45088.03493304398</v>
      </c>
      <c r="B6368" s="50">
        <v>45088.1599052662</v>
      </c>
      <c r="C6368" s="51">
        <v>1.004</v>
      </c>
      <c r="D6368" s="51">
        <v>67.0</v>
      </c>
      <c r="E6368" s="52" t="s">
        <v>25</v>
      </c>
      <c r="F6368" s="52" t="s">
        <v>26</v>
      </c>
      <c r="G6368" s="54"/>
    </row>
    <row r="6369">
      <c r="A6369" s="49">
        <v>45088.04535581019</v>
      </c>
      <c r="B6369" s="50">
        <v>45088.1703260995</v>
      </c>
      <c r="C6369" s="51">
        <v>1.004</v>
      </c>
      <c r="D6369" s="51">
        <v>67.0</v>
      </c>
      <c r="E6369" s="52" t="s">
        <v>25</v>
      </c>
      <c r="F6369" s="52" t="s">
        <v>26</v>
      </c>
      <c r="G6369" s="54"/>
    </row>
    <row r="6370">
      <c r="A6370" s="49">
        <v>45088.05576747685</v>
      </c>
      <c r="B6370" s="50">
        <v>45088.1807479513</v>
      </c>
      <c r="C6370" s="51">
        <v>1.004</v>
      </c>
      <c r="D6370" s="51">
        <v>67.0</v>
      </c>
      <c r="E6370" s="52" t="s">
        <v>25</v>
      </c>
      <c r="F6370" s="52" t="s">
        <v>26</v>
      </c>
      <c r="G6370" s="54"/>
    </row>
    <row r="6371">
      <c r="A6371" s="49">
        <v>45088.06619013889</v>
      </c>
      <c r="B6371" s="50">
        <v>45088.1911699074</v>
      </c>
      <c r="C6371" s="51">
        <v>1.004</v>
      </c>
      <c r="D6371" s="51">
        <v>67.0</v>
      </c>
      <c r="E6371" s="52" t="s">
        <v>25</v>
      </c>
      <c r="F6371" s="52" t="s">
        <v>26</v>
      </c>
      <c r="G6371" s="54"/>
    </row>
    <row r="6372">
      <c r="A6372" s="49">
        <v>45088.07662194445</v>
      </c>
      <c r="B6372" s="50">
        <v>45088.2015916666</v>
      </c>
      <c r="C6372" s="51">
        <v>1.004</v>
      </c>
      <c r="D6372" s="51">
        <v>67.0</v>
      </c>
      <c r="E6372" s="52" t="s">
        <v>25</v>
      </c>
      <c r="F6372" s="52" t="s">
        <v>26</v>
      </c>
      <c r="G6372" s="54"/>
    </row>
    <row r="6373">
      <c r="A6373" s="49">
        <v>45088.08704275463</v>
      </c>
      <c r="B6373" s="50">
        <v>45088.212013206</v>
      </c>
      <c r="C6373" s="51">
        <v>1.004</v>
      </c>
      <c r="D6373" s="51">
        <v>67.0</v>
      </c>
      <c r="E6373" s="52" t="s">
        <v>25</v>
      </c>
      <c r="F6373" s="52" t="s">
        <v>26</v>
      </c>
      <c r="G6373" s="54"/>
    </row>
    <row r="6374">
      <c r="A6374" s="49">
        <v>45088.09745221065</v>
      </c>
      <c r="B6374" s="50">
        <v>45088.222435243</v>
      </c>
      <c r="C6374" s="51">
        <v>1.004</v>
      </c>
      <c r="D6374" s="51">
        <v>67.0</v>
      </c>
      <c r="E6374" s="52" t="s">
        <v>25</v>
      </c>
      <c r="F6374" s="52" t="s">
        <v>26</v>
      </c>
      <c r="G6374" s="54"/>
    </row>
    <row r="6375">
      <c r="A6375" s="49">
        <v>45088.10789194444</v>
      </c>
      <c r="B6375" s="50">
        <v>45088.2328682523</v>
      </c>
      <c r="C6375" s="51">
        <v>1.004</v>
      </c>
      <c r="D6375" s="51">
        <v>67.0</v>
      </c>
      <c r="E6375" s="52" t="s">
        <v>25</v>
      </c>
      <c r="F6375" s="52" t="s">
        <v>26</v>
      </c>
      <c r="G6375" s="54"/>
    </row>
    <row r="6376">
      <c r="A6376" s="49">
        <v>45088.118321608796</v>
      </c>
      <c r="B6376" s="50">
        <v>45088.2432893287</v>
      </c>
      <c r="C6376" s="51">
        <v>1.004</v>
      </c>
      <c r="D6376" s="51">
        <v>67.0</v>
      </c>
      <c r="E6376" s="52" t="s">
        <v>25</v>
      </c>
      <c r="F6376" s="52" t="s">
        <v>26</v>
      </c>
      <c r="G6376" s="54"/>
    </row>
    <row r="6377">
      <c r="A6377" s="49">
        <v>45088.12874172453</v>
      </c>
      <c r="B6377" s="50">
        <v>45088.2537080208</v>
      </c>
      <c r="C6377" s="51">
        <v>1.004</v>
      </c>
      <c r="D6377" s="51">
        <v>67.0</v>
      </c>
      <c r="E6377" s="52" t="s">
        <v>25</v>
      </c>
      <c r="F6377" s="52" t="s">
        <v>26</v>
      </c>
      <c r="G6377" s="54"/>
    </row>
    <row r="6378">
      <c r="A6378" s="49">
        <v>45088.139226099534</v>
      </c>
      <c r="B6378" s="50">
        <v>45088.264140243</v>
      </c>
      <c r="C6378" s="51">
        <v>1.004</v>
      </c>
      <c r="D6378" s="51">
        <v>67.0</v>
      </c>
      <c r="E6378" s="52" t="s">
        <v>25</v>
      </c>
      <c r="F6378" s="52" t="s">
        <v>26</v>
      </c>
      <c r="G6378" s="54"/>
    </row>
    <row r="6379">
      <c r="A6379" s="49">
        <v>45088.1496486574</v>
      </c>
      <c r="B6379" s="50">
        <v>45088.2745629051</v>
      </c>
      <c r="C6379" s="51">
        <v>1.004</v>
      </c>
      <c r="D6379" s="51">
        <v>67.0</v>
      </c>
      <c r="E6379" s="52" t="s">
        <v>25</v>
      </c>
      <c r="F6379" s="52" t="s">
        <v>26</v>
      </c>
      <c r="G6379" s="54"/>
    </row>
    <row r="6380">
      <c r="A6380" s="49">
        <v>45088.16007153935</v>
      </c>
      <c r="B6380" s="50">
        <v>45088.2850198958</v>
      </c>
      <c r="C6380" s="51">
        <v>1.004</v>
      </c>
      <c r="D6380" s="51">
        <v>67.0</v>
      </c>
      <c r="E6380" s="52" t="s">
        <v>25</v>
      </c>
      <c r="F6380" s="52" t="s">
        <v>26</v>
      </c>
      <c r="G6380" s="54"/>
    </row>
    <row r="6381">
      <c r="A6381" s="49">
        <v>45088.17048266204</v>
      </c>
      <c r="B6381" s="50">
        <v>45088.2954419907</v>
      </c>
      <c r="C6381" s="51">
        <v>1.004</v>
      </c>
      <c r="D6381" s="51">
        <v>67.0</v>
      </c>
      <c r="E6381" s="52" t="s">
        <v>25</v>
      </c>
      <c r="F6381" s="52" t="s">
        <v>26</v>
      </c>
      <c r="G6381" s="54"/>
    </row>
    <row r="6382">
      <c r="A6382" s="49">
        <v>45088.180904189816</v>
      </c>
      <c r="B6382" s="50">
        <v>45088.3058624074</v>
      </c>
      <c r="C6382" s="51">
        <v>1.004</v>
      </c>
      <c r="D6382" s="51">
        <v>67.0</v>
      </c>
      <c r="E6382" s="52" t="s">
        <v>25</v>
      </c>
      <c r="F6382" s="52" t="s">
        <v>26</v>
      </c>
      <c r="G6382" s="54"/>
    </row>
    <row r="6383">
      <c r="A6383" s="49">
        <v>45088.191334560186</v>
      </c>
      <c r="B6383" s="50">
        <v>45088.3162952546</v>
      </c>
      <c r="C6383" s="51">
        <v>1.004</v>
      </c>
      <c r="D6383" s="51">
        <v>67.0</v>
      </c>
      <c r="E6383" s="52" t="s">
        <v>25</v>
      </c>
      <c r="F6383" s="52" t="s">
        <v>26</v>
      </c>
      <c r="G6383" s="54"/>
    </row>
    <row r="6384">
      <c r="A6384" s="49">
        <v>45088.20176747685</v>
      </c>
      <c r="B6384" s="50">
        <v>45088.3267396759</v>
      </c>
      <c r="C6384" s="51">
        <v>1.004</v>
      </c>
      <c r="D6384" s="51">
        <v>67.0</v>
      </c>
      <c r="E6384" s="52" t="s">
        <v>25</v>
      </c>
      <c r="F6384" s="52" t="s">
        <v>26</v>
      </c>
      <c r="G6384" s="54"/>
    </row>
    <row r="6385">
      <c r="A6385" s="49">
        <v>45088.21218890046</v>
      </c>
      <c r="B6385" s="50">
        <v>45088.3371597569</v>
      </c>
      <c r="C6385" s="51">
        <v>1.004</v>
      </c>
      <c r="D6385" s="51">
        <v>67.0</v>
      </c>
      <c r="E6385" s="52" t="s">
        <v>25</v>
      </c>
      <c r="F6385" s="52" t="s">
        <v>26</v>
      </c>
      <c r="G6385" s="54"/>
    </row>
    <row r="6386">
      <c r="A6386" s="49">
        <v>45088.222658784725</v>
      </c>
      <c r="B6386" s="50">
        <v>45088.3476381597</v>
      </c>
      <c r="C6386" s="51">
        <v>1.004</v>
      </c>
      <c r="D6386" s="51">
        <v>67.0</v>
      </c>
      <c r="E6386" s="52" t="s">
        <v>25</v>
      </c>
      <c r="F6386" s="52" t="s">
        <v>26</v>
      </c>
      <c r="G6386" s="54"/>
    </row>
    <row r="6387">
      <c r="A6387" s="49">
        <v>45088.23308193287</v>
      </c>
      <c r="B6387" s="50">
        <v>45088.3580582638</v>
      </c>
      <c r="C6387" s="51">
        <v>1.004</v>
      </c>
      <c r="D6387" s="51">
        <v>67.0</v>
      </c>
      <c r="E6387" s="52" t="s">
        <v>25</v>
      </c>
      <c r="F6387" s="52" t="s">
        <v>26</v>
      </c>
      <c r="G6387" s="54"/>
    </row>
    <row r="6388">
      <c r="A6388" s="49">
        <v>45088.243501018515</v>
      </c>
      <c r="B6388" s="50">
        <v>45088.3684818402</v>
      </c>
      <c r="C6388" s="51">
        <v>1.004</v>
      </c>
      <c r="D6388" s="51">
        <v>67.0</v>
      </c>
      <c r="E6388" s="52" t="s">
        <v>25</v>
      </c>
      <c r="F6388" s="52" t="s">
        <v>26</v>
      </c>
      <c r="G6388" s="54"/>
    </row>
    <row r="6389">
      <c r="A6389" s="49">
        <v>45088.25392484954</v>
      </c>
      <c r="B6389" s="50">
        <v>45088.3789044328</v>
      </c>
      <c r="C6389" s="51">
        <v>1.004</v>
      </c>
      <c r="D6389" s="51">
        <v>67.0</v>
      </c>
      <c r="E6389" s="52" t="s">
        <v>25</v>
      </c>
      <c r="F6389" s="52" t="s">
        <v>26</v>
      </c>
      <c r="G6389" s="54"/>
    </row>
    <row r="6390">
      <c r="A6390" s="49">
        <v>45088.264342916664</v>
      </c>
      <c r="B6390" s="50">
        <v>45088.3893245717</v>
      </c>
      <c r="C6390" s="51">
        <v>1.004</v>
      </c>
      <c r="D6390" s="51">
        <v>67.0</v>
      </c>
      <c r="E6390" s="52" t="s">
        <v>25</v>
      </c>
      <c r="F6390" s="52" t="s">
        <v>26</v>
      </c>
      <c r="G6390" s="54"/>
    </row>
    <row r="6391">
      <c r="A6391" s="49">
        <v>45088.27477364583</v>
      </c>
      <c r="B6391" s="50">
        <v>45088.3997452893</v>
      </c>
      <c r="C6391" s="51">
        <v>1.004</v>
      </c>
      <c r="D6391" s="51">
        <v>67.0</v>
      </c>
      <c r="E6391" s="52" t="s">
        <v>25</v>
      </c>
      <c r="F6391" s="52" t="s">
        <v>26</v>
      </c>
      <c r="G6391" s="54"/>
    </row>
    <row r="6392">
      <c r="A6392" s="49">
        <v>45088.28518828704</v>
      </c>
      <c r="B6392" s="50">
        <v>45088.4101659375</v>
      </c>
      <c r="C6392" s="51">
        <v>1.004</v>
      </c>
      <c r="D6392" s="51">
        <v>67.0</v>
      </c>
      <c r="E6392" s="52" t="s">
        <v>25</v>
      </c>
      <c r="F6392" s="52" t="s">
        <v>26</v>
      </c>
      <c r="G6392" s="54"/>
    </row>
    <row r="6393">
      <c r="A6393" s="49">
        <v>45088.2956056713</v>
      </c>
      <c r="B6393" s="50">
        <v>45088.420585625</v>
      </c>
      <c r="C6393" s="51">
        <v>1.004</v>
      </c>
      <c r="D6393" s="51">
        <v>67.0</v>
      </c>
      <c r="E6393" s="52" t="s">
        <v>25</v>
      </c>
      <c r="F6393" s="52" t="s">
        <v>26</v>
      </c>
      <c r="G6393" s="54"/>
    </row>
    <row r="6394">
      <c r="A6394" s="49">
        <v>45088.30603252315</v>
      </c>
      <c r="B6394" s="50">
        <v>45088.4310064467</v>
      </c>
      <c r="C6394" s="51">
        <v>1.004</v>
      </c>
      <c r="D6394" s="51">
        <v>67.0</v>
      </c>
      <c r="E6394" s="52" t="s">
        <v>25</v>
      </c>
      <c r="F6394" s="52" t="s">
        <v>26</v>
      </c>
      <c r="G6394" s="54"/>
    </row>
    <row r="6395">
      <c r="A6395" s="49">
        <v>45088.31645105324</v>
      </c>
      <c r="B6395" s="50">
        <v>45088.441427824</v>
      </c>
      <c r="C6395" s="51">
        <v>1.004</v>
      </c>
      <c r="D6395" s="51">
        <v>67.0</v>
      </c>
      <c r="E6395" s="52" t="s">
        <v>25</v>
      </c>
      <c r="F6395" s="52" t="s">
        <v>26</v>
      </c>
      <c r="G6395" s="54"/>
    </row>
    <row r="6396">
      <c r="A6396" s="49">
        <v>45088.32686509259</v>
      </c>
      <c r="B6396" s="50">
        <v>45088.4518485532</v>
      </c>
      <c r="C6396" s="51">
        <v>1.004</v>
      </c>
      <c r="D6396" s="51">
        <v>67.0</v>
      </c>
      <c r="E6396" s="52" t="s">
        <v>25</v>
      </c>
      <c r="F6396" s="52" t="s">
        <v>26</v>
      </c>
      <c r="G6396" s="54"/>
    </row>
    <row r="6397">
      <c r="A6397" s="49">
        <v>45088.33729438657</v>
      </c>
      <c r="B6397" s="50">
        <v>45088.462270324</v>
      </c>
      <c r="C6397" s="51">
        <v>1.004</v>
      </c>
      <c r="D6397" s="51">
        <v>67.0</v>
      </c>
      <c r="E6397" s="52" t="s">
        <v>25</v>
      </c>
      <c r="F6397" s="52" t="s">
        <v>26</v>
      </c>
      <c r="G6397" s="54"/>
    </row>
    <row r="6398">
      <c r="A6398" s="49">
        <v>45088.347710393515</v>
      </c>
      <c r="B6398" s="50">
        <v>45088.4726933333</v>
      </c>
      <c r="C6398" s="51">
        <v>1.004</v>
      </c>
      <c r="D6398" s="51">
        <v>67.0</v>
      </c>
      <c r="E6398" s="52" t="s">
        <v>25</v>
      </c>
      <c r="F6398" s="52" t="s">
        <v>26</v>
      </c>
      <c r="G6398" s="54"/>
    </row>
    <row r="6399">
      <c r="A6399" s="49">
        <v>45088.358130196764</v>
      </c>
      <c r="B6399" s="50">
        <v>45088.4831150578</v>
      </c>
      <c r="C6399" s="51">
        <v>1.004</v>
      </c>
      <c r="D6399" s="51">
        <v>67.0</v>
      </c>
      <c r="E6399" s="52" t="s">
        <v>25</v>
      </c>
      <c r="F6399" s="52" t="s">
        <v>26</v>
      </c>
      <c r="G6399" s="54"/>
    </row>
    <row r="6400">
      <c r="A6400" s="49">
        <v>45088.36856342593</v>
      </c>
      <c r="B6400" s="50">
        <v>45088.4935464467</v>
      </c>
      <c r="C6400" s="51">
        <v>1.004</v>
      </c>
      <c r="D6400" s="51">
        <v>67.0</v>
      </c>
      <c r="E6400" s="52" t="s">
        <v>25</v>
      </c>
      <c r="F6400" s="52" t="s">
        <v>26</v>
      </c>
      <c r="G6400" s="54"/>
    </row>
    <row r="6401">
      <c r="A6401" s="49">
        <v>45088.37898607639</v>
      </c>
      <c r="B6401" s="50">
        <v>45088.5039674074</v>
      </c>
      <c r="C6401" s="51">
        <v>1.004</v>
      </c>
      <c r="D6401" s="51">
        <v>67.0</v>
      </c>
      <c r="E6401" s="52" t="s">
        <v>25</v>
      </c>
      <c r="F6401" s="52" t="s">
        <v>26</v>
      </c>
      <c r="G6401" s="54"/>
    </row>
    <row r="6402">
      <c r="A6402" s="49">
        <v>45088.389404050926</v>
      </c>
      <c r="B6402" s="50">
        <v>45088.5143895601</v>
      </c>
      <c r="C6402" s="51">
        <v>1.004</v>
      </c>
      <c r="D6402" s="51">
        <v>67.0</v>
      </c>
      <c r="E6402" s="52" t="s">
        <v>25</v>
      </c>
      <c r="F6402" s="52" t="s">
        <v>26</v>
      </c>
      <c r="G6402" s="54"/>
    </row>
    <row r="6403">
      <c r="A6403" s="49">
        <v>45088.399838680554</v>
      </c>
      <c r="B6403" s="50">
        <v>45088.5248112847</v>
      </c>
      <c r="C6403" s="51">
        <v>1.004</v>
      </c>
      <c r="D6403" s="51">
        <v>67.0</v>
      </c>
      <c r="E6403" s="52" t="s">
        <v>25</v>
      </c>
      <c r="F6403" s="52" t="s">
        <v>26</v>
      </c>
      <c r="G6403" s="54"/>
    </row>
    <row r="6404">
      <c r="A6404" s="49">
        <v>45088.41025987269</v>
      </c>
      <c r="B6404" s="50">
        <v>45088.5352424074</v>
      </c>
      <c r="C6404" s="51">
        <v>1.004</v>
      </c>
      <c r="D6404" s="51">
        <v>67.0</v>
      </c>
      <c r="E6404" s="52" t="s">
        <v>25</v>
      </c>
      <c r="F6404" s="52" t="s">
        <v>26</v>
      </c>
      <c r="G6404" s="54"/>
    </row>
    <row r="6405">
      <c r="A6405" s="49">
        <v>45088.420689907405</v>
      </c>
      <c r="B6405" s="50">
        <v>45088.5456649652</v>
      </c>
      <c r="C6405" s="51">
        <v>1.004</v>
      </c>
      <c r="D6405" s="51">
        <v>67.0</v>
      </c>
      <c r="E6405" s="52" t="s">
        <v>25</v>
      </c>
      <c r="F6405" s="52" t="s">
        <v>26</v>
      </c>
      <c r="G6405" s="54"/>
    </row>
    <row r="6406">
      <c r="A6406" s="49">
        <v>45088.431104131945</v>
      </c>
      <c r="B6406" s="50">
        <v>45088.5560853935</v>
      </c>
      <c r="C6406" s="51">
        <v>1.004</v>
      </c>
      <c r="D6406" s="51">
        <v>67.0</v>
      </c>
      <c r="E6406" s="52" t="s">
        <v>25</v>
      </c>
      <c r="F6406" s="52" t="s">
        <v>26</v>
      </c>
      <c r="G6406" s="54"/>
    </row>
    <row r="6407">
      <c r="A6407" s="49">
        <v>45088.441519201384</v>
      </c>
      <c r="B6407" s="50">
        <v>45088.5665056828</v>
      </c>
      <c r="C6407" s="51">
        <v>1.004</v>
      </c>
      <c r="D6407" s="51">
        <v>67.0</v>
      </c>
      <c r="E6407" s="52" t="s">
        <v>25</v>
      </c>
      <c r="F6407" s="52" t="s">
        <v>26</v>
      </c>
      <c r="G6407" s="54"/>
    </row>
    <row r="6408">
      <c r="A6408" s="49">
        <v>45088.451962245366</v>
      </c>
      <c r="B6408" s="50">
        <v>45088.5769391088</v>
      </c>
      <c r="C6408" s="51">
        <v>1.004</v>
      </c>
      <c r="D6408" s="51">
        <v>67.0</v>
      </c>
      <c r="E6408" s="52" t="s">
        <v>25</v>
      </c>
      <c r="F6408" s="52" t="s">
        <v>26</v>
      </c>
      <c r="G6408" s="54"/>
    </row>
    <row r="6409">
      <c r="A6409" s="49">
        <v>45088.46239206019</v>
      </c>
      <c r="B6409" s="50">
        <v>45088.5873713888</v>
      </c>
      <c r="C6409" s="51">
        <v>1.004</v>
      </c>
      <c r="D6409" s="51">
        <v>67.0</v>
      </c>
      <c r="E6409" s="52" t="s">
        <v>25</v>
      </c>
      <c r="F6409" s="52" t="s">
        <v>26</v>
      </c>
      <c r="G6409" s="54"/>
    </row>
    <row r="6410">
      <c r="A6410" s="49">
        <v>45088.47280880787</v>
      </c>
      <c r="B6410" s="50">
        <v>45088.5977922222</v>
      </c>
      <c r="C6410" s="51">
        <v>1.004</v>
      </c>
      <c r="D6410" s="51">
        <v>67.0</v>
      </c>
      <c r="E6410" s="52" t="s">
        <v>25</v>
      </c>
      <c r="F6410" s="52" t="s">
        <v>26</v>
      </c>
      <c r="G6410" s="54"/>
    </row>
    <row r="6411">
      <c r="A6411" s="49">
        <v>45088.48323747685</v>
      </c>
      <c r="B6411" s="50">
        <v>45088.6082127893</v>
      </c>
      <c r="C6411" s="51">
        <v>1.004</v>
      </c>
      <c r="D6411" s="51">
        <v>67.0</v>
      </c>
      <c r="E6411" s="52" t="s">
        <v>25</v>
      </c>
      <c r="F6411" s="52" t="s">
        <v>26</v>
      </c>
      <c r="G6411" s="54"/>
    </row>
    <row r="6412">
      <c r="A6412" s="49">
        <v>45088.49365203704</v>
      </c>
      <c r="B6412" s="50">
        <v>45088.6186349305</v>
      </c>
      <c r="C6412" s="51">
        <v>1.004</v>
      </c>
      <c r="D6412" s="51">
        <v>67.0</v>
      </c>
      <c r="E6412" s="52" t="s">
        <v>25</v>
      </c>
      <c r="F6412" s="52" t="s">
        <v>26</v>
      </c>
      <c r="G6412" s="54"/>
    </row>
    <row r="6413">
      <c r="A6413" s="49">
        <v>45088.50408201389</v>
      </c>
      <c r="B6413" s="50">
        <v>45088.6290571527</v>
      </c>
      <c r="C6413" s="51">
        <v>1.004</v>
      </c>
      <c r="D6413" s="51">
        <v>67.0</v>
      </c>
      <c r="E6413" s="52" t="s">
        <v>25</v>
      </c>
      <c r="F6413" s="52" t="s">
        <v>26</v>
      </c>
      <c r="G6413" s="54"/>
    </row>
    <row r="6414">
      <c r="A6414" s="49">
        <v>45088.51451440972</v>
      </c>
      <c r="B6414" s="50">
        <v>45088.6394900115</v>
      </c>
      <c r="C6414" s="51">
        <v>1.004</v>
      </c>
      <c r="D6414" s="51">
        <v>67.0</v>
      </c>
      <c r="E6414" s="52" t="s">
        <v>25</v>
      </c>
      <c r="F6414" s="52" t="s">
        <v>26</v>
      </c>
      <c r="G6414" s="54"/>
    </row>
    <row r="6415">
      <c r="A6415" s="49">
        <v>45088.52494665509</v>
      </c>
      <c r="B6415" s="50">
        <v>45088.6499232407</v>
      </c>
      <c r="C6415" s="51">
        <v>1.004</v>
      </c>
      <c r="D6415" s="51">
        <v>67.0</v>
      </c>
      <c r="E6415" s="52" t="s">
        <v>25</v>
      </c>
      <c r="F6415" s="52" t="s">
        <v>26</v>
      </c>
      <c r="G6415" s="54"/>
    </row>
    <row r="6416">
      <c r="A6416" s="49">
        <v>45088.53535818287</v>
      </c>
      <c r="B6416" s="50">
        <v>45088.6603435763</v>
      </c>
      <c r="C6416" s="51">
        <v>1.004</v>
      </c>
      <c r="D6416" s="51">
        <v>67.0</v>
      </c>
      <c r="E6416" s="52" t="s">
        <v>25</v>
      </c>
      <c r="F6416" s="52" t="s">
        <v>26</v>
      </c>
      <c r="G6416" s="54"/>
    </row>
    <row r="6417">
      <c r="A6417" s="49">
        <v>45088.54578712963</v>
      </c>
      <c r="B6417" s="50">
        <v>45088.6707650578</v>
      </c>
      <c r="C6417" s="51">
        <v>1.004</v>
      </c>
      <c r="D6417" s="51">
        <v>67.0</v>
      </c>
      <c r="E6417" s="52" t="s">
        <v>25</v>
      </c>
      <c r="F6417" s="52" t="s">
        <v>26</v>
      </c>
      <c r="G6417" s="54"/>
    </row>
    <row r="6418">
      <c r="A6418" s="49">
        <v>45088.556206863424</v>
      </c>
      <c r="B6418" s="50">
        <v>45088.6811886689</v>
      </c>
      <c r="C6418" s="51">
        <v>1.004</v>
      </c>
      <c r="D6418" s="51">
        <v>67.0</v>
      </c>
      <c r="E6418" s="52" t="s">
        <v>25</v>
      </c>
      <c r="F6418" s="52" t="s">
        <v>26</v>
      </c>
      <c r="G6418" s="54"/>
    </row>
    <row r="6419">
      <c r="A6419" s="49">
        <v>45088.56665638889</v>
      </c>
      <c r="B6419" s="50">
        <v>45088.6916315393</v>
      </c>
      <c r="C6419" s="51">
        <v>1.004</v>
      </c>
      <c r="D6419" s="51">
        <v>67.0</v>
      </c>
      <c r="E6419" s="52" t="s">
        <v>25</v>
      </c>
      <c r="F6419" s="52" t="s">
        <v>26</v>
      </c>
      <c r="G6419" s="54"/>
    </row>
    <row r="6420">
      <c r="A6420" s="49">
        <v>45088.57707494213</v>
      </c>
      <c r="B6420" s="50">
        <v>45088.7020517708</v>
      </c>
      <c r="C6420" s="51">
        <v>1.004</v>
      </c>
      <c r="D6420" s="51">
        <v>67.0</v>
      </c>
      <c r="E6420" s="52" t="s">
        <v>25</v>
      </c>
      <c r="F6420" s="52" t="s">
        <v>26</v>
      </c>
      <c r="G6420" s="54"/>
    </row>
    <row r="6421">
      <c r="A6421" s="49">
        <v>45088.58749685185</v>
      </c>
      <c r="B6421" s="50">
        <v>45088.7124722569</v>
      </c>
      <c r="C6421" s="51">
        <v>1.004</v>
      </c>
      <c r="D6421" s="51">
        <v>67.0</v>
      </c>
      <c r="E6421" s="52" t="s">
        <v>25</v>
      </c>
      <c r="F6421" s="52" t="s">
        <v>26</v>
      </c>
      <c r="G6421" s="54"/>
    </row>
    <row r="6422">
      <c r="A6422" s="49">
        <v>45088.59791019676</v>
      </c>
      <c r="B6422" s="50">
        <v>45088.7228929861</v>
      </c>
      <c r="C6422" s="51">
        <v>1.004</v>
      </c>
      <c r="D6422" s="51">
        <v>67.0</v>
      </c>
      <c r="E6422" s="52" t="s">
        <v>25</v>
      </c>
      <c r="F6422" s="52" t="s">
        <v>26</v>
      </c>
      <c r="G6422" s="54"/>
    </row>
    <row r="6423">
      <c r="A6423" s="49">
        <v>45088.608349965274</v>
      </c>
      <c r="B6423" s="50">
        <v>45088.733326574</v>
      </c>
      <c r="C6423" s="51">
        <v>1.004</v>
      </c>
      <c r="D6423" s="51">
        <v>67.0</v>
      </c>
      <c r="E6423" s="52" t="s">
        <v>25</v>
      </c>
      <c r="F6423" s="52" t="s">
        <v>26</v>
      </c>
      <c r="G6423" s="54"/>
    </row>
    <row r="6424">
      <c r="A6424" s="49">
        <v>45088.61877021991</v>
      </c>
      <c r="B6424" s="50">
        <v>45088.7437487384</v>
      </c>
      <c r="C6424" s="51">
        <v>1.004</v>
      </c>
      <c r="D6424" s="51">
        <v>67.0</v>
      </c>
      <c r="E6424" s="52" t="s">
        <v>25</v>
      </c>
      <c r="F6424" s="52" t="s">
        <v>26</v>
      </c>
      <c r="G6424" s="54"/>
    </row>
    <row r="6425">
      <c r="A6425" s="49">
        <v>45088.629191087966</v>
      </c>
      <c r="B6425" s="50">
        <v>45088.7541720023</v>
      </c>
      <c r="C6425" s="51">
        <v>1.004</v>
      </c>
      <c r="D6425" s="51">
        <v>67.0</v>
      </c>
      <c r="E6425" s="52" t="s">
        <v>25</v>
      </c>
      <c r="F6425" s="52" t="s">
        <v>26</v>
      </c>
      <c r="G6425" s="54"/>
    </row>
    <row r="6426">
      <c r="A6426" s="49">
        <v>45088.63961425926</v>
      </c>
      <c r="B6426" s="50">
        <v>45088.7645942476</v>
      </c>
      <c r="C6426" s="51">
        <v>1.004</v>
      </c>
      <c r="D6426" s="51">
        <v>67.0</v>
      </c>
      <c r="E6426" s="52" t="s">
        <v>25</v>
      </c>
      <c r="F6426" s="52" t="s">
        <v>26</v>
      </c>
      <c r="G6426" s="54"/>
    </row>
    <row r="6427">
      <c r="A6427" s="49">
        <v>45088.6500364699</v>
      </c>
      <c r="B6427" s="50">
        <v>45088.7750146296</v>
      </c>
      <c r="C6427" s="51">
        <v>1.004</v>
      </c>
      <c r="D6427" s="51">
        <v>67.0</v>
      </c>
      <c r="E6427" s="52" t="s">
        <v>25</v>
      </c>
      <c r="F6427" s="52" t="s">
        <v>26</v>
      </c>
      <c r="G6427" s="54"/>
    </row>
    <row r="6428">
      <c r="A6428" s="49">
        <v>45088.66045773149</v>
      </c>
      <c r="B6428" s="50">
        <v>45088.7854364004</v>
      </c>
      <c r="C6428" s="51">
        <v>1.004</v>
      </c>
      <c r="D6428" s="51">
        <v>67.0</v>
      </c>
      <c r="E6428" s="52" t="s">
        <v>25</v>
      </c>
      <c r="F6428" s="52" t="s">
        <v>26</v>
      </c>
      <c r="G6428" s="54"/>
    </row>
    <row r="6429">
      <c r="A6429" s="49">
        <v>45088.670878414356</v>
      </c>
      <c r="B6429" s="50">
        <v>45088.7958587384</v>
      </c>
      <c r="C6429" s="51">
        <v>1.004</v>
      </c>
      <c r="D6429" s="51">
        <v>67.0</v>
      </c>
      <c r="E6429" s="52" t="s">
        <v>25</v>
      </c>
      <c r="F6429" s="52" t="s">
        <v>26</v>
      </c>
      <c r="G6429" s="54"/>
    </row>
    <row r="6430">
      <c r="A6430" s="49">
        <v>45088.681330046296</v>
      </c>
      <c r="B6430" s="50">
        <v>45088.8063009722</v>
      </c>
      <c r="C6430" s="51">
        <v>1.004</v>
      </c>
      <c r="D6430" s="51">
        <v>67.0</v>
      </c>
      <c r="E6430" s="52" t="s">
        <v>25</v>
      </c>
      <c r="F6430" s="52" t="s">
        <v>26</v>
      </c>
      <c r="G6430" s="54"/>
    </row>
    <row r="6431">
      <c r="A6431" s="49">
        <v>45088.691742118055</v>
      </c>
      <c r="B6431" s="50">
        <v>45088.8167236342</v>
      </c>
      <c r="C6431" s="51">
        <v>1.004</v>
      </c>
      <c r="D6431" s="51">
        <v>67.0</v>
      </c>
      <c r="E6431" s="52" t="s">
        <v>25</v>
      </c>
      <c r="F6431" s="52" t="s">
        <v>26</v>
      </c>
      <c r="G6431" s="54"/>
    </row>
    <row r="6432">
      <c r="A6432" s="49">
        <v>45088.70217001157</v>
      </c>
      <c r="B6432" s="50">
        <v>45088.8271451851</v>
      </c>
      <c r="C6432" s="51">
        <v>1.004</v>
      </c>
      <c r="D6432" s="51">
        <v>67.0</v>
      </c>
      <c r="E6432" s="52" t="s">
        <v>25</v>
      </c>
      <c r="F6432" s="52" t="s">
        <v>26</v>
      </c>
      <c r="G6432" s="54"/>
    </row>
    <row r="6433">
      <c r="A6433" s="49">
        <v>45088.7125869213</v>
      </c>
      <c r="B6433" s="50">
        <v>45088.8375680208</v>
      </c>
      <c r="C6433" s="51">
        <v>1.004</v>
      </c>
      <c r="D6433" s="51">
        <v>67.0</v>
      </c>
      <c r="E6433" s="52" t="s">
        <v>25</v>
      </c>
      <c r="F6433" s="52" t="s">
        <v>26</v>
      </c>
      <c r="G6433" s="54"/>
    </row>
    <row r="6434">
      <c r="A6434" s="49">
        <v>45088.72300702546</v>
      </c>
      <c r="B6434" s="50">
        <v>45088.8479886574</v>
      </c>
      <c r="C6434" s="51">
        <v>1.004</v>
      </c>
      <c r="D6434" s="51">
        <v>67.0</v>
      </c>
      <c r="E6434" s="52" t="s">
        <v>25</v>
      </c>
      <c r="F6434" s="52" t="s">
        <v>26</v>
      </c>
      <c r="G6434" s="54"/>
    </row>
    <row r="6435">
      <c r="A6435" s="49">
        <v>45088.73342471065</v>
      </c>
      <c r="B6435" s="50">
        <v>45088.8584082638</v>
      </c>
      <c r="C6435" s="51">
        <v>1.004</v>
      </c>
      <c r="D6435" s="51">
        <v>67.0</v>
      </c>
      <c r="E6435" s="52" t="s">
        <v>25</v>
      </c>
      <c r="F6435" s="52" t="s">
        <v>26</v>
      </c>
      <c r="G6435" s="54"/>
    </row>
    <row r="6436">
      <c r="A6436" s="49">
        <v>45088.743856180554</v>
      </c>
      <c r="B6436" s="50">
        <v>45088.8688281944</v>
      </c>
      <c r="C6436" s="51">
        <v>1.004</v>
      </c>
      <c r="D6436" s="51">
        <v>67.0</v>
      </c>
      <c r="E6436" s="52" t="s">
        <v>25</v>
      </c>
      <c r="F6436" s="52" t="s">
        <v>26</v>
      </c>
      <c r="G6436" s="54"/>
    </row>
    <row r="6437">
      <c r="A6437" s="49">
        <v>45088.75427309028</v>
      </c>
      <c r="B6437" s="50">
        <v>45088.879248449</v>
      </c>
      <c r="C6437" s="51">
        <v>1.004</v>
      </c>
      <c r="D6437" s="51">
        <v>67.0</v>
      </c>
      <c r="E6437" s="52" t="s">
        <v>25</v>
      </c>
      <c r="F6437" s="52" t="s">
        <v>26</v>
      </c>
      <c r="G6437" s="54"/>
    </row>
    <row r="6438">
      <c r="A6438" s="49">
        <v>45088.764685682865</v>
      </c>
      <c r="B6438" s="50">
        <v>45088.8896694328</v>
      </c>
      <c r="C6438" s="51">
        <v>1.004</v>
      </c>
      <c r="D6438" s="51">
        <v>67.0</v>
      </c>
      <c r="E6438" s="52" t="s">
        <v>25</v>
      </c>
      <c r="F6438" s="52" t="s">
        <v>26</v>
      </c>
      <c r="G6438" s="54"/>
    </row>
    <row r="6439">
      <c r="A6439" s="49">
        <v>45088.77511883102</v>
      </c>
      <c r="B6439" s="50">
        <v>45088.9000923379</v>
      </c>
      <c r="C6439" s="51">
        <v>1.004</v>
      </c>
      <c r="D6439" s="51">
        <v>67.0</v>
      </c>
      <c r="E6439" s="52" t="s">
        <v>25</v>
      </c>
      <c r="F6439" s="52" t="s">
        <v>26</v>
      </c>
      <c r="G6439" s="54"/>
    </row>
    <row r="6440">
      <c r="A6440" s="49">
        <v>45088.7855349537</v>
      </c>
      <c r="B6440" s="50">
        <v>45088.9105123148</v>
      </c>
      <c r="C6440" s="51">
        <v>1.004</v>
      </c>
      <c r="D6440" s="51">
        <v>67.0</v>
      </c>
      <c r="E6440" s="52" t="s">
        <v>25</v>
      </c>
      <c r="F6440" s="52" t="s">
        <v>26</v>
      </c>
      <c r="G6440" s="54"/>
    </row>
    <row r="6441">
      <c r="A6441" s="49">
        <v>45088.795957615745</v>
      </c>
      <c r="B6441" s="50">
        <v>45088.9209313078</v>
      </c>
      <c r="C6441" s="51">
        <v>1.004</v>
      </c>
      <c r="D6441" s="51">
        <v>67.0</v>
      </c>
      <c r="E6441" s="52" t="s">
        <v>25</v>
      </c>
      <c r="F6441" s="52" t="s">
        <v>26</v>
      </c>
      <c r="G6441" s="54"/>
    </row>
    <row r="6442">
      <c r="A6442" s="49">
        <v>45088.80637564815</v>
      </c>
      <c r="B6442" s="50">
        <v>45088.9313512152</v>
      </c>
      <c r="C6442" s="51">
        <v>1.004</v>
      </c>
      <c r="D6442" s="51">
        <v>67.0</v>
      </c>
      <c r="E6442" s="52" t="s">
        <v>25</v>
      </c>
      <c r="F6442" s="52" t="s">
        <v>26</v>
      </c>
      <c r="G6442" s="54"/>
    </row>
    <row r="6443">
      <c r="A6443" s="49">
        <v>45088.81680908565</v>
      </c>
      <c r="B6443" s="50">
        <v>45088.9417726851</v>
      </c>
      <c r="C6443" s="51">
        <v>1.004</v>
      </c>
      <c r="D6443" s="51">
        <v>67.0</v>
      </c>
      <c r="E6443" s="52" t="s">
        <v>25</v>
      </c>
      <c r="F6443" s="52" t="s">
        <v>26</v>
      </c>
      <c r="G6443" s="54"/>
    </row>
    <row r="6444">
      <c r="A6444" s="49">
        <v>45088.827217592596</v>
      </c>
      <c r="B6444" s="50">
        <v>45088.9521932754</v>
      </c>
      <c r="C6444" s="51">
        <v>1.003</v>
      </c>
      <c r="D6444" s="51">
        <v>67.0</v>
      </c>
      <c r="E6444" s="52" t="s">
        <v>25</v>
      </c>
      <c r="F6444" s="52" t="s">
        <v>26</v>
      </c>
      <c r="G6444" s="54"/>
    </row>
    <row r="6445">
      <c r="A6445" s="49">
        <v>45088.83765</v>
      </c>
      <c r="B6445" s="50">
        <v>45088.9626144675</v>
      </c>
      <c r="C6445" s="51">
        <v>1.004</v>
      </c>
      <c r="D6445" s="51">
        <v>67.0</v>
      </c>
      <c r="E6445" s="52" t="s">
        <v>25</v>
      </c>
      <c r="F6445" s="52" t="s">
        <v>26</v>
      </c>
      <c r="G6445" s="54"/>
    </row>
    <row r="6446">
      <c r="A6446" s="49">
        <v>45088.84806722222</v>
      </c>
      <c r="B6446" s="50">
        <v>45088.9730354166</v>
      </c>
      <c r="C6446" s="51">
        <v>1.004</v>
      </c>
      <c r="D6446" s="51">
        <v>67.0</v>
      </c>
      <c r="E6446" s="52" t="s">
        <v>25</v>
      </c>
      <c r="F6446" s="52" t="s">
        <v>26</v>
      </c>
      <c r="G6446" s="54"/>
    </row>
    <row r="6447">
      <c r="A6447" s="49">
        <v>45088.85848064815</v>
      </c>
      <c r="B6447" s="50">
        <v>45088.983456331</v>
      </c>
      <c r="C6447" s="51">
        <v>1.004</v>
      </c>
      <c r="D6447" s="51">
        <v>67.0</v>
      </c>
      <c r="E6447" s="52" t="s">
        <v>25</v>
      </c>
      <c r="F6447" s="52" t="s">
        <v>26</v>
      </c>
      <c r="G6447" s="54"/>
    </row>
    <row r="6448">
      <c r="A6448" s="49">
        <v>45088.868916238425</v>
      </c>
      <c r="B6448" s="50">
        <v>45088.9938875347</v>
      </c>
      <c r="C6448" s="51">
        <v>1.004</v>
      </c>
      <c r="D6448" s="51">
        <v>67.0</v>
      </c>
      <c r="E6448" s="52" t="s">
        <v>25</v>
      </c>
      <c r="F6448" s="52" t="s">
        <v>26</v>
      </c>
      <c r="G6448" s="54"/>
    </row>
    <row r="6449">
      <c r="A6449" s="49">
        <v>45088.87933414352</v>
      </c>
      <c r="B6449" s="50">
        <v>45089.0043087152</v>
      </c>
      <c r="C6449" s="51">
        <v>1.003</v>
      </c>
      <c r="D6449" s="51">
        <v>67.0</v>
      </c>
      <c r="E6449" s="52" t="s">
        <v>25</v>
      </c>
      <c r="F6449" s="52" t="s">
        <v>26</v>
      </c>
      <c r="G6449" s="54"/>
    </row>
    <row r="6450">
      <c r="A6450" s="49">
        <v>45088.88975538194</v>
      </c>
      <c r="B6450" s="50">
        <v>45089.0147301851</v>
      </c>
      <c r="C6450" s="51">
        <v>1.004</v>
      </c>
      <c r="D6450" s="51">
        <v>67.0</v>
      </c>
      <c r="E6450" s="52" t="s">
        <v>25</v>
      </c>
      <c r="F6450" s="52" t="s">
        <v>26</v>
      </c>
      <c r="G6450" s="54"/>
    </row>
    <row r="6451">
      <c r="A6451" s="49">
        <v>45088.900200601856</v>
      </c>
      <c r="B6451" s="50">
        <v>45089.025175787</v>
      </c>
      <c r="C6451" s="51">
        <v>1.004</v>
      </c>
      <c r="D6451" s="51">
        <v>67.0</v>
      </c>
      <c r="E6451" s="52" t="s">
        <v>25</v>
      </c>
      <c r="F6451" s="52" t="s">
        <v>26</v>
      </c>
      <c r="G6451" s="54"/>
    </row>
    <row r="6452">
      <c r="A6452" s="49">
        <v>45088.91062229167</v>
      </c>
      <c r="B6452" s="50">
        <v>45089.0355975115</v>
      </c>
      <c r="C6452" s="51">
        <v>1.004</v>
      </c>
      <c r="D6452" s="51">
        <v>67.0</v>
      </c>
      <c r="E6452" s="52" t="s">
        <v>25</v>
      </c>
      <c r="F6452" s="52" t="s">
        <v>26</v>
      </c>
      <c r="G6452" s="54"/>
    </row>
    <row r="6453">
      <c r="A6453" s="49">
        <v>45088.92104127315</v>
      </c>
      <c r="B6453" s="50">
        <v>45089.0460174421</v>
      </c>
      <c r="C6453" s="51">
        <v>1.004</v>
      </c>
      <c r="D6453" s="51">
        <v>67.0</v>
      </c>
      <c r="E6453" s="52" t="s">
        <v>25</v>
      </c>
      <c r="F6453" s="52" t="s">
        <v>26</v>
      </c>
      <c r="G6453" s="54"/>
    </row>
    <row r="6454">
      <c r="A6454" s="49">
        <v>45088.93146199074</v>
      </c>
      <c r="B6454" s="50">
        <v>45089.0564386342</v>
      </c>
      <c r="C6454" s="51">
        <v>1.004</v>
      </c>
      <c r="D6454" s="51">
        <v>67.0</v>
      </c>
      <c r="E6454" s="52" t="s">
        <v>25</v>
      </c>
      <c r="F6454" s="52" t="s">
        <v>26</v>
      </c>
      <c r="G6454" s="54"/>
    </row>
    <row r="6455">
      <c r="A6455" s="49">
        <v>45088.94188309028</v>
      </c>
      <c r="B6455" s="50">
        <v>45089.0668607986</v>
      </c>
      <c r="C6455" s="51">
        <v>1.004</v>
      </c>
      <c r="D6455" s="51">
        <v>67.0</v>
      </c>
      <c r="E6455" s="52" t="s">
        <v>25</v>
      </c>
      <c r="F6455" s="52" t="s">
        <v>26</v>
      </c>
      <c r="G6455" s="54"/>
    </row>
    <row r="6456">
      <c r="A6456" s="49">
        <v>45088.95230697916</v>
      </c>
      <c r="B6456" s="50">
        <v>45089.07728228</v>
      </c>
      <c r="C6456" s="51">
        <v>1.004</v>
      </c>
      <c r="D6456" s="51">
        <v>67.0</v>
      </c>
      <c r="E6456" s="52" t="s">
        <v>25</v>
      </c>
      <c r="F6456" s="52" t="s">
        <v>26</v>
      </c>
      <c r="G6456" s="54"/>
    </row>
    <row r="6457">
      <c r="A6457" s="49">
        <v>45088.96272207176</v>
      </c>
      <c r="B6457" s="50">
        <v>45089.0877035185</v>
      </c>
      <c r="C6457" s="51">
        <v>1.004</v>
      </c>
      <c r="D6457" s="51">
        <v>67.0</v>
      </c>
      <c r="E6457" s="52" t="s">
        <v>25</v>
      </c>
      <c r="F6457" s="52" t="s">
        <v>26</v>
      </c>
      <c r="G6457" s="54"/>
    </row>
    <row r="6458">
      <c r="A6458" s="49">
        <v>45088.973150370366</v>
      </c>
      <c r="B6458" s="50">
        <v>45089.098124699</v>
      </c>
      <c r="C6458" s="51">
        <v>1.004</v>
      </c>
      <c r="D6458" s="51">
        <v>67.0</v>
      </c>
      <c r="E6458" s="52" t="s">
        <v>25</v>
      </c>
      <c r="F6458" s="52" t="s">
        <v>26</v>
      </c>
      <c r="G6458" s="54"/>
    </row>
    <row r="6459">
      <c r="A6459" s="49">
        <v>45088.98360788195</v>
      </c>
      <c r="B6459" s="50">
        <v>45089.1085573611</v>
      </c>
      <c r="C6459" s="51">
        <v>1.004</v>
      </c>
      <c r="D6459" s="51">
        <v>67.0</v>
      </c>
      <c r="E6459" s="52" t="s">
        <v>25</v>
      </c>
      <c r="F6459" s="52" t="s">
        <v>26</v>
      </c>
      <c r="G6459" s="54"/>
    </row>
    <row r="6460">
      <c r="A6460" s="49">
        <v>45088.99402990741</v>
      </c>
      <c r="B6460" s="50">
        <v>45089.1189893634</v>
      </c>
      <c r="C6460" s="51">
        <v>1.004</v>
      </c>
      <c r="D6460" s="51">
        <v>67.0</v>
      </c>
      <c r="E6460" s="52" t="s">
        <v>25</v>
      </c>
      <c r="F6460" s="52" t="s">
        <v>26</v>
      </c>
      <c r="G6460" s="54"/>
    </row>
    <row r="6461">
      <c r="A6461" s="49">
        <v>45089.0044457176</v>
      </c>
      <c r="B6461" s="50">
        <v>45089.1294215625</v>
      </c>
      <c r="C6461" s="51">
        <v>1.004</v>
      </c>
      <c r="D6461" s="51">
        <v>67.0</v>
      </c>
      <c r="E6461" s="52" t="s">
        <v>25</v>
      </c>
      <c r="F6461" s="52" t="s">
        <v>26</v>
      </c>
      <c r="G6461" s="54"/>
    </row>
    <row r="6462">
      <c r="A6462" s="49">
        <v>45089.01489679398</v>
      </c>
      <c r="B6462" s="50">
        <v>45089.1398678009</v>
      </c>
      <c r="C6462" s="51">
        <v>1.004</v>
      </c>
      <c r="D6462" s="51">
        <v>67.0</v>
      </c>
      <c r="E6462" s="52" t="s">
        <v>25</v>
      </c>
      <c r="F6462" s="52" t="s">
        <v>26</v>
      </c>
      <c r="G6462" s="54"/>
    </row>
    <row r="6463">
      <c r="A6463" s="49">
        <v>45089.02531494213</v>
      </c>
      <c r="B6463" s="50">
        <v>45089.1502891782</v>
      </c>
      <c r="C6463" s="51">
        <v>1.004</v>
      </c>
      <c r="D6463" s="51">
        <v>67.0</v>
      </c>
      <c r="E6463" s="52" t="s">
        <v>25</v>
      </c>
      <c r="F6463" s="52" t="s">
        <v>26</v>
      </c>
      <c r="G6463" s="54"/>
    </row>
    <row r="6464">
      <c r="A6464" s="49">
        <v>45089.03574393519</v>
      </c>
      <c r="B6464" s="50">
        <v>45089.1607226967</v>
      </c>
      <c r="C6464" s="51">
        <v>1.004</v>
      </c>
      <c r="D6464" s="51">
        <v>67.0</v>
      </c>
      <c r="E6464" s="52" t="s">
        <v>25</v>
      </c>
      <c r="F6464" s="52" t="s">
        <v>26</v>
      </c>
      <c r="G6464" s="54"/>
    </row>
    <row r="6465">
      <c r="A6465" s="49">
        <v>45089.04616050926</v>
      </c>
      <c r="B6465" s="50">
        <v>45089.17114228</v>
      </c>
      <c r="C6465" s="51">
        <v>1.004</v>
      </c>
      <c r="D6465" s="51">
        <v>68.0</v>
      </c>
      <c r="E6465" s="52" t="s">
        <v>25</v>
      </c>
      <c r="F6465" s="52" t="s">
        <v>26</v>
      </c>
      <c r="G6465" s="54"/>
    </row>
    <row r="6466">
      <c r="A6466" s="49">
        <v>45089.05658021991</v>
      </c>
      <c r="B6466" s="50">
        <v>45089.1815625463</v>
      </c>
      <c r="C6466" s="51">
        <v>1.004</v>
      </c>
      <c r="D6466" s="51">
        <v>67.0</v>
      </c>
      <c r="E6466" s="52" t="s">
        <v>25</v>
      </c>
      <c r="F6466" s="52" t="s">
        <v>26</v>
      </c>
      <c r="G6466" s="54"/>
    </row>
    <row r="6467">
      <c r="A6467" s="49">
        <v>45089.07743309028</v>
      </c>
      <c r="B6467" s="50">
        <v>45089.2024040277</v>
      </c>
      <c r="C6467" s="51">
        <v>1.003</v>
      </c>
      <c r="D6467" s="51">
        <v>68.0</v>
      </c>
      <c r="E6467" s="52" t="s">
        <v>25</v>
      </c>
      <c r="F6467" s="52" t="s">
        <v>26</v>
      </c>
      <c r="G6467" s="54"/>
    </row>
    <row r="6468">
      <c r="A6468" s="49">
        <v>45089.08784385417</v>
      </c>
      <c r="B6468" s="50">
        <v>45089.2128247916</v>
      </c>
      <c r="C6468" s="51">
        <v>1.004</v>
      </c>
      <c r="D6468" s="51">
        <v>67.0</v>
      </c>
      <c r="E6468" s="52" t="s">
        <v>25</v>
      </c>
      <c r="F6468" s="52" t="s">
        <v>26</v>
      </c>
      <c r="G6468" s="54"/>
    </row>
    <row r="6469">
      <c r="A6469" s="49">
        <v>45089.098287037035</v>
      </c>
      <c r="B6469" s="50">
        <v>45089.2232580439</v>
      </c>
      <c r="C6469" s="51">
        <v>1.004</v>
      </c>
      <c r="D6469" s="51">
        <v>67.0</v>
      </c>
      <c r="E6469" s="52" t="s">
        <v>25</v>
      </c>
      <c r="F6469" s="52" t="s">
        <v>26</v>
      </c>
      <c r="G6469" s="54"/>
    </row>
    <row r="6470">
      <c r="A6470" s="49">
        <v>45089.10870518519</v>
      </c>
      <c r="B6470" s="50">
        <v>45089.2336798726</v>
      </c>
      <c r="C6470" s="51">
        <v>1.004</v>
      </c>
      <c r="D6470" s="51">
        <v>67.0</v>
      </c>
      <c r="E6470" s="52" t="s">
        <v>25</v>
      </c>
      <c r="F6470" s="52" t="s">
        <v>26</v>
      </c>
      <c r="G6470" s="54"/>
    </row>
    <row r="6471">
      <c r="A6471" s="49">
        <v>45089.11913328704</v>
      </c>
      <c r="B6471" s="50">
        <v>45089.2441004745</v>
      </c>
      <c r="C6471" s="51">
        <v>1.004</v>
      </c>
      <c r="D6471" s="51">
        <v>67.0</v>
      </c>
      <c r="E6471" s="52" t="s">
        <v>25</v>
      </c>
      <c r="F6471" s="52" t="s">
        <v>26</v>
      </c>
      <c r="G6471" s="54"/>
    </row>
    <row r="6472">
      <c r="A6472" s="49">
        <v>45089.12955519676</v>
      </c>
      <c r="B6472" s="50">
        <v>45089.2545209259</v>
      </c>
      <c r="C6472" s="51">
        <v>1.004</v>
      </c>
      <c r="D6472" s="51">
        <v>68.0</v>
      </c>
      <c r="E6472" s="52" t="s">
        <v>25</v>
      </c>
      <c r="F6472" s="52" t="s">
        <v>26</v>
      </c>
      <c r="G6472" s="54"/>
    </row>
    <row r="6473">
      <c r="A6473" s="49">
        <v>45089.139993414356</v>
      </c>
      <c r="B6473" s="50">
        <v>45089.2649424652</v>
      </c>
      <c r="C6473" s="51">
        <v>1.004</v>
      </c>
      <c r="D6473" s="51">
        <v>68.0</v>
      </c>
      <c r="E6473" s="52" t="s">
        <v>25</v>
      </c>
      <c r="F6473" s="52" t="s">
        <v>26</v>
      </c>
      <c r="G6473" s="54"/>
    </row>
    <row r="6474">
      <c r="A6474" s="49">
        <v>45089.150420983795</v>
      </c>
      <c r="B6474" s="50">
        <v>45089.2753624768</v>
      </c>
      <c r="C6474" s="51">
        <v>1.003</v>
      </c>
      <c r="D6474" s="51">
        <v>68.0</v>
      </c>
      <c r="E6474" s="52" t="s">
        <v>25</v>
      </c>
      <c r="F6474" s="52" t="s">
        <v>26</v>
      </c>
      <c r="G6474" s="54"/>
    </row>
    <row r="6475">
      <c r="A6475" s="49">
        <v>45089.160832222224</v>
      </c>
      <c r="B6475" s="50">
        <v>45089.2857959953</v>
      </c>
      <c r="C6475" s="51">
        <v>1.003</v>
      </c>
      <c r="D6475" s="51">
        <v>68.0</v>
      </c>
      <c r="E6475" s="52" t="s">
        <v>25</v>
      </c>
      <c r="F6475" s="52" t="s">
        <v>26</v>
      </c>
      <c r="G6475" s="54"/>
    </row>
    <row r="6476">
      <c r="A6476" s="49">
        <v>45089.171263854165</v>
      </c>
      <c r="B6476" s="50">
        <v>45089.296217037</v>
      </c>
      <c r="C6476" s="51">
        <v>1.003</v>
      </c>
      <c r="D6476" s="51">
        <v>67.0</v>
      </c>
      <c r="E6476" s="52" t="s">
        <v>25</v>
      </c>
      <c r="F6476" s="52" t="s">
        <v>26</v>
      </c>
      <c r="G6476" s="54"/>
    </row>
    <row r="6477">
      <c r="A6477" s="49">
        <v>45089.181686979166</v>
      </c>
      <c r="B6477" s="50">
        <v>45089.3066490856</v>
      </c>
      <c r="C6477" s="51">
        <v>1.004</v>
      </c>
      <c r="D6477" s="51">
        <v>68.0</v>
      </c>
      <c r="E6477" s="52" t="s">
        <v>25</v>
      </c>
      <c r="F6477" s="52" t="s">
        <v>26</v>
      </c>
      <c r="G6477" s="54"/>
    </row>
    <row r="6478">
      <c r="A6478" s="49">
        <v>45089.19213016204</v>
      </c>
      <c r="B6478" s="50">
        <v>45089.3170703819</v>
      </c>
      <c r="C6478" s="51">
        <v>1.003</v>
      </c>
      <c r="D6478" s="51">
        <v>68.0</v>
      </c>
      <c r="E6478" s="52" t="s">
        <v>25</v>
      </c>
      <c r="F6478" s="52" t="s">
        <v>26</v>
      </c>
      <c r="G6478" s="54"/>
    </row>
    <row r="6479">
      <c r="A6479" s="49">
        <v>45089.20254319445</v>
      </c>
      <c r="B6479" s="50">
        <v>45089.3274930671</v>
      </c>
      <c r="C6479" s="51">
        <v>1.004</v>
      </c>
      <c r="D6479" s="51">
        <v>68.0</v>
      </c>
      <c r="E6479" s="52" t="s">
        <v>25</v>
      </c>
      <c r="F6479" s="52" t="s">
        <v>26</v>
      </c>
      <c r="G6479" s="54"/>
    </row>
    <row r="6480">
      <c r="A6480" s="49">
        <v>45089.212971030094</v>
      </c>
      <c r="B6480" s="50">
        <v>45089.3379124768</v>
      </c>
      <c r="C6480" s="51">
        <v>1.004</v>
      </c>
      <c r="D6480" s="51">
        <v>68.0</v>
      </c>
      <c r="E6480" s="52" t="s">
        <v>25</v>
      </c>
      <c r="F6480" s="52" t="s">
        <v>26</v>
      </c>
      <c r="G6480" s="54"/>
    </row>
    <row r="6481">
      <c r="A6481" s="49">
        <v>45089.22339510417</v>
      </c>
      <c r="B6481" s="50">
        <v>45089.3483329629</v>
      </c>
      <c r="C6481" s="51">
        <v>1.003</v>
      </c>
      <c r="D6481" s="51">
        <v>68.0</v>
      </c>
      <c r="E6481" s="52" t="s">
        <v>25</v>
      </c>
      <c r="F6481" s="52" t="s">
        <v>26</v>
      </c>
      <c r="G6481" s="54"/>
    </row>
    <row r="6482">
      <c r="A6482" s="49">
        <v>45089.23381648149</v>
      </c>
      <c r="B6482" s="50">
        <v>45089.3587533217</v>
      </c>
      <c r="C6482" s="51">
        <v>1.003</v>
      </c>
      <c r="D6482" s="51">
        <v>68.0</v>
      </c>
      <c r="E6482" s="52" t="s">
        <v>25</v>
      </c>
      <c r="F6482" s="52" t="s">
        <v>26</v>
      </c>
      <c r="G6482" s="54"/>
    </row>
    <row r="6483">
      <c r="A6483" s="49">
        <v>45089.244237708335</v>
      </c>
      <c r="B6483" s="50">
        <v>45089.3691765162</v>
      </c>
      <c r="C6483" s="51">
        <v>1.004</v>
      </c>
      <c r="D6483" s="51">
        <v>68.0</v>
      </c>
      <c r="E6483" s="52" t="s">
        <v>25</v>
      </c>
      <c r="F6483" s="52" t="s">
        <v>26</v>
      </c>
      <c r="G6483" s="54"/>
    </row>
    <row r="6484">
      <c r="A6484" s="49">
        <v>45089.25466665509</v>
      </c>
      <c r="B6484" s="50">
        <v>45089.3795974537</v>
      </c>
      <c r="C6484" s="51">
        <v>1.003</v>
      </c>
      <c r="D6484" s="51">
        <v>68.0</v>
      </c>
      <c r="E6484" s="52" t="s">
        <v>25</v>
      </c>
      <c r="F6484" s="52" t="s">
        <v>26</v>
      </c>
      <c r="G6484" s="54"/>
    </row>
    <row r="6485">
      <c r="A6485" s="49">
        <v>45089.26508140046</v>
      </c>
      <c r="B6485" s="50">
        <v>45089.3900423611</v>
      </c>
      <c r="C6485" s="51">
        <v>1.003</v>
      </c>
      <c r="D6485" s="51">
        <v>68.0</v>
      </c>
      <c r="E6485" s="52" t="s">
        <v>25</v>
      </c>
      <c r="F6485" s="52" t="s">
        <v>26</v>
      </c>
      <c r="G6485" s="54"/>
    </row>
    <row r="6486">
      <c r="A6486" s="49">
        <v>45089.275508935185</v>
      </c>
      <c r="B6486" s="50">
        <v>45089.4004629166</v>
      </c>
      <c r="C6486" s="51">
        <v>1.004</v>
      </c>
      <c r="D6486" s="51">
        <v>68.0</v>
      </c>
      <c r="E6486" s="52" t="s">
        <v>25</v>
      </c>
      <c r="F6486" s="52" t="s">
        <v>26</v>
      </c>
      <c r="G6486" s="54"/>
    </row>
    <row r="6487">
      <c r="A6487" s="49">
        <v>45089.28593737268</v>
      </c>
      <c r="B6487" s="50">
        <v>45089.4108831828</v>
      </c>
      <c r="C6487" s="51">
        <v>1.003</v>
      </c>
      <c r="D6487" s="51">
        <v>68.0</v>
      </c>
      <c r="E6487" s="52" t="s">
        <v>25</v>
      </c>
      <c r="F6487" s="52" t="s">
        <v>26</v>
      </c>
      <c r="G6487" s="54"/>
    </row>
    <row r="6488">
      <c r="A6488" s="49">
        <v>45089.29634503472</v>
      </c>
      <c r="B6488" s="50">
        <v>45089.4213151504</v>
      </c>
      <c r="C6488" s="51">
        <v>1.003</v>
      </c>
      <c r="D6488" s="51">
        <v>68.0</v>
      </c>
      <c r="E6488" s="52" t="s">
        <v>25</v>
      </c>
      <c r="F6488" s="52" t="s">
        <v>26</v>
      </c>
      <c r="G6488" s="54"/>
    </row>
    <row r="6489">
      <c r="A6489" s="49">
        <v>45089.30678114583</v>
      </c>
      <c r="B6489" s="50">
        <v>45089.431747743</v>
      </c>
      <c r="C6489" s="51">
        <v>1.004</v>
      </c>
      <c r="D6489" s="51">
        <v>68.0</v>
      </c>
      <c r="E6489" s="52" t="s">
        <v>25</v>
      </c>
      <c r="F6489" s="52" t="s">
        <v>26</v>
      </c>
      <c r="G6489" s="54"/>
    </row>
    <row r="6490">
      <c r="A6490" s="49">
        <v>45089.317204363426</v>
      </c>
      <c r="B6490" s="50">
        <v>45089.4421798958</v>
      </c>
      <c r="C6490" s="51">
        <v>1.003</v>
      </c>
      <c r="D6490" s="51">
        <v>68.0</v>
      </c>
      <c r="E6490" s="52" t="s">
        <v>25</v>
      </c>
      <c r="F6490" s="52" t="s">
        <v>26</v>
      </c>
      <c r="G6490" s="54"/>
    </row>
    <row r="6491">
      <c r="A6491" s="49">
        <v>45089.32761923611</v>
      </c>
      <c r="B6491" s="50">
        <v>45089.4526021643</v>
      </c>
      <c r="C6491" s="51">
        <v>1.004</v>
      </c>
      <c r="D6491" s="51">
        <v>68.0</v>
      </c>
      <c r="E6491" s="52" t="s">
        <v>25</v>
      </c>
      <c r="F6491" s="52" t="s">
        <v>26</v>
      </c>
      <c r="G6491" s="54"/>
    </row>
    <row r="6492">
      <c r="A6492" s="49">
        <v>45089.338046840276</v>
      </c>
      <c r="B6492" s="50">
        <v>45089.46302478</v>
      </c>
      <c r="C6492" s="51">
        <v>1.003</v>
      </c>
      <c r="D6492" s="51">
        <v>68.0</v>
      </c>
      <c r="E6492" s="52" t="s">
        <v>25</v>
      </c>
      <c r="F6492" s="52" t="s">
        <v>26</v>
      </c>
      <c r="G6492" s="54"/>
    </row>
    <row r="6493">
      <c r="A6493" s="49">
        <v>45089.34845996527</v>
      </c>
      <c r="B6493" s="50">
        <v>45089.4734460185</v>
      </c>
      <c r="C6493" s="51">
        <v>1.004</v>
      </c>
      <c r="D6493" s="51">
        <v>68.0</v>
      </c>
      <c r="E6493" s="52" t="s">
        <v>25</v>
      </c>
      <c r="F6493" s="52" t="s">
        <v>26</v>
      </c>
      <c r="G6493" s="54"/>
    </row>
    <row r="6494">
      <c r="A6494" s="49">
        <v>45089.35890039352</v>
      </c>
      <c r="B6494" s="50">
        <v>45089.4838670138</v>
      </c>
      <c r="C6494" s="51">
        <v>1.003</v>
      </c>
      <c r="D6494" s="51">
        <v>68.0</v>
      </c>
      <c r="E6494" s="52" t="s">
        <v>25</v>
      </c>
      <c r="F6494" s="52" t="s">
        <v>26</v>
      </c>
      <c r="G6494" s="54"/>
    </row>
    <row r="6495">
      <c r="A6495" s="49">
        <v>45089.36933940972</v>
      </c>
      <c r="B6495" s="50">
        <v>45089.4942994097</v>
      </c>
      <c r="C6495" s="51">
        <v>1.003</v>
      </c>
      <c r="D6495" s="51">
        <v>68.0</v>
      </c>
      <c r="E6495" s="52" t="s">
        <v>25</v>
      </c>
      <c r="F6495" s="52" t="s">
        <v>26</v>
      </c>
      <c r="G6495" s="54"/>
    </row>
    <row r="6496">
      <c r="A6496" s="49">
        <v>45089.3797593287</v>
      </c>
      <c r="B6496" s="50">
        <v>45089.5047318981</v>
      </c>
      <c r="C6496" s="51">
        <v>1.003</v>
      </c>
      <c r="D6496" s="51">
        <v>68.0</v>
      </c>
      <c r="E6496" s="52" t="s">
        <v>25</v>
      </c>
      <c r="F6496" s="52" t="s">
        <v>26</v>
      </c>
      <c r="G6496" s="54"/>
    </row>
    <row r="6497">
      <c r="A6497" s="49">
        <v>45089.39018150463</v>
      </c>
      <c r="B6497" s="50">
        <v>45089.5151534259</v>
      </c>
      <c r="C6497" s="51">
        <v>1.004</v>
      </c>
      <c r="D6497" s="51">
        <v>68.0</v>
      </c>
      <c r="E6497" s="52" t="s">
        <v>25</v>
      </c>
      <c r="F6497" s="52" t="s">
        <v>26</v>
      </c>
      <c r="G6497" s="54"/>
    </row>
    <row r="6498">
      <c r="A6498" s="49">
        <v>45089.40060934028</v>
      </c>
      <c r="B6498" s="50">
        <v>45089.5255745486</v>
      </c>
      <c r="C6498" s="51">
        <v>1.003</v>
      </c>
      <c r="D6498" s="51">
        <v>68.0</v>
      </c>
      <c r="E6498" s="52" t="s">
        <v>25</v>
      </c>
      <c r="F6498" s="52" t="s">
        <v>26</v>
      </c>
      <c r="G6498" s="54"/>
    </row>
    <row r="6499">
      <c r="A6499" s="49">
        <v>45089.42146268519</v>
      </c>
      <c r="B6499" s="50">
        <v>45089.5464375694</v>
      </c>
      <c r="C6499" s="51">
        <v>1.004</v>
      </c>
      <c r="D6499" s="51">
        <v>68.0</v>
      </c>
      <c r="E6499" s="52" t="s">
        <v>25</v>
      </c>
      <c r="F6499" s="52" t="s">
        <v>26</v>
      </c>
      <c r="G6499" s="54"/>
    </row>
    <row r="6500">
      <c r="A6500" s="49">
        <v>45089.43188704861</v>
      </c>
      <c r="B6500" s="50">
        <v>45089.5568590393</v>
      </c>
      <c r="C6500" s="51">
        <v>1.004</v>
      </c>
      <c r="D6500" s="51">
        <v>68.0</v>
      </c>
      <c r="E6500" s="52" t="s">
        <v>25</v>
      </c>
      <c r="F6500" s="52" t="s">
        <v>26</v>
      </c>
      <c r="G6500" s="54"/>
    </row>
    <row r="6501">
      <c r="A6501" s="49">
        <v>45089.44231488426</v>
      </c>
      <c r="B6501" s="50">
        <v>45089.5672820138</v>
      </c>
      <c r="C6501" s="51">
        <v>1.003</v>
      </c>
      <c r="D6501" s="51">
        <v>68.0</v>
      </c>
      <c r="E6501" s="52" t="s">
        <v>25</v>
      </c>
      <c r="F6501" s="52" t="s">
        <v>26</v>
      </c>
      <c r="G6501" s="54"/>
    </row>
    <row r="6502">
      <c r="A6502" s="49">
        <v>45089.45273974537</v>
      </c>
      <c r="B6502" s="50">
        <v>45089.5777133217</v>
      </c>
      <c r="C6502" s="51">
        <v>1.003</v>
      </c>
      <c r="D6502" s="51">
        <v>68.0</v>
      </c>
      <c r="E6502" s="52" t="s">
        <v>25</v>
      </c>
      <c r="F6502" s="52" t="s">
        <v>26</v>
      </c>
      <c r="G6502" s="54"/>
    </row>
    <row r="6503">
      <c r="A6503" s="49">
        <v>45089.46315667824</v>
      </c>
      <c r="B6503" s="50">
        <v>45089.5881345601</v>
      </c>
      <c r="C6503" s="51">
        <v>1.004</v>
      </c>
      <c r="D6503" s="51">
        <v>68.0</v>
      </c>
      <c r="E6503" s="52" t="s">
        <v>25</v>
      </c>
      <c r="F6503" s="52" t="s">
        <v>26</v>
      </c>
      <c r="G6503" s="54"/>
    </row>
    <row r="6504">
      <c r="A6504" s="49">
        <v>45089.47358667824</v>
      </c>
      <c r="B6504" s="50">
        <v>45089.5985556713</v>
      </c>
      <c r="C6504" s="51">
        <v>1.004</v>
      </c>
      <c r="D6504" s="51">
        <v>68.0</v>
      </c>
      <c r="E6504" s="52" t="s">
        <v>25</v>
      </c>
      <c r="F6504" s="52" t="s">
        <v>26</v>
      </c>
      <c r="G6504" s="54"/>
    </row>
    <row r="6505">
      <c r="A6505" s="49">
        <v>45089.48401369213</v>
      </c>
      <c r="B6505" s="50">
        <v>45089.6089893518</v>
      </c>
      <c r="C6505" s="51">
        <v>1.004</v>
      </c>
      <c r="D6505" s="51">
        <v>68.0</v>
      </c>
      <c r="E6505" s="52" t="s">
        <v>25</v>
      </c>
      <c r="F6505" s="52" t="s">
        <v>26</v>
      </c>
      <c r="G6505" s="54"/>
    </row>
    <row r="6506">
      <c r="A6506" s="49">
        <v>45089.49442667824</v>
      </c>
      <c r="B6506" s="50">
        <v>45089.6194091088</v>
      </c>
      <c r="C6506" s="51">
        <v>1.004</v>
      </c>
      <c r="D6506" s="51">
        <v>68.0</v>
      </c>
      <c r="E6506" s="52" t="s">
        <v>25</v>
      </c>
      <c r="F6506" s="52" t="s">
        <v>26</v>
      </c>
      <c r="G6506" s="54"/>
    </row>
    <row r="6507">
      <c r="A6507" s="49">
        <v>45089.50486457176</v>
      </c>
      <c r="B6507" s="50">
        <v>45089.629831331</v>
      </c>
      <c r="C6507" s="51">
        <v>1.003</v>
      </c>
      <c r="D6507" s="51">
        <v>68.0</v>
      </c>
      <c r="E6507" s="52" t="s">
        <v>25</v>
      </c>
      <c r="F6507" s="52" t="s">
        <v>26</v>
      </c>
      <c r="G6507" s="54"/>
    </row>
    <row r="6508">
      <c r="A6508" s="49">
        <v>45089.51529322917</v>
      </c>
      <c r="B6508" s="50">
        <v>45089.6402643634</v>
      </c>
      <c r="C6508" s="51">
        <v>1.004</v>
      </c>
      <c r="D6508" s="51">
        <v>68.0</v>
      </c>
      <c r="E6508" s="52" t="s">
        <v>25</v>
      </c>
      <c r="F6508" s="52" t="s">
        <v>26</v>
      </c>
      <c r="G6508" s="54"/>
    </row>
    <row r="6509">
      <c r="A6509" s="49">
        <v>45089.5257102662</v>
      </c>
      <c r="B6509" s="50">
        <v>45089.6506841319</v>
      </c>
      <c r="C6509" s="51">
        <v>1.003</v>
      </c>
      <c r="D6509" s="51">
        <v>68.0</v>
      </c>
      <c r="E6509" s="52" t="s">
        <v>25</v>
      </c>
      <c r="F6509" s="52" t="s">
        <v>26</v>
      </c>
      <c r="G6509" s="54"/>
    </row>
    <row r="6510">
      <c r="A6510" s="49">
        <v>45089.53614326389</v>
      </c>
      <c r="B6510" s="50">
        <v>45089.6611197106</v>
      </c>
      <c r="C6510" s="51">
        <v>1.003</v>
      </c>
      <c r="D6510" s="51">
        <v>68.0</v>
      </c>
      <c r="E6510" s="52" t="s">
        <v>25</v>
      </c>
      <c r="F6510" s="52" t="s">
        <v>26</v>
      </c>
      <c r="G6510" s="54"/>
    </row>
    <row r="6511">
      <c r="A6511" s="49">
        <v>45089.54656664352</v>
      </c>
      <c r="B6511" s="50">
        <v>45089.6715398726</v>
      </c>
      <c r="C6511" s="51">
        <v>1.004</v>
      </c>
      <c r="D6511" s="51">
        <v>68.0</v>
      </c>
      <c r="E6511" s="52" t="s">
        <v>25</v>
      </c>
      <c r="F6511" s="52" t="s">
        <v>26</v>
      </c>
      <c r="G6511" s="54"/>
    </row>
    <row r="6512">
      <c r="A6512" s="49">
        <v>45089.55698605324</v>
      </c>
      <c r="B6512" s="50">
        <v>45089.6819600925</v>
      </c>
      <c r="C6512" s="51">
        <v>1.004</v>
      </c>
      <c r="D6512" s="51">
        <v>68.0</v>
      </c>
      <c r="E6512" s="52" t="s">
        <v>25</v>
      </c>
      <c r="F6512" s="52" t="s">
        <v>26</v>
      </c>
      <c r="G6512" s="54"/>
    </row>
    <row r="6513">
      <c r="A6513" s="49">
        <v>45089.577834490745</v>
      </c>
      <c r="B6513" s="50">
        <v>45089.702804074</v>
      </c>
      <c r="C6513" s="51">
        <v>1.003</v>
      </c>
      <c r="D6513" s="51">
        <v>68.0</v>
      </c>
      <c r="E6513" s="52" t="s">
        <v>25</v>
      </c>
      <c r="F6513" s="52" t="s">
        <v>26</v>
      </c>
      <c r="G6513" s="54"/>
    </row>
    <row r="6514">
      <c r="A6514" s="49">
        <v>45089.58824931713</v>
      </c>
      <c r="B6514" s="50">
        <v>45089.713224537</v>
      </c>
      <c r="C6514" s="51">
        <v>1.004</v>
      </c>
      <c r="D6514" s="51">
        <v>68.0</v>
      </c>
      <c r="E6514" s="52" t="s">
        <v>25</v>
      </c>
      <c r="F6514" s="52" t="s">
        <v>26</v>
      </c>
      <c r="G6514" s="54"/>
    </row>
    <row r="6515">
      <c r="A6515" s="49">
        <v>45089.59869489583</v>
      </c>
      <c r="B6515" s="50">
        <v>45089.7236696875</v>
      </c>
      <c r="C6515" s="51">
        <v>1.003</v>
      </c>
      <c r="D6515" s="51">
        <v>68.0</v>
      </c>
      <c r="E6515" s="52" t="s">
        <v>25</v>
      </c>
      <c r="F6515" s="52" t="s">
        <v>26</v>
      </c>
      <c r="G6515" s="54"/>
    </row>
    <row r="6516">
      <c r="A6516" s="49">
        <v>45089.60911482639</v>
      </c>
      <c r="B6516" s="50">
        <v>45089.7340924768</v>
      </c>
      <c r="C6516" s="51">
        <v>1.004</v>
      </c>
      <c r="D6516" s="51">
        <v>68.0</v>
      </c>
      <c r="E6516" s="52" t="s">
        <v>25</v>
      </c>
      <c r="F6516" s="52" t="s">
        <v>26</v>
      </c>
      <c r="G6516" s="54"/>
    </row>
    <row r="6517">
      <c r="A6517" s="49">
        <v>45089.61953011574</v>
      </c>
      <c r="B6517" s="50">
        <v>45089.7445153935</v>
      </c>
      <c r="C6517" s="51">
        <v>1.003</v>
      </c>
      <c r="D6517" s="51">
        <v>68.0</v>
      </c>
      <c r="E6517" s="52" t="s">
        <v>25</v>
      </c>
      <c r="F6517" s="52" t="s">
        <v>26</v>
      </c>
      <c r="G6517" s="54"/>
    </row>
    <row r="6518">
      <c r="A6518" s="49">
        <v>45089.62996189814</v>
      </c>
      <c r="B6518" s="50">
        <v>45089.7549363194</v>
      </c>
      <c r="C6518" s="51">
        <v>1.004</v>
      </c>
      <c r="D6518" s="51">
        <v>68.0</v>
      </c>
      <c r="E6518" s="52" t="s">
        <v>25</v>
      </c>
      <c r="F6518" s="52" t="s">
        <v>26</v>
      </c>
      <c r="G6518" s="54"/>
    </row>
    <row r="6519">
      <c r="A6519" s="49">
        <v>45089.6403802662</v>
      </c>
      <c r="B6519" s="50">
        <v>45089.7653558101</v>
      </c>
      <c r="C6519" s="51">
        <v>1.004</v>
      </c>
      <c r="D6519" s="51">
        <v>68.0</v>
      </c>
      <c r="E6519" s="52" t="s">
        <v>25</v>
      </c>
      <c r="F6519" s="52" t="s">
        <v>26</v>
      </c>
      <c r="G6519" s="54"/>
    </row>
    <row r="6520">
      <c r="A6520" s="49">
        <v>45089.65079565972</v>
      </c>
      <c r="B6520" s="50">
        <v>45089.7757773148</v>
      </c>
      <c r="C6520" s="51">
        <v>1.003</v>
      </c>
      <c r="D6520" s="51">
        <v>68.0</v>
      </c>
      <c r="E6520" s="52" t="s">
        <v>25</v>
      </c>
      <c r="F6520" s="52" t="s">
        <v>26</v>
      </c>
      <c r="G6520" s="54"/>
    </row>
    <row r="6521">
      <c r="A6521" s="49">
        <v>45089.66124883102</v>
      </c>
      <c r="B6521" s="50">
        <v>45089.7862200925</v>
      </c>
      <c r="C6521" s="51">
        <v>1.004</v>
      </c>
      <c r="D6521" s="51">
        <v>68.0</v>
      </c>
      <c r="E6521" s="52" t="s">
        <v>25</v>
      </c>
      <c r="F6521" s="52" t="s">
        <v>26</v>
      </c>
      <c r="G6521" s="54"/>
    </row>
    <row r="6522">
      <c r="A6522" s="49">
        <v>45089.67166820602</v>
      </c>
      <c r="B6522" s="50">
        <v>45089.7966414236</v>
      </c>
      <c r="C6522" s="51">
        <v>1.003</v>
      </c>
      <c r="D6522" s="51">
        <v>68.0</v>
      </c>
      <c r="E6522" s="52" t="s">
        <v>25</v>
      </c>
      <c r="F6522" s="52" t="s">
        <v>26</v>
      </c>
      <c r="G6522" s="54"/>
    </row>
    <row r="6523">
      <c r="A6523" s="49">
        <v>45089.68209631945</v>
      </c>
      <c r="B6523" s="50">
        <v>45089.8070737963</v>
      </c>
      <c r="C6523" s="51">
        <v>1.003</v>
      </c>
      <c r="D6523" s="51">
        <v>68.0</v>
      </c>
      <c r="E6523" s="52" t="s">
        <v>25</v>
      </c>
      <c r="F6523" s="52" t="s">
        <v>26</v>
      </c>
      <c r="G6523" s="54"/>
    </row>
    <row r="6524">
      <c r="A6524" s="49">
        <v>45089.692547025465</v>
      </c>
      <c r="B6524" s="50">
        <v>45089.8175201388</v>
      </c>
      <c r="C6524" s="51">
        <v>1.003</v>
      </c>
      <c r="D6524" s="51">
        <v>68.0</v>
      </c>
      <c r="E6524" s="52" t="s">
        <v>25</v>
      </c>
      <c r="F6524" s="52" t="s">
        <v>26</v>
      </c>
      <c r="G6524" s="54"/>
    </row>
    <row r="6525">
      <c r="A6525" s="49">
        <v>45089.70296805556</v>
      </c>
      <c r="B6525" s="50">
        <v>45089.8279405787</v>
      </c>
      <c r="C6525" s="51">
        <v>1.003</v>
      </c>
      <c r="D6525" s="51">
        <v>68.0</v>
      </c>
      <c r="E6525" s="52" t="s">
        <v>25</v>
      </c>
      <c r="F6525" s="52" t="s">
        <v>26</v>
      </c>
      <c r="G6525" s="54"/>
    </row>
    <row r="6526">
      <c r="A6526" s="49">
        <v>45089.7133930787</v>
      </c>
      <c r="B6526" s="50">
        <v>45089.8383601504</v>
      </c>
      <c r="C6526" s="51">
        <v>1.003</v>
      </c>
      <c r="D6526" s="51">
        <v>68.0</v>
      </c>
      <c r="E6526" s="52" t="s">
        <v>25</v>
      </c>
      <c r="F6526" s="52" t="s">
        <v>26</v>
      </c>
      <c r="G6526" s="54"/>
    </row>
    <row r="6527">
      <c r="A6527" s="49">
        <v>45089.723811724536</v>
      </c>
      <c r="B6527" s="50">
        <v>45089.8487825463</v>
      </c>
      <c r="C6527" s="51">
        <v>1.003</v>
      </c>
      <c r="D6527" s="51">
        <v>68.0</v>
      </c>
      <c r="E6527" s="52" t="s">
        <v>25</v>
      </c>
      <c r="F6527" s="52" t="s">
        <v>26</v>
      </c>
      <c r="G6527" s="54"/>
    </row>
    <row r="6528">
      <c r="A6528" s="49">
        <v>45089.7342225926</v>
      </c>
      <c r="B6528" s="50">
        <v>45089.8592042245</v>
      </c>
      <c r="C6528" s="51">
        <v>1.004</v>
      </c>
      <c r="D6528" s="51">
        <v>68.0</v>
      </c>
      <c r="E6528" s="52" t="s">
        <v>25</v>
      </c>
      <c r="F6528" s="52" t="s">
        <v>26</v>
      </c>
      <c r="G6528" s="54"/>
    </row>
    <row r="6529">
      <c r="A6529" s="49">
        <v>45089.744649722226</v>
      </c>
      <c r="B6529" s="50">
        <v>45089.8696250115</v>
      </c>
      <c r="C6529" s="51">
        <v>1.003</v>
      </c>
      <c r="D6529" s="51">
        <v>68.0</v>
      </c>
      <c r="E6529" s="52" t="s">
        <v>25</v>
      </c>
      <c r="F6529" s="52" t="s">
        <v>26</v>
      </c>
      <c r="G6529" s="54"/>
    </row>
    <row r="6530">
      <c r="A6530" s="49">
        <v>45089.75507346065</v>
      </c>
      <c r="B6530" s="50">
        <v>45089.8800461574</v>
      </c>
      <c r="C6530" s="51">
        <v>1.003</v>
      </c>
      <c r="D6530" s="51">
        <v>68.0</v>
      </c>
      <c r="E6530" s="52" t="s">
        <v>25</v>
      </c>
      <c r="F6530" s="52" t="s">
        <v>26</v>
      </c>
      <c r="G6530" s="54"/>
    </row>
    <row r="6531">
      <c r="A6531" s="49">
        <v>45089.76552425926</v>
      </c>
      <c r="B6531" s="50">
        <v>45089.8905020486</v>
      </c>
      <c r="C6531" s="51">
        <v>1.003</v>
      </c>
      <c r="D6531" s="51">
        <v>68.0</v>
      </c>
      <c r="E6531" s="52" t="s">
        <v>25</v>
      </c>
      <c r="F6531" s="52" t="s">
        <v>26</v>
      </c>
      <c r="G6531" s="54"/>
    </row>
    <row r="6532">
      <c r="A6532" s="49">
        <v>45089.77594565973</v>
      </c>
      <c r="B6532" s="50">
        <v>45089.9009227546</v>
      </c>
      <c r="C6532" s="51">
        <v>1.003</v>
      </c>
      <c r="D6532" s="51">
        <v>68.0</v>
      </c>
      <c r="E6532" s="52" t="s">
        <v>25</v>
      </c>
      <c r="F6532" s="52" t="s">
        <v>26</v>
      </c>
      <c r="G6532" s="54"/>
    </row>
    <row r="6533">
      <c r="A6533" s="49">
        <v>45089.786364942134</v>
      </c>
      <c r="B6533" s="50">
        <v>45089.9113441782</v>
      </c>
      <c r="C6533" s="51">
        <v>1.003</v>
      </c>
      <c r="D6533" s="51">
        <v>68.0</v>
      </c>
      <c r="E6533" s="52" t="s">
        <v>25</v>
      </c>
      <c r="F6533" s="52" t="s">
        <v>26</v>
      </c>
      <c r="G6533" s="54"/>
    </row>
    <row r="6534">
      <c r="A6534" s="49">
        <v>45089.79678445602</v>
      </c>
      <c r="B6534" s="50">
        <v>45089.9217646527</v>
      </c>
      <c r="C6534" s="51">
        <v>1.003</v>
      </c>
      <c r="D6534" s="51">
        <v>68.0</v>
      </c>
      <c r="E6534" s="52" t="s">
        <v>25</v>
      </c>
      <c r="F6534" s="52" t="s">
        <v>26</v>
      </c>
      <c r="G6534" s="54"/>
    </row>
    <row r="6535">
      <c r="A6535" s="49">
        <v>45089.807215277775</v>
      </c>
      <c r="B6535" s="50">
        <v>45089.9321851504</v>
      </c>
      <c r="C6535" s="51">
        <v>1.003</v>
      </c>
      <c r="D6535" s="51">
        <v>68.0</v>
      </c>
      <c r="E6535" s="52" t="s">
        <v>25</v>
      </c>
      <c r="F6535" s="52" t="s">
        <v>26</v>
      </c>
      <c r="G6535" s="54"/>
    </row>
    <row r="6536">
      <c r="A6536" s="49">
        <v>45089.817630370366</v>
      </c>
      <c r="B6536" s="50">
        <v>45089.9426054166</v>
      </c>
      <c r="C6536" s="51">
        <v>1.003</v>
      </c>
      <c r="D6536" s="51">
        <v>68.0</v>
      </c>
      <c r="E6536" s="52" t="s">
        <v>25</v>
      </c>
      <c r="F6536" s="52" t="s">
        <v>26</v>
      </c>
      <c r="G6536" s="54"/>
    </row>
    <row r="6537">
      <c r="A6537" s="49">
        <v>45089.82807577546</v>
      </c>
      <c r="B6537" s="50">
        <v>45089.9530512152</v>
      </c>
      <c r="C6537" s="51">
        <v>1.004</v>
      </c>
      <c r="D6537" s="51">
        <v>68.0</v>
      </c>
      <c r="E6537" s="52" t="s">
        <v>25</v>
      </c>
      <c r="F6537" s="52" t="s">
        <v>26</v>
      </c>
      <c r="G6537" s="54"/>
    </row>
    <row r="6538">
      <c r="A6538" s="49">
        <v>45089.83850907408</v>
      </c>
      <c r="B6538" s="50">
        <v>45089.9634825347</v>
      </c>
      <c r="C6538" s="51">
        <v>1.003</v>
      </c>
      <c r="D6538" s="51">
        <v>68.0</v>
      </c>
      <c r="E6538" s="52" t="s">
        <v>25</v>
      </c>
      <c r="F6538" s="52" t="s">
        <v>26</v>
      </c>
      <c r="G6538" s="54"/>
    </row>
    <row r="6539">
      <c r="A6539" s="49">
        <v>45089.84892974537</v>
      </c>
      <c r="B6539" s="50">
        <v>45089.9739039583</v>
      </c>
      <c r="C6539" s="51">
        <v>1.003</v>
      </c>
      <c r="D6539" s="51">
        <v>68.0</v>
      </c>
      <c r="E6539" s="52" t="s">
        <v>25</v>
      </c>
      <c r="F6539" s="52" t="s">
        <v>26</v>
      </c>
      <c r="G6539" s="54"/>
    </row>
    <row r="6540">
      <c r="A6540" s="49">
        <v>45089.85935972222</v>
      </c>
      <c r="B6540" s="50">
        <v>45089.9843371412</v>
      </c>
      <c r="C6540" s="51">
        <v>1.003</v>
      </c>
      <c r="D6540" s="51">
        <v>68.0</v>
      </c>
      <c r="E6540" s="52" t="s">
        <v>25</v>
      </c>
      <c r="F6540" s="52" t="s">
        <v>26</v>
      </c>
      <c r="G6540" s="54"/>
    </row>
    <row r="6541">
      <c r="A6541" s="49">
        <v>45089.86977856481</v>
      </c>
      <c r="B6541" s="50">
        <v>45089.9947590393</v>
      </c>
      <c r="C6541" s="51">
        <v>1.003</v>
      </c>
      <c r="D6541" s="51">
        <v>68.0</v>
      </c>
      <c r="E6541" s="52" t="s">
        <v>25</v>
      </c>
      <c r="F6541" s="52" t="s">
        <v>26</v>
      </c>
      <c r="G6541" s="54"/>
    </row>
    <row r="6542">
      <c r="A6542" s="49">
        <v>45089.88020803241</v>
      </c>
      <c r="B6542" s="50">
        <v>45090.0051798726</v>
      </c>
      <c r="C6542" s="51">
        <v>1.004</v>
      </c>
      <c r="D6542" s="51">
        <v>68.0</v>
      </c>
      <c r="E6542" s="52" t="s">
        <v>25</v>
      </c>
      <c r="F6542" s="52" t="s">
        <v>26</v>
      </c>
      <c r="G6542" s="54"/>
    </row>
    <row r="6543">
      <c r="A6543" s="49">
        <v>45089.89065056713</v>
      </c>
      <c r="B6543" s="50">
        <v>45090.0156252777</v>
      </c>
      <c r="C6543" s="51">
        <v>1.003</v>
      </c>
      <c r="D6543" s="51">
        <v>68.0</v>
      </c>
      <c r="E6543" s="52" t="s">
        <v>25</v>
      </c>
      <c r="F6543" s="52" t="s">
        <v>26</v>
      </c>
      <c r="G6543" s="54"/>
    </row>
    <row r="6544">
      <c r="A6544" s="49">
        <v>45089.90106581019</v>
      </c>
      <c r="B6544" s="50">
        <v>45090.0260460185</v>
      </c>
      <c r="C6544" s="51">
        <v>1.003</v>
      </c>
      <c r="D6544" s="51">
        <v>68.0</v>
      </c>
      <c r="E6544" s="52" t="s">
        <v>25</v>
      </c>
      <c r="F6544" s="52" t="s">
        <v>26</v>
      </c>
      <c r="G6544" s="54"/>
    </row>
    <row r="6545">
      <c r="A6545" s="49">
        <v>45089.91149133102</v>
      </c>
      <c r="B6545" s="50">
        <v>45090.0364655671</v>
      </c>
      <c r="C6545" s="51">
        <v>1.003</v>
      </c>
      <c r="D6545" s="51">
        <v>68.0</v>
      </c>
      <c r="E6545" s="52" t="s">
        <v>25</v>
      </c>
      <c r="F6545" s="52" t="s">
        <v>26</v>
      </c>
      <c r="G6545" s="54"/>
    </row>
    <row r="6546">
      <c r="A6546" s="49">
        <v>45089.92191350694</v>
      </c>
      <c r="B6546" s="50">
        <v>45090.0468864583</v>
      </c>
      <c r="C6546" s="51">
        <v>1.003</v>
      </c>
      <c r="D6546" s="51">
        <v>68.0</v>
      </c>
      <c r="E6546" s="52" t="s">
        <v>25</v>
      </c>
      <c r="F6546" s="52" t="s">
        <v>26</v>
      </c>
      <c r="G6546" s="54"/>
    </row>
    <row r="6547">
      <c r="A6547" s="49">
        <v>45089.93234892361</v>
      </c>
      <c r="B6547" s="50">
        <v>45090.0573297685</v>
      </c>
      <c r="C6547" s="51">
        <v>1.003</v>
      </c>
      <c r="D6547" s="51">
        <v>68.0</v>
      </c>
      <c r="E6547" s="52" t="s">
        <v>25</v>
      </c>
      <c r="F6547" s="52" t="s">
        <v>26</v>
      </c>
      <c r="G6547" s="54"/>
    </row>
    <row r="6548">
      <c r="A6548" s="49">
        <v>45089.942807175925</v>
      </c>
      <c r="B6548" s="50">
        <v>45090.0677874884</v>
      </c>
      <c r="C6548" s="51">
        <v>1.003</v>
      </c>
      <c r="D6548" s="51">
        <v>68.0</v>
      </c>
      <c r="E6548" s="52" t="s">
        <v>25</v>
      </c>
      <c r="F6548" s="52" t="s">
        <v>26</v>
      </c>
      <c r="G6548" s="54"/>
    </row>
    <row r="6549">
      <c r="A6549" s="49">
        <v>45089.95323570602</v>
      </c>
      <c r="B6549" s="50">
        <v>45090.0782071875</v>
      </c>
      <c r="C6549" s="51">
        <v>1.003</v>
      </c>
      <c r="D6549" s="51">
        <v>68.0</v>
      </c>
      <c r="E6549" s="52" t="s">
        <v>25</v>
      </c>
      <c r="F6549" s="52" t="s">
        <v>26</v>
      </c>
      <c r="G6549" s="54"/>
    </row>
    <row r="6550">
      <c r="A6550" s="49">
        <v>45089.96364690972</v>
      </c>
      <c r="B6550" s="50">
        <v>45090.0886274189</v>
      </c>
      <c r="C6550" s="51">
        <v>1.003</v>
      </c>
      <c r="D6550" s="51">
        <v>68.0</v>
      </c>
      <c r="E6550" s="52" t="s">
        <v>25</v>
      </c>
      <c r="F6550" s="52" t="s">
        <v>26</v>
      </c>
      <c r="G6550" s="54"/>
    </row>
    <row r="6551">
      <c r="A6551" s="49">
        <v>45089.97407298611</v>
      </c>
      <c r="B6551" s="50">
        <v>45090.099048831</v>
      </c>
      <c r="C6551" s="51">
        <v>1.003</v>
      </c>
      <c r="D6551" s="51">
        <v>68.0</v>
      </c>
      <c r="E6551" s="52" t="s">
        <v>25</v>
      </c>
      <c r="F6551" s="52" t="s">
        <v>26</v>
      </c>
      <c r="G6551" s="54"/>
    </row>
    <row r="6552">
      <c r="A6552" s="49">
        <v>45089.984498564816</v>
      </c>
      <c r="B6552" s="50">
        <v>45090.1094684375</v>
      </c>
      <c r="C6552" s="51">
        <v>1.003</v>
      </c>
      <c r="D6552" s="51">
        <v>68.0</v>
      </c>
      <c r="E6552" s="52" t="s">
        <v>25</v>
      </c>
      <c r="F6552" s="52" t="s">
        <v>26</v>
      </c>
      <c r="G6552" s="54"/>
    </row>
    <row r="6553">
      <c r="A6553" s="49">
        <v>45089.99491376158</v>
      </c>
      <c r="B6553" s="50">
        <v>45090.1198903588</v>
      </c>
      <c r="C6553" s="51">
        <v>1.003</v>
      </c>
      <c r="D6553" s="51">
        <v>68.0</v>
      </c>
      <c r="E6553" s="52" t="s">
        <v>25</v>
      </c>
      <c r="F6553" s="52" t="s">
        <v>26</v>
      </c>
      <c r="G6553" s="54"/>
    </row>
    <row r="6554">
      <c r="A6554" s="49">
        <v>45090.005337650466</v>
      </c>
      <c r="B6554" s="50">
        <v>45090.1303123726</v>
      </c>
      <c r="C6554" s="51">
        <v>1.003</v>
      </c>
      <c r="D6554" s="51">
        <v>68.0</v>
      </c>
      <c r="E6554" s="52" t="s">
        <v>25</v>
      </c>
      <c r="F6554" s="52" t="s">
        <v>26</v>
      </c>
      <c r="G6554" s="54"/>
    </row>
    <row r="6555">
      <c r="A6555" s="49">
        <v>45090.01577534722</v>
      </c>
      <c r="B6555" s="50">
        <v>45090.1407456134</v>
      </c>
      <c r="C6555" s="51">
        <v>1.004</v>
      </c>
      <c r="D6555" s="51">
        <v>68.0</v>
      </c>
      <c r="E6555" s="52" t="s">
        <v>25</v>
      </c>
      <c r="F6555" s="52" t="s">
        <v>26</v>
      </c>
      <c r="G6555" s="54"/>
    </row>
    <row r="6556">
      <c r="A6556" s="49">
        <v>45090.026199837965</v>
      </c>
      <c r="B6556" s="50">
        <v>45090.1511671064</v>
      </c>
      <c r="C6556" s="51">
        <v>1.003</v>
      </c>
      <c r="D6556" s="51">
        <v>68.0</v>
      </c>
      <c r="E6556" s="52" t="s">
        <v>25</v>
      </c>
      <c r="F6556" s="52" t="s">
        <v>26</v>
      </c>
      <c r="G6556" s="54"/>
    </row>
    <row r="6557">
      <c r="A6557" s="49">
        <v>45090.036615289355</v>
      </c>
      <c r="B6557" s="50">
        <v>45090.1615873032</v>
      </c>
      <c r="C6557" s="51">
        <v>1.003</v>
      </c>
      <c r="D6557" s="51">
        <v>68.0</v>
      </c>
      <c r="E6557" s="52" t="s">
        <v>25</v>
      </c>
      <c r="F6557" s="52" t="s">
        <v>26</v>
      </c>
      <c r="G6557" s="54"/>
    </row>
    <row r="6558">
      <c r="A6558" s="49">
        <v>45090.04703274305</v>
      </c>
      <c r="B6558" s="50">
        <v>45090.1720072338</v>
      </c>
      <c r="C6558" s="51">
        <v>1.003</v>
      </c>
      <c r="D6558" s="51">
        <v>68.0</v>
      </c>
      <c r="E6558" s="52" t="s">
        <v>25</v>
      </c>
      <c r="F6558" s="52" t="s">
        <v>26</v>
      </c>
      <c r="G6558" s="54"/>
    </row>
    <row r="6559">
      <c r="A6559" s="49">
        <v>45090.05745753473</v>
      </c>
      <c r="B6559" s="50">
        <v>45090.1824298611</v>
      </c>
      <c r="C6559" s="51">
        <v>1.003</v>
      </c>
      <c r="D6559" s="51">
        <v>68.0</v>
      </c>
      <c r="E6559" s="52" t="s">
        <v>25</v>
      </c>
      <c r="F6559" s="52" t="s">
        <v>26</v>
      </c>
      <c r="G6559" s="54"/>
    </row>
    <row r="6560">
      <c r="A6560" s="49">
        <v>45090.067892280094</v>
      </c>
      <c r="B6560" s="50">
        <v>45090.1928633564</v>
      </c>
      <c r="C6560" s="51">
        <v>1.003</v>
      </c>
      <c r="D6560" s="51">
        <v>68.0</v>
      </c>
      <c r="E6560" s="52" t="s">
        <v>25</v>
      </c>
      <c r="F6560" s="52" t="s">
        <v>26</v>
      </c>
      <c r="G6560" s="54"/>
    </row>
    <row r="6561">
      <c r="A6561" s="49">
        <v>45090.07832141204</v>
      </c>
      <c r="B6561" s="50">
        <v>45090.2032969791</v>
      </c>
      <c r="C6561" s="51">
        <v>1.003</v>
      </c>
      <c r="D6561" s="51">
        <v>68.0</v>
      </c>
      <c r="E6561" s="52" t="s">
        <v>25</v>
      </c>
      <c r="F6561" s="52" t="s">
        <v>26</v>
      </c>
      <c r="G6561" s="54"/>
    </row>
    <row r="6562">
      <c r="A6562" s="49">
        <v>45090.088748298615</v>
      </c>
      <c r="B6562" s="50">
        <v>45090.2137170949</v>
      </c>
      <c r="C6562" s="51">
        <v>1.003</v>
      </c>
      <c r="D6562" s="51">
        <v>68.0</v>
      </c>
      <c r="E6562" s="52" t="s">
        <v>25</v>
      </c>
      <c r="F6562" s="52" t="s">
        <v>26</v>
      </c>
      <c r="G6562" s="54"/>
    </row>
    <row r="6563">
      <c r="A6563" s="49">
        <v>45090.09915879629</v>
      </c>
      <c r="B6563" s="50">
        <v>45090.2241392592</v>
      </c>
      <c r="C6563" s="51">
        <v>1.003</v>
      </c>
      <c r="D6563" s="51">
        <v>68.0</v>
      </c>
      <c r="E6563" s="52" t="s">
        <v>25</v>
      </c>
      <c r="F6563" s="52" t="s">
        <v>26</v>
      </c>
      <c r="G6563" s="54"/>
    </row>
    <row r="6564">
      <c r="A6564" s="49">
        <v>45090.10958553241</v>
      </c>
      <c r="B6564" s="50">
        <v>45090.2345582638</v>
      </c>
      <c r="C6564" s="51">
        <v>1.003</v>
      </c>
      <c r="D6564" s="51">
        <v>68.0</v>
      </c>
      <c r="E6564" s="52" t="s">
        <v>25</v>
      </c>
      <c r="F6564" s="52" t="s">
        <v>26</v>
      </c>
      <c r="G6564" s="54"/>
    </row>
    <row r="6565">
      <c r="A6565" s="49">
        <v>45090.12001063657</v>
      </c>
      <c r="B6565" s="50">
        <v>45090.2449795601</v>
      </c>
      <c r="C6565" s="51">
        <v>1.003</v>
      </c>
      <c r="D6565" s="51">
        <v>68.0</v>
      </c>
      <c r="E6565" s="52" t="s">
        <v>25</v>
      </c>
      <c r="F6565" s="52" t="s">
        <v>26</v>
      </c>
      <c r="G6565" s="54"/>
    </row>
    <row r="6566">
      <c r="A6566" s="49">
        <v>45090.13043092593</v>
      </c>
      <c r="B6566" s="50">
        <v>45090.2554015393</v>
      </c>
      <c r="C6566" s="51">
        <v>1.003</v>
      </c>
      <c r="D6566" s="51">
        <v>68.0</v>
      </c>
      <c r="E6566" s="52" t="s">
        <v>25</v>
      </c>
      <c r="F6566" s="52" t="s">
        <v>26</v>
      </c>
      <c r="G6566" s="54"/>
    </row>
    <row r="6567">
      <c r="A6567" s="49">
        <v>45090.14086594907</v>
      </c>
      <c r="B6567" s="50">
        <v>45090.2658346412</v>
      </c>
      <c r="C6567" s="51">
        <v>1.003</v>
      </c>
      <c r="D6567" s="51">
        <v>68.0</v>
      </c>
      <c r="E6567" s="52" t="s">
        <v>25</v>
      </c>
      <c r="F6567" s="52" t="s">
        <v>26</v>
      </c>
      <c r="G6567" s="54"/>
    </row>
    <row r="6568">
      <c r="A6568" s="49">
        <v>45090.151324039354</v>
      </c>
      <c r="B6568" s="50">
        <v>45090.276257581</v>
      </c>
      <c r="C6568" s="51">
        <v>1.003</v>
      </c>
      <c r="D6568" s="51">
        <v>68.0</v>
      </c>
      <c r="E6568" s="52" t="s">
        <v>25</v>
      </c>
      <c r="F6568" s="52" t="s">
        <v>26</v>
      </c>
      <c r="G6568" s="54"/>
    </row>
    <row r="6569">
      <c r="A6569" s="49">
        <v>45090.16170019676</v>
      </c>
      <c r="B6569" s="50">
        <v>45090.2866778009</v>
      </c>
      <c r="C6569" s="51">
        <v>1.003</v>
      </c>
      <c r="D6569" s="51">
        <v>68.0</v>
      </c>
      <c r="E6569" s="52" t="s">
        <v>25</v>
      </c>
      <c r="F6569" s="52" t="s">
        <v>26</v>
      </c>
      <c r="G6569" s="54"/>
    </row>
    <row r="6570">
      <c r="A6570" s="49">
        <v>45090.172125868055</v>
      </c>
      <c r="B6570" s="50">
        <v>45090.2971003125</v>
      </c>
      <c r="C6570" s="51">
        <v>1.003</v>
      </c>
      <c r="D6570" s="51">
        <v>68.0</v>
      </c>
      <c r="E6570" s="52" t="s">
        <v>25</v>
      </c>
      <c r="F6570" s="52" t="s">
        <v>26</v>
      </c>
      <c r="G6570" s="54"/>
    </row>
    <row r="6571">
      <c r="A6571" s="49">
        <v>45090.182549247686</v>
      </c>
      <c r="B6571" s="50">
        <v>45090.307522118</v>
      </c>
      <c r="C6571" s="51">
        <v>1.003</v>
      </c>
      <c r="D6571" s="51">
        <v>68.0</v>
      </c>
      <c r="E6571" s="52" t="s">
        <v>25</v>
      </c>
      <c r="F6571" s="52" t="s">
        <v>26</v>
      </c>
      <c r="G6571" s="54"/>
    </row>
    <row r="6572">
      <c r="A6572" s="49">
        <v>45090.20339703704</v>
      </c>
      <c r="B6572" s="50">
        <v>45090.3283774652</v>
      </c>
      <c r="C6572" s="51">
        <v>1.003</v>
      </c>
      <c r="D6572" s="51">
        <v>68.0</v>
      </c>
      <c r="E6572" s="52" t="s">
        <v>25</v>
      </c>
      <c r="F6572" s="52" t="s">
        <v>26</v>
      </c>
      <c r="G6572" s="54"/>
    </row>
    <row r="6573">
      <c r="A6573" s="49">
        <v>45090.2138274537</v>
      </c>
      <c r="B6573" s="50">
        <v>45090.3387992476</v>
      </c>
      <c r="C6573" s="51">
        <v>1.003</v>
      </c>
      <c r="D6573" s="51">
        <v>68.0</v>
      </c>
      <c r="E6573" s="52" t="s">
        <v>25</v>
      </c>
      <c r="F6573" s="52" t="s">
        <v>26</v>
      </c>
      <c r="G6573" s="54"/>
    </row>
    <row r="6574">
      <c r="A6574" s="49">
        <v>45090.22427086806</v>
      </c>
      <c r="B6574" s="50">
        <v>45090.3492419097</v>
      </c>
      <c r="C6574" s="51">
        <v>1.003</v>
      </c>
      <c r="D6574" s="51">
        <v>68.0</v>
      </c>
      <c r="E6574" s="52" t="s">
        <v>25</v>
      </c>
      <c r="F6574" s="52" t="s">
        <v>26</v>
      </c>
      <c r="G6574" s="54"/>
    </row>
    <row r="6575">
      <c r="A6575" s="49">
        <v>45090.234686111115</v>
      </c>
      <c r="B6575" s="50">
        <v>45090.3596626736</v>
      </c>
      <c r="C6575" s="51">
        <v>1.003</v>
      </c>
      <c r="D6575" s="51">
        <v>68.0</v>
      </c>
      <c r="E6575" s="52" t="s">
        <v>25</v>
      </c>
      <c r="F6575" s="52" t="s">
        <v>26</v>
      </c>
      <c r="G6575" s="54"/>
    </row>
    <row r="6576">
      <c r="A6576" s="49">
        <v>45090.24518880787</v>
      </c>
      <c r="B6576" s="50">
        <v>45090.370095949</v>
      </c>
      <c r="C6576" s="51">
        <v>1.003</v>
      </c>
      <c r="D6576" s="51">
        <v>68.0</v>
      </c>
      <c r="E6576" s="52" t="s">
        <v>25</v>
      </c>
      <c r="F6576" s="52" t="s">
        <v>26</v>
      </c>
      <c r="G6576" s="54"/>
    </row>
    <row r="6577">
      <c r="A6577" s="49">
        <v>45090.25554842592</v>
      </c>
      <c r="B6577" s="50">
        <v>45090.3805179745</v>
      </c>
      <c r="C6577" s="51">
        <v>1.003</v>
      </c>
      <c r="D6577" s="51">
        <v>68.0</v>
      </c>
      <c r="E6577" s="52" t="s">
        <v>25</v>
      </c>
      <c r="F6577" s="52" t="s">
        <v>26</v>
      </c>
      <c r="G6577" s="54"/>
    </row>
    <row r="6578">
      <c r="A6578" s="49">
        <v>45090.26598140046</v>
      </c>
      <c r="B6578" s="50">
        <v>45090.3909512963</v>
      </c>
      <c r="C6578" s="51">
        <v>1.003</v>
      </c>
      <c r="D6578" s="51">
        <v>68.0</v>
      </c>
      <c r="E6578" s="52" t="s">
        <v>25</v>
      </c>
      <c r="F6578" s="52" t="s">
        <v>26</v>
      </c>
      <c r="G6578" s="54"/>
    </row>
    <row r="6579">
      <c r="A6579" s="49">
        <v>45090.276402627314</v>
      </c>
      <c r="B6579" s="50">
        <v>45090.4013721296</v>
      </c>
      <c r="C6579" s="51">
        <v>1.003</v>
      </c>
      <c r="D6579" s="51">
        <v>68.0</v>
      </c>
      <c r="E6579" s="52" t="s">
        <v>25</v>
      </c>
      <c r="F6579" s="52" t="s">
        <v>26</v>
      </c>
      <c r="G6579" s="54"/>
    </row>
    <row r="6580">
      <c r="A6580" s="49">
        <v>45090.28686894676</v>
      </c>
      <c r="B6580" s="50">
        <v>45090.4117910879</v>
      </c>
      <c r="C6580" s="51">
        <v>1.003</v>
      </c>
      <c r="D6580" s="51">
        <v>68.0</v>
      </c>
      <c r="E6580" s="52" t="s">
        <v>25</v>
      </c>
      <c r="F6580" s="52" t="s">
        <v>26</v>
      </c>
      <c r="G6580" s="54"/>
    </row>
    <row r="6581">
      <c r="A6581" s="49">
        <v>45090.297234722224</v>
      </c>
      <c r="B6581" s="50">
        <v>45090.4222114236</v>
      </c>
      <c r="C6581" s="51">
        <v>1.003</v>
      </c>
      <c r="D6581" s="51">
        <v>68.0</v>
      </c>
      <c r="E6581" s="52" t="s">
        <v>25</v>
      </c>
      <c r="F6581" s="52" t="s">
        <v>26</v>
      </c>
      <c r="G6581" s="54"/>
    </row>
    <row r="6582">
      <c r="A6582" s="49">
        <v>45090.30766986111</v>
      </c>
      <c r="B6582" s="50">
        <v>45090.4326442013</v>
      </c>
      <c r="C6582" s="51">
        <v>1.003</v>
      </c>
      <c r="D6582" s="51">
        <v>68.0</v>
      </c>
      <c r="E6582" s="52" t="s">
        <v>25</v>
      </c>
      <c r="F6582" s="52" t="s">
        <v>26</v>
      </c>
      <c r="G6582" s="54"/>
    </row>
    <row r="6583">
      <c r="A6583" s="49">
        <v>45090.318089085646</v>
      </c>
      <c r="B6583" s="50">
        <v>45090.4430648379</v>
      </c>
      <c r="C6583" s="51">
        <v>1.003</v>
      </c>
      <c r="D6583" s="51">
        <v>68.0</v>
      </c>
      <c r="E6583" s="52" t="s">
        <v>25</v>
      </c>
      <c r="F6583" s="52" t="s">
        <v>26</v>
      </c>
      <c r="G6583" s="54"/>
    </row>
    <row r="6584">
      <c r="A6584" s="49">
        <v>45090.32851457176</v>
      </c>
      <c r="B6584" s="50">
        <v>45090.4534857291</v>
      </c>
      <c r="C6584" s="51">
        <v>1.003</v>
      </c>
      <c r="D6584" s="51">
        <v>68.0</v>
      </c>
      <c r="E6584" s="52" t="s">
        <v>25</v>
      </c>
      <c r="F6584" s="52" t="s">
        <v>26</v>
      </c>
      <c r="G6584" s="54"/>
    </row>
    <row r="6585">
      <c r="A6585" s="49">
        <v>45090.338940208334</v>
      </c>
      <c r="B6585" s="50">
        <v>45090.4639181597</v>
      </c>
      <c r="C6585" s="51">
        <v>1.003</v>
      </c>
      <c r="D6585" s="51">
        <v>68.0</v>
      </c>
      <c r="E6585" s="52" t="s">
        <v>25</v>
      </c>
      <c r="F6585" s="52" t="s">
        <v>26</v>
      </c>
      <c r="G6585" s="54"/>
    </row>
    <row r="6586">
      <c r="A6586" s="49">
        <v>45090.34936893519</v>
      </c>
      <c r="B6586" s="50">
        <v>45090.4743395717</v>
      </c>
      <c r="C6586" s="51">
        <v>1.003</v>
      </c>
      <c r="D6586" s="51">
        <v>68.0</v>
      </c>
      <c r="E6586" s="52" t="s">
        <v>25</v>
      </c>
      <c r="F6586" s="52" t="s">
        <v>26</v>
      </c>
      <c r="G6586" s="54"/>
    </row>
    <row r="6587">
      <c r="A6587" s="49">
        <v>45090.35979673611</v>
      </c>
      <c r="B6587" s="50">
        <v>45090.4847705555</v>
      </c>
      <c r="C6587" s="51">
        <v>1.003</v>
      </c>
      <c r="D6587" s="51">
        <v>68.0</v>
      </c>
      <c r="E6587" s="52" t="s">
        <v>25</v>
      </c>
      <c r="F6587" s="52" t="s">
        <v>26</v>
      </c>
      <c r="G6587" s="54"/>
    </row>
    <row r="6588">
      <c r="A6588" s="49">
        <v>45090.37021137732</v>
      </c>
      <c r="B6588" s="50">
        <v>45090.4951914351</v>
      </c>
      <c r="C6588" s="51">
        <v>1.003</v>
      </c>
      <c r="D6588" s="51">
        <v>68.0</v>
      </c>
      <c r="E6588" s="52" t="s">
        <v>25</v>
      </c>
      <c r="F6588" s="52" t="s">
        <v>26</v>
      </c>
      <c r="G6588" s="54"/>
    </row>
    <row r="6589">
      <c r="A6589" s="49">
        <v>45090.380640358795</v>
      </c>
      <c r="B6589" s="50">
        <v>45090.5056121064</v>
      </c>
      <c r="C6589" s="51">
        <v>1.003</v>
      </c>
      <c r="D6589" s="51">
        <v>68.0</v>
      </c>
      <c r="E6589" s="52" t="s">
        <v>25</v>
      </c>
      <c r="F6589" s="52" t="s">
        <v>26</v>
      </c>
      <c r="G6589" s="54"/>
    </row>
    <row r="6590">
      <c r="A6590" s="49">
        <v>45090.39106313657</v>
      </c>
      <c r="B6590" s="50">
        <v>45090.5160336921</v>
      </c>
      <c r="C6590" s="51">
        <v>1.003</v>
      </c>
      <c r="D6590" s="51">
        <v>68.0</v>
      </c>
      <c r="E6590" s="52" t="s">
        <v>25</v>
      </c>
      <c r="F6590" s="52" t="s">
        <v>26</v>
      </c>
      <c r="G6590" s="54"/>
    </row>
    <row r="6591">
      <c r="A6591" s="49">
        <v>45090.40149023148</v>
      </c>
      <c r="B6591" s="50">
        <v>45090.5264678125</v>
      </c>
      <c r="C6591" s="51">
        <v>1.003</v>
      </c>
      <c r="D6591" s="51">
        <v>68.0</v>
      </c>
      <c r="E6591" s="52" t="s">
        <v>25</v>
      </c>
      <c r="F6591" s="52" t="s">
        <v>26</v>
      </c>
      <c r="G6591" s="54"/>
    </row>
    <row r="6592">
      <c r="A6592" s="49">
        <v>45090.41192990741</v>
      </c>
      <c r="B6592" s="50">
        <v>45090.5369000231</v>
      </c>
      <c r="C6592" s="51">
        <v>1.003</v>
      </c>
      <c r="D6592" s="51">
        <v>68.0</v>
      </c>
      <c r="E6592" s="52" t="s">
        <v>25</v>
      </c>
      <c r="F6592" s="52" t="s">
        <v>26</v>
      </c>
      <c r="G6592" s="54"/>
    </row>
    <row r="6593">
      <c r="A6593" s="49">
        <v>45090.42233984954</v>
      </c>
      <c r="B6593" s="50">
        <v>45090.5473193981</v>
      </c>
      <c r="C6593" s="51">
        <v>1.003</v>
      </c>
      <c r="D6593" s="51">
        <v>68.0</v>
      </c>
      <c r="E6593" s="52" t="s">
        <v>25</v>
      </c>
      <c r="F6593" s="52" t="s">
        <v>26</v>
      </c>
      <c r="G6593" s="54"/>
    </row>
    <row r="6594">
      <c r="A6594" s="49">
        <v>45090.432763749996</v>
      </c>
      <c r="B6594" s="50">
        <v>45090.5577388773</v>
      </c>
      <c r="C6594" s="51">
        <v>1.003</v>
      </c>
      <c r="D6594" s="51">
        <v>68.0</v>
      </c>
      <c r="E6594" s="52" t="s">
        <v>25</v>
      </c>
      <c r="F6594" s="52" t="s">
        <v>26</v>
      </c>
      <c r="G6594" s="54"/>
    </row>
    <row r="6595">
      <c r="A6595" s="49">
        <v>45090.44318901621</v>
      </c>
      <c r="B6595" s="50">
        <v>45090.5681596875</v>
      </c>
      <c r="C6595" s="51">
        <v>1.003</v>
      </c>
      <c r="D6595" s="51">
        <v>68.0</v>
      </c>
      <c r="E6595" s="52" t="s">
        <v>25</v>
      </c>
      <c r="F6595" s="52" t="s">
        <v>26</v>
      </c>
      <c r="G6595" s="54"/>
    </row>
    <row r="6596">
      <c r="A6596" s="49">
        <v>45090.453616597224</v>
      </c>
      <c r="B6596" s="50">
        <v>45090.5785808101</v>
      </c>
      <c r="C6596" s="51">
        <v>1.003</v>
      </c>
      <c r="D6596" s="51">
        <v>68.0</v>
      </c>
      <c r="E6596" s="52" t="s">
        <v>25</v>
      </c>
      <c r="F6596" s="52" t="s">
        <v>26</v>
      </c>
      <c r="G6596" s="54"/>
    </row>
    <row r="6597">
      <c r="A6597" s="49">
        <v>45090.4640240625</v>
      </c>
      <c r="B6597" s="50">
        <v>45090.589000243</v>
      </c>
      <c r="C6597" s="51">
        <v>1.003</v>
      </c>
      <c r="D6597" s="51">
        <v>68.0</v>
      </c>
      <c r="E6597" s="52" t="s">
        <v>25</v>
      </c>
      <c r="F6597" s="52" t="s">
        <v>26</v>
      </c>
      <c r="G6597" s="54"/>
    </row>
    <row r="6598">
      <c r="A6598" s="49">
        <v>45090.474449155095</v>
      </c>
      <c r="B6598" s="50">
        <v>45090.5994212963</v>
      </c>
      <c r="C6598" s="51">
        <v>1.003</v>
      </c>
      <c r="D6598" s="51">
        <v>68.0</v>
      </c>
      <c r="E6598" s="52" t="s">
        <v>25</v>
      </c>
      <c r="F6598" s="52" t="s">
        <v>26</v>
      </c>
      <c r="G6598" s="54"/>
    </row>
    <row r="6599">
      <c r="A6599" s="49">
        <v>45090.48490364583</v>
      </c>
      <c r="B6599" s="50">
        <v>45090.6098780092</v>
      </c>
      <c r="C6599" s="51">
        <v>1.003</v>
      </c>
      <c r="D6599" s="51">
        <v>68.0</v>
      </c>
      <c r="E6599" s="52" t="s">
        <v>25</v>
      </c>
      <c r="F6599" s="52" t="s">
        <v>26</v>
      </c>
      <c r="G6599" s="54"/>
    </row>
    <row r="6600">
      <c r="A6600" s="49">
        <v>45090.495327094904</v>
      </c>
      <c r="B6600" s="50">
        <v>45090.6203116551</v>
      </c>
      <c r="C6600" s="51">
        <v>1.003</v>
      </c>
      <c r="D6600" s="51">
        <v>68.0</v>
      </c>
      <c r="E6600" s="52" t="s">
        <v>25</v>
      </c>
      <c r="F6600" s="52" t="s">
        <v>26</v>
      </c>
      <c r="G6600" s="54"/>
    </row>
    <row r="6601">
      <c r="A6601" s="49">
        <v>45090.50576023148</v>
      </c>
      <c r="B6601" s="50">
        <v>45090.6307332986</v>
      </c>
      <c r="C6601" s="51">
        <v>1.003</v>
      </c>
      <c r="D6601" s="51">
        <v>68.0</v>
      </c>
      <c r="E6601" s="52" t="s">
        <v>25</v>
      </c>
      <c r="F6601" s="52" t="s">
        <v>26</v>
      </c>
      <c r="G6601" s="54"/>
    </row>
    <row r="6602">
      <c r="A6602" s="49">
        <v>45090.51618091435</v>
      </c>
      <c r="B6602" s="50">
        <v>45090.64115478</v>
      </c>
      <c r="C6602" s="51">
        <v>1.003</v>
      </c>
      <c r="D6602" s="51">
        <v>68.0</v>
      </c>
      <c r="E6602" s="52" t="s">
        <v>25</v>
      </c>
      <c r="F6602" s="52" t="s">
        <v>26</v>
      </c>
      <c r="G6602" s="54"/>
    </row>
    <row r="6603">
      <c r="A6603" s="49">
        <v>45090.52659628472</v>
      </c>
      <c r="B6603" s="50">
        <v>45090.6515752199</v>
      </c>
      <c r="C6603" s="51">
        <v>1.003</v>
      </c>
      <c r="D6603" s="51">
        <v>68.0</v>
      </c>
      <c r="E6603" s="52" t="s">
        <v>25</v>
      </c>
      <c r="F6603" s="52" t="s">
        <v>26</v>
      </c>
      <c r="G6603" s="54"/>
    </row>
    <row r="6604">
      <c r="A6604" s="49">
        <v>45090.537021261574</v>
      </c>
      <c r="B6604" s="50">
        <v>45090.6619983101</v>
      </c>
      <c r="C6604" s="51">
        <v>1.003</v>
      </c>
      <c r="D6604" s="51">
        <v>68.0</v>
      </c>
      <c r="E6604" s="52" t="s">
        <v>25</v>
      </c>
      <c r="F6604" s="52" t="s">
        <v>26</v>
      </c>
      <c r="G6604" s="54"/>
    </row>
    <row r="6605">
      <c r="A6605" s="49">
        <v>45090.54745200231</v>
      </c>
      <c r="B6605" s="50">
        <v>45090.6724190509</v>
      </c>
      <c r="C6605" s="51">
        <v>1.003</v>
      </c>
      <c r="D6605" s="51">
        <v>68.0</v>
      </c>
      <c r="E6605" s="52" t="s">
        <v>25</v>
      </c>
      <c r="F6605" s="52" t="s">
        <v>26</v>
      </c>
      <c r="G6605" s="54"/>
    </row>
    <row r="6606">
      <c r="A6606" s="49">
        <v>45090.557862789356</v>
      </c>
      <c r="B6606" s="50">
        <v>45090.6828396296</v>
      </c>
      <c r="C6606" s="51">
        <v>1.003</v>
      </c>
      <c r="D6606" s="51">
        <v>68.0</v>
      </c>
      <c r="E6606" s="52" t="s">
        <v>25</v>
      </c>
      <c r="F6606" s="52" t="s">
        <v>26</v>
      </c>
      <c r="G6606" s="54"/>
    </row>
    <row r="6607">
      <c r="A6607" s="49">
        <v>45090.56829016204</v>
      </c>
      <c r="B6607" s="50">
        <v>45090.6932609838</v>
      </c>
      <c r="C6607" s="51">
        <v>1.003</v>
      </c>
      <c r="D6607" s="51">
        <v>68.0</v>
      </c>
      <c r="E6607" s="52" t="s">
        <v>25</v>
      </c>
      <c r="F6607" s="52" t="s">
        <v>26</v>
      </c>
      <c r="G6607" s="54"/>
    </row>
    <row r="6608">
      <c r="A6608" s="49">
        <v>45090.578727430555</v>
      </c>
      <c r="B6608" s="50">
        <v>45090.703694074</v>
      </c>
      <c r="C6608" s="51">
        <v>1.003</v>
      </c>
      <c r="D6608" s="51">
        <v>68.0</v>
      </c>
      <c r="E6608" s="52" t="s">
        <v>25</v>
      </c>
      <c r="F6608" s="52" t="s">
        <v>26</v>
      </c>
      <c r="G6608" s="54"/>
    </row>
    <row r="6609">
      <c r="A6609" s="49">
        <v>45090.59957493056</v>
      </c>
      <c r="B6609" s="50">
        <v>45090.7245486689</v>
      </c>
      <c r="C6609" s="51">
        <v>1.003</v>
      </c>
      <c r="D6609" s="51">
        <v>68.0</v>
      </c>
      <c r="E6609" s="52" t="s">
        <v>25</v>
      </c>
      <c r="F6609" s="52" t="s">
        <v>26</v>
      </c>
      <c r="G6609" s="54"/>
    </row>
    <row r="6610">
      <c r="A6610" s="49">
        <v>45090.609997060186</v>
      </c>
      <c r="B6610" s="50">
        <v>45090.7349695833</v>
      </c>
      <c r="C6610" s="51">
        <v>1.003</v>
      </c>
      <c r="D6610" s="51">
        <v>68.0</v>
      </c>
      <c r="E6610" s="52" t="s">
        <v>25</v>
      </c>
      <c r="F6610" s="52" t="s">
        <v>26</v>
      </c>
      <c r="G6610" s="54"/>
    </row>
    <row r="6611">
      <c r="A6611" s="49">
        <v>45090.62041938657</v>
      </c>
      <c r="B6611" s="50">
        <v>45090.7453918518</v>
      </c>
      <c r="C6611" s="51">
        <v>1.003</v>
      </c>
      <c r="D6611" s="51">
        <v>68.0</v>
      </c>
      <c r="E6611" s="52" t="s">
        <v>25</v>
      </c>
      <c r="F6611" s="52" t="s">
        <v>26</v>
      </c>
      <c r="G6611" s="54"/>
    </row>
    <row r="6612">
      <c r="A6612" s="49">
        <v>45090.630838020836</v>
      </c>
      <c r="B6612" s="50">
        <v>45090.7558131712</v>
      </c>
      <c r="C6612" s="51">
        <v>1.003</v>
      </c>
      <c r="D6612" s="51">
        <v>68.0</v>
      </c>
      <c r="E6612" s="52" t="s">
        <v>25</v>
      </c>
      <c r="F6612" s="52" t="s">
        <v>26</v>
      </c>
      <c r="G6612" s="54"/>
    </row>
    <row r="6613">
      <c r="A6613" s="49">
        <v>45090.65167552083</v>
      </c>
      <c r="B6613" s="50">
        <v>45090.7766555555</v>
      </c>
      <c r="C6613" s="51">
        <v>1.003</v>
      </c>
      <c r="D6613" s="51">
        <v>68.0</v>
      </c>
      <c r="E6613" s="52" t="s">
        <v>25</v>
      </c>
      <c r="F6613" s="52" t="s">
        <v>26</v>
      </c>
      <c r="G6613" s="54"/>
    </row>
    <row r="6614">
      <c r="A6614" s="49">
        <v>45090.66211275463</v>
      </c>
      <c r="B6614" s="50">
        <v>45090.7870883912</v>
      </c>
      <c r="C6614" s="51">
        <v>1.003</v>
      </c>
      <c r="D6614" s="51">
        <v>68.0</v>
      </c>
      <c r="E6614" s="52" t="s">
        <v>25</v>
      </c>
      <c r="F6614" s="52" t="s">
        <v>26</v>
      </c>
      <c r="G6614" s="54"/>
    </row>
    <row r="6615">
      <c r="A6615" s="49">
        <v>45090.67253994213</v>
      </c>
      <c r="B6615" s="50">
        <v>45090.7975108101</v>
      </c>
      <c r="C6615" s="51">
        <v>1.003</v>
      </c>
      <c r="D6615" s="51">
        <v>68.0</v>
      </c>
      <c r="E6615" s="52" t="s">
        <v>25</v>
      </c>
      <c r="F6615" s="52" t="s">
        <v>26</v>
      </c>
      <c r="G6615" s="54"/>
    </row>
    <row r="6616">
      <c r="A6616" s="49">
        <v>45090.682960370366</v>
      </c>
      <c r="B6616" s="50">
        <v>45090.8079322916</v>
      </c>
      <c r="C6616" s="51">
        <v>1.003</v>
      </c>
      <c r="D6616" s="51">
        <v>68.0</v>
      </c>
      <c r="E6616" s="52" t="s">
        <v>25</v>
      </c>
      <c r="F6616" s="52" t="s">
        <v>26</v>
      </c>
      <c r="G6616" s="54"/>
    </row>
    <row r="6617">
      <c r="A6617" s="49">
        <v>45090.69337664352</v>
      </c>
      <c r="B6617" s="50">
        <v>45090.8183550462</v>
      </c>
      <c r="C6617" s="51">
        <v>1.003</v>
      </c>
      <c r="D6617" s="51">
        <v>68.0</v>
      </c>
      <c r="E6617" s="52" t="s">
        <v>25</v>
      </c>
      <c r="F6617" s="52" t="s">
        <v>26</v>
      </c>
      <c r="G6617" s="54"/>
    </row>
    <row r="6618">
      <c r="A6618" s="49">
        <v>45090.703805439814</v>
      </c>
      <c r="B6618" s="50">
        <v>45090.8287753125</v>
      </c>
      <c r="C6618" s="51">
        <v>1.003</v>
      </c>
      <c r="D6618" s="51">
        <v>68.0</v>
      </c>
      <c r="E6618" s="52" t="s">
        <v>25</v>
      </c>
      <c r="F6618" s="52" t="s">
        <v>26</v>
      </c>
      <c r="G6618" s="54"/>
    </row>
    <row r="6619">
      <c r="A6619" s="49">
        <v>45090.71422119213</v>
      </c>
      <c r="B6619" s="50">
        <v>45090.8391966203</v>
      </c>
      <c r="C6619" s="51">
        <v>1.003</v>
      </c>
      <c r="D6619" s="51">
        <v>68.0</v>
      </c>
      <c r="E6619" s="52" t="s">
        <v>25</v>
      </c>
      <c r="F6619" s="52" t="s">
        <v>26</v>
      </c>
      <c r="G6619" s="54"/>
    </row>
    <row r="6620">
      <c r="A6620" s="49">
        <v>45090.72464219907</v>
      </c>
      <c r="B6620" s="50">
        <v>45090.8496166666</v>
      </c>
      <c r="C6620" s="51">
        <v>1.003</v>
      </c>
      <c r="D6620" s="51">
        <v>68.0</v>
      </c>
      <c r="E6620" s="52" t="s">
        <v>25</v>
      </c>
      <c r="F6620" s="52" t="s">
        <v>26</v>
      </c>
      <c r="G6620" s="54"/>
    </row>
    <row r="6621">
      <c r="A6621" s="49">
        <v>45090.73506368056</v>
      </c>
      <c r="B6621" s="50">
        <v>45090.8600378356</v>
      </c>
      <c r="C6621" s="51">
        <v>1.003</v>
      </c>
      <c r="D6621" s="51">
        <v>68.0</v>
      </c>
      <c r="E6621" s="52" t="s">
        <v>25</v>
      </c>
      <c r="F6621" s="52" t="s">
        <v>26</v>
      </c>
      <c r="G6621" s="54"/>
    </row>
    <row r="6622">
      <c r="A6622" s="49">
        <v>45090.74548511574</v>
      </c>
      <c r="B6622" s="50">
        <v>45090.87045853</v>
      </c>
      <c r="C6622" s="51">
        <v>1.003</v>
      </c>
      <c r="D6622" s="51">
        <v>68.0</v>
      </c>
      <c r="E6622" s="52" t="s">
        <v>25</v>
      </c>
      <c r="F6622" s="52" t="s">
        <v>26</v>
      </c>
      <c r="G6622" s="54"/>
    </row>
    <row r="6623">
      <c r="A6623" s="49">
        <v>45090.755907060186</v>
      </c>
      <c r="B6623" s="50">
        <v>45090.8808794097</v>
      </c>
      <c r="C6623" s="51">
        <v>1.003</v>
      </c>
      <c r="D6623" s="51">
        <v>68.0</v>
      </c>
      <c r="E6623" s="52" t="s">
        <v>25</v>
      </c>
      <c r="F6623" s="52" t="s">
        <v>26</v>
      </c>
      <c r="G6623" s="54"/>
    </row>
    <row r="6624">
      <c r="A6624" s="49">
        <v>45090.76632922454</v>
      </c>
      <c r="B6624" s="50">
        <v>45090.8913006134</v>
      </c>
      <c r="C6624" s="51">
        <v>1.003</v>
      </c>
      <c r="D6624" s="51">
        <v>68.0</v>
      </c>
      <c r="E6624" s="52" t="s">
        <v>25</v>
      </c>
      <c r="F6624" s="52" t="s">
        <v>26</v>
      </c>
      <c r="G6624" s="54"/>
    </row>
    <row r="6625">
      <c r="A6625" s="49">
        <v>45090.77675282407</v>
      </c>
      <c r="B6625" s="50">
        <v>45090.9017201273</v>
      </c>
      <c r="C6625" s="51">
        <v>1.003</v>
      </c>
      <c r="D6625" s="51">
        <v>68.0</v>
      </c>
      <c r="E6625" s="52" t="s">
        <v>25</v>
      </c>
      <c r="F6625" s="52" t="s">
        <v>26</v>
      </c>
      <c r="G6625" s="54"/>
    </row>
    <row r="6626">
      <c r="A6626" s="49">
        <v>45090.78719861111</v>
      </c>
      <c r="B6626" s="50">
        <v>45090.9121537384</v>
      </c>
      <c r="C6626" s="51">
        <v>1.003</v>
      </c>
      <c r="D6626" s="51">
        <v>68.0</v>
      </c>
      <c r="E6626" s="52" t="s">
        <v>25</v>
      </c>
      <c r="F6626" s="52" t="s">
        <v>26</v>
      </c>
      <c r="G6626" s="54"/>
    </row>
    <row r="6627">
      <c r="A6627" s="49">
        <v>45090.80803587963</v>
      </c>
      <c r="B6627" s="50">
        <v>45090.9329945601</v>
      </c>
      <c r="C6627" s="51">
        <v>1.003</v>
      </c>
      <c r="D6627" s="51">
        <v>68.0</v>
      </c>
      <c r="E6627" s="52" t="s">
        <v>25</v>
      </c>
      <c r="F6627" s="52" t="s">
        <v>26</v>
      </c>
      <c r="G6627" s="54"/>
    </row>
    <row r="6628">
      <c r="A6628" s="49">
        <v>45090.818465358796</v>
      </c>
      <c r="B6628" s="50">
        <v>45090.9434287615</v>
      </c>
      <c r="C6628" s="51">
        <v>1.003</v>
      </c>
      <c r="D6628" s="51">
        <v>68.0</v>
      </c>
      <c r="E6628" s="52" t="s">
        <v>25</v>
      </c>
      <c r="F6628" s="52" t="s">
        <v>26</v>
      </c>
      <c r="G6628" s="54"/>
    </row>
    <row r="6629">
      <c r="A6629" s="49">
        <v>45090.82889509259</v>
      </c>
      <c r="B6629" s="50">
        <v>45090.9538510301</v>
      </c>
      <c r="C6629" s="51">
        <v>1.003</v>
      </c>
      <c r="D6629" s="51">
        <v>68.0</v>
      </c>
      <c r="E6629" s="52" t="s">
        <v>25</v>
      </c>
      <c r="F6629" s="52" t="s">
        <v>26</v>
      </c>
      <c r="G6629" s="54"/>
    </row>
    <row r="6630">
      <c r="A6630" s="49">
        <v>45090.83936643519</v>
      </c>
      <c r="B6630" s="50">
        <v>45090.9642731134</v>
      </c>
      <c r="C6630" s="51">
        <v>1.003</v>
      </c>
      <c r="D6630" s="51">
        <v>68.0</v>
      </c>
      <c r="E6630" s="52" t="s">
        <v>25</v>
      </c>
      <c r="F6630" s="52" t="s">
        <v>26</v>
      </c>
      <c r="G6630" s="54"/>
    </row>
    <row r="6631">
      <c r="A6631" s="49">
        <v>45090.84972894676</v>
      </c>
      <c r="B6631" s="50">
        <v>45090.9746947453</v>
      </c>
      <c r="C6631" s="51">
        <v>1.003</v>
      </c>
      <c r="D6631" s="51">
        <v>68.0</v>
      </c>
      <c r="E6631" s="52" t="s">
        <v>25</v>
      </c>
      <c r="F6631" s="52" t="s">
        <v>26</v>
      </c>
      <c r="G6631" s="54"/>
    </row>
    <row r="6632">
      <c r="A6632" s="49">
        <v>45090.860150381945</v>
      </c>
      <c r="B6632" s="50">
        <v>45090.985115405</v>
      </c>
      <c r="C6632" s="51">
        <v>1.003</v>
      </c>
      <c r="D6632" s="51">
        <v>68.0</v>
      </c>
      <c r="E6632" s="52" t="s">
        <v>25</v>
      </c>
      <c r="F6632" s="52" t="s">
        <v>26</v>
      </c>
      <c r="G6632" s="54"/>
    </row>
    <row r="6633">
      <c r="A6633" s="49">
        <v>45090.870577361115</v>
      </c>
      <c r="B6633" s="50">
        <v>45090.9955358333</v>
      </c>
      <c r="C6633" s="51">
        <v>1.003</v>
      </c>
      <c r="D6633" s="51">
        <v>68.0</v>
      </c>
      <c r="E6633" s="52" t="s">
        <v>25</v>
      </c>
      <c r="F6633" s="52" t="s">
        <v>26</v>
      </c>
      <c r="G6633" s="54"/>
    </row>
    <row r="6634">
      <c r="A6634" s="49">
        <v>45090.8914187037</v>
      </c>
      <c r="B6634" s="50">
        <v>45091.0163760069</v>
      </c>
      <c r="C6634" s="51">
        <v>1.003</v>
      </c>
      <c r="D6634" s="51">
        <v>68.0</v>
      </c>
      <c r="E6634" s="52" t="s">
        <v>25</v>
      </c>
      <c r="F6634" s="52" t="s">
        <v>26</v>
      </c>
      <c r="G6634" s="54"/>
    </row>
    <row r="6635">
      <c r="A6635" s="49">
        <v>45090.90187894676</v>
      </c>
      <c r="B6635" s="50">
        <v>45091.0267988078</v>
      </c>
      <c r="C6635" s="51">
        <v>1.003</v>
      </c>
      <c r="D6635" s="51">
        <v>68.0</v>
      </c>
      <c r="E6635" s="52" t="s">
        <v>25</v>
      </c>
      <c r="F6635" s="52" t="s">
        <v>26</v>
      </c>
      <c r="G6635" s="54"/>
    </row>
    <row r="6636">
      <c r="A6636" s="49">
        <v>45090.912265127314</v>
      </c>
      <c r="B6636" s="50">
        <v>45091.0372199652</v>
      </c>
      <c r="C6636" s="51">
        <v>1.003</v>
      </c>
      <c r="D6636" s="51">
        <v>68.0</v>
      </c>
      <c r="E6636" s="52" t="s">
        <v>25</v>
      </c>
      <c r="F6636" s="52" t="s">
        <v>26</v>
      </c>
      <c r="G6636" s="54"/>
    </row>
    <row r="6637">
      <c r="A6637" s="49">
        <v>45090.93310462963</v>
      </c>
      <c r="B6637" s="50">
        <v>45091.0580718055</v>
      </c>
      <c r="C6637" s="51">
        <v>1.003</v>
      </c>
      <c r="D6637" s="51">
        <v>68.0</v>
      </c>
      <c r="E6637" s="52" t="s">
        <v>25</v>
      </c>
      <c r="F6637" s="52" t="s">
        <v>26</v>
      </c>
      <c r="G6637" s="54"/>
    </row>
    <row r="6638">
      <c r="A6638" s="49">
        <v>45090.94352460648</v>
      </c>
      <c r="B6638" s="50">
        <v>45091.0684914699</v>
      </c>
      <c r="C6638" s="51">
        <v>1.003</v>
      </c>
      <c r="D6638" s="51">
        <v>68.0</v>
      </c>
      <c r="E6638" s="52" t="s">
        <v>25</v>
      </c>
      <c r="F6638" s="52" t="s">
        <v>26</v>
      </c>
      <c r="G6638" s="54"/>
    </row>
    <row r="6639">
      <c r="A6639" s="49">
        <v>45090.953939513885</v>
      </c>
      <c r="B6639" s="50">
        <v>45091.0789119907</v>
      </c>
      <c r="C6639" s="51">
        <v>1.003</v>
      </c>
      <c r="D6639" s="51">
        <v>68.0</v>
      </c>
      <c r="E6639" s="52" t="s">
        <v>25</v>
      </c>
      <c r="F6639" s="52" t="s">
        <v>26</v>
      </c>
      <c r="G6639" s="54"/>
    </row>
    <row r="6640">
      <c r="A6640" s="49">
        <v>45090.96437</v>
      </c>
      <c r="B6640" s="50">
        <v>45091.0893338425</v>
      </c>
      <c r="C6640" s="51">
        <v>1.003</v>
      </c>
      <c r="D6640" s="51">
        <v>68.0</v>
      </c>
      <c r="E6640" s="52" t="s">
        <v>25</v>
      </c>
      <c r="F6640" s="52" t="s">
        <v>26</v>
      </c>
      <c r="G6640" s="54"/>
    </row>
    <row r="6641">
      <c r="A6641" s="49">
        <v>45090.974788657404</v>
      </c>
      <c r="B6641" s="50">
        <v>45091.0997530787</v>
      </c>
      <c r="C6641" s="51">
        <v>1.003</v>
      </c>
      <c r="D6641" s="51">
        <v>68.0</v>
      </c>
      <c r="E6641" s="52" t="s">
        <v>25</v>
      </c>
      <c r="F6641" s="52" t="s">
        <v>26</v>
      </c>
      <c r="G6641" s="54"/>
    </row>
    <row r="6642">
      <c r="A6642" s="49">
        <v>45090.99564378472</v>
      </c>
      <c r="B6642" s="50">
        <v>45091.1206077662</v>
      </c>
      <c r="C6642" s="51">
        <v>1.003</v>
      </c>
      <c r="D6642" s="51">
        <v>68.0</v>
      </c>
      <c r="E6642" s="52" t="s">
        <v>25</v>
      </c>
      <c r="F6642" s="52" t="s">
        <v>26</v>
      </c>
      <c r="G6642" s="54"/>
    </row>
    <row r="6643">
      <c r="A6643" s="49">
        <v>45091.00607122685</v>
      </c>
      <c r="B6643" s="50">
        <v>45091.1310312268</v>
      </c>
      <c r="C6643" s="51">
        <v>1.003</v>
      </c>
      <c r="D6643" s="51">
        <v>68.0</v>
      </c>
      <c r="E6643" s="52" t="s">
        <v>25</v>
      </c>
      <c r="F6643" s="52" t="s">
        <v>26</v>
      </c>
      <c r="G6643" s="54"/>
    </row>
    <row r="6644">
      <c r="A6644" s="49">
        <v>45091.01648651621</v>
      </c>
      <c r="B6644" s="50">
        <v>45091.1414526157</v>
      </c>
      <c r="C6644" s="51">
        <v>1.003</v>
      </c>
      <c r="D6644" s="51">
        <v>68.0</v>
      </c>
      <c r="E6644" s="52" t="s">
        <v>25</v>
      </c>
      <c r="F6644" s="52" t="s">
        <v>26</v>
      </c>
      <c r="G6644" s="54"/>
    </row>
    <row r="6645">
      <c r="A6645" s="49">
        <v>45091.026916076386</v>
      </c>
      <c r="B6645" s="50">
        <v>45091.151874537</v>
      </c>
      <c r="C6645" s="51">
        <v>1.003</v>
      </c>
      <c r="D6645" s="51">
        <v>68.0</v>
      </c>
      <c r="E6645" s="52" t="s">
        <v>25</v>
      </c>
      <c r="F6645" s="52" t="s">
        <v>26</v>
      </c>
      <c r="G6645" s="54"/>
    </row>
    <row r="6646">
      <c r="A6646" s="49">
        <v>45091.03734466435</v>
      </c>
      <c r="B6646" s="50">
        <v>45091.1623171064</v>
      </c>
      <c r="C6646" s="51">
        <v>1.003</v>
      </c>
      <c r="D6646" s="51">
        <v>68.0</v>
      </c>
      <c r="E6646" s="52" t="s">
        <v>25</v>
      </c>
      <c r="F6646" s="52" t="s">
        <v>26</v>
      </c>
      <c r="G6646" s="54"/>
    </row>
    <row r="6647">
      <c r="A6647" s="49">
        <v>45091.04778310185</v>
      </c>
      <c r="B6647" s="50">
        <v>45091.172738125</v>
      </c>
      <c r="C6647" s="51">
        <v>1.003</v>
      </c>
      <c r="D6647" s="51">
        <v>68.0</v>
      </c>
      <c r="E6647" s="52" t="s">
        <v>25</v>
      </c>
      <c r="F6647" s="52" t="s">
        <v>26</v>
      </c>
      <c r="G6647" s="54"/>
    </row>
    <row r="6648">
      <c r="A6648" s="49">
        <v>45091.05819506945</v>
      </c>
      <c r="B6648" s="50">
        <v>45091.1831594676</v>
      </c>
      <c r="C6648" s="51">
        <v>1.003</v>
      </c>
      <c r="D6648" s="51">
        <v>68.0</v>
      </c>
      <c r="E6648" s="52" t="s">
        <v>25</v>
      </c>
      <c r="F6648" s="52" t="s">
        <v>26</v>
      </c>
      <c r="G6648" s="54"/>
    </row>
    <row r="6649">
      <c r="A6649" s="49">
        <v>45091.06861369213</v>
      </c>
      <c r="B6649" s="50">
        <v>45091.1935807407</v>
      </c>
      <c r="C6649" s="51">
        <v>1.003</v>
      </c>
      <c r="D6649" s="51">
        <v>68.0</v>
      </c>
      <c r="E6649" s="52" t="s">
        <v>25</v>
      </c>
      <c r="F6649" s="52" t="s">
        <v>26</v>
      </c>
      <c r="G6649" s="54"/>
    </row>
    <row r="6650">
      <c r="A6650" s="49">
        <v>45091.079049293985</v>
      </c>
      <c r="B6650" s="50">
        <v>45091.2040264814</v>
      </c>
      <c r="C6650" s="51">
        <v>1.003</v>
      </c>
      <c r="D6650" s="51">
        <v>68.0</v>
      </c>
      <c r="E6650" s="52" t="s">
        <v>25</v>
      </c>
      <c r="F6650" s="52" t="s">
        <v>26</v>
      </c>
      <c r="G6650" s="54"/>
    </row>
    <row r="6651">
      <c r="A6651" s="49">
        <v>45091.0894716551</v>
      </c>
      <c r="B6651" s="50">
        <v>45091.2144474305</v>
      </c>
      <c r="C6651" s="51">
        <v>1.003</v>
      </c>
      <c r="D6651" s="51">
        <v>68.0</v>
      </c>
      <c r="E6651" s="52" t="s">
        <v>25</v>
      </c>
      <c r="F6651" s="52" t="s">
        <v>26</v>
      </c>
      <c r="G6651" s="54"/>
    </row>
    <row r="6652">
      <c r="A6652" s="49">
        <v>45091.099896064814</v>
      </c>
      <c r="B6652" s="50">
        <v>45091.2248685648</v>
      </c>
      <c r="C6652" s="51">
        <v>1.003</v>
      </c>
      <c r="D6652" s="51">
        <v>68.0</v>
      </c>
      <c r="E6652" s="52" t="s">
        <v>25</v>
      </c>
      <c r="F6652" s="52" t="s">
        <v>26</v>
      </c>
      <c r="G6652" s="54"/>
    </row>
    <row r="6653">
      <c r="A6653" s="49">
        <v>45091.120739606486</v>
      </c>
      <c r="B6653" s="50">
        <v>45091.2457114236</v>
      </c>
      <c r="C6653" s="51">
        <v>1.003</v>
      </c>
      <c r="D6653" s="51">
        <v>68.0</v>
      </c>
      <c r="E6653" s="52" t="s">
        <v>25</v>
      </c>
      <c r="F6653" s="52" t="s">
        <v>26</v>
      </c>
      <c r="G6653" s="54"/>
    </row>
    <row r="6654">
      <c r="A6654" s="49">
        <v>45091.13117136574</v>
      </c>
      <c r="B6654" s="50">
        <v>45091.2561320138</v>
      </c>
      <c r="C6654" s="51">
        <v>1.003</v>
      </c>
      <c r="D6654" s="51">
        <v>68.0</v>
      </c>
      <c r="E6654" s="52" t="s">
        <v>25</v>
      </c>
      <c r="F6654" s="52" t="s">
        <v>26</v>
      </c>
      <c r="G6654" s="54"/>
    </row>
    <row r="6655">
      <c r="A6655" s="49">
        <v>45091.14159034722</v>
      </c>
      <c r="B6655" s="50">
        <v>45091.2665544097</v>
      </c>
      <c r="C6655" s="51">
        <v>1.003</v>
      </c>
      <c r="D6655" s="51">
        <v>68.0</v>
      </c>
      <c r="E6655" s="52" t="s">
        <v>25</v>
      </c>
      <c r="F6655" s="52" t="s">
        <v>26</v>
      </c>
      <c r="G6655" s="54"/>
    </row>
    <row r="6656">
      <c r="A6656" s="49">
        <v>45091.15203311342</v>
      </c>
      <c r="B6656" s="50">
        <v>45091.2769761111</v>
      </c>
      <c r="C6656" s="51">
        <v>1.003</v>
      </c>
      <c r="D6656" s="51">
        <v>68.0</v>
      </c>
      <c r="E6656" s="52" t="s">
        <v>25</v>
      </c>
      <c r="F6656" s="52" t="s">
        <v>26</v>
      </c>
      <c r="G6656" s="54"/>
    </row>
    <row r="6657">
      <c r="A6657" s="49">
        <v>45091.16245565972</v>
      </c>
      <c r="B6657" s="50">
        <v>45091.287397199</v>
      </c>
      <c r="C6657" s="51">
        <v>1.003</v>
      </c>
      <c r="D6657" s="51">
        <v>68.0</v>
      </c>
      <c r="E6657" s="52" t="s">
        <v>25</v>
      </c>
      <c r="F6657" s="52" t="s">
        <v>26</v>
      </c>
      <c r="G6657" s="54"/>
    </row>
    <row r="6658">
      <c r="A6658" s="49">
        <v>45091.17288116898</v>
      </c>
      <c r="B6658" s="50">
        <v>45091.2978306134</v>
      </c>
      <c r="C6658" s="51">
        <v>1.003</v>
      </c>
      <c r="D6658" s="51">
        <v>68.0</v>
      </c>
      <c r="E6658" s="52" t="s">
        <v>25</v>
      </c>
      <c r="F6658" s="52" t="s">
        <v>26</v>
      </c>
      <c r="G6658" s="54"/>
    </row>
    <row r="6659">
      <c r="A6659" s="49">
        <v>45091.18331596065</v>
      </c>
      <c r="B6659" s="50">
        <v>45091.3082525115</v>
      </c>
      <c r="C6659" s="51">
        <v>1.003</v>
      </c>
      <c r="D6659" s="51">
        <v>68.0</v>
      </c>
      <c r="E6659" s="52" t="s">
        <v>25</v>
      </c>
      <c r="F6659" s="52" t="s">
        <v>26</v>
      </c>
      <c r="G6659" s="54"/>
    </row>
    <row r="6660">
      <c r="A6660" s="49">
        <v>45091.193723460645</v>
      </c>
      <c r="B6660" s="50">
        <v>45091.3186721759</v>
      </c>
      <c r="C6660" s="51">
        <v>1.003</v>
      </c>
      <c r="D6660" s="51">
        <v>68.0</v>
      </c>
      <c r="E6660" s="52" t="s">
        <v>25</v>
      </c>
      <c r="F6660" s="52" t="s">
        <v>26</v>
      </c>
      <c r="G6660" s="54"/>
    </row>
    <row r="6661">
      <c r="A6661" s="49">
        <v>45091.20416119213</v>
      </c>
      <c r="B6661" s="50">
        <v>45091.3290931713</v>
      </c>
      <c r="C6661" s="51">
        <v>1.003</v>
      </c>
      <c r="D6661" s="51">
        <v>68.0</v>
      </c>
      <c r="E6661" s="52" t="s">
        <v>25</v>
      </c>
      <c r="F6661" s="52" t="s">
        <v>26</v>
      </c>
      <c r="G6661" s="54"/>
    </row>
    <row r="6662">
      <c r="A6662" s="49">
        <v>45091.214598148144</v>
      </c>
      <c r="B6662" s="50">
        <v>45091.3395144444</v>
      </c>
      <c r="C6662" s="51">
        <v>1.003</v>
      </c>
      <c r="D6662" s="51">
        <v>68.0</v>
      </c>
      <c r="E6662" s="52" t="s">
        <v>25</v>
      </c>
      <c r="F6662" s="52" t="s">
        <v>26</v>
      </c>
      <c r="G6662" s="54"/>
    </row>
    <row r="6663">
      <c r="A6663" s="49">
        <v>45091.225020868056</v>
      </c>
      <c r="B6663" s="50">
        <v>45091.3499343171</v>
      </c>
      <c r="C6663" s="51">
        <v>1.003</v>
      </c>
      <c r="D6663" s="51">
        <v>68.0</v>
      </c>
      <c r="E6663" s="52" t="s">
        <v>25</v>
      </c>
      <c r="F6663" s="52" t="s">
        <v>26</v>
      </c>
      <c r="G6663" s="54"/>
    </row>
    <row r="6664">
      <c r="A6664" s="49">
        <v>45091.23543190972</v>
      </c>
      <c r="B6664" s="50">
        <v>45091.3603559027</v>
      </c>
      <c r="C6664" s="51">
        <v>1.003</v>
      </c>
      <c r="D6664" s="51">
        <v>68.0</v>
      </c>
      <c r="E6664" s="52" t="s">
        <v>25</v>
      </c>
      <c r="F6664" s="52" t="s">
        <v>26</v>
      </c>
      <c r="G6664" s="54"/>
    </row>
    <row r="6665">
      <c r="A6665" s="49">
        <v>45091.245801990735</v>
      </c>
      <c r="B6665" s="50">
        <v>45091.3707772338</v>
      </c>
      <c r="C6665" s="51">
        <v>1.003</v>
      </c>
      <c r="D6665" s="51">
        <v>68.0</v>
      </c>
      <c r="E6665" s="52" t="s">
        <v>25</v>
      </c>
      <c r="F6665" s="52" t="s">
        <v>26</v>
      </c>
      <c r="G6665" s="54"/>
    </row>
    <row r="6666">
      <c r="A6666" s="49">
        <v>45091.25622728009</v>
      </c>
      <c r="B6666" s="50">
        <v>45091.3811996759</v>
      </c>
      <c r="C6666" s="51">
        <v>1.003</v>
      </c>
      <c r="D6666" s="51">
        <v>68.0</v>
      </c>
      <c r="E6666" s="52" t="s">
        <v>25</v>
      </c>
      <c r="F6666" s="52" t="s">
        <v>26</v>
      </c>
      <c r="G6666" s="54"/>
    </row>
    <row r="6667">
      <c r="A6667" s="49">
        <v>45091.26666105324</v>
      </c>
      <c r="B6667" s="50">
        <v>45091.3916325115</v>
      </c>
      <c r="C6667" s="51">
        <v>1.003</v>
      </c>
      <c r="D6667" s="51">
        <v>68.0</v>
      </c>
      <c r="E6667" s="52" t="s">
        <v>25</v>
      </c>
      <c r="F6667" s="52" t="s">
        <v>26</v>
      </c>
      <c r="G6667" s="54"/>
    </row>
    <row r="6668">
      <c r="A6668" s="49">
        <v>45091.2771027662</v>
      </c>
      <c r="B6668" s="50">
        <v>45091.4020528935</v>
      </c>
      <c r="C6668" s="51">
        <v>1.003</v>
      </c>
      <c r="D6668" s="51">
        <v>68.0</v>
      </c>
      <c r="E6668" s="52" t="s">
        <v>25</v>
      </c>
      <c r="F6668" s="52" t="s">
        <v>26</v>
      </c>
      <c r="G6668" s="54"/>
    </row>
    <row r="6669">
      <c r="A6669" s="49">
        <v>45091.28749783565</v>
      </c>
      <c r="B6669" s="50">
        <v>45091.4124740277</v>
      </c>
      <c r="C6669" s="51">
        <v>1.003</v>
      </c>
      <c r="D6669" s="51">
        <v>68.0</v>
      </c>
      <c r="E6669" s="52" t="s">
        <v>25</v>
      </c>
      <c r="F6669" s="52" t="s">
        <v>26</v>
      </c>
      <c r="G6669" s="54"/>
    </row>
    <row r="6670">
      <c r="A6670" s="49">
        <v>45091.297930162036</v>
      </c>
      <c r="B6670" s="50">
        <v>45091.4229068981</v>
      </c>
      <c r="C6670" s="51">
        <v>1.003</v>
      </c>
      <c r="D6670" s="51">
        <v>68.0</v>
      </c>
      <c r="E6670" s="52" t="s">
        <v>25</v>
      </c>
      <c r="F6670" s="52" t="s">
        <v>26</v>
      </c>
      <c r="G6670" s="54"/>
    </row>
    <row r="6671">
      <c r="A6671" s="49">
        <v>45091.30836993056</v>
      </c>
      <c r="B6671" s="50">
        <v>45091.4333399305</v>
      </c>
      <c r="C6671" s="51">
        <v>1.003</v>
      </c>
      <c r="D6671" s="51">
        <v>68.0</v>
      </c>
      <c r="E6671" s="52" t="s">
        <v>25</v>
      </c>
      <c r="F6671" s="52" t="s">
        <v>26</v>
      </c>
      <c r="G6671" s="54"/>
    </row>
    <row r="6672">
      <c r="A6672" s="49">
        <v>45091.318790474535</v>
      </c>
      <c r="B6672" s="50">
        <v>45091.4437616782</v>
      </c>
      <c r="C6672" s="51">
        <v>1.003</v>
      </c>
      <c r="D6672" s="51">
        <v>68.0</v>
      </c>
      <c r="E6672" s="52" t="s">
        <v>25</v>
      </c>
      <c r="F6672" s="52" t="s">
        <v>26</v>
      </c>
      <c r="G6672" s="54"/>
    </row>
    <row r="6673">
      <c r="A6673" s="49">
        <v>45091.33968953704</v>
      </c>
      <c r="B6673" s="50">
        <v>45091.4646040972</v>
      </c>
      <c r="C6673" s="51">
        <v>1.003</v>
      </c>
      <c r="D6673" s="51">
        <v>68.0</v>
      </c>
      <c r="E6673" s="52" t="s">
        <v>25</v>
      </c>
      <c r="F6673" s="52" t="s">
        <v>26</v>
      </c>
      <c r="G6673" s="54"/>
    </row>
    <row r="6674">
      <c r="A6674" s="49">
        <v>45091.360471064814</v>
      </c>
      <c r="B6674" s="50">
        <v>45091.4854482986</v>
      </c>
      <c r="C6674" s="51">
        <v>1.003</v>
      </c>
      <c r="D6674" s="51">
        <v>68.0</v>
      </c>
      <c r="E6674" s="52" t="s">
        <v>25</v>
      </c>
      <c r="F6674" s="52" t="s">
        <v>26</v>
      </c>
      <c r="G6674" s="54"/>
    </row>
    <row r="6675">
      <c r="A6675" s="49">
        <v>45091.370901585644</v>
      </c>
      <c r="B6675" s="50">
        <v>45091.4958702777</v>
      </c>
      <c r="C6675" s="51">
        <v>1.003</v>
      </c>
      <c r="D6675" s="51">
        <v>68.0</v>
      </c>
      <c r="E6675" s="52" t="s">
        <v>25</v>
      </c>
      <c r="F6675" s="52" t="s">
        <v>26</v>
      </c>
      <c r="G6675" s="54"/>
    </row>
    <row r="6676">
      <c r="A6676" s="49">
        <v>45091.38133153935</v>
      </c>
      <c r="B6676" s="50">
        <v>45091.5063040046</v>
      </c>
      <c r="C6676" s="51">
        <v>1.003</v>
      </c>
      <c r="D6676" s="51">
        <v>68.0</v>
      </c>
      <c r="E6676" s="52" t="s">
        <v>25</v>
      </c>
      <c r="F6676" s="52" t="s">
        <v>26</v>
      </c>
      <c r="G6676" s="54"/>
    </row>
    <row r="6677">
      <c r="A6677" s="49">
        <v>45091.39177836805</v>
      </c>
      <c r="B6677" s="50">
        <v>45091.5167268055</v>
      </c>
      <c r="C6677" s="51">
        <v>1.003</v>
      </c>
      <c r="D6677" s="51">
        <v>68.0</v>
      </c>
      <c r="E6677" s="52" t="s">
        <v>25</v>
      </c>
      <c r="F6677" s="52" t="s">
        <v>26</v>
      </c>
      <c r="G6677" s="54"/>
    </row>
    <row r="6678">
      <c r="A6678" s="49">
        <v>45091.40217939815</v>
      </c>
      <c r="B6678" s="50">
        <v>45091.5271473726</v>
      </c>
      <c r="C6678" s="51">
        <v>1.003</v>
      </c>
      <c r="D6678" s="51">
        <v>68.0</v>
      </c>
      <c r="E6678" s="52" t="s">
        <v>25</v>
      </c>
      <c r="F6678" s="52" t="s">
        <v>26</v>
      </c>
      <c r="G6678" s="54"/>
    </row>
    <row r="6679">
      <c r="A6679" s="49">
        <v>45091.412599560186</v>
      </c>
      <c r="B6679" s="50">
        <v>45091.5375675578</v>
      </c>
      <c r="C6679" s="51">
        <v>1.003</v>
      </c>
      <c r="D6679" s="51">
        <v>68.0</v>
      </c>
      <c r="E6679" s="52" t="s">
        <v>25</v>
      </c>
      <c r="F6679" s="52" t="s">
        <v>26</v>
      </c>
      <c r="G6679" s="54"/>
    </row>
    <row r="6680">
      <c r="A6680" s="49">
        <v>45091.42301644676</v>
      </c>
      <c r="B6680" s="50">
        <v>45091.5479870717</v>
      </c>
      <c r="C6680" s="51">
        <v>1.003</v>
      </c>
      <c r="D6680" s="51">
        <v>68.0</v>
      </c>
      <c r="E6680" s="52" t="s">
        <v>25</v>
      </c>
      <c r="F6680" s="52" t="s">
        <v>26</v>
      </c>
      <c r="G6680" s="54"/>
    </row>
    <row r="6681">
      <c r="A6681" s="49">
        <v>45091.4334409838</v>
      </c>
      <c r="B6681" s="50">
        <v>45091.5584076967</v>
      </c>
      <c r="C6681" s="51">
        <v>1.003</v>
      </c>
      <c r="D6681" s="51">
        <v>68.0</v>
      </c>
      <c r="E6681" s="52" t="s">
        <v>25</v>
      </c>
      <c r="F6681" s="52" t="s">
        <v>26</v>
      </c>
      <c r="G6681" s="54"/>
    </row>
    <row r="6682">
      <c r="A6682" s="49">
        <v>45091.44386662037</v>
      </c>
      <c r="B6682" s="50">
        <v>45091.5688387962</v>
      </c>
      <c r="C6682" s="51">
        <v>1.003</v>
      </c>
      <c r="D6682" s="51">
        <v>68.0</v>
      </c>
      <c r="E6682" s="52" t="s">
        <v>25</v>
      </c>
      <c r="F6682" s="52" t="s">
        <v>26</v>
      </c>
      <c r="G6682" s="54"/>
    </row>
    <row r="6683">
      <c r="A6683" s="49">
        <v>45091.45428457176</v>
      </c>
      <c r="B6683" s="50">
        <v>45091.5792598495</v>
      </c>
      <c r="C6683" s="51">
        <v>1.003</v>
      </c>
      <c r="D6683" s="51">
        <v>68.0</v>
      </c>
      <c r="E6683" s="52" t="s">
        <v>25</v>
      </c>
      <c r="F6683" s="52" t="s">
        <v>26</v>
      </c>
      <c r="G6683" s="54"/>
    </row>
    <row r="6684">
      <c r="A6684" s="49">
        <v>45091.4647090162</v>
      </c>
      <c r="B6684" s="50">
        <v>45091.5896814351</v>
      </c>
      <c r="C6684" s="51">
        <v>1.003</v>
      </c>
      <c r="D6684" s="51">
        <v>68.0</v>
      </c>
      <c r="E6684" s="52" t="s">
        <v>25</v>
      </c>
      <c r="F6684" s="52" t="s">
        <v>26</v>
      </c>
      <c r="G6684" s="54"/>
    </row>
    <row r="6685">
      <c r="A6685" s="49">
        <v>45091.47514038194</v>
      </c>
      <c r="B6685" s="50">
        <v>45091.6001151041</v>
      </c>
      <c r="C6685" s="51">
        <v>1.003</v>
      </c>
      <c r="D6685" s="51">
        <v>68.0</v>
      </c>
      <c r="E6685" s="52" t="s">
        <v>25</v>
      </c>
      <c r="F6685" s="52" t="s">
        <v>26</v>
      </c>
      <c r="G6685" s="54"/>
    </row>
    <row r="6686">
      <c r="A6686" s="49">
        <v>45091.4855583912</v>
      </c>
      <c r="B6686" s="50">
        <v>45091.6105345717</v>
      </c>
      <c r="C6686" s="51">
        <v>1.003</v>
      </c>
      <c r="D6686" s="51">
        <v>68.0</v>
      </c>
      <c r="E6686" s="52" t="s">
        <v>25</v>
      </c>
      <c r="F6686" s="52" t="s">
        <v>26</v>
      </c>
      <c r="G6686" s="54"/>
    </row>
    <row r="6687">
      <c r="A6687" s="49">
        <v>45091.49601295139</v>
      </c>
      <c r="B6687" s="50">
        <v>45091.6209782291</v>
      </c>
      <c r="C6687" s="51">
        <v>1.003</v>
      </c>
      <c r="D6687" s="51">
        <v>68.0</v>
      </c>
      <c r="E6687" s="52" t="s">
        <v>25</v>
      </c>
      <c r="F6687" s="52" t="s">
        <v>26</v>
      </c>
      <c r="G6687" s="54"/>
    </row>
    <row r="6688">
      <c r="A6688" s="49">
        <v>45091.50643712963</v>
      </c>
      <c r="B6688" s="50">
        <v>45091.6314008101</v>
      </c>
      <c r="C6688" s="51">
        <v>1.003</v>
      </c>
      <c r="D6688" s="51">
        <v>68.0</v>
      </c>
      <c r="E6688" s="52" t="s">
        <v>25</v>
      </c>
      <c r="F6688" s="52" t="s">
        <v>26</v>
      </c>
      <c r="G6688" s="54"/>
    </row>
    <row r="6689">
      <c r="A6689" s="49">
        <v>45091.516879999996</v>
      </c>
      <c r="B6689" s="50">
        <v>45091.6418233217</v>
      </c>
      <c r="C6689" s="51">
        <v>1.003</v>
      </c>
      <c r="D6689" s="51">
        <v>68.0</v>
      </c>
      <c r="E6689" s="52" t="s">
        <v>25</v>
      </c>
      <c r="F6689" s="52" t="s">
        <v>26</v>
      </c>
      <c r="G6689" s="54"/>
    </row>
    <row r="6690">
      <c r="A6690" s="49">
        <v>45091.527265324075</v>
      </c>
      <c r="B6690" s="50">
        <v>45091.6522441551</v>
      </c>
      <c r="C6690" s="51">
        <v>1.003</v>
      </c>
      <c r="D6690" s="51">
        <v>68.0</v>
      </c>
      <c r="E6690" s="52" t="s">
        <v>25</v>
      </c>
      <c r="F6690" s="52" t="s">
        <v>26</v>
      </c>
      <c r="G6690" s="54"/>
    </row>
    <row r="6691">
      <c r="A6691" s="49">
        <v>45091.53769952546</v>
      </c>
      <c r="B6691" s="50">
        <v>45091.6626647106</v>
      </c>
      <c r="C6691" s="51">
        <v>1.003</v>
      </c>
      <c r="D6691" s="51">
        <v>68.0</v>
      </c>
      <c r="E6691" s="52" t="s">
        <v>25</v>
      </c>
      <c r="F6691" s="52" t="s">
        <v>26</v>
      </c>
      <c r="G6691" s="54"/>
    </row>
    <row r="6692">
      <c r="A6692" s="49">
        <v>45091.54812400463</v>
      </c>
      <c r="B6692" s="50">
        <v>45091.6730876736</v>
      </c>
      <c r="C6692" s="51">
        <v>1.003</v>
      </c>
      <c r="D6692" s="51">
        <v>68.0</v>
      </c>
      <c r="E6692" s="52" t="s">
        <v>25</v>
      </c>
      <c r="F6692" s="52" t="s">
        <v>26</v>
      </c>
      <c r="G6692" s="54"/>
    </row>
    <row r="6693">
      <c r="A6693" s="49">
        <v>45091.5585366088</v>
      </c>
      <c r="B6693" s="50">
        <v>45091.683507199</v>
      </c>
      <c r="C6693" s="51">
        <v>1.003</v>
      </c>
      <c r="D6693" s="51">
        <v>68.0</v>
      </c>
      <c r="E6693" s="52" t="s">
        <v>25</v>
      </c>
      <c r="F6693" s="52" t="s">
        <v>26</v>
      </c>
      <c r="G6693" s="54"/>
    </row>
    <row r="6694">
      <c r="A6694" s="49">
        <v>45091.56895489583</v>
      </c>
      <c r="B6694" s="50">
        <v>45091.6939283333</v>
      </c>
      <c r="C6694" s="51">
        <v>1.003</v>
      </c>
      <c r="D6694" s="51">
        <v>68.0</v>
      </c>
      <c r="E6694" s="52" t="s">
        <v>25</v>
      </c>
      <c r="F6694" s="52" t="s">
        <v>26</v>
      </c>
      <c r="G6694" s="54"/>
    </row>
    <row r="6695">
      <c r="A6695" s="49">
        <v>45091.57937818287</v>
      </c>
      <c r="B6695" s="50">
        <v>45091.7043467592</v>
      </c>
      <c r="C6695" s="51">
        <v>1.003</v>
      </c>
      <c r="D6695" s="51">
        <v>68.0</v>
      </c>
      <c r="E6695" s="52" t="s">
        <v>25</v>
      </c>
      <c r="F6695" s="52" t="s">
        <v>26</v>
      </c>
      <c r="G6695" s="54"/>
    </row>
    <row r="6696">
      <c r="A6696" s="49">
        <v>45091.58980782407</v>
      </c>
      <c r="B6696" s="50">
        <v>45091.7147790509</v>
      </c>
      <c r="C6696" s="51">
        <v>1.003</v>
      </c>
      <c r="D6696" s="51">
        <v>68.0</v>
      </c>
      <c r="E6696" s="52" t="s">
        <v>25</v>
      </c>
      <c r="F6696" s="52" t="s">
        <v>26</v>
      </c>
      <c r="G6696" s="54"/>
    </row>
    <row r="6697">
      <c r="A6697" s="49">
        <v>45091.60029231482</v>
      </c>
      <c r="B6697" s="50">
        <v>45091.7252130671</v>
      </c>
      <c r="C6697" s="51">
        <v>1.003</v>
      </c>
      <c r="D6697" s="51">
        <v>68.0</v>
      </c>
      <c r="E6697" s="52" t="s">
        <v>25</v>
      </c>
      <c r="F6697" s="52" t="s">
        <v>26</v>
      </c>
      <c r="G6697" s="54"/>
    </row>
    <row r="6698">
      <c r="A6698" s="49">
        <v>45091.61066456018</v>
      </c>
      <c r="B6698" s="50">
        <v>45091.735634699</v>
      </c>
      <c r="C6698" s="51">
        <v>1.003</v>
      </c>
      <c r="D6698" s="51">
        <v>68.0</v>
      </c>
      <c r="E6698" s="52" t="s">
        <v>25</v>
      </c>
      <c r="F6698" s="52" t="s">
        <v>26</v>
      </c>
      <c r="G6698" s="54"/>
    </row>
    <row r="6699">
      <c r="A6699" s="49">
        <v>45091.62107680556</v>
      </c>
      <c r="B6699" s="50">
        <v>45091.7460546064</v>
      </c>
      <c r="C6699" s="51">
        <v>1.003</v>
      </c>
      <c r="D6699" s="51">
        <v>68.0</v>
      </c>
      <c r="E6699" s="52" t="s">
        <v>25</v>
      </c>
      <c r="F6699" s="52" t="s">
        <v>26</v>
      </c>
      <c r="G6699" s="54"/>
    </row>
    <row r="6700">
      <c r="A6700" s="49">
        <v>45091.631504097226</v>
      </c>
      <c r="B6700" s="50">
        <v>45091.7564745833</v>
      </c>
      <c r="C6700" s="51">
        <v>1.003</v>
      </c>
      <c r="D6700" s="51">
        <v>68.0</v>
      </c>
      <c r="E6700" s="52" t="s">
        <v>25</v>
      </c>
      <c r="F6700" s="52" t="s">
        <v>26</v>
      </c>
      <c r="G6700" s="54"/>
    </row>
    <row r="6701">
      <c r="A6701" s="49">
        <v>45091.64192627315</v>
      </c>
      <c r="B6701" s="50">
        <v>45091.7668966666</v>
      </c>
      <c r="C6701" s="51">
        <v>1.003</v>
      </c>
      <c r="D6701" s="51">
        <v>68.0</v>
      </c>
      <c r="E6701" s="52" t="s">
        <v>25</v>
      </c>
      <c r="F6701" s="52" t="s">
        <v>26</v>
      </c>
      <c r="G6701" s="54"/>
    </row>
    <row r="6702">
      <c r="A6702" s="49">
        <v>45091.65303792824</v>
      </c>
      <c r="B6702" s="50">
        <v>45091.7773180787</v>
      </c>
      <c r="C6702" s="51">
        <v>1.003</v>
      </c>
      <c r="D6702" s="51">
        <v>68.0</v>
      </c>
      <c r="E6702" s="52" t="s">
        <v>25</v>
      </c>
      <c r="F6702" s="52" t="s">
        <v>26</v>
      </c>
      <c r="G6702" s="54"/>
    </row>
    <row r="6703">
      <c r="A6703" s="49">
        <v>45091.66278103009</v>
      </c>
      <c r="B6703" s="50">
        <v>45091.7877525578</v>
      </c>
      <c r="C6703" s="51">
        <v>1.003</v>
      </c>
      <c r="D6703" s="51">
        <v>68.0</v>
      </c>
      <c r="E6703" s="52" t="s">
        <v>25</v>
      </c>
      <c r="F6703" s="52" t="s">
        <v>26</v>
      </c>
      <c r="G6703" s="54"/>
    </row>
    <row r="6704">
      <c r="A6704" s="49">
        <v>45091.67319997685</v>
      </c>
      <c r="B6704" s="50">
        <v>45091.7981744907</v>
      </c>
      <c r="C6704" s="51">
        <v>1.003</v>
      </c>
      <c r="D6704" s="51">
        <v>68.0</v>
      </c>
      <c r="E6704" s="52" t="s">
        <v>25</v>
      </c>
      <c r="F6704" s="52" t="s">
        <v>26</v>
      </c>
      <c r="G6704" s="54"/>
    </row>
    <row r="6705">
      <c r="A6705" s="49">
        <v>45091.683636435184</v>
      </c>
      <c r="B6705" s="50">
        <v>45091.8086083564</v>
      </c>
      <c r="C6705" s="51">
        <v>1.003</v>
      </c>
      <c r="D6705" s="51">
        <v>68.0</v>
      </c>
      <c r="E6705" s="52" t="s">
        <v>25</v>
      </c>
      <c r="F6705" s="52" t="s">
        <v>26</v>
      </c>
      <c r="G6705" s="54"/>
    </row>
    <row r="6706">
      <c r="A6706" s="49">
        <v>45091.6940518287</v>
      </c>
      <c r="B6706" s="50">
        <v>45091.8190288657</v>
      </c>
      <c r="C6706" s="51">
        <v>1.003</v>
      </c>
      <c r="D6706" s="51">
        <v>68.0</v>
      </c>
      <c r="E6706" s="52" t="s">
        <v>25</v>
      </c>
      <c r="F6706" s="52" t="s">
        <v>26</v>
      </c>
      <c r="G6706" s="54"/>
    </row>
    <row r="6707">
      <c r="A6707" s="49">
        <v>45091.70448060185</v>
      </c>
      <c r="B6707" s="50">
        <v>45091.8294507407</v>
      </c>
      <c r="C6707" s="51">
        <v>1.003</v>
      </c>
      <c r="D6707" s="51">
        <v>68.0</v>
      </c>
      <c r="E6707" s="52" t="s">
        <v>25</v>
      </c>
      <c r="F6707" s="52" t="s">
        <v>26</v>
      </c>
      <c r="G6707" s="54"/>
    </row>
    <row r="6708">
      <c r="A6708" s="49">
        <v>45091.71489890046</v>
      </c>
      <c r="B6708" s="50">
        <v>45091.8398728703</v>
      </c>
      <c r="C6708" s="51">
        <v>1.003</v>
      </c>
      <c r="D6708" s="51">
        <v>68.0</v>
      </c>
      <c r="E6708" s="52" t="s">
        <v>25</v>
      </c>
      <c r="F6708" s="52" t="s">
        <v>26</v>
      </c>
      <c r="G6708" s="54"/>
    </row>
    <row r="6709">
      <c r="A6709" s="49">
        <v>45091.72532378472</v>
      </c>
      <c r="B6709" s="50">
        <v>45091.850294074</v>
      </c>
      <c r="C6709" s="51">
        <v>1.003</v>
      </c>
      <c r="D6709" s="51">
        <v>68.0</v>
      </c>
      <c r="E6709" s="52" t="s">
        <v>25</v>
      </c>
      <c r="F6709" s="52" t="s">
        <v>26</v>
      </c>
      <c r="G6709" s="54"/>
    </row>
    <row r="6710">
      <c r="A6710" s="49">
        <v>45091.735746412036</v>
      </c>
      <c r="B6710" s="50">
        <v>45091.8607154398</v>
      </c>
      <c r="C6710" s="51">
        <v>1.003</v>
      </c>
      <c r="D6710" s="51">
        <v>68.0</v>
      </c>
      <c r="E6710" s="52" t="s">
        <v>25</v>
      </c>
      <c r="F6710" s="52" t="s">
        <v>26</v>
      </c>
      <c r="G6710" s="54"/>
    </row>
    <row r="6711">
      <c r="A6711" s="49">
        <v>45091.74617269676</v>
      </c>
      <c r="B6711" s="50">
        <v>45091.8711370486</v>
      </c>
      <c r="C6711" s="51">
        <v>1.003</v>
      </c>
      <c r="D6711" s="51">
        <v>68.0</v>
      </c>
      <c r="E6711" s="52" t="s">
        <v>25</v>
      </c>
      <c r="F6711" s="52" t="s">
        <v>26</v>
      </c>
      <c r="G6711" s="54"/>
    </row>
    <row r="6712">
      <c r="A6712" s="49">
        <v>45091.756580138885</v>
      </c>
      <c r="B6712" s="50">
        <v>45091.8815580787</v>
      </c>
      <c r="C6712" s="51">
        <v>1.003</v>
      </c>
      <c r="D6712" s="51">
        <v>68.0</v>
      </c>
      <c r="E6712" s="52" t="s">
        <v>25</v>
      </c>
      <c r="F6712" s="52" t="s">
        <v>26</v>
      </c>
      <c r="G6712" s="54"/>
    </row>
    <row r="6713">
      <c r="A6713" s="49">
        <v>45091.767003472225</v>
      </c>
      <c r="B6713" s="50">
        <v>45091.8919783564</v>
      </c>
      <c r="C6713" s="51">
        <v>1.003</v>
      </c>
      <c r="D6713" s="51">
        <v>68.0</v>
      </c>
      <c r="E6713" s="52" t="s">
        <v>25</v>
      </c>
      <c r="F6713" s="52" t="s">
        <v>26</v>
      </c>
      <c r="G6713" s="54"/>
    </row>
    <row r="6714">
      <c r="A6714" s="49">
        <v>45091.777418530095</v>
      </c>
      <c r="B6714" s="50">
        <v>45091.9023996759</v>
      </c>
      <c r="C6714" s="51">
        <v>1.003</v>
      </c>
      <c r="D6714" s="51">
        <v>68.0</v>
      </c>
      <c r="E6714" s="52" t="s">
        <v>25</v>
      </c>
      <c r="F6714" s="52" t="s">
        <v>26</v>
      </c>
      <c r="G6714" s="54"/>
    </row>
    <row r="6715">
      <c r="A6715" s="49">
        <v>45091.787853368056</v>
      </c>
      <c r="B6715" s="50">
        <v>45091.9128210995</v>
      </c>
      <c r="C6715" s="51">
        <v>1.003</v>
      </c>
      <c r="D6715" s="51">
        <v>68.0</v>
      </c>
      <c r="E6715" s="52" t="s">
        <v>25</v>
      </c>
      <c r="F6715" s="52" t="s">
        <v>26</v>
      </c>
      <c r="G6715" s="54"/>
    </row>
    <row r="6716">
      <c r="A6716" s="49">
        <v>45091.79829070602</v>
      </c>
      <c r="B6716" s="50">
        <v>45091.923254699</v>
      </c>
      <c r="C6716" s="51">
        <v>1.003</v>
      </c>
      <c r="D6716" s="51">
        <v>68.0</v>
      </c>
      <c r="E6716" s="52" t="s">
        <v>25</v>
      </c>
      <c r="F6716" s="52" t="s">
        <v>26</v>
      </c>
      <c r="G6716" s="54"/>
    </row>
    <row r="6717">
      <c r="A6717" s="49">
        <v>45091.80871525463</v>
      </c>
      <c r="B6717" s="50">
        <v>45091.9336763888</v>
      </c>
      <c r="C6717" s="51">
        <v>1.003</v>
      </c>
      <c r="D6717" s="51">
        <v>68.0</v>
      </c>
      <c r="E6717" s="52" t="s">
        <v>25</v>
      </c>
      <c r="F6717" s="52" t="s">
        <v>26</v>
      </c>
      <c r="G6717" s="54"/>
    </row>
    <row r="6718">
      <c r="A6718" s="49">
        <v>45091.81912295139</v>
      </c>
      <c r="B6718" s="50">
        <v>45091.9440987962</v>
      </c>
      <c r="C6718" s="51">
        <v>1.003</v>
      </c>
      <c r="D6718" s="51">
        <v>68.0</v>
      </c>
      <c r="E6718" s="52" t="s">
        <v>25</v>
      </c>
      <c r="F6718" s="52" t="s">
        <v>26</v>
      </c>
      <c r="G6718" s="54"/>
    </row>
    <row r="6719">
      <c r="A6719" s="49">
        <v>45091.8295449537</v>
      </c>
      <c r="B6719" s="50">
        <v>45091.9545199189</v>
      </c>
      <c r="C6719" s="51">
        <v>1.003</v>
      </c>
      <c r="D6719" s="51">
        <v>68.0</v>
      </c>
      <c r="E6719" s="52" t="s">
        <v>25</v>
      </c>
      <c r="F6719" s="52" t="s">
        <v>26</v>
      </c>
      <c r="G6719" s="54"/>
    </row>
    <row r="6720">
      <c r="A6720" s="49">
        <v>45091.83999237268</v>
      </c>
      <c r="B6720" s="50">
        <v>45091.9649534722</v>
      </c>
      <c r="C6720" s="51">
        <v>1.003</v>
      </c>
      <c r="D6720" s="51">
        <v>68.0</v>
      </c>
      <c r="E6720" s="52" t="s">
        <v>25</v>
      </c>
      <c r="F6720" s="52" t="s">
        <v>26</v>
      </c>
      <c r="G6720" s="54"/>
    </row>
    <row r="6721">
      <c r="A6721" s="49">
        <v>45091.8504021875</v>
      </c>
      <c r="B6721" s="50">
        <v>45091.9753746296</v>
      </c>
      <c r="C6721" s="51">
        <v>1.003</v>
      </c>
      <c r="D6721" s="51">
        <v>68.0</v>
      </c>
      <c r="E6721" s="52" t="s">
        <v>25</v>
      </c>
      <c r="F6721" s="52" t="s">
        <v>26</v>
      </c>
      <c r="G6721" s="54"/>
    </row>
    <row r="6722">
      <c r="A6722" s="49">
        <v>45091.86082032407</v>
      </c>
      <c r="B6722" s="50">
        <v>45091.9857948958</v>
      </c>
      <c r="C6722" s="51">
        <v>1.003</v>
      </c>
      <c r="D6722" s="51">
        <v>68.0</v>
      </c>
      <c r="E6722" s="52" t="s">
        <v>25</v>
      </c>
      <c r="F6722" s="52" t="s">
        <v>26</v>
      </c>
      <c r="G6722" s="54"/>
    </row>
    <row r="6723">
      <c r="A6723" s="49">
        <v>45091.87125040509</v>
      </c>
      <c r="B6723" s="50">
        <v>45091.996228912</v>
      </c>
      <c r="C6723" s="51">
        <v>1.003</v>
      </c>
      <c r="D6723" s="51">
        <v>68.0</v>
      </c>
      <c r="E6723" s="52" t="s">
        <v>25</v>
      </c>
      <c r="F6723" s="52" t="s">
        <v>26</v>
      </c>
      <c r="G6723" s="54"/>
    </row>
    <row r="6724">
      <c r="A6724" s="49">
        <v>45091.881672187505</v>
      </c>
      <c r="B6724" s="50">
        <v>45092.0066500462</v>
      </c>
      <c r="C6724" s="51">
        <v>1.003</v>
      </c>
      <c r="D6724" s="51">
        <v>68.0</v>
      </c>
      <c r="E6724" s="52" t="s">
        <v>25</v>
      </c>
      <c r="F6724" s="52" t="s">
        <v>26</v>
      </c>
      <c r="G6724" s="54"/>
    </row>
    <row r="6725">
      <c r="A6725" s="49">
        <v>45091.892111458335</v>
      </c>
      <c r="B6725" s="50">
        <v>45092.0170813657</v>
      </c>
      <c r="C6725" s="51">
        <v>1.003</v>
      </c>
      <c r="D6725" s="51">
        <v>68.0</v>
      </c>
      <c r="E6725" s="52" t="s">
        <v>25</v>
      </c>
      <c r="F6725" s="52" t="s">
        <v>26</v>
      </c>
      <c r="G6725" s="54"/>
    </row>
    <row r="6726">
      <c r="A6726" s="49">
        <v>45091.902528391205</v>
      </c>
      <c r="B6726" s="50">
        <v>45092.0275013194</v>
      </c>
      <c r="C6726" s="51">
        <v>1.003</v>
      </c>
      <c r="D6726" s="51">
        <v>68.0</v>
      </c>
      <c r="E6726" s="52" t="s">
        <v>25</v>
      </c>
      <c r="F6726" s="52" t="s">
        <v>26</v>
      </c>
      <c r="G6726" s="54"/>
    </row>
    <row r="6727">
      <c r="A6727" s="49">
        <v>45091.91296173611</v>
      </c>
      <c r="B6727" s="50">
        <v>45092.037933449</v>
      </c>
      <c r="C6727" s="51">
        <v>1.003</v>
      </c>
      <c r="D6727" s="51">
        <v>68.0</v>
      </c>
      <c r="E6727" s="52" t="s">
        <v>25</v>
      </c>
      <c r="F6727" s="52" t="s">
        <v>26</v>
      </c>
      <c r="G6727" s="54"/>
    </row>
    <row r="6728">
      <c r="A6728" s="49">
        <v>45091.9233994213</v>
      </c>
      <c r="B6728" s="50">
        <v>45092.0483643171</v>
      </c>
      <c r="C6728" s="51">
        <v>1.003</v>
      </c>
      <c r="D6728" s="51">
        <v>68.0</v>
      </c>
      <c r="E6728" s="52" t="s">
        <v>25</v>
      </c>
      <c r="F6728" s="52" t="s">
        <v>26</v>
      </c>
      <c r="G6728" s="54"/>
    </row>
    <row r="6729">
      <c r="A6729" s="49">
        <v>45091.933809166665</v>
      </c>
      <c r="B6729" s="50">
        <v>45092.0587847569</v>
      </c>
      <c r="C6729" s="51">
        <v>1.003</v>
      </c>
      <c r="D6729" s="51">
        <v>68.0</v>
      </c>
      <c r="E6729" s="52" t="s">
        <v>25</v>
      </c>
      <c r="F6729" s="52" t="s">
        <v>26</v>
      </c>
      <c r="G6729" s="54"/>
    </row>
    <row r="6730">
      <c r="A6730" s="49">
        <v>45091.94425883102</v>
      </c>
      <c r="B6730" s="50">
        <v>45092.0692411458</v>
      </c>
      <c r="C6730" s="51">
        <v>1.003</v>
      </c>
      <c r="D6730" s="51">
        <v>68.0</v>
      </c>
      <c r="E6730" s="52" t="s">
        <v>25</v>
      </c>
      <c r="F6730" s="52" t="s">
        <v>26</v>
      </c>
      <c r="G6730" s="54"/>
    </row>
    <row r="6731">
      <c r="A6731" s="49">
        <v>45091.95473032407</v>
      </c>
      <c r="B6731" s="50">
        <v>45092.0796626736</v>
      </c>
      <c r="C6731" s="51">
        <v>1.003</v>
      </c>
      <c r="D6731" s="51">
        <v>68.0</v>
      </c>
      <c r="E6731" s="52" t="s">
        <v>25</v>
      </c>
      <c r="F6731" s="52" t="s">
        <v>26</v>
      </c>
      <c r="G6731" s="54"/>
    </row>
    <row r="6732">
      <c r="A6732" s="49">
        <v>45091.96511347222</v>
      </c>
      <c r="B6732" s="50">
        <v>45092.0900846064</v>
      </c>
      <c r="C6732" s="51">
        <v>1.003</v>
      </c>
      <c r="D6732" s="51">
        <v>68.0</v>
      </c>
      <c r="E6732" s="52" t="s">
        <v>25</v>
      </c>
      <c r="F6732" s="52" t="s">
        <v>26</v>
      </c>
      <c r="G6732" s="54"/>
    </row>
    <row r="6733">
      <c r="A6733" s="49">
        <v>45091.975534212965</v>
      </c>
      <c r="B6733" s="50">
        <v>45092.1005049768</v>
      </c>
      <c r="C6733" s="51">
        <v>1.003</v>
      </c>
      <c r="D6733" s="51">
        <v>68.0</v>
      </c>
      <c r="E6733" s="52" t="s">
        <v>25</v>
      </c>
      <c r="F6733" s="52" t="s">
        <v>26</v>
      </c>
      <c r="G6733" s="54"/>
    </row>
    <row r="6734">
      <c r="A6734" s="49">
        <v>45091.9859462037</v>
      </c>
      <c r="B6734" s="50">
        <v>45092.1109267129</v>
      </c>
      <c r="C6734" s="51">
        <v>1.003</v>
      </c>
      <c r="D6734" s="51">
        <v>68.0</v>
      </c>
      <c r="E6734" s="52" t="s">
        <v>25</v>
      </c>
      <c r="F6734" s="52" t="s">
        <v>26</v>
      </c>
      <c r="G6734" s="54"/>
    </row>
    <row r="6735">
      <c r="A6735" s="49">
        <v>45091.996396863426</v>
      </c>
      <c r="B6735" s="50">
        <v>45092.1213704282</v>
      </c>
      <c r="C6735" s="51">
        <v>1.003</v>
      </c>
      <c r="D6735" s="51">
        <v>68.0</v>
      </c>
      <c r="E6735" s="52" t="s">
        <v>25</v>
      </c>
      <c r="F6735" s="52" t="s">
        <v>26</v>
      </c>
      <c r="G6735" s="54"/>
    </row>
    <row r="6736">
      <c r="A6736" s="49">
        <v>45092.006817581016</v>
      </c>
      <c r="B6736" s="50">
        <v>45092.1317905324</v>
      </c>
      <c r="C6736" s="51">
        <v>1.003</v>
      </c>
      <c r="D6736" s="51">
        <v>68.0</v>
      </c>
      <c r="E6736" s="52" t="s">
        <v>25</v>
      </c>
      <c r="F6736" s="52" t="s">
        <v>26</v>
      </c>
      <c r="G6736" s="54"/>
    </row>
    <row r="6737">
      <c r="A6737" s="49">
        <v>45092.017239583336</v>
      </c>
      <c r="B6737" s="50">
        <v>45092.1422117129</v>
      </c>
      <c r="C6737" s="51">
        <v>1.003</v>
      </c>
      <c r="D6737" s="51">
        <v>68.0</v>
      </c>
      <c r="E6737" s="52" t="s">
        <v>25</v>
      </c>
      <c r="F6737" s="52" t="s">
        <v>26</v>
      </c>
      <c r="G6737" s="54"/>
    </row>
    <row r="6738">
      <c r="A6738" s="49">
        <v>45092.02766125</v>
      </c>
      <c r="B6738" s="50">
        <v>45092.1526317939</v>
      </c>
      <c r="C6738" s="51">
        <v>1.003</v>
      </c>
      <c r="D6738" s="51">
        <v>68.0</v>
      </c>
      <c r="E6738" s="52" t="s">
        <v>25</v>
      </c>
      <c r="F6738" s="52" t="s">
        <v>26</v>
      </c>
      <c r="G6738" s="54"/>
    </row>
    <row r="6739">
      <c r="A6739" s="49">
        <v>45092.038084050924</v>
      </c>
      <c r="B6739" s="50">
        <v>45092.163053912</v>
      </c>
      <c r="C6739" s="51">
        <v>1.003</v>
      </c>
      <c r="D6739" s="51">
        <v>68.0</v>
      </c>
      <c r="E6739" s="52" t="s">
        <v>25</v>
      </c>
      <c r="F6739" s="52" t="s">
        <v>26</v>
      </c>
      <c r="G6739" s="54"/>
    </row>
    <row r="6740">
      <c r="A6740" s="49">
        <v>45092.04849381944</v>
      </c>
      <c r="B6740" s="50">
        <v>45092.1734754398</v>
      </c>
      <c r="C6740" s="51">
        <v>1.003</v>
      </c>
      <c r="D6740" s="51">
        <v>68.0</v>
      </c>
      <c r="E6740" s="52" t="s">
        <v>25</v>
      </c>
      <c r="F6740" s="52" t="s">
        <v>26</v>
      </c>
      <c r="G6740" s="54"/>
    </row>
    <row r="6741">
      <c r="A6741" s="49">
        <v>45092.05892378472</v>
      </c>
      <c r="B6741" s="50">
        <v>45092.1838957986</v>
      </c>
      <c r="C6741" s="51">
        <v>1.003</v>
      </c>
      <c r="D6741" s="51">
        <v>68.0</v>
      </c>
      <c r="E6741" s="52" t="s">
        <v>25</v>
      </c>
      <c r="F6741" s="52" t="s">
        <v>26</v>
      </c>
      <c r="G6741" s="54"/>
    </row>
    <row r="6742">
      <c r="A6742" s="49">
        <v>45092.0693459375</v>
      </c>
      <c r="B6742" s="50">
        <v>45092.1943168402</v>
      </c>
      <c r="C6742" s="51">
        <v>1.003</v>
      </c>
      <c r="D6742" s="51">
        <v>68.0</v>
      </c>
      <c r="E6742" s="52" t="s">
        <v>25</v>
      </c>
      <c r="F6742" s="52" t="s">
        <v>26</v>
      </c>
      <c r="G6742" s="54"/>
    </row>
    <row r="6743">
      <c r="A6743" s="49">
        <v>45092.079767187504</v>
      </c>
      <c r="B6743" s="50">
        <v>45092.2047391319</v>
      </c>
      <c r="C6743" s="51">
        <v>1.003</v>
      </c>
      <c r="D6743" s="51">
        <v>68.0</v>
      </c>
      <c r="E6743" s="52" t="s">
        <v>25</v>
      </c>
      <c r="F6743" s="52" t="s">
        <v>26</v>
      </c>
      <c r="G6743" s="54"/>
    </row>
    <row r="6744">
      <c r="A6744" s="49">
        <v>45092.09019274305</v>
      </c>
      <c r="B6744" s="50">
        <v>45092.2151743865</v>
      </c>
      <c r="C6744" s="51">
        <v>1.003</v>
      </c>
      <c r="D6744" s="51">
        <v>68.0</v>
      </c>
      <c r="E6744" s="52" t="s">
        <v>25</v>
      </c>
      <c r="F6744" s="52" t="s">
        <v>26</v>
      </c>
      <c r="G6744" s="54"/>
    </row>
    <row r="6745">
      <c r="A6745" s="49">
        <v>45092.100618171295</v>
      </c>
      <c r="B6745" s="50">
        <v>45092.2255939583</v>
      </c>
      <c r="C6745" s="51">
        <v>1.003</v>
      </c>
      <c r="D6745" s="51">
        <v>68.0</v>
      </c>
      <c r="E6745" s="52" t="s">
        <v>25</v>
      </c>
      <c r="F6745" s="52" t="s">
        <v>26</v>
      </c>
      <c r="G6745" s="54"/>
    </row>
    <row r="6746">
      <c r="A6746" s="49">
        <v>45092.11105346065</v>
      </c>
      <c r="B6746" s="50">
        <v>45092.2360267939</v>
      </c>
      <c r="C6746" s="51">
        <v>1.002</v>
      </c>
      <c r="D6746" s="51">
        <v>68.0</v>
      </c>
      <c r="E6746" s="52" t="s">
        <v>25</v>
      </c>
      <c r="F6746" s="52" t="s">
        <v>26</v>
      </c>
      <c r="G6746" s="54"/>
    </row>
    <row r="6747">
      <c r="A6747" s="49">
        <v>45092.121514212966</v>
      </c>
      <c r="B6747" s="50">
        <v>45092.2464828703</v>
      </c>
      <c r="C6747" s="51">
        <v>1.003</v>
      </c>
      <c r="D6747" s="51">
        <v>68.0</v>
      </c>
      <c r="E6747" s="52" t="s">
        <v>25</v>
      </c>
      <c r="F6747" s="52" t="s">
        <v>26</v>
      </c>
      <c r="G6747" s="54"/>
    </row>
    <row r="6748">
      <c r="A6748" s="49">
        <v>45092.131983113424</v>
      </c>
      <c r="B6748" s="50">
        <v>45092.2569048842</v>
      </c>
      <c r="C6748" s="51">
        <v>1.003</v>
      </c>
      <c r="D6748" s="51">
        <v>68.0</v>
      </c>
      <c r="E6748" s="52" t="s">
        <v>25</v>
      </c>
      <c r="F6748" s="52" t="s">
        <v>26</v>
      </c>
      <c r="G6748" s="54"/>
    </row>
    <row r="6749">
      <c r="A6749" s="49">
        <v>45092.14237631945</v>
      </c>
      <c r="B6749" s="50">
        <v>45092.2673360763</v>
      </c>
      <c r="C6749" s="51">
        <v>1.003</v>
      </c>
      <c r="D6749" s="51">
        <v>68.0</v>
      </c>
      <c r="E6749" s="52" t="s">
        <v>25</v>
      </c>
      <c r="F6749" s="52" t="s">
        <v>26</v>
      </c>
      <c r="G6749" s="54"/>
    </row>
    <row r="6750">
      <c r="A6750" s="49">
        <v>45092.15280195602</v>
      </c>
      <c r="B6750" s="50">
        <v>45092.2777687615</v>
      </c>
      <c r="C6750" s="51">
        <v>1.003</v>
      </c>
      <c r="D6750" s="51">
        <v>68.0</v>
      </c>
      <c r="E6750" s="52" t="s">
        <v>25</v>
      </c>
      <c r="F6750" s="52" t="s">
        <v>26</v>
      </c>
      <c r="G6750" s="54"/>
    </row>
    <row r="6751">
      <c r="A6751" s="49">
        <v>45092.16322106481</v>
      </c>
      <c r="B6751" s="50">
        <v>45092.2882016319</v>
      </c>
      <c r="C6751" s="51">
        <v>1.003</v>
      </c>
      <c r="D6751" s="51">
        <v>68.0</v>
      </c>
      <c r="E6751" s="52" t="s">
        <v>25</v>
      </c>
      <c r="F6751" s="52" t="s">
        <v>26</v>
      </c>
      <c r="G6751" s="54"/>
    </row>
    <row r="6752">
      <c r="A6752" s="49">
        <v>45092.173656875</v>
      </c>
      <c r="B6752" s="50">
        <v>45092.298633449</v>
      </c>
      <c r="C6752" s="51">
        <v>1.003</v>
      </c>
      <c r="D6752" s="51">
        <v>68.0</v>
      </c>
      <c r="E6752" s="52" t="s">
        <v>25</v>
      </c>
      <c r="F6752" s="52" t="s">
        <v>26</v>
      </c>
      <c r="G6752" s="54"/>
    </row>
    <row r="6753">
      <c r="A6753" s="49">
        <v>45092.18407278935</v>
      </c>
      <c r="B6753" s="50">
        <v>45092.3090533449</v>
      </c>
      <c r="C6753" s="51">
        <v>1.003</v>
      </c>
      <c r="D6753" s="51">
        <v>68.0</v>
      </c>
      <c r="E6753" s="52" t="s">
        <v>25</v>
      </c>
      <c r="F6753" s="52" t="s">
        <v>26</v>
      </c>
      <c r="G6753" s="54"/>
    </row>
    <row r="6754">
      <c r="A6754" s="49">
        <v>45092.194507974535</v>
      </c>
      <c r="B6754" s="50">
        <v>45092.3194753587</v>
      </c>
      <c r="C6754" s="51">
        <v>1.003</v>
      </c>
      <c r="D6754" s="51">
        <v>68.0</v>
      </c>
      <c r="E6754" s="52" t="s">
        <v>25</v>
      </c>
      <c r="F6754" s="52" t="s">
        <v>26</v>
      </c>
      <c r="G6754" s="54"/>
    </row>
    <row r="6755">
      <c r="A6755" s="49">
        <v>45092.20492671296</v>
      </c>
      <c r="B6755" s="50">
        <v>45092.3298980787</v>
      </c>
      <c r="C6755" s="51">
        <v>1.003</v>
      </c>
      <c r="D6755" s="51">
        <v>68.0</v>
      </c>
      <c r="E6755" s="52" t="s">
        <v>25</v>
      </c>
      <c r="F6755" s="52" t="s">
        <v>26</v>
      </c>
      <c r="G6755" s="54"/>
    </row>
    <row r="6756">
      <c r="A6756" s="49">
        <v>45092.21534456019</v>
      </c>
      <c r="B6756" s="50">
        <v>45092.3403203588</v>
      </c>
      <c r="C6756" s="51">
        <v>1.003</v>
      </c>
      <c r="D6756" s="51">
        <v>68.0</v>
      </c>
      <c r="E6756" s="52" t="s">
        <v>25</v>
      </c>
      <c r="F6756" s="52" t="s">
        <v>26</v>
      </c>
      <c r="G6756" s="54"/>
    </row>
    <row r="6757">
      <c r="A6757" s="49">
        <v>45092.22577123843</v>
      </c>
      <c r="B6757" s="50">
        <v>45092.3507441087</v>
      </c>
      <c r="C6757" s="51">
        <v>1.003</v>
      </c>
      <c r="D6757" s="51">
        <v>68.0</v>
      </c>
      <c r="E6757" s="52" t="s">
        <v>25</v>
      </c>
      <c r="F6757" s="52" t="s">
        <v>26</v>
      </c>
      <c r="G6757" s="54"/>
    </row>
    <row r="6758">
      <c r="A6758" s="49">
        <v>45092.23623704861</v>
      </c>
      <c r="B6758" s="50">
        <v>45092.3612020023</v>
      </c>
      <c r="C6758" s="51">
        <v>1.003</v>
      </c>
      <c r="D6758" s="51">
        <v>68.0</v>
      </c>
      <c r="E6758" s="52" t="s">
        <v>25</v>
      </c>
      <c r="F6758" s="52" t="s">
        <v>26</v>
      </c>
      <c r="G6758" s="54"/>
    </row>
    <row r="6759">
      <c r="A6759" s="49">
        <v>45092.24665277777</v>
      </c>
      <c r="B6759" s="50">
        <v>45092.37162228</v>
      </c>
      <c r="C6759" s="51">
        <v>1.003</v>
      </c>
      <c r="D6759" s="51">
        <v>68.0</v>
      </c>
      <c r="E6759" s="52" t="s">
        <v>25</v>
      </c>
      <c r="F6759" s="52" t="s">
        <v>26</v>
      </c>
      <c r="G6759" s="54"/>
    </row>
    <row r="6760">
      <c r="A6760" s="49">
        <v>45092.25706636574</v>
      </c>
      <c r="B6760" s="50">
        <v>45092.3820419212</v>
      </c>
      <c r="C6760" s="51">
        <v>1.002</v>
      </c>
      <c r="D6760" s="51">
        <v>68.0</v>
      </c>
      <c r="E6760" s="52" t="s">
        <v>25</v>
      </c>
      <c r="F6760" s="52" t="s">
        <v>26</v>
      </c>
      <c r="G6760" s="54"/>
    </row>
    <row r="6761">
      <c r="A6761" s="49">
        <v>45092.26748180555</v>
      </c>
      <c r="B6761" s="50">
        <v>45092.3924623726</v>
      </c>
      <c r="C6761" s="51">
        <v>1.003</v>
      </c>
      <c r="D6761" s="51">
        <v>68.0</v>
      </c>
      <c r="E6761" s="52" t="s">
        <v>25</v>
      </c>
      <c r="F6761" s="52" t="s">
        <v>26</v>
      </c>
      <c r="G6761" s="54"/>
    </row>
    <row r="6762">
      <c r="A6762" s="49">
        <v>45092.277913171296</v>
      </c>
      <c r="B6762" s="50">
        <v>45092.4028842592</v>
      </c>
      <c r="C6762" s="51">
        <v>1.003</v>
      </c>
      <c r="D6762" s="51">
        <v>68.0</v>
      </c>
      <c r="E6762" s="52" t="s">
        <v>25</v>
      </c>
      <c r="F6762" s="52" t="s">
        <v>26</v>
      </c>
      <c r="G6762" s="54"/>
    </row>
    <row r="6763">
      <c r="A6763" s="49">
        <v>45092.288411331014</v>
      </c>
      <c r="B6763" s="50">
        <v>45092.4133054861</v>
      </c>
      <c r="C6763" s="51">
        <v>1.003</v>
      </c>
      <c r="D6763" s="51">
        <v>68.0</v>
      </c>
      <c r="E6763" s="52" t="s">
        <v>25</v>
      </c>
      <c r="F6763" s="52" t="s">
        <v>26</v>
      </c>
      <c r="G6763" s="54"/>
    </row>
    <row r="6764">
      <c r="A6764" s="49">
        <v>45092.29875003472</v>
      </c>
      <c r="B6764" s="50">
        <v>45092.4237274305</v>
      </c>
      <c r="C6764" s="51">
        <v>1.003</v>
      </c>
      <c r="D6764" s="51">
        <v>68.0</v>
      </c>
      <c r="E6764" s="52" t="s">
        <v>25</v>
      </c>
      <c r="F6764" s="52" t="s">
        <v>26</v>
      </c>
      <c r="G6764" s="54"/>
    </row>
    <row r="6765">
      <c r="A6765" s="49">
        <v>45092.30919001157</v>
      </c>
      <c r="B6765" s="50">
        <v>45092.4341592708</v>
      </c>
      <c r="C6765" s="51">
        <v>1.003</v>
      </c>
      <c r="D6765" s="51">
        <v>68.0</v>
      </c>
      <c r="E6765" s="52" t="s">
        <v>25</v>
      </c>
      <c r="F6765" s="52" t="s">
        <v>26</v>
      </c>
      <c r="G6765" s="54"/>
    </row>
    <row r="6766">
      <c r="A6766" s="49">
        <v>45092.31960894676</v>
      </c>
      <c r="B6766" s="50">
        <v>45092.4445801157</v>
      </c>
      <c r="C6766" s="51">
        <v>1.003</v>
      </c>
      <c r="D6766" s="51">
        <v>68.0</v>
      </c>
      <c r="E6766" s="52" t="s">
        <v>25</v>
      </c>
      <c r="F6766" s="52" t="s">
        <v>26</v>
      </c>
      <c r="G6766" s="54"/>
    </row>
    <row r="6767">
      <c r="A6767" s="49">
        <v>45092.33003939815</v>
      </c>
      <c r="B6767" s="50">
        <v>45092.4550027893</v>
      </c>
      <c r="C6767" s="51">
        <v>1.003</v>
      </c>
      <c r="D6767" s="51">
        <v>67.0</v>
      </c>
      <c r="E6767" s="52" t="s">
        <v>25</v>
      </c>
      <c r="F6767" s="52" t="s">
        <v>26</v>
      </c>
      <c r="G6767" s="54"/>
    </row>
    <row r="6768">
      <c r="A6768" s="49">
        <v>45092.34046150463</v>
      </c>
      <c r="B6768" s="50">
        <v>45092.4654340856</v>
      </c>
      <c r="C6768" s="51">
        <v>1.003</v>
      </c>
      <c r="D6768" s="51">
        <v>68.0</v>
      </c>
      <c r="E6768" s="52" t="s">
        <v>25</v>
      </c>
      <c r="F6768" s="52" t="s">
        <v>26</v>
      </c>
      <c r="G6768" s="54"/>
    </row>
    <row r="6769">
      <c r="A6769" s="49">
        <v>45092.35088716436</v>
      </c>
      <c r="B6769" s="50">
        <v>45092.4758667361</v>
      </c>
      <c r="C6769" s="51">
        <v>1.003</v>
      </c>
      <c r="D6769" s="51">
        <v>67.0</v>
      </c>
      <c r="E6769" s="52" t="s">
        <v>25</v>
      </c>
      <c r="F6769" s="52" t="s">
        <v>26</v>
      </c>
      <c r="G6769" s="54"/>
    </row>
    <row r="6770">
      <c r="A6770" s="49">
        <v>45092.36131768519</v>
      </c>
      <c r="B6770" s="50">
        <v>45092.4862884606</v>
      </c>
      <c r="C6770" s="51">
        <v>1.003</v>
      </c>
      <c r="D6770" s="51">
        <v>68.0</v>
      </c>
      <c r="E6770" s="52" t="s">
        <v>25</v>
      </c>
      <c r="F6770" s="52" t="s">
        <v>26</v>
      </c>
      <c r="G6770" s="54"/>
    </row>
    <row r="6771">
      <c r="A6771" s="49">
        <v>45092.37173337963</v>
      </c>
      <c r="B6771" s="50">
        <v>45092.4967102199</v>
      </c>
      <c r="C6771" s="51">
        <v>1.002</v>
      </c>
      <c r="D6771" s="51">
        <v>68.0</v>
      </c>
      <c r="E6771" s="52" t="s">
        <v>25</v>
      </c>
      <c r="F6771" s="52" t="s">
        <v>26</v>
      </c>
      <c r="G6771" s="54"/>
    </row>
    <row r="6772">
      <c r="A6772" s="49">
        <v>45092.38217869213</v>
      </c>
      <c r="B6772" s="50">
        <v>45092.5071446064</v>
      </c>
      <c r="C6772" s="51">
        <v>1.003</v>
      </c>
      <c r="D6772" s="51">
        <v>68.0</v>
      </c>
      <c r="E6772" s="52" t="s">
        <v>25</v>
      </c>
      <c r="F6772" s="52" t="s">
        <v>26</v>
      </c>
      <c r="G6772" s="54"/>
    </row>
    <row r="6773">
      <c r="A6773" s="49">
        <v>45092.39259908565</v>
      </c>
      <c r="B6773" s="50">
        <v>45092.5175658796</v>
      </c>
      <c r="C6773" s="51">
        <v>1.003</v>
      </c>
      <c r="D6773" s="51">
        <v>67.0</v>
      </c>
      <c r="E6773" s="52" t="s">
        <v>25</v>
      </c>
      <c r="F6773" s="52" t="s">
        <v>26</v>
      </c>
      <c r="G6773" s="54"/>
    </row>
    <row r="6774">
      <c r="A6774" s="49">
        <v>45092.403021631944</v>
      </c>
      <c r="B6774" s="50">
        <v>45092.5279873611</v>
      </c>
      <c r="C6774" s="51">
        <v>1.003</v>
      </c>
      <c r="D6774" s="51">
        <v>68.0</v>
      </c>
      <c r="E6774" s="52" t="s">
        <v>25</v>
      </c>
      <c r="F6774" s="52" t="s">
        <v>26</v>
      </c>
      <c r="G6774" s="54"/>
    </row>
    <row r="6775">
      <c r="A6775" s="49">
        <v>45092.41343048611</v>
      </c>
      <c r="B6775" s="50">
        <v>45092.5384091319</v>
      </c>
      <c r="C6775" s="51">
        <v>1.003</v>
      </c>
      <c r="D6775" s="51">
        <v>67.0</v>
      </c>
      <c r="E6775" s="52" t="s">
        <v>25</v>
      </c>
      <c r="F6775" s="52" t="s">
        <v>26</v>
      </c>
      <c r="G6775" s="54"/>
    </row>
    <row r="6776">
      <c r="A6776" s="49">
        <v>45092.423860509254</v>
      </c>
      <c r="B6776" s="50">
        <v>45092.5488315856</v>
      </c>
      <c r="C6776" s="51">
        <v>1.003</v>
      </c>
      <c r="D6776" s="51">
        <v>68.0</v>
      </c>
      <c r="E6776" s="52" t="s">
        <v>25</v>
      </c>
      <c r="F6776" s="52" t="s">
        <v>26</v>
      </c>
      <c r="G6776" s="54"/>
    </row>
    <row r="6777">
      <c r="A6777" s="49">
        <v>45092.434276817134</v>
      </c>
      <c r="B6777" s="50">
        <v>45092.5592528935</v>
      </c>
      <c r="C6777" s="51">
        <v>1.003</v>
      </c>
      <c r="D6777" s="51">
        <v>67.0</v>
      </c>
      <c r="E6777" s="52" t="s">
        <v>25</v>
      </c>
      <c r="F6777" s="52" t="s">
        <v>26</v>
      </c>
      <c r="G6777" s="54"/>
    </row>
    <row r="6778">
      <c r="A6778" s="49">
        <v>45092.444704733796</v>
      </c>
      <c r="B6778" s="50">
        <v>45092.5696854166</v>
      </c>
      <c r="C6778" s="51">
        <v>1.003</v>
      </c>
      <c r="D6778" s="51">
        <v>67.0</v>
      </c>
      <c r="E6778" s="52" t="s">
        <v>25</v>
      </c>
      <c r="F6778" s="52" t="s">
        <v>26</v>
      </c>
      <c r="G6778" s="54"/>
    </row>
    <row r="6779">
      <c r="A6779" s="49">
        <v>45092.4551328588</v>
      </c>
      <c r="B6779" s="50">
        <v>45092.5801060069</v>
      </c>
      <c r="C6779" s="51">
        <v>1.003</v>
      </c>
      <c r="D6779" s="51">
        <v>67.0</v>
      </c>
      <c r="E6779" s="52" t="s">
        <v>25</v>
      </c>
      <c r="F6779" s="52" t="s">
        <v>26</v>
      </c>
      <c r="G6779" s="54"/>
    </row>
    <row r="6780">
      <c r="A6780" s="49">
        <v>45092.46555671297</v>
      </c>
      <c r="B6780" s="50">
        <v>45092.5905277662</v>
      </c>
      <c r="C6780" s="51">
        <v>1.003</v>
      </c>
      <c r="D6780" s="51">
        <v>67.0</v>
      </c>
      <c r="E6780" s="52" t="s">
        <v>25</v>
      </c>
      <c r="F6780" s="52" t="s">
        <v>26</v>
      </c>
      <c r="G6780" s="54"/>
    </row>
    <row r="6781">
      <c r="A6781" s="49">
        <v>45092.476011446764</v>
      </c>
      <c r="B6781" s="50">
        <v>45092.6009726851</v>
      </c>
      <c r="C6781" s="51">
        <v>1.003</v>
      </c>
      <c r="D6781" s="51">
        <v>68.0</v>
      </c>
      <c r="E6781" s="52" t="s">
        <v>25</v>
      </c>
      <c r="F6781" s="52" t="s">
        <v>26</v>
      </c>
      <c r="G6781" s="54"/>
    </row>
    <row r="6782">
      <c r="A6782" s="49">
        <v>45092.486414548606</v>
      </c>
      <c r="B6782" s="50">
        <v>45092.6113941203</v>
      </c>
      <c r="C6782" s="51">
        <v>1.003</v>
      </c>
      <c r="D6782" s="51">
        <v>68.0</v>
      </c>
      <c r="E6782" s="52" t="s">
        <v>25</v>
      </c>
      <c r="F6782" s="52" t="s">
        <v>26</v>
      </c>
      <c r="G6782" s="54"/>
    </row>
    <row r="6783">
      <c r="A6783" s="49">
        <v>45092.49684039352</v>
      </c>
      <c r="B6783" s="50">
        <v>45092.6218148148</v>
      </c>
      <c r="C6783" s="51">
        <v>1.003</v>
      </c>
      <c r="D6783" s="51">
        <v>67.0</v>
      </c>
      <c r="E6783" s="52" t="s">
        <v>25</v>
      </c>
      <c r="F6783" s="52" t="s">
        <v>26</v>
      </c>
      <c r="G6783" s="54"/>
    </row>
    <row r="6784">
      <c r="A6784" s="49">
        <v>45092.507279212965</v>
      </c>
      <c r="B6784" s="50">
        <v>45092.6322476041</v>
      </c>
      <c r="C6784" s="51">
        <v>1.003</v>
      </c>
      <c r="D6784" s="51">
        <v>67.0</v>
      </c>
      <c r="E6784" s="52" t="s">
        <v>25</v>
      </c>
      <c r="F6784" s="52" t="s">
        <v>26</v>
      </c>
      <c r="G6784" s="54"/>
    </row>
    <row r="6785">
      <c r="A6785" s="49">
        <v>45092.517708576386</v>
      </c>
      <c r="B6785" s="50">
        <v>45092.6426803703</v>
      </c>
      <c r="C6785" s="51">
        <v>1.003</v>
      </c>
      <c r="D6785" s="51">
        <v>67.0</v>
      </c>
      <c r="E6785" s="52" t="s">
        <v>25</v>
      </c>
      <c r="F6785" s="52" t="s">
        <v>26</v>
      </c>
      <c r="G6785" s="54"/>
    </row>
    <row r="6786">
      <c r="A6786" s="49">
        <v>45092.52811864583</v>
      </c>
      <c r="B6786" s="50">
        <v>45092.6530994328</v>
      </c>
      <c r="C6786" s="51">
        <v>1.003</v>
      </c>
      <c r="D6786" s="51">
        <v>67.0</v>
      </c>
      <c r="E6786" s="52" t="s">
        <v>25</v>
      </c>
      <c r="F6786" s="52" t="s">
        <v>26</v>
      </c>
      <c r="G6786" s="54"/>
    </row>
    <row r="6787">
      <c r="A6787" s="49">
        <v>45092.538553356484</v>
      </c>
      <c r="B6787" s="50">
        <v>45092.6635210069</v>
      </c>
      <c r="C6787" s="51">
        <v>1.003</v>
      </c>
      <c r="D6787" s="51">
        <v>67.0</v>
      </c>
      <c r="E6787" s="52" t="s">
        <v>25</v>
      </c>
      <c r="F6787" s="52" t="s">
        <v>26</v>
      </c>
      <c r="G6787" s="54"/>
    </row>
    <row r="6788">
      <c r="A6788" s="49">
        <v>45092.54897721065</v>
      </c>
      <c r="B6788" s="50">
        <v>45092.6739419444</v>
      </c>
      <c r="C6788" s="51">
        <v>1.003</v>
      </c>
      <c r="D6788" s="51">
        <v>67.0</v>
      </c>
      <c r="E6788" s="52" t="s">
        <v>25</v>
      </c>
      <c r="F6788" s="52" t="s">
        <v>26</v>
      </c>
      <c r="G6788" s="54"/>
    </row>
    <row r="6789">
      <c r="A6789" s="49">
        <v>45092.559385347224</v>
      </c>
      <c r="B6789" s="50">
        <v>45092.6843635648</v>
      </c>
      <c r="C6789" s="51">
        <v>1.003</v>
      </c>
      <c r="D6789" s="51">
        <v>67.0</v>
      </c>
      <c r="E6789" s="52" t="s">
        <v>25</v>
      </c>
      <c r="F6789" s="52" t="s">
        <v>26</v>
      </c>
      <c r="G6789" s="54"/>
    </row>
    <row r="6790">
      <c r="A6790" s="49">
        <v>45092.569816874995</v>
      </c>
      <c r="B6790" s="50">
        <v>45092.6947835069</v>
      </c>
      <c r="C6790" s="51">
        <v>1.003</v>
      </c>
      <c r="D6790" s="51">
        <v>67.0</v>
      </c>
      <c r="E6790" s="52" t="s">
        <v>25</v>
      </c>
      <c r="F6790" s="52" t="s">
        <v>26</v>
      </c>
      <c r="G6790" s="54"/>
    </row>
    <row r="6791">
      <c r="A6791" s="49">
        <v>45092.580232569446</v>
      </c>
      <c r="B6791" s="50">
        <v>45092.7052044328</v>
      </c>
      <c r="C6791" s="51">
        <v>1.003</v>
      </c>
      <c r="D6791" s="51">
        <v>67.0</v>
      </c>
      <c r="E6791" s="52" t="s">
        <v>25</v>
      </c>
      <c r="F6791" s="52" t="s">
        <v>26</v>
      </c>
      <c r="G6791" s="54"/>
    </row>
    <row r="6792">
      <c r="A6792" s="49">
        <v>45092.590654803236</v>
      </c>
      <c r="B6792" s="50">
        <v>45092.7156258564</v>
      </c>
      <c r="C6792" s="51">
        <v>1.003</v>
      </c>
      <c r="D6792" s="51">
        <v>67.0</v>
      </c>
      <c r="E6792" s="52" t="s">
        <v>25</v>
      </c>
      <c r="F6792" s="52" t="s">
        <v>26</v>
      </c>
      <c r="G6792" s="54"/>
    </row>
    <row r="6793">
      <c r="A6793" s="49">
        <v>45092.60108234954</v>
      </c>
      <c r="B6793" s="50">
        <v>45092.7260453009</v>
      </c>
      <c r="C6793" s="51">
        <v>1.003</v>
      </c>
      <c r="D6793" s="51">
        <v>68.0</v>
      </c>
      <c r="E6793" s="52" t="s">
        <v>25</v>
      </c>
      <c r="F6793" s="52" t="s">
        <v>26</v>
      </c>
      <c r="G6793" s="54"/>
    </row>
    <row r="6794">
      <c r="A6794" s="49">
        <v>45092.61149329861</v>
      </c>
      <c r="B6794" s="50">
        <v>45092.7364660069</v>
      </c>
      <c r="C6794" s="51">
        <v>1.003</v>
      </c>
      <c r="D6794" s="51">
        <v>68.0</v>
      </c>
      <c r="E6794" s="52" t="s">
        <v>25</v>
      </c>
      <c r="F6794" s="52" t="s">
        <v>26</v>
      </c>
      <c r="G6794" s="54"/>
    </row>
    <row r="6795">
      <c r="A6795" s="49">
        <v>45092.62190642361</v>
      </c>
      <c r="B6795" s="50">
        <v>45092.7468860648</v>
      </c>
      <c r="C6795" s="51">
        <v>1.002</v>
      </c>
      <c r="D6795" s="51">
        <v>67.0</v>
      </c>
      <c r="E6795" s="52" t="s">
        <v>25</v>
      </c>
      <c r="F6795" s="52" t="s">
        <v>26</v>
      </c>
      <c r="G6795" s="54"/>
    </row>
    <row r="6796">
      <c r="A6796" s="49">
        <v>45092.63233194445</v>
      </c>
      <c r="B6796" s="50">
        <v>45092.7573057638</v>
      </c>
      <c r="C6796" s="51">
        <v>1.003</v>
      </c>
      <c r="D6796" s="51">
        <v>67.0</v>
      </c>
      <c r="E6796" s="52" t="s">
        <v>25</v>
      </c>
      <c r="F6796" s="52" t="s">
        <v>26</v>
      </c>
      <c r="G6796" s="54"/>
    </row>
    <row r="6797">
      <c r="A6797" s="49">
        <v>45092.64275673611</v>
      </c>
      <c r="B6797" s="50">
        <v>45092.7677270601</v>
      </c>
      <c r="C6797" s="51">
        <v>1.003</v>
      </c>
      <c r="D6797" s="51">
        <v>67.0</v>
      </c>
      <c r="E6797" s="52" t="s">
        <v>25</v>
      </c>
      <c r="F6797" s="52" t="s">
        <v>26</v>
      </c>
      <c r="G6797" s="54"/>
    </row>
    <row r="6798">
      <c r="A6798" s="49">
        <v>45092.65316869213</v>
      </c>
      <c r="B6798" s="50">
        <v>45092.7781469675</v>
      </c>
      <c r="C6798" s="51">
        <v>1.003</v>
      </c>
      <c r="D6798" s="51">
        <v>68.0</v>
      </c>
      <c r="E6798" s="52" t="s">
        <v>25</v>
      </c>
      <c r="F6798" s="52" t="s">
        <v>26</v>
      </c>
      <c r="G6798" s="54"/>
    </row>
    <row r="6799">
      <c r="A6799" s="49">
        <v>45092.66359466435</v>
      </c>
      <c r="B6799" s="50">
        <v>45092.7885682638</v>
      </c>
      <c r="C6799" s="51">
        <v>1.003</v>
      </c>
      <c r="D6799" s="51">
        <v>67.0</v>
      </c>
      <c r="E6799" s="52" t="s">
        <v>25</v>
      </c>
      <c r="F6799" s="52" t="s">
        <v>26</v>
      </c>
      <c r="G6799" s="54"/>
    </row>
    <row r="6800">
      <c r="A6800" s="49">
        <v>45092.67401513889</v>
      </c>
      <c r="B6800" s="50">
        <v>45092.7989893518</v>
      </c>
      <c r="C6800" s="51">
        <v>1.003</v>
      </c>
      <c r="D6800" s="51">
        <v>67.0</v>
      </c>
      <c r="E6800" s="52" t="s">
        <v>25</v>
      </c>
      <c r="F6800" s="52" t="s">
        <v>26</v>
      </c>
      <c r="G6800" s="54"/>
    </row>
    <row r="6801">
      <c r="A6801" s="49">
        <v>45092.68444438657</v>
      </c>
      <c r="B6801" s="50">
        <v>45092.8094206481</v>
      </c>
      <c r="C6801" s="51">
        <v>1.003</v>
      </c>
      <c r="D6801" s="51">
        <v>68.0</v>
      </c>
      <c r="E6801" s="52" t="s">
        <v>25</v>
      </c>
      <c r="F6801" s="52" t="s">
        <v>26</v>
      </c>
      <c r="G6801" s="54"/>
    </row>
    <row r="6802">
      <c r="A6802" s="49">
        <v>45092.69488766204</v>
      </c>
      <c r="B6802" s="50">
        <v>45092.8198420254</v>
      </c>
      <c r="C6802" s="51">
        <v>1.002</v>
      </c>
      <c r="D6802" s="51">
        <v>68.0</v>
      </c>
      <c r="E6802" s="52" t="s">
        <v>25</v>
      </c>
      <c r="F6802" s="52" t="s">
        <v>26</v>
      </c>
      <c r="G6802" s="54"/>
    </row>
    <row r="6803">
      <c r="A6803" s="49">
        <v>45092.70529520833</v>
      </c>
      <c r="B6803" s="50">
        <v>45092.8302629861</v>
      </c>
      <c r="C6803" s="51">
        <v>1.003</v>
      </c>
      <c r="D6803" s="51">
        <v>68.0</v>
      </c>
      <c r="E6803" s="52" t="s">
        <v>25</v>
      </c>
      <c r="F6803" s="52" t="s">
        <v>26</v>
      </c>
      <c r="G6803" s="54"/>
    </row>
    <row r="6804">
      <c r="A6804" s="49">
        <v>45092.715714861115</v>
      </c>
      <c r="B6804" s="50">
        <v>45092.8406952314</v>
      </c>
      <c r="C6804" s="51">
        <v>1.002</v>
      </c>
      <c r="D6804" s="51">
        <v>68.0</v>
      </c>
      <c r="E6804" s="52" t="s">
        <v>25</v>
      </c>
      <c r="F6804" s="52" t="s">
        <v>26</v>
      </c>
      <c r="G6804" s="54"/>
    </row>
    <row r="6805">
      <c r="A6805" s="49">
        <v>45092.72613141204</v>
      </c>
      <c r="B6805" s="50">
        <v>45092.8511163078</v>
      </c>
      <c r="C6805" s="51">
        <v>1.003</v>
      </c>
      <c r="D6805" s="51">
        <v>68.0</v>
      </c>
      <c r="E6805" s="52" t="s">
        <v>25</v>
      </c>
      <c r="F6805" s="52" t="s">
        <v>26</v>
      </c>
      <c r="G6805" s="54"/>
    </row>
    <row r="6806">
      <c r="A6806" s="49">
        <v>45092.73656542824</v>
      </c>
      <c r="B6806" s="50">
        <v>45092.8615376967</v>
      </c>
      <c r="C6806" s="51">
        <v>1.002</v>
      </c>
      <c r="D6806" s="51">
        <v>68.0</v>
      </c>
      <c r="E6806" s="52" t="s">
        <v>25</v>
      </c>
      <c r="F6806" s="52" t="s">
        <v>26</v>
      </c>
      <c r="G6806" s="54"/>
    </row>
    <row r="6807">
      <c r="A6807" s="49">
        <v>45092.74698773148</v>
      </c>
      <c r="B6807" s="50">
        <v>45092.8719589236</v>
      </c>
      <c r="C6807" s="51">
        <v>1.003</v>
      </c>
      <c r="D6807" s="51">
        <v>68.0</v>
      </c>
      <c r="E6807" s="52" t="s">
        <v>25</v>
      </c>
      <c r="F6807" s="52" t="s">
        <v>26</v>
      </c>
      <c r="G6807" s="54"/>
    </row>
    <row r="6808">
      <c r="A6808" s="49">
        <v>45092.757404918986</v>
      </c>
      <c r="B6808" s="50">
        <v>45092.8823786689</v>
      </c>
      <c r="C6808" s="51">
        <v>1.003</v>
      </c>
      <c r="D6808" s="51">
        <v>68.0</v>
      </c>
      <c r="E6808" s="52" t="s">
        <v>25</v>
      </c>
      <c r="F6808" s="52" t="s">
        <v>26</v>
      </c>
      <c r="G6808" s="54"/>
    </row>
    <row r="6809">
      <c r="A6809" s="49">
        <v>45092.7678246875</v>
      </c>
      <c r="B6809" s="50">
        <v>45092.8928008912</v>
      </c>
      <c r="C6809" s="51">
        <v>1.002</v>
      </c>
      <c r="D6809" s="51">
        <v>68.0</v>
      </c>
      <c r="E6809" s="52" t="s">
        <v>25</v>
      </c>
      <c r="F6809" s="52" t="s">
        <v>26</v>
      </c>
      <c r="G6809" s="54"/>
    </row>
    <row r="6810">
      <c r="A6810" s="49">
        <v>45092.77825133102</v>
      </c>
      <c r="B6810" s="50">
        <v>45092.9032211342</v>
      </c>
      <c r="C6810" s="51">
        <v>1.003</v>
      </c>
      <c r="D6810" s="51">
        <v>68.0</v>
      </c>
      <c r="E6810" s="52" t="s">
        <v>25</v>
      </c>
      <c r="F6810" s="52" t="s">
        <v>26</v>
      </c>
      <c r="G6810" s="54"/>
    </row>
    <row r="6811">
      <c r="A6811" s="49">
        <v>45092.78866789352</v>
      </c>
      <c r="B6811" s="50">
        <v>45092.913641956</v>
      </c>
      <c r="C6811" s="51">
        <v>1.003</v>
      </c>
      <c r="D6811" s="51">
        <v>68.0</v>
      </c>
      <c r="E6811" s="52" t="s">
        <v>25</v>
      </c>
      <c r="F6811" s="52" t="s">
        <v>26</v>
      </c>
      <c r="G6811" s="54"/>
    </row>
    <row r="6812">
      <c r="A6812" s="49">
        <v>45092.79908224537</v>
      </c>
      <c r="B6812" s="50">
        <v>45092.9240632176</v>
      </c>
      <c r="C6812" s="51">
        <v>1.002</v>
      </c>
      <c r="D6812" s="51">
        <v>68.0</v>
      </c>
      <c r="E6812" s="52" t="s">
        <v>25</v>
      </c>
      <c r="F6812" s="52" t="s">
        <v>26</v>
      </c>
      <c r="G6812" s="54"/>
    </row>
    <row r="6813">
      <c r="A6813" s="49">
        <v>45092.80951283565</v>
      </c>
      <c r="B6813" s="50">
        <v>45092.9344860532</v>
      </c>
      <c r="C6813" s="51">
        <v>1.003</v>
      </c>
      <c r="D6813" s="51">
        <v>68.0</v>
      </c>
      <c r="E6813" s="52" t="s">
        <v>25</v>
      </c>
      <c r="F6813" s="52" t="s">
        <v>26</v>
      </c>
      <c r="G6813" s="54"/>
    </row>
    <row r="6814">
      <c r="A6814" s="49">
        <v>45092.83037769676</v>
      </c>
      <c r="B6814" s="50">
        <v>45092.9553523842</v>
      </c>
      <c r="C6814" s="51">
        <v>1.002</v>
      </c>
      <c r="D6814" s="51">
        <v>68.0</v>
      </c>
      <c r="E6814" s="52" t="s">
        <v>25</v>
      </c>
      <c r="F6814" s="52" t="s">
        <v>26</v>
      </c>
      <c r="G6814" s="54"/>
    </row>
    <row r="6815">
      <c r="A6815" s="49">
        <v>45092.840796226854</v>
      </c>
      <c r="B6815" s="50">
        <v>45092.96577353</v>
      </c>
      <c r="C6815" s="51">
        <v>1.002</v>
      </c>
      <c r="D6815" s="51">
        <v>68.0</v>
      </c>
      <c r="E6815" s="52" t="s">
        <v>25</v>
      </c>
      <c r="F6815" s="52" t="s">
        <v>26</v>
      </c>
      <c r="G6815" s="54"/>
    </row>
    <row r="6816">
      <c r="A6816" s="49">
        <v>45092.851213946764</v>
      </c>
      <c r="B6816" s="50">
        <v>45092.9761949305</v>
      </c>
      <c r="C6816" s="51">
        <v>1.003</v>
      </c>
      <c r="D6816" s="51">
        <v>68.0</v>
      </c>
      <c r="E6816" s="52" t="s">
        <v>25</v>
      </c>
      <c r="F6816" s="52" t="s">
        <v>26</v>
      </c>
      <c r="G6816" s="54"/>
    </row>
    <row r="6817">
      <c r="A6817" s="49">
        <v>45092.86163248842</v>
      </c>
      <c r="B6817" s="50">
        <v>45092.9866165162</v>
      </c>
      <c r="C6817" s="51">
        <v>1.002</v>
      </c>
      <c r="D6817" s="51">
        <v>68.0</v>
      </c>
      <c r="E6817" s="52" t="s">
        <v>25</v>
      </c>
      <c r="F6817" s="52" t="s">
        <v>26</v>
      </c>
      <c r="G6817" s="54"/>
    </row>
    <row r="6818">
      <c r="A6818" s="49">
        <v>45092.872057361106</v>
      </c>
      <c r="B6818" s="50">
        <v>45092.9970366203</v>
      </c>
      <c r="C6818" s="51">
        <v>1.002</v>
      </c>
      <c r="D6818" s="51">
        <v>68.0</v>
      </c>
      <c r="E6818" s="52" t="s">
        <v>25</v>
      </c>
      <c r="F6818" s="52" t="s">
        <v>26</v>
      </c>
      <c r="G6818" s="54"/>
    </row>
    <row r="6819">
      <c r="A6819" s="49">
        <v>45092.88249134259</v>
      </c>
      <c r="B6819" s="50">
        <v>45093.0074578935</v>
      </c>
      <c r="C6819" s="51">
        <v>1.003</v>
      </c>
      <c r="D6819" s="51">
        <v>68.0</v>
      </c>
      <c r="E6819" s="52" t="s">
        <v>25</v>
      </c>
      <c r="F6819" s="52" t="s">
        <v>26</v>
      </c>
      <c r="G6819" s="54"/>
    </row>
    <row r="6820">
      <c r="A6820" s="49">
        <v>45092.89290827546</v>
      </c>
      <c r="B6820" s="50">
        <v>45093.0178800462</v>
      </c>
      <c r="C6820" s="51">
        <v>1.003</v>
      </c>
      <c r="D6820" s="51">
        <v>68.0</v>
      </c>
      <c r="E6820" s="52" t="s">
        <v>25</v>
      </c>
      <c r="F6820" s="52" t="s">
        <v>26</v>
      </c>
      <c r="G6820" s="54"/>
    </row>
    <row r="6821">
      <c r="A6821" s="49">
        <v>45092.90332892361</v>
      </c>
      <c r="B6821" s="50">
        <v>45093.0283021759</v>
      </c>
      <c r="C6821" s="51">
        <v>1.002</v>
      </c>
      <c r="D6821" s="51">
        <v>68.0</v>
      </c>
      <c r="E6821" s="52" t="s">
        <v>25</v>
      </c>
      <c r="F6821" s="52" t="s">
        <v>26</v>
      </c>
      <c r="G6821" s="54"/>
    </row>
    <row r="6822">
      <c r="A6822" s="49">
        <v>45092.91374600695</v>
      </c>
      <c r="B6822" s="50">
        <v>45093.0387241551</v>
      </c>
      <c r="C6822" s="51">
        <v>1.003</v>
      </c>
      <c r="D6822" s="51">
        <v>68.0</v>
      </c>
      <c r="E6822" s="52" t="s">
        <v>25</v>
      </c>
      <c r="F6822" s="52" t="s">
        <v>26</v>
      </c>
      <c r="G6822" s="54"/>
    </row>
    <row r="6823">
      <c r="A6823" s="49">
        <v>45092.92417430556</v>
      </c>
      <c r="B6823" s="50">
        <v>45093.0491458217</v>
      </c>
      <c r="C6823" s="51">
        <v>1.002</v>
      </c>
      <c r="D6823" s="51">
        <v>68.0</v>
      </c>
      <c r="E6823" s="52" t="s">
        <v>25</v>
      </c>
      <c r="F6823" s="52" t="s">
        <v>26</v>
      </c>
      <c r="G6823" s="54"/>
    </row>
    <row r="6824">
      <c r="A6824" s="49">
        <v>45092.93459733797</v>
      </c>
      <c r="B6824" s="50">
        <v>45093.059567118</v>
      </c>
      <c r="C6824" s="51">
        <v>1.002</v>
      </c>
      <c r="D6824" s="51">
        <v>68.0</v>
      </c>
      <c r="E6824" s="52" t="s">
        <v>25</v>
      </c>
      <c r="F6824" s="52" t="s">
        <v>26</v>
      </c>
      <c r="G6824" s="54"/>
    </row>
    <row r="6825">
      <c r="A6825" s="49">
        <v>45092.94501850694</v>
      </c>
      <c r="B6825" s="50">
        <v>45093.0699893634</v>
      </c>
      <c r="C6825" s="51">
        <v>1.002</v>
      </c>
      <c r="D6825" s="51">
        <v>68.0</v>
      </c>
      <c r="E6825" s="52" t="s">
        <v>25</v>
      </c>
      <c r="F6825" s="52" t="s">
        <v>26</v>
      </c>
      <c r="G6825" s="54"/>
    </row>
    <row r="6826">
      <c r="A6826" s="49">
        <v>45092.95544686343</v>
      </c>
      <c r="B6826" s="50">
        <v>45093.0804109722</v>
      </c>
      <c r="C6826" s="51">
        <v>1.003</v>
      </c>
      <c r="D6826" s="51">
        <v>68.0</v>
      </c>
      <c r="E6826" s="52" t="s">
        <v>25</v>
      </c>
      <c r="F6826" s="52" t="s">
        <v>26</v>
      </c>
      <c r="G6826" s="54"/>
    </row>
    <row r="6827">
      <c r="A6827" s="49">
        <v>45092.96585905092</v>
      </c>
      <c r="B6827" s="50">
        <v>45093.0908315277</v>
      </c>
      <c r="C6827" s="51">
        <v>1.002</v>
      </c>
      <c r="D6827" s="51">
        <v>68.0</v>
      </c>
      <c r="E6827" s="52" t="s">
        <v>25</v>
      </c>
      <c r="F6827" s="52" t="s">
        <v>26</v>
      </c>
      <c r="G6827" s="54"/>
    </row>
    <row r="6828">
      <c r="A6828" s="49">
        <v>45092.9762797338</v>
      </c>
      <c r="B6828" s="50">
        <v>45093.1012537268</v>
      </c>
      <c r="C6828" s="51">
        <v>1.002</v>
      </c>
      <c r="D6828" s="51">
        <v>68.0</v>
      </c>
      <c r="E6828" s="52" t="s">
        <v>25</v>
      </c>
      <c r="F6828" s="52" t="s">
        <v>26</v>
      </c>
      <c r="G6828" s="54"/>
    </row>
    <row r="6829">
      <c r="A6829" s="49">
        <v>45092.986700995374</v>
      </c>
      <c r="B6829" s="50">
        <v>45093.111675706</v>
      </c>
      <c r="C6829" s="51">
        <v>1.002</v>
      </c>
      <c r="D6829" s="51">
        <v>68.0</v>
      </c>
      <c r="E6829" s="52" t="s">
        <v>25</v>
      </c>
      <c r="F6829" s="52" t="s">
        <v>26</v>
      </c>
      <c r="G6829" s="54"/>
    </row>
    <row r="6830">
      <c r="A6830" s="49">
        <v>45092.99712297454</v>
      </c>
      <c r="B6830" s="50">
        <v>45093.122096331</v>
      </c>
      <c r="C6830" s="51">
        <v>1.002</v>
      </c>
      <c r="D6830" s="51">
        <v>68.0</v>
      </c>
      <c r="E6830" s="52" t="s">
        <v>25</v>
      </c>
      <c r="F6830" s="52" t="s">
        <v>26</v>
      </c>
      <c r="G6830" s="54"/>
    </row>
    <row r="6831">
      <c r="A6831" s="49">
        <v>45093.00755738426</v>
      </c>
      <c r="B6831" s="50">
        <v>45093.1325281828</v>
      </c>
      <c r="C6831" s="51">
        <v>1.003</v>
      </c>
      <c r="D6831" s="51">
        <v>68.0</v>
      </c>
      <c r="E6831" s="52" t="s">
        <v>25</v>
      </c>
      <c r="F6831" s="52" t="s">
        <v>26</v>
      </c>
      <c r="G6831" s="54"/>
    </row>
    <row r="6832">
      <c r="A6832" s="49">
        <v>45093.017978449076</v>
      </c>
      <c r="B6832" s="50">
        <v>45093.1429611342</v>
      </c>
      <c r="C6832" s="51">
        <v>1.002</v>
      </c>
      <c r="D6832" s="51">
        <v>68.0</v>
      </c>
      <c r="E6832" s="52" t="s">
        <v>25</v>
      </c>
      <c r="F6832" s="52" t="s">
        <v>26</v>
      </c>
      <c r="G6832" s="54"/>
    </row>
    <row r="6833">
      <c r="A6833" s="49">
        <v>45093.02842311343</v>
      </c>
      <c r="B6833" s="50">
        <v>45093.1533939236</v>
      </c>
      <c r="C6833" s="51">
        <v>1.002</v>
      </c>
      <c r="D6833" s="51">
        <v>68.0</v>
      </c>
      <c r="E6833" s="52" t="s">
        <v>25</v>
      </c>
      <c r="F6833" s="52" t="s">
        <v>26</v>
      </c>
      <c r="G6833" s="54"/>
    </row>
    <row r="6834">
      <c r="A6834" s="49">
        <v>45093.038840567126</v>
      </c>
      <c r="B6834" s="50">
        <v>45093.1638147685</v>
      </c>
      <c r="C6834" s="51">
        <v>1.003</v>
      </c>
      <c r="D6834" s="51">
        <v>68.0</v>
      </c>
      <c r="E6834" s="52" t="s">
        <v>25</v>
      </c>
      <c r="F6834" s="52" t="s">
        <v>26</v>
      </c>
      <c r="G6834" s="54"/>
    </row>
    <row r="6835">
      <c r="A6835" s="49">
        <v>45093.0492634838</v>
      </c>
      <c r="B6835" s="50">
        <v>45093.1742377777</v>
      </c>
      <c r="C6835" s="51">
        <v>1.002</v>
      </c>
      <c r="D6835" s="51">
        <v>68.0</v>
      </c>
      <c r="E6835" s="52" t="s">
        <v>25</v>
      </c>
      <c r="F6835" s="52" t="s">
        <v>26</v>
      </c>
      <c r="G6835" s="54"/>
    </row>
    <row r="6836">
      <c r="A6836" s="49">
        <v>45093.05968456018</v>
      </c>
      <c r="B6836" s="50">
        <v>45093.1846605324</v>
      </c>
      <c r="C6836" s="51">
        <v>1.003</v>
      </c>
      <c r="D6836" s="51">
        <v>68.0</v>
      </c>
      <c r="E6836" s="52" t="s">
        <v>25</v>
      </c>
      <c r="F6836" s="52" t="s">
        <v>26</v>
      </c>
      <c r="G6836" s="54"/>
    </row>
    <row r="6837">
      <c r="A6837" s="49">
        <v>45093.07010481482</v>
      </c>
      <c r="B6837" s="50">
        <v>45093.1950810301</v>
      </c>
      <c r="C6837" s="51">
        <v>1.003</v>
      </c>
      <c r="D6837" s="51">
        <v>68.0</v>
      </c>
      <c r="E6837" s="52" t="s">
        <v>25</v>
      </c>
      <c r="F6837" s="52" t="s">
        <v>26</v>
      </c>
      <c r="G6837" s="54"/>
    </row>
    <row r="6838">
      <c r="A6838" s="49">
        <v>45093.08053021991</v>
      </c>
      <c r="B6838" s="50">
        <v>45093.2055023379</v>
      </c>
      <c r="C6838" s="51">
        <v>1.002</v>
      </c>
      <c r="D6838" s="51">
        <v>68.0</v>
      </c>
      <c r="E6838" s="52" t="s">
        <v>25</v>
      </c>
      <c r="F6838" s="52" t="s">
        <v>26</v>
      </c>
      <c r="G6838" s="54"/>
    </row>
    <row r="6839">
      <c r="A6839" s="49">
        <v>45093.090962222224</v>
      </c>
      <c r="B6839" s="50">
        <v>45093.215935162</v>
      </c>
      <c r="C6839" s="51">
        <v>1.003</v>
      </c>
      <c r="D6839" s="51">
        <v>68.0</v>
      </c>
      <c r="E6839" s="52" t="s">
        <v>25</v>
      </c>
      <c r="F6839" s="52" t="s">
        <v>26</v>
      </c>
      <c r="G6839" s="54"/>
    </row>
    <row r="6840">
      <c r="A6840" s="49">
        <v>45093.1013833912</v>
      </c>
      <c r="B6840" s="50">
        <v>45093.2263575115</v>
      </c>
      <c r="C6840" s="51">
        <v>1.002</v>
      </c>
      <c r="D6840" s="51">
        <v>68.0</v>
      </c>
      <c r="E6840" s="52" t="s">
        <v>25</v>
      </c>
      <c r="F6840" s="52" t="s">
        <v>26</v>
      </c>
      <c r="G6840" s="54"/>
    </row>
    <row r="6841">
      <c r="A6841" s="49">
        <v>45093.111804942135</v>
      </c>
      <c r="B6841" s="50">
        <v>45093.2367799305</v>
      </c>
      <c r="C6841" s="51">
        <v>1.002</v>
      </c>
      <c r="D6841" s="51">
        <v>68.0</v>
      </c>
      <c r="E6841" s="52" t="s">
        <v>25</v>
      </c>
      <c r="F6841" s="52" t="s">
        <v>26</v>
      </c>
      <c r="G6841" s="54"/>
    </row>
    <row r="6842">
      <c r="A6842" s="49">
        <v>45093.12222547454</v>
      </c>
      <c r="B6842" s="50">
        <v>45093.2471998495</v>
      </c>
      <c r="C6842" s="51">
        <v>1.002</v>
      </c>
      <c r="D6842" s="51">
        <v>68.0</v>
      </c>
      <c r="E6842" s="52" t="s">
        <v>25</v>
      </c>
      <c r="F6842" s="52" t="s">
        <v>26</v>
      </c>
      <c r="G6842" s="54"/>
    </row>
    <row r="6843">
      <c r="A6843" s="49">
        <v>45093.13263969908</v>
      </c>
      <c r="B6843" s="50">
        <v>45093.257622118</v>
      </c>
      <c r="C6843" s="51">
        <v>1.002</v>
      </c>
      <c r="D6843" s="51">
        <v>68.0</v>
      </c>
      <c r="E6843" s="52" t="s">
        <v>25</v>
      </c>
      <c r="F6843" s="52" t="s">
        <v>26</v>
      </c>
      <c r="G6843" s="54"/>
    </row>
    <row r="6844">
      <c r="A6844" s="49">
        <v>45093.143092384256</v>
      </c>
      <c r="B6844" s="50">
        <v>45093.2680670601</v>
      </c>
      <c r="C6844" s="51">
        <v>1.002</v>
      </c>
      <c r="D6844" s="51">
        <v>68.0</v>
      </c>
      <c r="E6844" s="52" t="s">
        <v>25</v>
      </c>
      <c r="F6844" s="52" t="s">
        <v>26</v>
      </c>
      <c r="G6844" s="54"/>
    </row>
    <row r="6845">
      <c r="A6845" s="49">
        <v>45093.15351231481</v>
      </c>
      <c r="B6845" s="50">
        <v>45093.278487037</v>
      </c>
      <c r="C6845" s="51">
        <v>1.003</v>
      </c>
      <c r="D6845" s="51">
        <v>68.0</v>
      </c>
      <c r="E6845" s="52" t="s">
        <v>25</v>
      </c>
      <c r="F6845" s="52" t="s">
        <v>26</v>
      </c>
      <c r="G6845" s="54"/>
    </row>
    <row r="6846">
      <c r="A6846" s="49">
        <v>45093.1639359375</v>
      </c>
      <c r="B6846" s="50">
        <v>45093.2889096527</v>
      </c>
      <c r="C6846" s="51">
        <v>1.002</v>
      </c>
      <c r="D6846" s="51">
        <v>68.0</v>
      </c>
      <c r="E6846" s="52" t="s">
        <v>25</v>
      </c>
      <c r="F6846" s="52" t="s">
        <v>26</v>
      </c>
      <c r="G6846" s="54"/>
    </row>
    <row r="6847">
      <c r="A6847" s="49">
        <v>45093.17434795139</v>
      </c>
      <c r="B6847" s="50">
        <v>45093.2993309722</v>
      </c>
      <c r="C6847" s="51">
        <v>1.002</v>
      </c>
      <c r="D6847" s="51">
        <v>68.0</v>
      </c>
      <c r="E6847" s="52" t="s">
        <v>25</v>
      </c>
      <c r="F6847" s="52" t="s">
        <v>26</v>
      </c>
      <c r="G6847" s="54"/>
    </row>
    <row r="6848">
      <c r="A6848" s="49">
        <v>45093.184781284726</v>
      </c>
      <c r="B6848" s="50">
        <v>45093.3097524884</v>
      </c>
      <c r="C6848" s="51">
        <v>1.002</v>
      </c>
      <c r="D6848" s="51">
        <v>68.0</v>
      </c>
      <c r="E6848" s="52" t="s">
        <v>25</v>
      </c>
      <c r="F6848" s="52" t="s">
        <v>26</v>
      </c>
      <c r="G6848" s="54"/>
    </row>
    <row r="6849">
      <c r="A6849" s="49">
        <v>45093.1952149537</v>
      </c>
      <c r="B6849" s="50">
        <v>45093.3201840393</v>
      </c>
      <c r="C6849" s="51">
        <v>1.002</v>
      </c>
      <c r="D6849" s="51">
        <v>68.0</v>
      </c>
      <c r="E6849" s="52" t="s">
        <v>25</v>
      </c>
      <c r="F6849" s="52" t="s">
        <v>26</v>
      </c>
      <c r="G6849" s="54"/>
    </row>
    <row r="6850">
      <c r="A6850" s="49">
        <v>45093.20562123843</v>
      </c>
      <c r="B6850" s="50">
        <v>45093.330605405</v>
      </c>
      <c r="C6850" s="51">
        <v>1.002</v>
      </c>
      <c r="D6850" s="51">
        <v>68.0</v>
      </c>
      <c r="E6850" s="52" t="s">
        <v>25</v>
      </c>
      <c r="F6850" s="52" t="s">
        <v>26</v>
      </c>
      <c r="G6850" s="54"/>
    </row>
    <row r="6851">
      <c r="A6851" s="49">
        <v>45093.21605297454</v>
      </c>
      <c r="B6851" s="50">
        <v>45093.3410274768</v>
      </c>
      <c r="C6851" s="51">
        <v>1.002</v>
      </c>
      <c r="D6851" s="51">
        <v>68.0</v>
      </c>
      <c r="E6851" s="52" t="s">
        <v>25</v>
      </c>
      <c r="F6851" s="52" t="s">
        <v>26</v>
      </c>
      <c r="G6851" s="54"/>
    </row>
    <row r="6852">
      <c r="A6852" s="49">
        <v>45093.22646947917</v>
      </c>
      <c r="B6852" s="50">
        <v>45093.3514459143</v>
      </c>
      <c r="C6852" s="51">
        <v>1.002</v>
      </c>
      <c r="D6852" s="51">
        <v>68.0</v>
      </c>
      <c r="E6852" s="52" t="s">
        <v>25</v>
      </c>
      <c r="F6852" s="52" t="s">
        <v>26</v>
      </c>
      <c r="G6852" s="54"/>
    </row>
    <row r="6853">
      <c r="A6853" s="49">
        <v>45093.236886909726</v>
      </c>
      <c r="B6853" s="50">
        <v>45093.3618680439</v>
      </c>
      <c r="C6853" s="51">
        <v>1.002</v>
      </c>
      <c r="D6853" s="51">
        <v>68.0</v>
      </c>
      <c r="E6853" s="52" t="s">
        <v>25</v>
      </c>
      <c r="F6853" s="52" t="s">
        <v>26</v>
      </c>
      <c r="G6853" s="54"/>
    </row>
    <row r="6854">
      <c r="A6854" s="49">
        <v>45093.247315625005</v>
      </c>
      <c r="B6854" s="50">
        <v>45093.3722884143</v>
      </c>
      <c r="C6854" s="51">
        <v>1.002</v>
      </c>
      <c r="D6854" s="51">
        <v>68.0</v>
      </c>
      <c r="E6854" s="52" t="s">
        <v>25</v>
      </c>
      <c r="F6854" s="52" t="s">
        <v>26</v>
      </c>
      <c r="G6854" s="54"/>
    </row>
    <row r="6855">
      <c r="A6855" s="49">
        <v>45093.25773099537</v>
      </c>
      <c r="B6855" s="50">
        <v>45093.3827098495</v>
      </c>
      <c r="C6855" s="51">
        <v>1.002</v>
      </c>
      <c r="D6855" s="51">
        <v>67.0</v>
      </c>
      <c r="E6855" s="52" t="s">
        <v>25</v>
      </c>
      <c r="F6855" s="52" t="s">
        <v>26</v>
      </c>
      <c r="G6855" s="54"/>
    </row>
    <row r="6856">
      <c r="A6856" s="49">
        <v>45093.268149421296</v>
      </c>
      <c r="B6856" s="50">
        <v>45093.3931303703</v>
      </c>
      <c r="C6856" s="51">
        <v>1.002</v>
      </c>
      <c r="D6856" s="51">
        <v>68.0</v>
      </c>
      <c r="E6856" s="52" t="s">
        <v>25</v>
      </c>
      <c r="F6856" s="52" t="s">
        <v>26</v>
      </c>
      <c r="G6856" s="54"/>
    </row>
    <row r="6857">
      <c r="A6857" s="49">
        <v>45093.278577916666</v>
      </c>
      <c r="B6857" s="50">
        <v>45093.4035621527</v>
      </c>
      <c r="C6857" s="51">
        <v>1.002</v>
      </c>
      <c r="D6857" s="51">
        <v>67.0</v>
      </c>
      <c r="E6857" s="52" t="s">
        <v>25</v>
      </c>
      <c r="F6857" s="52" t="s">
        <v>26</v>
      </c>
      <c r="G6857" s="54"/>
    </row>
    <row r="6858">
      <c r="A6858" s="49">
        <v>45093.28900754629</v>
      </c>
      <c r="B6858" s="50">
        <v>45093.4139828009</v>
      </c>
      <c r="C6858" s="51">
        <v>1.003</v>
      </c>
      <c r="D6858" s="51">
        <v>68.0</v>
      </c>
      <c r="E6858" s="52" t="s">
        <v>25</v>
      </c>
      <c r="F6858" s="52" t="s">
        <v>26</v>
      </c>
      <c r="G6858" s="54"/>
    </row>
    <row r="6859">
      <c r="A6859" s="49">
        <v>45093.299423449076</v>
      </c>
      <c r="B6859" s="50">
        <v>45093.4244050462</v>
      </c>
      <c r="C6859" s="51">
        <v>1.002</v>
      </c>
      <c r="D6859" s="51">
        <v>68.0</v>
      </c>
      <c r="E6859" s="52" t="s">
        <v>25</v>
      </c>
      <c r="F6859" s="52" t="s">
        <v>26</v>
      </c>
      <c r="G6859" s="54"/>
    </row>
    <row r="6860">
      <c r="A6860" s="49">
        <v>45093.309854583335</v>
      </c>
      <c r="B6860" s="50">
        <v>45093.434825625</v>
      </c>
      <c r="C6860" s="51">
        <v>1.003</v>
      </c>
      <c r="D6860" s="51">
        <v>68.0</v>
      </c>
      <c r="E6860" s="52" t="s">
        <v>25</v>
      </c>
      <c r="F6860" s="52" t="s">
        <v>26</v>
      </c>
      <c r="G6860" s="54"/>
    </row>
    <row r="6861">
      <c r="A6861" s="49">
        <v>45093.3202716088</v>
      </c>
      <c r="B6861" s="50">
        <v>45093.445247037</v>
      </c>
      <c r="C6861" s="51">
        <v>1.002</v>
      </c>
      <c r="D6861" s="51">
        <v>68.0</v>
      </c>
      <c r="E6861" s="52" t="s">
        <v>25</v>
      </c>
      <c r="F6861" s="52" t="s">
        <v>26</v>
      </c>
      <c r="G6861" s="54"/>
    </row>
    <row r="6862">
      <c r="A6862" s="49">
        <v>45093.3307015625</v>
      </c>
      <c r="B6862" s="50">
        <v>45093.4556795254</v>
      </c>
      <c r="C6862" s="51">
        <v>1.002</v>
      </c>
      <c r="D6862" s="51">
        <v>68.0</v>
      </c>
      <c r="E6862" s="52" t="s">
        <v>25</v>
      </c>
      <c r="F6862" s="52" t="s">
        <v>26</v>
      </c>
      <c r="G6862" s="54"/>
    </row>
    <row r="6863">
      <c r="A6863" s="49">
        <v>45093.3411221875</v>
      </c>
      <c r="B6863" s="50">
        <v>45093.4660989351</v>
      </c>
      <c r="C6863" s="51">
        <v>1.002</v>
      </c>
      <c r="D6863" s="51">
        <v>68.0</v>
      </c>
      <c r="E6863" s="52" t="s">
        <v>25</v>
      </c>
      <c r="F6863" s="52" t="s">
        <v>26</v>
      </c>
      <c r="G6863" s="54"/>
    </row>
    <row r="6864">
      <c r="A6864" s="49">
        <v>45093.35154771991</v>
      </c>
      <c r="B6864" s="50">
        <v>45093.4765209027</v>
      </c>
      <c r="C6864" s="51">
        <v>1.002</v>
      </c>
      <c r="D6864" s="51">
        <v>68.0</v>
      </c>
      <c r="E6864" s="52" t="s">
        <v>25</v>
      </c>
      <c r="F6864" s="52" t="s">
        <v>26</v>
      </c>
      <c r="G6864" s="54"/>
    </row>
    <row r="6865">
      <c r="A6865" s="49">
        <v>45093.36202178241</v>
      </c>
      <c r="B6865" s="50">
        <v>45093.4869884953</v>
      </c>
      <c r="C6865" s="51">
        <v>1.002</v>
      </c>
      <c r="D6865" s="51">
        <v>68.0</v>
      </c>
      <c r="E6865" s="52" t="s">
        <v>25</v>
      </c>
      <c r="F6865" s="52" t="s">
        <v>26</v>
      </c>
      <c r="G6865" s="54"/>
    </row>
    <row r="6866">
      <c r="A6866" s="49">
        <v>45093.37243945602</v>
      </c>
      <c r="B6866" s="50">
        <v>45093.4974093981</v>
      </c>
      <c r="C6866" s="51">
        <v>1.003</v>
      </c>
      <c r="D6866" s="51">
        <v>68.0</v>
      </c>
      <c r="E6866" s="52" t="s">
        <v>25</v>
      </c>
      <c r="F6866" s="52" t="s">
        <v>26</v>
      </c>
      <c r="G6866" s="54"/>
    </row>
    <row r="6867">
      <c r="A6867" s="49">
        <v>45093.38285228009</v>
      </c>
      <c r="B6867" s="50">
        <v>45093.5078326157</v>
      </c>
      <c r="C6867" s="51">
        <v>1.002</v>
      </c>
      <c r="D6867" s="51">
        <v>68.0</v>
      </c>
      <c r="E6867" s="52" t="s">
        <v>25</v>
      </c>
      <c r="F6867" s="52" t="s">
        <v>26</v>
      </c>
      <c r="G6867" s="54"/>
    </row>
    <row r="6868">
      <c r="A6868" s="49">
        <v>45093.39327958333</v>
      </c>
      <c r="B6868" s="50">
        <v>45093.5182540046</v>
      </c>
      <c r="C6868" s="51">
        <v>1.002</v>
      </c>
      <c r="D6868" s="51">
        <v>68.0</v>
      </c>
      <c r="E6868" s="52" t="s">
        <v>25</v>
      </c>
      <c r="F6868" s="52" t="s">
        <v>26</v>
      </c>
      <c r="G6868" s="54"/>
    </row>
    <row r="6869">
      <c r="A6869" s="49">
        <v>45093.40371568287</v>
      </c>
      <c r="B6869" s="50">
        <v>45093.5286878009</v>
      </c>
      <c r="C6869" s="51">
        <v>1.003</v>
      </c>
      <c r="D6869" s="51">
        <v>68.0</v>
      </c>
      <c r="E6869" s="52" t="s">
        <v>25</v>
      </c>
      <c r="F6869" s="52" t="s">
        <v>26</v>
      </c>
      <c r="G6869" s="54"/>
    </row>
    <row r="6870">
      <c r="A6870" s="49">
        <v>45093.414132060185</v>
      </c>
      <c r="B6870" s="50">
        <v>45093.5391098032</v>
      </c>
      <c r="C6870" s="51">
        <v>1.002</v>
      </c>
      <c r="D6870" s="51">
        <v>67.0</v>
      </c>
      <c r="E6870" s="52" t="s">
        <v>25</v>
      </c>
      <c r="F6870" s="52" t="s">
        <v>26</v>
      </c>
      <c r="G6870" s="54"/>
    </row>
    <row r="6871">
      <c r="A6871" s="49">
        <v>45093.424546319446</v>
      </c>
      <c r="B6871" s="50">
        <v>45093.5495299884</v>
      </c>
      <c r="C6871" s="51">
        <v>1.002</v>
      </c>
      <c r="D6871" s="51">
        <v>68.0</v>
      </c>
      <c r="E6871" s="52" t="s">
        <v>25</v>
      </c>
      <c r="F6871" s="52" t="s">
        <v>26</v>
      </c>
      <c r="G6871" s="54"/>
    </row>
    <row r="6872">
      <c r="A6872" s="49">
        <v>45093.43498237268</v>
      </c>
      <c r="B6872" s="50">
        <v>45093.5599506018</v>
      </c>
      <c r="C6872" s="51">
        <v>1.002</v>
      </c>
      <c r="D6872" s="51">
        <v>68.0</v>
      </c>
      <c r="E6872" s="52" t="s">
        <v>25</v>
      </c>
      <c r="F6872" s="52" t="s">
        <v>26</v>
      </c>
      <c r="G6872" s="54"/>
    </row>
    <row r="6873">
      <c r="A6873" s="49">
        <v>45093.445395601855</v>
      </c>
      <c r="B6873" s="50">
        <v>45093.5703713194</v>
      </c>
      <c r="C6873" s="51">
        <v>1.002</v>
      </c>
      <c r="D6873" s="51">
        <v>68.0</v>
      </c>
      <c r="E6873" s="52" t="s">
        <v>25</v>
      </c>
      <c r="F6873" s="52" t="s">
        <v>26</v>
      </c>
      <c r="G6873" s="54"/>
    </row>
    <row r="6874">
      <c r="A6874" s="49">
        <v>45093.455810127314</v>
      </c>
      <c r="B6874" s="50">
        <v>45093.5807926967</v>
      </c>
      <c r="C6874" s="51">
        <v>1.002</v>
      </c>
      <c r="D6874" s="51">
        <v>68.0</v>
      </c>
      <c r="E6874" s="52" t="s">
        <v>25</v>
      </c>
      <c r="F6874" s="52" t="s">
        <v>26</v>
      </c>
      <c r="G6874" s="54"/>
    </row>
    <row r="6875">
      <c r="A6875" s="49">
        <v>45093.4662377662</v>
      </c>
      <c r="B6875" s="50">
        <v>45093.5912120833</v>
      </c>
      <c r="C6875" s="51">
        <v>1.002</v>
      </c>
      <c r="D6875" s="51">
        <v>68.0</v>
      </c>
      <c r="E6875" s="52" t="s">
        <v>25</v>
      </c>
      <c r="F6875" s="52" t="s">
        <v>26</v>
      </c>
      <c r="G6875" s="54"/>
    </row>
    <row r="6876">
      <c r="A6876" s="49">
        <v>45093.47666666667</v>
      </c>
      <c r="B6876" s="50">
        <v>45093.6016434259</v>
      </c>
      <c r="C6876" s="51">
        <v>1.002</v>
      </c>
      <c r="D6876" s="51">
        <v>68.0</v>
      </c>
      <c r="E6876" s="52" t="s">
        <v>25</v>
      </c>
      <c r="F6876" s="52" t="s">
        <v>26</v>
      </c>
      <c r="G6876" s="54"/>
    </row>
    <row r="6877">
      <c r="A6877" s="49">
        <v>45093.48708049768</v>
      </c>
      <c r="B6877" s="50">
        <v>45093.6120637037</v>
      </c>
      <c r="C6877" s="51">
        <v>1.002</v>
      </c>
      <c r="D6877" s="51">
        <v>68.0</v>
      </c>
      <c r="E6877" s="52" t="s">
        <v>25</v>
      </c>
      <c r="F6877" s="52" t="s">
        <v>26</v>
      </c>
      <c r="G6877" s="54"/>
    </row>
    <row r="6878">
      <c r="A6878" s="49">
        <v>45093.49750760417</v>
      </c>
      <c r="B6878" s="50">
        <v>45093.6224838425</v>
      </c>
      <c r="C6878" s="51">
        <v>1.002</v>
      </c>
      <c r="D6878" s="51">
        <v>68.0</v>
      </c>
      <c r="E6878" s="52" t="s">
        <v>25</v>
      </c>
      <c r="F6878" s="52" t="s">
        <v>26</v>
      </c>
      <c r="G6878" s="54"/>
    </row>
    <row r="6879">
      <c r="A6879" s="49">
        <v>45093.50792538194</v>
      </c>
      <c r="B6879" s="50">
        <v>45093.6329052083</v>
      </c>
      <c r="C6879" s="51">
        <v>1.002</v>
      </c>
      <c r="D6879" s="51">
        <v>68.0</v>
      </c>
      <c r="E6879" s="52" t="s">
        <v>25</v>
      </c>
      <c r="F6879" s="52" t="s">
        <v>26</v>
      </c>
      <c r="G6879" s="54"/>
    </row>
    <row r="6880">
      <c r="A6880" s="49">
        <v>45093.5183540162</v>
      </c>
      <c r="B6880" s="50">
        <v>45093.6433268981</v>
      </c>
      <c r="C6880" s="51">
        <v>1.002</v>
      </c>
      <c r="D6880" s="51">
        <v>68.0</v>
      </c>
      <c r="E6880" s="52" t="s">
        <v>25</v>
      </c>
      <c r="F6880" s="52" t="s">
        <v>26</v>
      </c>
      <c r="G6880" s="54"/>
    </row>
    <row r="6881">
      <c r="A6881" s="49">
        <v>45093.528768344906</v>
      </c>
      <c r="B6881" s="50">
        <v>45093.653747037</v>
      </c>
      <c r="C6881" s="51">
        <v>1.002</v>
      </c>
      <c r="D6881" s="51">
        <v>68.0</v>
      </c>
      <c r="E6881" s="52" t="s">
        <v>25</v>
      </c>
      <c r="F6881" s="52" t="s">
        <v>26</v>
      </c>
      <c r="G6881" s="54"/>
    </row>
    <row r="6882">
      <c r="A6882" s="49">
        <v>45093.53918810185</v>
      </c>
      <c r="B6882" s="50">
        <v>45093.6641678125</v>
      </c>
      <c r="C6882" s="51">
        <v>1.002</v>
      </c>
      <c r="D6882" s="51">
        <v>67.0</v>
      </c>
      <c r="E6882" s="52" t="s">
        <v>25</v>
      </c>
      <c r="F6882" s="52" t="s">
        <v>26</v>
      </c>
      <c r="G6882" s="54"/>
    </row>
    <row r="6883">
      <c r="A6883" s="49">
        <v>45093.549615752316</v>
      </c>
      <c r="B6883" s="50">
        <v>45093.6745879282</v>
      </c>
      <c r="C6883" s="51">
        <v>1.002</v>
      </c>
      <c r="D6883" s="51">
        <v>68.0</v>
      </c>
      <c r="E6883" s="52" t="s">
        <v>25</v>
      </c>
      <c r="F6883" s="52" t="s">
        <v>26</v>
      </c>
      <c r="G6883" s="54"/>
    </row>
    <row r="6884">
      <c r="A6884" s="49">
        <v>45093.56003381945</v>
      </c>
      <c r="B6884" s="50">
        <v>45093.6850081134</v>
      </c>
      <c r="C6884" s="51">
        <v>1.002</v>
      </c>
      <c r="D6884" s="51">
        <v>68.0</v>
      </c>
      <c r="E6884" s="52" t="s">
        <v>25</v>
      </c>
      <c r="F6884" s="52" t="s">
        <v>26</v>
      </c>
      <c r="G6884" s="54"/>
    </row>
    <row r="6885">
      <c r="A6885" s="49">
        <v>45093.57046021991</v>
      </c>
      <c r="B6885" s="50">
        <v>45093.6954403587</v>
      </c>
      <c r="C6885" s="51">
        <v>1.002</v>
      </c>
      <c r="D6885" s="51">
        <v>68.0</v>
      </c>
      <c r="E6885" s="52" t="s">
        <v>25</v>
      </c>
      <c r="F6885" s="52" t="s">
        <v>26</v>
      </c>
      <c r="G6885" s="54"/>
    </row>
    <row r="6886">
      <c r="A6886" s="49">
        <v>45093.580889143515</v>
      </c>
      <c r="B6886" s="50">
        <v>45093.7058630555</v>
      </c>
      <c r="C6886" s="51">
        <v>1.002</v>
      </c>
      <c r="D6886" s="51">
        <v>68.0</v>
      </c>
      <c r="E6886" s="52" t="s">
        <v>25</v>
      </c>
      <c r="F6886" s="52" t="s">
        <v>26</v>
      </c>
      <c r="G6886" s="54"/>
    </row>
    <row r="6887">
      <c r="A6887" s="49">
        <v>45093.59131070602</v>
      </c>
      <c r="B6887" s="50">
        <v>45093.7162849421</v>
      </c>
      <c r="C6887" s="51">
        <v>1.002</v>
      </c>
      <c r="D6887" s="51">
        <v>68.0</v>
      </c>
      <c r="E6887" s="52" t="s">
        <v>25</v>
      </c>
      <c r="F6887" s="52" t="s">
        <v>26</v>
      </c>
      <c r="G6887" s="54"/>
    </row>
    <row r="6888">
      <c r="A6888" s="49">
        <v>45093.60172304398</v>
      </c>
      <c r="B6888" s="50">
        <v>45093.7267053009</v>
      </c>
      <c r="C6888" s="51">
        <v>1.002</v>
      </c>
      <c r="D6888" s="51">
        <v>68.0</v>
      </c>
      <c r="E6888" s="52" t="s">
        <v>25</v>
      </c>
      <c r="F6888" s="52" t="s">
        <v>26</v>
      </c>
      <c r="G6888" s="54"/>
    </row>
    <row r="6889">
      <c r="A6889" s="49">
        <v>45093.61215107639</v>
      </c>
      <c r="B6889" s="50">
        <v>45093.7371260764</v>
      </c>
      <c r="C6889" s="51">
        <v>1.002</v>
      </c>
      <c r="D6889" s="51">
        <v>68.0</v>
      </c>
      <c r="E6889" s="52" t="s">
        <v>25</v>
      </c>
      <c r="F6889" s="52" t="s">
        <v>26</v>
      </c>
      <c r="G6889" s="54"/>
    </row>
    <row r="6890">
      <c r="A6890" s="49">
        <v>45093.622573518514</v>
      </c>
      <c r="B6890" s="50">
        <v>45093.7475462731</v>
      </c>
      <c r="C6890" s="51">
        <v>1.003</v>
      </c>
      <c r="D6890" s="51">
        <v>68.0</v>
      </c>
      <c r="E6890" s="52" t="s">
        <v>25</v>
      </c>
      <c r="F6890" s="52" t="s">
        <v>26</v>
      </c>
      <c r="G6890" s="54"/>
    </row>
    <row r="6891">
      <c r="A6891" s="49">
        <v>45093.632994178246</v>
      </c>
      <c r="B6891" s="50">
        <v>45093.7579672337</v>
      </c>
      <c r="C6891" s="51">
        <v>1.002</v>
      </c>
      <c r="D6891" s="51">
        <v>68.0</v>
      </c>
      <c r="E6891" s="52" t="s">
        <v>25</v>
      </c>
      <c r="F6891" s="52" t="s">
        <v>26</v>
      </c>
      <c r="G6891" s="54"/>
    </row>
    <row r="6892">
      <c r="A6892" s="49">
        <v>45093.643415625</v>
      </c>
      <c r="B6892" s="50">
        <v>45093.7683880671</v>
      </c>
      <c r="C6892" s="51">
        <v>1.002</v>
      </c>
      <c r="D6892" s="51">
        <v>68.0</v>
      </c>
      <c r="E6892" s="52" t="s">
        <v>25</v>
      </c>
      <c r="F6892" s="52" t="s">
        <v>26</v>
      </c>
      <c r="G6892" s="54"/>
    </row>
    <row r="6893">
      <c r="A6893" s="49">
        <v>45093.653827581016</v>
      </c>
      <c r="B6893" s="50">
        <v>45093.7788080555</v>
      </c>
      <c r="C6893" s="51">
        <v>1.002</v>
      </c>
      <c r="D6893" s="51">
        <v>68.0</v>
      </c>
      <c r="E6893" s="52" t="s">
        <v>25</v>
      </c>
      <c r="F6893" s="52" t="s">
        <v>26</v>
      </c>
      <c r="G6893" s="54"/>
    </row>
    <row r="6894">
      <c r="A6894" s="49">
        <v>45093.67467767361</v>
      </c>
      <c r="B6894" s="50">
        <v>45093.7996502662</v>
      </c>
      <c r="C6894" s="51">
        <v>1.002</v>
      </c>
      <c r="D6894" s="51">
        <v>68.0</v>
      </c>
      <c r="E6894" s="52" t="s">
        <v>25</v>
      </c>
      <c r="F6894" s="52" t="s">
        <v>26</v>
      </c>
      <c r="G6894" s="54"/>
    </row>
    <row r="6895">
      <c r="A6895" s="49">
        <v>45093.68510055555</v>
      </c>
      <c r="B6895" s="50">
        <v>45093.8100718865</v>
      </c>
      <c r="C6895" s="51">
        <v>1.002</v>
      </c>
      <c r="D6895" s="51">
        <v>68.0</v>
      </c>
      <c r="E6895" s="52" t="s">
        <v>25</v>
      </c>
      <c r="F6895" s="52" t="s">
        <v>26</v>
      </c>
      <c r="G6895" s="54"/>
    </row>
    <row r="6896">
      <c r="A6896" s="49">
        <v>45093.695517291664</v>
      </c>
      <c r="B6896" s="50">
        <v>45093.8204927314</v>
      </c>
      <c r="C6896" s="51">
        <v>1.002</v>
      </c>
      <c r="D6896" s="51">
        <v>68.0</v>
      </c>
      <c r="E6896" s="52" t="s">
        <v>25</v>
      </c>
      <c r="F6896" s="52" t="s">
        <v>26</v>
      </c>
      <c r="G6896" s="54"/>
    </row>
    <row r="6897">
      <c r="A6897" s="49">
        <v>45093.70594181713</v>
      </c>
      <c r="B6897" s="50">
        <v>45093.8309144213</v>
      </c>
      <c r="C6897" s="51">
        <v>1.002</v>
      </c>
      <c r="D6897" s="51">
        <v>68.0</v>
      </c>
      <c r="E6897" s="52" t="s">
        <v>25</v>
      </c>
      <c r="F6897" s="52" t="s">
        <v>26</v>
      </c>
      <c r="G6897" s="54"/>
    </row>
    <row r="6898">
      <c r="A6898" s="49">
        <v>45093.71636202546</v>
      </c>
      <c r="B6898" s="50">
        <v>45093.841337037</v>
      </c>
      <c r="C6898" s="51">
        <v>1.002</v>
      </c>
      <c r="D6898" s="51">
        <v>68.0</v>
      </c>
      <c r="E6898" s="52" t="s">
        <v>25</v>
      </c>
      <c r="F6898" s="52" t="s">
        <v>26</v>
      </c>
      <c r="G6898" s="54"/>
    </row>
    <row r="6899">
      <c r="A6899" s="49">
        <v>45093.7268025463</v>
      </c>
      <c r="B6899" s="50">
        <v>45093.8517822337</v>
      </c>
      <c r="C6899" s="51">
        <v>1.002</v>
      </c>
      <c r="D6899" s="51">
        <v>68.0</v>
      </c>
      <c r="E6899" s="52" t="s">
        <v>25</v>
      </c>
      <c r="F6899" s="52" t="s">
        <v>26</v>
      </c>
      <c r="G6899" s="54"/>
    </row>
    <row r="6900">
      <c r="A6900" s="49">
        <v>45093.73723186343</v>
      </c>
      <c r="B6900" s="50">
        <v>45093.8622037268</v>
      </c>
      <c r="C6900" s="51">
        <v>1.002</v>
      </c>
      <c r="D6900" s="51">
        <v>68.0</v>
      </c>
      <c r="E6900" s="52" t="s">
        <v>25</v>
      </c>
      <c r="F6900" s="52" t="s">
        <v>26</v>
      </c>
      <c r="G6900" s="54"/>
    </row>
    <row r="6901">
      <c r="A6901" s="49">
        <v>45093.74765273149</v>
      </c>
      <c r="B6901" s="50">
        <v>45093.8726242129</v>
      </c>
      <c r="C6901" s="51">
        <v>1.002</v>
      </c>
      <c r="D6901" s="51">
        <v>68.0</v>
      </c>
      <c r="E6901" s="52" t="s">
        <v>25</v>
      </c>
      <c r="F6901" s="52" t="s">
        <v>26</v>
      </c>
      <c r="G6901" s="54"/>
    </row>
    <row r="6902">
      <c r="A6902" s="49">
        <v>45093.75806850694</v>
      </c>
      <c r="B6902" s="50">
        <v>45093.8830455671</v>
      </c>
      <c r="C6902" s="51">
        <v>1.002</v>
      </c>
      <c r="D6902" s="51">
        <v>68.0</v>
      </c>
      <c r="E6902" s="52" t="s">
        <v>25</v>
      </c>
      <c r="F6902" s="52" t="s">
        <v>26</v>
      </c>
      <c r="G6902" s="54"/>
    </row>
    <row r="6903">
      <c r="A6903" s="49">
        <v>45093.768495254626</v>
      </c>
      <c r="B6903" s="50">
        <v>45093.8934666898</v>
      </c>
      <c r="C6903" s="51">
        <v>1.002</v>
      </c>
      <c r="D6903" s="51">
        <v>68.0</v>
      </c>
      <c r="E6903" s="52" t="s">
        <v>25</v>
      </c>
      <c r="F6903" s="52" t="s">
        <v>26</v>
      </c>
      <c r="G6903" s="54"/>
    </row>
    <row r="6904">
      <c r="A6904" s="49">
        <v>45093.77894615741</v>
      </c>
      <c r="B6904" s="50">
        <v>45093.9039232754</v>
      </c>
      <c r="C6904" s="51">
        <v>1.002</v>
      </c>
      <c r="D6904" s="51">
        <v>68.0</v>
      </c>
      <c r="E6904" s="52" t="s">
        <v>25</v>
      </c>
      <c r="F6904" s="52" t="s">
        <v>26</v>
      </c>
      <c r="G6904" s="54"/>
    </row>
    <row r="6905">
      <c r="A6905" s="49">
        <v>45093.789362881944</v>
      </c>
      <c r="B6905" s="50">
        <v>45093.9143442129</v>
      </c>
      <c r="C6905" s="51">
        <v>1.002</v>
      </c>
      <c r="D6905" s="51">
        <v>68.0</v>
      </c>
      <c r="E6905" s="52" t="s">
        <v>25</v>
      </c>
      <c r="F6905" s="52" t="s">
        <v>26</v>
      </c>
      <c r="G6905" s="54"/>
    </row>
    <row r="6906">
      <c r="A6906" s="49">
        <v>45093.79980603009</v>
      </c>
      <c r="B6906" s="50">
        <v>45093.924778449</v>
      </c>
      <c r="C6906" s="51">
        <v>1.002</v>
      </c>
      <c r="D6906" s="51">
        <v>68.0</v>
      </c>
      <c r="E6906" s="52" t="s">
        <v>25</v>
      </c>
      <c r="F6906" s="52" t="s">
        <v>26</v>
      </c>
      <c r="G6906" s="54"/>
    </row>
    <row r="6907">
      <c r="A6907" s="49">
        <v>45093.810234756944</v>
      </c>
      <c r="B6907" s="50">
        <v>45093.9352101967</v>
      </c>
      <c r="C6907" s="51">
        <v>1.002</v>
      </c>
      <c r="D6907" s="51">
        <v>68.0</v>
      </c>
      <c r="E6907" s="52" t="s">
        <v>25</v>
      </c>
      <c r="F6907" s="52" t="s">
        <v>26</v>
      </c>
      <c r="G6907" s="54"/>
    </row>
    <row r="6908">
      <c r="A6908" s="49">
        <v>45093.82065729167</v>
      </c>
      <c r="B6908" s="50">
        <v>45093.9456300578</v>
      </c>
      <c r="C6908" s="51">
        <v>1.003</v>
      </c>
      <c r="D6908" s="51">
        <v>68.0</v>
      </c>
      <c r="E6908" s="52" t="s">
        <v>25</v>
      </c>
      <c r="F6908" s="52" t="s">
        <v>26</v>
      </c>
      <c r="G6908" s="54"/>
    </row>
    <row r="6909">
      <c r="A6909" s="49">
        <v>45093.83107972222</v>
      </c>
      <c r="B6909" s="50">
        <v>45093.9560537152</v>
      </c>
      <c r="C6909" s="51">
        <v>1.002</v>
      </c>
      <c r="D6909" s="51">
        <v>68.0</v>
      </c>
      <c r="E6909" s="52" t="s">
        <v>25</v>
      </c>
      <c r="F6909" s="52" t="s">
        <v>26</v>
      </c>
      <c r="G6909" s="54"/>
    </row>
    <row r="6910">
      <c r="A6910" s="49">
        <v>45093.841501469906</v>
      </c>
      <c r="B6910" s="50">
        <v>45093.9664748495</v>
      </c>
      <c r="C6910" s="51">
        <v>1.003</v>
      </c>
      <c r="D6910" s="51">
        <v>68.0</v>
      </c>
      <c r="E6910" s="52" t="s">
        <v>25</v>
      </c>
      <c r="F6910" s="52" t="s">
        <v>26</v>
      </c>
      <c r="G6910" s="54"/>
    </row>
    <row r="6911">
      <c r="A6911" s="49">
        <v>45093.85192606482</v>
      </c>
      <c r="B6911" s="50">
        <v>45093.9768966087</v>
      </c>
      <c r="C6911" s="51">
        <v>1.002</v>
      </c>
      <c r="D6911" s="51">
        <v>68.0</v>
      </c>
      <c r="E6911" s="52" t="s">
        <v>25</v>
      </c>
      <c r="F6911" s="52" t="s">
        <v>26</v>
      </c>
      <c r="G6911" s="54"/>
    </row>
    <row r="6912">
      <c r="A6912" s="49">
        <v>45093.86235524305</v>
      </c>
      <c r="B6912" s="50">
        <v>45093.9873301273</v>
      </c>
      <c r="C6912" s="51">
        <v>1.002</v>
      </c>
      <c r="D6912" s="51">
        <v>68.0</v>
      </c>
      <c r="E6912" s="52" t="s">
        <v>25</v>
      </c>
      <c r="F6912" s="52" t="s">
        <v>26</v>
      </c>
      <c r="G6912" s="54"/>
    </row>
    <row r="6913">
      <c r="A6913" s="49">
        <v>45093.883196724535</v>
      </c>
      <c r="B6913" s="50">
        <v>45094.0081728472</v>
      </c>
      <c r="C6913" s="51">
        <v>1.002</v>
      </c>
      <c r="D6913" s="51">
        <v>68.0</v>
      </c>
      <c r="E6913" s="52" t="s">
        <v>25</v>
      </c>
      <c r="F6913" s="52" t="s">
        <v>26</v>
      </c>
      <c r="G6913" s="54"/>
    </row>
    <row r="6914">
      <c r="A6914" s="49">
        <v>45093.89362173611</v>
      </c>
      <c r="B6914" s="50">
        <v>45094.0185947337</v>
      </c>
      <c r="C6914" s="51">
        <v>1.002</v>
      </c>
      <c r="D6914" s="51">
        <v>68.0</v>
      </c>
      <c r="E6914" s="52" t="s">
        <v>25</v>
      </c>
      <c r="F6914" s="52" t="s">
        <v>26</v>
      </c>
      <c r="G6914" s="54"/>
    </row>
    <row r="6915">
      <c r="A6915" s="49">
        <v>45093.90403791667</v>
      </c>
      <c r="B6915" s="50">
        <v>45094.0290176157</v>
      </c>
      <c r="C6915" s="51">
        <v>1.002</v>
      </c>
      <c r="D6915" s="51">
        <v>68.0</v>
      </c>
      <c r="E6915" s="52" t="s">
        <v>25</v>
      </c>
      <c r="F6915" s="52" t="s">
        <v>26</v>
      </c>
      <c r="G6915" s="54"/>
    </row>
    <row r="6916">
      <c r="A6916" s="49">
        <v>45093.91446325231</v>
      </c>
      <c r="B6916" s="50">
        <v>45094.0394374189</v>
      </c>
      <c r="C6916" s="51">
        <v>1.002</v>
      </c>
      <c r="D6916" s="51">
        <v>68.0</v>
      </c>
      <c r="E6916" s="52" t="s">
        <v>25</v>
      </c>
      <c r="F6916" s="52" t="s">
        <v>26</v>
      </c>
      <c r="G6916" s="54"/>
    </row>
    <row r="6917">
      <c r="A6917" s="49">
        <v>45093.92488802083</v>
      </c>
      <c r="B6917" s="50">
        <v>45094.0498565277</v>
      </c>
      <c r="C6917" s="51">
        <v>1.003</v>
      </c>
      <c r="D6917" s="51">
        <v>68.0</v>
      </c>
      <c r="E6917" s="52" t="s">
        <v>25</v>
      </c>
      <c r="F6917" s="52" t="s">
        <v>26</v>
      </c>
      <c r="G6917" s="54"/>
    </row>
    <row r="6918">
      <c r="A6918" s="49">
        <v>45093.935306168976</v>
      </c>
      <c r="B6918" s="50">
        <v>45094.0602775</v>
      </c>
      <c r="C6918" s="51">
        <v>1.002</v>
      </c>
      <c r="D6918" s="51">
        <v>68.0</v>
      </c>
      <c r="E6918" s="52" t="s">
        <v>25</v>
      </c>
      <c r="F6918" s="52" t="s">
        <v>26</v>
      </c>
      <c r="G6918" s="54"/>
    </row>
    <row r="6919">
      <c r="A6919" s="49">
        <v>45093.94572467593</v>
      </c>
      <c r="B6919" s="50">
        <v>45094.0706977083</v>
      </c>
      <c r="C6919" s="51">
        <v>1.002</v>
      </c>
      <c r="D6919" s="51">
        <v>68.0</v>
      </c>
      <c r="E6919" s="52" t="s">
        <v>25</v>
      </c>
      <c r="F6919" s="52" t="s">
        <v>26</v>
      </c>
      <c r="G6919" s="54"/>
    </row>
    <row r="6920">
      <c r="A6920" s="49">
        <v>45093.95615809028</v>
      </c>
      <c r="B6920" s="50">
        <v>45094.0811301273</v>
      </c>
      <c r="C6920" s="51">
        <v>1.002</v>
      </c>
      <c r="D6920" s="51">
        <v>68.0</v>
      </c>
      <c r="E6920" s="52" t="s">
        <v>25</v>
      </c>
      <c r="F6920" s="52" t="s">
        <v>26</v>
      </c>
      <c r="G6920" s="54"/>
    </row>
    <row r="6921">
      <c r="A6921" s="49">
        <v>45093.9665691088</v>
      </c>
      <c r="B6921" s="50">
        <v>45094.0915496643</v>
      </c>
      <c r="C6921" s="51">
        <v>1.002</v>
      </c>
      <c r="D6921" s="51">
        <v>68.0</v>
      </c>
      <c r="E6921" s="52" t="s">
        <v>25</v>
      </c>
      <c r="F6921" s="52" t="s">
        <v>26</v>
      </c>
      <c r="G6921" s="54"/>
    </row>
    <row r="6922">
      <c r="A6922" s="49">
        <v>45093.976994375</v>
      </c>
      <c r="B6922" s="50">
        <v>45094.101971574</v>
      </c>
      <c r="C6922" s="51">
        <v>1.002</v>
      </c>
      <c r="D6922" s="51">
        <v>68.0</v>
      </c>
      <c r="E6922" s="52" t="s">
        <v>25</v>
      </c>
      <c r="F6922" s="52" t="s">
        <v>26</v>
      </c>
      <c r="G6922" s="54"/>
    </row>
    <row r="6923">
      <c r="A6923" s="49">
        <v>45093.98741598379</v>
      </c>
      <c r="B6923" s="50">
        <v>45094.1123928588</v>
      </c>
      <c r="C6923" s="51">
        <v>1.002</v>
      </c>
      <c r="D6923" s="51">
        <v>68.0</v>
      </c>
      <c r="E6923" s="52" t="s">
        <v>25</v>
      </c>
      <c r="F6923" s="52" t="s">
        <v>26</v>
      </c>
      <c r="G6923" s="54"/>
    </row>
    <row r="6924">
      <c r="A6924" s="49">
        <v>45093.99786289352</v>
      </c>
      <c r="B6924" s="50">
        <v>45094.1228376388</v>
      </c>
      <c r="C6924" s="51">
        <v>1.002</v>
      </c>
      <c r="D6924" s="51">
        <v>68.0</v>
      </c>
      <c r="E6924" s="52" t="s">
        <v>25</v>
      </c>
      <c r="F6924" s="52" t="s">
        <v>26</v>
      </c>
      <c r="G6924" s="54"/>
    </row>
    <row r="6925">
      <c r="A6925" s="49">
        <v>45094.008315150466</v>
      </c>
      <c r="B6925" s="50">
        <v>45094.1332943287</v>
      </c>
      <c r="C6925" s="51">
        <v>1.002</v>
      </c>
      <c r="D6925" s="51">
        <v>68.0</v>
      </c>
      <c r="E6925" s="52" t="s">
        <v>25</v>
      </c>
      <c r="F6925" s="52" t="s">
        <v>26</v>
      </c>
      <c r="G6925" s="54"/>
    </row>
    <row r="6926">
      <c r="A6926" s="49">
        <v>45094.018735370366</v>
      </c>
      <c r="B6926" s="50">
        <v>45094.1437161921</v>
      </c>
      <c r="C6926" s="51">
        <v>1.002</v>
      </c>
      <c r="D6926" s="51">
        <v>68.0</v>
      </c>
      <c r="E6926" s="52" t="s">
        <v>25</v>
      </c>
      <c r="F6926" s="52" t="s">
        <v>26</v>
      </c>
      <c r="G6926" s="54"/>
    </row>
    <row r="6927">
      <c r="A6927" s="49">
        <v>45094.02916081018</v>
      </c>
      <c r="B6927" s="50">
        <v>45094.154137824</v>
      </c>
      <c r="C6927" s="51">
        <v>1.002</v>
      </c>
      <c r="D6927" s="51">
        <v>68.0</v>
      </c>
      <c r="E6927" s="52" t="s">
        <v>25</v>
      </c>
      <c r="F6927" s="52" t="s">
        <v>26</v>
      </c>
      <c r="G6927" s="54"/>
    </row>
    <row r="6928">
      <c r="A6928" s="49">
        <v>45094.03958689814</v>
      </c>
      <c r="B6928" s="50">
        <v>45094.1645583101</v>
      </c>
      <c r="C6928" s="51">
        <v>1.002</v>
      </c>
      <c r="D6928" s="51">
        <v>68.0</v>
      </c>
      <c r="E6928" s="52" t="s">
        <v>25</v>
      </c>
      <c r="F6928" s="52" t="s">
        <v>26</v>
      </c>
      <c r="G6928" s="54"/>
    </row>
    <row r="6929">
      <c r="A6929" s="49">
        <v>45094.05001636574</v>
      </c>
      <c r="B6929" s="50">
        <v>45094.1749907523</v>
      </c>
      <c r="C6929" s="51">
        <v>1.002</v>
      </c>
      <c r="D6929" s="51">
        <v>68.0</v>
      </c>
      <c r="E6929" s="52" t="s">
        <v>25</v>
      </c>
      <c r="F6929" s="52" t="s">
        <v>26</v>
      </c>
      <c r="G6929" s="54"/>
    </row>
    <row r="6930">
      <c r="A6930" s="49">
        <v>45094.06044321759</v>
      </c>
      <c r="B6930" s="50">
        <v>45094.1854127314</v>
      </c>
      <c r="C6930" s="51">
        <v>1.002</v>
      </c>
      <c r="D6930" s="51">
        <v>68.0</v>
      </c>
      <c r="E6930" s="52" t="s">
        <v>25</v>
      </c>
      <c r="F6930" s="52" t="s">
        <v>26</v>
      </c>
      <c r="G6930" s="54"/>
    </row>
    <row r="6931">
      <c r="A6931" s="49">
        <v>45094.07086018518</v>
      </c>
      <c r="B6931" s="50">
        <v>45094.1958350578</v>
      </c>
      <c r="C6931" s="51">
        <v>1.002</v>
      </c>
      <c r="D6931" s="51">
        <v>68.0</v>
      </c>
      <c r="E6931" s="52" t="s">
        <v>25</v>
      </c>
      <c r="F6931" s="52" t="s">
        <v>26</v>
      </c>
      <c r="G6931" s="54"/>
    </row>
    <row r="6932">
      <c r="A6932" s="49">
        <v>45094.08128533565</v>
      </c>
      <c r="B6932" s="50">
        <v>45094.2062572685</v>
      </c>
      <c r="C6932" s="51">
        <v>1.002</v>
      </c>
      <c r="D6932" s="51">
        <v>68.0</v>
      </c>
      <c r="E6932" s="52" t="s">
        <v>25</v>
      </c>
      <c r="F6932" s="52" t="s">
        <v>26</v>
      </c>
      <c r="G6932" s="54"/>
    </row>
    <row r="6933">
      <c r="A6933" s="49">
        <v>45094.09171076389</v>
      </c>
      <c r="B6933" s="50">
        <v>45094.2166791666</v>
      </c>
      <c r="C6933" s="51">
        <v>1.002</v>
      </c>
      <c r="D6933" s="51">
        <v>67.0</v>
      </c>
      <c r="E6933" s="52" t="s">
        <v>25</v>
      </c>
      <c r="F6933" s="52" t="s">
        <v>26</v>
      </c>
      <c r="G6933" s="54"/>
    </row>
    <row r="6934">
      <c r="A6934" s="49">
        <v>45094.102126701386</v>
      </c>
      <c r="B6934" s="50">
        <v>45094.2271009375</v>
      </c>
      <c r="C6934" s="51">
        <v>1.002</v>
      </c>
      <c r="D6934" s="51">
        <v>68.0</v>
      </c>
      <c r="E6934" s="52" t="s">
        <v>25</v>
      </c>
      <c r="F6934" s="52" t="s">
        <v>26</v>
      </c>
      <c r="G6934" s="54"/>
    </row>
    <row r="6935">
      <c r="A6935" s="49">
        <v>45094.112554374995</v>
      </c>
      <c r="B6935" s="50">
        <v>45094.2375227314</v>
      </c>
      <c r="C6935" s="51">
        <v>1.002</v>
      </c>
      <c r="D6935" s="51">
        <v>68.0</v>
      </c>
      <c r="E6935" s="52" t="s">
        <v>25</v>
      </c>
      <c r="F6935" s="52" t="s">
        <v>26</v>
      </c>
      <c r="G6935" s="54"/>
    </row>
    <row r="6936">
      <c r="A6936" s="49">
        <v>45094.122975844904</v>
      </c>
      <c r="B6936" s="50">
        <v>45094.2479568402</v>
      </c>
      <c r="C6936" s="51">
        <v>1.002</v>
      </c>
      <c r="D6936" s="51">
        <v>68.0</v>
      </c>
      <c r="E6936" s="52" t="s">
        <v>25</v>
      </c>
      <c r="F6936" s="52" t="s">
        <v>26</v>
      </c>
      <c r="G6936" s="54"/>
    </row>
    <row r="6937">
      <c r="A6937" s="49">
        <v>45094.13340722222</v>
      </c>
      <c r="B6937" s="50">
        <v>45094.2583787963</v>
      </c>
      <c r="C6937" s="51">
        <v>1.002</v>
      </c>
      <c r="D6937" s="51">
        <v>68.0</v>
      </c>
      <c r="E6937" s="52" t="s">
        <v>25</v>
      </c>
      <c r="F6937" s="52" t="s">
        <v>26</v>
      </c>
      <c r="G6937" s="54"/>
    </row>
    <row r="6938">
      <c r="A6938" s="49">
        <v>45094.14382125</v>
      </c>
      <c r="B6938" s="50">
        <v>45094.2688001041</v>
      </c>
      <c r="C6938" s="51">
        <v>1.002</v>
      </c>
      <c r="D6938" s="51">
        <v>68.0</v>
      </c>
      <c r="E6938" s="52" t="s">
        <v>25</v>
      </c>
      <c r="F6938" s="52" t="s">
        <v>26</v>
      </c>
      <c r="G6938" s="54"/>
    </row>
    <row r="6939">
      <c r="A6939" s="49">
        <v>45094.15425011574</v>
      </c>
      <c r="B6939" s="50">
        <v>45094.2792211574</v>
      </c>
      <c r="C6939" s="51">
        <v>1.002</v>
      </c>
      <c r="D6939" s="51">
        <v>68.0</v>
      </c>
      <c r="E6939" s="52" t="s">
        <v>25</v>
      </c>
      <c r="F6939" s="52" t="s">
        <v>26</v>
      </c>
      <c r="G6939" s="54"/>
    </row>
    <row r="6940">
      <c r="A6940" s="49">
        <v>45094.164677442124</v>
      </c>
      <c r="B6940" s="50">
        <v>45094.2896533796</v>
      </c>
      <c r="C6940" s="51">
        <v>1.002</v>
      </c>
      <c r="D6940" s="51">
        <v>68.0</v>
      </c>
      <c r="E6940" s="52" t="s">
        <v>25</v>
      </c>
      <c r="F6940" s="52" t="s">
        <v>26</v>
      </c>
      <c r="G6940" s="54"/>
    </row>
    <row r="6941">
      <c r="A6941" s="49">
        <v>45094.175106863426</v>
      </c>
      <c r="B6941" s="50">
        <v>45094.3000750694</v>
      </c>
      <c r="C6941" s="51">
        <v>1.002</v>
      </c>
      <c r="D6941" s="51">
        <v>68.0</v>
      </c>
      <c r="E6941" s="52" t="s">
        <v>25</v>
      </c>
      <c r="F6941" s="52" t="s">
        <v>26</v>
      </c>
      <c r="G6941" s="54"/>
    </row>
    <row r="6942">
      <c r="A6942" s="49">
        <v>45094.18551896991</v>
      </c>
      <c r="B6942" s="50">
        <v>45094.3104954513</v>
      </c>
      <c r="C6942" s="51">
        <v>1.002</v>
      </c>
      <c r="D6942" s="51">
        <v>68.0</v>
      </c>
      <c r="E6942" s="52" t="s">
        <v>25</v>
      </c>
      <c r="F6942" s="52" t="s">
        <v>26</v>
      </c>
      <c r="G6942" s="54"/>
    </row>
    <row r="6943">
      <c r="A6943" s="49">
        <v>45094.195948865745</v>
      </c>
      <c r="B6943" s="50">
        <v>45094.3209164583</v>
      </c>
      <c r="C6943" s="51">
        <v>1.002</v>
      </c>
      <c r="D6943" s="51">
        <v>68.0</v>
      </c>
      <c r="E6943" s="52" t="s">
        <v>25</v>
      </c>
      <c r="F6943" s="52" t="s">
        <v>26</v>
      </c>
      <c r="G6943" s="54"/>
    </row>
    <row r="6944">
      <c r="A6944" s="49">
        <v>45094.20637581019</v>
      </c>
      <c r="B6944" s="50">
        <v>45094.3313476504</v>
      </c>
      <c r="C6944" s="51">
        <v>1.002</v>
      </c>
      <c r="D6944" s="51">
        <v>68.0</v>
      </c>
      <c r="E6944" s="52" t="s">
        <v>25</v>
      </c>
      <c r="F6944" s="52" t="s">
        <v>26</v>
      </c>
      <c r="G6944" s="54"/>
    </row>
    <row r="6945">
      <c r="A6945" s="49">
        <v>45094.2167984375</v>
      </c>
      <c r="B6945" s="50">
        <v>45094.3417693634</v>
      </c>
      <c r="C6945" s="51">
        <v>1.002</v>
      </c>
      <c r="D6945" s="51">
        <v>68.0</v>
      </c>
      <c r="E6945" s="52" t="s">
        <v>25</v>
      </c>
      <c r="F6945" s="52" t="s">
        <v>26</v>
      </c>
      <c r="G6945" s="54"/>
    </row>
    <row r="6946">
      <c r="A6946" s="49">
        <v>45094.22721946759</v>
      </c>
      <c r="B6946" s="50">
        <v>45094.3521914583</v>
      </c>
      <c r="C6946" s="51">
        <v>1.002</v>
      </c>
      <c r="D6946" s="51">
        <v>68.0</v>
      </c>
      <c r="E6946" s="52" t="s">
        <v>25</v>
      </c>
      <c r="F6946" s="52" t="s">
        <v>26</v>
      </c>
      <c r="G6946" s="54"/>
    </row>
    <row r="6947">
      <c r="A6947" s="49">
        <v>45094.23763675926</v>
      </c>
      <c r="B6947" s="50">
        <v>45094.3626116203</v>
      </c>
      <c r="C6947" s="51">
        <v>1.002</v>
      </c>
      <c r="D6947" s="51">
        <v>68.0</v>
      </c>
      <c r="E6947" s="52" t="s">
        <v>25</v>
      </c>
      <c r="F6947" s="52" t="s">
        <v>26</v>
      </c>
      <c r="G6947" s="54"/>
    </row>
    <row r="6948">
      <c r="A6948" s="49">
        <v>45094.248056400465</v>
      </c>
      <c r="B6948" s="50">
        <v>45094.3730312615</v>
      </c>
      <c r="C6948" s="51">
        <v>1.002</v>
      </c>
      <c r="D6948" s="51">
        <v>68.0</v>
      </c>
      <c r="E6948" s="52" t="s">
        <v>25</v>
      </c>
      <c r="F6948" s="52" t="s">
        <v>26</v>
      </c>
      <c r="G6948" s="54"/>
    </row>
    <row r="6949">
      <c r="A6949" s="49">
        <v>45094.25847527778</v>
      </c>
      <c r="B6949" s="50">
        <v>45094.383452118</v>
      </c>
      <c r="C6949" s="51">
        <v>1.002</v>
      </c>
      <c r="D6949" s="51">
        <v>68.0</v>
      </c>
      <c r="E6949" s="52" t="s">
        <v>25</v>
      </c>
      <c r="F6949" s="52" t="s">
        <v>26</v>
      </c>
      <c r="G6949" s="54"/>
    </row>
    <row r="6950">
      <c r="A6950" s="49">
        <v>45094.26889578704</v>
      </c>
      <c r="B6950" s="50">
        <v>45094.3938721064</v>
      </c>
      <c r="C6950" s="51">
        <v>1.002</v>
      </c>
      <c r="D6950" s="51">
        <v>67.0</v>
      </c>
      <c r="E6950" s="52" t="s">
        <v>25</v>
      </c>
      <c r="F6950" s="52" t="s">
        <v>26</v>
      </c>
      <c r="G6950" s="54"/>
    </row>
    <row r="6951">
      <c r="A6951" s="49">
        <v>45094.27936443287</v>
      </c>
      <c r="B6951" s="50">
        <v>45094.4043052546</v>
      </c>
      <c r="C6951" s="51">
        <v>1.002</v>
      </c>
      <c r="D6951" s="51">
        <v>68.0</v>
      </c>
      <c r="E6951" s="52" t="s">
        <v>25</v>
      </c>
      <c r="F6951" s="52" t="s">
        <v>26</v>
      </c>
      <c r="G6951" s="54"/>
    </row>
    <row r="6952">
      <c r="A6952" s="49">
        <v>45094.28975458333</v>
      </c>
      <c r="B6952" s="50">
        <v>45094.414727581</v>
      </c>
      <c r="C6952" s="51">
        <v>1.002</v>
      </c>
      <c r="D6952" s="51">
        <v>68.0</v>
      </c>
      <c r="E6952" s="52" t="s">
        <v>25</v>
      </c>
      <c r="F6952" s="52" t="s">
        <v>26</v>
      </c>
      <c r="G6952" s="54"/>
    </row>
    <row r="6953">
      <c r="A6953" s="49">
        <v>45094.300186493056</v>
      </c>
      <c r="B6953" s="50">
        <v>45094.4251606018</v>
      </c>
      <c r="C6953" s="51">
        <v>1.002</v>
      </c>
      <c r="D6953" s="51">
        <v>68.0</v>
      </c>
      <c r="E6953" s="52" t="s">
        <v>25</v>
      </c>
      <c r="F6953" s="52" t="s">
        <v>26</v>
      </c>
      <c r="G6953" s="54"/>
    </row>
    <row r="6954">
      <c r="A6954" s="49">
        <v>45094.31060363426</v>
      </c>
      <c r="B6954" s="50">
        <v>45094.4355842824</v>
      </c>
      <c r="C6954" s="51">
        <v>1.002</v>
      </c>
      <c r="D6954" s="51">
        <v>68.0</v>
      </c>
      <c r="E6954" s="52" t="s">
        <v>25</v>
      </c>
      <c r="F6954" s="52" t="s">
        <v>26</v>
      </c>
      <c r="G6954" s="54"/>
    </row>
    <row r="6955">
      <c r="A6955" s="49">
        <v>45094.32103802083</v>
      </c>
      <c r="B6955" s="50">
        <v>45094.4460030902</v>
      </c>
      <c r="C6955" s="51">
        <v>1.002</v>
      </c>
      <c r="D6955" s="51">
        <v>67.0</v>
      </c>
      <c r="E6955" s="52" t="s">
        <v>25</v>
      </c>
      <c r="F6955" s="52" t="s">
        <v>26</v>
      </c>
      <c r="G6955" s="54"/>
    </row>
    <row r="6956">
      <c r="A6956" s="49">
        <v>45094.33145542824</v>
      </c>
      <c r="B6956" s="50">
        <v>45094.4564338657</v>
      </c>
      <c r="C6956" s="51">
        <v>1.002</v>
      </c>
      <c r="D6956" s="51">
        <v>68.0</v>
      </c>
      <c r="E6956" s="52" t="s">
        <v>25</v>
      </c>
      <c r="F6956" s="52" t="s">
        <v>26</v>
      </c>
      <c r="G6956" s="54"/>
    </row>
    <row r="6957">
      <c r="A6957" s="49">
        <v>45094.341878402774</v>
      </c>
      <c r="B6957" s="50">
        <v>45094.466855706</v>
      </c>
      <c r="C6957" s="51">
        <v>1.002</v>
      </c>
      <c r="D6957" s="51">
        <v>67.0</v>
      </c>
      <c r="E6957" s="52" t="s">
        <v>25</v>
      </c>
      <c r="F6957" s="52" t="s">
        <v>26</v>
      </c>
      <c r="G6957" s="54"/>
    </row>
    <row r="6958">
      <c r="A6958" s="49">
        <v>45094.35230136574</v>
      </c>
      <c r="B6958" s="50">
        <v>45094.4772773726</v>
      </c>
      <c r="C6958" s="51">
        <v>1.002</v>
      </c>
      <c r="D6958" s="51">
        <v>68.0</v>
      </c>
      <c r="E6958" s="52" t="s">
        <v>25</v>
      </c>
      <c r="F6958" s="52" t="s">
        <v>26</v>
      </c>
      <c r="G6958" s="54"/>
    </row>
    <row r="6959">
      <c r="A6959" s="49">
        <v>45094.362724363426</v>
      </c>
      <c r="B6959" s="50">
        <v>45094.4876984375</v>
      </c>
      <c r="C6959" s="51">
        <v>1.002</v>
      </c>
      <c r="D6959" s="51">
        <v>68.0</v>
      </c>
      <c r="E6959" s="52" t="s">
        <v>25</v>
      </c>
      <c r="F6959" s="52" t="s">
        <v>26</v>
      </c>
      <c r="G6959" s="54"/>
    </row>
    <row r="6960">
      <c r="A6960" s="49">
        <v>45094.37314420139</v>
      </c>
      <c r="B6960" s="50">
        <v>45094.4981196064</v>
      </c>
      <c r="C6960" s="51">
        <v>1.002</v>
      </c>
      <c r="D6960" s="51">
        <v>68.0</v>
      </c>
      <c r="E6960" s="52" t="s">
        <v>25</v>
      </c>
      <c r="F6960" s="52" t="s">
        <v>26</v>
      </c>
      <c r="G6960" s="54"/>
    </row>
    <row r="6961">
      <c r="A6961" s="49">
        <v>45094.38356377315</v>
      </c>
      <c r="B6961" s="50">
        <v>45094.5085401851</v>
      </c>
      <c r="C6961" s="51">
        <v>1.002</v>
      </c>
      <c r="D6961" s="51">
        <v>68.0</v>
      </c>
      <c r="E6961" s="52" t="s">
        <v>25</v>
      </c>
      <c r="F6961" s="52" t="s">
        <v>26</v>
      </c>
      <c r="G6961" s="54"/>
    </row>
    <row r="6962">
      <c r="A6962" s="49">
        <v>45094.393999479165</v>
      </c>
      <c r="B6962" s="50">
        <v>45094.5189726967</v>
      </c>
      <c r="C6962" s="51">
        <v>1.002</v>
      </c>
      <c r="D6962" s="51">
        <v>68.0</v>
      </c>
      <c r="E6962" s="52" t="s">
        <v>25</v>
      </c>
      <c r="F6962" s="52" t="s">
        <v>26</v>
      </c>
      <c r="G6962" s="54"/>
    </row>
    <row r="6963">
      <c r="A6963" s="49">
        <v>45094.40442196759</v>
      </c>
      <c r="B6963" s="50">
        <v>45094.5293951157</v>
      </c>
      <c r="C6963" s="51">
        <v>1.002</v>
      </c>
      <c r="D6963" s="51">
        <v>67.0</v>
      </c>
      <c r="E6963" s="52" t="s">
        <v>25</v>
      </c>
      <c r="F6963" s="52" t="s">
        <v>26</v>
      </c>
      <c r="G6963" s="54"/>
    </row>
    <row r="6964">
      <c r="A6964" s="49">
        <v>45094.41484232639</v>
      </c>
      <c r="B6964" s="50">
        <v>45094.5398153703</v>
      </c>
      <c r="C6964" s="51">
        <v>1.002</v>
      </c>
      <c r="D6964" s="51">
        <v>68.0</v>
      </c>
      <c r="E6964" s="52" t="s">
        <v>25</v>
      </c>
      <c r="F6964" s="52" t="s">
        <v>26</v>
      </c>
      <c r="G6964" s="54"/>
    </row>
    <row r="6965">
      <c r="A6965" s="49">
        <v>45094.42525530093</v>
      </c>
      <c r="B6965" s="50">
        <v>45094.5502361574</v>
      </c>
      <c r="C6965" s="51">
        <v>1.002</v>
      </c>
      <c r="D6965" s="51">
        <v>68.0</v>
      </c>
      <c r="E6965" s="52" t="s">
        <v>25</v>
      </c>
      <c r="F6965" s="52" t="s">
        <v>26</v>
      </c>
      <c r="G6965" s="54"/>
    </row>
    <row r="6966">
      <c r="A6966" s="49">
        <v>45094.435674548615</v>
      </c>
      <c r="B6966" s="50">
        <v>45094.5606580671</v>
      </c>
      <c r="C6966" s="51">
        <v>1.002</v>
      </c>
      <c r="D6966" s="51">
        <v>68.0</v>
      </c>
      <c r="E6966" s="52" t="s">
        <v>25</v>
      </c>
      <c r="F6966" s="52" t="s">
        <v>26</v>
      </c>
      <c r="G6966" s="54"/>
    </row>
    <row r="6967">
      <c r="A6967" s="49">
        <v>45094.44610421296</v>
      </c>
      <c r="B6967" s="50">
        <v>45094.5710794791</v>
      </c>
      <c r="C6967" s="51">
        <v>1.002</v>
      </c>
      <c r="D6967" s="51">
        <v>68.0</v>
      </c>
      <c r="E6967" s="52" t="s">
        <v>25</v>
      </c>
      <c r="F6967" s="52" t="s">
        <v>26</v>
      </c>
      <c r="G6967" s="54"/>
    </row>
    <row r="6968">
      <c r="A6968" s="49">
        <v>45094.45652877315</v>
      </c>
      <c r="B6968" s="50">
        <v>45094.5815011111</v>
      </c>
      <c r="C6968" s="51">
        <v>1.002</v>
      </c>
      <c r="D6968" s="51">
        <v>67.0</v>
      </c>
      <c r="E6968" s="52" t="s">
        <v>25</v>
      </c>
      <c r="F6968" s="52" t="s">
        <v>26</v>
      </c>
      <c r="G6968" s="54"/>
    </row>
    <row r="6969">
      <c r="A6969" s="49">
        <v>45094.46694116898</v>
      </c>
      <c r="B6969" s="50">
        <v>45094.591920081</v>
      </c>
      <c r="C6969" s="51">
        <v>1.002</v>
      </c>
      <c r="D6969" s="51">
        <v>67.0</v>
      </c>
      <c r="E6969" s="52" t="s">
        <v>25</v>
      </c>
      <c r="F6969" s="52" t="s">
        <v>26</v>
      </c>
      <c r="G6969" s="54"/>
    </row>
    <row r="6970">
      <c r="A6970" s="49">
        <v>45094.477370636574</v>
      </c>
      <c r="B6970" s="50">
        <v>45094.6023416782</v>
      </c>
      <c r="C6970" s="51">
        <v>1.002</v>
      </c>
      <c r="D6970" s="51">
        <v>68.0</v>
      </c>
      <c r="E6970" s="52" t="s">
        <v>25</v>
      </c>
      <c r="F6970" s="52" t="s">
        <v>26</v>
      </c>
      <c r="G6970" s="54"/>
    </row>
    <row r="6971">
      <c r="A6971" s="49">
        <v>45094.48778591435</v>
      </c>
      <c r="B6971" s="50">
        <v>45094.6127620486</v>
      </c>
      <c r="C6971" s="51">
        <v>1.002</v>
      </c>
      <c r="D6971" s="51">
        <v>68.0</v>
      </c>
      <c r="E6971" s="52" t="s">
        <v>25</v>
      </c>
      <c r="F6971" s="52" t="s">
        <v>26</v>
      </c>
      <c r="G6971" s="54"/>
    </row>
    <row r="6972">
      <c r="A6972" s="49">
        <v>45094.49821497685</v>
      </c>
      <c r="B6972" s="50">
        <v>45094.6231839236</v>
      </c>
      <c r="C6972" s="51">
        <v>1.002</v>
      </c>
      <c r="D6972" s="51">
        <v>67.0</v>
      </c>
      <c r="E6972" s="52" t="s">
        <v>25</v>
      </c>
      <c r="F6972" s="52" t="s">
        <v>26</v>
      </c>
      <c r="G6972" s="54"/>
    </row>
    <row r="6973">
      <c r="A6973" s="49">
        <v>45094.50863053241</v>
      </c>
      <c r="B6973" s="50">
        <v>45094.6336040046</v>
      </c>
      <c r="C6973" s="51">
        <v>1.002</v>
      </c>
      <c r="D6973" s="51">
        <v>68.0</v>
      </c>
      <c r="E6973" s="52" t="s">
        <v>25</v>
      </c>
      <c r="F6973" s="52" t="s">
        <v>26</v>
      </c>
      <c r="G6973" s="54"/>
    </row>
    <row r="6974">
      <c r="A6974" s="49">
        <v>45094.51904480324</v>
      </c>
      <c r="B6974" s="50">
        <v>45094.644025324</v>
      </c>
      <c r="C6974" s="51">
        <v>1.002</v>
      </c>
      <c r="D6974" s="51">
        <v>67.0</v>
      </c>
      <c r="E6974" s="52" t="s">
        <v>25</v>
      </c>
      <c r="F6974" s="52" t="s">
        <v>26</v>
      </c>
      <c r="G6974" s="54"/>
    </row>
    <row r="6975">
      <c r="A6975" s="49">
        <v>45094.529465844906</v>
      </c>
      <c r="B6975" s="50">
        <v>45094.654445243</v>
      </c>
      <c r="C6975" s="51">
        <v>1.002</v>
      </c>
      <c r="D6975" s="51">
        <v>68.0</v>
      </c>
      <c r="E6975" s="52" t="s">
        <v>25</v>
      </c>
      <c r="F6975" s="52" t="s">
        <v>26</v>
      </c>
      <c r="G6975" s="54"/>
    </row>
    <row r="6976">
      <c r="A6976" s="49">
        <v>45094.53988993056</v>
      </c>
      <c r="B6976" s="50">
        <v>45094.664865625</v>
      </c>
      <c r="C6976" s="51">
        <v>1.002</v>
      </c>
      <c r="D6976" s="51">
        <v>68.0</v>
      </c>
      <c r="E6976" s="52" t="s">
        <v>25</v>
      </c>
      <c r="F6976" s="52" t="s">
        <v>26</v>
      </c>
      <c r="G6976" s="54"/>
    </row>
    <row r="6977">
      <c r="A6977" s="49">
        <v>45094.55031090278</v>
      </c>
      <c r="B6977" s="50">
        <v>45094.6752874305</v>
      </c>
      <c r="C6977" s="51">
        <v>1.002</v>
      </c>
      <c r="D6977" s="51">
        <v>68.0</v>
      </c>
      <c r="E6977" s="52" t="s">
        <v>25</v>
      </c>
      <c r="F6977" s="52" t="s">
        <v>26</v>
      </c>
      <c r="G6977" s="54"/>
    </row>
    <row r="6978">
      <c r="A6978" s="49">
        <v>45094.560731273144</v>
      </c>
      <c r="B6978" s="50">
        <v>45094.6857083912</v>
      </c>
      <c r="C6978" s="51">
        <v>1.002</v>
      </c>
      <c r="D6978" s="51">
        <v>68.0</v>
      </c>
      <c r="E6978" s="52" t="s">
        <v>25</v>
      </c>
      <c r="F6978" s="52" t="s">
        <v>26</v>
      </c>
      <c r="G6978" s="54"/>
    </row>
    <row r="6979">
      <c r="A6979" s="49">
        <v>45094.57115466435</v>
      </c>
      <c r="B6979" s="50">
        <v>45094.6961286111</v>
      </c>
      <c r="C6979" s="51">
        <v>1.002</v>
      </c>
      <c r="D6979" s="51">
        <v>68.0</v>
      </c>
      <c r="E6979" s="52" t="s">
        <v>25</v>
      </c>
      <c r="F6979" s="52" t="s">
        <v>26</v>
      </c>
      <c r="G6979" s="54"/>
    </row>
    <row r="6980">
      <c r="A6980" s="49">
        <v>45094.58157623843</v>
      </c>
      <c r="B6980" s="50">
        <v>45094.7065479745</v>
      </c>
      <c r="C6980" s="51">
        <v>1.002</v>
      </c>
      <c r="D6980" s="51">
        <v>68.0</v>
      </c>
      <c r="E6980" s="52" t="s">
        <v>25</v>
      </c>
      <c r="F6980" s="52" t="s">
        <v>26</v>
      </c>
      <c r="G6980" s="54"/>
    </row>
    <row r="6981">
      <c r="A6981" s="49">
        <v>45094.59199511574</v>
      </c>
      <c r="B6981" s="50">
        <v>45094.7169684837</v>
      </c>
      <c r="C6981" s="51">
        <v>1.002</v>
      </c>
      <c r="D6981" s="51">
        <v>68.0</v>
      </c>
      <c r="E6981" s="52" t="s">
        <v>25</v>
      </c>
      <c r="F6981" s="52" t="s">
        <v>26</v>
      </c>
      <c r="G6981" s="54"/>
    </row>
    <row r="6982">
      <c r="A6982" s="49">
        <v>45094.602412430555</v>
      </c>
      <c r="B6982" s="50">
        <v>45094.7273898611</v>
      </c>
      <c r="C6982" s="51">
        <v>1.002</v>
      </c>
      <c r="D6982" s="51">
        <v>68.0</v>
      </c>
      <c r="E6982" s="52" t="s">
        <v>25</v>
      </c>
      <c r="F6982" s="52" t="s">
        <v>26</v>
      </c>
      <c r="G6982" s="54"/>
    </row>
    <row r="6983">
      <c r="A6983" s="49">
        <v>45094.612837152774</v>
      </c>
      <c r="B6983" s="50">
        <v>45094.7378108101</v>
      </c>
      <c r="C6983" s="51">
        <v>1.002</v>
      </c>
      <c r="D6983" s="51">
        <v>68.0</v>
      </c>
      <c r="E6983" s="52" t="s">
        <v>25</v>
      </c>
      <c r="F6983" s="52" t="s">
        <v>26</v>
      </c>
      <c r="G6983" s="54"/>
    </row>
    <row r="6984">
      <c r="A6984" s="49">
        <v>45094.623251944446</v>
      </c>
      <c r="B6984" s="50">
        <v>45094.7482318055</v>
      </c>
      <c r="C6984" s="51">
        <v>1.002</v>
      </c>
      <c r="D6984" s="51">
        <v>68.0</v>
      </c>
      <c r="E6984" s="52" t="s">
        <v>25</v>
      </c>
      <c r="F6984" s="52" t="s">
        <v>26</v>
      </c>
      <c r="G6984" s="54"/>
    </row>
    <row r="6985">
      <c r="A6985" s="49">
        <v>45094.63368151621</v>
      </c>
      <c r="B6985" s="50">
        <v>45094.7586523842</v>
      </c>
      <c r="C6985" s="51">
        <v>1.002</v>
      </c>
      <c r="D6985" s="51">
        <v>68.0</v>
      </c>
      <c r="E6985" s="52" t="s">
        <v>25</v>
      </c>
      <c r="F6985" s="52" t="s">
        <v>26</v>
      </c>
      <c r="G6985" s="54"/>
    </row>
    <row r="6986">
      <c r="A6986" s="49">
        <v>45094.644099004625</v>
      </c>
      <c r="B6986" s="50">
        <v>45094.7690719212</v>
      </c>
      <c r="C6986" s="51">
        <v>1.002</v>
      </c>
      <c r="D6986" s="51">
        <v>68.0</v>
      </c>
      <c r="E6986" s="52" t="s">
        <v>25</v>
      </c>
      <c r="F6986" s="52" t="s">
        <v>26</v>
      </c>
      <c r="G6986" s="54"/>
    </row>
    <row r="6987">
      <c r="A6987" s="49">
        <v>45094.65452614584</v>
      </c>
      <c r="B6987" s="50">
        <v>45094.7795037384</v>
      </c>
      <c r="C6987" s="51">
        <v>1.002</v>
      </c>
      <c r="D6987" s="51">
        <v>68.0</v>
      </c>
      <c r="E6987" s="52" t="s">
        <v>25</v>
      </c>
      <c r="F6987" s="52" t="s">
        <v>26</v>
      </c>
      <c r="G6987" s="54"/>
    </row>
    <row r="6988">
      <c r="A6988" s="49">
        <v>45094.66495320602</v>
      </c>
      <c r="B6988" s="50">
        <v>45094.7899247569</v>
      </c>
      <c r="C6988" s="51">
        <v>1.002</v>
      </c>
      <c r="D6988" s="51">
        <v>68.0</v>
      </c>
      <c r="E6988" s="52" t="s">
        <v>25</v>
      </c>
      <c r="F6988" s="52" t="s">
        <v>26</v>
      </c>
      <c r="G6988" s="54"/>
    </row>
    <row r="6989">
      <c r="A6989" s="49">
        <v>45094.67536974537</v>
      </c>
      <c r="B6989" s="50">
        <v>45094.8003466666</v>
      </c>
      <c r="C6989" s="51">
        <v>1.002</v>
      </c>
      <c r="D6989" s="51">
        <v>68.0</v>
      </c>
      <c r="E6989" s="52" t="s">
        <v>25</v>
      </c>
      <c r="F6989" s="52" t="s">
        <v>26</v>
      </c>
      <c r="G6989" s="54"/>
    </row>
    <row r="6990">
      <c r="A6990" s="49">
        <v>45094.68579454861</v>
      </c>
      <c r="B6990" s="50">
        <v>45094.8107685763</v>
      </c>
      <c r="C6990" s="51">
        <v>1.002</v>
      </c>
      <c r="D6990" s="51">
        <v>68.0</v>
      </c>
      <c r="E6990" s="52" t="s">
        <v>25</v>
      </c>
      <c r="F6990" s="52" t="s">
        <v>26</v>
      </c>
      <c r="G6990" s="54"/>
    </row>
    <row r="6991">
      <c r="A6991" s="49">
        <v>45094.696209814814</v>
      </c>
      <c r="B6991" s="50">
        <v>45094.8211910763</v>
      </c>
      <c r="C6991" s="51">
        <v>1.002</v>
      </c>
      <c r="D6991" s="51">
        <v>68.0</v>
      </c>
      <c r="E6991" s="52" t="s">
        <v>25</v>
      </c>
      <c r="F6991" s="52" t="s">
        <v>26</v>
      </c>
      <c r="G6991" s="54"/>
    </row>
    <row r="6992">
      <c r="A6992" s="49">
        <v>45094.70664040509</v>
      </c>
      <c r="B6992" s="50">
        <v>45094.8316124884</v>
      </c>
      <c r="C6992" s="51">
        <v>1.002</v>
      </c>
      <c r="D6992" s="51">
        <v>68.0</v>
      </c>
      <c r="E6992" s="52" t="s">
        <v>25</v>
      </c>
      <c r="F6992" s="52" t="s">
        <v>26</v>
      </c>
      <c r="G6992" s="54"/>
    </row>
    <row r="6993">
      <c r="A6993" s="49">
        <v>45094.71707195602</v>
      </c>
      <c r="B6993" s="50">
        <v>45094.8420349768</v>
      </c>
      <c r="C6993" s="51">
        <v>1.002</v>
      </c>
      <c r="D6993" s="51">
        <v>68.0</v>
      </c>
      <c r="E6993" s="52" t="s">
        <v>25</v>
      </c>
      <c r="F6993" s="52" t="s">
        <v>26</v>
      </c>
      <c r="G6993" s="54"/>
    </row>
    <row r="6994">
      <c r="A6994" s="49">
        <v>45094.727486724536</v>
      </c>
      <c r="B6994" s="50">
        <v>45094.8524678009</v>
      </c>
      <c r="C6994" s="51">
        <v>1.002</v>
      </c>
      <c r="D6994" s="51">
        <v>68.0</v>
      </c>
      <c r="E6994" s="52" t="s">
        <v>25</v>
      </c>
      <c r="F6994" s="52" t="s">
        <v>26</v>
      </c>
      <c r="G6994" s="54"/>
    </row>
    <row r="6995">
      <c r="A6995" s="49">
        <v>45094.737905243055</v>
      </c>
      <c r="B6995" s="50">
        <v>45094.8628887152</v>
      </c>
      <c r="C6995" s="51">
        <v>1.002</v>
      </c>
      <c r="D6995" s="51">
        <v>68.0</v>
      </c>
      <c r="E6995" s="52" t="s">
        <v>25</v>
      </c>
      <c r="F6995" s="52" t="s">
        <v>26</v>
      </c>
      <c r="G6995" s="54"/>
    </row>
    <row r="6996">
      <c r="A6996" s="49">
        <v>45094.748360219906</v>
      </c>
      <c r="B6996" s="50">
        <v>45094.8733325347</v>
      </c>
      <c r="C6996" s="51">
        <v>1.002</v>
      </c>
      <c r="D6996" s="51">
        <v>68.0</v>
      </c>
      <c r="E6996" s="52" t="s">
        <v>25</v>
      </c>
      <c r="F6996" s="52" t="s">
        <v>26</v>
      </c>
      <c r="G6996" s="54"/>
    </row>
    <row r="6997">
      <c r="A6997" s="49">
        <v>45094.758780335644</v>
      </c>
      <c r="B6997" s="50">
        <v>45094.8837550347</v>
      </c>
      <c r="C6997" s="51">
        <v>1.002</v>
      </c>
      <c r="D6997" s="51">
        <v>68.0</v>
      </c>
      <c r="E6997" s="52" t="s">
        <v>25</v>
      </c>
      <c r="F6997" s="52" t="s">
        <v>26</v>
      </c>
      <c r="G6997" s="54"/>
    </row>
    <row r="6998">
      <c r="A6998" s="49">
        <v>45094.7692028125</v>
      </c>
      <c r="B6998" s="50">
        <v>45094.8941753472</v>
      </c>
      <c r="C6998" s="51">
        <v>1.002</v>
      </c>
      <c r="D6998" s="51">
        <v>68.0</v>
      </c>
      <c r="E6998" s="52" t="s">
        <v>25</v>
      </c>
      <c r="F6998" s="52" t="s">
        <v>26</v>
      </c>
      <c r="G6998" s="54"/>
    </row>
    <row r="6999">
      <c r="A6999" s="49">
        <v>45094.77962793982</v>
      </c>
      <c r="B6999" s="50">
        <v>45094.9046077893</v>
      </c>
      <c r="C6999" s="51">
        <v>1.002</v>
      </c>
      <c r="D6999" s="51">
        <v>68.0</v>
      </c>
      <c r="E6999" s="52" t="s">
        <v>25</v>
      </c>
      <c r="F6999" s="52" t="s">
        <v>26</v>
      </c>
      <c r="G6999" s="54"/>
    </row>
    <row r="7000">
      <c r="A7000" s="49">
        <v>45094.79005604167</v>
      </c>
      <c r="B7000" s="50">
        <v>45094.9150291898</v>
      </c>
      <c r="C7000" s="51">
        <v>1.002</v>
      </c>
      <c r="D7000" s="51">
        <v>68.0</v>
      </c>
      <c r="E7000" s="52" t="s">
        <v>25</v>
      </c>
      <c r="F7000" s="52" t="s">
        <v>26</v>
      </c>
      <c r="G7000" s="54"/>
    </row>
    <row r="7001">
      <c r="A7001" s="49">
        <v>45094.80047657408</v>
      </c>
      <c r="B7001" s="50">
        <v>45094.925449074</v>
      </c>
      <c r="C7001" s="51">
        <v>1.002</v>
      </c>
      <c r="D7001" s="51">
        <v>68.0</v>
      </c>
      <c r="E7001" s="52" t="s">
        <v>25</v>
      </c>
      <c r="F7001" s="52" t="s">
        <v>26</v>
      </c>
      <c r="G7001" s="54"/>
    </row>
    <row r="7002">
      <c r="A7002" s="49">
        <v>45094.81090466435</v>
      </c>
      <c r="B7002" s="50">
        <v>45094.935880787</v>
      </c>
      <c r="C7002" s="51">
        <v>1.002</v>
      </c>
      <c r="D7002" s="51">
        <v>68.0</v>
      </c>
      <c r="E7002" s="52" t="s">
        <v>25</v>
      </c>
      <c r="F7002" s="52" t="s">
        <v>26</v>
      </c>
      <c r="G7002" s="54"/>
    </row>
    <row r="7003">
      <c r="A7003" s="49">
        <v>45094.82132806713</v>
      </c>
      <c r="B7003" s="50">
        <v>45094.9463014467</v>
      </c>
      <c r="C7003" s="51">
        <v>1.002</v>
      </c>
      <c r="D7003" s="51">
        <v>68.0</v>
      </c>
      <c r="E7003" s="52" t="s">
        <v>25</v>
      </c>
      <c r="F7003" s="52" t="s">
        <v>26</v>
      </c>
      <c r="G7003" s="54"/>
    </row>
    <row r="7004">
      <c r="A7004" s="49">
        <v>45094.831768275464</v>
      </c>
      <c r="B7004" s="50">
        <v>45094.956745324</v>
      </c>
      <c r="C7004" s="51">
        <v>1.002</v>
      </c>
      <c r="D7004" s="51">
        <v>68.0</v>
      </c>
      <c r="E7004" s="52" t="s">
        <v>25</v>
      </c>
      <c r="F7004" s="52" t="s">
        <v>26</v>
      </c>
      <c r="G7004" s="54"/>
    </row>
    <row r="7005">
      <c r="A7005" s="49">
        <v>45094.84218787037</v>
      </c>
      <c r="B7005" s="50">
        <v>45094.9671662152</v>
      </c>
      <c r="C7005" s="51">
        <v>1.002</v>
      </c>
      <c r="D7005" s="51">
        <v>68.0</v>
      </c>
      <c r="E7005" s="52" t="s">
        <v>25</v>
      </c>
      <c r="F7005" s="52" t="s">
        <v>26</v>
      </c>
      <c r="G7005" s="54"/>
    </row>
    <row r="7006">
      <c r="A7006" s="49">
        <v>45094.852624837964</v>
      </c>
      <c r="B7006" s="50">
        <v>45094.9775988773</v>
      </c>
      <c r="C7006" s="51">
        <v>1.002</v>
      </c>
      <c r="D7006" s="51">
        <v>68.0</v>
      </c>
      <c r="E7006" s="52" t="s">
        <v>25</v>
      </c>
      <c r="F7006" s="52" t="s">
        <v>26</v>
      </c>
      <c r="G7006" s="54"/>
    </row>
    <row r="7007">
      <c r="A7007" s="49">
        <v>45094.863067060185</v>
      </c>
      <c r="B7007" s="50">
        <v>45094.988044537</v>
      </c>
      <c r="C7007" s="51">
        <v>1.002</v>
      </c>
      <c r="D7007" s="51">
        <v>68.0</v>
      </c>
      <c r="E7007" s="52" t="s">
        <v>25</v>
      </c>
      <c r="F7007" s="52" t="s">
        <v>26</v>
      </c>
      <c r="G7007" s="54"/>
    </row>
    <row r="7008">
      <c r="A7008" s="49">
        <v>45094.87349881945</v>
      </c>
      <c r="B7008" s="50">
        <v>45094.9984643865</v>
      </c>
      <c r="C7008" s="51">
        <v>1.002</v>
      </c>
      <c r="D7008" s="51">
        <v>68.0</v>
      </c>
      <c r="E7008" s="52" t="s">
        <v>25</v>
      </c>
      <c r="F7008" s="52" t="s">
        <v>26</v>
      </c>
      <c r="G7008" s="54"/>
    </row>
    <row r="7009">
      <c r="A7009" s="49">
        <v>45094.88392736111</v>
      </c>
      <c r="B7009" s="50">
        <v>45095.0088962847</v>
      </c>
      <c r="C7009" s="51">
        <v>1.002</v>
      </c>
      <c r="D7009" s="51">
        <v>68.0</v>
      </c>
      <c r="E7009" s="52" t="s">
        <v>25</v>
      </c>
      <c r="F7009" s="52" t="s">
        <v>26</v>
      </c>
      <c r="G7009" s="54"/>
    </row>
    <row r="7010">
      <c r="A7010" s="49">
        <v>45094.89434059028</v>
      </c>
      <c r="B7010" s="50">
        <v>45095.0193170717</v>
      </c>
      <c r="C7010" s="51">
        <v>1.002</v>
      </c>
      <c r="D7010" s="51">
        <v>68.0</v>
      </c>
      <c r="E7010" s="52" t="s">
        <v>25</v>
      </c>
      <c r="F7010" s="52" t="s">
        <v>26</v>
      </c>
      <c r="G7010" s="54"/>
    </row>
    <row r="7011">
      <c r="A7011" s="49">
        <v>45094.904761770835</v>
      </c>
      <c r="B7011" s="50">
        <v>45095.0297380208</v>
      </c>
      <c r="C7011" s="51">
        <v>1.002</v>
      </c>
      <c r="D7011" s="51">
        <v>68.0</v>
      </c>
      <c r="E7011" s="52" t="s">
        <v>25</v>
      </c>
      <c r="F7011" s="52" t="s">
        <v>26</v>
      </c>
      <c r="G7011" s="54"/>
    </row>
    <row r="7012">
      <c r="A7012" s="49">
        <v>45094.915188009254</v>
      </c>
      <c r="B7012" s="50">
        <v>45095.0401591203</v>
      </c>
      <c r="C7012" s="51">
        <v>1.002</v>
      </c>
      <c r="D7012" s="51">
        <v>68.0</v>
      </c>
      <c r="E7012" s="52" t="s">
        <v>25</v>
      </c>
      <c r="F7012" s="52" t="s">
        <v>26</v>
      </c>
      <c r="G7012" s="54"/>
    </row>
    <row r="7013">
      <c r="A7013" s="49">
        <v>45094.92560832176</v>
      </c>
      <c r="B7013" s="50">
        <v>45095.0505805787</v>
      </c>
      <c r="C7013" s="51">
        <v>1.002</v>
      </c>
      <c r="D7013" s="51">
        <v>68.0</v>
      </c>
      <c r="E7013" s="52" t="s">
        <v>25</v>
      </c>
      <c r="F7013" s="52" t="s">
        <v>26</v>
      </c>
      <c r="G7013" s="54"/>
    </row>
    <row r="7014">
      <c r="A7014" s="49">
        <v>45094.9360247338</v>
      </c>
      <c r="B7014" s="50">
        <v>45095.0610016319</v>
      </c>
      <c r="C7014" s="51">
        <v>1.002</v>
      </c>
      <c r="D7014" s="51">
        <v>68.0</v>
      </c>
      <c r="E7014" s="52" t="s">
        <v>25</v>
      </c>
      <c r="F7014" s="52" t="s">
        <v>26</v>
      </c>
      <c r="G7014" s="54"/>
    </row>
    <row r="7015">
      <c r="A7015" s="49">
        <v>45094.946466967594</v>
      </c>
      <c r="B7015" s="50">
        <v>45095.0714341666</v>
      </c>
      <c r="C7015" s="51">
        <v>1.002</v>
      </c>
      <c r="D7015" s="51">
        <v>68.0</v>
      </c>
      <c r="E7015" s="52" t="s">
        <v>25</v>
      </c>
      <c r="F7015" s="52" t="s">
        <v>26</v>
      </c>
      <c r="G7015" s="54"/>
    </row>
    <row r="7016">
      <c r="A7016" s="49">
        <v>45094.95688100695</v>
      </c>
      <c r="B7016" s="50">
        <v>45095.0818565856</v>
      </c>
      <c r="C7016" s="51">
        <v>1.002</v>
      </c>
      <c r="D7016" s="51">
        <v>68.0</v>
      </c>
      <c r="E7016" s="52" t="s">
        <v>25</v>
      </c>
      <c r="F7016" s="52" t="s">
        <v>26</v>
      </c>
      <c r="G7016" s="54"/>
    </row>
    <row r="7017">
      <c r="A7017" s="49">
        <v>45094.977737106485</v>
      </c>
      <c r="B7017" s="50">
        <v>45095.102712037</v>
      </c>
      <c r="C7017" s="51">
        <v>1.002</v>
      </c>
      <c r="D7017" s="51">
        <v>68.0</v>
      </c>
      <c r="E7017" s="52" t="s">
        <v>25</v>
      </c>
      <c r="F7017" s="52" t="s">
        <v>26</v>
      </c>
      <c r="G7017" s="54"/>
    </row>
    <row r="7018">
      <c r="A7018" s="49">
        <v>45094.988155011575</v>
      </c>
      <c r="B7018" s="50">
        <v>45095.1131340393</v>
      </c>
      <c r="C7018" s="51">
        <v>1.002</v>
      </c>
      <c r="D7018" s="51">
        <v>68.0</v>
      </c>
      <c r="E7018" s="52" t="s">
        <v>25</v>
      </c>
      <c r="F7018" s="52" t="s">
        <v>26</v>
      </c>
      <c r="G7018" s="54"/>
    </row>
    <row r="7019">
      <c r="A7019" s="49">
        <v>45094.99859341435</v>
      </c>
      <c r="B7019" s="50">
        <v>45095.1235660532</v>
      </c>
      <c r="C7019" s="51">
        <v>1.002</v>
      </c>
      <c r="D7019" s="51">
        <v>68.0</v>
      </c>
      <c r="E7019" s="52" t="s">
        <v>25</v>
      </c>
      <c r="F7019" s="52" t="s">
        <v>26</v>
      </c>
      <c r="G7019" s="54"/>
    </row>
    <row r="7020">
      <c r="A7020" s="49">
        <v>45095.00901337963</v>
      </c>
      <c r="B7020" s="50">
        <v>45095.1339866666</v>
      </c>
      <c r="C7020" s="51">
        <v>1.002</v>
      </c>
      <c r="D7020" s="51">
        <v>68.0</v>
      </c>
      <c r="E7020" s="52" t="s">
        <v>25</v>
      </c>
      <c r="F7020" s="52" t="s">
        <v>26</v>
      </c>
      <c r="G7020" s="54"/>
    </row>
    <row r="7021">
      <c r="A7021" s="49">
        <v>45095.01948079861</v>
      </c>
      <c r="B7021" s="50">
        <v>45095.1444193402</v>
      </c>
      <c r="C7021" s="51">
        <v>1.002</v>
      </c>
      <c r="D7021" s="51">
        <v>68.0</v>
      </c>
      <c r="E7021" s="52" t="s">
        <v>25</v>
      </c>
      <c r="F7021" s="52" t="s">
        <v>26</v>
      </c>
      <c r="G7021" s="54"/>
    </row>
    <row r="7022">
      <c r="A7022" s="49">
        <v>45095.02986055556</v>
      </c>
      <c r="B7022" s="50">
        <v>45095.1548383333</v>
      </c>
      <c r="C7022" s="51">
        <v>1.002</v>
      </c>
      <c r="D7022" s="51">
        <v>68.0</v>
      </c>
      <c r="E7022" s="52" t="s">
        <v>25</v>
      </c>
      <c r="F7022" s="52" t="s">
        <v>26</v>
      </c>
      <c r="G7022" s="54"/>
    </row>
    <row r="7023">
      <c r="A7023" s="49">
        <v>45095.040288738426</v>
      </c>
      <c r="B7023" s="50">
        <v>45095.1652605439</v>
      </c>
      <c r="C7023" s="51">
        <v>1.002</v>
      </c>
      <c r="D7023" s="51">
        <v>68.0</v>
      </c>
      <c r="E7023" s="52" t="s">
        <v>25</v>
      </c>
      <c r="F7023" s="52" t="s">
        <v>26</v>
      </c>
      <c r="G7023" s="54"/>
    </row>
    <row r="7024">
      <c r="A7024" s="49">
        <v>45095.05070270834</v>
      </c>
      <c r="B7024" s="50">
        <v>45095.1756805787</v>
      </c>
      <c r="C7024" s="51">
        <v>1.002</v>
      </c>
      <c r="D7024" s="51">
        <v>68.0</v>
      </c>
      <c r="E7024" s="52" t="s">
        <v>25</v>
      </c>
      <c r="F7024" s="52" t="s">
        <v>26</v>
      </c>
      <c r="G7024" s="54"/>
    </row>
    <row r="7025">
      <c r="A7025" s="49">
        <v>45095.06115349537</v>
      </c>
      <c r="B7025" s="50">
        <v>45095.1861260301</v>
      </c>
      <c r="C7025" s="51">
        <v>1.002</v>
      </c>
      <c r="D7025" s="51">
        <v>68.0</v>
      </c>
      <c r="E7025" s="52" t="s">
        <v>25</v>
      </c>
      <c r="F7025" s="52" t="s">
        <v>26</v>
      </c>
      <c r="G7025" s="54"/>
    </row>
    <row r="7026">
      <c r="A7026" s="49">
        <v>45095.071568541665</v>
      </c>
      <c r="B7026" s="50">
        <v>45095.1965473611</v>
      </c>
      <c r="C7026" s="51">
        <v>1.002</v>
      </c>
      <c r="D7026" s="51">
        <v>68.0</v>
      </c>
      <c r="E7026" s="52" t="s">
        <v>25</v>
      </c>
      <c r="F7026" s="52" t="s">
        <v>26</v>
      </c>
      <c r="G7026" s="54"/>
    </row>
    <row r="7027">
      <c r="A7027" s="49">
        <v>45095.081989583334</v>
      </c>
      <c r="B7027" s="50">
        <v>45095.2069677199</v>
      </c>
      <c r="C7027" s="51">
        <v>1.002</v>
      </c>
      <c r="D7027" s="51">
        <v>68.0</v>
      </c>
      <c r="E7027" s="52" t="s">
        <v>25</v>
      </c>
      <c r="F7027" s="52" t="s">
        <v>26</v>
      </c>
      <c r="G7027" s="54"/>
    </row>
    <row r="7028">
      <c r="A7028" s="49">
        <v>45095.09241633102</v>
      </c>
      <c r="B7028" s="50">
        <v>45095.2173912731</v>
      </c>
      <c r="C7028" s="51">
        <v>1.002</v>
      </c>
      <c r="D7028" s="51">
        <v>68.0</v>
      </c>
      <c r="E7028" s="52" t="s">
        <v>25</v>
      </c>
      <c r="F7028" s="52" t="s">
        <v>26</v>
      </c>
      <c r="G7028" s="54"/>
    </row>
    <row r="7029">
      <c r="A7029" s="49">
        <v>45095.10284259259</v>
      </c>
      <c r="B7029" s="50">
        <v>45095.2278128009</v>
      </c>
      <c r="C7029" s="51">
        <v>1.002</v>
      </c>
      <c r="D7029" s="51">
        <v>68.0</v>
      </c>
      <c r="E7029" s="52" t="s">
        <v>25</v>
      </c>
      <c r="F7029" s="52" t="s">
        <v>26</v>
      </c>
      <c r="G7029" s="54"/>
    </row>
    <row r="7030">
      <c r="A7030" s="49">
        <v>45095.11326359954</v>
      </c>
      <c r="B7030" s="50">
        <v>45095.23823478</v>
      </c>
      <c r="C7030" s="51">
        <v>1.002</v>
      </c>
      <c r="D7030" s="51">
        <v>68.0</v>
      </c>
      <c r="E7030" s="52" t="s">
        <v>25</v>
      </c>
      <c r="F7030" s="52" t="s">
        <v>26</v>
      </c>
      <c r="G7030" s="54"/>
    </row>
    <row r="7031">
      <c r="A7031" s="49">
        <v>45095.12368278935</v>
      </c>
      <c r="B7031" s="50">
        <v>45095.2486538773</v>
      </c>
      <c r="C7031" s="51">
        <v>1.002</v>
      </c>
      <c r="D7031" s="51">
        <v>68.0</v>
      </c>
      <c r="E7031" s="52" t="s">
        <v>25</v>
      </c>
      <c r="F7031" s="52" t="s">
        <v>26</v>
      </c>
      <c r="G7031" s="54"/>
    </row>
    <row r="7032">
      <c r="A7032" s="49">
        <v>45095.13410707176</v>
      </c>
      <c r="B7032" s="50">
        <v>45095.2590765972</v>
      </c>
      <c r="C7032" s="51">
        <v>1.002</v>
      </c>
      <c r="D7032" s="51">
        <v>68.0</v>
      </c>
      <c r="E7032" s="52" t="s">
        <v>25</v>
      </c>
      <c r="F7032" s="52" t="s">
        <v>26</v>
      </c>
      <c r="G7032" s="54"/>
    </row>
    <row r="7033">
      <c r="A7033" s="49">
        <v>45095.14451702546</v>
      </c>
      <c r="B7033" s="50">
        <v>45095.2694965046</v>
      </c>
      <c r="C7033" s="51">
        <v>1.002</v>
      </c>
      <c r="D7033" s="51">
        <v>68.0</v>
      </c>
      <c r="E7033" s="52" t="s">
        <v>25</v>
      </c>
      <c r="F7033" s="52" t="s">
        <v>26</v>
      </c>
      <c r="G7033" s="54"/>
    </row>
    <row r="7034">
      <c r="A7034" s="49">
        <v>45095.154959224536</v>
      </c>
      <c r="B7034" s="50">
        <v>45095.2799300578</v>
      </c>
      <c r="C7034" s="51">
        <v>1.002</v>
      </c>
      <c r="D7034" s="51">
        <v>68.0</v>
      </c>
      <c r="E7034" s="52" t="s">
        <v>25</v>
      </c>
      <c r="F7034" s="52" t="s">
        <v>26</v>
      </c>
      <c r="G7034" s="54"/>
    </row>
    <row r="7035">
      <c r="A7035" s="49">
        <v>45095.16538184028</v>
      </c>
      <c r="B7035" s="50">
        <v>45095.2903508564</v>
      </c>
      <c r="C7035" s="51">
        <v>1.002</v>
      </c>
      <c r="D7035" s="51">
        <v>68.0</v>
      </c>
      <c r="E7035" s="52" t="s">
        <v>25</v>
      </c>
      <c r="F7035" s="52" t="s">
        <v>26</v>
      </c>
      <c r="G7035" s="54"/>
    </row>
    <row r="7036">
      <c r="A7036" s="49">
        <v>45095.17579820602</v>
      </c>
      <c r="B7036" s="50">
        <v>45095.3007733796</v>
      </c>
      <c r="C7036" s="51">
        <v>1.002</v>
      </c>
      <c r="D7036" s="51">
        <v>68.0</v>
      </c>
      <c r="E7036" s="52" t="s">
        <v>25</v>
      </c>
      <c r="F7036" s="52" t="s">
        <v>26</v>
      </c>
      <c r="G7036" s="54"/>
    </row>
    <row r="7037">
      <c r="A7037" s="49">
        <v>45095.186225474536</v>
      </c>
      <c r="B7037" s="50">
        <v>45095.3112049652</v>
      </c>
      <c r="C7037" s="51">
        <v>1.002</v>
      </c>
      <c r="D7037" s="51">
        <v>68.0</v>
      </c>
      <c r="E7037" s="52" t="s">
        <v>25</v>
      </c>
      <c r="F7037" s="52" t="s">
        <v>26</v>
      </c>
      <c r="G7037" s="54"/>
    </row>
    <row r="7038">
      <c r="A7038" s="49">
        <v>45095.19666391204</v>
      </c>
      <c r="B7038" s="50">
        <v>45095.3216385185</v>
      </c>
      <c r="C7038" s="51">
        <v>1.002</v>
      </c>
      <c r="D7038" s="51">
        <v>68.0</v>
      </c>
      <c r="E7038" s="52" t="s">
        <v>25</v>
      </c>
      <c r="F7038" s="52" t="s">
        <v>26</v>
      </c>
      <c r="G7038" s="54"/>
    </row>
    <row r="7039">
      <c r="A7039" s="49">
        <v>45095.20708142361</v>
      </c>
      <c r="B7039" s="50">
        <v>45095.3320579861</v>
      </c>
      <c r="C7039" s="51">
        <v>1.002</v>
      </c>
      <c r="D7039" s="51">
        <v>68.0</v>
      </c>
      <c r="E7039" s="52" t="s">
        <v>25</v>
      </c>
      <c r="F7039" s="52" t="s">
        <v>26</v>
      </c>
      <c r="G7039" s="54"/>
    </row>
    <row r="7040">
      <c r="A7040" s="49">
        <v>45095.227928576394</v>
      </c>
      <c r="B7040" s="50">
        <v>45095.3528981712</v>
      </c>
      <c r="C7040" s="51">
        <v>1.002</v>
      </c>
      <c r="D7040" s="51">
        <v>68.0</v>
      </c>
      <c r="E7040" s="52" t="s">
        <v>25</v>
      </c>
      <c r="F7040" s="52" t="s">
        <v>26</v>
      </c>
      <c r="G7040" s="54"/>
    </row>
    <row r="7041">
      <c r="A7041" s="49">
        <v>45095.23835039352</v>
      </c>
      <c r="B7041" s="50">
        <v>45095.3633198611</v>
      </c>
      <c r="C7041" s="51">
        <v>1.002</v>
      </c>
      <c r="D7041" s="51">
        <v>68.0</v>
      </c>
      <c r="E7041" s="52" t="s">
        <v>25</v>
      </c>
      <c r="F7041" s="52" t="s">
        <v>26</v>
      </c>
      <c r="G7041" s="54"/>
    </row>
    <row r="7042">
      <c r="A7042" s="49">
        <v>45095.248770798615</v>
      </c>
      <c r="B7042" s="50">
        <v>45095.3737405671</v>
      </c>
      <c r="C7042" s="51">
        <v>1.002</v>
      </c>
      <c r="D7042" s="51">
        <v>68.0</v>
      </c>
      <c r="E7042" s="52" t="s">
        <v>25</v>
      </c>
      <c r="F7042" s="52" t="s">
        <v>26</v>
      </c>
      <c r="G7042" s="54"/>
    </row>
    <row r="7043">
      <c r="A7043" s="49">
        <v>45095.25919927083</v>
      </c>
      <c r="B7043" s="50">
        <v>45095.3841757407</v>
      </c>
      <c r="C7043" s="51">
        <v>1.002</v>
      </c>
      <c r="D7043" s="51">
        <v>68.0</v>
      </c>
      <c r="E7043" s="52" t="s">
        <v>25</v>
      </c>
      <c r="F7043" s="52" t="s">
        <v>26</v>
      </c>
      <c r="G7043" s="54"/>
    </row>
    <row r="7044">
      <c r="A7044" s="49">
        <v>45095.26961752315</v>
      </c>
      <c r="B7044" s="50">
        <v>45095.3945965856</v>
      </c>
      <c r="C7044" s="51">
        <v>1.002</v>
      </c>
      <c r="D7044" s="51">
        <v>68.0</v>
      </c>
      <c r="E7044" s="52" t="s">
        <v>25</v>
      </c>
      <c r="F7044" s="52" t="s">
        <v>26</v>
      </c>
      <c r="G7044" s="54"/>
    </row>
    <row r="7045">
      <c r="A7045" s="49">
        <v>45095.28004737268</v>
      </c>
      <c r="B7045" s="50">
        <v>45095.4050174768</v>
      </c>
      <c r="C7045" s="51">
        <v>1.002</v>
      </c>
      <c r="D7045" s="51">
        <v>68.0</v>
      </c>
      <c r="E7045" s="52" t="s">
        <v>25</v>
      </c>
      <c r="F7045" s="52" t="s">
        <v>26</v>
      </c>
      <c r="G7045" s="54"/>
    </row>
    <row r="7046">
      <c r="A7046" s="49">
        <v>45095.290501006944</v>
      </c>
      <c r="B7046" s="50">
        <v>45095.415474155</v>
      </c>
      <c r="C7046" s="51">
        <v>1.002</v>
      </c>
      <c r="D7046" s="51">
        <v>68.0</v>
      </c>
      <c r="E7046" s="52" t="s">
        <v>25</v>
      </c>
      <c r="F7046" s="52" t="s">
        <v>26</v>
      </c>
      <c r="G7046" s="54"/>
    </row>
    <row r="7047">
      <c r="A7047" s="49">
        <v>45095.300921331014</v>
      </c>
      <c r="B7047" s="50">
        <v>45095.4258945486</v>
      </c>
      <c r="C7047" s="51">
        <v>1.002</v>
      </c>
      <c r="D7047" s="51">
        <v>68.0</v>
      </c>
      <c r="E7047" s="52" t="s">
        <v>25</v>
      </c>
      <c r="F7047" s="52" t="s">
        <v>26</v>
      </c>
      <c r="G7047" s="54"/>
    </row>
    <row r="7048">
      <c r="A7048" s="49">
        <v>45095.311341203706</v>
      </c>
      <c r="B7048" s="50">
        <v>45095.4363146412</v>
      </c>
      <c r="C7048" s="51">
        <v>1.002</v>
      </c>
      <c r="D7048" s="51">
        <v>68.0</v>
      </c>
      <c r="E7048" s="52" t="s">
        <v>25</v>
      </c>
      <c r="F7048" s="52" t="s">
        <v>26</v>
      </c>
      <c r="G7048" s="54"/>
    </row>
    <row r="7049">
      <c r="A7049" s="49">
        <v>45095.32177238426</v>
      </c>
      <c r="B7049" s="50">
        <v>45095.4467467939</v>
      </c>
      <c r="C7049" s="51">
        <v>1.002</v>
      </c>
      <c r="D7049" s="51">
        <v>68.0</v>
      </c>
      <c r="E7049" s="52" t="s">
        <v>25</v>
      </c>
      <c r="F7049" s="52" t="s">
        <v>26</v>
      </c>
      <c r="G7049" s="54"/>
    </row>
    <row r="7050">
      <c r="A7050" s="49">
        <v>45095.33219929398</v>
      </c>
      <c r="B7050" s="50">
        <v>45095.4571680092</v>
      </c>
      <c r="C7050" s="51">
        <v>1.002</v>
      </c>
      <c r="D7050" s="51">
        <v>68.0</v>
      </c>
      <c r="E7050" s="52" t="s">
        <v>25</v>
      </c>
      <c r="F7050" s="52" t="s">
        <v>26</v>
      </c>
      <c r="G7050" s="54"/>
    </row>
    <row r="7051">
      <c r="A7051" s="49">
        <v>45095.34261565973</v>
      </c>
      <c r="B7051" s="50">
        <v>45095.4675893865</v>
      </c>
      <c r="C7051" s="51">
        <v>1.002</v>
      </c>
      <c r="D7051" s="51">
        <v>68.0</v>
      </c>
      <c r="E7051" s="52" t="s">
        <v>25</v>
      </c>
      <c r="F7051" s="52" t="s">
        <v>26</v>
      </c>
      <c r="G7051" s="54"/>
    </row>
    <row r="7052">
      <c r="A7052" s="49">
        <v>45095.353038807865</v>
      </c>
      <c r="B7052" s="50">
        <v>45095.4780105555</v>
      </c>
      <c r="C7052" s="51">
        <v>1.002</v>
      </c>
      <c r="D7052" s="51">
        <v>68.0</v>
      </c>
      <c r="E7052" s="52" t="s">
        <v>25</v>
      </c>
      <c r="F7052" s="52" t="s">
        <v>26</v>
      </c>
      <c r="G7052" s="54"/>
    </row>
    <row r="7053">
      <c r="A7053" s="49">
        <v>45095.36345149306</v>
      </c>
      <c r="B7053" s="50">
        <v>45095.4884313773</v>
      </c>
      <c r="C7053" s="51">
        <v>1.002</v>
      </c>
      <c r="D7053" s="51">
        <v>68.0</v>
      </c>
      <c r="E7053" s="52" t="s">
        <v>25</v>
      </c>
      <c r="F7053" s="52" t="s">
        <v>26</v>
      </c>
      <c r="G7053" s="54"/>
    </row>
    <row r="7054">
      <c r="A7054" s="49">
        <v>45095.373876666665</v>
      </c>
      <c r="B7054" s="50">
        <v>45095.4988510879</v>
      </c>
      <c r="C7054" s="51">
        <v>1.002</v>
      </c>
      <c r="D7054" s="51">
        <v>68.0</v>
      </c>
      <c r="E7054" s="52" t="s">
        <v>25</v>
      </c>
      <c r="F7054" s="52" t="s">
        <v>26</v>
      </c>
      <c r="G7054" s="54"/>
    </row>
    <row r="7055">
      <c r="A7055" s="49">
        <v>45095.38431017361</v>
      </c>
      <c r="B7055" s="50">
        <v>45095.5092853356</v>
      </c>
      <c r="C7055" s="51">
        <v>1.002</v>
      </c>
      <c r="D7055" s="51">
        <v>68.0</v>
      </c>
      <c r="E7055" s="52" t="s">
        <v>25</v>
      </c>
      <c r="F7055" s="52" t="s">
        <v>26</v>
      </c>
      <c r="G7055" s="54"/>
    </row>
    <row r="7056">
      <c r="A7056" s="49">
        <v>45095.394731423614</v>
      </c>
      <c r="B7056" s="50">
        <v>45095.5197074074</v>
      </c>
      <c r="C7056" s="51">
        <v>1.002</v>
      </c>
      <c r="D7056" s="51">
        <v>68.0</v>
      </c>
      <c r="E7056" s="52" t="s">
        <v>25</v>
      </c>
      <c r="F7056" s="52" t="s">
        <v>26</v>
      </c>
      <c r="G7056" s="54"/>
    </row>
    <row r="7057">
      <c r="A7057" s="49">
        <v>45095.40515763889</v>
      </c>
      <c r="B7057" s="50">
        <v>45095.530129456</v>
      </c>
      <c r="C7057" s="51">
        <v>1.002</v>
      </c>
      <c r="D7057" s="51">
        <v>68.0</v>
      </c>
      <c r="E7057" s="52" t="s">
        <v>25</v>
      </c>
      <c r="F7057" s="52" t="s">
        <v>26</v>
      </c>
      <c r="G7057" s="54"/>
    </row>
    <row r="7058">
      <c r="A7058" s="49">
        <v>45095.41557048611</v>
      </c>
      <c r="B7058" s="50">
        <v>45095.5405479861</v>
      </c>
      <c r="C7058" s="51">
        <v>1.002</v>
      </c>
      <c r="D7058" s="51">
        <v>68.0</v>
      </c>
      <c r="E7058" s="52" t="s">
        <v>25</v>
      </c>
      <c r="F7058" s="52" t="s">
        <v>26</v>
      </c>
      <c r="G7058" s="54"/>
    </row>
    <row r="7059">
      <c r="A7059" s="49">
        <v>45095.426007372684</v>
      </c>
      <c r="B7059" s="50">
        <v>45095.5509814236</v>
      </c>
      <c r="C7059" s="51">
        <v>1.002</v>
      </c>
      <c r="D7059" s="51">
        <v>68.0</v>
      </c>
      <c r="E7059" s="52" t="s">
        <v>25</v>
      </c>
      <c r="F7059" s="52" t="s">
        <v>26</v>
      </c>
      <c r="G7059" s="54"/>
    </row>
    <row r="7060">
      <c r="A7060" s="49">
        <v>45095.43642827546</v>
      </c>
      <c r="B7060" s="50">
        <v>45095.5614037615</v>
      </c>
      <c r="C7060" s="51">
        <v>1.002</v>
      </c>
      <c r="D7060" s="51">
        <v>68.0</v>
      </c>
      <c r="E7060" s="52" t="s">
        <v>25</v>
      </c>
      <c r="F7060" s="52" t="s">
        <v>26</v>
      </c>
      <c r="G7060" s="54"/>
    </row>
    <row r="7061">
      <c r="A7061" s="49">
        <v>45095.45727616898</v>
      </c>
      <c r="B7061" s="50">
        <v>45095.5822446527</v>
      </c>
      <c r="C7061" s="51">
        <v>1.002</v>
      </c>
      <c r="D7061" s="51">
        <v>68.0</v>
      </c>
      <c r="E7061" s="52" t="s">
        <v>25</v>
      </c>
      <c r="F7061" s="52" t="s">
        <v>26</v>
      </c>
      <c r="G7061" s="54"/>
    </row>
    <row r="7062">
      <c r="A7062" s="49">
        <v>45095.46769085648</v>
      </c>
      <c r="B7062" s="50">
        <v>45095.592664537</v>
      </c>
      <c r="C7062" s="51">
        <v>1.002</v>
      </c>
      <c r="D7062" s="51">
        <v>68.0</v>
      </c>
      <c r="E7062" s="52" t="s">
        <v>25</v>
      </c>
      <c r="F7062" s="52" t="s">
        <v>26</v>
      </c>
      <c r="G7062" s="54"/>
    </row>
    <row r="7063">
      <c r="A7063" s="49">
        <v>45095.47811991898</v>
      </c>
      <c r="B7063" s="50">
        <v>45095.6030867708</v>
      </c>
      <c r="C7063" s="51">
        <v>1.002</v>
      </c>
      <c r="D7063" s="51">
        <v>68.0</v>
      </c>
      <c r="E7063" s="52" t="s">
        <v>25</v>
      </c>
      <c r="F7063" s="52" t="s">
        <v>26</v>
      </c>
      <c r="G7063" s="54"/>
    </row>
    <row r="7064">
      <c r="A7064" s="49">
        <v>45095.48853625</v>
      </c>
      <c r="B7064" s="50">
        <v>45095.6135075925</v>
      </c>
      <c r="C7064" s="51">
        <v>1.002</v>
      </c>
      <c r="D7064" s="51">
        <v>68.0</v>
      </c>
      <c r="E7064" s="52" t="s">
        <v>25</v>
      </c>
      <c r="F7064" s="52" t="s">
        <v>26</v>
      </c>
      <c r="G7064" s="54"/>
    </row>
    <row r="7065">
      <c r="A7065" s="49">
        <v>45095.49895634259</v>
      </c>
      <c r="B7065" s="50">
        <v>45095.6239287731</v>
      </c>
      <c r="C7065" s="51">
        <v>1.002</v>
      </c>
      <c r="D7065" s="51">
        <v>68.0</v>
      </c>
      <c r="E7065" s="52" t="s">
        <v>25</v>
      </c>
      <c r="F7065" s="52" t="s">
        <v>26</v>
      </c>
      <c r="G7065" s="54"/>
    </row>
    <row r="7066">
      <c r="A7066" s="49">
        <v>45095.50937450232</v>
      </c>
      <c r="B7066" s="50">
        <v>45095.634351655</v>
      </c>
      <c r="C7066" s="51">
        <v>1.002</v>
      </c>
      <c r="D7066" s="51">
        <v>68.0</v>
      </c>
      <c r="E7066" s="52" t="s">
        <v>25</v>
      </c>
      <c r="F7066" s="52" t="s">
        <v>26</v>
      </c>
      <c r="G7066" s="54"/>
    </row>
    <row r="7067">
      <c r="A7067" s="49">
        <v>45095.51980461806</v>
      </c>
      <c r="B7067" s="50">
        <v>45095.6447827546</v>
      </c>
      <c r="C7067" s="51">
        <v>1.002</v>
      </c>
      <c r="D7067" s="51">
        <v>68.0</v>
      </c>
      <c r="E7067" s="52" t="s">
        <v>25</v>
      </c>
      <c r="F7067" s="52" t="s">
        <v>26</v>
      </c>
      <c r="G7067" s="54"/>
    </row>
    <row r="7068">
      <c r="A7068" s="49">
        <v>45095.530230358796</v>
      </c>
      <c r="B7068" s="50">
        <v>45095.6552049884</v>
      </c>
      <c r="C7068" s="51">
        <v>1.002</v>
      </c>
      <c r="D7068" s="51">
        <v>68.0</v>
      </c>
      <c r="E7068" s="52" t="s">
        <v>25</v>
      </c>
      <c r="F7068" s="52" t="s">
        <v>26</v>
      </c>
      <c r="G7068" s="54"/>
    </row>
    <row r="7069">
      <c r="A7069" s="49">
        <v>45095.5406575463</v>
      </c>
      <c r="B7069" s="50">
        <v>45095.6656263773</v>
      </c>
      <c r="C7069" s="51">
        <v>1.002</v>
      </c>
      <c r="D7069" s="51">
        <v>68.0</v>
      </c>
      <c r="E7069" s="52" t="s">
        <v>25</v>
      </c>
      <c r="F7069" s="52" t="s">
        <v>26</v>
      </c>
      <c r="G7069" s="54"/>
    </row>
    <row r="7070">
      <c r="A7070" s="49">
        <v>45095.55107760416</v>
      </c>
      <c r="B7070" s="50">
        <v>45095.6760466435</v>
      </c>
      <c r="C7070" s="51">
        <v>1.002</v>
      </c>
      <c r="D7070" s="51">
        <v>68.0</v>
      </c>
      <c r="E7070" s="52" t="s">
        <v>25</v>
      </c>
      <c r="F7070" s="52" t="s">
        <v>26</v>
      </c>
      <c r="G7070" s="54"/>
    </row>
    <row r="7071">
      <c r="A7071" s="49">
        <v>45095.5614933912</v>
      </c>
      <c r="B7071" s="50">
        <v>45095.6864676041</v>
      </c>
      <c r="C7071" s="51">
        <v>1.002</v>
      </c>
      <c r="D7071" s="51">
        <v>68.0</v>
      </c>
      <c r="E7071" s="52" t="s">
        <v>25</v>
      </c>
      <c r="F7071" s="52" t="s">
        <v>26</v>
      </c>
      <c r="G7071" s="54"/>
    </row>
    <row r="7072">
      <c r="A7072" s="49">
        <v>45095.57192283565</v>
      </c>
      <c r="B7072" s="50">
        <v>45095.6969018171</v>
      </c>
      <c r="C7072" s="51">
        <v>1.002</v>
      </c>
      <c r="D7072" s="51">
        <v>68.0</v>
      </c>
      <c r="E7072" s="52" t="s">
        <v>25</v>
      </c>
      <c r="F7072" s="52" t="s">
        <v>26</v>
      </c>
      <c r="G7072" s="54"/>
    </row>
    <row r="7073">
      <c r="A7073" s="49">
        <v>45095.582355335646</v>
      </c>
      <c r="B7073" s="50">
        <v>45095.7073240856</v>
      </c>
      <c r="C7073" s="51">
        <v>1.002</v>
      </c>
      <c r="D7073" s="51">
        <v>68.0</v>
      </c>
      <c r="E7073" s="52" t="s">
        <v>25</v>
      </c>
      <c r="F7073" s="52" t="s">
        <v>26</v>
      </c>
      <c r="G7073" s="54"/>
    </row>
    <row r="7074">
      <c r="A7074" s="49">
        <v>45095.59276767361</v>
      </c>
      <c r="B7074" s="50">
        <v>45095.7177430671</v>
      </c>
      <c r="C7074" s="51">
        <v>1.002</v>
      </c>
      <c r="D7074" s="51">
        <v>68.0</v>
      </c>
      <c r="E7074" s="52" t="s">
        <v>25</v>
      </c>
      <c r="F7074" s="52" t="s">
        <v>26</v>
      </c>
      <c r="G7074" s="54"/>
    </row>
    <row r="7075">
      <c r="A7075" s="49">
        <v>45095.603195497686</v>
      </c>
      <c r="B7075" s="50">
        <v>45095.7281643055</v>
      </c>
      <c r="C7075" s="51">
        <v>1.002</v>
      </c>
      <c r="D7075" s="51">
        <v>68.0</v>
      </c>
      <c r="E7075" s="52" t="s">
        <v>25</v>
      </c>
      <c r="F7075" s="52" t="s">
        <v>26</v>
      </c>
      <c r="G7075" s="54"/>
    </row>
    <row r="7076">
      <c r="A7076" s="49">
        <v>45095.61362034723</v>
      </c>
      <c r="B7076" s="50">
        <v>45095.7385976041</v>
      </c>
      <c r="C7076" s="51">
        <v>1.002</v>
      </c>
      <c r="D7076" s="51">
        <v>68.0</v>
      </c>
      <c r="E7076" s="52" t="s">
        <v>25</v>
      </c>
      <c r="F7076" s="52" t="s">
        <v>26</v>
      </c>
      <c r="G7076" s="54"/>
    </row>
    <row r="7077">
      <c r="A7077" s="49">
        <v>45095.62404766204</v>
      </c>
      <c r="B7077" s="50">
        <v>45095.7490168171</v>
      </c>
      <c r="C7077" s="51">
        <v>1.002</v>
      </c>
      <c r="D7077" s="51">
        <v>68.0</v>
      </c>
      <c r="E7077" s="52" t="s">
        <v>25</v>
      </c>
      <c r="F7077" s="52" t="s">
        <v>26</v>
      </c>
      <c r="G7077" s="54"/>
    </row>
    <row r="7078">
      <c r="A7078" s="49">
        <v>45095.634466504634</v>
      </c>
      <c r="B7078" s="50">
        <v>45095.7594367476</v>
      </c>
      <c r="C7078" s="51">
        <v>1.002</v>
      </c>
      <c r="D7078" s="51">
        <v>68.0</v>
      </c>
      <c r="E7078" s="52" t="s">
        <v>25</v>
      </c>
      <c r="F7078" s="52" t="s">
        <v>26</v>
      </c>
      <c r="G7078" s="54"/>
    </row>
    <row r="7079">
      <c r="A7079" s="49">
        <v>45095.64488400463</v>
      </c>
      <c r="B7079" s="50">
        <v>45095.7698584722</v>
      </c>
      <c r="C7079" s="51">
        <v>1.002</v>
      </c>
      <c r="D7079" s="51">
        <v>68.0</v>
      </c>
      <c r="E7079" s="52" t="s">
        <v>25</v>
      </c>
      <c r="F7079" s="52" t="s">
        <v>26</v>
      </c>
      <c r="G7079" s="54"/>
    </row>
    <row r="7080">
      <c r="A7080" s="49">
        <v>45095.65530482639</v>
      </c>
      <c r="B7080" s="50">
        <v>45095.7802784953</v>
      </c>
      <c r="C7080" s="51">
        <v>1.002</v>
      </c>
      <c r="D7080" s="51">
        <v>68.0</v>
      </c>
      <c r="E7080" s="52" t="s">
        <v>25</v>
      </c>
      <c r="F7080" s="52" t="s">
        <v>26</v>
      </c>
      <c r="G7080" s="54"/>
    </row>
    <row r="7081">
      <c r="A7081" s="49">
        <v>45095.66573395833</v>
      </c>
      <c r="B7081" s="50">
        <v>45095.7906986111</v>
      </c>
      <c r="C7081" s="51">
        <v>1.002</v>
      </c>
      <c r="D7081" s="51">
        <v>68.0</v>
      </c>
      <c r="E7081" s="52" t="s">
        <v>25</v>
      </c>
      <c r="F7081" s="52" t="s">
        <v>26</v>
      </c>
      <c r="G7081" s="54"/>
    </row>
    <row r="7082">
      <c r="A7082" s="49">
        <v>45095.67615293981</v>
      </c>
      <c r="B7082" s="50">
        <v>45095.8011186805</v>
      </c>
      <c r="C7082" s="51">
        <v>1.002</v>
      </c>
      <c r="D7082" s="51">
        <v>68.0</v>
      </c>
      <c r="E7082" s="52" t="s">
        <v>25</v>
      </c>
      <c r="F7082" s="52" t="s">
        <v>26</v>
      </c>
      <c r="G7082" s="54"/>
    </row>
    <row r="7083">
      <c r="A7083" s="49">
        <v>45095.68657021991</v>
      </c>
      <c r="B7083" s="50">
        <v>45095.8115380787</v>
      </c>
      <c r="C7083" s="51">
        <v>1.002</v>
      </c>
      <c r="D7083" s="51">
        <v>68.0</v>
      </c>
      <c r="E7083" s="52" t="s">
        <v>25</v>
      </c>
      <c r="F7083" s="52" t="s">
        <v>26</v>
      </c>
      <c r="G7083" s="54"/>
    </row>
    <row r="7084">
      <c r="A7084" s="49">
        <v>45095.696994756945</v>
      </c>
      <c r="B7084" s="50">
        <v>45095.8219700463</v>
      </c>
      <c r="C7084" s="51">
        <v>1.002</v>
      </c>
      <c r="D7084" s="51">
        <v>68.0</v>
      </c>
      <c r="E7084" s="52" t="s">
        <v>25</v>
      </c>
      <c r="F7084" s="52" t="s">
        <v>26</v>
      </c>
      <c r="G7084" s="54"/>
    </row>
    <row r="7085">
      <c r="A7085" s="49">
        <v>45095.71789959491</v>
      </c>
      <c r="B7085" s="50">
        <v>45095.8428108912</v>
      </c>
      <c r="C7085" s="51">
        <v>1.002</v>
      </c>
      <c r="D7085" s="51">
        <v>68.0</v>
      </c>
      <c r="E7085" s="52" t="s">
        <v>25</v>
      </c>
      <c r="F7085" s="52" t="s">
        <v>26</v>
      </c>
      <c r="G7085" s="54"/>
    </row>
    <row r="7086">
      <c r="A7086" s="49">
        <v>45095.72825672454</v>
      </c>
      <c r="B7086" s="50">
        <v>45095.8532304861</v>
      </c>
      <c r="C7086" s="51">
        <v>1.002</v>
      </c>
      <c r="D7086" s="51">
        <v>68.0</v>
      </c>
      <c r="E7086" s="52" t="s">
        <v>25</v>
      </c>
      <c r="F7086" s="52" t="s">
        <v>26</v>
      </c>
      <c r="G7086" s="54"/>
    </row>
    <row r="7087">
      <c r="A7087" s="49">
        <v>45095.73868270833</v>
      </c>
      <c r="B7087" s="50">
        <v>45095.8636519097</v>
      </c>
      <c r="C7087" s="51">
        <v>1.002</v>
      </c>
      <c r="D7087" s="51">
        <v>68.0</v>
      </c>
      <c r="E7087" s="52" t="s">
        <v>25</v>
      </c>
      <c r="F7087" s="52" t="s">
        <v>26</v>
      </c>
      <c r="G7087" s="54"/>
    </row>
    <row r="7088">
      <c r="A7088" s="49">
        <v>45095.74915765046</v>
      </c>
      <c r="B7088" s="50">
        <v>45095.8741320833</v>
      </c>
      <c r="C7088" s="51">
        <v>1.002</v>
      </c>
      <c r="D7088" s="51">
        <v>68.0</v>
      </c>
      <c r="E7088" s="52" t="s">
        <v>25</v>
      </c>
      <c r="F7088" s="52" t="s">
        <v>26</v>
      </c>
      <c r="G7088" s="54"/>
    </row>
    <row r="7089">
      <c r="A7089" s="49">
        <v>45095.75959836805</v>
      </c>
      <c r="B7089" s="50">
        <v>45095.8845644676</v>
      </c>
      <c r="C7089" s="51">
        <v>1.001</v>
      </c>
      <c r="D7089" s="51">
        <v>68.0</v>
      </c>
      <c r="E7089" s="52" t="s">
        <v>25</v>
      </c>
      <c r="F7089" s="52" t="s">
        <v>26</v>
      </c>
      <c r="G7089" s="54"/>
    </row>
    <row r="7090">
      <c r="A7090" s="49">
        <v>45095.770009699074</v>
      </c>
      <c r="B7090" s="50">
        <v>45095.8949835879</v>
      </c>
      <c r="C7090" s="51">
        <v>1.002</v>
      </c>
      <c r="D7090" s="51">
        <v>68.0</v>
      </c>
      <c r="E7090" s="52" t="s">
        <v>25</v>
      </c>
      <c r="F7090" s="52" t="s">
        <v>26</v>
      </c>
      <c r="G7090" s="54"/>
    </row>
    <row r="7091">
      <c r="A7091" s="49">
        <v>45095.78042925926</v>
      </c>
      <c r="B7091" s="50">
        <v>45095.9054034606</v>
      </c>
      <c r="C7091" s="51">
        <v>1.002</v>
      </c>
      <c r="D7091" s="51">
        <v>68.0</v>
      </c>
      <c r="E7091" s="52" t="s">
        <v>25</v>
      </c>
      <c r="F7091" s="52" t="s">
        <v>26</v>
      </c>
      <c r="G7091" s="54"/>
    </row>
    <row r="7092">
      <c r="A7092" s="49">
        <v>45095.79087960648</v>
      </c>
      <c r="B7092" s="50">
        <v>45095.9158481713</v>
      </c>
      <c r="C7092" s="51">
        <v>1.002</v>
      </c>
      <c r="D7092" s="51">
        <v>68.0</v>
      </c>
      <c r="E7092" s="52" t="s">
        <v>25</v>
      </c>
      <c r="F7092" s="52" t="s">
        <v>26</v>
      </c>
      <c r="G7092" s="54"/>
    </row>
    <row r="7093">
      <c r="A7093" s="49">
        <v>45095.801293321754</v>
      </c>
      <c r="B7093" s="50">
        <v>45095.9262679513</v>
      </c>
      <c r="C7093" s="51">
        <v>1.002</v>
      </c>
      <c r="D7093" s="51">
        <v>68.0</v>
      </c>
      <c r="E7093" s="52" t="s">
        <v>25</v>
      </c>
      <c r="F7093" s="52" t="s">
        <v>26</v>
      </c>
      <c r="G7093" s="54"/>
    </row>
    <row r="7094">
      <c r="A7094" s="49">
        <v>45095.8117121875</v>
      </c>
      <c r="B7094" s="50">
        <v>45095.9366884259</v>
      </c>
      <c r="C7094" s="51">
        <v>1.002</v>
      </c>
      <c r="D7094" s="51">
        <v>68.0</v>
      </c>
      <c r="E7094" s="52" t="s">
        <v>25</v>
      </c>
      <c r="F7094" s="52" t="s">
        <v>26</v>
      </c>
      <c r="G7094" s="54"/>
    </row>
    <row r="7095">
      <c r="A7095" s="49">
        <v>45095.82214013889</v>
      </c>
      <c r="B7095" s="50">
        <v>45095.9471086342</v>
      </c>
      <c r="C7095" s="51">
        <v>1.002</v>
      </c>
      <c r="D7095" s="51">
        <v>68.0</v>
      </c>
      <c r="E7095" s="52" t="s">
        <v>25</v>
      </c>
      <c r="F7095" s="52" t="s">
        <v>26</v>
      </c>
      <c r="G7095" s="54"/>
    </row>
    <row r="7096">
      <c r="A7096" s="49">
        <v>45095.832575312495</v>
      </c>
      <c r="B7096" s="50">
        <v>45095.9575515162</v>
      </c>
      <c r="C7096" s="51">
        <v>1.002</v>
      </c>
      <c r="D7096" s="51">
        <v>68.0</v>
      </c>
      <c r="E7096" s="52" t="s">
        <v>25</v>
      </c>
      <c r="F7096" s="52" t="s">
        <v>26</v>
      </c>
      <c r="G7096" s="54"/>
    </row>
    <row r="7097">
      <c r="A7097" s="49">
        <v>45095.84300548611</v>
      </c>
      <c r="B7097" s="50">
        <v>45095.9679746759</v>
      </c>
      <c r="C7097" s="51">
        <v>1.002</v>
      </c>
      <c r="D7097" s="51">
        <v>68.0</v>
      </c>
      <c r="E7097" s="52" t="s">
        <v>25</v>
      </c>
      <c r="F7097" s="52" t="s">
        <v>26</v>
      </c>
      <c r="G7097" s="54"/>
    </row>
    <row r="7098">
      <c r="A7098" s="49">
        <v>45095.85342241898</v>
      </c>
      <c r="B7098" s="50">
        <v>45095.9783981597</v>
      </c>
      <c r="C7098" s="51">
        <v>1.002</v>
      </c>
      <c r="D7098" s="51">
        <v>68.0</v>
      </c>
      <c r="E7098" s="52" t="s">
        <v>25</v>
      </c>
      <c r="F7098" s="52" t="s">
        <v>26</v>
      </c>
      <c r="G7098" s="54"/>
    </row>
    <row r="7099">
      <c r="A7099" s="49">
        <v>45095.86385292824</v>
      </c>
      <c r="B7099" s="50">
        <v>45095.9888199074</v>
      </c>
      <c r="C7099" s="51">
        <v>1.002</v>
      </c>
      <c r="D7099" s="51">
        <v>68.0</v>
      </c>
      <c r="E7099" s="52" t="s">
        <v>25</v>
      </c>
      <c r="F7099" s="52" t="s">
        <v>26</v>
      </c>
      <c r="G7099" s="54"/>
    </row>
    <row r="7100">
      <c r="A7100" s="49">
        <v>45095.87428134259</v>
      </c>
      <c r="B7100" s="50">
        <v>45095.9992520717</v>
      </c>
      <c r="C7100" s="51">
        <v>1.002</v>
      </c>
      <c r="D7100" s="51">
        <v>68.0</v>
      </c>
      <c r="E7100" s="52" t="s">
        <v>25</v>
      </c>
      <c r="F7100" s="52" t="s">
        <v>26</v>
      </c>
      <c r="G7100" s="54"/>
    </row>
    <row r="7101">
      <c r="A7101" s="49">
        <v>45095.88469605324</v>
      </c>
      <c r="B7101" s="50">
        <v>45096.0096725115</v>
      </c>
      <c r="C7101" s="51">
        <v>1.002</v>
      </c>
      <c r="D7101" s="51">
        <v>68.0</v>
      </c>
      <c r="E7101" s="52" t="s">
        <v>25</v>
      </c>
      <c r="F7101" s="52" t="s">
        <v>26</v>
      </c>
      <c r="G7101" s="54"/>
    </row>
    <row r="7102">
      <c r="A7102" s="49">
        <v>45095.89512461805</v>
      </c>
      <c r="B7102" s="50">
        <v>45096.02009353</v>
      </c>
      <c r="C7102" s="51">
        <v>1.002</v>
      </c>
      <c r="D7102" s="51">
        <v>68.0</v>
      </c>
      <c r="E7102" s="52" t="s">
        <v>25</v>
      </c>
      <c r="F7102" s="52" t="s">
        <v>26</v>
      </c>
      <c r="G7102" s="54"/>
    </row>
    <row r="7103">
      <c r="A7103" s="49">
        <v>45095.90553989583</v>
      </c>
      <c r="B7103" s="50">
        <v>45096.0305135069</v>
      </c>
      <c r="C7103" s="51">
        <v>1.002</v>
      </c>
      <c r="D7103" s="51">
        <v>68.0</v>
      </c>
      <c r="E7103" s="52" t="s">
        <v>25</v>
      </c>
      <c r="F7103" s="52" t="s">
        <v>26</v>
      </c>
      <c r="G7103" s="54"/>
    </row>
    <row r="7104">
      <c r="A7104" s="49">
        <v>45095.91597702546</v>
      </c>
      <c r="B7104" s="50">
        <v>45096.0409476273</v>
      </c>
      <c r="C7104" s="51">
        <v>1.002</v>
      </c>
      <c r="D7104" s="51">
        <v>68.0</v>
      </c>
      <c r="E7104" s="52" t="s">
        <v>25</v>
      </c>
      <c r="F7104" s="52" t="s">
        <v>26</v>
      </c>
      <c r="G7104" s="54"/>
    </row>
    <row r="7105">
      <c r="A7105" s="49">
        <v>45095.92639296297</v>
      </c>
      <c r="B7105" s="50">
        <v>45096.0513686458</v>
      </c>
      <c r="C7105" s="51">
        <v>1.002</v>
      </c>
      <c r="D7105" s="51">
        <v>68.0</v>
      </c>
      <c r="E7105" s="52" t="s">
        <v>25</v>
      </c>
      <c r="F7105" s="52" t="s">
        <v>26</v>
      </c>
      <c r="G7105" s="54"/>
    </row>
    <row r="7106">
      <c r="A7106" s="49">
        <v>45095.93681128472</v>
      </c>
      <c r="B7106" s="50">
        <v>45096.0617899884</v>
      </c>
      <c r="C7106" s="51">
        <v>1.002</v>
      </c>
      <c r="D7106" s="51">
        <v>68.0</v>
      </c>
      <c r="E7106" s="52" t="s">
        <v>25</v>
      </c>
      <c r="F7106" s="52" t="s">
        <v>26</v>
      </c>
      <c r="G7106" s="54"/>
    </row>
    <row r="7107">
      <c r="A7107" s="49">
        <v>45095.94724886574</v>
      </c>
      <c r="B7107" s="50">
        <v>45096.0722119676</v>
      </c>
      <c r="C7107" s="51">
        <v>1.002</v>
      </c>
      <c r="D7107" s="51">
        <v>68.0</v>
      </c>
      <c r="E7107" s="52" t="s">
        <v>25</v>
      </c>
      <c r="F7107" s="52" t="s">
        <v>26</v>
      </c>
      <c r="G7107" s="54"/>
    </row>
    <row r="7108">
      <c r="A7108" s="49">
        <v>45095.95766629629</v>
      </c>
      <c r="B7108" s="50">
        <v>45096.082634456</v>
      </c>
      <c r="C7108" s="51">
        <v>1.002</v>
      </c>
      <c r="D7108" s="51">
        <v>68.0</v>
      </c>
      <c r="E7108" s="52" t="s">
        <v>25</v>
      </c>
      <c r="F7108" s="52" t="s">
        <v>26</v>
      </c>
      <c r="G7108" s="54"/>
    </row>
    <row r="7109">
      <c r="A7109" s="49">
        <v>45095.96808018519</v>
      </c>
      <c r="B7109" s="50">
        <v>45096.0930553703</v>
      </c>
      <c r="C7109" s="51">
        <v>1.002</v>
      </c>
      <c r="D7109" s="51">
        <v>68.0</v>
      </c>
      <c r="E7109" s="52" t="s">
        <v>25</v>
      </c>
      <c r="F7109" s="52" t="s">
        <v>26</v>
      </c>
      <c r="G7109" s="54"/>
    </row>
    <row r="7110">
      <c r="A7110" s="49">
        <v>45095.978506099535</v>
      </c>
      <c r="B7110" s="50">
        <v>45096.1034761805</v>
      </c>
      <c r="C7110" s="51">
        <v>1.002</v>
      </c>
      <c r="D7110" s="51">
        <v>68.0</v>
      </c>
      <c r="E7110" s="52" t="s">
        <v>25</v>
      </c>
      <c r="F7110" s="52" t="s">
        <v>26</v>
      </c>
      <c r="G7110" s="54"/>
    </row>
    <row r="7111">
      <c r="A7111" s="49">
        <v>45095.98892521991</v>
      </c>
      <c r="B7111" s="50">
        <v>45096.1138959143</v>
      </c>
      <c r="C7111" s="51">
        <v>1.001</v>
      </c>
      <c r="D7111" s="51">
        <v>68.0</v>
      </c>
      <c r="E7111" s="52" t="s">
        <v>25</v>
      </c>
      <c r="F7111" s="52" t="s">
        <v>26</v>
      </c>
      <c r="G7111" s="54"/>
    </row>
    <row r="7112">
      <c r="A7112" s="49">
        <v>45095.99934016204</v>
      </c>
      <c r="B7112" s="50">
        <v>45096.1243178703</v>
      </c>
      <c r="C7112" s="51">
        <v>1.002</v>
      </c>
      <c r="D7112" s="51">
        <v>68.0</v>
      </c>
      <c r="E7112" s="52" t="s">
        <v>25</v>
      </c>
      <c r="F7112" s="52" t="s">
        <v>26</v>
      </c>
      <c r="G7112" s="54"/>
    </row>
    <row r="7113">
      <c r="A7113" s="49">
        <v>45096.00976542824</v>
      </c>
      <c r="B7113" s="50">
        <v>45096.1347368634</v>
      </c>
      <c r="C7113" s="51">
        <v>1.002</v>
      </c>
      <c r="D7113" s="51">
        <v>68.0</v>
      </c>
      <c r="E7113" s="52" t="s">
        <v>25</v>
      </c>
      <c r="F7113" s="52" t="s">
        <v>26</v>
      </c>
      <c r="G7113" s="54"/>
    </row>
    <row r="7114">
      <c r="A7114" s="49">
        <v>45096.020203900465</v>
      </c>
      <c r="B7114" s="50">
        <v>45096.1451702199</v>
      </c>
      <c r="C7114" s="51">
        <v>1.002</v>
      </c>
      <c r="D7114" s="51">
        <v>68.0</v>
      </c>
      <c r="E7114" s="52" t="s">
        <v>25</v>
      </c>
      <c r="F7114" s="52" t="s">
        <v>26</v>
      </c>
      <c r="G7114" s="54"/>
    </row>
    <row r="7115">
      <c r="A7115" s="49">
        <v>45096.03062148148</v>
      </c>
      <c r="B7115" s="50">
        <v>45096.1555909953</v>
      </c>
      <c r="C7115" s="51">
        <v>1.002</v>
      </c>
      <c r="D7115" s="51">
        <v>68.0</v>
      </c>
      <c r="E7115" s="52" t="s">
        <v>25</v>
      </c>
      <c r="F7115" s="52" t="s">
        <v>26</v>
      </c>
      <c r="G7115" s="54"/>
    </row>
    <row r="7116">
      <c r="A7116" s="49">
        <v>45096.041039247684</v>
      </c>
      <c r="B7116" s="50">
        <v>45096.1660119791</v>
      </c>
      <c r="C7116" s="51">
        <v>1.002</v>
      </c>
      <c r="D7116" s="51">
        <v>68.0</v>
      </c>
      <c r="E7116" s="52" t="s">
        <v>25</v>
      </c>
      <c r="F7116" s="52" t="s">
        <v>26</v>
      </c>
      <c r="G7116" s="54"/>
    </row>
    <row r="7117">
      <c r="A7117" s="49">
        <v>45096.051473541665</v>
      </c>
      <c r="B7117" s="50">
        <v>45096.1764434375</v>
      </c>
      <c r="C7117" s="51">
        <v>1.002</v>
      </c>
      <c r="D7117" s="51">
        <v>68.0</v>
      </c>
      <c r="E7117" s="52" t="s">
        <v>25</v>
      </c>
      <c r="F7117" s="52" t="s">
        <v>26</v>
      </c>
      <c r="G7117" s="54"/>
    </row>
    <row r="7118">
      <c r="A7118" s="49">
        <v>45096.06189648148</v>
      </c>
      <c r="B7118" s="50">
        <v>45096.1868660879</v>
      </c>
      <c r="C7118" s="51">
        <v>1.002</v>
      </c>
      <c r="D7118" s="51">
        <v>68.0</v>
      </c>
      <c r="E7118" s="52" t="s">
        <v>25</v>
      </c>
      <c r="F7118" s="52" t="s">
        <v>26</v>
      </c>
      <c r="G7118" s="54"/>
    </row>
    <row r="7119">
      <c r="A7119" s="49">
        <v>45096.07231148148</v>
      </c>
      <c r="B7119" s="50">
        <v>45096.1972873148</v>
      </c>
      <c r="C7119" s="51">
        <v>1.002</v>
      </c>
      <c r="D7119" s="51">
        <v>68.0</v>
      </c>
      <c r="E7119" s="52" t="s">
        <v>25</v>
      </c>
      <c r="F7119" s="52" t="s">
        <v>26</v>
      </c>
      <c r="G7119" s="54"/>
    </row>
    <row r="7120">
      <c r="A7120" s="49">
        <v>45096.08273414352</v>
      </c>
      <c r="B7120" s="50">
        <v>45096.2077081134</v>
      </c>
      <c r="C7120" s="51">
        <v>1.002</v>
      </c>
      <c r="D7120" s="51">
        <v>68.0</v>
      </c>
      <c r="E7120" s="52" t="s">
        <v>25</v>
      </c>
      <c r="F7120" s="52" t="s">
        <v>26</v>
      </c>
      <c r="G7120" s="54"/>
    </row>
    <row r="7121">
      <c r="A7121" s="49">
        <v>45096.09316532407</v>
      </c>
      <c r="B7121" s="50">
        <v>45096.218140949</v>
      </c>
      <c r="C7121" s="51">
        <v>1.002</v>
      </c>
      <c r="D7121" s="51">
        <v>68.0</v>
      </c>
      <c r="E7121" s="52" t="s">
        <v>25</v>
      </c>
      <c r="F7121" s="52" t="s">
        <v>26</v>
      </c>
      <c r="G7121" s="54"/>
    </row>
    <row r="7122">
      <c r="A7122" s="49">
        <v>45096.10359135417</v>
      </c>
      <c r="B7122" s="50">
        <v>45096.2285636921</v>
      </c>
      <c r="C7122" s="51">
        <v>1.002</v>
      </c>
      <c r="D7122" s="51">
        <v>68.0</v>
      </c>
      <c r="E7122" s="52" t="s">
        <v>25</v>
      </c>
      <c r="F7122" s="52" t="s">
        <v>26</v>
      </c>
      <c r="G7122" s="54"/>
    </row>
    <row r="7123">
      <c r="A7123" s="49">
        <v>45096.114035011575</v>
      </c>
      <c r="B7123" s="50">
        <v>45096.2390075694</v>
      </c>
      <c r="C7123" s="51">
        <v>1.002</v>
      </c>
      <c r="D7123" s="51">
        <v>68.0</v>
      </c>
      <c r="E7123" s="52" t="s">
        <v>25</v>
      </c>
      <c r="F7123" s="52" t="s">
        <v>26</v>
      </c>
      <c r="G7123" s="54"/>
    </row>
    <row r="7124">
      <c r="A7124" s="49">
        <v>45096.12445164352</v>
      </c>
      <c r="B7124" s="50">
        <v>45096.2494286574</v>
      </c>
      <c r="C7124" s="51">
        <v>1.002</v>
      </c>
      <c r="D7124" s="51">
        <v>68.0</v>
      </c>
      <c r="E7124" s="52" t="s">
        <v>25</v>
      </c>
      <c r="F7124" s="52" t="s">
        <v>26</v>
      </c>
      <c r="G7124" s="54"/>
    </row>
    <row r="7125">
      <c r="A7125" s="49">
        <v>45096.13487759259</v>
      </c>
      <c r="B7125" s="50">
        <v>45096.2598484375</v>
      </c>
      <c r="C7125" s="51">
        <v>1.001</v>
      </c>
      <c r="D7125" s="51">
        <v>68.0</v>
      </c>
      <c r="E7125" s="52" t="s">
        <v>25</v>
      </c>
      <c r="F7125" s="52" t="s">
        <v>26</v>
      </c>
      <c r="G7125" s="54"/>
    </row>
    <row r="7126">
      <c r="A7126" s="49">
        <v>45096.14531262731</v>
      </c>
      <c r="B7126" s="50">
        <v>45096.2702827546</v>
      </c>
      <c r="C7126" s="51">
        <v>1.002</v>
      </c>
      <c r="D7126" s="51">
        <v>68.0</v>
      </c>
      <c r="E7126" s="52" t="s">
        <v>25</v>
      </c>
      <c r="F7126" s="52" t="s">
        <v>26</v>
      </c>
      <c r="G7126" s="54"/>
    </row>
    <row r="7127">
      <c r="A7127" s="49">
        <v>45096.15572711806</v>
      </c>
      <c r="B7127" s="50">
        <v>45096.2807029051</v>
      </c>
      <c r="C7127" s="51">
        <v>1.002</v>
      </c>
      <c r="D7127" s="51">
        <v>68.0</v>
      </c>
      <c r="E7127" s="52" t="s">
        <v>25</v>
      </c>
      <c r="F7127" s="52" t="s">
        <v>26</v>
      </c>
      <c r="G7127" s="54"/>
    </row>
    <row r="7128">
      <c r="A7128" s="49">
        <v>45096.166153136575</v>
      </c>
      <c r="B7128" s="50">
        <v>45096.2911243634</v>
      </c>
      <c r="C7128" s="51">
        <v>1.002</v>
      </c>
      <c r="D7128" s="51">
        <v>68.0</v>
      </c>
      <c r="E7128" s="52" t="s">
        <v>25</v>
      </c>
      <c r="F7128" s="52" t="s">
        <v>26</v>
      </c>
      <c r="G7128" s="54"/>
    </row>
    <row r="7129">
      <c r="A7129" s="49">
        <v>45096.17657722222</v>
      </c>
      <c r="B7129" s="50">
        <v>45096.3015458564</v>
      </c>
      <c r="C7129" s="51">
        <v>1.002</v>
      </c>
      <c r="D7129" s="51">
        <v>68.0</v>
      </c>
      <c r="E7129" s="52" t="s">
        <v>25</v>
      </c>
      <c r="F7129" s="52" t="s">
        <v>26</v>
      </c>
      <c r="G7129" s="54"/>
    </row>
    <row r="7130">
      <c r="A7130" s="49">
        <v>45096.186990625</v>
      </c>
      <c r="B7130" s="50">
        <v>45096.3119684953</v>
      </c>
      <c r="C7130" s="51">
        <v>1.002</v>
      </c>
      <c r="D7130" s="51">
        <v>68.0</v>
      </c>
      <c r="E7130" s="52" t="s">
        <v>25</v>
      </c>
      <c r="F7130" s="52" t="s">
        <v>26</v>
      </c>
      <c r="G7130" s="54"/>
    </row>
    <row r="7131">
      <c r="A7131" s="49">
        <v>45096.19742069444</v>
      </c>
      <c r="B7131" s="50">
        <v>45096.3223885532</v>
      </c>
      <c r="C7131" s="51">
        <v>1.002</v>
      </c>
      <c r="D7131" s="51">
        <v>68.0</v>
      </c>
      <c r="E7131" s="52" t="s">
        <v>25</v>
      </c>
      <c r="F7131" s="52" t="s">
        <v>26</v>
      </c>
      <c r="G7131" s="54"/>
    </row>
    <row r="7132">
      <c r="A7132" s="49">
        <v>45096.20783393519</v>
      </c>
      <c r="B7132" s="50">
        <v>45096.3328098495</v>
      </c>
      <c r="C7132" s="51">
        <v>1.002</v>
      </c>
      <c r="D7132" s="51">
        <v>68.0</v>
      </c>
      <c r="E7132" s="52" t="s">
        <v>25</v>
      </c>
      <c r="F7132" s="52" t="s">
        <v>26</v>
      </c>
      <c r="G7132" s="54"/>
    </row>
    <row r="7133">
      <c r="A7133" s="49">
        <v>45096.21826034722</v>
      </c>
      <c r="B7133" s="50">
        <v>45096.3432320023</v>
      </c>
      <c r="C7133" s="51">
        <v>1.002</v>
      </c>
      <c r="D7133" s="51">
        <v>68.0</v>
      </c>
      <c r="E7133" s="52" t="s">
        <v>25</v>
      </c>
      <c r="F7133" s="52" t="s">
        <v>26</v>
      </c>
      <c r="G7133" s="54"/>
    </row>
    <row r="7134">
      <c r="A7134" s="49">
        <v>45096.228678680556</v>
      </c>
      <c r="B7134" s="50">
        <v>45096.3536525115</v>
      </c>
      <c r="C7134" s="51">
        <v>1.002</v>
      </c>
      <c r="D7134" s="51">
        <v>68.0</v>
      </c>
      <c r="E7134" s="52" t="s">
        <v>25</v>
      </c>
      <c r="F7134" s="52" t="s">
        <v>26</v>
      </c>
      <c r="G7134" s="54"/>
    </row>
    <row r="7135">
      <c r="A7135" s="49">
        <v>45096.239122025465</v>
      </c>
      <c r="B7135" s="50">
        <v>45096.364085243</v>
      </c>
      <c r="C7135" s="51">
        <v>1.002</v>
      </c>
      <c r="D7135" s="51">
        <v>68.0</v>
      </c>
      <c r="E7135" s="52" t="s">
        <v>25</v>
      </c>
      <c r="F7135" s="52" t="s">
        <v>26</v>
      </c>
      <c r="G7135" s="54"/>
    </row>
    <row r="7136">
      <c r="A7136" s="49">
        <v>45096.24952673611</v>
      </c>
      <c r="B7136" s="50">
        <v>45096.3745057523</v>
      </c>
      <c r="C7136" s="51">
        <v>1.002</v>
      </c>
      <c r="D7136" s="51">
        <v>68.0</v>
      </c>
      <c r="E7136" s="52" t="s">
        <v>25</v>
      </c>
      <c r="F7136" s="52" t="s">
        <v>26</v>
      </c>
      <c r="G7136" s="54"/>
    </row>
    <row r="7137">
      <c r="A7137" s="49">
        <v>45096.259966631944</v>
      </c>
      <c r="B7137" s="50">
        <v>45096.3849283101</v>
      </c>
      <c r="C7137" s="51">
        <v>1.002</v>
      </c>
      <c r="D7137" s="51">
        <v>68.0</v>
      </c>
      <c r="E7137" s="52" t="s">
        <v>25</v>
      </c>
      <c r="F7137" s="52" t="s">
        <v>26</v>
      </c>
      <c r="G7137" s="54"/>
    </row>
    <row r="7138">
      <c r="A7138" s="49">
        <v>45096.27036594907</v>
      </c>
      <c r="B7138" s="50">
        <v>45096.3953469907</v>
      </c>
      <c r="C7138" s="51">
        <v>1.002</v>
      </c>
      <c r="D7138" s="51">
        <v>68.0</v>
      </c>
      <c r="E7138" s="52" t="s">
        <v>25</v>
      </c>
      <c r="F7138" s="52" t="s">
        <v>26</v>
      </c>
      <c r="G7138" s="54"/>
    </row>
    <row r="7139">
      <c r="A7139" s="49">
        <v>45096.2808009375</v>
      </c>
      <c r="B7139" s="50">
        <v>45096.4057805555</v>
      </c>
      <c r="C7139" s="51">
        <v>1.002</v>
      </c>
      <c r="D7139" s="51">
        <v>68.0</v>
      </c>
      <c r="E7139" s="52" t="s">
        <v>25</v>
      </c>
      <c r="F7139" s="52" t="s">
        <v>26</v>
      </c>
      <c r="G7139" s="54"/>
    </row>
    <row r="7140">
      <c r="A7140" s="49">
        <v>45096.29123138889</v>
      </c>
      <c r="B7140" s="50">
        <v>45096.4162114583</v>
      </c>
      <c r="C7140" s="51">
        <v>1.002</v>
      </c>
      <c r="D7140" s="51">
        <v>68.0</v>
      </c>
      <c r="E7140" s="52" t="s">
        <v>25</v>
      </c>
      <c r="F7140" s="52" t="s">
        <v>26</v>
      </c>
      <c r="G7140" s="54"/>
    </row>
    <row r="7141">
      <c r="A7141" s="49">
        <v>45096.30165400463</v>
      </c>
      <c r="B7141" s="50">
        <v>45096.4266326851</v>
      </c>
      <c r="C7141" s="51">
        <v>1.001</v>
      </c>
      <c r="D7141" s="51">
        <v>68.0</v>
      </c>
      <c r="E7141" s="52" t="s">
        <v>25</v>
      </c>
      <c r="F7141" s="52" t="s">
        <v>26</v>
      </c>
      <c r="G7141" s="54"/>
    </row>
    <row r="7142">
      <c r="A7142" s="49">
        <v>45096.312082199074</v>
      </c>
      <c r="B7142" s="50">
        <v>45096.4370548379</v>
      </c>
      <c r="C7142" s="51">
        <v>1.001</v>
      </c>
      <c r="D7142" s="51">
        <v>68.0</v>
      </c>
      <c r="E7142" s="52" t="s">
        <v>25</v>
      </c>
      <c r="F7142" s="52" t="s">
        <v>26</v>
      </c>
      <c r="G7142" s="54"/>
    </row>
    <row r="7143">
      <c r="A7143" s="49">
        <v>45096.32250760417</v>
      </c>
      <c r="B7143" s="50">
        <v>45096.4474732291</v>
      </c>
      <c r="C7143" s="51">
        <v>1.002</v>
      </c>
      <c r="D7143" s="51">
        <v>68.0</v>
      </c>
      <c r="E7143" s="52" t="s">
        <v>25</v>
      </c>
      <c r="F7143" s="52" t="s">
        <v>26</v>
      </c>
      <c r="G7143" s="54"/>
    </row>
    <row r="7144">
      <c r="A7144" s="49">
        <v>45096.332922430556</v>
      </c>
      <c r="B7144" s="50">
        <v>45096.4578939351</v>
      </c>
      <c r="C7144" s="51">
        <v>1.002</v>
      </c>
      <c r="D7144" s="51">
        <v>68.0</v>
      </c>
      <c r="E7144" s="52" t="s">
        <v>25</v>
      </c>
      <c r="F7144" s="52" t="s">
        <v>26</v>
      </c>
      <c r="G7144" s="54"/>
    </row>
    <row r="7145">
      <c r="A7145" s="49">
        <v>45096.34334212963</v>
      </c>
      <c r="B7145" s="50">
        <v>45096.4683155902</v>
      </c>
      <c r="C7145" s="51">
        <v>1.002</v>
      </c>
      <c r="D7145" s="51">
        <v>68.0</v>
      </c>
      <c r="E7145" s="52" t="s">
        <v>25</v>
      </c>
      <c r="F7145" s="52" t="s">
        <v>26</v>
      </c>
      <c r="G7145" s="54"/>
    </row>
    <row r="7146">
      <c r="A7146" s="49">
        <v>45096.35376216435</v>
      </c>
      <c r="B7146" s="50">
        <v>45096.4787349768</v>
      </c>
      <c r="C7146" s="51">
        <v>1.002</v>
      </c>
      <c r="D7146" s="51">
        <v>68.0</v>
      </c>
      <c r="E7146" s="52" t="s">
        <v>25</v>
      </c>
      <c r="F7146" s="52" t="s">
        <v>26</v>
      </c>
      <c r="G7146" s="54"/>
    </row>
    <row r="7147">
      <c r="A7147" s="49">
        <v>45096.36420454861</v>
      </c>
      <c r="B7147" s="50">
        <v>45096.489180162</v>
      </c>
      <c r="C7147" s="51">
        <v>1.002</v>
      </c>
      <c r="D7147" s="51">
        <v>68.0</v>
      </c>
      <c r="E7147" s="52" t="s">
        <v>25</v>
      </c>
      <c r="F7147" s="52" t="s">
        <v>26</v>
      </c>
      <c r="G7147" s="54"/>
    </row>
    <row r="7148">
      <c r="A7148" s="49">
        <v>45096.37461802083</v>
      </c>
      <c r="B7148" s="50">
        <v>45096.499601331</v>
      </c>
      <c r="C7148" s="51">
        <v>1.002</v>
      </c>
      <c r="D7148" s="51">
        <v>68.0</v>
      </c>
      <c r="E7148" s="52" t="s">
        <v>25</v>
      </c>
      <c r="F7148" s="52" t="s">
        <v>26</v>
      </c>
      <c r="G7148" s="54"/>
    </row>
    <row r="7149">
      <c r="A7149" s="49">
        <v>45096.38504112269</v>
      </c>
      <c r="B7149" s="50">
        <v>45096.5100229166</v>
      </c>
      <c r="C7149" s="51">
        <v>1.002</v>
      </c>
      <c r="D7149" s="51">
        <v>68.0</v>
      </c>
      <c r="E7149" s="52" t="s">
        <v>25</v>
      </c>
      <c r="F7149" s="52" t="s">
        <v>26</v>
      </c>
      <c r="G7149" s="54"/>
    </row>
    <row r="7150">
      <c r="A7150" s="49">
        <v>45096.395469780095</v>
      </c>
      <c r="B7150" s="50">
        <v>45096.520445949</v>
      </c>
      <c r="C7150" s="51">
        <v>1.002</v>
      </c>
      <c r="D7150" s="51">
        <v>68.0</v>
      </c>
      <c r="E7150" s="52" t="s">
        <v>25</v>
      </c>
      <c r="F7150" s="52" t="s">
        <v>26</v>
      </c>
      <c r="G7150" s="54"/>
    </row>
    <row r="7151">
      <c r="A7151" s="49">
        <v>45096.40589443287</v>
      </c>
      <c r="B7151" s="50">
        <v>45096.5308659722</v>
      </c>
      <c r="C7151" s="51">
        <v>1.002</v>
      </c>
      <c r="D7151" s="51">
        <v>68.0</v>
      </c>
      <c r="E7151" s="52" t="s">
        <v>25</v>
      </c>
      <c r="F7151" s="52" t="s">
        <v>26</v>
      </c>
      <c r="G7151" s="54"/>
    </row>
    <row r="7152">
      <c r="A7152" s="49">
        <v>45096.41631231482</v>
      </c>
      <c r="B7152" s="50">
        <v>45096.5412862152</v>
      </c>
      <c r="C7152" s="51">
        <v>1.002</v>
      </c>
      <c r="D7152" s="51">
        <v>68.0</v>
      </c>
      <c r="E7152" s="52" t="s">
        <v>25</v>
      </c>
      <c r="F7152" s="52" t="s">
        <v>26</v>
      </c>
      <c r="G7152" s="54"/>
    </row>
    <row r="7153">
      <c r="A7153" s="49">
        <v>45096.42673412037</v>
      </c>
      <c r="B7153" s="50">
        <v>45096.5517062384</v>
      </c>
      <c r="C7153" s="51">
        <v>1.002</v>
      </c>
      <c r="D7153" s="51">
        <v>68.0</v>
      </c>
      <c r="E7153" s="52" t="s">
        <v>25</v>
      </c>
      <c r="F7153" s="52" t="s">
        <v>26</v>
      </c>
      <c r="G7153" s="54"/>
    </row>
    <row r="7154">
      <c r="A7154" s="49">
        <v>45096.4371490162</v>
      </c>
      <c r="B7154" s="50">
        <v>45096.5621266666</v>
      </c>
      <c r="C7154" s="51">
        <v>1.002</v>
      </c>
      <c r="D7154" s="51">
        <v>68.0</v>
      </c>
      <c r="E7154" s="52" t="s">
        <v>25</v>
      </c>
      <c r="F7154" s="52" t="s">
        <v>26</v>
      </c>
      <c r="G7154" s="54"/>
    </row>
    <row r="7155">
      <c r="A7155" s="49">
        <v>45096.44756516204</v>
      </c>
      <c r="B7155" s="50">
        <v>45096.5725481018</v>
      </c>
      <c r="C7155" s="51">
        <v>1.002</v>
      </c>
      <c r="D7155" s="51">
        <v>68.0</v>
      </c>
      <c r="E7155" s="52" t="s">
        <v>25</v>
      </c>
      <c r="F7155" s="52" t="s">
        <v>26</v>
      </c>
      <c r="G7155" s="54"/>
    </row>
    <row r="7156">
      <c r="A7156" s="49">
        <v>45096.45799214121</v>
      </c>
      <c r="B7156" s="50">
        <v>45096.5829674652</v>
      </c>
      <c r="C7156" s="51">
        <v>1.002</v>
      </c>
      <c r="D7156" s="51">
        <v>68.0</v>
      </c>
      <c r="E7156" s="52" t="s">
        <v>25</v>
      </c>
      <c r="F7156" s="52" t="s">
        <v>26</v>
      </c>
      <c r="G7156" s="54"/>
    </row>
    <row r="7157">
      <c r="A7157" s="49">
        <v>45096.48925136574</v>
      </c>
      <c r="B7157" s="50">
        <v>45096.6142277777</v>
      </c>
      <c r="C7157" s="51">
        <v>1.001</v>
      </c>
      <c r="D7157" s="51">
        <v>68.0</v>
      </c>
      <c r="E7157" s="52" t="s">
        <v>25</v>
      </c>
      <c r="F7157" s="52" t="s">
        <v>26</v>
      </c>
      <c r="G7157" s="54"/>
    </row>
    <row r="7158">
      <c r="A7158" s="49">
        <v>45096.49966850695</v>
      </c>
      <c r="B7158" s="50">
        <v>45096.6246478356</v>
      </c>
      <c r="C7158" s="51">
        <v>1.002</v>
      </c>
      <c r="D7158" s="51">
        <v>68.0</v>
      </c>
      <c r="E7158" s="52" t="s">
        <v>25</v>
      </c>
      <c r="F7158" s="52" t="s">
        <v>26</v>
      </c>
      <c r="G7158" s="54"/>
    </row>
    <row r="7159">
      <c r="A7159" s="49">
        <v>45096.51009766204</v>
      </c>
      <c r="B7159" s="50">
        <v>45096.635069618</v>
      </c>
      <c r="C7159" s="51">
        <v>1.002</v>
      </c>
      <c r="D7159" s="51">
        <v>68.0</v>
      </c>
      <c r="E7159" s="52" t="s">
        <v>25</v>
      </c>
      <c r="F7159" s="52" t="s">
        <v>26</v>
      </c>
      <c r="G7159" s="54"/>
    </row>
    <row r="7160">
      <c r="A7160" s="49">
        <v>45096.520511863426</v>
      </c>
      <c r="B7160" s="50">
        <v>45096.6454912268</v>
      </c>
      <c r="C7160" s="51">
        <v>1.001</v>
      </c>
      <c r="D7160" s="51">
        <v>68.0</v>
      </c>
      <c r="E7160" s="52" t="s">
        <v>25</v>
      </c>
      <c r="F7160" s="52" t="s">
        <v>26</v>
      </c>
      <c r="G7160" s="54"/>
    </row>
    <row r="7161">
      <c r="A7161" s="49">
        <v>45096.530951493056</v>
      </c>
      <c r="B7161" s="50">
        <v>45096.655925625</v>
      </c>
      <c r="C7161" s="51">
        <v>1.002</v>
      </c>
      <c r="D7161" s="51">
        <v>68.0</v>
      </c>
      <c r="E7161" s="52" t="s">
        <v>25</v>
      </c>
      <c r="F7161" s="52" t="s">
        <v>26</v>
      </c>
      <c r="G7161" s="54"/>
    </row>
    <row r="7162">
      <c r="A7162" s="49">
        <v>45096.541369768514</v>
      </c>
      <c r="B7162" s="50">
        <v>45096.6663474421</v>
      </c>
      <c r="C7162" s="51">
        <v>1.002</v>
      </c>
      <c r="D7162" s="51">
        <v>68.0</v>
      </c>
      <c r="E7162" s="52" t="s">
        <v>25</v>
      </c>
      <c r="F7162" s="52" t="s">
        <v>26</v>
      </c>
      <c r="G7162" s="54"/>
    </row>
    <row r="7163">
      <c r="A7163" s="49">
        <v>45096.55178400463</v>
      </c>
      <c r="B7163" s="50">
        <v>45096.6767683333</v>
      </c>
      <c r="C7163" s="51">
        <v>1.001</v>
      </c>
      <c r="D7163" s="51">
        <v>68.0</v>
      </c>
      <c r="E7163" s="52" t="s">
        <v>25</v>
      </c>
      <c r="F7163" s="52" t="s">
        <v>26</v>
      </c>
      <c r="G7163" s="54"/>
    </row>
    <row r="7164">
      <c r="A7164" s="49">
        <v>45096.562216273145</v>
      </c>
      <c r="B7164" s="50">
        <v>45096.6871886921</v>
      </c>
      <c r="C7164" s="51">
        <v>1.002</v>
      </c>
      <c r="D7164" s="51">
        <v>68.0</v>
      </c>
      <c r="E7164" s="52" t="s">
        <v>25</v>
      </c>
      <c r="F7164" s="52" t="s">
        <v>26</v>
      </c>
      <c r="G7164" s="54"/>
    </row>
    <row r="7165">
      <c r="A7165" s="49">
        <v>45096.57262767361</v>
      </c>
      <c r="B7165" s="50">
        <v>45096.6976094676</v>
      </c>
      <c r="C7165" s="51">
        <v>1.002</v>
      </c>
      <c r="D7165" s="51">
        <v>68.0</v>
      </c>
      <c r="E7165" s="52" t="s">
        <v>25</v>
      </c>
      <c r="F7165" s="52" t="s">
        <v>26</v>
      </c>
      <c r="G7165" s="54"/>
    </row>
    <row r="7166">
      <c r="A7166" s="49">
        <v>45096.58305637732</v>
      </c>
      <c r="B7166" s="50">
        <v>45096.7080309027</v>
      </c>
      <c r="C7166" s="51">
        <v>1.002</v>
      </c>
      <c r="D7166" s="51">
        <v>68.0</v>
      </c>
      <c r="E7166" s="52" t="s">
        <v>25</v>
      </c>
      <c r="F7166" s="52" t="s">
        <v>26</v>
      </c>
      <c r="G7166" s="54"/>
    </row>
    <row r="7167">
      <c r="A7167" s="49">
        <v>45096.59347259259</v>
      </c>
      <c r="B7167" s="50">
        <v>45096.7184509722</v>
      </c>
      <c r="C7167" s="51">
        <v>1.002</v>
      </c>
      <c r="D7167" s="51">
        <v>68.0</v>
      </c>
      <c r="E7167" s="52" t="s">
        <v>25</v>
      </c>
      <c r="F7167" s="52" t="s">
        <v>26</v>
      </c>
      <c r="G7167" s="54"/>
    </row>
    <row r="7168">
      <c r="A7168" s="49">
        <v>45096.60389034722</v>
      </c>
      <c r="B7168" s="50">
        <v>45096.7288718055</v>
      </c>
      <c r="C7168" s="51">
        <v>1.002</v>
      </c>
      <c r="D7168" s="51">
        <v>68.0</v>
      </c>
      <c r="E7168" s="52" t="s">
        <v>25</v>
      </c>
      <c r="F7168" s="52" t="s">
        <v>26</v>
      </c>
      <c r="G7168" s="54"/>
    </row>
    <row r="7169">
      <c r="A7169" s="49">
        <v>45096.614327268515</v>
      </c>
      <c r="B7169" s="50">
        <v>45096.7393047569</v>
      </c>
      <c r="C7169" s="51">
        <v>1.002</v>
      </c>
      <c r="D7169" s="51">
        <v>68.0</v>
      </c>
      <c r="E7169" s="52" t="s">
        <v>25</v>
      </c>
      <c r="F7169" s="52" t="s">
        <v>26</v>
      </c>
      <c r="G7169" s="54"/>
    </row>
    <row r="7170">
      <c r="A7170" s="49">
        <v>45096.62474212963</v>
      </c>
      <c r="B7170" s="50">
        <v>45096.7497260532</v>
      </c>
      <c r="C7170" s="51">
        <v>1.002</v>
      </c>
      <c r="D7170" s="51">
        <v>68.0</v>
      </c>
      <c r="E7170" s="52" t="s">
        <v>25</v>
      </c>
      <c r="F7170" s="52" t="s">
        <v>26</v>
      </c>
      <c r="G7170" s="54"/>
    </row>
    <row r="7171">
      <c r="A7171" s="49">
        <v>45096.635180625</v>
      </c>
      <c r="B7171" s="50">
        <v>45096.7601574884</v>
      </c>
      <c r="C7171" s="51">
        <v>1.002</v>
      </c>
      <c r="D7171" s="51">
        <v>68.0</v>
      </c>
      <c r="E7171" s="52" t="s">
        <v>25</v>
      </c>
      <c r="F7171" s="52" t="s">
        <v>26</v>
      </c>
      <c r="G7171" s="54"/>
    </row>
    <row r="7172">
      <c r="A7172" s="49">
        <v>45096.64560390046</v>
      </c>
      <c r="B7172" s="50">
        <v>45096.7705780092</v>
      </c>
      <c r="C7172" s="51">
        <v>1.002</v>
      </c>
      <c r="D7172" s="51">
        <v>68.0</v>
      </c>
      <c r="E7172" s="52" t="s">
        <v>25</v>
      </c>
      <c r="F7172" s="52" t="s">
        <v>26</v>
      </c>
      <c r="G7172" s="54"/>
    </row>
    <row r="7173">
      <c r="A7173" s="49">
        <v>45096.65601706019</v>
      </c>
      <c r="B7173" s="50">
        <v>45096.781</v>
      </c>
      <c r="C7173" s="51">
        <v>1.002</v>
      </c>
      <c r="D7173" s="51">
        <v>68.0</v>
      </c>
      <c r="E7173" s="52" t="s">
        <v>25</v>
      </c>
      <c r="F7173" s="52" t="s">
        <v>26</v>
      </c>
      <c r="G7173" s="54"/>
    </row>
    <row r="7174">
      <c r="A7174" s="49">
        <v>45096.66645148148</v>
      </c>
      <c r="B7174" s="50">
        <v>45096.7914329398</v>
      </c>
      <c r="C7174" s="51">
        <v>1.001</v>
      </c>
      <c r="D7174" s="51">
        <v>68.0</v>
      </c>
      <c r="E7174" s="52" t="s">
        <v>25</v>
      </c>
      <c r="F7174" s="52" t="s">
        <v>26</v>
      </c>
      <c r="G7174" s="54"/>
    </row>
    <row r="7175">
      <c r="A7175" s="49">
        <v>45096.67688766203</v>
      </c>
      <c r="B7175" s="50">
        <v>45096.80186625</v>
      </c>
      <c r="C7175" s="51">
        <v>1.001</v>
      </c>
      <c r="D7175" s="51">
        <v>68.0</v>
      </c>
      <c r="E7175" s="52" t="s">
        <v>25</v>
      </c>
      <c r="F7175" s="52" t="s">
        <v>26</v>
      </c>
      <c r="G7175" s="54"/>
    </row>
    <row r="7176">
      <c r="A7176" s="49">
        <v>45096.68733179398</v>
      </c>
      <c r="B7176" s="50">
        <v>45096.8123110879</v>
      </c>
      <c r="C7176" s="51">
        <v>1.001</v>
      </c>
      <c r="D7176" s="51">
        <v>69.0</v>
      </c>
      <c r="E7176" s="52" t="s">
        <v>25</v>
      </c>
      <c r="F7176" s="52" t="s">
        <v>26</v>
      </c>
      <c r="G7176" s="54"/>
    </row>
    <row r="7177">
      <c r="A7177" s="49">
        <v>45096.69775799768</v>
      </c>
      <c r="B7177" s="50">
        <v>45096.822733912</v>
      </c>
      <c r="C7177" s="51">
        <v>1.002</v>
      </c>
      <c r="D7177" s="51">
        <v>68.0</v>
      </c>
      <c r="E7177" s="52" t="s">
        <v>25</v>
      </c>
      <c r="F7177" s="52" t="s">
        <v>26</v>
      </c>
      <c r="G7177" s="54"/>
    </row>
    <row r="7178">
      <c r="A7178" s="49">
        <v>45096.70817519676</v>
      </c>
      <c r="B7178" s="50">
        <v>45096.8331549768</v>
      </c>
      <c r="C7178" s="51">
        <v>1.001</v>
      </c>
      <c r="D7178" s="51">
        <v>68.0</v>
      </c>
      <c r="E7178" s="52" t="s">
        <v>25</v>
      </c>
      <c r="F7178" s="52" t="s">
        <v>26</v>
      </c>
      <c r="G7178" s="54"/>
    </row>
    <row r="7179">
      <c r="A7179" s="49">
        <v>45096.71859289352</v>
      </c>
      <c r="B7179" s="50">
        <v>45096.8435748958</v>
      </c>
      <c r="C7179" s="51">
        <v>1.001</v>
      </c>
      <c r="D7179" s="51">
        <v>69.0</v>
      </c>
      <c r="E7179" s="52" t="s">
        <v>25</v>
      </c>
      <c r="F7179" s="52" t="s">
        <v>26</v>
      </c>
      <c r="G7179" s="54"/>
    </row>
    <row r="7180">
      <c r="A7180" s="49">
        <v>45096.729025277775</v>
      </c>
      <c r="B7180" s="50">
        <v>45096.8539968865</v>
      </c>
      <c r="C7180" s="51">
        <v>1.001</v>
      </c>
      <c r="D7180" s="51">
        <v>69.0</v>
      </c>
      <c r="E7180" s="52" t="s">
        <v>25</v>
      </c>
      <c r="F7180" s="52" t="s">
        <v>26</v>
      </c>
      <c r="G7180" s="54"/>
    </row>
    <row r="7181">
      <c r="A7181" s="49">
        <v>45096.73944106481</v>
      </c>
      <c r="B7181" s="50">
        <v>45096.8644182407</v>
      </c>
      <c r="C7181" s="51">
        <v>1.002</v>
      </c>
      <c r="D7181" s="51">
        <v>69.0</v>
      </c>
      <c r="E7181" s="52" t="s">
        <v>25</v>
      </c>
      <c r="F7181" s="52" t="s">
        <v>26</v>
      </c>
      <c r="G7181" s="54"/>
    </row>
    <row r="7182">
      <c r="A7182" s="49">
        <v>45096.749853483794</v>
      </c>
      <c r="B7182" s="50">
        <v>45096.8748389004</v>
      </c>
      <c r="C7182" s="51">
        <v>1.001</v>
      </c>
      <c r="D7182" s="51">
        <v>69.0</v>
      </c>
      <c r="E7182" s="52" t="s">
        <v>25</v>
      </c>
      <c r="F7182" s="52" t="s">
        <v>26</v>
      </c>
      <c r="G7182" s="54"/>
    </row>
    <row r="7183">
      <c r="A7183" s="49">
        <v>45096.7602825</v>
      </c>
      <c r="B7183" s="50">
        <v>45096.8852593287</v>
      </c>
      <c r="C7183" s="51">
        <v>1.002</v>
      </c>
      <c r="D7183" s="51">
        <v>69.0</v>
      </c>
      <c r="E7183" s="52" t="s">
        <v>25</v>
      </c>
      <c r="F7183" s="52" t="s">
        <v>26</v>
      </c>
      <c r="G7183" s="54"/>
    </row>
    <row r="7184">
      <c r="A7184" s="49">
        <v>45096.77069873843</v>
      </c>
      <c r="B7184" s="50">
        <v>45096.8956796875</v>
      </c>
      <c r="C7184" s="51">
        <v>1.001</v>
      </c>
      <c r="D7184" s="51">
        <v>69.0</v>
      </c>
      <c r="E7184" s="52" t="s">
        <v>25</v>
      </c>
      <c r="F7184" s="52" t="s">
        <v>26</v>
      </c>
      <c r="G7184" s="54"/>
    </row>
    <row r="7185">
      <c r="A7185" s="49">
        <v>45096.78111862269</v>
      </c>
      <c r="B7185" s="50">
        <v>45096.9061004976</v>
      </c>
      <c r="C7185" s="51">
        <v>1.001</v>
      </c>
      <c r="D7185" s="51">
        <v>69.0</v>
      </c>
      <c r="E7185" s="52" t="s">
        <v>25</v>
      </c>
      <c r="F7185" s="52" t="s">
        <v>26</v>
      </c>
      <c r="G7185" s="54"/>
    </row>
    <row r="7186">
      <c r="A7186" s="49">
        <v>45096.79154731482</v>
      </c>
      <c r="B7186" s="50">
        <v>45096.9165210648</v>
      </c>
      <c r="C7186" s="51">
        <v>1.001</v>
      </c>
      <c r="D7186" s="51">
        <v>69.0</v>
      </c>
      <c r="E7186" s="52" t="s">
        <v>25</v>
      </c>
      <c r="F7186" s="52" t="s">
        <v>26</v>
      </c>
      <c r="G7186" s="54"/>
    </row>
    <row r="7187">
      <c r="A7187" s="49">
        <v>45096.80196201389</v>
      </c>
      <c r="B7187" s="50">
        <v>45096.9269442824</v>
      </c>
      <c r="C7187" s="51">
        <v>1.001</v>
      </c>
      <c r="D7187" s="51">
        <v>69.0</v>
      </c>
      <c r="E7187" s="52" t="s">
        <v>25</v>
      </c>
      <c r="F7187" s="52" t="s">
        <v>26</v>
      </c>
      <c r="G7187" s="54"/>
    </row>
    <row r="7188">
      <c r="A7188" s="49">
        <v>45096.81239233796</v>
      </c>
      <c r="B7188" s="50">
        <v>45096.9373656944</v>
      </c>
      <c r="C7188" s="51">
        <v>1.002</v>
      </c>
      <c r="D7188" s="51">
        <v>69.0</v>
      </c>
      <c r="E7188" s="52" t="s">
        <v>25</v>
      </c>
      <c r="F7188" s="52" t="s">
        <v>26</v>
      </c>
      <c r="G7188" s="54"/>
    </row>
    <row r="7189">
      <c r="A7189" s="49">
        <v>45096.822807662036</v>
      </c>
      <c r="B7189" s="50">
        <v>45096.9477850115</v>
      </c>
      <c r="C7189" s="51">
        <v>1.001</v>
      </c>
      <c r="D7189" s="51">
        <v>69.0</v>
      </c>
      <c r="E7189" s="52" t="s">
        <v>25</v>
      </c>
      <c r="F7189" s="52" t="s">
        <v>26</v>
      </c>
      <c r="G7189" s="54"/>
    </row>
    <row r="7190">
      <c r="A7190" s="49">
        <v>45096.833221469904</v>
      </c>
      <c r="B7190" s="50">
        <v>45096.9582070717</v>
      </c>
      <c r="C7190" s="51">
        <v>1.002</v>
      </c>
      <c r="D7190" s="51">
        <v>69.0</v>
      </c>
      <c r="E7190" s="52" t="s">
        <v>25</v>
      </c>
      <c r="F7190" s="52" t="s">
        <v>26</v>
      </c>
      <c r="G7190" s="54"/>
    </row>
    <row r="7191">
      <c r="A7191" s="49">
        <v>45096.84365390046</v>
      </c>
      <c r="B7191" s="50">
        <v>45096.9686295717</v>
      </c>
      <c r="C7191" s="51">
        <v>1.002</v>
      </c>
      <c r="D7191" s="51">
        <v>69.0</v>
      </c>
      <c r="E7191" s="52" t="s">
        <v>25</v>
      </c>
      <c r="F7191" s="52" t="s">
        <v>26</v>
      </c>
      <c r="G7191" s="54"/>
    </row>
    <row r="7192">
      <c r="A7192" s="49">
        <v>45096.85408371528</v>
      </c>
      <c r="B7192" s="50">
        <v>45096.9790622569</v>
      </c>
      <c r="C7192" s="51">
        <v>1.002</v>
      </c>
      <c r="D7192" s="51">
        <v>69.0</v>
      </c>
      <c r="E7192" s="52" t="s">
        <v>25</v>
      </c>
      <c r="F7192" s="52" t="s">
        <v>26</v>
      </c>
      <c r="G7192" s="54"/>
    </row>
    <row r="7193">
      <c r="A7193" s="49">
        <v>45096.86450739583</v>
      </c>
      <c r="B7193" s="50">
        <v>45096.9894820023</v>
      </c>
      <c r="C7193" s="51">
        <v>1.001</v>
      </c>
      <c r="D7193" s="51">
        <v>69.0</v>
      </c>
      <c r="E7193" s="52" t="s">
        <v>25</v>
      </c>
      <c r="F7193" s="52" t="s">
        <v>26</v>
      </c>
      <c r="G7193" s="54"/>
    </row>
    <row r="7194">
      <c r="A7194" s="49">
        <v>45096.874943229166</v>
      </c>
      <c r="B7194" s="50">
        <v>45096.9999167245</v>
      </c>
      <c r="C7194" s="51">
        <v>1.001</v>
      </c>
      <c r="D7194" s="51">
        <v>69.0</v>
      </c>
      <c r="E7194" s="52" t="s">
        <v>25</v>
      </c>
      <c r="F7194" s="52" t="s">
        <v>26</v>
      </c>
      <c r="G7194" s="54"/>
    </row>
    <row r="7195">
      <c r="A7195" s="49">
        <v>45096.88536273148</v>
      </c>
      <c r="B7195" s="50">
        <v>45097.0103372569</v>
      </c>
      <c r="C7195" s="51">
        <v>1.002</v>
      </c>
      <c r="D7195" s="51">
        <v>69.0</v>
      </c>
      <c r="E7195" s="52" t="s">
        <v>25</v>
      </c>
      <c r="F7195" s="52" t="s">
        <v>26</v>
      </c>
      <c r="G7195" s="54"/>
    </row>
    <row r="7196">
      <c r="A7196" s="49">
        <v>45096.89579512732</v>
      </c>
      <c r="B7196" s="50">
        <v>45097.0207593981</v>
      </c>
      <c r="C7196" s="51">
        <v>1.002</v>
      </c>
      <c r="D7196" s="51">
        <v>69.0</v>
      </c>
      <c r="E7196" s="52" t="s">
        <v>25</v>
      </c>
      <c r="F7196" s="52" t="s">
        <v>26</v>
      </c>
      <c r="G7196" s="54"/>
    </row>
    <row r="7197">
      <c r="A7197" s="49">
        <v>45096.90619565972</v>
      </c>
      <c r="B7197" s="50">
        <v>45097.0311806828</v>
      </c>
      <c r="C7197" s="51">
        <v>1.001</v>
      </c>
      <c r="D7197" s="51">
        <v>69.0</v>
      </c>
      <c r="E7197" s="52" t="s">
        <v>25</v>
      </c>
      <c r="F7197" s="52" t="s">
        <v>26</v>
      </c>
      <c r="G7197" s="54"/>
    </row>
    <row r="7198">
      <c r="A7198" s="49">
        <v>45096.916625729165</v>
      </c>
      <c r="B7198" s="50">
        <v>45097.0416010763</v>
      </c>
      <c r="C7198" s="51">
        <v>1.002</v>
      </c>
      <c r="D7198" s="51">
        <v>69.0</v>
      </c>
      <c r="E7198" s="52" t="s">
        <v>25</v>
      </c>
      <c r="F7198" s="52" t="s">
        <v>26</v>
      </c>
      <c r="G7198" s="54"/>
    </row>
    <row r="7199">
      <c r="A7199" s="49">
        <v>45096.92704365741</v>
      </c>
      <c r="B7199" s="50">
        <v>45097.0520204513</v>
      </c>
      <c r="C7199" s="51">
        <v>1.001</v>
      </c>
      <c r="D7199" s="51">
        <v>69.0</v>
      </c>
      <c r="E7199" s="52" t="s">
        <v>25</v>
      </c>
      <c r="F7199" s="52" t="s">
        <v>26</v>
      </c>
      <c r="G7199" s="54"/>
    </row>
    <row r="7200">
      <c r="A7200" s="49">
        <v>45096.93746090277</v>
      </c>
      <c r="B7200" s="50">
        <v>45097.0624418171</v>
      </c>
      <c r="C7200" s="51">
        <v>1.001</v>
      </c>
      <c r="D7200" s="51">
        <v>69.0</v>
      </c>
      <c r="E7200" s="52" t="s">
        <v>25</v>
      </c>
      <c r="F7200" s="52" t="s">
        <v>26</v>
      </c>
      <c r="G7200" s="54"/>
    </row>
    <row r="7201">
      <c r="A7201" s="49">
        <v>45096.94788628472</v>
      </c>
      <c r="B7201" s="50">
        <v>45097.072863831</v>
      </c>
      <c r="C7201" s="51">
        <v>1.001</v>
      </c>
      <c r="D7201" s="51">
        <v>69.0</v>
      </c>
      <c r="E7201" s="52" t="s">
        <v>25</v>
      </c>
      <c r="F7201" s="52" t="s">
        <v>26</v>
      </c>
      <c r="G7201" s="54"/>
    </row>
    <row r="7202">
      <c r="A7202" s="49">
        <v>45096.958302280094</v>
      </c>
      <c r="B7202" s="50">
        <v>45097.0832848148</v>
      </c>
      <c r="C7202" s="51">
        <v>1.002</v>
      </c>
      <c r="D7202" s="51">
        <v>69.0</v>
      </c>
      <c r="E7202" s="52" t="s">
        <v>25</v>
      </c>
      <c r="F7202" s="52" t="s">
        <v>26</v>
      </c>
      <c r="G7202" s="54"/>
    </row>
    <row r="7203">
      <c r="A7203" s="49">
        <v>45096.968731307876</v>
      </c>
      <c r="B7203" s="50">
        <v>45097.0937061805</v>
      </c>
      <c r="C7203" s="51">
        <v>1.002</v>
      </c>
      <c r="D7203" s="51">
        <v>69.0</v>
      </c>
      <c r="E7203" s="52" t="s">
        <v>25</v>
      </c>
      <c r="F7203" s="52" t="s">
        <v>26</v>
      </c>
      <c r="G7203" s="54"/>
    </row>
    <row r="7204">
      <c r="A7204" s="49">
        <v>45096.97915035879</v>
      </c>
      <c r="B7204" s="50">
        <v>45097.1041274074</v>
      </c>
      <c r="C7204" s="51">
        <v>1.002</v>
      </c>
      <c r="D7204" s="51">
        <v>69.0</v>
      </c>
      <c r="E7204" s="52" t="s">
        <v>25</v>
      </c>
      <c r="F7204" s="52" t="s">
        <v>26</v>
      </c>
      <c r="G7204" s="54"/>
    </row>
    <row r="7205">
      <c r="A7205" s="49">
        <v>45096.98956976851</v>
      </c>
      <c r="B7205" s="50">
        <v>45097.1145491782</v>
      </c>
      <c r="C7205" s="51">
        <v>1.001</v>
      </c>
      <c r="D7205" s="51">
        <v>69.0</v>
      </c>
      <c r="E7205" s="52" t="s">
        <v>25</v>
      </c>
      <c r="F7205" s="52" t="s">
        <v>26</v>
      </c>
      <c r="G7205" s="54"/>
    </row>
    <row r="7206">
      <c r="A7206" s="49">
        <v>45096.99998862269</v>
      </c>
      <c r="B7206" s="50">
        <v>45097.1249707638</v>
      </c>
      <c r="C7206" s="51">
        <v>1.002</v>
      </c>
      <c r="D7206" s="51">
        <v>69.0</v>
      </c>
      <c r="E7206" s="52" t="s">
        <v>25</v>
      </c>
      <c r="F7206" s="52" t="s">
        <v>26</v>
      </c>
      <c r="G7206" s="54"/>
    </row>
    <row r="7207">
      <c r="A7207" s="49">
        <v>45097.0104171412</v>
      </c>
      <c r="B7207" s="50">
        <v>45097.135390949</v>
      </c>
      <c r="C7207" s="51">
        <v>1.002</v>
      </c>
      <c r="D7207" s="51">
        <v>69.0</v>
      </c>
      <c r="E7207" s="52" t="s">
        <v>25</v>
      </c>
      <c r="F7207" s="52" t="s">
        <v>26</v>
      </c>
      <c r="G7207" s="54"/>
    </row>
    <row r="7208">
      <c r="A7208" s="49">
        <v>45097.02084675926</v>
      </c>
      <c r="B7208" s="50">
        <v>45097.1458238194</v>
      </c>
      <c r="C7208" s="51">
        <v>1.002</v>
      </c>
      <c r="D7208" s="51">
        <v>69.0</v>
      </c>
      <c r="E7208" s="52" t="s">
        <v>25</v>
      </c>
      <c r="F7208" s="52" t="s">
        <v>26</v>
      </c>
      <c r="G7208" s="54"/>
    </row>
    <row r="7209">
      <c r="A7209" s="49">
        <v>45097.031277766204</v>
      </c>
      <c r="B7209" s="50">
        <v>45097.1562477893</v>
      </c>
      <c r="C7209" s="51">
        <v>1.001</v>
      </c>
      <c r="D7209" s="51">
        <v>69.0</v>
      </c>
      <c r="E7209" s="52" t="s">
        <v>25</v>
      </c>
      <c r="F7209" s="52" t="s">
        <v>26</v>
      </c>
      <c r="G7209" s="54"/>
    </row>
    <row r="7210">
      <c r="A7210" s="49">
        <v>45097.04170515046</v>
      </c>
      <c r="B7210" s="50">
        <v>45097.1666794907</v>
      </c>
      <c r="C7210" s="51">
        <v>1.002</v>
      </c>
      <c r="D7210" s="51">
        <v>69.0</v>
      </c>
      <c r="E7210" s="52" t="s">
        <v>25</v>
      </c>
      <c r="F7210" s="52" t="s">
        <v>26</v>
      </c>
      <c r="G7210" s="54"/>
    </row>
    <row r="7211">
      <c r="A7211" s="49">
        <v>45097.052125891205</v>
      </c>
      <c r="B7211" s="50">
        <v>45097.1771002314</v>
      </c>
      <c r="C7211" s="51">
        <v>1.001</v>
      </c>
      <c r="D7211" s="51">
        <v>69.0</v>
      </c>
      <c r="E7211" s="52" t="s">
        <v>25</v>
      </c>
      <c r="F7211" s="52" t="s">
        <v>26</v>
      </c>
      <c r="G7211" s="54"/>
    </row>
    <row r="7212">
      <c r="A7212" s="49">
        <v>45097.062540625004</v>
      </c>
      <c r="B7212" s="50">
        <v>45097.187520162</v>
      </c>
      <c r="C7212" s="51">
        <v>1.002</v>
      </c>
      <c r="D7212" s="51">
        <v>69.0</v>
      </c>
      <c r="E7212" s="52" t="s">
        <v>25</v>
      </c>
      <c r="F7212" s="52" t="s">
        <v>26</v>
      </c>
      <c r="G7212" s="54"/>
    </row>
    <row r="7213">
      <c r="A7213" s="49">
        <v>45097.07296671296</v>
      </c>
      <c r="B7213" s="50">
        <v>45097.1979428819</v>
      </c>
      <c r="C7213" s="51">
        <v>1.001</v>
      </c>
      <c r="D7213" s="51">
        <v>69.0</v>
      </c>
      <c r="E7213" s="52" t="s">
        <v>25</v>
      </c>
      <c r="F7213" s="52" t="s">
        <v>26</v>
      </c>
      <c r="G7213" s="54"/>
    </row>
    <row r="7214">
      <c r="A7214" s="49">
        <v>45097.08338186343</v>
      </c>
      <c r="B7214" s="50">
        <v>45097.2083639236</v>
      </c>
      <c r="C7214" s="51">
        <v>1.001</v>
      </c>
      <c r="D7214" s="51">
        <v>69.0</v>
      </c>
      <c r="E7214" s="52" t="s">
        <v>25</v>
      </c>
      <c r="F7214" s="52" t="s">
        <v>26</v>
      </c>
      <c r="G7214" s="54"/>
    </row>
    <row r="7215">
      <c r="A7215" s="49">
        <v>45097.09381416667</v>
      </c>
      <c r="B7215" s="50">
        <v>45097.218785625</v>
      </c>
      <c r="C7215" s="51">
        <v>1.001</v>
      </c>
      <c r="D7215" s="51">
        <v>69.0</v>
      </c>
      <c r="E7215" s="52" t="s">
        <v>25</v>
      </c>
      <c r="F7215" s="52" t="s">
        <v>26</v>
      </c>
      <c r="G7215" s="54"/>
    </row>
    <row r="7216">
      <c r="A7216" s="49">
        <v>45097.10423440972</v>
      </c>
      <c r="B7216" s="50">
        <v>45097.2292061226</v>
      </c>
      <c r="C7216" s="51">
        <v>1.002</v>
      </c>
      <c r="D7216" s="51">
        <v>69.0</v>
      </c>
      <c r="E7216" s="52" t="s">
        <v>25</v>
      </c>
      <c r="F7216" s="52" t="s">
        <v>26</v>
      </c>
      <c r="G7216" s="54"/>
    </row>
    <row r="7217">
      <c r="A7217" s="49">
        <v>45097.114647650465</v>
      </c>
      <c r="B7217" s="50">
        <v>45097.2396260995</v>
      </c>
      <c r="C7217" s="51">
        <v>1.002</v>
      </c>
      <c r="D7217" s="51">
        <v>69.0</v>
      </c>
      <c r="E7217" s="52" t="s">
        <v>25</v>
      </c>
      <c r="F7217" s="52" t="s">
        <v>26</v>
      </c>
      <c r="G7217" s="54"/>
    </row>
    <row r="7218">
      <c r="A7218" s="49">
        <v>45097.125065844906</v>
      </c>
      <c r="B7218" s="50">
        <v>45097.2500470139</v>
      </c>
      <c r="C7218" s="51">
        <v>1.001</v>
      </c>
      <c r="D7218" s="51">
        <v>69.0</v>
      </c>
      <c r="E7218" s="52" t="s">
        <v>25</v>
      </c>
      <c r="F7218" s="52" t="s">
        <v>26</v>
      </c>
      <c r="G7218" s="54"/>
    </row>
    <row r="7219">
      <c r="A7219" s="49">
        <v>45097.13549158565</v>
      </c>
      <c r="B7219" s="50">
        <v>45097.2604681713</v>
      </c>
      <c r="C7219" s="51">
        <v>1.002</v>
      </c>
      <c r="D7219" s="51">
        <v>69.0</v>
      </c>
      <c r="E7219" s="52" t="s">
        <v>25</v>
      </c>
      <c r="F7219" s="52" t="s">
        <v>26</v>
      </c>
      <c r="G7219" s="54"/>
    </row>
    <row r="7220">
      <c r="A7220" s="49">
        <v>45097.1459086574</v>
      </c>
      <c r="B7220" s="50">
        <v>45097.270889699</v>
      </c>
      <c r="C7220" s="51">
        <v>1.002</v>
      </c>
      <c r="D7220" s="51">
        <v>69.0</v>
      </c>
      <c r="E7220" s="52" t="s">
        <v>25</v>
      </c>
      <c r="F7220" s="52" t="s">
        <v>26</v>
      </c>
      <c r="G7220" s="54"/>
    </row>
    <row r="7221">
      <c r="A7221" s="49">
        <v>45097.15633498842</v>
      </c>
      <c r="B7221" s="50">
        <v>45097.2813107754</v>
      </c>
      <c r="C7221" s="51">
        <v>1.001</v>
      </c>
      <c r="D7221" s="51">
        <v>69.0</v>
      </c>
      <c r="E7221" s="52" t="s">
        <v>25</v>
      </c>
      <c r="F7221" s="52" t="s">
        <v>26</v>
      </c>
      <c r="G7221" s="54"/>
    </row>
    <row r="7222">
      <c r="A7222" s="49">
        <v>45097.16677357639</v>
      </c>
      <c r="B7222" s="50">
        <v>45097.2917442939</v>
      </c>
      <c r="C7222" s="51">
        <v>1.001</v>
      </c>
      <c r="D7222" s="51">
        <v>69.0</v>
      </c>
      <c r="E7222" s="52" t="s">
        <v>25</v>
      </c>
      <c r="F7222" s="52" t="s">
        <v>26</v>
      </c>
      <c r="G7222" s="54"/>
    </row>
    <row r="7223">
      <c r="A7223" s="49">
        <v>45097.17719476852</v>
      </c>
      <c r="B7223" s="50">
        <v>45097.3021654976</v>
      </c>
      <c r="C7223" s="51">
        <v>1.001</v>
      </c>
      <c r="D7223" s="51">
        <v>69.0</v>
      </c>
      <c r="E7223" s="52" t="s">
        <v>25</v>
      </c>
      <c r="F7223" s="52" t="s">
        <v>26</v>
      </c>
      <c r="G7223" s="54"/>
    </row>
    <row r="7224">
      <c r="A7224" s="49">
        <v>45097.187611932866</v>
      </c>
      <c r="B7224" s="50">
        <v>45097.3125868055</v>
      </c>
      <c r="C7224" s="51">
        <v>1.001</v>
      </c>
      <c r="D7224" s="51">
        <v>69.0</v>
      </c>
      <c r="E7224" s="52" t="s">
        <v>25</v>
      </c>
      <c r="F7224" s="52" t="s">
        <v>26</v>
      </c>
      <c r="G7224" s="54"/>
    </row>
    <row r="7225">
      <c r="A7225" s="49">
        <v>45097.19803252315</v>
      </c>
      <c r="B7225" s="50">
        <v>45097.3230096296</v>
      </c>
      <c r="C7225" s="51">
        <v>1.002</v>
      </c>
      <c r="D7225" s="51">
        <v>69.0</v>
      </c>
      <c r="E7225" s="52" t="s">
        <v>25</v>
      </c>
      <c r="F7225" s="52" t="s">
        <v>26</v>
      </c>
      <c r="G7225" s="54"/>
    </row>
    <row r="7226">
      <c r="A7226" s="49">
        <v>45097.20845633102</v>
      </c>
      <c r="B7226" s="50">
        <v>45097.3334314004</v>
      </c>
      <c r="C7226" s="51">
        <v>1.001</v>
      </c>
      <c r="D7226" s="51">
        <v>69.0</v>
      </c>
      <c r="E7226" s="52" t="s">
        <v>25</v>
      </c>
      <c r="F7226" s="52" t="s">
        <v>26</v>
      </c>
      <c r="G7226" s="54"/>
    </row>
    <row r="7227">
      <c r="A7227" s="49">
        <v>45097.21888035879</v>
      </c>
      <c r="B7227" s="50">
        <v>45097.3438514814</v>
      </c>
      <c r="C7227" s="51">
        <v>1.002</v>
      </c>
      <c r="D7227" s="51">
        <v>69.0</v>
      </c>
      <c r="E7227" s="52" t="s">
        <v>25</v>
      </c>
      <c r="F7227" s="52" t="s">
        <v>26</v>
      </c>
      <c r="G7227" s="54"/>
    </row>
    <row r="7228">
      <c r="A7228" s="49">
        <v>45097.2293021875</v>
      </c>
      <c r="B7228" s="50">
        <v>45097.3542707291</v>
      </c>
      <c r="C7228" s="51">
        <v>1.001</v>
      </c>
      <c r="D7228" s="51">
        <v>69.0</v>
      </c>
      <c r="E7228" s="52" t="s">
        <v>25</v>
      </c>
      <c r="F7228" s="52" t="s">
        <v>26</v>
      </c>
      <c r="G7228" s="54"/>
    </row>
    <row r="7229">
      <c r="A7229" s="49">
        <v>45097.23972967593</v>
      </c>
      <c r="B7229" s="50">
        <v>45097.3647044791</v>
      </c>
      <c r="C7229" s="51">
        <v>1.001</v>
      </c>
      <c r="D7229" s="51">
        <v>69.0</v>
      </c>
      <c r="E7229" s="52" t="s">
        <v>25</v>
      </c>
      <c r="F7229" s="52" t="s">
        <v>26</v>
      </c>
      <c r="G7229" s="54"/>
    </row>
    <row r="7230">
      <c r="A7230" s="49">
        <v>45097.250152858796</v>
      </c>
      <c r="B7230" s="50">
        <v>45097.3751271412</v>
      </c>
      <c r="C7230" s="51">
        <v>1.001</v>
      </c>
      <c r="D7230" s="51">
        <v>69.0</v>
      </c>
      <c r="E7230" s="52" t="s">
        <v>25</v>
      </c>
      <c r="F7230" s="52" t="s">
        <v>26</v>
      </c>
      <c r="G7230" s="54"/>
    </row>
    <row r="7231">
      <c r="A7231" s="49">
        <v>45097.260573657404</v>
      </c>
      <c r="B7231" s="50">
        <v>45097.3855464467</v>
      </c>
      <c r="C7231" s="51">
        <v>1.001</v>
      </c>
      <c r="D7231" s="51">
        <v>69.0</v>
      </c>
      <c r="E7231" s="52" t="s">
        <v>25</v>
      </c>
      <c r="F7231" s="52" t="s">
        <v>26</v>
      </c>
      <c r="G7231" s="54"/>
    </row>
    <row r="7232">
      <c r="A7232" s="49">
        <v>45097.27098706018</v>
      </c>
      <c r="B7232" s="50">
        <v>45097.3959658564</v>
      </c>
      <c r="C7232" s="51">
        <v>1.002</v>
      </c>
      <c r="D7232" s="51">
        <v>69.0</v>
      </c>
      <c r="E7232" s="52" t="s">
        <v>25</v>
      </c>
      <c r="F7232" s="52" t="s">
        <v>26</v>
      </c>
      <c r="G7232" s="54"/>
    </row>
    <row r="7233">
      <c r="A7233" s="49">
        <v>45097.28140954861</v>
      </c>
      <c r="B7233" s="50">
        <v>45097.4063860995</v>
      </c>
      <c r="C7233" s="51">
        <v>1.002</v>
      </c>
      <c r="D7233" s="51">
        <v>69.0</v>
      </c>
      <c r="E7233" s="52" t="s">
        <v>25</v>
      </c>
      <c r="F7233" s="52" t="s">
        <v>26</v>
      </c>
      <c r="G7233" s="54"/>
    </row>
    <row r="7234">
      <c r="A7234" s="49">
        <v>45097.29182864583</v>
      </c>
      <c r="B7234" s="50">
        <v>45097.416805625</v>
      </c>
      <c r="C7234" s="51">
        <v>1.001</v>
      </c>
      <c r="D7234" s="51">
        <v>69.0</v>
      </c>
      <c r="E7234" s="52" t="s">
        <v>25</v>
      </c>
      <c r="F7234" s="52" t="s">
        <v>26</v>
      </c>
      <c r="G7234" s="54"/>
    </row>
    <row r="7235">
      <c r="A7235" s="49">
        <v>45097.30227071759</v>
      </c>
      <c r="B7235" s="50">
        <v>45097.4272402777</v>
      </c>
      <c r="C7235" s="51">
        <v>1.001</v>
      </c>
      <c r="D7235" s="51">
        <v>69.0</v>
      </c>
      <c r="E7235" s="52" t="s">
        <v>25</v>
      </c>
      <c r="F7235" s="52" t="s">
        <v>26</v>
      </c>
      <c r="G7235" s="54"/>
    </row>
    <row r="7236">
      <c r="A7236" s="49">
        <v>45097.312684942124</v>
      </c>
      <c r="B7236" s="50">
        <v>45097.4376613194</v>
      </c>
      <c r="C7236" s="51">
        <v>1.001</v>
      </c>
      <c r="D7236" s="51">
        <v>69.0</v>
      </c>
      <c r="E7236" s="52" t="s">
        <v>25</v>
      </c>
      <c r="F7236" s="52" t="s">
        <v>26</v>
      </c>
      <c r="G7236" s="54"/>
    </row>
    <row r="7237">
      <c r="A7237" s="49">
        <v>45097.323103773146</v>
      </c>
      <c r="B7237" s="50">
        <v>45097.4480823726</v>
      </c>
      <c r="C7237" s="51">
        <v>1.002</v>
      </c>
      <c r="D7237" s="51">
        <v>69.0</v>
      </c>
      <c r="E7237" s="52" t="s">
        <v>25</v>
      </c>
      <c r="F7237" s="52" t="s">
        <v>26</v>
      </c>
      <c r="G7237" s="54"/>
    </row>
    <row r="7238">
      <c r="A7238" s="49">
        <v>45097.33353581019</v>
      </c>
      <c r="B7238" s="50">
        <v>45097.4585033333</v>
      </c>
      <c r="C7238" s="51">
        <v>1.002</v>
      </c>
      <c r="D7238" s="51">
        <v>69.0</v>
      </c>
      <c r="E7238" s="52" t="s">
        <v>25</v>
      </c>
      <c r="F7238" s="52" t="s">
        <v>26</v>
      </c>
      <c r="G7238" s="54"/>
    </row>
    <row r="7239">
      <c r="A7239" s="49">
        <v>45097.343952152776</v>
      </c>
      <c r="B7239" s="50">
        <v>45097.4689238425</v>
      </c>
      <c r="C7239" s="51">
        <v>1.002</v>
      </c>
      <c r="D7239" s="51">
        <v>69.0</v>
      </c>
      <c r="E7239" s="52" t="s">
        <v>25</v>
      </c>
      <c r="F7239" s="52" t="s">
        <v>26</v>
      </c>
      <c r="G7239" s="54"/>
    </row>
    <row r="7240">
      <c r="A7240" s="49">
        <v>45097.354369699075</v>
      </c>
      <c r="B7240" s="50">
        <v>45097.4793442592</v>
      </c>
      <c r="C7240" s="51">
        <v>1.001</v>
      </c>
      <c r="D7240" s="51">
        <v>69.0</v>
      </c>
      <c r="E7240" s="52" t="s">
        <v>25</v>
      </c>
      <c r="F7240" s="52" t="s">
        <v>26</v>
      </c>
      <c r="G7240" s="54"/>
    </row>
    <row r="7241">
      <c r="A7241" s="49">
        <v>45097.36480726852</v>
      </c>
      <c r="B7241" s="50">
        <v>45097.4897768981</v>
      </c>
      <c r="C7241" s="51">
        <v>1.001</v>
      </c>
      <c r="D7241" s="51">
        <v>69.0</v>
      </c>
      <c r="E7241" s="52" t="s">
        <v>25</v>
      </c>
      <c r="F7241" s="52" t="s">
        <v>26</v>
      </c>
      <c r="G7241" s="54"/>
    </row>
    <row r="7242">
      <c r="A7242" s="49">
        <v>45097.3752321412</v>
      </c>
      <c r="B7242" s="50">
        <v>45097.5001971412</v>
      </c>
      <c r="C7242" s="51">
        <v>1.001</v>
      </c>
      <c r="D7242" s="51">
        <v>69.0</v>
      </c>
      <c r="E7242" s="52" t="s">
        <v>25</v>
      </c>
      <c r="F7242" s="52" t="s">
        <v>26</v>
      </c>
      <c r="G7242" s="54"/>
    </row>
    <row r="7243">
      <c r="A7243" s="49">
        <v>45097.38564119213</v>
      </c>
      <c r="B7243" s="50">
        <v>45097.5106167245</v>
      </c>
      <c r="C7243" s="51">
        <v>1.001</v>
      </c>
      <c r="D7243" s="51">
        <v>69.0</v>
      </c>
      <c r="E7243" s="52" t="s">
        <v>25</v>
      </c>
      <c r="F7243" s="52" t="s">
        <v>26</v>
      </c>
      <c r="G7243" s="54"/>
    </row>
    <row r="7244">
      <c r="A7244" s="49">
        <v>45097.396064155095</v>
      </c>
      <c r="B7244" s="50">
        <v>45097.5210369676</v>
      </c>
      <c r="C7244" s="51">
        <v>1.001</v>
      </c>
      <c r="D7244" s="51">
        <v>69.0</v>
      </c>
      <c r="E7244" s="52" t="s">
        <v>25</v>
      </c>
      <c r="F7244" s="52" t="s">
        <v>26</v>
      </c>
      <c r="G7244" s="54"/>
    </row>
    <row r="7245">
      <c r="A7245" s="49">
        <v>45097.406499212964</v>
      </c>
      <c r="B7245" s="50">
        <v>45097.5314591898</v>
      </c>
      <c r="C7245" s="51">
        <v>1.001</v>
      </c>
      <c r="D7245" s="51">
        <v>69.0</v>
      </c>
      <c r="E7245" s="52" t="s">
        <v>25</v>
      </c>
      <c r="F7245" s="52" t="s">
        <v>26</v>
      </c>
      <c r="G7245" s="54"/>
    </row>
    <row r="7246">
      <c r="A7246" s="49">
        <v>45097.41690063657</v>
      </c>
      <c r="B7246" s="50">
        <v>45097.5418788078</v>
      </c>
      <c r="C7246" s="51">
        <v>1.001</v>
      </c>
      <c r="D7246" s="51">
        <v>69.0</v>
      </c>
      <c r="E7246" s="52" t="s">
        <v>25</v>
      </c>
      <c r="F7246" s="52" t="s">
        <v>26</v>
      </c>
      <c r="G7246" s="54"/>
    </row>
    <row r="7247">
      <c r="A7247" s="49">
        <v>45097.427334085645</v>
      </c>
      <c r="B7247" s="50">
        <v>45097.5522998263</v>
      </c>
      <c r="C7247" s="51">
        <v>1.001</v>
      </c>
      <c r="D7247" s="51">
        <v>69.0</v>
      </c>
      <c r="E7247" s="52" t="s">
        <v>25</v>
      </c>
      <c r="F7247" s="52" t="s">
        <v>26</v>
      </c>
      <c r="G7247" s="54"/>
    </row>
    <row r="7248">
      <c r="A7248" s="49">
        <v>45097.43776006944</v>
      </c>
      <c r="B7248" s="50">
        <v>45097.5627197337</v>
      </c>
      <c r="C7248" s="51">
        <v>1.001</v>
      </c>
      <c r="D7248" s="51">
        <v>69.0</v>
      </c>
      <c r="E7248" s="52" t="s">
        <v>25</v>
      </c>
      <c r="F7248" s="52" t="s">
        <v>26</v>
      </c>
      <c r="G7248" s="54"/>
    </row>
    <row r="7249">
      <c r="A7249" s="49">
        <v>45097.44816605324</v>
      </c>
      <c r="B7249" s="50">
        <v>45097.57314125</v>
      </c>
      <c r="C7249" s="51">
        <v>1.001</v>
      </c>
      <c r="D7249" s="51">
        <v>69.0</v>
      </c>
      <c r="E7249" s="52" t="s">
        <v>25</v>
      </c>
      <c r="F7249" s="52" t="s">
        <v>26</v>
      </c>
      <c r="G7249" s="54"/>
    </row>
    <row r="7250">
      <c r="A7250" s="49">
        <v>45097.45860243056</v>
      </c>
      <c r="B7250" s="50">
        <v>45097.5835758333</v>
      </c>
      <c r="C7250" s="51">
        <v>1.001</v>
      </c>
      <c r="D7250" s="51">
        <v>69.0</v>
      </c>
      <c r="E7250" s="52" t="s">
        <v>25</v>
      </c>
      <c r="F7250" s="52" t="s">
        <v>26</v>
      </c>
      <c r="G7250" s="54"/>
    </row>
    <row r="7251">
      <c r="A7251" s="49">
        <v>45097.46901545139</v>
      </c>
      <c r="B7251" s="50">
        <v>45097.5939968749</v>
      </c>
      <c r="C7251" s="51">
        <v>1.002</v>
      </c>
      <c r="D7251" s="51">
        <v>69.0</v>
      </c>
      <c r="E7251" s="52" t="s">
        <v>25</v>
      </c>
      <c r="F7251" s="52" t="s">
        <v>26</v>
      </c>
      <c r="G7251" s="54"/>
    </row>
    <row r="7252">
      <c r="A7252" s="49">
        <v>45097.479444212964</v>
      </c>
      <c r="B7252" s="50">
        <v>45097.6044198842</v>
      </c>
      <c r="C7252" s="51">
        <v>1.001</v>
      </c>
      <c r="D7252" s="51">
        <v>69.0</v>
      </c>
      <c r="E7252" s="52" t="s">
        <v>25</v>
      </c>
      <c r="F7252" s="52" t="s">
        <v>26</v>
      </c>
      <c r="G7252" s="54"/>
    </row>
    <row r="7253">
      <c r="A7253" s="49">
        <v>45097.48985863426</v>
      </c>
      <c r="B7253" s="50">
        <v>45097.6148400231</v>
      </c>
      <c r="C7253" s="51">
        <v>1.001</v>
      </c>
      <c r="D7253" s="51">
        <v>69.0</v>
      </c>
      <c r="E7253" s="52" t="s">
        <v>25</v>
      </c>
      <c r="F7253" s="52" t="s">
        <v>26</v>
      </c>
      <c r="G7253" s="54"/>
    </row>
    <row r="7254">
      <c r="A7254" s="49">
        <v>45097.500290138894</v>
      </c>
      <c r="B7254" s="50">
        <v>45097.6252619444</v>
      </c>
      <c r="C7254" s="51">
        <v>1.001</v>
      </c>
      <c r="D7254" s="51">
        <v>69.0</v>
      </c>
      <c r="E7254" s="52" t="s">
        <v>25</v>
      </c>
      <c r="F7254" s="52" t="s">
        <v>26</v>
      </c>
      <c r="G7254" s="54"/>
    </row>
    <row r="7255">
      <c r="A7255" s="49">
        <v>45097.51073809028</v>
      </c>
      <c r="B7255" s="50">
        <v>45097.6357059143</v>
      </c>
      <c r="C7255" s="51">
        <v>1.001</v>
      </c>
      <c r="D7255" s="51">
        <v>69.0</v>
      </c>
      <c r="E7255" s="52" t="s">
        <v>25</v>
      </c>
      <c r="F7255" s="52" t="s">
        <v>26</v>
      </c>
      <c r="G7255" s="54"/>
    </row>
    <row r="7256">
      <c r="A7256" s="49">
        <v>45097.52116833333</v>
      </c>
      <c r="B7256" s="50">
        <v>45097.6461407291</v>
      </c>
      <c r="C7256" s="51">
        <v>1.001</v>
      </c>
      <c r="D7256" s="51">
        <v>69.0</v>
      </c>
      <c r="E7256" s="52" t="s">
        <v>25</v>
      </c>
      <c r="F7256" s="52" t="s">
        <v>26</v>
      </c>
      <c r="G7256" s="54"/>
    </row>
    <row r="7257">
      <c r="A7257" s="49">
        <v>45097.53159048611</v>
      </c>
      <c r="B7257" s="50">
        <v>45097.6565614467</v>
      </c>
      <c r="C7257" s="51">
        <v>1.001</v>
      </c>
      <c r="D7257" s="51">
        <v>69.0</v>
      </c>
      <c r="E7257" s="52" t="s">
        <v>25</v>
      </c>
      <c r="F7257" s="52" t="s">
        <v>26</v>
      </c>
      <c r="G7257" s="54"/>
    </row>
    <row r="7258">
      <c r="A7258" s="49">
        <v>45097.5420099537</v>
      </c>
      <c r="B7258" s="50">
        <v>45097.6669823263</v>
      </c>
      <c r="C7258" s="51">
        <v>1.001</v>
      </c>
      <c r="D7258" s="51">
        <v>69.0</v>
      </c>
      <c r="E7258" s="52" t="s">
        <v>25</v>
      </c>
      <c r="F7258" s="52" t="s">
        <v>26</v>
      </c>
      <c r="G7258" s="54"/>
    </row>
    <row r="7259">
      <c r="A7259" s="49">
        <v>45097.55243413194</v>
      </c>
      <c r="B7259" s="50">
        <v>45097.6774036921</v>
      </c>
      <c r="C7259" s="51">
        <v>1.001</v>
      </c>
      <c r="D7259" s="51">
        <v>69.0</v>
      </c>
      <c r="E7259" s="52" t="s">
        <v>25</v>
      </c>
      <c r="F7259" s="52" t="s">
        <v>26</v>
      </c>
      <c r="G7259" s="54"/>
    </row>
    <row r="7260">
      <c r="A7260" s="49">
        <v>45097.56285552084</v>
      </c>
      <c r="B7260" s="50">
        <v>45097.6878252083</v>
      </c>
      <c r="C7260" s="51">
        <v>1.001</v>
      </c>
      <c r="D7260" s="51">
        <v>69.0</v>
      </c>
      <c r="E7260" s="52" t="s">
        <v>25</v>
      </c>
      <c r="F7260" s="52" t="s">
        <v>26</v>
      </c>
      <c r="G7260" s="54"/>
    </row>
    <row r="7261">
      <c r="A7261" s="49">
        <v>45097.573267997686</v>
      </c>
      <c r="B7261" s="50">
        <v>45097.6982453009</v>
      </c>
      <c r="C7261" s="51">
        <v>1.001</v>
      </c>
      <c r="D7261" s="51">
        <v>69.0</v>
      </c>
      <c r="E7261" s="52" t="s">
        <v>25</v>
      </c>
      <c r="F7261" s="52" t="s">
        <v>26</v>
      </c>
      <c r="G7261" s="54"/>
    </row>
    <row r="7262">
      <c r="A7262" s="49">
        <v>45097.58369299769</v>
      </c>
      <c r="B7262" s="50">
        <v>45097.7086670023</v>
      </c>
      <c r="C7262" s="51">
        <v>1.001</v>
      </c>
      <c r="D7262" s="51">
        <v>69.0</v>
      </c>
      <c r="E7262" s="52" t="s">
        <v>25</v>
      </c>
      <c r="F7262" s="52" t="s">
        <v>26</v>
      </c>
      <c r="G7262" s="54"/>
    </row>
    <row r="7263">
      <c r="A7263" s="49">
        <v>45097.59411695602</v>
      </c>
      <c r="B7263" s="50">
        <v>45097.7190882407</v>
      </c>
      <c r="C7263" s="51">
        <v>1.002</v>
      </c>
      <c r="D7263" s="51">
        <v>69.0</v>
      </c>
      <c r="E7263" s="52" t="s">
        <v>25</v>
      </c>
      <c r="F7263" s="52" t="s">
        <v>26</v>
      </c>
      <c r="G7263" s="54"/>
    </row>
    <row r="7264">
      <c r="A7264" s="49">
        <v>45097.6045334838</v>
      </c>
      <c r="B7264" s="50">
        <v>45097.7295096643</v>
      </c>
      <c r="C7264" s="51">
        <v>1.001</v>
      </c>
      <c r="D7264" s="51">
        <v>69.0</v>
      </c>
      <c r="E7264" s="52" t="s">
        <v>25</v>
      </c>
      <c r="F7264" s="52" t="s">
        <v>26</v>
      </c>
      <c r="G7264" s="54"/>
    </row>
    <row r="7265">
      <c r="A7265" s="49">
        <v>45097.614953275464</v>
      </c>
      <c r="B7265" s="50">
        <v>45097.7399294213</v>
      </c>
      <c r="C7265" s="51">
        <v>1.001</v>
      </c>
      <c r="D7265" s="51">
        <v>69.0</v>
      </c>
      <c r="E7265" s="52" t="s">
        <v>25</v>
      </c>
      <c r="F7265" s="52" t="s">
        <v>26</v>
      </c>
      <c r="G7265" s="54"/>
    </row>
    <row r="7266">
      <c r="A7266" s="49">
        <v>45097.625377731485</v>
      </c>
      <c r="B7266" s="50">
        <v>45097.7503518518</v>
      </c>
      <c r="C7266" s="51">
        <v>1.001</v>
      </c>
      <c r="D7266" s="51">
        <v>69.0</v>
      </c>
      <c r="E7266" s="52" t="s">
        <v>25</v>
      </c>
      <c r="F7266" s="52" t="s">
        <v>26</v>
      </c>
      <c r="G7266" s="54"/>
    </row>
    <row r="7267">
      <c r="A7267" s="49">
        <v>45097.63580275463</v>
      </c>
      <c r="B7267" s="50">
        <v>45097.7607730671</v>
      </c>
      <c r="C7267" s="51">
        <v>1.001</v>
      </c>
      <c r="D7267" s="51">
        <v>69.0</v>
      </c>
      <c r="E7267" s="52" t="s">
        <v>25</v>
      </c>
      <c r="F7267" s="52" t="s">
        <v>26</v>
      </c>
      <c r="G7267" s="54"/>
    </row>
    <row r="7268">
      <c r="A7268" s="49">
        <v>45097.6462216088</v>
      </c>
      <c r="B7268" s="50">
        <v>45097.771194375</v>
      </c>
      <c r="C7268" s="51">
        <v>1.001</v>
      </c>
      <c r="D7268" s="51">
        <v>69.0</v>
      </c>
      <c r="E7268" s="52" t="s">
        <v>25</v>
      </c>
      <c r="F7268" s="52" t="s">
        <v>26</v>
      </c>
      <c r="G7268" s="54"/>
    </row>
    <row r="7269">
      <c r="A7269" s="49">
        <v>45097.65664584491</v>
      </c>
      <c r="B7269" s="50">
        <v>45097.7816154629</v>
      </c>
      <c r="C7269" s="51">
        <v>1.001</v>
      </c>
      <c r="D7269" s="51">
        <v>69.0</v>
      </c>
      <c r="E7269" s="52" t="s">
        <v>25</v>
      </c>
      <c r="F7269" s="52" t="s">
        <v>26</v>
      </c>
      <c r="G7269" s="54"/>
    </row>
    <row r="7270">
      <c r="A7270" s="49">
        <v>45097.66706186342</v>
      </c>
      <c r="B7270" s="50">
        <v>45097.792036956</v>
      </c>
      <c r="C7270" s="51">
        <v>1.001</v>
      </c>
      <c r="D7270" s="51">
        <v>69.0</v>
      </c>
      <c r="E7270" s="52" t="s">
        <v>25</v>
      </c>
      <c r="F7270" s="52" t="s">
        <v>26</v>
      </c>
      <c r="G7270" s="54"/>
    </row>
    <row r="7271">
      <c r="A7271" s="49">
        <v>45097.677493854164</v>
      </c>
      <c r="B7271" s="50">
        <v>45097.8024684027</v>
      </c>
      <c r="C7271" s="51">
        <v>1.002</v>
      </c>
      <c r="D7271" s="51">
        <v>69.0</v>
      </c>
      <c r="E7271" s="52" t="s">
        <v>25</v>
      </c>
      <c r="F7271" s="52" t="s">
        <v>26</v>
      </c>
      <c r="G7271" s="54"/>
    </row>
    <row r="7272">
      <c r="A7272" s="49">
        <v>45097.687918194446</v>
      </c>
      <c r="B7272" s="50">
        <v>45097.8128901041</v>
      </c>
      <c r="C7272" s="51">
        <v>1.001</v>
      </c>
      <c r="D7272" s="51">
        <v>69.0</v>
      </c>
      <c r="E7272" s="52" t="s">
        <v>25</v>
      </c>
      <c r="F7272" s="52" t="s">
        <v>26</v>
      </c>
      <c r="G7272" s="54"/>
    </row>
    <row r="7273">
      <c r="A7273" s="49">
        <v>45097.69834873843</v>
      </c>
      <c r="B7273" s="50">
        <v>45097.8233218865</v>
      </c>
      <c r="C7273" s="51">
        <v>1.001</v>
      </c>
      <c r="D7273" s="51">
        <v>69.0</v>
      </c>
      <c r="E7273" s="52" t="s">
        <v>25</v>
      </c>
      <c r="F7273" s="52" t="s">
        <v>26</v>
      </c>
      <c r="G7273" s="54"/>
    </row>
    <row r="7274">
      <c r="A7274" s="49">
        <v>45097.7087708912</v>
      </c>
      <c r="B7274" s="50">
        <v>45097.8337427199</v>
      </c>
      <c r="C7274" s="51">
        <v>1.001</v>
      </c>
      <c r="D7274" s="51">
        <v>69.0</v>
      </c>
      <c r="E7274" s="52" t="s">
        <v>25</v>
      </c>
      <c r="F7274" s="52" t="s">
        <v>26</v>
      </c>
      <c r="G7274" s="54"/>
    </row>
    <row r="7275">
      <c r="A7275" s="49">
        <v>45097.71919533565</v>
      </c>
      <c r="B7275" s="50">
        <v>45097.8441645254</v>
      </c>
      <c r="C7275" s="51">
        <v>1.001</v>
      </c>
      <c r="D7275" s="51">
        <v>69.0</v>
      </c>
      <c r="E7275" s="52" t="s">
        <v>25</v>
      </c>
      <c r="F7275" s="52" t="s">
        <v>26</v>
      </c>
      <c r="G7275" s="54"/>
    </row>
    <row r="7276">
      <c r="A7276" s="49">
        <v>45097.729621307866</v>
      </c>
      <c r="B7276" s="50">
        <v>45097.8545865393</v>
      </c>
      <c r="C7276" s="51">
        <v>1.001</v>
      </c>
      <c r="D7276" s="51">
        <v>69.0</v>
      </c>
      <c r="E7276" s="52" t="s">
        <v>25</v>
      </c>
      <c r="F7276" s="52" t="s">
        <v>26</v>
      </c>
      <c r="G7276" s="54"/>
    </row>
    <row r="7277">
      <c r="A7277" s="49">
        <v>45097.740029039356</v>
      </c>
      <c r="B7277" s="50">
        <v>45097.8650075694</v>
      </c>
      <c r="C7277" s="51">
        <v>1.001</v>
      </c>
      <c r="D7277" s="51">
        <v>69.0</v>
      </c>
      <c r="E7277" s="52" t="s">
        <v>25</v>
      </c>
      <c r="F7277" s="52" t="s">
        <v>26</v>
      </c>
      <c r="G7277" s="54"/>
    </row>
    <row r="7278">
      <c r="A7278" s="49">
        <v>45097.750456388894</v>
      </c>
      <c r="B7278" s="50">
        <v>45097.8754298842</v>
      </c>
      <c r="C7278" s="51">
        <v>1.001</v>
      </c>
      <c r="D7278" s="51">
        <v>69.0</v>
      </c>
      <c r="E7278" s="52" t="s">
        <v>25</v>
      </c>
      <c r="F7278" s="52" t="s">
        <v>26</v>
      </c>
      <c r="G7278" s="54"/>
    </row>
    <row r="7279">
      <c r="A7279" s="49">
        <v>45097.760875844906</v>
      </c>
      <c r="B7279" s="50">
        <v>45097.8858497685</v>
      </c>
      <c r="C7279" s="51">
        <v>1.001</v>
      </c>
      <c r="D7279" s="51">
        <v>69.0</v>
      </c>
      <c r="E7279" s="52" t="s">
        <v>25</v>
      </c>
      <c r="F7279" s="52" t="s">
        <v>26</v>
      </c>
      <c r="G7279" s="54"/>
    </row>
    <row r="7280">
      <c r="A7280" s="49">
        <v>45097.771297997686</v>
      </c>
      <c r="B7280" s="50">
        <v>45097.8962704861</v>
      </c>
      <c r="C7280" s="51">
        <v>1.001</v>
      </c>
      <c r="D7280" s="51">
        <v>69.0</v>
      </c>
      <c r="E7280" s="52" t="s">
        <v>25</v>
      </c>
      <c r="F7280" s="52" t="s">
        <v>26</v>
      </c>
      <c r="G7280" s="54"/>
    </row>
    <row r="7281">
      <c r="A7281" s="49">
        <v>45097.78171592593</v>
      </c>
      <c r="B7281" s="50">
        <v>45097.9066907523</v>
      </c>
      <c r="C7281" s="51">
        <v>1.001</v>
      </c>
      <c r="D7281" s="51">
        <v>69.0</v>
      </c>
      <c r="E7281" s="52" t="s">
        <v>25</v>
      </c>
      <c r="F7281" s="52" t="s">
        <v>26</v>
      </c>
      <c r="G7281" s="54"/>
    </row>
    <row r="7282">
      <c r="A7282" s="49">
        <v>45097.792138136574</v>
      </c>
      <c r="B7282" s="50">
        <v>45097.9171120254</v>
      </c>
      <c r="C7282" s="51">
        <v>1.001</v>
      </c>
      <c r="D7282" s="51">
        <v>69.0</v>
      </c>
      <c r="E7282" s="52" t="s">
        <v>25</v>
      </c>
      <c r="F7282" s="52" t="s">
        <v>26</v>
      </c>
      <c r="G7282" s="54"/>
    </row>
    <row r="7283">
      <c r="A7283" s="49">
        <v>45097.80255628472</v>
      </c>
      <c r="B7283" s="50">
        <v>45097.9275337731</v>
      </c>
      <c r="C7283" s="51">
        <v>1.001</v>
      </c>
      <c r="D7283" s="51">
        <v>69.0</v>
      </c>
      <c r="E7283" s="52" t="s">
        <v>25</v>
      </c>
      <c r="F7283" s="52" t="s">
        <v>26</v>
      </c>
      <c r="G7283" s="54"/>
    </row>
    <row r="7284">
      <c r="A7284" s="49">
        <v>45097.812974189816</v>
      </c>
      <c r="B7284" s="50">
        <v>45097.9379556713</v>
      </c>
      <c r="C7284" s="51">
        <v>1.001</v>
      </c>
      <c r="D7284" s="51">
        <v>69.0</v>
      </c>
      <c r="E7284" s="52" t="s">
        <v>25</v>
      </c>
      <c r="F7284" s="52" t="s">
        <v>26</v>
      </c>
      <c r="G7284" s="54"/>
    </row>
    <row r="7285">
      <c r="A7285" s="49">
        <v>45097.82340204861</v>
      </c>
      <c r="B7285" s="50">
        <v>45097.9483771875</v>
      </c>
      <c r="C7285" s="51">
        <v>1.001</v>
      </c>
      <c r="D7285" s="51">
        <v>69.0</v>
      </c>
      <c r="E7285" s="52" t="s">
        <v>25</v>
      </c>
      <c r="F7285" s="52" t="s">
        <v>26</v>
      </c>
      <c r="G7285" s="54"/>
    </row>
    <row r="7286">
      <c r="A7286" s="49">
        <v>45097.8338209838</v>
      </c>
      <c r="B7286" s="50">
        <v>45097.9587975694</v>
      </c>
      <c r="C7286" s="51">
        <v>1.001</v>
      </c>
      <c r="D7286" s="51">
        <v>69.0</v>
      </c>
      <c r="E7286" s="52" t="s">
        <v>25</v>
      </c>
      <c r="F7286" s="52" t="s">
        <v>26</v>
      </c>
      <c r="G7286" s="54"/>
    </row>
    <row r="7287">
      <c r="A7287" s="49">
        <v>45097.844248946756</v>
      </c>
      <c r="B7287" s="50">
        <v>45097.969219537</v>
      </c>
      <c r="C7287" s="51">
        <v>1.001</v>
      </c>
      <c r="D7287" s="51">
        <v>69.0</v>
      </c>
      <c r="E7287" s="52" t="s">
        <v>25</v>
      </c>
      <c r="F7287" s="52" t="s">
        <v>26</v>
      </c>
      <c r="G7287" s="54"/>
    </row>
    <row r="7288">
      <c r="A7288" s="49">
        <v>45097.854667164356</v>
      </c>
      <c r="B7288" s="50">
        <v>45097.9796407754</v>
      </c>
      <c r="C7288" s="51">
        <v>1.001</v>
      </c>
      <c r="D7288" s="51">
        <v>69.0</v>
      </c>
      <c r="E7288" s="52" t="s">
        <v>25</v>
      </c>
      <c r="F7288" s="52" t="s">
        <v>26</v>
      </c>
      <c r="G7288" s="54"/>
    </row>
    <row r="7289">
      <c r="A7289" s="49">
        <v>45097.865085428246</v>
      </c>
      <c r="B7289" s="50">
        <v>45097.9900612384</v>
      </c>
      <c r="C7289" s="51">
        <v>1.001</v>
      </c>
      <c r="D7289" s="51">
        <v>69.0</v>
      </c>
      <c r="E7289" s="52" t="s">
        <v>25</v>
      </c>
      <c r="F7289" s="52" t="s">
        <v>26</v>
      </c>
      <c r="G7289" s="54"/>
    </row>
    <row r="7290">
      <c r="A7290" s="49">
        <v>45097.875502407405</v>
      </c>
      <c r="B7290" s="50">
        <v>45098.0004814467</v>
      </c>
      <c r="C7290" s="51">
        <v>1.001</v>
      </c>
      <c r="D7290" s="51">
        <v>69.0</v>
      </c>
      <c r="E7290" s="52" t="s">
        <v>25</v>
      </c>
      <c r="F7290" s="52" t="s">
        <v>26</v>
      </c>
      <c r="G7290" s="54"/>
    </row>
    <row r="7291">
      <c r="A7291" s="49">
        <v>45097.88593243055</v>
      </c>
      <c r="B7291" s="50">
        <v>45098.0109028472</v>
      </c>
      <c r="C7291" s="51">
        <v>1.001</v>
      </c>
      <c r="D7291" s="51">
        <v>69.0</v>
      </c>
      <c r="E7291" s="52" t="s">
        <v>25</v>
      </c>
      <c r="F7291" s="52" t="s">
        <v>26</v>
      </c>
      <c r="G7291" s="54"/>
    </row>
    <row r="7292">
      <c r="A7292" s="49">
        <v>45097.89634949074</v>
      </c>
      <c r="B7292" s="50">
        <v>45098.0213266898</v>
      </c>
      <c r="C7292" s="51">
        <v>1.001</v>
      </c>
      <c r="D7292" s="51">
        <v>69.0</v>
      </c>
      <c r="E7292" s="52" t="s">
        <v>25</v>
      </c>
      <c r="F7292" s="52" t="s">
        <v>26</v>
      </c>
      <c r="G7292" s="54"/>
    </row>
    <row r="7293">
      <c r="A7293" s="49">
        <v>45097.906788657405</v>
      </c>
      <c r="B7293" s="50">
        <v>45098.0317596064</v>
      </c>
      <c r="C7293" s="51">
        <v>1.001</v>
      </c>
      <c r="D7293" s="51">
        <v>69.0</v>
      </c>
      <c r="E7293" s="52" t="s">
        <v>25</v>
      </c>
      <c r="F7293" s="52" t="s">
        <v>26</v>
      </c>
      <c r="G7293" s="54"/>
    </row>
    <row r="7294">
      <c r="A7294" s="49">
        <v>45097.91719840278</v>
      </c>
      <c r="B7294" s="50">
        <v>45098.0421798148</v>
      </c>
      <c r="C7294" s="51">
        <v>1.001</v>
      </c>
      <c r="D7294" s="51">
        <v>69.0</v>
      </c>
      <c r="E7294" s="52" t="s">
        <v>25</v>
      </c>
      <c r="F7294" s="52" t="s">
        <v>26</v>
      </c>
      <c r="G7294" s="54"/>
    </row>
    <row r="7295">
      <c r="A7295" s="49">
        <v>45097.92762480324</v>
      </c>
      <c r="B7295" s="50">
        <v>45098.0526004282</v>
      </c>
      <c r="C7295" s="51">
        <v>1.001</v>
      </c>
      <c r="D7295" s="51">
        <v>69.0</v>
      </c>
      <c r="E7295" s="52" t="s">
        <v>25</v>
      </c>
      <c r="F7295" s="52" t="s">
        <v>26</v>
      </c>
      <c r="G7295" s="54"/>
    </row>
    <row r="7296">
      <c r="A7296" s="49">
        <v>45097.93805416666</v>
      </c>
      <c r="B7296" s="50">
        <v>45098.0630214814</v>
      </c>
      <c r="C7296" s="51">
        <v>1.001</v>
      </c>
      <c r="D7296" s="51">
        <v>69.0</v>
      </c>
      <c r="E7296" s="52" t="s">
        <v>25</v>
      </c>
      <c r="F7296" s="52" t="s">
        <v>26</v>
      </c>
      <c r="G7296" s="54"/>
    </row>
    <row r="7297">
      <c r="A7297" s="49">
        <v>45097.94848140047</v>
      </c>
      <c r="B7297" s="50">
        <v>45098.0734558333</v>
      </c>
      <c r="C7297" s="51">
        <v>1.002</v>
      </c>
      <c r="D7297" s="51">
        <v>69.0</v>
      </c>
      <c r="E7297" s="52" t="s">
        <v>25</v>
      </c>
      <c r="F7297" s="52" t="s">
        <v>26</v>
      </c>
      <c r="G7297" s="54"/>
    </row>
    <row r="7298">
      <c r="A7298" s="49">
        <v>45097.958906307875</v>
      </c>
      <c r="B7298" s="50">
        <v>45098.0838772337</v>
      </c>
      <c r="C7298" s="51">
        <v>1.001</v>
      </c>
      <c r="D7298" s="51">
        <v>69.0</v>
      </c>
      <c r="E7298" s="52" t="s">
        <v>25</v>
      </c>
      <c r="F7298" s="52" t="s">
        <v>26</v>
      </c>
      <c r="G7298" s="54"/>
    </row>
    <row r="7299">
      <c r="A7299" s="49">
        <v>45097.96932851852</v>
      </c>
      <c r="B7299" s="50">
        <v>45098.0943075578</v>
      </c>
      <c r="C7299" s="51">
        <v>1.001</v>
      </c>
      <c r="D7299" s="51">
        <v>69.0</v>
      </c>
      <c r="E7299" s="52" t="s">
        <v>25</v>
      </c>
      <c r="F7299" s="52" t="s">
        <v>26</v>
      </c>
      <c r="G7299" s="54"/>
    </row>
    <row r="7300">
      <c r="A7300" s="49">
        <v>45097.97974587963</v>
      </c>
      <c r="B7300" s="50">
        <v>45098.1047287615</v>
      </c>
      <c r="C7300" s="51">
        <v>1.001</v>
      </c>
      <c r="D7300" s="51">
        <v>69.0</v>
      </c>
      <c r="E7300" s="52" t="s">
        <v>25</v>
      </c>
      <c r="F7300" s="52" t="s">
        <v>26</v>
      </c>
      <c r="G7300" s="54"/>
    </row>
    <row r="7301">
      <c r="A7301" s="49">
        <v>45097.99017748843</v>
      </c>
      <c r="B7301" s="50">
        <v>45098.1151495949</v>
      </c>
      <c r="C7301" s="51">
        <v>1.001</v>
      </c>
      <c r="D7301" s="51">
        <v>69.0</v>
      </c>
      <c r="E7301" s="52" t="s">
        <v>25</v>
      </c>
      <c r="F7301" s="52" t="s">
        <v>26</v>
      </c>
      <c r="G7301" s="54"/>
    </row>
    <row r="7302">
      <c r="A7302" s="49">
        <v>45098.000599583334</v>
      </c>
      <c r="B7302" s="50">
        <v>45098.1255719213</v>
      </c>
      <c r="C7302" s="51">
        <v>1.001</v>
      </c>
      <c r="D7302" s="51">
        <v>69.0</v>
      </c>
      <c r="E7302" s="52" t="s">
        <v>25</v>
      </c>
      <c r="F7302" s="52" t="s">
        <v>26</v>
      </c>
      <c r="G7302" s="54"/>
    </row>
    <row r="7303">
      <c r="A7303" s="49">
        <v>45098.01101440973</v>
      </c>
      <c r="B7303" s="50">
        <v>45098.1359931944</v>
      </c>
      <c r="C7303" s="51">
        <v>1.001</v>
      </c>
      <c r="D7303" s="51">
        <v>69.0</v>
      </c>
      <c r="E7303" s="52" t="s">
        <v>25</v>
      </c>
      <c r="F7303" s="52" t="s">
        <v>26</v>
      </c>
      <c r="G7303" s="54"/>
    </row>
    <row r="7304">
      <c r="A7304" s="49">
        <v>45098.02143898148</v>
      </c>
      <c r="B7304" s="50">
        <v>45098.1464151041</v>
      </c>
      <c r="C7304" s="51">
        <v>1.001</v>
      </c>
      <c r="D7304" s="51">
        <v>69.0</v>
      </c>
      <c r="E7304" s="52" t="s">
        <v>25</v>
      </c>
      <c r="F7304" s="52" t="s">
        <v>26</v>
      </c>
      <c r="G7304" s="54"/>
    </row>
    <row r="7305">
      <c r="A7305" s="49">
        <v>45098.031865682875</v>
      </c>
      <c r="B7305" s="50">
        <v>45098.1568367013</v>
      </c>
      <c r="C7305" s="51">
        <v>1.001</v>
      </c>
      <c r="D7305" s="51">
        <v>69.0</v>
      </c>
      <c r="E7305" s="52" t="s">
        <v>25</v>
      </c>
      <c r="F7305" s="52" t="s">
        <v>26</v>
      </c>
      <c r="G7305" s="54"/>
    </row>
    <row r="7306">
      <c r="A7306" s="49">
        <v>45098.042312164354</v>
      </c>
      <c r="B7306" s="50">
        <v>45098.167282824</v>
      </c>
      <c r="C7306" s="51">
        <v>1.001</v>
      </c>
      <c r="D7306" s="51">
        <v>69.0</v>
      </c>
      <c r="E7306" s="52" t="s">
        <v>25</v>
      </c>
      <c r="F7306" s="52" t="s">
        <v>26</v>
      </c>
      <c r="G7306" s="54"/>
    </row>
    <row r="7307">
      <c r="A7307" s="49">
        <v>45098.05273072916</v>
      </c>
      <c r="B7307" s="50">
        <v>45098.1777045023</v>
      </c>
      <c r="C7307" s="51">
        <v>1.001</v>
      </c>
      <c r="D7307" s="51">
        <v>69.0</v>
      </c>
      <c r="E7307" s="52" t="s">
        <v>25</v>
      </c>
      <c r="F7307" s="52" t="s">
        <v>26</v>
      </c>
      <c r="G7307" s="54"/>
    </row>
    <row r="7308">
      <c r="A7308" s="49">
        <v>45098.06314803241</v>
      </c>
      <c r="B7308" s="50">
        <v>45098.1881249421</v>
      </c>
      <c r="C7308" s="51">
        <v>1.001</v>
      </c>
      <c r="D7308" s="51">
        <v>69.0</v>
      </c>
      <c r="E7308" s="52" t="s">
        <v>25</v>
      </c>
      <c r="F7308" s="52" t="s">
        <v>26</v>
      </c>
      <c r="G7308" s="54"/>
    </row>
    <row r="7309">
      <c r="A7309" s="49">
        <v>45098.07356770833</v>
      </c>
      <c r="B7309" s="50">
        <v>45098.1985455787</v>
      </c>
      <c r="C7309" s="51">
        <v>1.001</v>
      </c>
      <c r="D7309" s="51">
        <v>69.0</v>
      </c>
      <c r="E7309" s="52" t="s">
        <v>25</v>
      </c>
      <c r="F7309" s="52" t="s">
        <v>26</v>
      </c>
      <c r="G7309" s="54"/>
    </row>
    <row r="7310">
      <c r="A7310" s="49">
        <v>45098.08399605324</v>
      </c>
      <c r="B7310" s="50">
        <v>45098.2089675115</v>
      </c>
      <c r="C7310" s="51">
        <v>1.001</v>
      </c>
      <c r="D7310" s="51">
        <v>69.0</v>
      </c>
      <c r="E7310" s="52" t="s">
        <v>25</v>
      </c>
      <c r="F7310" s="52" t="s">
        <v>26</v>
      </c>
      <c r="G7310" s="54"/>
    </row>
    <row r="7311">
      <c r="A7311" s="49">
        <v>45098.09442734954</v>
      </c>
      <c r="B7311" s="50">
        <v>45098.2194025231</v>
      </c>
      <c r="C7311" s="51">
        <v>1.001</v>
      </c>
      <c r="D7311" s="51">
        <v>69.0</v>
      </c>
      <c r="E7311" s="52" t="s">
        <v>25</v>
      </c>
      <c r="F7311" s="52" t="s">
        <v>26</v>
      </c>
      <c r="G7311" s="54"/>
    </row>
    <row r="7312">
      <c r="A7312" s="49">
        <v>45098.104855868056</v>
      </c>
      <c r="B7312" s="50">
        <v>45098.2298262037</v>
      </c>
      <c r="C7312" s="51">
        <v>1.001</v>
      </c>
      <c r="D7312" s="51">
        <v>69.0</v>
      </c>
      <c r="E7312" s="52" t="s">
        <v>25</v>
      </c>
      <c r="F7312" s="52" t="s">
        <v>26</v>
      </c>
      <c r="G7312" s="54"/>
    </row>
    <row r="7313">
      <c r="A7313" s="49">
        <v>45098.11528126158</v>
      </c>
      <c r="B7313" s="50">
        <v>45098.2402596412</v>
      </c>
      <c r="C7313" s="51">
        <v>1.001</v>
      </c>
      <c r="D7313" s="51">
        <v>69.0</v>
      </c>
      <c r="E7313" s="52" t="s">
        <v>25</v>
      </c>
      <c r="F7313" s="52" t="s">
        <v>26</v>
      </c>
      <c r="G7313" s="54"/>
    </row>
    <row r="7314">
      <c r="A7314" s="49">
        <v>45098.12571096065</v>
      </c>
      <c r="B7314" s="50">
        <v>45098.2506818634</v>
      </c>
      <c r="C7314" s="51">
        <v>1.001</v>
      </c>
      <c r="D7314" s="51">
        <v>69.0</v>
      </c>
      <c r="E7314" s="52" t="s">
        <v>25</v>
      </c>
      <c r="F7314" s="52" t="s">
        <v>26</v>
      </c>
      <c r="G7314" s="54"/>
    </row>
    <row r="7315">
      <c r="A7315" s="49">
        <v>45098.13612753472</v>
      </c>
      <c r="B7315" s="50">
        <v>45098.2611026736</v>
      </c>
      <c r="C7315" s="51">
        <v>1.001</v>
      </c>
      <c r="D7315" s="51">
        <v>69.0</v>
      </c>
      <c r="E7315" s="52" t="s">
        <v>25</v>
      </c>
      <c r="F7315" s="52" t="s">
        <v>26</v>
      </c>
      <c r="G7315" s="54"/>
    </row>
    <row r="7316">
      <c r="A7316" s="49">
        <v>45098.14654987269</v>
      </c>
      <c r="B7316" s="50">
        <v>45098.2715246064</v>
      </c>
      <c r="C7316" s="51">
        <v>1.001</v>
      </c>
      <c r="D7316" s="51">
        <v>69.0</v>
      </c>
      <c r="E7316" s="52" t="s">
        <v>25</v>
      </c>
      <c r="F7316" s="52" t="s">
        <v>26</v>
      </c>
      <c r="G7316" s="54"/>
    </row>
    <row r="7317">
      <c r="A7317" s="49">
        <v>45098.156965</v>
      </c>
      <c r="B7317" s="50">
        <v>45098.2819449074</v>
      </c>
      <c r="C7317" s="51">
        <v>1.001</v>
      </c>
      <c r="D7317" s="51">
        <v>69.0</v>
      </c>
      <c r="E7317" s="52" t="s">
        <v>25</v>
      </c>
      <c r="F7317" s="52" t="s">
        <v>26</v>
      </c>
      <c r="G7317" s="54"/>
    </row>
    <row r="7318">
      <c r="A7318" s="49">
        <v>45098.167383935186</v>
      </c>
      <c r="B7318" s="50">
        <v>45098.2923649074</v>
      </c>
      <c r="C7318" s="51">
        <v>1.001</v>
      </c>
      <c r="D7318" s="51">
        <v>69.0</v>
      </c>
      <c r="E7318" s="52" t="s">
        <v>25</v>
      </c>
      <c r="F7318" s="52" t="s">
        <v>26</v>
      </c>
      <c r="G7318" s="54"/>
    </row>
    <row r="7319">
      <c r="A7319" s="49">
        <v>45098.177834409726</v>
      </c>
      <c r="B7319" s="50">
        <v>45098.3028077314</v>
      </c>
      <c r="C7319" s="51">
        <v>1.001</v>
      </c>
      <c r="D7319" s="51">
        <v>69.0</v>
      </c>
      <c r="E7319" s="52" t="s">
        <v>25</v>
      </c>
      <c r="F7319" s="52" t="s">
        <v>26</v>
      </c>
      <c r="G7319" s="54"/>
    </row>
    <row r="7320">
      <c r="A7320" s="49">
        <v>45098.188280682865</v>
      </c>
      <c r="B7320" s="50">
        <v>45098.3132293287</v>
      </c>
      <c r="C7320" s="51">
        <v>1.001</v>
      </c>
      <c r="D7320" s="51">
        <v>69.0</v>
      </c>
      <c r="E7320" s="52" t="s">
        <v>25</v>
      </c>
      <c r="F7320" s="52" t="s">
        <v>26</v>
      </c>
      <c r="G7320" s="54"/>
    </row>
    <row r="7321">
      <c r="A7321" s="49">
        <v>45098.19867305555</v>
      </c>
      <c r="B7321" s="50">
        <v>45098.3236491898</v>
      </c>
      <c r="C7321" s="51">
        <v>1.001</v>
      </c>
      <c r="D7321" s="51">
        <v>69.0</v>
      </c>
      <c r="E7321" s="52" t="s">
        <v>25</v>
      </c>
      <c r="F7321" s="52" t="s">
        <v>26</v>
      </c>
      <c r="G7321" s="54"/>
    </row>
    <row r="7322">
      <c r="A7322" s="49">
        <v>45098.20909956019</v>
      </c>
      <c r="B7322" s="50">
        <v>45098.3340709722</v>
      </c>
      <c r="C7322" s="51">
        <v>1.001</v>
      </c>
      <c r="D7322" s="51">
        <v>69.0</v>
      </c>
      <c r="E7322" s="52" t="s">
        <v>25</v>
      </c>
      <c r="F7322" s="52" t="s">
        <v>26</v>
      </c>
      <c r="G7322" s="54"/>
    </row>
    <row r="7323">
      <c r="A7323" s="49">
        <v>45098.219519398146</v>
      </c>
      <c r="B7323" s="50">
        <v>45098.3444929166</v>
      </c>
      <c r="C7323" s="51">
        <v>1.001</v>
      </c>
      <c r="D7323" s="51">
        <v>69.0</v>
      </c>
      <c r="E7323" s="52" t="s">
        <v>25</v>
      </c>
      <c r="F7323" s="52" t="s">
        <v>26</v>
      </c>
      <c r="G7323" s="54"/>
    </row>
    <row r="7324">
      <c r="A7324" s="49">
        <v>45098.22993583333</v>
      </c>
      <c r="B7324" s="50">
        <v>45098.3549144097</v>
      </c>
      <c r="C7324" s="51">
        <v>1.001</v>
      </c>
      <c r="D7324" s="51">
        <v>69.0</v>
      </c>
      <c r="E7324" s="52" t="s">
        <v>25</v>
      </c>
      <c r="F7324" s="52" t="s">
        <v>26</v>
      </c>
      <c r="G7324" s="54"/>
    </row>
    <row r="7325">
      <c r="A7325" s="49">
        <v>45098.24039020833</v>
      </c>
      <c r="B7325" s="50">
        <v>45098.3653588194</v>
      </c>
      <c r="C7325" s="51">
        <v>1.001</v>
      </c>
      <c r="D7325" s="51">
        <v>69.0</v>
      </c>
      <c r="E7325" s="52" t="s">
        <v>25</v>
      </c>
      <c r="F7325" s="52" t="s">
        <v>26</v>
      </c>
      <c r="G7325" s="54"/>
    </row>
    <row r="7326">
      <c r="A7326" s="49">
        <v>45098.250819293986</v>
      </c>
      <c r="B7326" s="50">
        <v>45098.3757906134</v>
      </c>
      <c r="C7326" s="51">
        <v>1.001</v>
      </c>
      <c r="D7326" s="51">
        <v>69.0</v>
      </c>
      <c r="E7326" s="52" t="s">
        <v>25</v>
      </c>
      <c r="F7326" s="52" t="s">
        <v>26</v>
      </c>
      <c r="G7326" s="54"/>
    </row>
    <row r="7327">
      <c r="A7327" s="49">
        <v>45098.261235555554</v>
      </c>
      <c r="B7327" s="50">
        <v>45098.3862103472</v>
      </c>
      <c r="C7327" s="51">
        <v>1.001</v>
      </c>
      <c r="D7327" s="51">
        <v>69.0</v>
      </c>
      <c r="E7327" s="52" t="s">
        <v>25</v>
      </c>
      <c r="F7327" s="52" t="s">
        <v>26</v>
      </c>
      <c r="G7327" s="54"/>
    </row>
    <row r="7328">
      <c r="A7328" s="49">
        <v>45098.27167619213</v>
      </c>
      <c r="B7328" s="50">
        <v>45098.396632662</v>
      </c>
      <c r="C7328" s="51">
        <v>1.001</v>
      </c>
      <c r="D7328" s="51">
        <v>69.0</v>
      </c>
      <c r="E7328" s="52" t="s">
        <v>25</v>
      </c>
      <c r="F7328" s="52" t="s">
        <v>26</v>
      </c>
      <c r="G7328" s="54"/>
    </row>
    <row r="7329">
      <c r="A7329" s="49">
        <v>45098.28209878472</v>
      </c>
      <c r="B7329" s="50">
        <v>45098.4070653819</v>
      </c>
      <c r="C7329" s="51">
        <v>1.001</v>
      </c>
      <c r="D7329" s="51">
        <v>69.0</v>
      </c>
      <c r="E7329" s="52" t="s">
        <v>25</v>
      </c>
      <c r="F7329" s="52" t="s">
        <v>26</v>
      </c>
      <c r="G7329" s="54"/>
    </row>
    <row r="7330">
      <c r="A7330" s="49">
        <v>45098.292522488424</v>
      </c>
      <c r="B7330" s="50">
        <v>45098.4174857638</v>
      </c>
      <c r="C7330" s="51">
        <v>1.001</v>
      </c>
      <c r="D7330" s="51">
        <v>69.0</v>
      </c>
      <c r="E7330" s="52" t="s">
        <v>25</v>
      </c>
      <c r="F7330" s="52" t="s">
        <v>26</v>
      </c>
      <c r="G7330" s="54"/>
    </row>
    <row r="7331">
      <c r="A7331" s="49">
        <v>45098.30293655093</v>
      </c>
      <c r="B7331" s="50">
        <v>45098.4279074189</v>
      </c>
      <c r="C7331" s="51">
        <v>1.001</v>
      </c>
      <c r="D7331" s="51">
        <v>69.0</v>
      </c>
      <c r="E7331" s="52" t="s">
        <v>25</v>
      </c>
      <c r="F7331" s="52" t="s">
        <v>26</v>
      </c>
      <c r="G7331" s="54"/>
    </row>
    <row r="7332">
      <c r="A7332" s="49">
        <v>45098.31337077546</v>
      </c>
      <c r="B7332" s="50">
        <v>45098.4383406828</v>
      </c>
      <c r="C7332" s="51">
        <v>1.001</v>
      </c>
      <c r="D7332" s="51">
        <v>69.0</v>
      </c>
      <c r="E7332" s="52" t="s">
        <v>25</v>
      </c>
      <c r="F7332" s="52" t="s">
        <v>26</v>
      </c>
      <c r="G7332" s="54"/>
    </row>
    <row r="7333">
      <c r="A7333" s="49">
        <v>45098.32378160879</v>
      </c>
      <c r="B7333" s="50">
        <v>45098.448759699</v>
      </c>
      <c r="C7333" s="51">
        <v>1.001</v>
      </c>
      <c r="D7333" s="51">
        <v>69.0</v>
      </c>
      <c r="E7333" s="52" t="s">
        <v>25</v>
      </c>
      <c r="F7333" s="52" t="s">
        <v>26</v>
      </c>
      <c r="G7333" s="54"/>
    </row>
    <row r="7334">
      <c r="A7334" s="49">
        <v>45098.33421136574</v>
      </c>
      <c r="B7334" s="50">
        <v>45098.4591812152</v>
      </c>
      <c r="C7334" s="51">
        <v>1.001</v>
      </c>
      <c r="D7334" s="51">
        <v>69.0</v>
      </c>
      <c r="E7334" s="52" t="s">
        <v>25</v>
      </c>
      <c r="F7334" s="52" t="s">
        <v>26</v>
      </c>
      <c r="G7334" s="54"/>
    </row>
    <row r="7335">
      <c r="A7335" s="49">
        <v>45098.34463261574</v>
      </c>
      <c r="B7335" s="50">
        <v>45098.4696152083</v>
      </c>
      <c r="C7335" s="51">
        <v>1.001</v>
      </c>
      <c r="D7335" s="51">
        <v>69.0</v>
      </c>
      <c r="E7335" s="52" t="s">
        <v>25</v>
      </c>
      <c r="F7335" s="52" t="s">
        <v>26</v>
      </c>
      <c r="G7335" s="54"/>
    </row>
    <row r="7336">
      <c r="A7336" s="49">
        <v>45098.355082800925</v>
      </c>
      <c r="B7336" s="50">
        <v>45098.4800584027</v>
      </c>
      <c r="C7336" s="51">
        <v>1.001</v>
      </c>
      <c r="D7336" s="51">
        <v>69.0</v>
      </c>
      <c r="E7336" s="52" t="s">
        <v>25</v>
      </c>
      <c r="F7336" s="52" t="s">
        <v>26</v>
      </c>
      <c r="G7336" s="54"/>
    </row>
    <row r="7337">
      <c r="A7337" s="49">
        <v>45098.36550209491</v>
      </c>
      <c r="B7337" s="50">
        <v>45098.4904794328</v>
      </c>
      <c r="C7337" s="51">
        <v>1.001</v>
      </c>
      <c r="D7337" s="51">
        <v>69.0</v>
      </c>
      <c r="E7337" s="52" t="s">
        <v>25</v>
      </c>
      <c r="F7337" s="52" t="s">
        <v>26</v>
      </c>
      <c r="G7337" s="54"/>
    </row>
    <row r="7338">
      <c r="A7338" s="49">
        <v>45098.37594164352</v>
      </c>
      <c r="B7338" s="50">
        <v>45098.5009124421</v>
      </c>
      <c r="C7338" s="51">
        <v>1.001</v>
      </c>
      <c r="D7338" s="51">
        <v>69.0</v>
      </c>
      <c r="E7338" s="52" t="s">
        <v>25</v>
      </c>
      <c r="F7338" s="52" t="s">
        <v>26</v>
      </c>
      <c r="G7338" s="54"/>
    </row>
    <row r="7339">
      <c r="A7339" s="49">
        <v>45098.386370636574</v>
      </c>
      <c r="B7339" s="50">
        <v>45098.51134375</v>
      </c>
      <c r="C7339" s="51">
        <v>1.001</v>
      </c>
      <c r="D7339" s="51">
        <v>69.0</v>
      </c>
      <c r="E7339" s="52" t="s">
        <v>25</v>
      </c>
      <c r="F7339" s="52" t="s">
        <v>26</v>
      </c>
      <c r="G7339" s="54"/>
    </row>
    <row r="7340">
      <c r="A7340" s="49">
        <v>45098.39680321759</v>
      </c>
      <c r="B7340" s="50">
        <v>45098.5217772222</v>
      </c>
      <c r="C7340" s="51">
        <v>1.001</v>
      </c>
      <c r="D7340" s="51">
        <v>69.0</v>
      </c>
      <c r="E7340" s="52" t="s">
        <v>25</v>
      </c>
      <c r="F7340" s="52" t="s">
        <v>26</v>
      </c>
      <c r="G7340" s="54"/>
    </row>
    <row r="7341">
      <c r="A7341" s="49">
        <v>45098.407214907405</v>
      </c>
      <c r="B7341" s="50">
        <v>45098.5321972222</v>
      </c>
      <c r="C7341" s="51">
        <v>1.001</v>
      </c>
      <c r="D7341" s="51">
        <v>69.0</v>
      </c>
      <c r="E7341" s="52" t="s">
        <v>25</v>
      </c>
      <c r="F7341" s="52" t="s">
        <v>26</v>
      </c>
      <c r="G7341" s="54"/>
    </row>
    <row r="7342">
      <c r="A7342" s="49">
        <v>45098.417646064816</v>
      </c>
      <c r="B7342" s="50">
        <v>45098.5426185648</v>
      </c>
      <c r="C7342" s="51">
        <v>1.001</v>
      </c>
      <c r="D7342" s="51">
        <v>69.0</v>
      </c>
      <c r="E7342" s="52" t="s">
        <v>25</v>
      </c>
      <c r="F7342" s="52" t="s">
        <v>26</v>
      </c>
      <c r="G7342" s="54"/>
    </row>
    <row r="7343">
      <c r="A7343" s="49">
        <v>45098.42807659722</v>
      </c>
      <c r="B7343" s="50">
        <v>45098.5530508333</v>
      </c>
      <c r="C7343" s="51">
        <v>1.001</v>
      </c>
      <c r="D7343" s="51">
        <v>69.0</v>
      </c>
      <c r="E7343" s="52" t="s">
        <v>25</v>
      </c>
      <c r="F7343" s="52" t="s">
        <v>26</v>
      </c>
      <c r="G7343" s="54"/>
    </row>
    <row r="7344">
      <c r="A7344" s="49">
        <v>45098.43849753472</v>
      </c>
      <c r="B7344" s="50">
        <v>45098.5634724189</v>
      </c>
      <c r="C7344" s="51">
        <v>1.001</v>
      </c>
      <c r="D7344" s="51">
        <v>69.0</v>
      </c>
      <c r="E7344" s="52" t="s">
        <v>25</v>
      </c>
      <c r="F7344" s="52" t="s">
        <v>26</v>
      </c>
      <c r="G7344" s="54"/>
    </row>
    <row r="7345">
      <c r="A7345" s="49">
        <v>45098.448913078704</v>
      </c>
      <c r="B7345" s="50">
        <v>45098.5738955902</v>
      </c>
      <c r="C7345" s="51">
        <v>1.001</v>
      </c>
      <c r="D7345" s="51">
        <v>69.0</v>
      </c>
      <c r="E7345" s="52" t="s">
        <v>25</v>
      </c>
      <c r="F7345" s="52" t="s">
        <v>26</v>
      </c>
      <c r="G7345" s="54"/>
    </row>
    <row r="7346">
      <c r="A7346" s="49">
        <v>45098.45934390047</v>
      </c>
      <c r="B7346" s="50">
        <v>45098.5843174421</v>
      </c>
      <c r="C7346" s="51">
        <v>1.001</v>
      </c>
      <c r="D7346" s="51">
        <v>69.0</v>
      </c>
      <c r="E7346" s="52" t="s">
        <v>25</v>
      </c>
      <c r="F7346" s="52" t="s">
        <v>26</v>
      </c>
      <c r="G7346" s="54"/>
    </row>
    <row r="7347">
      <c r="A7347" s="49">
        <v>45098.469760266205</v>
      </c>
      <c r="B7347" s="50">
        <v>45098.5947388194</v>
      </c>
      <c r="C7347" s="51">
        <v>1.001</v>
      </c>
      <c r="D7347" s="51">
        <v>69.0</v>
      </c>
      <c r="E7347" s="52" t="s">
        <v>25</v>
      </c>
      <c r="F7347" s="52" t="s">
        <v>26</v>
      </c>
      <c r="G7347" s="54"/>
    </row>
    <row r="7348">
      <c r="A7348" s="49">
        <v>45098.48020046296</v>
      </c>
      <c r="B7348" s="50">
        <v>45098.6051712037</v>
      </c>
      <c r="C7348" s="51">
        <v>1.001</v>
      </c>
      <c r="D7348" s="51">
        <v>69.0</v>
      </c>
      <c r="E7348" s="52" t="s">
        <v>25</v>
      </c>
      <c r="F7348" s="52" t="s">
        <v>26</v>
      </c>
      <c r="G7348" s="54"/>
    </row>
    <row r="7349">
      <c r="A7349" s="49">
        <v>45098.49063137731</v>
      </c>
      <c r="B7349" s="50">
        <v>45098.6156058449</v>
      </c>
      <c r="C7349" s="51">
        <v>1.001</v>
      </c>
      <c r="D7349" s="51">
        <v>69.0</v>
      </c>
      <c r="E7349" s="52" t="s">
        <v>25</v>
      </c>
      <c r="F7349" s="52" t="s">
        <v>26</v>
      </c>
      <c r="G7349" s="54"/>
    </row>
    <row r="7350">
      <c r="A7350" s="49">
        <v>45098.50105712963</v>
      </c>
      <c r="B7350" s="50">
        <v>45098.6260280092</v>
      </c>
      <c r="C7350" s="51">
        <v>1.001</v>
      </c>
      <c r="D7350" s="51">
        <v>69.0</v>
      </c>
      <c r="E7350" s="52" t="s">
        <v>25</v>
      </c>
      <c r="F7350" s="52" t="s">
        <v>26</v>
      </c>
      <c r="G7350" s="54"/>
    </row>
    <row r="7351">
      <c r="A7351" s="49">
        <v>45098.511480497684</v>
      </c>
      <c r="B7351" s="50">
        <v>45098.6364615162</v>
      </c>
      <c r="C7351" s="51">
        <v>1.001</v>
      </c>
      <c r="D7351" s="51">
        <v>69.0</v>
      </c>
      <c r="E7351" s="52" t="s">
        <v>25</v>
      </c>
      <c r="F7351" s="52" t="s">
        <v>26</v>
      </c>
      <c r="G7351" s="54"/>
    </row>
    <row r="7352">
      <c r="A7352" s="49">
        <v>45098.52191270833</v>
      </c>
      <c r="B7352" s="50">
        <v>45098.6468821527</v>
      </c>
      <c r="C7352" s="51">
        <v>1.001</v>
      </c>
      <c r="D7352" s="51">
        <v>69.0</v>
      </c>
      <c r="E7352" s="52" t="s">
        <v>25</v>
      </c>
      <c r="F7352" s="52" t="s">
        <v>26</v>
      </c>
      <c r="G7352" s="54"/>
    </row>
    <row r="7353">
      <c r="A7353" s="49">
        <v>45098.53232576389</v>
      </c>
      <c r="B7353" s="50">
        <v>45098.6573029398</v>
      </c>
      <c r="C7353" s="51">
        <v>1.001</v>
      </c>
      <c r="D7353" s="51">
        <v>69.0</v>
      </c>
      <c r="E7353" s="52" t="s">
        <v>25</v>
      </c>
      <c r="F7353" s="52" t="s">
        <v>26</v>
      </c>
      <c r="G7353" s="54"/>
    </row>
    <row r="7354">
      <c r="A7354" s="49">
        <v>45098.54275211805</v>
      </c>
      <c r="B7354" s="50">
        <v>45098.6677248958</v>
      </c>
      <c r="C7354" s="51">
        <v>1.001</v>
      </c>
      <c r="D7354" s="51">
        <v>69.0</v>
      </c>
      <c r="E7354" s="52" t="s">
        <v>25</v>
      </c>
      <c r="F7354" s="52" t="s">
        <v>26</v>
      </c>
      <c r="G7354" s="54"/>
    </row>
    <row r="7355">
      <c r="A7355" s="49">
        <v>45098.55316640047</v>
      </c>
      <c r="B7355" s="50">
        <v>45098.6781469791</v>
      </c>
      <c r="C7355" s="51">
        <v>1.001</v>
      </c>
      <c r="D7355" s="51">
        <v>69.0</v>
      </c>
      <c r="E7355" s="52" t="s">
        <v>25</v>
      </c>
      <c r="F7355" s="52" t="s">
        <v>26</v>
      </c>
      <c r="G7355" s="54"/>
    </row>
    <row r="7356">
      <c r="A7356" s="49">
        <v>45098.56359600695</v>
      </c>
      <c r="B7356" s="50">
        <v>45098.6885689351</v>
      </c>
      <c r="C7356" s="51">
        <v>1.001</v>
      </c>
      <c r="D7356" s="51">
        <v>69.0</v>
      </c>
      <c r="E7356" s="52" t="s">
        <v>25</v>
      </c>
      <c r="F7356" s="52" t="s">
        <v>26</v>
      </c>
      <c r="G7356" s="54"/>
    </row>
    <row r="7357">
      <c r="A7357" s="49">
        <v>45098.57401222222</v>
      </c>
      <c r="B7357" s="50">
        <v>45098.6989893402</v>
      </c>
      <c r="C7357" s="51">
        <v>1.001</v>
      </c>
      <c r="D7357" s="51">
        <v>69.0</v>
      </c>
      <c r="E7357" s="52" t="s">
        <v>25</v>
      </c>
      <c r="F7357" s="52" t="s">
        <v>26</v>
      </c>
      <c r="G7357" s="54"/>
    </row>
    <row r="7358">
      <c r="A7358" s="49">
        <v>45098.58443993056</v>
      </c>
      <c r="B7358" s="50">
        <v>45098.7094207175</v>
      </c>
      <c r="C7358" s="51">
        <v>1.001</v>
      </c>
      <c r="D7358" s="51">
        <v>69.0</v>
      </c>
      <c r="E7358" s="52" t="s">
        <v>25</v>
      </c>
      <c r="F7358" s="52" t="s">
        <v>26</v>
      </c>
      <c r="G7358" s="54"/>
    </row>
    <row r="7359">
      <c r="A7359" s="49">
        <v>45098.594867395834</v>
      </c>
      <c r="B7359" s="50">
        <v>45098.7198403356</v>
      </c>
      <c r="C7359" s="51">
        <v>1.001</v>
      </c>
      <c r="D7359" s="51">
        <v>69.0</v>
      </c>
      <c r="E7359" s="52" t="s">
        <v>25</v>
      </c>
      <c r="F7359" s="52" t="s">
        <v>26</v>
      </c>
      <c r="G7359" s="54"/>
    </row>
    <row r="7360">
      <c r="A7360" s="49">
        <v>45098.60529385417</v>
      </c>
      <c r="B7360" s="50">
        <v>45098.7302606365</v>
      </c>
      <c r="C7360" s="51">
        <v>1.001</v>
      </c>
      <c r="D7360" s="51">
        <v>69.0</v>
      </c>
      <c r="E7360" s="52" t="s">
        <v>25</v>
      </c>
      <c r="F7360" s="52" t="s">
        <v>26</v>
      </c>
      <c r="G7360" s="54"/>
    </row>
    <row r="7361">
      <c r="A7361" s="49">
        <v>45098.615735127314</v>
      </c>
      <c r="B7361" s="50">
        <v>45098.7407074537</v>
      </c>
      <c r="C7361" s="51">
        <v>1.001</v>
      </c>
      <c r="D7361" s="51">
        <v>69.0</v>
      </c>
      <c r="E7361" s="52" t="s">
        <v>25</v>
      </c>
      <c r="F7361" s="52" t="s">
        <v>26</v>
      </c>
      <c r="G7361" s="54"/>
    </row>
    <row r="7362">
      <c r="A7362" s="49">
        <v>45098.626151550925</v>
      </c>
      <c r="B7362" s="50">
        <v>45098.7511299189</v>
      </c>
      <c r="C7362" s="51">
        <v>1.001</v>
      </c>
      <c r="D7362" s="51">
        <v>69.0</v>
      </c>
      <c r="E7362" s="52" t="s">
        <v>25</v>
      </c>
      <c r="F7362" s="52" t="s">
        <v>26</v>
      </c>
      <c r="G7362" s="54"/>
    </row>
    <row r="7363">
      <c r="A7363" s="49">
        <v>45098.636581493054</v>
      </c>
      <c r="B7363" s="50">
        <v>45098.7615519676</v>
      </c>
      <c r="C7363" s="51">
        <v>1.001</v>
      </c>
      <c r="D7363" s="51">
        <v>69.0</v>
      </c>
      <c r="E7363" s="52" t="s">
        <v>25</v>
      </c>
      <c r="F7363" s="52" t="s">
        <v>26</v>
      </c>
      <c r="G7363" s="54"/>
    </row>
    <row r="7364">
      <c r="A7364" s="49">
        <v>45098.646997731485</v>
      </c>
      <c r="B7364" s="50">
        <v>45098.7719739583</v>
      </c>
      <c r="C7364" s="51">
        <v>1.001</v>
      </c>
      <c r="D7364" s="51">
        <v>69.0</v>
      </c>
      <c r="E7364" s="52" t="s">
        <v>25</v>
      </c>
      <c r="F7364" s="52" t="s">
        <v>26</v>
      </c>
      <c r="G7364" s="54"/>
    </row>
    <row r="7365">
      <c r="A7365" s="49">
        <v>45098.657423055556</v>
      </c>
      <c r="B7365" s="50">
        <v>45098.7823955787</v>
      </c>
      <c r="C7365" s="51">
        <v>1.001</v>
      </c>
      <c r="D7365" s="51">
        <v>69.0</v>
      </c>
      <c r="E7365" s="52" t="s">
        <v>25</v>
      </c>
      <c r="F7365" s="52" t="s">
        <v>26</v>
      </c>
      <c r="G7365" s="54"/>
    </row>
    <row r="7366">
      <c r="A7366" s="49">
        <v>45098.66784672454</v>
      </c>
      <c r="B7366" s="50">
        <v>45098.7928166782</v>
      </c>
      <c r="C7366" s="51">
        <v>1.001</v>
      </c>
      <c r="D7366" s="51">
        <v>69.0</v>
      </c>
      <c r="E7366" s="52" t="s">
        <v>25</v>
      </c>
      <c r="F7366" s="52" t="s">
        <v>26</v>
      </c>
      <c r="G7366" s="54"/>
    </row>
    <row r="7367">
      <c r="A7367" s="49">
        <v>45098.67827024306</v>
      </c>
      <c r="B7367" s="50">
        <v>45098.8032383217</v>
      </c>
      <c r="C7367" s="51">
        <v>1.001</v>
      </c>
      <c r="D7367" s="51">
        <v>69.0</v>
      </c>
      <c r="E7367" s="52" t="s">
        <v>25</v>
      </c>
      <c r="F7367" s="52" t="s">
        <v>26</v>
      </c>
      <c r="G7367" s="54"/>
    </row>
    <row r="7368">
      <c r="A7368" s="49">
        <v>45098.68868547454</v>
      </c>
      <c r="B7368" s="50">
        <v>45098.8136607986</v>
      </c>
      <c r="C7368" s="51">
        <v>1.001</v>
      </c>
      <c r="D7368" s="51">
        <v>69.0</v>
      </c>
      <c r="E7368" s="52" t="s">
        <v>25</v>
      </c>
      <c r="F7368" s="52" t="s">
        <v>26</v>
      </c>
      <c r="G7368" s="54"/>
    </row>
    <row r="7369">
      <c r="A7369" s="49">
        <v>45098.699099907404</v>
      </c>
      <c r="B7369" s="50">
        <v>45098.8240804398</v>
      </c>
      <c r="C7369" s="51">
        <v>1.001</v>
      </c>
      <c r="D7369" s="51">
        <v>69.0</v>
      </c>
      <c r="E7369" s="52" t="s">
        <v>25</v>
      </c>
      <c r="F7369" s="52" t="s">
        <v>26</v>
      </c>
      <c r="G7369" s="54"/>
    </row>
    <row r="7370">
      <c r="A7370" s="49">
        <v>45098.70951851852</v>
      </c>
      <c r="B7370" s="50">
        <v>45098.8345011689</v>
      </c>
      <c r="C7370" s="51">
        <v>1.001</v>
      </c>
      <c r="D7370" s="51">
        <v>69.0</v>
      </c>
      <c r="E7370" s="52" t="s">
        <v>25</v>
      </c>
      <c r="F7370" s="52" t="s">
        <v>26</v>
      </c>
      <c r="G7370" s="54"/>
    </row>
    <row r="7371">
      <c r="A7371" s="49">
        <v>45098.7199615625</v>
      </c>
      <c r="B7371" s="50">
        <v>45098.8449351041</v>
      </c>
      <c r="C7371" s="51">
        <v>1.001</v>
      </c>
      <c r="D7371" s="51">
        <v>69.0</v>
      </c>
      <c r="E7371" s="52" t="s">
        <v>25</v>
      </c>
      <c r="F7371" s="52" t="s">
        <v>26</v>
      </c>
      <c r="G7371" s="54"/>
    </row>
    <row r="7372">
      <c r="A7372" s="49">
        <v>45098.730409317126</v>
      </c>
      <c r="B7372" s="50">
        <v>45098.8553927546</v>
      </c>
      <c r="C7372" s="51">
        <v>1.001</v>
      </c>
      <c r="D7372" s="51">
        <v>69.0</v>
      </c>
      <c r="E7372" s="52" t="s">
        <v>25</v>
      </c>
      <c r="F7372" s="52" t="s">
        <v>26</v>
      </c>
      <c r="G7372" s="54"/>
    </row>
    <row r="7373">
      <c r="A7373" s="49">
        <v>45098.74084084491</v>
      </c>
      <c r="B7373" s="50">
        <v>45098.8658137615</v>
      </c>
      <c r="C7373" s="51">
        <v>1.001</v>
      </c>
      <c r="D7373" s="51">
        <v>69.0</v>
      </c>
      <c r="E7373" s="52" t="s">
        <v>25</v>
      </c>
      <c r="F7373" s="52" t="s">
        <v>26</v>
      </c>
      <c r="G7373" s="54"/>
    </row>
    <row r="7374">
      <c r="A7374" s="49">
        <v>45098.751262488426</v>
      </c>
      <c r="B7374" s="50">
        <v>45098.8762337268</v>
      </c>
      <c r="C7374" s="51">
        <v>1.001</v>
      </c>
      <c r="D7374" s="51">
        <v>69.0</v>
      </c>
      <c r="E7374" s="52" t="s">
        <v>25</v>
      </c>
      <c r="F7374" s="52" t="s">
        <v>26</v>
      </c>
      <c r="G7374" s="54"/>
    </row>
    <row r="7375">
      <c r="A7375" s="49">
        <v>45098.76169049769</v>
      </c>
      <c r="B7375" s="50">
        <v>45098.8866646759</v>
      </c>
      <c r="C7375" s="51">
        <v>1.001</v>
      </c>
      <c r="D7375" s="51">
        <v>69.0</v>
      </c>
      <c r="E7375" s="52" t="s">
        <v>25</v>
      </c>
      <c r="F7375" s="52" t="s">
        <v>26</v>
      </c>
      <c r="G7375" s="54"/>
    </row>
    <row r="7376">
      <c r="A7376" s="49">
        <v>45098.77211208333</v>
      </c>
      <c r="B7376" s="50">
        <v>45098.8970855671</v>
      </c>
      <c r="C7376" s="51">
        <v>1.001</v>
      </c>
      <c r="D7376" s="51">
        <v>69.0</v>
      </c>
      <c r="E7376" s="52" t="s">
        <v>25</v>
      </c>
      <c r="F7376" s="52" t="s">
        <v>26</v>
      </c>
      <c r="G7376" s="54"/>
    </row>
    <row r="7377">
      <c r="A7377" s="49">
        <v>45098.78253556713</v>
      </c>
      <c r="B7377" s="50">
        <v>45098.9075069676</v>
      </c>
      <c r="C7377" s="51">
        <v>1.001</v>
      </c>
      <c r="D7377" s="51">
        <v>69.0</v>
      </c>
      <c r="E7377" s="52" t="s">
        <v>25</v>
      </c>
      <c r="F7377" s="52" t="s">
        <v>26</v>
      </c>
      <c r="G7377" s="54"/>
    </row>
    <row r="7378">
      <c r="A7378" s="49">
        <v>45098.79295190972</v>
      </c>
      <c r="B7378" s="50">
        <v>45098.9179278935</v>
      </c>
      <c r="C7378" s="51">
        <v>1.001</v>
      </c>
      <c r="D7378" s="51">
        <v>69.0</v>
      </c>
      <c r="E7378" s="52" t="s">
        <v>25</v>
      </c>
      <c r="F7378" s="52" t="s">
        <v>26</v>
      </c>
      <c r="G7378" s="54"/>
    </row>
    <row r="7379">
      <c r="A7379" s="49">
        <v>45098.80339190972</v>
      </c>
      <c r="B7379" s="50">
        <v>45098.9283614699</v>
      </c>
      <c r="C7379" s="51">
        <v>1.001</v>
      </c>
      <c r="D7379" s="51">
        <v>69.0</v>
      </c>
      <c r="E7379" s="52" t="s">
        <v>25</v>
      </c>
      <c r="F7379" s="52" t="s">
        <v>26</v>
      </c>
      <c r="G7379" s="54"/>
    </row>
    <row r="7380">
      <c r="A7380" s="49">
        <v>45098.81380721065</v>
      </c>
      <c r="B7380" s="50">
        <v>45098.9387817129</v>
      </c>
      <c r="C7380" s="51">
        <v>1.001</v>
      </c>
      <c r="D7380" s="51">
        <v>69.0</v>
      </c>
      <c r="E7380" s="52" t="s">
        <v>25</v>
      </c>
      <c r="F7380" s="52" t="s">
        <v>26</v>
      </c>
      <c r="G7380" s="54"/>
    </row>
    <row r="7381">
      <c r="A7381" s="49">
        <v>45098.82422172454</v>
      </c>
      <c r="B7381" s="50">
        <v>45098.9492025694</v>
      </c>
      <c r="C7381" s="51">
        <v>1.001</v>
      </c>
      <c r="D7381" s="51">
        <v>69.0</v>
      </c>
      <c r="E7381" s="52" t="s">
        <v>25</v>
      </c>
      <c r="F7381" s="52" t="s">
        <v>26</v>
      </c>
      <c r="G7381" s="54"/>
    </row>
    <row r="7382">
      <c r="A7382" s="49">
        <v>45098.83464965278</v>
      </c>
      <c r="B7382" s="50">
        <v>45098.9596243518</v>
      </c>
      <c r="C7382" s="51">
        <v>1.001</v>
      </c>
      <c r="D7382" s="51">
        <v>69.0</v>
      </c>
      <c r="E7382" s="52" t="s">
        <v>25</v>
      </c>
      <c r="F7382" s="52" t="s">
        <v>26</v>
      </c>
      <c r="G7382" s="54"/>
    </row>
    <row r="7383">
      <c r="A7383" s="49">
        <v>45098.845078321756</v>
      </c>
      <c r="B7383" s="50">
        <v>45098.970047581</v>
      </c>
      <c r="C7383" s="51">
        <v>1.001</v>
      </c>
      <c r="D7383" s="51">
        <v>69.0</v>
      </c>
      <c r="E7383" s="52" t="s">
        <v>25</v>
      </c>
      <c r="F7383" s="52" t="s">
        <v>26</v>
      </c>
      <c r="G7383" s="54"/>
    </row>
    <row r="7384">
      <c r="A7384" s="49">
        <v>45098.855507939814</v>
      </c>
      <c r="B7384" s="50">
        <v>45098.9804801388</v>
      </c>
      <c r="C7384" s="51">
        <v>1.001</v>
      </c>
      <c r="D7384" s="51">
        <v>69.0</v>
      </c>
      <c r="E7384" s="52" t="s">
        <v>25</v>
      </c>
      <c r="F7384" s="52" t="s">
        <v>26</v>
      </c>
      <c r="G7384" s="54"/>
    </row>
    <row r="7385">
      <c r="A7385" s="49">
        <v>45098.86592142361</v>
      </c>
      <c r="B7385" s="50">
        <v>45098.99090125</v>
      </c>
      <c r="C7385" s="51">
        <v>1.001</v>
      </c>
      <c r="D7385" s="51">
        <v>69.0</v>
      </c>
      <c r="E7385" s="52" t="s">
        <v>25</v>
      </c>
      <c r="F7385" s="52" t="s">
        <v>26</v>
      </c>
      <c r="G7385" s="54"/>
    </row>
    <row r="7386">
      <c r="A7386" s="49">
        <v>45098.876345185185</v>
      </c>
      <c r="B7386" s="50">
        <v>45099.001321331</v>
      </c>
      <c r="C7386" s="51">
        <v>1.001</v>
      </c>
      <c r="D7386" s="51">
        <v>69.0</v>
      </c>
      <c r="E7386" s="52" t="s">
        <v>25</v>
      </c>
      <c r="F7386" s="52" t="s">
        <v>26</v>
      </c>
      <c r="G7386" s="54"/>
    </row>
    <row r="7387">
      <c r="A7387" s="49">
        <v>45098.88681164352</v>
      </c>
      <c r="B7387" s="50">
        <v>45099.0117898726</v>
      </c>
      <c r="C7387" s="51">
        <v>1.001</v>
      </c>
      <c r="D7387" s="51">
        <v>69.0</v>
      </c>
      <c r="E7387" s="52" t="s">
        <v>25</v>
      </c>
      <c r="F7387" s="52" t="s">
        <v>26</v>
      </c>
      <c r="G7387" s="54"/>
    </row>
    <row r="7388">
      <c r="A7388" s="49">
        <v>45098.89725109954</v>
      </c>
      <c r="B7388" s="50">
        <v>45099.0222228356</v>
      </c>
      <c r="C7388" s="51">
        <v>1.001</v>
      </c>
      <c r="D7388" s="51">
        <v>69.0</v>
      </c>
      <c r="E7388" s="52" t="s">
        <v>25</v>
      </c>
      <c r="F7388" s="52" t="s">
        <v>26</v>
      </c>
      <c r="G7388" s="54"/>
    </row>
    <row r="7389">
      <c r="A7389" s="49">
        <v>45098.907670625005</v>
      </c>
      <c r="B7389" s="50">
        <v>45099.0326446759</v>
      </c>
      <c r="C7389" s="51">
        <v>1.001</v>
      </c>
      <c r="D7389" s="51">
        <v>69.0</v>
      </c>
      <c r="E7389" s="52" t="s">
        <v>25</v>
      </c>
      <c r="F7389" s="52" t="s">
        <v>26</v>
      </c>
      <c r="G7389" s="54"/>
    </row>
    <row r="7390">
      <c r="A7390" s="49">
        <v>45098.918083576384</v>
      </c>
      <c r="B7390" s="50">
        <v>45099.04306478</v>
      </c>
      <c r="C7390" s="51">
        <v>1.001</v>
      </c>
      <c r="D7390" s="51">
        <v>69.0</v>
      </c>
      <c r="E7390" s="52" t="s">
        <v>25</v>
      </c>
      <c r="F7390" s="52" t="s">
        <v>26</v>
      </c>
      <c r="G7390" s="54"/>
    </row>
    <row r="7391">
      <c r="A7391" s="49">
        <v>45098.92851013889</v>
      </c>
      <c r="B7391" s="50">
        <v>45099.0534870023</v>
      </c>
      <c r="C7391" s="51">
        <v>1.001</v>
      </c>
      <c r="D7391" s="51">
        <v>69.0</v>
      </c>
      <c r="E7391" s="52" t="s">
        <v>25</v>
      </c>
      <c r="F7391" s="52" t="s">
        <v>26</v>
      </c>
      <c r="G7391" s="54"/>
    </row>
    <row r="7392">
      <c r="A7392" s="49">
        <v>45098.938950208336</v>
      </c>
      <c r="B7392" s="50">
        <v>45099.0639206828</v>
      </c>
      <c r="C7392" s="51">
        <v>1.001</v>
      </c>
      <c r="D7392" s="51">
        <v>69.0</v>
      </c>
      <c r="E7392" s="52" t="s">
        <v>25</v>
      </c>
      <c r="F7392" s="52" t="s">
        <v>26</v>
      </c>
      <c r="G7392" s="54"/>
    </row>
    <row r="7393">
      <c r="A7393" s="49">
        <v>45098.949378958336</v>
      </c>
      <c r="B7393" s="50">
        <v>45099.0743528472</v>
      </c>
      <c r="C7393" s="51">
        <v>1.001</v>
      </c>
      <c r="D7393" s="51">
        <v>69.0</v>
      </c>
      <c r="E7393" s="52" t="s">
        <v>25</v>
      </c>
      <c r="F7393" s="52" t="s">
        <v>26</v>
      </c>
      <c r="G7393" s="54"/>
    </row>
    <row r="7394">
      <c r="A7394" s="49">
        <v>45098.95979262731</v>
      </c>
      <c r="B7394" s="50">
        <v>45099.0847732291</v>
      </c>
      <c r="C7394" s="51">
        <v>1.001</v>
      </c>
      <c r="D7394" s="51">
        <v>69.0</v>
      </c>
      <c r="E7394" s="52" t="s">
        <v>25</v>
      </c>
      <c r="F7394" s="52" t="s">
        <v>26</v>
      </c>
      <c r="G7394" s="54"/>
    </row>
    <row r="7395">
      <c r="A7395" s="49">
        <v>45098.97023090278</v>
      </c>
      <c r="B7395" s="50">
        <v>45099.0952069097</v>
      </c>
      <c r="C7395" s="51">
        <v>1.001</v>
      </c>
      <c r="D7395" s="51">
        <v>69.0</v>
      </c>
      <c r="E7395" s="52" t="s">
        <v>25</v>
      </c>
      <c r="F7395" s="52" t="s">
        <v>26</v>
      </c>
      <c r="G7395" s="54"/>
    </row>
    <row r="7396">
      <c r="A7396" s="49">
        <v>45098.980648310186</v>
      </c>
      <c r="B7396" s="50">
        <v>45099.1056283564</v>
      </c>
      <c r="C7396" s="51">
        <v>1.001</v>
      </c>
      <c r="D7396" s="51">
        <v>69.0</v>
      </c>
      <c r="E7396" s="52" t="s">
        <v>25</v>
      </c>
      <c r="F7396" s="52" t="s">
        <v>26</v>
      </c>
      <c r="G7396" s="54"/>
    </row>
    <row r="7397">
      <c r="A7397" s="49">
        <v>45098.99107434027</v>
      </c>
      <c r="B7397" s="50">
        <v>45099.1160497916</v>
      </c>
      <c r="C7397" s="51">
        <v>1.001</v>
      </c>
      <c r="D7397" s="51">
        <v>69.0</v>
      </c>
      <c r="E7397" s="52" t="s">
        <v>25</v>
      </c>
      <c r="F7397" s="52" t="s">
        <v>26</v>
      </c>
      <c r="G7397" s="54"/>
    </row>
    <row r="7398">
      <c r="A7398" s="49">
        <v>45099.001505</v>
      </c>
      <c r="B7398" s="50">
        <v>45099.1264814699</v>
      </c>
      <c r="C7398" s="51">
        <v>1.001</v>
      </c>
      <c r="D7398" s="51">
        <v>69.0</v>
      </c>
      <c r="E7398" s="52" t="s">
        <v>25</v>
      </c>
      <c r="F7398" s="52" t="s">
        <v>26</v>
      </c>
      <c r="G7398" s="54"/>
    </row>
    <row r="7399">
      <c r="A7399" s="49">
        <v>45099.0119315162</v>
      </c>
      <c r="B7399" s="50">
        <v>45099.1369029166</v>
      </c>
      <c r="C7399" s="51">
        <v>1.001</v>
      </c>
      <c r="D7399" s="51">
        <v>69.0</v>
      </c>
      <c r="E7399" s="52" t="s">
        <v>25</v>
      </c>
      <c r="F7399" s="52" t="s">
        <v>26</v>
      </c>
      <c r="G7399" s="54"/>
    </row>
    <row r="7400">
      <c r="A7400" s="49">
        <v>45099.022347997685</v>
      </c>
      <c r="B7400" s="50">
        <v>45099.1473250694</v>
      </c>
      <c r="C7400" s="51">
        <v>1.001</v>
      </c>
      <c r="D7400" s="51">
        <v>69.0</v>
      </c>
      <c r="E7400" s="52" t="s">
        <v>25</v>
      </c>
      <c r="F7400" s="52" t="s">
        <v>26</v>
      </c>
      <c r="G7400" s="54"/>
    </row>
    <row r="7401">
      <c r="A7401" s="49">
        <v>45099.032772384264</v>
      </c>
      <c r="B7401" s="50">
        <v>45099.1577470717</v>
      </c>
      <c r="C7401" s="51">
        <v>1.001</v>
      </c>
      <c r="D7401" s="51">
        <v>69.0</v>
      </c>
      <c r="E7401" s="52" t="s">
        <v>25</v>
      </c>
      <c r="F7401" s="52" t="s">
        <v>26</v>
      </c>
      <c r="G7401" s="54"/>
    </row>
    <row r="7402">
      <c r="A7402" s="49">
        <v>45099.04319200231</v>
      </c>
      <c r="B7402" s="50">
        <v>45099.1681669097</v>
      </c>
      <c r="C7402" s="51">
        <v>1.001</v>
      </c>
      <c r="D7402" s="51">
        <v>69.0</v>
      </c>
      <c r="E7402" s="52" t="s">
        <v>25</v>
      </c>
      <c r="F7402" s="52" t="s">
        <v>26</v>
      </c>
      <c r="G7402" s="54"/>
    </row>
    <row r="7403">
      <c r="A7403" s="49">
        <v>45099.05362575232</v>
      </c>
      <c r="B7403" s="50">
        <v>45099.178599537</v>
      </c>
      <c r="C7403" s="51">
        <v>1.001</v>
      </c>
      <c r="D7403" s="51">
        <v>69.0</v>
      </c>
      <c r="E7403" s="52" t="s">
        <v>25</v>
      </c>
      <c r="F7403" s="52" t="s">
        <v>26</v>
      </c>
      <c r="G7403" s="54"/>
    </row>
    <row r="7404">
      <c r="A7404" s="49">
        <v>45099.06404898148</v>
      </c>
      <c r="B7404" s="50">
        <v>45099.1890215972</v>
      </c>
      <c r="C7404" s="51">
        <v>1.001</v>
      </c>
      <c r="D7404" s="51">
        <v>69.0</v>
      </c>
      <c r="E7404" s="52" t="s">
        <v>25</v>
      </c>
      <c r="F7404" s="52" t="s">
        <v>26</v>
      </c>
      <c r="G7404" s="54"/>
    </row>
    <row r="7405">
      <c r="A7405" s="49">
        <v>45099.074471354164</v>
      </c>
      <c r="B7405" s="50">
        <v>45099.1994431365</v>
      </c>
      <c r="C7405" s="51">
        <v>1.001</v>
      </c>
      <c r="D7405" s="51">
        <v>69.0</v>
      </c>
      <c r="E7405" s="52" t="s">
        <v>25</v>
      </c>
      <c r="F7405" s="52" t="s">
        <v>26</v>
      </c>
      <c r="G7405" s="54"/>
    </row>
    <row r="7406">
      <c r="A7406" s="49">
        <v>45099.08488409722</v>
      </c>
      <c r="B7406" s="50">
        <v>45099.2098643171</v>
      </c>
      <c r="C7406" s="51">
        <v>1.001</v>
      </c>
      <c r="D7406" s="51">
        <v>69.0</v>
      </c>
      <c r="E7406" s="52" t="s">
        <v>25</v>
      </c>
      <c r="F7406" s="52" t="s">
        <v>26</v>
      </c>
      <c r="G7406" s="54"/>
    </row>
    <row r="7407">
      <c r="A7407" s="49">
        <v>45099.095324525464</v>
      </c>
      <c r="B7407" s="50">
        <v>45099.2202954745</v>
      </c>
      <c r="C7407" s="51">
        <v>1.001</v>
      </c>
      <c r="D7407" s="51">
        <v>69.0</v>
      </c>
      <c r="E7407" s="52" t="s">
        <v>25</v>
      </c>
      <c r="F7407" s="52" t="s">
        <v>26</v>
      </c>
      <c r="G7407" s="54"/>
    </row>
    <row r="7408">
      <c r="A7408" s="49">
        <v>45099.10575021991</v>
      </c>
      <c r="B7408" s="50">
        <v>45099.2307291319</v>
      </c>
      <c r="C7408" s="51">
        <v>1.001</v>
      </c>
      <c r="D7408" s="51">
        <v>69.0</v>
      </c>
      <c r="E7408" s="52" t="s">
        <v>25</v>
      </c>
      <c r="F7408" s="52" t="s">
        <v>26</v>
      </c>
      <c r="G7408" s="54"/>
    </row>
    <row r="7409">
      <c r="A7409" s="49">
        <v>45099.11617609954</v>
      </c>
      <c r="B7409" s="50">
        <v>45099.2411500463</v>
      </c>
      <c r="C7409" s="51">
        <v>1.001</v>
      </c>
      <c r="D7409" s="51">
        <v>69.0</v>
      </c>
      <c r="E7409" s="52" t="s">
        <v>25</v>
      </c>
      <c r="F7409" s="52" t="s">
        <v>26</v>
      </c>
      <c r="G7409" s="54"/>
    </row>
    <row r="7410">
      <c r="A7410" s="49">
        <v>45099.12661577546</v>
      </c>
      <c r="B7410" s="50">
        <v>45099.2515833564</v>
      </c>
      <c r="C7410" s="51">
        <v>1.001</v>
      </c>
      <c r="D7410" s="51">
        <v>69.0</v>
      </c>
      <c r="E7410" s="52" t="s">
        <v>25</v>
      </c>
      <c r="F7410" s="52" t="s">
        <v>26</v>
      </c>
      <c r="G7410" s="54"/>
    </row>
    <row r="7411">
      <c r="A7411" s="49">
        <v>45099.13702736111</v>
      </c>
      <c r="B7411" s="50">
        <v>45099.2620041898</v>
      </c>
      <c r="C7411" s="51">
        <v>1.001</v>
      </c>
      <c r="D7411" s="51">
        <v>69.0</v>
      </c>
      <c r="E7411" s="52" t="s">
        <v>25</v>
      </c>
      <c r="F7411" s="52" t="s">
        <v>26</v>
      </c>
      <c r="G7411" s="54"/>
    </row>
    <row r="7412">
      <c r="A7412" s="49">
        <v>45099.14744778935</v>
      </c>
      <c r="B7412" s="50">
        <v>45099.2724255324</v>
      </c>
      <c r="C7412" s="51">
        <v>1.001</v>
      </c>
      <c r="D7412" s="51">
        <v>69.0</v>
      </c>
      <c r="E7412" s="52" t="s">
        <v>25</v>
      </c>
      <c r="F7412" s="52" t="s">
        <v>26</v>
      </c>
      <c r="G7412" s="54"/>
    </row>
    <row r="7413">
      <c r="A7413" s="49">
        <v>45099.15787040509</v>
      </c>
      <c r="B7413" s="50">
        <v>45099.2828465393</v>
      </c>
      <c r="C7413" s="51">
        <v>1.001</v>
      </c>
      <c r="D7413" s="51">
        <v>69.0</v>
      </c>
      <c r="E7413" s="52" t="s">
        <v>25</v>
      </c>
      <c r="F7413" s="52" t="s">
        <v>26</v>
      </c>
      <c r="G7413" s="54"/>
    </row>
    <row r="7414">
      <c r="A7414" s="49">
        <v>45099.1683025463</v>
      </c>
      <c r="B7414" s="50">
        <v>45099.2932804166</v>
      </c>
      <c r="C7414" s="51">
        <v>1.001</v>
      </c>
      <c r="D7414" s="51">
        <v>69.0</v>
      </c>
      <c r="E7414" s="52" t="s">
        <v>25</v>
      </c>
      <c r="F7414" s="52" t="s">
        <v>26</v>
      </c>
      <c r="G7414" s="54"/>
    </row>
    <row r="7415">
      <c r="A7415" s="49">
        <v>45099.17871976852</v>
      </c>
      <c r="B7415" s="50">
        <v>45099.3037002199</v>
      </c>
      <c r="C7415" s="51">
        <v>1.001</v>
      </c>
      <c r="D7415" s="51">
        <v>69.0</v>
      </c>
      <c r="E7415" s="52" t="s">
        <v>25</v>
      </c>
      <c r="F7415" s="52" t="s">
        <v>26</v>
      </c>
      <c r="G7415" s="54"/>
    </row>
    <row r="7416">
      <c r="A7416" s="49">
        <v>45099.1891475</v>
      </c>
      <c r="B7416" s="50">
        <v>45099.3141213773</v>
      </c>
      <c r="C7416" s="51">
        <v>1.001</v>
      </c>
      <c r="D7416" s="51">
        <v>69.0</v>
      </c>
      <c r="E7416" s="52" t="s">
        <v>25</v>
      </c>
      <c r="F7416" s="52" t="s">
        <v>26</v>
      </c>
      <c r="G7416" s="54"/>
    </row>
    <row r="7417">
      <c r="A7417" s="49">
        <v>45099.199566446754</v>
      </c>
      <c r="B7417" s="50">
        <v>45099.3245442476</v>
      </c>
      <c r="C7417" s="51">
        <v>1.001</v>
      </c>
      <c r="D7417" s="51">
        <v>69.0</v>
      </c>
      <c r="E7417" s="52" t="s">
        <v>25</v>
      </c>
      <c r="F7417" s="52" t="s">
        <v>26</v>
      </c>
      <c r="G7417" s="54"/>
    </row>
    <row r="7418">
      <c r="A7418" s="49">
        <v>45099.20999849537</v>
      </c>
      <c r="B7418" s="50">
        <v>45099.334975</v>
      </c>
      <c r="C7418" s="51">
        <v>1.001</v>
      </c>
      <c r="D7418" s="51">
        <v>69.0</v>
      </c>
      <c r="E7418" s="52" t="s">
        <v>25</v>
      </c>
      <c r="F7418" s="52" t="s">
        <v>26</v>
      </c>
      <c r="G7418" s="54"/>
    </row>
    <row r="7419">
      <c r="A7419" s="49">
        <v>45099.22041767361</v>
      </c>
      <c r="B7419" s="50">
        <v>45099.3453958449</v>
      </c>
      <c r="C7419" s="51">
        <v>1.001</v>
      </c>
      <c r="D7419" s="51">
        <v>69.0</v>
      </c>
      <c r="E7419" s="52" t="s">
        <v>25</v>
      </c>
      <c r="F7419" s="52" t="s">
        <v>26</v>
      </c>
      <c r="G7419" s="54"/>
    </row>
    <row r="7420">
      <c r="A7420" s="49">
        <v>45099.23084502315</v>
      </c>
      <c r="B7420" s="50">
        <v>45099.3558176504</v>
      </c>
      <c r="C7420" s="51">
        <v>1.001</v>
      </c>
      <c r="D7420" s="51">
        <v>69.0</v>
      </c>
      <c r="E7420" s="52" t="s">
        <v>25</v>
      </c>
      <c r="F7420" s="52" t="s">
        <v>26</v>
      </c>
      <c r="G7420" s="54"/>
    </row>
    <row r="7421">
      <c r="A7421" s="49">
        <v>45099.24126225694</v>
      </c>
      <c r="B7421" s="50">
        <v>45099.3662394444</v>
      </c>
      <c r="C7421" s="51">
        <v>1.001</v>
      </c>
      <c r="D7421" s="51">
        <v>69.0</v>
      </c>
      <c r="E7421" s="52" t="s">
        <v>25</v>
      </c>
      <c r="F7421" s="52" t="s">
        <v>26</v>
      </c>
      <c r="G7421" s="54"/>
    </row>
    <row r="7422">
      <c r="A7422" s="49">
        <v>45099.251695231476</v>
      </c>
      <c r="B7422" s="50">
        <v>45099.3766720833</v>
      </c>
      <c r="C7422" s="51">
        <v>1.001</v>
      </c>
      <c r="D7422" s="51">
        <v>69.0</v>
      </c>
      <c r="E7422" s="52" t="s">
        <v>25</v>
      </c>
      <c r="F7422" s="52" t="s">
        <v>26</v>
      </c>
      <c r="G7422" s="54"/>
    </row>
    <row r="7423">
      <c r="A7423" s="49">
        <v>45099.262130104165</v>
      </c>
      <c r="B7423" s="50">
        <v>45099.3871065509</v>
      </c>
      <c r="C7423" s="51">
        <v>1.001</v>
      </c>
      <c r="D7423" s="51">
        <v>69.0</v>
      </c>
      <c r="E7423" s="52" t="s">
        <v>25</v>
      </c>
      <c r="F7423" s="52" t="s">
        <v>26</v>
      </c>
      <c r="G7423" s="54"/>
    </row>
    <row r="7424">
      <c r="A7424" s="49">
        <v>45099.272578819444</v>
      </c>
      <c r="B7424" s="50">
        <v>45099.397539074</v>
      </c>
      <c r="C7424" s="51">
        <v>1.001</v>
      </c>
      <c r="D7424" s="51">
        <v>69.0</v>
      </c>
      <c r="E7424" s="52" t="s">
        <v>25</v>
      </c>
      <c r="F7424" s="52" t="s">
        <v>26</v>
      </c>
      <c r="G7424" s="54"/>
    </row>
    <row r="7425">
      <c r="A7425" s="49">
        <v>45099.282984317135</v>
      </c>
      <c r="B7425" s="50">
        <v>45099.4079588773</v>
      </c>
      <c r="C7425" s="51">
        <v>1.001</v>
      </c>
      <c r="D7425" s="51">
        <v>69.0</v>
      </c>
      <c r="E7425" s="52" t="s">
        <v>25</v>
      </c>
      <c r="F7425" s="52" t="s">
        <v>26</v>
      </c>
      <c r="G7425" s="54"/>
    </row>
    <row r="7426">
      <c r="A7426" s="49">
        <v>45099.29341085648</v>
      </c>
      <c r="B7426" s="50">
        <v>45099.4183810995</v>
      </c>
      <c r="C7426" s="51">
        <v>1.001</v>
      </c>
      <c r="D7426" s="51">
        <v>69.0</v>
      </c>
      <c r="E7426" s="52" t="s">
        <v>25</v>
      </c>
      <c r="F7426" s="52" t="s">
        <v>26</v>
      </c>
      <c r="G7426" s="54"/>
    </row>
    <row r="7427">
      <c r="A7427" s="49">
        <v>45099.30382862268</v>
      </c>
      <c r="B7427" s="50">
        <v>45099.4288010532</v>
      </c>
      <c r="C7427" s="51">
        <v>1.001</v>
      </c>
      <c r="D7427" s="51">
        <v>69.0</v>
      </c>
      <c r="E7427" s="52" t="s">
        <v>25</v>
      </c>
      <c r="F7427" s="52" t="s">
        <v>26</v>
      </c>
      <c r="G7427" s="54"/>
    </row>
    <row r="7428">
      <c r="A7428" s="49">
        <v>45099.314246724534</v>
      </c>
      <c r="B7428" s="50">
        <v>45099.4392232638</v>
      </c>
      <c r="C7428" s="51">
        <v>1.001</v>
      </c>
      <c r="D7428" s="51">
        <v>69.0</v>
      </c>
      <c r="E7428" s="52" t="s">
        <v>25</v>
      </c>
      <c r="F7428" s="52" t="s">
        <v>26</v>
      </c>
      <c r="G7428" s="54"/>
    </row>
    <row r="7429">
      <c r="A7429" s="49">
        <v>45099.32467328703</v>
      </c>
      <c r="B7429" s="50">
        <v>45099.4496447569</v>
      </c>
      <c r="C7429" s="51">
        <v>1.001</v>
      </c>
      <c r="D7429" s="51">
        <v>69.0</v>
      </c>
      <c r="E7429" s="52" t="s">
        <v>25</v>
      </c>
      <c r="F7429" s="52" t="s">
        <v>26</v>
      </c>
      <c r="G7429" s="54"/>
    </row>
    <row r="7430">
      <c r="A7430" s="49">
        <v>45099.33508953704</v>
      </c>
      <c r="B7430" s="50">
        <v>45099.4600655208</v>
      </c>
      <c r="C7430" s="51">
        <v>1.001</v>
      </c>
      <c r="D7430" s="51">
        <v>68.0</v>
      </c>
      <c r="E7430" s="52" t="s">
        <v>25</v>
      </c>
      <c r="F7430" s="52" t="s">
        <v>26</v>
      </c>
      <c r="G7430" s="54"/>
    </row>
    <row r="7431">
      <c r="A7431" s="49">
        <v>45099.34550782407</v>
      </c>
      <c r="B7431" s="50">
        <v>45099.470487118</v>
      </c>
      <c r="C7431" s="51">
        <v>1.001</v>
      </c>
      <c r="D7431" s="51">
        <v>68.0</v>
      </c>
      <c r="E7431" s="52" t="s">
        <v>25</v>
      </c>
      <c r="F7431" s="52" t="s">
        <v>26</v>
      </c>
      <c r="G7431" s="54"/>
    </row>
    <row r="7432">
      <c r="A7432" s="49">
        <v>45099.35594034722</v>
      </c>
      <c r="B7432" s="50">
        <v>45099.4809078356</v>
      </c>
      <c r="C7432" s="51">
        <v>1.001</v>
      </c>
      <c r="D7432" s="51">
        <v>68.0</v>
      </c>
      <c r="E7432" s="52" t="s">
        <v>25</v>
      </c>
      <c r="F7432" s="52" t="s">
        <v>26</v>
      </c>
      <c r="G7432" s="54"/>
    </row>
    <row r="7433">
      <c r="A7433" s="49">
        <v>45099.36635429398</v>
      </c>
      <c r="B7433" s="50">
        <v>45099.4913289583</v>
      </c>
      <c r="C7433" s="51">
        <v>1.001</v>
      </c>
      <c r="D7433" s="51">
        <v>68.0</v>
      </c>
      <c r="E7433" s="52" t="s">
        <v>25</v>
      </c>
      <c r="F7433" s="52" t="s">
        <v>26</v>
      </c>
      <c r="G7433" s="54"/>
    </row>
    <row r="7434">
      <c r="A7434" s="49">
        <v>45099.37677783565</v>
      </c>
      <c r="B7434" s="50">
        <v>45099.5017509953</v>
      </c>
      <c r="C7434" s="51">
        <v>1.001</v>
      </c>
      <c r="D7434" s="51">
        <v>68.0</v>
      </c>
      <c r="E7434" s="52" t="s">
        <v>25</v>
      </c>
      <c r="F7434" s="52" t="s">
        <v>26</v>
      </c>
      <c r="G7434" s="54"/>
    </row>
    <row r="7435">
      <c r="A7435" s="49">
        <v>45099.387197488424</v>
      </c>
      <c r="B7435" s="50">
        <v>45099.5121716666</v>
      </c>
      <c r="C7435" s="51">
        <v>1.001</v>
      </c>
      <c r="D7435" s="51">
        <v>68.0</v>
      </c>
      <c r="E7435" s="52" t="s">
        <v>25</v>
      </c>
      <c r="F7435" s="52" t="s">
        <v>26</v>
      </c>
      <c r="G7435" s="54"/>
    </row>
    <row r="7436">
      <c r="A7436" s="49">
        <v>45099.39761969907</v>
      </c>
      <c r="B7436" s="50">
        <v>45099.5225934259</v>
      </c>
      <c r="C7436" s="51">
        <v>1.001</v>
      </c>
      <c r="D7436" s="51">
        <v>68.0</v>
      </c>
      <c r="E7436" s="52" t="s">
        <v>25</v>
      </c>
      <c r="F7436" s="52" t="s">
        <v>26</v>
      </c>
      <c r="G7436" s="54"/>
    </row>
    <row r="7437">
      <c r="A7437" s="49">
        <v>45099.408045856486</v>
      </c>
      <c r="B7437" s="50">
        <v>45099.5330125347</v>
      </c>
      <c r="C7437" s="51">
        <v>1.001</v>
      </c>
      <c r="D7437" s="51">
        <v>68.0</v>
      </c>
      <c r="E7437" s="52" t="s">
        <v>25</v>
      </c>
      <c r="F7437" s="52" t="s">
        <v>26</v>
      </c>
      <c r="G7437" s="54"/>
    </row>
    <row r="7438">
      <c r="A7438" s="49">
        <v>45099.41848184028</v>
      </c>
      <c r="B7438" s="50">
        <v>45099.5434472453</v>
      </c>
      <c r="C7438" s="51">
        <v>1.001</v>
      </c>
      <c r="D7438" s="51">
        <v>68.0</v>
      </c>
      <c r="E7438" s="52" t="s">
        <v>25</v>
      </c>
      <c r="F7438" s="52" t="s">
        <v>26</v>
      </c>
      <c r="G7438" s="54"/>
    </row>
    <row r="7439">
      <c r="A7439" s="49">
        <v>45099.4288962037</v>
      </c>
      <c r="B7439" s="50">
        <v>45099.5538691782</v>
      </c>
      <c r="C7439" s="51">
        <v>1.001</v>
      </c>
      <c r="D7439" s="51">
        <v>68.0</v>
      </c>
      <c r="E7439" s="52" t="s">
        <v>25</v>
      </c>
      <c r="F7439" s="52" t="s">
        <v>26</v>
      </c>
      <c r="G7439" s="54"/>
    </row>
    <row r="7440">
      <c r="A7440" s="49">
        <v>45099.439311712966</v>
      </c>
      <c r="B7440" s="50">
        <v>45099.5642897569</v>
      </c>
      <c r="C7440" s="51">
        <v>1.001</v>
      </c>
      <c r="D7440" s="51">
        <v>68.0</v>
      </c>
      <c r="E7440" s="52" t="s">
        <v>25</v>
      </c>
      <c r="F7440" s="52" t="s">
        <v>26</v>
      </c>
      <c r="G7440" s="54"/>
    </row>
    <row r="7441">
      <c r="A7441" s="49">
        <v>45099.44973616899</v>
      </c>
      <c r="B7441" s="50">
        <v>45099.5747088773</v>
      </c>
      <c r="C7441" s="51">
        <v>1.001</v>
      </c>
      <c r="D7441" s="51">
        <v>68.0</v>
      </c>
      <c r="E7441" s="52" t="s">
        <v>25</v>
      </c>
      <c r="F7441" s="52" t="s">
        <v>26</v>
      </c>
      <c r="G7441" s="54"/>
    </row>
    <row r="7442">
      <c r="A7442" s="49">
        <v>45099.460168101854</v>
      </c>
      <c r="B7442" s="50">
        <v>45099.5851418171</v>
      </c>
      <c r="C7442" s="51">
        <v>1.001</v>
      </c>
      <c r="D7442" s="51">
        <v>68.0</v>
      </c>
      <c r="E7442" s="52" t="s">
        <v>25</v>
      </c>
      <c r="F7442" s="52" t="s">
        <v>26</v>
      </c>
      <c r="G7442" s="54"/>
    </row>
    <row r="7443">
      <c r="A7443" s="49">
        <v>45099.47057853009</v>
      </c>
      <c r="B7443" s="50">
        <v>45099.5955616666</v>
      </c>
      <c r="C7443" s="51">
        <v>1.001</v>
      </c>
      <c r="D7443" s="51">
        <v>68.0</v>
      </c>
      <c r="E7443" s="52" t="s">
        <v>25</v>
      </c>
      <c r="F7443" s="52" t="s">
        <v>26</v>
      </c>
      <c r="G7443" s="54"/>
    </row>
    <row r="7444">
      <c r="A7444" s="49">
        <v>45099.48100467592</v>
      </c>
      <c r="B7444" s="50">
        <v>45099.6059819444</v>
      </c>
      <c r="C7444" s="51">
        <v>1.001</v>
      </c>
      <c r="D7444" s="51">
        <v>68.0</v>
      </c>
      <c r="E7444" s="52" t="s">
        <v>25</v>
      </c>
      <c r="F7444" s="52" t="s">
        <v>26</v>
      </c>
      <c r="G7444" s="54"/>
    </row>
    <row r="7445">
      <c r="A7445" s="49">
        <v>45099.4914328125</v>
      </c>
      <c r="B7445" s="50">
        <v>45099.6164157407</v>
      </c>
      <c r="C7445" s="51">
        <v>1.001</v>
      </c>
      <c r="D7445" s="51">
        <v>68.0</v>
      </c>
      <c r="E7445" s="52" t="s">
        <v>25</v>
      </c>
      <c r="F7445" s="52" t="s">
        <v>26</v>
      </c>
      <c r="G7445" s="54"/>
    </row>
    <row r="7446">
      <c r="A7446" s="49">
        <v>45099.501864618054</v>
      </c>
      <c r="B7446" s="50">
        <v>45099.626836412</v>
      </c>
      <c r="C7446" s="51">
        <v>1.001</v>
      </c>
      <c r="D7446" s="51">
        <v>68.0</v>
      </c>
      <c r="E7446" s="52" t="s">
        <v>25</v>
      </c>
      <c r="F7446" s="52" t="s">
        <v>26</v>
      </c>
      <c r="G7446" s="54"/>
    </row>
    <row r="7447">
      <c r="A7447" s="49">
        <v>45099.51227798611</v>
      </c>
      <c r="B7447" s="50">
        <v>45099.6372565972</v>
      </c>
      <c r="C7447" s="51">
        <v>1.001</v>
      </c>
      <c r="D7447" s="51">
        <v>68.0</v>
      </c>
      <c r="E7447" s="52" t="s">
        <v>25</v>
      </c>
      <c r="F7447" s="52" t="s">
        <v>26</v>
      </c>
      <c r="G7447" s="54"/>
    </row>
    <row r="7448">
      <c r="A7448" s="49">
        <v>45099.52270621528</v>
      </c>
      <c r="B7448" s="50">
        <v>45099.6476770717</v>
      </c>
      <c r="C7448" s="51">
        <v>1.001</v>
      </c>
      <c r="D7448" s="51">
        <v>68.0</v>
      </c>
      <c r="E7448" s="52" t="s">
        <v>25</v>
      </c>
      <c r="F7448" s="52" t="s">
        <v>26</v>
      </c>
      <c r="G7448" s="54"/>
    </row>
    <row r="7449">
      <c r="A7449" s="49">
        <v>45099.53313517361</v>
      </c>
      <c r="B7449" s="50">
        <v>45099.6581107175</v>
      </c>
      <c r="C7449" s="51">
        <v>1.001</v>
      </c>
      <c r="D7449" s="51">
        <v>68.0</v>
      </c>
      <c r="E7449" s="52" t="s">
        <v>25</v>
      </c>
      <c r="F7449" s="52" t="s">
        <v>26</v>
      </c>
      <c r="G7449" s="54"/>
    </row>
    <row r="7450">
      <c r="A7450" s="49">
        <v>45099.54357501157</v>
      </c>
      <c r="B7450" s="50">
        <v>45099.6685314236</v>
      </c>
      <c r="C7450" s="51">
        <v>1.001</v>
      </c>
      <c r="D7450" s="51">
        <v>68.0</v>
      </c>
      <c r="E7450" s="52" t="s">
        <v>25</v>
      </c>
      <c r="F7450" s="52" t="s">
        <v>26</v>
      </c>
      <c r="G7450" s="54"/>
    </row>
    <row r="7451">
      <c r="A7451" s="49">
        <v>45099.55397979167</v>
      </c>
      <c r="B7451" s="50">
        <v>45099.6789526736</v>
      </c>
      <c r="C7451" s="51">
        <v>1.001</v>
      </c>
      <c r="D7451" s="51">
        <v>68.0</v>
      </c>
      <c r="E7451" s="52" t="s">
        <v>25</v>
      </c>
      <c r="F7451" s="52" t="s">
        <v>26</v>
      </c>
      <c r="G7451" s="54"/>
    </row>
    <row r="7452">
      <c r="A7452" s="49">
        <v>45099.564407881946</v>
      </c>
      <c r="B7452" s="50">
        <v>45099.6893843055</v>
      </c>
      <c r="C7452" s="51">
        <v>1.001</v>
      </c>
      <c r="D7452" s="51">
        <v>68.0</v>
      </c>
      <c r="E7452" s="52" t="s">
        <v>25</v>
      </c>
      <c r="F7452" s="52" t="s">
        <v>26</v>
      </c>
      <c r="G7452" s="54"/>
    </row>
    <row r="7453">
      <c r="A7453" s="49">
        <v>45099.57482421296</v>
      </c>
      <c r="B7453" s="50">
        <v>45099.6998069791</v>
      </c>
      <c r="C7453" s="51">
        <v>1.001</v>
      </c>
      <c r="D7453" s="51">
        <v>68.0</v>
      </c>
      <c r="E7453" s="52" t="s">
        <v>25</v>
      </c>
      <c r="F7453" s="52" t="s">
        <v>26</v>
      </c>
      <c r="G7453" s="54"/>
    </row>
    <row r="7454">
      <c r="A7454" s="49">
        <v>45099.585255659724</v>
      </c>
      <c r="B7454" s="50">
        <v>45099.7102289467</v>
      </c>
      <c r="C7454" s="51">
        <v>1.001</v>
      </c>
      <c r="D7454" s="51">
        <v>68.0</v>
      </c>
      <c r="E7454" s="52" t="s">
        <v>25</v>
      </c>
      <c r="F7454" s="52" t="s">
        <v>26</v>
      </c>
      <c r="G7454" s="54"/>
    </row>
    <row r="7455">
      <c r="A7455" s="49">
        <v>45099.5956892824</v>
      </c>
      <c r="B7455" s="50">
        <v>45099.7206611689</v>
      </c>
      <c r="C7455" s="51">
        <v>1.001</v>
      </c>
      <c r="D7455" s="51">
        <v>68.0</v>
      </c>
      <c r="E7455" s="52" t="s">
        <v>25</v>
      </c>
      <c r="F7455" s="52" t="s">
        <v>26</v>
      </c>
      <c r="G7455" s="54"/>
    </row>
    <row r="7456">
      <c r="A7456" s="49">
        <v>45099.60610767361</v>
      </c>
      <c r="B7456" s="50">
        <v>45099.731080868</v>
      </c>
      <c r="C7456" s="51">
        <v>1.001</v>
      </c>
      <c r="D7456" s="51">
        <v>68.0</v>
      </c>
      <c r="E7456" s="52" t="s">
        <v>25</v>
      </c>
      <c r="F7456" s="52" t="s">
        <v>26</v>
      </c>
      <c r="G7456" s="54"/>
    </row>
    <row r="7457">
      <c r="A7457" s="49">
        <v>45099.61653339121</v>
      </c>
      <c r="B7457" s="50">
        <v>45099.7415007175</v>
      </c>
      <c r="C7457" s="51">
        <v>1.001</v>
      </c>
      <c r="D7457" s="51">
        <v>68.0</v>
      </c>
      <c r="E7457" s="52" t="s">
        <v>25</v>
      </c>
      <c r="F7457" s="52" t="s">
        <v>26</v>
      </c>
      <c r="G7457" s="54"/>
    </row>
    <row r="7458">
      <c r="A7458" s="49">
        <v>45099.62694417824</v>
      </c>
      <c r="B7458" s="50">
        <v>45099.7519208217</v>
      </c>
      <c r="C7458" s="51">
        <v>1.001</v>
      </c>
      <c r="D7458" s="51">
        <v>68.0</v>
      </c>
      <c r="E7458" s="52" t="s">
        <v>25</v>
      </c>
      <c r="F7458" s="52" t="s">
        <v>26</v>
      </c>
      <c r="G7458" s="54"/>
    </row>
    <row r="7459">
      <c r="A7459" s="49">
        <v>45099.637367407406</v>
      </c>
      <c r="B7459" s="50">
        <v>45099.762343287</v>
      </c>
      <c r="C7459" s="51">
        <v>1.001</v>
      </c>
      <c r="D7459" s="51">
        <v>68.0</v>
      </c>
      <c r="E7459" s="52" t="s">
        <v>25</v>
      </c>
      <c r="F7459" s="52" t="s">
        <v>26</v>
      </c>
      <c r="G7459" s="54"/>
    </row>
    <row r="7460">
      <c r="A7460" s="49">
        <v>45099.64778753472</v>
      </c>
      <c r="B7460" s="50">
        <v>45099.7727643287</v>
      </c>
      <c r="C7460" s="51">
        <v>1.001</v>
      </c>
      <c r="D7460" s="51">
        <v>68.0</v>
      </c>
      <c r="E7460" s="52" t="s">
        <v>25</v>
      </c>
      <c r="F7460" s="52" t="s">
        <v>26</v>
      </c>
      <c r="G7460" s="54"/>
    </row>
    <row r="7461">
      <c r="A7461" s="49">
        <v>45099.65821283565</v>
      </c>
      <c r="B7461" s="50">
        <v>45099.7831858564</v>
      </c>
      <c r="C7461" s="51">
        <v>1.001</v>
      </c>
      <c r="D7461" s="51">
        <v>68.0</v>
      </c>
      <c r="E7461" s="52" t="s">
        <v>25</v>
      </c>
      <c r="F7461" s="52" t="s">
        <v>26</v>
      </c>
      <c r="G7461" s="54"/>
    </row>
    <row r="7462">
      <c r="A7462" s="49">
        <v>45099.66862541667</v>
      </c>
      <c r="B7462" s="50">
        <v>45099.7936067708</v>
      </c>
      <c r="C7462" s="51">
        <v>1.001</v>
      </c>
      <c r="D7462" s="51">
        <v>68.0</v>
      </c>
      <c r="E7462" s="52" t="s">
        <v>25</v>
      </c>
      <c r="F7462" s="52" t="s">
        <v>26</v>
      </c>
      <c r="G7462" s="54"/>
    </row>
    <row r="7463">
      <c r="A7463" s="49">
        <v>45099.679047708334</v>
      </c>
      <c r="B7463" s="50">
        <v>45099.8040270486</v>
      </c>
      <c r="C7463" s="51">
        <v>1.001</v>
      </c>
      <c r="D7463" s="51">
        <v>68.0</v>
      </c>
      <c r="E7463" s="52" t="s">
        <v>25</v>
      </c>
      <c r="F7463" s="52" t="s">
        <v>26</v>
      </c>
      <c r="G7463" s="54"/>
    </row>
    <row r="7464">
      <c r="A7464" s="49">
        <v>45099.689477314816</v>
      </c>
      <c r="B7464" s="50">
        <v>45099.8144489351</v>
      </c>
      <c r="C7464" s="51">
        <v>1.001</v>
      </c>
      <c r="D7464" s="51">
        <v>68.0</v>
      </c>
      <c r="E7464" s="52" t="s">
        <v>25</v>
      </c>
      <c r="F7464" s="52" t="s">
        <v>26</v>
      </c>
      <c r="G7464" s="54"/>
    </row>
    <row r="7465">
      <c r="A7465" s="49">
        <v>45099.69989238426</v>
      </c>
      <c r="B7465" s="50">
        <v>45099.8248693055</v>
      </c>
      <c r="C7465" s="51">
        <v>1.001</v>
      </c>
      <c r="D7465" s="51">
        <v>68.0</v>
      </c>
      <c r="E7465" s="52" t="s">
        <v>25</v>
      </c>
      <c r="F7465" s="52" t="s">
        <v>26</v>
      </c>
      <c r="G7465" s="54"/>
    </row>
    <row r="7466">
      <c r="A7466" s="49">
        <v>45099.710321782404</v>
      </c>
      <c r="B7466" s="50">
        <v>45099.8352915625</v>
      </c>
      <c r="C7466" s="51">
        <v>1.001</v>
      </c>
      <c r="D7466" s="51">
        <v>68.0</v>
      </c>
      <c r="E7466" s="52" t="s">
        <v>25</v>
      </c>
      <c r="F7466" s="52" t="s">
        <v>26</v>
      </c>
      <c r="G7466" s="54"/>
    </row>
    <row r="7467">
      <c r="A7467" s="49">
        <v>45099.72073945602</v>
      </c>
      <c r="B7467" s="50">
        <v>45099.8457126504</v>
      </c>
      <c r="C7467" s="51">
        <v>1.001</v>
      </c>
      <c r="D7467" s="51">
        <v>68.0</v>
      </c>
      <c r="E7467" s="52" t="s">
        <v>25</v>
      </c>
      <c r="F7467" s="52" t="s">
        <v>26</v>
      </c>
      <c r="G7467" s="54"/>
    </row>
    <row r="7468">
      <c r="A7468" s="49">
        <v>45099.73117576389</v>
      </c>
      <c r="B7468" s="50">
        <v>45099.8561458101</v>
      </c>
      <c r="C7468" s="51">
        <v>1.001</v>
      </c>
      <c r="D7468" s="51">
        <v>68.0</v>
      </c>
      <c r="E7468" s="52" t="s">
        <v>25</v>
      </c>
      <c r="F7468" s="52" t="s">
        <v>26</v>
      </c>
      <c r="G7468" s="54"/>
    </row>
    <row r="7469">
      <c r="A7469" s="49">
        <v>45099.741596481486</v>
      </c>
      <c r="B7469" s="50">
        <v>45099.8665670486</v>
      </c>
      <c r="C7469" s="51">
        <v>1.001</v>
      </c>
      <c r="D7469" s="51">
        <v>68.0</v>
      </c>
      <c r="E7469" s="52" t="s">
        <v>25</v>
      </c>
      <c r="F7469" s="52" t="s">
        <v>26</v>
      </c>
      <c r="G7469" s="54"/>
    </row>
    <row r="7470">
      <c r="A7470" s="49">
        <v>45099.752015509264</v>
      </c>
      <c r="B7470" s="50">
        <v>45099.8769877314</v>
      </c>
      <c r="C7470" s="51">
        <v>1.001</v>
      </c>
      <c r="D7470" s="51">
        <v>68.0</v>
      </c>
      <c r="E7470" s="52" t="s">
        <v>25</v>
      </c>
      <c r="F7470" s="52" t="s">
        <v>26</v>
      </c>
      <c r="G7470" s="54"/>
    </row>
    <row r="7471">
      <c r="A7471" s="49">
        <v>45099.76244232639</v>
      </c>
      <c r="B7471" s="50">
        <v>45099.8874106134</v>
      </c>
      <c r="C7471" s="51">
        <v>1.001</v>
      </c>
      <c r="D7471" s="51">
        <v>68.0</v>
      </c>
      <c r="E7471" s="52" t="s">
        <v>25</v>
      </c>
      <c r="F7471" s="52" t="s">
        <v>26</v>
      </c>
      <c r="G7471" s="54"/>
    </row>
    <row r="7472">
      <c r="A7472" s="49">
        <v>45099.77285574074</v>
      </c>
      <c r="B7472" s="50">
        <v>45099.8978317476</v>
      </c>
      <c r="C7472" s="51">
        <v>1.001</v>
      </c>
      <c r="D7472" s="51">
        <v>68.0</v>
      </c>
      <c r="E7472" s="52" t="s">
        <v>25</v>
      </c>
      <c r="F7472" s="52" t="s">
        <v>26</v>
      </c>
      <c r="G7472" s="54"/>
    </row>
    <row r="7473">
      <c r="A7473" s="49">
        <v>45099.78327344907</v>
      </c>
      <c r="B7473" s="50">
        <v>45099.9082525694</v>
      </c>
      <c r="C7473" s="51">
        <v>1.001</v>
      </c>
      <c r="D7473" s="51">
        <v>68.0</v>
      </c>
      <c r="E7473" s="52" t="s">
        <v>25</v>
      </c>
      <c r="F7473" s="52" t="s">
        <v>26</v>
      </c>
      <c r="G7473" s="54"/>
    </row>
    <row r="7474">
      <c r="A7474" s="49">
        <v>45099.7937090162</v>
      </c>
      <c r="B7474" s="50">
        <v>45099.9186752546</v>
      </c>
      <c r="C7474" s="51">
        <v>1.001</v>
      </c>
      <c r="D7474" s="51">
        <v>68.0</v>
      </c>
      <c r="E7474" s="52" t="s">
        <v>25</v>
      </c>
      <c r="F7474" s="52" t="s">
        <v>26</v>
      </c>
      <c r="G7474" s="54"/>
    </row>
    <row r="7475">
      <c r="A7475" s="49">
        <v>45099.80412111111</v>
      </c>
      <c r="B7475" s="50">
        <v>45099.9290936342</v>
      </c>
      <c r="C7475" s="51">
        <v>1.001</v>
      </c>
      <c r="D7475" s="51">
        <v>68.0</v>
      </c>
      <c r="E7475" s="52" t="s">
        <v>25</v>
      </c>
      <c r="F7475" s="52" t="s">
        <v>26</v>
      </c>
      <c r="G7475" s="54"/>
    </row>
    <row r="7476">
      <c r="A7476" s="49">
        <v>45099.814535405094</v>
      </c>
      <c r="B7476" s="50">
        <v>45099.9395159837</v>
      </c>
      <c r="C7476" s="51">
        <v>1.001</v>
      </c>
      <c r="D7476" s="51">
        <v>68.0</v>
      </c>
      <c r="E7476" s="52" t="s">
        <v>25</v>
      </c>
      <c r="F7476" s="52" t="s">
        <v>26</v>
      </c>
      <c r="G7476" s="54"/>
    </row>
    <row r="7477">
      <c r="A7477" s="49">
        <v>45099.82495596065</v>
      </c>
      <c r="B7477" s="50">
        <v>45099.9499358101</v>
      </c>
      <c r="C7477" s="51">
        <v>1.001</v>
      </c>
      <c r="D7477" s="51">
        <v>68.0</v>
      </c>
      <c r="E7477" s="52" t="s">
        <v>25</v>
      </c>
      <c r="F7477" s="52" t="s">
        <v>26</v>
      </c>
      <c r="G7477" s="54"/>
    </row>
    <row r="7478">
      <c r="A7478" s="49">
        <v>45099.83538041667</v>
      </c>
      <c r="B7478" s="50">
        <v>45099.960355706</v>
      </c>
      <c r="C7478" s="51">
        <v>1.001</v>
      </c>
      <c r="D7478" s="51">
        <v>68.0</v>
      </c>
      <c r="E7478" s="52" t="s">
        <v>25</v>
      </c>
      <c r="F7478" s="52" t="s">
        <v>26</v>
      </c>
      <c r="G7478" s="54"/>
    </row>
    <row r="7479">
      <c r="A7479" s="49">
        <v>45099.845798078706</v>
      </c>
      <c r="B7479" s="50">
        <v>45099.9707763194</v>
      </c>
      <c r="C7479" s="51">
        <v>1.001</v>
      </c>
      <c r="D7479" s="51">
        <v>68.0</v>
      </c>
      <c r="E7479" s="52" t="s">
        <v>25</v>
      </c>
      <c r="F7479" s="52" t="s">
        <v>26</v>
      </c>
      <c r="G7479" s="54"/>
    </row>
    <row r="7480">
      <c r="A7480" s="49">
        <v>45099.8562177662</v>
      </c>
      <c r="B7480" s="50">
        <v>45099.9811953819</v>
      </c>
      <c r="C7480" s="51">
        <v>1.001</v>
      </c>
      <c r="D7480" s="51">
        <v>68.0</v>
      </c>
      <c r="E7480" s="52" t="s">
        <v>25</v>
      </c>
      <c r="F7480" s="52" t="s">
        <v>26</v>
      </c>
      <c r="G7480" s="54"/>
    </row>
    <row r="7481">
      <c r="A7481" s="49">
        <v>45099.86663209491</v>
      </c>
      <c r="B7481" s="50">
        <v>45099.9916161574</v>
      </c>
      <c r="C7481" s="51">
        <v>1.001</v>
      </c>
      <c r="D7481" s="51">
        <v>68.0</v>
      </c>
      <c r="E7481" s="52" t="s">
        <v>25</v>
      </c>
      <c r="F7481" s="52" t="s">
        <v>26</v>
      </c>
      <c r="G7481" s="54"/>
    </row>
    <row r="7482">
      <c r="A7482" s="49">
        <v>45099.87705351852</v>
      </c>
      <c r="B7482" s="50">
        <v>45100.002035949</v>
      </c>
      <c r="C7482" s="51">
        <v>1.001</v>
      </c>
      <c r="D7482" s="51">
        <v>68.0</v>
      </c>
      <c r="E7482" s="52" t="s">
        <v>25</v>
      </c>
      <c r="F7482" s="52" t="s">
        <v>26</v>
      </c>
      <c r="G7482" s="54"/>
    </row>
    <row r="7483">
      <c r="A7483" s="49">
        <v>45099.88748604167</v>
      </c>
      <c r="B7483" s="50">
        <v>45100.0124571759</v>
      </c>
      <c r="C7483" s="51">
        <v>1.001</v>
      </c>
      <c r="D7483" s="51">
        <v>68.0</v>
      </c>
      <c r="E7483" s="52" t="s">
        <v>25</v>
      </c>
      <c r="F7483" s="52" t="s">
        <v>26</v>
      </c>
      <c r="G7483" s="54"/>
    </row>
    <row r="7484">
      <c r="A7484" s="49">
        <v>45099.897902233795</v>
      </c>
      <c r="B7484" s="50">
        <v>45100.0228787037</v>
      </c>
      <c r="C7484" s="51">
        <v>1.001</v>
      </c>
      <c r="D7484" s="51">
        <v>68.0</v>
      </c>
      <c r="E7484" s="52" t="s">
        <v>25</v>
      </c>
      <c r="F7484" s="52" t="s">
        <v>26</v>
      </c>
      <c r="G7484" s="54"/>
    </row>
    <row r="7485">
      <c r="A7485" s="49">
        <v>45099.90832333334</v>
      </c>
      <c r="B7485" s="50">
        <v>45100.0333008564</v>
      </c>
      <c r="C7485" s="51">
        <v>1.001</v>
      </c>
      <c r="D7485" s="51">
        <v>68.0</v>
      </c>
      <c r="E7485" s="52" t="s">
        <v>25</v>
      </c>
      <c r="F7485" s="52" t="s">
        <v>26</v>
      </c>
      <c r="G7485" s="54"/>
    </row>
    <row r="7486">
      <c r="A7486" s="49">
        <v>45099.91876256945</v>
      </c>
      <c r="B7486" s="50">
        <v>45100.0437314699</v>
      </c>
      <c r="C7486" s="51">
        <v>1.001</v>
      </c>
      <c r="D7486" s="51">
        <v>68.0</v>
      </c>
      <c r="E7486" s="52" t="s">
        <v>25</v>
      </c>
      <c r="F7486" s="52" t="s">
        <v>26</v>
      </c>
      <c r="G7486" s="54"/>
    </row>
    <row r="7487">
      <c r="A7487" s="49">
        <v>45099.929177743055</v>
      </c>
      <c r="B7487" s="50">
        <v>45100.0541532523</v>
      </c>
      <c r="C7487" s="51">
        <v>1.001</v>
      </c>
      <c r="D7487" s="51">
        <v>68.0</v>
      </c>
      <c r="E7487" s="52" t="s">
        <v>25</v>
      </c>
      <c r="F7487" s="52" t="s">
        <v>26</v>
      </c>
      <c r="G7487" s="54"/>
    </row>
    <row r="7488">
      <c r="A7488" s="49">
        <v>45099.93960099537</v>
      </c>
      <c r="B7488" s="50">
        <v>45100.0645719213</v>
      </c>
      <c r="C7488" s="51">
        <v>1.001</v>
      </c>
      <c r="D7488" s="51">
        <v>68.0</v>
      </c>
      <c r="E7488" s="52" t="s">
        <v>25</v>
      </c>
      <c r="F7488" s="52" t="s">
        <v>26</v>
      </c>
      <c r="G7488" s="54"/>
    </row>
    <row r="7489">
      <c r="A7489" s="49">
        <v>45099.950024942125</v>
      </c>
      <c r="B7489" s="50">
        <v>45100.0750026388</v>
      </c>
      <c r="C7489" s="51">
        <v>1.001</v>
      </c>
      <c r="D7489" s="51">
        <v>68.0</v>
      </c>
      <c r="E7489" s="52" t="s">
        <v>25</v>
      </c>
      <c r="F7489" s="52" t="s">
        <v>26</v>
      </c>
      <c r="G7489" s="54"/>
    </row>
    <row r="7490">
      <c r="A7490" s="49">
        <v>45099.960448784725</v>
      </c>
      <c r="B7490" s="50">
        <v>45100.0854253588</v>
      </c>
      <c r="C7490" s="51">
        <v>1.001</v>
      </c>
      <c r="D7490" s="51">
        <v>68.0</v>
      </c>
      <c r="E7490" s="52" t="s">
        <v>25</v>
      </c>
      <c r="F7490" s="52" t="s">
        <v>26</v>
      </c>
      <c r="G7490" s="54"/>
    </row>
    <row r="7491">
      <c r="A7491" s="49">
        <v>45099.97087922454</v>
      </c>
      <c r="B7491" s="50">
        <v>45100.0958455787</v>
      </c>
      <c r="C7491" s="51">
        <v>1.001</v>
      </c>
      <c r="D7491" s="51">
        <v>68.0</v>
      </c>
      <c r="E7491" s="52" t="s">
        <v>25</v>
      </c>
      <c r="F7491" s="52" t="s">
        <v>26</v>
      </c>
      <c r="G7491" s="54"/>
    </row>
    <row r="7492">
      <c r="A7492" s="49">
        <v>45099.981300451385</v>
      </c>
      <c r="B7492" s="50">
        <v>45100.1062801273</v>
      </c>
      <c r="C7492" s="51">
        <v>1.001</v>
      </c>
      <c r="D7492" s="51">
        <v>68.0</v>
      </c>
      <c r="E7492" s="52" t="s">
        <v>25</v>
      </c>
      <c r="F7492" s="52" t="s">
        <v>26</v>
      </c>
      <c r="G7492" s="54"/>
    </row>
    <row r="7493">
      <c r="A7493" s="49">
        <v>45099.991719537036</v>
      </c>
      <c r="B7493" s="50">
        <v>45100.1167013541</v>
      </c>
      <c r="C7493" s="51">
        <v>1.001</v>
      </c>
      <c r="D7493" s="51">
        <v>68.0</v>
      </c>
      <c r="E7493" s="52" t="s">
        <v>25</v>
      </c>
      <c r="F7493" s="52" t="s">
        <v>26</v>
      </c>
      <c r="G7493" s="54"/>
    </row>
    <row r="7494">
      <c r="A7494" s="49">
        <v>45100.00213782408</v>
      </c>
      <c r="B7494" s="50">
        <v>45100.1271202777</v>
      </c>
      <c r="C7494" s="51">
        <v>1.001</v>
      </c>
      <c r="D7494" s="51">
        <v>68.0</v>
      </c>
      <c r="E7494" s="52" t="s">
        <v>25</v>
      </c>
      <c r="F7494" s="52" t="s">
        <v>26</v>
      </c>
      <c r="G7494" s="54"/>
    </row>
    <row r="7495">
      <c r="A7495" s="49">
        <v>45100.01257478009</v>
      </c>
      <c r="B7495" s="50">
        <v>45100.1375548726</v>
      </c>
      <c r="C7495" s="51">
        <v>1.001</v>
      </c>
      <c r="D7495" s="51">
        <v>68.0</v>
      </c>
      <c r="E7495" s="52" t="s">
        <v>25</v>
      </c>
      <c r="F7495" s="52" t="s">
        <v>26</v>
      </c>
      <c r="G7495" s="54"/>
    </row>
    <row r="7496">
      <c r="A7496" s="49">
        <v>45100.02300483796</v>
      </c>
      <c r="B7496" s="50">
        <v>45100.1479871296</v>
      </c>
      <c r="C7496" s="51">
        <v>1.001</v>
      </c>
      <c r="D7496" s="51">
        <v>68.0</v>
      </c>
      <c r="E7496" s="52" t="s">
        <v>25</v>
      </c>
      <c r="F7496" s="52" t="s">
        <v>26</v>
      </c>
      <c r="G7496" s="54"/>
    </row>
    <row r="7497">
      <c r="A7497" s="49">
        <v>45100.03342638889</v>
      </c>
      <c r="B7497" s="50">
        <v>45100.1584081365</v>
      </c>
      <c r="C7497" s="51">
        <v>1.001</v>
      </c>
      <c r="D7497" s="51">
        <v>68.0</v>
      </c>
      <c r="E7497" s="52" t="s">
        <v>25</v>
      </c>
      <c r="F7497" s="52" t="s">
        <v>26</v>
      </c>
      <c r="G7497" s="54"/>
    </row>
    <row r="7498">
      <c r="A7498" s="49">
        <v>45100.04385686343</v>
      </c>
      <c r="B7498" s="50">
        <v>45100.1688293402</v>
      </c>
      <c r="C7498" s="51">
        <v>1.001</v>
      </c>
      <c r="D7498" s="51">
        <v>68.0</v>
      </c>
      <c r="E7498" s="52" t="s">
        <v>25</v>
      </c>
      <c r="F7498" s="52" t="s">
        <v>26</v>
      </c>
      <c r="G7498" s="54"/>
    </row>
    <row r="7499">
      <c r="A7499" s="49">
        <v>45100.05427471065</v>
      </c>
      <c r="B7499" s="50">
        <v>45100.1792505555</v>
      </c>
      <c r="C7499" s="51">
        <v>1.001</v>
      </c>
      <c r="D7499" s="51">
        <v>68.0</v>
      </c>
      <c r="E7499" s="52" t="s">
        <v>25</v>
      </c>
      <c r="F7499" s="52" t="s">
        <v>26</v>
      </c>
      <c r="G7499" s="54"/>
    </row>
    <row r="7500">
      <c r="A7500" s="49">
        <v>45100.064700057876</v>
      </c>
      <c r="B7500" s="50">
        <v>45100.1896700463</v>
      </c>
      <c r="C7500" s="51">
        <v>1.001</v>
      </c>
      <c r="D7500" s="51">
        <v>68.0</v>
      </c>
      <c r="E7500" s="52" t="s">
        <v>25</v>
      </c>
      <c r="F7500" s="52" t="s">
        <v>26</v>
      </c>
      <c r="G7500" s="54"/>
    </row>
    <row r="7501">
      <c r="A7501" s="49">
        <v>45100.075123229166</v>
      </c>
      <c r="B7501" s="50">
        <v>45100.2000925115</v>
      </c>
      <c r="C7501" s="51">
        <v>1.001</v>
      </c>
      <c r="D7501" s="51">
        <v>68.0</v>
      </c>
      <c r="E7501" s="52" t="s">
        <v>25</v>
      </c>
      <c r="F7501" s="52" t="s">
        <v>26</v>
      </c>
      <c r="G7501" s="54"/>
    </row>
    <row r="7502">
      <c r="A7502" s="49">
        <v>45100.085549490745</v>
      </c>
      <c r="B7502" s="50">
        <v>45100.210525243</v>
      </c>
      <c r="C7502" s="51">
        <v>1.001</v>
      </c>
      <c r="D7502" s="51">
        <v>68.0</v>
      </c>
      <c r="E7502" s="52" t="s">
        <v>25</v>
      </c>
      <c r="F7502" s="52" t="s">
        <v>26</v>
      </c>
      <c r="G7502" s="54"/>
    </row>
    <row r="7503">
      <c r="A7503" s="49">
        <v>45100.09598064815</v>
      </c>
      <c r="B7503" s="50">
        <v>45100.2209591551</v>
      </c>
      <c r="C7503" s="51">
        <v>1.001</v>
      </c>
      <c r="D7503" s="51">
        <v>68.0</v>
      </c>
      <c r="E7503" s="52" t="s">
        <v>25</v>
      </c>
      <c r="F7503" s="52" t="s">
        <v>26</v>
      </c>
      <c r="G7503" s="54"/>
    </row>
    <row r="7504">
      <c r="A7504" s="49">
        <v>45100.10640684028</v>
      </c>
      <c r="B7504" s="50">
        <v>45100.2313808101</v>
      </c>
      <c r="C7504" s="51">
        <v>1.001</v>
      </c>
      <c r="D7504" s="51">
        <v>68.0</v>
      </c>
      <c r="E7504" s="52" t="s">
        <v>25</v>
      </c>
      <c r="F7504" s="52" t="s">
        <v>26</v>
      </c>
      <c r="G7504" s="54"/>
    </row>
    <row r="7505">
      <c r="A7505" s="49">
        <v>45100.11682077547</v>
      </c>
      <c r="B7505" s="50">
        <v>45100.2418036342</v>
      </c>
      <c r="C7505" s="51">
        <v>1.001</v>
      </c>
      <c r="D7505" s="51">
        <v>68.0</v>
      </c>
      <c r="E7505" s="52" t="s">
        <v>25</v>
      </c>
      <c r="F7505" s="52" t="s">
        <v>26</v>
      </c>
      <c r="G7505" s="54"/>
    </row>
    <row r="7506">
      <c r="A7506" s="49">
        <v>45100.12724965278</v>
      </c>
      <c r="B7506" s="50">
        <v>45100.2522241782</v>
      </c>
      <c r="C7506" s="51">
        <v>1.001</v>
      </c>
      <c r="D7506" s="51">
        <v>68.0</v>
      </c>
      <c r="E7506" s="52" t="s">
        <v>25</v>
      </c>
      <c r="F7506" s="52" t="s">
        <v>26</v>
      </c>
      <c r="G7506" s="54"/>
    </row>
    <row r="7507">
      <c r="A7507" s="49">
        <v>45100.13768539352</v>
      </c>
      <c r="B7507" s="50">
        <v>45100.2626686342</v>
      </c>
      <c r="C7507" s="51">
        <v>1.001</v>
      </c>
      <c r="D7507" s="51">
        <v>68.0</v>
      </c>
      <c r="E7507" s="52" t="s">
        <v>25</v>
      </c>
      <c r="F7507" s="52" t="s">
        <v>26</v>
      </c>
      <c r="G7507" s="54"/>
    </row>
    <row r="7508">
      <c r="A7508" s="49">
        <v>45100.14811456019</v>
      </c>
      <c r="B7508" s="50">
        <v>45100.2730900347</v>
      </c>
      <c r="C7508" s="51">
        <v>1.001</v>
      </c>
      <c r="D7508" s="51">
        <v>68.0</v>
      </c>
      <c r="E7508" s="52" t="s">
        <v>25</v>
      </c>
      <c r="F7508" s="52" t="s">
        <v>26</v>
      </c>
      <c r="G7508" s="54"/>
    </row>
    <row r="7509">
      <c r="A7509" s="49">
        <v>45100.1585343287</v>
      </c>
      <c r="B7509" s="50">
        <v>45100.2835107523</v>
      </c>
      <c r="C7509" s="51">
        <v>1.001</v>
      </c>
      <c r="D7509" s="51">
        <v>68.0</v>
      </c>
      <c r="E7509" s="52" t="s">
        <v>25</v>
      </c>
      <c r="F7509" s="52" t="s">
        <v>26</v>
      </c>
      <c r="G7509" s="54"/>
    </row>
    <row r="7510">
      <c r="A7510" s="49">
        <v>45100.168976574074</v>
      </c>
      <c r="B7510" s="50">
        <v>45100.2939430092</v>
      </c>
      <c r="C7510" s="51">
        <v>1.001</v>
      </c>
      <c r="D7510" s="51">
        <v>68.0</v>
      </c>
      <c r="E7510" s="52" t="s">
        <v>25</v>
      </c>
      <c r="F7510" s="52" t="s">
        <v>26</v>
      </c>
      <c r="G7510" s="54"/>
    </row>
    <row r="7511">
      <c r="A7511" s="49">
        <v>45100.17939761574</v>
      </c>
      <c r="B7511" s="50">
        <v>45100.304373993</v>
      </c>
      <c r="C7511" s="51">
        <v>1.001</v>
      </c>
      <c r="D7511" s="51">
        <v>68.0</v>
      </c>
      <c r="E7511" s="52" t="s">
        <v>25</v>
      </c>
      <c r="F7511" s="52" t="s">
        <v>26</v>
      </c>
      <c r="G7511" s="54"/>
    </row>
    <row r="7512">
      <c r="A7512" s="49">
        <v>45100.18981571759</v>
      </c>
      <c r="B7512" s="50">
        <v>45100.3147960532</v>
      </c>
      <c r="C7512" s="51">
        <v>1.001</v>
      </c>
      <c r="D7512" s="51">
        <v>68.0</v>
      </c>
      <c r="E7512" s="52" t="s">
        <v>25</v>
      </c>
      <c r="F7512" s="52" t="s">
        <v>26</v>
      </c>
      <c r="G7512" s="54"/>
    </row>
    <row r="7513">
      <c r="A7513" s="49">
        <v>45100.200234710646</v>
      </c>
      <c r="B7513" s="50">
        <v>45100.3252163078</v>
      </c>
      <c r="C7513" s="51">
        <v>1.001</v>
      </c>
      <c r="D7513" s="51">
        <v>68.0</v>
      </c>
      <c r="E7513" s="52" t="s">
        <v>25</v>
      </c>
      <c r="F7513" s="52" t="s">
        <v>26</v>
      </c>
      <c r="G7513" s="54"/>
    </row>
    <row r="7514">
      <c r="A7514" s="49">
        <v>45100.210668368054</v>
      </c>
      <c r="B7514" s="50">
        <v>45100.3356385069</v>
      </c>
      <c r="C7514" s="51">
        <v>1.001</v>
      </c>
      <c r="D7514" s="51">
        <v>68.0</v>
      </c>
      <c r="E7514" s="52" t="s">
        <v>25</v>
      </c>
      <c r="F7514" s="52" t="s">
        <v>26</v>
      </c>
      <c r="G7514" s="54"/>
    </row>
    <row r="7515">
      <c r="A7515" s="49">
        <v>45100.22108033564</v>
      </c>
      <c r="B7515" s="50">
        <v>45100.3460601388</v>
      </c>
      <c r="C7515" s="51">
        <v>1.001</v>
      </c>
      <c r="D7515" s="51">
        <v>68.0</v>
      </c>
      <c r="E7515" s="52" t="s">
        <v>25</v>
      </c>
      <c r="F7515" s="52" t="s">
        <v>26</v>
      </c>
      <c r="G7515" s="54"/>
    </row>
    <row r="7516">
      <c r="A7516" s="49">
        <v>45100.231510972226</v>
      </c>
      <c r="B7516" s="50">
        <v>45100.3564795717</v>
      </c>
      <c r="C7516" s="51">
        <v>1.001</v>
      </c>
      <c r="D7516" s="51">
        <v>68.0</v>
      </c>
      <c r="E7516" s="52" t="s">
        <v>25</v>
      </c>
      <c r="F7516" s="52" t="s">
        <v>26</v>
      </c>
      <c r="G7516" s="54"/>
    </row>
    <row r="7517">
      <c r="A7517" s="49">
        <v>45100.24192409722</v>
      </c>
      <c r="B7517" s="50">
        <v>45100.366900081</v>
      </c>
      <c r="C7517" s="51">
        <v>1.001</v>
      </c>
      <c r="D7517" s="51">
        <v>68.0</v>
      </c>
      <c r="E7517" s="52" t="s">
        <v>25</v>
      </c>
      <c r="F7517" s="52" t="s">
        <v>26</v>
      </c>
      <c r="G7517" s="54"/>
    </row>
    <row r="7518">
      <c r="A7518" s="49">
        <v>45100.252369027774</v>
      </c>
      <c r="B7518" s="50">
        <v>45100.3773435763</v>
      </c>
      <c r="C7518" s="51">
        <v>1.001</v>
      </c>
      <c r="D7518" s="51">
        <v>68.0</v>
      </c>
      <c r="E7518" s="52" t="s">
        <v>25</v>
      </c>
      <c r="F7518" s="52" t="s">
        <v>26</v>
      </c>
      <c r="G7518" s="54"/>
    </row>
    <row r="7519">
      <c r="A7519" s="49">
        <v>45100.262785231476</v>
      </c>
      <c r="B7519" s="50">
        <v>45100.3877659837</v>
      </c>
      <c r="C7519" s="51">
        <v>1.001</v>
      </c>
      <c r="D7519" s="51">
        <v>68.0</v>
      </c>
      <c r="E7519" s="52" t="s">
        <v>25</v>
      </c>
      <c r="F7519" s="52" t="s">
        <v>26</v>
      </c>
      <c r="G7519" s="54"/>
    </row>
    <row r="7520">
      <c r="A7520" s="49">
        <v>45100.27321704861</v>
      </c>
      <c r="B7520" s="50">
        <v>45100.3981869676</v>
      </c>
      <c r="C7520" s="51">
        <v>1.001</v>
      </c>
      <c r="D7520" s="51">
        <v>68.0</v>
      </c>
      <c r="E7520" s="52" t="s">
        <v>25</v>
      </c>
      <c r="F7520" s="52" t="s">
        <v>26</v>
      </c>
      <c r="G7520" s="54"/>
    </row>
    <row r="7521">
      <c r="A7521" s="49">
        <v>45100.28363305556</v>
      </c>
      <c r="B7521" s="50">
        <v>45100.4086064236</v>
      </c>
      <c r="C7521" s="51">
        <v>1.001</v>
      </c>
      <c r="D7521" s="51">
        <v>68.0</v>
      </c>
      <c r="E7521" s="52" t="s">
        <v>25</v>
      </c>
      <c r="F7521" s="52" t="s">
        <v>26</v>
      </c>
      <c r="G7521" s="54"/>
    </row>
    <row r="7522">
      <c r="A7522" s="49">
        <v>45100.29405163194</v>
      </c>
      <c r="B7522" s="50">
        <v>45100.4190278935</v>
      </c>
      <c r="C7522" s="51">
        <v>1.001</v>
      </c>
      <c r="D7522" s="51">
        <v>68.0</v>
      </c>
      <c r="E7522" s="52" t="s">
        <v>25</v>
      </c>
      <c r="F7522" s="52" t="s">
        <v>26</v>
      </c>
      <c r="G7522" s="54"/>
    </row>
    <row r="7523">
      <c r="A7523" s="49">
        <v>45100.304497951394</v>
      </c>
      <c r="B7523" s="50">
        <v>45100.4294715625</v>
      </c>
      <c r="C7523" s="51">
        <v>1.001</v>
      </c>
      <c r="D7523" s="51">
        <v>68.0</v>
      </c>
      <c r="E7523" s="52" t="s">
        <v>25</v>
      </c>
      <c r="F7523" s="52" t="s">
        <v>26</v>
      </c>
      <c r="G7523" s="54"/>
    </row>
    <row r="7524">
      <c r="A7524" s="49">
        <v>45100.31493224537</v>
      </c>
      <c r="B7524" s="50">
        <v>45100.4399050578</v>
      </c>
      <c r="C7524" s="51">
        <v>1.001</v>
      </c>
      <c r="D7524" s="51">
        <v>68.0</v>
      </c>
      <c r="E7524" s="52" t="s">
        <v>25</v>
      </c>
      <c r="F7524" s="52" t="s">
        <v>26</v>
      </c>
      <c r="G7524" s="54"/>
    </row>
    <row r="7525">
      <c r="A7525" s="49">
        <v>45100.32536050926</v>
      </c>
      <c r="B7525" s="50">
        <v>45100.4503388773</v>
      </c>
      <c r="C7525" s="51">
        <v>1.001</v>
      </c>
      <c r="D7525" s="51">
        <v>68.0</v>
      </c>
      <c r="E7525" s="52" t="s">
        <v>25</v>
      </c>
      <c r="F7525" s="52" t="s">
        <v>26</v>
      </c>
      <c r="G7525" s="54"/>
    </row>
    <row r="7526">
      <c r="A7526" s="49">
        <v>45100.33579498842</v>
      </c>
      <c r="B7526" s="50">
        <v>45100.4607603125</v>
      </c>
      <c r="C7526" s="51">
        <v>1.001</v>
      </c>
      <c r="D7526" s="51">
        <v>68.0</v>
      </c>
      <c r="E7526" s="52" t="s">
        <v>25</v>
      </c>
      <c r="F7526" s="52" t="s">
        <v>26</v>
      </c>
      <c r="G7526" s="54"/>
    </row>
    <row r="7527">
      <c r="A7527" s="49">
        <v>45100.34622384259</v>
      </c>
      <c r="B7527" s="50">
        <v>45100.4711923495</v>
      </c>
      <c r="C7527" s="51">
        <v>1.001</v>
      </c>
      <c r="D7527" s="51">
        <v>68.0</v>
      </c>
      <c r="E7527" s="52" t="s">
        <v>25</v>
      </c>
      <c r="F7527" s="52" t="s">
        <v>26</v>
      </c>
      <c r="G7527" s="54"/>
    </row>
    <row r="7528">
      <c r="A7528" s="49">
        <v>45100.356641817125</v>
      </c>
      <c r="B7528" s="50">
        <v>45100.4816148263</v>
      </c>
      <c r="C7528" s="51">
        <v>1.001</v>
      </c>
      <c r="D7528" s="51">
        <v>68.0</v>
      </c>
      <c r="E7528" s="52" t="s">
        <v>25</v>
      </c>
      <c r="F7528" s="52" t="s">
        <v>26</v>
      </c>
      <c r="G7528" s="54"/>
    </row>
    <row r="7529">
      <c r="A7529" s="49">
        <v>45100.367068865744</v>
      </c>
      <c r="B7529" s="50">
        <v>45100.4920456018</v>
      </c>
      <c r="C7529" s="51">
        <v>1.001</v>
      </c>
      <c r="D7529" s="51">
        <v>68.0</v>
      </c>
      <c r="E7529" s="52" t="s">
        <v>25</v>
      </c>
      <c r="F7529" s="52" t="s">
        <v>26</v>
      </c>
      <c r="G7529" s="54"/>
    </row>
    <row r="7530">
      <c r="A7530" s="49">
        <v>45100.377483344906</v>
      </c>
      <c r="B7530" s="50">
        <v>45100.5024646875</v>
      </c>
      <c r="C7530" s="51">
        <v>1.001</v>
      </c>
      <c r="D7530" s="51">
        <v>68.0</v>
      </c>
      <c r="E7530" s="52" t="s">
        <v>25</v>
      </c>
      <c r="F7530" s="52" t="s">
        <v>26</v>
      </c>
      <c r="G7530" s="54"/>
    </row>
    <row r="7531">
      <c r="A7531" s="49">
        <v>45100.38791521991</v>
      </c>
      <c r="B7531" s="50">
        <v>45100.5128869791</v>
      </c>
      <c r="C7531" s="51">
        <v>1.001</v>
      </c>
      <c r="D7531" s="51">
        <v>68.0</v>
      </c>
      <c r="E7531" s="52" t="s">
        <v>25</v>
      </c>
      <c r="F7531" s="52" t="s">
        <v>26</v>
      </c>
      <c r="G7531" s="54"/>
    </row>
    <row r="7532">
      <c r="A7532" s="49">
        <v>45100.39834230324</v>
      </c>
      <c r="B7532" s="50">
        <v>45100.5233076504</v>
      </c>
      <c r="C7532" s="51">
        <v>1.001</v>
      </c>
      <c r="D7532" s="51">
        <v>68.0</v>
      </c>
      <c r="E7532" s="52" t="s">
        <v>25</v>
      </c>
      <c r="F7532" s="52" t="s">
        <v>26</v>
      </c>
      <c r="G7532" s="54"/>
    </row>
    <row r="7533">
      <c r="A7533" s="49">
        <v>45100.40875644676</v>
      </c>
      <c r="B7533" s="50">
        <v>45100.5337288425</v>
      </c>
      <c r="C7533" s="51">
        <v>1.001</v>
      </c>
      <c r="D7533" s="51">
        <v>68.0</v>
      </c>
      <c r="E7533" s="52" t="s">
        <v>25</v>
      </c>
      <c r="F7533" s="52" t="s">
        <v>26</v>
      </c>
      <c r="G7533" s="54"/>
    </row>
    <row r="7534">
      <c r="A7534" s="49">
        <v>45100.41917454861</v>
      </c>
      <c r="B7534" s="50">
        <v>45100.5441498726</v>
      </c>
      <c r="C7534" s="51">
        <v>1.001</v>
      </c>
      <c r="D7534" s="51">
        <v>68.0</v>
      </c>
      <c r="E7534" s="52" t="s">
        <v>25</v>
      </c>
      <c r="F7534" s="52" t="s">
        <v>26</v>
      </c>
      <c r="G7534" s="54"/>
    </row>
    <row r="7535">
      <c r="A7535" s="49">
        <v>45100.429606516205</v>
      </c>
      <c r="B7535" s="50">
        <v>45100.554581875</v>
      </c>
      <c r="C7535" s="51">
        <v>1.001</v>
      </c>
      <c r="D7535" s="51">
        <v>68.0</v>
      </c>
      <c r="E7535" s="52" t="s">
        <v>25</v>
      </c>
      <c r="F7535" s="52" t="s">
        <v>26</v>
      </c>
      <c r="G7535" s="54"/>
    </row>
    <row r="7536">
      <c r="A7536" s="49">
        <v>45100.44002667824</v>
      </c>
      <c r="B7536" s="50">
        <v>45100.5650018981</v>
      </c>
      <c r="C7536" s="51">
        <v>1.001</v>
      </c>
      <c r="D7536" s="51">
        <v>68.0</v>
      </c>
      <c r="E7536" s="52" t="s">
        <v>25</v>
      </c>
      <c r="F7536" s="52" t="s">
        <v>26</v>
      </c>
      <c r="G7536" s="54"/>
    </row>
    <row r="7537">
      <c r="A7537" s="49">
        <v>45100.45044328704</v>
      </c>
      <c r="B7537" s="50">
        <v>45100.5754221875</v>
      </c>
      <c r="C7537" s="51">
        <v>1.001</v>
      </c>
      <c r="D7537" s="51">
        <v>68.0</v>
      </c>
      <c r="E7537" s="52" t="s">
        <v>25</v>
      </c>
      <c r="F7537" s="52" t="s">
        <v>26</v>
      </c>
      <c r="G7537" s="54"/>
    </row>
    <row r="7538">
      <c r="A7538" s="49">
        <v>45100.46086868056</v>
      </c>
      <c r="B7538" s="50">
        <v>45100.5858442361</v>
      </c>
      <c r="C7538" s="51">
        <v>1.001</v>
      </c>
      <c r="D7538" s="51">
        <v>68.0</v>
      </c>
      <c r="E7538" s="52" t="s">
        <v>25</v>
      </c>
      <c r="F7538" s="52" t="s">
        <v>26</v>
      </c>
      <c r="G7538" s="54"/>
    </row>
    <row r="7539">
      <c r="A7539" s="49">
        <v>45100.471296284726</v>
      </c>
      <c r="B7539" s="50">
        <v>45100.5962658796</v>
      </c>
      <c r="C7539" s="51">
        <v>1.001</v>
      </c>
      <c r="D7539" s="51">
        <v>68.0</v>
      </c>
      <c r="E7539" s="52" t="s">
        <v>25</v>
      </c>
      <c r="F7539" s="52" t="s">
        <v>26</v>
      </c>
      <c r="G7539" s="54"/>
    </row>
    <row r="7540">
      <c r="A7540" s="49">
        <v>45100.48172711805</v>
      </c>
      <c r="B7540" s="50">
        <v>45100.606697581</v>
      </c>
      <c r="C7540" s="51">
        <v>1.001</v>
      </c>
      <c r="D7540" s="51">
        <v>68.0</v>
      </c>
      <c r="E7540" s="52" t="s">
        <v>25</v>
      </c>
      <c r="F7540" s="52" t="s">
        <v>26</v>
      </c>
      <c r="G7540" s="54"/>
    </row>
    <row r="7541">
      <c r="A7541" s="49">
        <v>45100.49213827546</v>
      </c>
      <c r="B7541" s="50">
        <v>45100.6171191435</v>
      </c>
      <c r="C7541" s="51">
        <v>1.001</v>
      </c>
      <c r="D7541" s="51">
        <v>68.0</v>
      </c>
      <c r="E7541" s="52" t="s">
        <v>25</v>
      </c>
      <c r="F7541" s="52" t="s">
        <v>26</v>
      </c>
      <c r="G7541" s="54"/>
    </row>
    <row r="7542">
      <c r="A7542" s="49">
        <v>45100.502572337966</v>
      </c>
      <c r="B7542" s="50">
        <v>45100.6275513541</v>
      </c>
      <c r="C7542" s="51">
        <v>1.001</v>
      </c>
      <c r="D7542" s="51">
        <v>68.0</v>
      </c>
      <c r="E7542" s="52" t="s">
        <v>25</v>
      </c>
      <c r="F7542" s="52" t="s">
        <v>26</v>
      </c>
      <c r="G7542" s="54"/>
    </row>
    <row r="7543">
      <c r="A7543" s="49">
        <v>45100.513012361116</v>
      </c>
      <c r="B7543" s="50">
        <v>45100.6379851041</v>
      </c>
      <c r="C7543" s="51">
        <v>1.001</v>
      </c>
      <c r="D7543" s="51">
        <v>68.0</v>
      </c>
      <c r="E7543" s="52" t="s">
        <v>25</v>
      </c>
      <c r="F7543" s="52" t="s">
        <v>26</v>
      </c>
      <c r="G7543" s="54"/>
    </row>
    <row r="7544">
      <c r="A7544" s="49">
        <v>45100.52345475694</v>
      </c>
      <c r="B7544" s="50">
        <v>45100.6484172453</v>
      </c>
      <c r="C7544" s="51">
        <v>1.001</v>
      </c>
      <c r="D7544" s="51">
        <v>68.0</v>
      </c>
      <c r="E7544" s="52" t="s">
        <v>25</v>
      </c>
      <c r="F7544" s="52" t="s">
        <v>26</v>
      </c>
      <c r="G7544" s="54"/>
    </row>
    <row r="7545">
      <c r="A7545" s="49">
        <v>45100.53386553241</v>
      </c>
      <c r="B7545" s="50">
        <v>45100.6588395833</v>
      </c>
      <c r="C7545" s="51">
        <v>1.001</v>
      </c>
      <c r="D7545" s="51">
        <v>68.0</v>
      </c>
      <c r="E7545" s="52" t="s">
        <v>25</v>
      </c>
      <c r="F7545" s="52" t="s">
        <v>26</v>
      </c>
      <c r="G7545" s="54"/>
    </row>
    <row r="7546">
      <c r="A7546" s="49">
        <v>45100.54429456018</v>
      </c>
      <c r="B7546" s="50">
        <v>45100.6692616435</v>
      </c>
      <c r="C7546" s="51">
        <v>1.001</v>
      </c>
      <c r="D7546" s="51">
        <v>68.0</v>
      </c>
      <c r="E7546" s="52" t="s">
        <v>25</v>
      </c>
      <c r="F7546" s="52" t="s">
        <v>26</v>
      </c>
      <c r="G7546" s="54"/>
    </row>
    <row r="7547">
      <c r="A7547" s="49">
        <v>45100.554702719906</v>
      </c>
      <c r="B7547" s="50">
        <v>45100.6796815856</v>
      </c>
      <c r="C7547" s="51">
        <v>1.001</v>
      </c>
      <c r="D7547" s="51">
        <v>68.0</v>
      </c>
      <c r="E7547" s="52" t="s">
        <v>25</v>
      </c>
      <c r="F7547" s="52" t="s">
        <v>26</v>
      </c>
      <c r="G7547" s="54"/>
    </row>
    <row r="7548">
      <c r="A7548" s="49">
        <v>45100.565124988425</v>
      </c>
      <c r="B7548" s="50">
        <v>45100.6901023032</v>
      </c>
      <c r="C7548" s="51">
        <v>1.001</v>
      </c>
      <c r="D7548" s="51">
        <v>68.0</v>
      </c>
      <c r="E7548" s="52" t="s">
        <v>25</v>
      </c>
      <c r="F7548" s="52" t="s">
        <v>26</v>
      </c>
      <c r="G7548" s="54"/>
    </row>
    <row r="7549">
      <c r="A7549" s="49">
        <v>45100.57555496528</v>
      </c>
      <c r="B7549" s="50">
        <v>45100.7005235995</v>
      </c>
      <c r="C7549" s="51">
        <v>1.001</v>
      </c>
      <c r="D7549" s="51">
        <v>68.0</v>
      </c>
      <c r="E7549" s="52" t="s">
        <v>25</v>
      </c>
      <c r="F7549" s="52" t="s">
        <v>26</v>
      </c>
      <c r="G7549" s="54"/>
    </row>
    <row r="7550">
      <c r="A7550" s="49">
        <v>45100.58599203704</v>
      </c>
      <c r="B7550" s="50">
        <v>45100.7109662037</v>
      </c>
      <c r="C7550" s="51">
        <v>1.001</v>
      </c>
      <c r="D7550" s="51">
        <v>68.0</v>
      </c>
      <c r="E7550" s="52" t="s">
        <v>25</v>
      </c>
      <c r="F7550" s="52" t="s">
        <v>26</v>
      </c>
      <c r="G7550" s="54"/>
    </row>
    <row r="7551">
      <c r="A7551" s="49">
        <v>45100.596411192135</v>
      </c>
      <c r="B7551" s="50">
        <v>45100.72138603</v>
      </c>
      <c r="C7551" s="51">
        <v>1.001</v>
      </c>
      <c r="D7551" s="51">
        <v>68.0</v>
      </c>
      <c r="E7551" s="52" t="s">
        <v>25</v>
      </c>
      <c r="F7551" s="52" t="s">
        <v>26</v>
      </c>
      <c r="G7551" s="54"/>
    </row>
    <row r="7552">
      <c r="A7552" s="49">
        <v>45100.60683027778</v>
      </c>
      <c r="B7552" s="50">
        <v>45100.7318070949</v>
      </c>
      <c r="C7552" s="51">
        <v>1.001</v>
      </c>
      <c r="D7552" s="51">
        <v>68.0</v>
      </c>
      <c r="E7552" s="52" t="s">
        <v>25</v>
      </c>
      <c r="F7552" s="52" t="s">
        <v>26</v>
      </c>
      <c r="G7552" s="54"/>
    </row>
    <row r="7553">
      <c r="A7553" s="49">
        <v>45100.617252233795</v>
      </c>
      <c r="B7553" s="50">
        <v>45100.7422281597</v>
      </c>
      <c r="C7553" s="51">
        <v>1.001</v>
      </c>
      <c r="D7553" s="51">
        <v>68.0</v>
      </c>
      <c r="E7553" s="52" t="s">
        <v>25</v>
      </c>
      <c r="F7553" s="52" t="s">
        <v>26</v>
      </c>
      <c r="G7553" s="54"/>
    </row>
    <row r="7554">
      <c r="A7554" s="49">
        <v>45100.627676689815</v>
      </c>
      <c r="B7554" s="50">
        <v>45100.7526487384</v>
      </c>
      <c r="C7554" s="51">
        <v>1.001</v>
      </c>
      <c r="D7554" s="51">
        <v>68.0</v>
      </c>
      <c r="E7554" s="52" t="s">
        <v>25</v>
      </c>
      <c r="F7554" s="52" t="s">
        <v>26</v>
      </c>
      <c r="G7554" s="54"/>
    </row>
    <row r="7555">
      <c r="A7555" s="49">
        <v>45100.6381071875</v>
      </c>
      <c r="B7555" s="50">
        <v>45100.7630838773</v>
      </c>
      <c r="C7555" s="51">
        <v>1.001</v>
      </c>
      <c r="D7555" s="51">
        <v>68.0</v>
      </c>
      <c r="E7555" s="52" t="s">
        <v>25</v>
      </c>
      <c r="F7555" s="52" t="s">
        <v>26</v>
      </c>
      <c r="G7555" s="54"/>
    </row>
    <row r="7556">
      <c r="A7556" s="49">
        <v>45100.648539814814</v>
      </c>
      <c r="B7556" s="50">
        <v>45100.7735175694</v>
      </c>
      <c r="C7556" s="51">
        <v>1.001</v>
      </c>
      <c r="D7556" s="51">
        <v>68.0</v>
      </c>
      <c r="E7556" s="52" t="s">
        <v>25</v>
      </c>
      <c r="F7556" s="52" t="s">
        <v>26</v>
      </c>
      <c r="G7556" s="54"/>
    </row>
    <row r="7557">
      <c r="A7557" s="49">
        <v>45100.65897981482</v>
      </c>
      <c r="B7557" s="50">
        <v>45100.7839511689</v>
      </c>
      <c r="C7557" s="51">
        <v>1.001</v>
      </c>
      <c r="D7557" s="51">
        <v>68.0</v>
      </c>
      <c r="E7557" s="52" t="s">
        <v>25</v>
      </c>
      <c r="F7557" s="52" t="s">
        <v>26</v>
      </c>
      <c r="G7557" s="54"/>
    </row>
    <row r="7558">
      <c r="A7558" s="49">
        <v>45100.66939591435</v>
      </c>
      <c r="B7558" s="50">
        <v>45100.7943711342</v>
      </c>
      <c r="C7558" s="51">
        <v>1.001</v>
      </c>
      <c r="D7558" s="51">
        <v>68.0</v>
      </c>
      <c r="E7558" s="52" t="s">
        <v>25</v>
      </c>
      <c r="F7558" s="52" t="s">
        <v>26</v>
      </c>
      <c r="G7558" s="54"/>
    </row>
    <row r="7559">
      <c r="A7559" s="49">
        <v>45100.67983311343</v>
      </c>
      <c r="B7559" s="50">
        <v>45100.8048034953</v>
      </c>
      <c r="C7559" s="51">
        <v>1.001</v>
      </c>
      <c r="D7559" s="51">
        <v>68.0</v>
      </c>
      <c r="E7559" s="52" t="s">
        <v>25</v>
      </c>
      <c r="F7559" s="52" t="s">
        <v>26</v>
      </c>
      <c r="G7559" s="54"/>
    </row>
    <row r="7560">
      <c r="A7560" s="49">
        <v>45100.69024527778</v>
      </c>
      <c r="B7560" s="50">
        <v>45100.8152236921</v>
      </c>
      <c r="C7560" s="51">
        <v>1.001</v>
      </c>
      <c r="D7560" s="51">
        <v>68.0</v>
      </c>
      <c r="E7560" s="52" t="s">
        <v>25</v>
      </c>
      <c r="F7560" s="52" t="s">
        <v>26</v>
      </c>
      <c r="G7560" s="54"/>
    </row>
    <row r="7561">
      <c r="A7561" s="49">
        <v>45100.700679699075</v>
      </c>
      <c r="B7561" s="50">
        <v>45100.8256565393</v>
      </c>
      <c r="C7561" s="51">
        <v>1.001</v>
      </c>
      <c r="D7561" s="51">
        <v>68.0</v>
      </c>
      <c r="E7561" s="52" t="s">
        <v>25</v>
      </c>
      <c r="F7561" s="52" t="s">
        <v>26</v>
      </c>
      <c r="G7561" s="54"/>
    </row>
    <row r="7562">
      <c r="A7562" s="49">
        <v>45100.71109822916</v>
      </c>
      <c r="B7562" s="50">
        <v>45100.8360779629</v>
      </c>
      <c r="C7562" s="51">
        <v>1.001</v>
      </c>
      <c r="D7562" s="51">
        <v>68.0</v>
      </c>
      <c r="E7562" s="52" t="s">
        <v>25</v>
      </c>
      <c r="F7562" s="52" t="s">
        <v>26</v>
      </c>
      <c r="G7562" s="54"/>
    </row>
    <row r="7563">
      <c r="A7563" s="49">
        <v>45100.72152521991</v>
      </c>
      <c r="B7563" s="50">
        <v>45100.8464984259</v>
      </c>
      <c r="C7563" s="51">
        <v>1.001</v>
      </c>
      <c r="D7563" s="51">
        <v>68.0</v>
      </c>
      <c r="E7563" s="52" t="s">
        <v>25</v>
      </c>
      <c r="F7563" s="52" t="s">
        <v>26</v>
      </c>
      <c r="G7563" s="54"/>
    </row>
    <row r="7564">
      <c r="A7564" s="49">
        <v>45100.73196908565</v>
      </c>
      <c r="B7564" s="50">
        <v>45100.8569417476</v>
      </c>
      <c r="C7564" s="51">
        <v>1.001</v>
      </c>
      <c r="D7564" s="51">
        <v>68.0</v>
      </c>
      <c r="E7564" s="52" t="s">
        <v>25</v>
      </c>
      <c r="F7564" s="52" t="s">
        <v>26</v>
      </c>
      <c r="G7564" s="54"/>
    </row>
    <row r="7565">
      <c r="A7565" s="49">
        <v>45100.74240216435</v>
      </c>
      <c r="B7565" s="50">
        <v>45100.8673754282</v>
      </c>
      <c r="C7565" s="51">
        <v>1.001</v>
      </c>
      <c r="D7565" s="51">
        <v>68.0</v>
      </c>
      <c r="E7565" s="52" t="s">
        <v>25</v>
      </c>
      <c r="F7565" s="52" t="s">
        <v>26</v>
      </c>
      <c r="G7565" s="54"/>
    </row>
    <row r="7566">
      <c r="A7566" s="49">
        <v>45100.752823993054</v>
      </c>
      <c r="B7566" s="50">
        <v>45100.8777966782</v>
      </c>
      <c r="C7566" s="51">
        <v>1.001</v>
      </c>
      <c r="D7566" s="51">
        <v>68.0</v>
      </c>
      <c r="E7566" s="52" t="s">
        <v>25</v>
      </c>
      <c r="F7566" s="52" t="s">
        <v>26</v>
      </c>
      <c r="G7566" s="54"/>
    </row>
    <row r="7567">
      <c r="A7567" s="49">
        <v>45100.763236087965</v>
      </c>
      <c r="B7567" s="50">
        <v>45100.8882189351</v>
      </c>
      <c r="C7567" s="51">
        <v>1.001</v>
      </c>
      <c r="D7567" s="51">
        <v>68.0</v>
      </c>
      <c r="E7567" s="52" t="s">
        <v>25</v>
      </c>
      <c r="F7567" s="52" t="s">
        <v>26</v>
      </c>
      <c r="G7567" s="54"/>
    </row>
    <row r="7568">
      <c r="A7568" s="49">
        <v>45100.77366439815</v>
      </c>
      <c r="B7568" s="50">
        <v>45100.898640405</v>
      </c>
      <c r="C7568" s="51">
        <v>1.001</v>
      </c>
      <c r="D7568" s="51">
        <v>68.0</v>
      </c>
      <c r="E7568" s="52" t="s">
        <v>25</v>
      </c>
      <c r="F7568" s="52" t="s">
        <v>26</v>
      </c>
      <c r="G7568" s="54"/>
    </row>
    <row r="7569">
      <c r="A7569" s="49">
        <v>45100.784087673615</v>
      </c>
      <c r="B7569" s="50">
        <v>45100.9090616898</v>
      </c>
      <c r="C7569" s="51">
        <v>1.001</v>
      </c>
      <c r="D7569" s="51">
        <v>68.0</v>
      </c>
      <c r="E7569" s="52" t="s">
        <v>25</v>
      </c>
      <c r="F7569" s="52" t="s">
        <v>26</v>
      </c>
      <c r="G7569" s="54"/>
    </row>
    <row r="7570">
      <c r="A7570" s="49">
        <v>45100.79452358796</v>
      </c>
      <c r="B7570" s="50">
        <v>45100.9194953935</v>
      </c>
      <c r="C7570" s="51">
        <v>1.001</v>
      </c>
      <c r="D7570" s="51">
        <v>68.0</v>
      </c>
      <c r="E7570" s="52" t="s">
        <v>25</v>
      </c>
      <c r="F7570" s="52" t="s">
        <v>26</v>
      </c>
      <c r="G7570" s="54"/>
    </row>
    <row r="7571">
      <c r="A7571" s="49">
        <v>45100.804937719906</v>
      </c>
      <c r="B7571" s="50">
        <v>45100.9299164467</v>
      </c>
      <c r="C7571" s="51">
        <v>1.001</v>
      </c>
      <c r="D7571" s="51">
        <v>68.0</v>
      </c>
      <c r="E7571" s="52" t="s">
        <v>25</v>
      </c>
      <c r="F7571" s="52" t="s">
        <v>26</v>
      </c>
      <c r="G7571" s="54"/>
    </row>
    <row r="7572">
      <c r="A7572" s="49">
        <v>45100.815363773145</v>
      </c>
      <c r="B7572" s="50">
        <v>45100.9403377083</v>
      </c>
      <c r="C7572" s="51">
        <v>1.001</v>
      </c>
      <c r="D7572" s="51">
        <v>68.0</v>
      </c>
      <c r="E7572" s="52" t="s">
        <v>25</v>
      </c>
      <c r="F7572" s="52" t="s">
        <v>26</v>
      </c>
      <c r="G7572" s="54"/>
    </row>
    <row r="7573">
      <c r="A7573" s="49">
        <v>45100.82578959491</v>
      </c>
      <c r="B7573" s="50">
        <v>45100.950756493</v>
      </c>
      <c r="C7573" s="51">
        <v>1.001</v>
      </c>
      <c r="D7573" s="51">
        <v>68.0</v>
      </c>
      <c r="E7573" s="52" t="s">
        <v>25</v>
      </c>
      <c r="F7573" s="52" t="s">
        <v>26</v>
      </c>
      <c r="G7573" s="54"/>
    </row>
    <row r="7574">
      <c r="A7574" s="49">
        <v>45100.836202094906</v>
      </c>
      <c r="B7574" s="50">
        <v>45100.961177824</v>
      </c>
      <c r="C7574" s="51">
        <v>1.001</v>
      </c>
      <c r="D7574" s="51">
        <v>68.0</v>
      </c>
      <c r="E7574" s="52" t="s">
        <v>25</v>
      </c>
      <c r="F7574" s="52" t="s">
        <v>26</v>
      </c>
      <c r="G7574" s="54"/>
    </row>
    <row r="7575">
      <c r="A7575" s="49">
        <v>45100.846628252315</v>
      </c>
      <c r="B7575" s="50">
        <v>45100.9715993634</v>
      </c>
      <c r="C7575" s="51">
        <v>1.001</v>
      </c>
      <c r="D7575" s="51">
        <v>68.0</v>
      </c>
      <c r="E7575" s="52" t="s">
        <v>25</v>
      </c>
      <c r="F7575" s="52" t="s">
        <v>26</v>
      </c>
      <c r="G7575" s="54"/>
    </row>
    <row r="7576">
      <c r="A7576" s="49">
        <v>45100.85704185185</v>
      </c>
      <c r="B7576" s="50">
        <v>45100.9820204051</v>
      </c>
      <c r="C7576" s="51">
        <v>1.001</v>
      </c>
      <c r="D7576" s="51">
        <v>68.0</v>
      </c>
      <c r="E7576" s="52" t="s">
        <v>25</v>
      </c>
      <c r="F7576" s="52" t="s">
        <v>26</v>
      </c>
      <c r="G7576" s="54"/>
    </row>
    <row r="7577">
      <c r="A7577" s="49">
        <v>45100.867470185185</v>
      </c>
      <c r="B7577" s="50">
        <v>45100.9924411111</v>
      </c>
      <c r="C7577" s="51">
        <v>1.001</v>
      </c>
      <c r="D7577" s="51">
        <v>68.0</v>
      </c>
      <c r="E7577" s="52" t="s">
        <v>25</v>
      </c>
      <c r="F7577" s="52" t="s">
        <v>26</v>
      </c>
      <c r="G7577" s="54"/>
    </row>
    <row r="7578">
      <c r="A7578" s="49">
        <v>45100.877887256946</v>
      </c>
      <c r="B7578" s="50">
        <v>45101.0028610763</v>
      </c>
      <c r="C7578" s="51">
        <v>1.001</v>
      </c>
      <c r="D7578" s="51">
        <v>68.0</v>
      </c>
      <c r="E7578" s="52" t="s">
        <v>25</v>
      </c>
      <c r="F7578" s="52" t="s">
        <v>26</v>
      </c>
      <c r="G7578" s="54"/>
    </row>
    <row r="7579">
      <c r="A7579" s="49">
        <v>45100.88831106482</v>
      </c>
      <c r="B7579" s="50">
        <v>45101.0132814467</v>
      </c>
      <c r="C7579" s="51">
        <v>1.001</v>
      </c>
      <c r="D7579" s="51">
        <v>68.0</v>
      </c>
      <c r="E7579" s="52" t="s">
        <v>25</v>
      </c>
      <c r="F7579" s="52" t="s">
        <v>26</v>
      </c>
      <c r="G7579" s="54"/>
    </row>
    <row r="7580">
      <c r="A7580" s="49">
        <v>45100.89872646991</v>
      </c>
      <c r="B7580" s="50">
        <v>45101.0237031828</v>
      </c>
      <c r="C7580" s="51">
        <v>1.001</v>
      </c>
      <c r="D7580" s="51">
        <v>68.0</v>
      </c>
      <c r="E7580" s="52" t="s">
        <v>25</v>
      </c>
      <c r="F7580" s="52" t="s">
        <v>26</v>
      </c>
      <c r="G7580" s="54"/>
    </row>
    <row r="7581">
      <c r="A7581" s="49">
        <v>45100.9091544213</v>
      </c>
      <c r="B7581" s="50">
        <v>45101.0341248263</v>
      </c>
      <c r="C7581" s="51">
        <v>1.001</v>
      </c>
      <c r="D7581" s="51">
        <v>68.0</v>
      </c>
      <c r="E7581" s="52" t="s">
        <v>25</v>
      </c>
      <c r="F7581" s="52" t="s">
        <v>26</v>
      </c>
      <c r="G7581" s="54"/>
    </row>
    <row r="7582">
      <c r="A7582" s="49">
        <v>45100.91956929398</v>
      </c>
      <c r="B7582" s="50">
        <v>45101.0445470486</v>
      </c>
      <c r="C7582" s="51">
        <v>1.001</v>
      </c>
      <c r="D7582" s="51">
        <v>68.0</v>
      </c>
      <c r="E7582" s="52" t="s">
        <v>25</v>
      </c>
      <c r="F7582" s="52" t="s">
        <v>26</v>
      </c>
      <c r="G7582" s="54"/>
    </row>
    <row r="7583">
      <c r="A7583" s="49">
        <v>45100.929997604166</v>
      </c>
      <c r="B7583" s="50">
        <v>45101.0549680092</v>
      </c>
      <c r="C7583" s="51">
        <v>1.0</v>
      </c>
      <c r="D7583" s="51">
        <v>68.0</v>
      </c>
      <c r="E7583" s="52" t="s">
        <v>25</v>
      </c>
      <c r="F7583" s="52" t="s">
        <v>26</v>
      </c>
      <c r="G7583" s="54"/>
    </row>
    <row r="7584">
      <c r="A7584" s="49">
        <v>45100.94041873842</v>
      </c>
      <c r="B7584" s="50">
        <v>45101.065388831</v>
      </c>
      <c r="C7584" s="51">
        <v>1.001</v>
      </c>
      <c r="D7584" s="51">
        <v>68.0</v>
      </c>
      <c r="E7584" s="52" t="s">
        <v>25</v>
      </c>
      <c r="F7584" s="52" t="s">
        <v>26</v>
      </c>
      <c r="G7584" s="54"/>
    </row>
    <row r="7585">
      <c r="A7585" s="49">
        <v>45100.95083502315</v>
      </c>
      <c r="B7585" s="50">
        <v>45101.0758097685</v>
      </c>
      <c r="C7585" s="51">
        <v>1.001</v>
      </c>
      <c r="D7585" s="51">
        <v>68.0</v>
      </c>
      <c r="E7585" s="52" t="s">
        <v>25</v>
      </c>
      <c r="F7585" s="52" t="s">
        <v>26</v>
      </c>
      <c r="G7585" s="54"/>
    </row>
    <row r="7586">
      <c r="A7586" s="49">
        <v>45100.96126240741</v>
      </c>
      <c r="B7586" s="50">
        <v>45101.0862315625</v>
      </c>
      <c r="C7586" s="51">
        <v>1.001</v>
      </c>
      <c r="D7586" s="51">
        <v>68.0</v>
      </c>
      <c r="E7586" s="52" t="s">
        <v>25</v>
      </c>
      <c r="F7586" s="52" t="s">
        <v>26</v>
      </c>
      <c r="G7586" s="54"/>
    </row>
    <row r="7587">
      <c r="A7587" s="49">
        <v>45100.97167832176</v>
      </c>
      <c r="B7587" s="50">
        <v>45101.0966534259</v>
      </c>
      <c r="C7587" s="51">
        <v>1.001</v>
      </c>
      <c r="D7587" s="51">
        <v>68.0</v>
      </c>
      <c r="E7587" s="52" t="s">
        <v>25</v>
      </c>
      <c r="F7587" s="52" t="s">
        <v>26</v>
      </c>
      <c r="G7587" s="54"/>
    </row>
    <row r="7588">
      <c r="A7588" s="49">
        <v>45100.98210359954</v>
      </c>
      <c r="B7588" s="50">
        <v>45101.1070765277</v>
      </c>
      <c r="C7588" s="51">
        <v>1.001</v>
      </c>
      <c r="D7588" s="51">
        <v>68.0</v>
      </c>
      <c r="E7588" s="52" t="s">
        <v>25</v>
      </c>
      <c r="F7588" s="52" t="s">
        <v>26</v>
      </c>
      <c r="G7588" s="54"/>
    </row>
    <row r="7589">
      <c r="A7589" s="49">
        <v>45100.99252047454</v>
      </c>
      <c r="B7589" s="50">
        <v>45101.1174982175</v>
      </c>
      <c r="C7589" s="51">
        <v>1.001</v>
      </c>
      <c r="D7589" s="51">
        <v>68.0</v>
      </c>
      <c r="E7589" s="52" t="s">
        <v>25</v>
      </c>
      <c r="F7589" s="52" t="s">
        <v>26</v>
      </c>
      <c r="G7589" s="54"/>
    </row>
    <row r="7590">
      <c r="A7590" s="49">
        <v>45101.00294746528</v>
      </c>
      <c r="B7590" s="50">
        <v>45101.1279179861</v>
      </c>
      <c r="C7590" s="51">
        <v>1.001</v>
      </c>
      <c r="D7590" s="51">
        <v>68.0</v>
      </c>
      <c r="E7590" s="52" t="s">
        <v>25</v>
      </c>
      <c r="F7590" s="52" t="s">
        <v>26</v>
      </c>
      <c r="G7590" s="54"/>
    </row>
    <row r="7591">
      <c r="A7591" s="49">
        <v>45101.01336599537</v>
      </c>
      <c r="B7591" s="50">
        <v>45101.1383390162</v>
      </c>
      <c r="C7591" s="51">
        <v>1.001</v>
      </c>
      <c r="D7591" s="51">
        <v>68.0</v>
      </c>
      <c r="E7591" s="52" t="s">
        <v>25</v>
      </c>
      <c r="F7591" s="52" t="s">
        <v>26</v>
      </c>
      <c r="G7591" s="54"/>
    </row>
    <row r="7592">
      <c r="A7592" s="49">
        <v>45101.0238043287</v>
      </c>
      <c r="B7592" s="50">
        <v>45101.1487736342</v>
      </c>
      <c r="C7592" s="51">
        <v>1.0</v>
      </c>
      <c r="D7592" s="51">
        <v>68.0</v>
      </c>
      <c r="E7592" s="52" t="s">
        <v>25</v>
      </c>
      <c r="F7592" s="52" t="s">
        <v>26</v>
      </c>
      <c r="G7592" s="54"/>
    </row>
    <row r="7593">
      <c r="A7593" s="49">
        <v>45101.03422734953</v>
      </c>
      <c r="B7593" s="50">
        <v>45101.1591955902</v>
      </c>
      <c r="C7593" s="51">
        <v>1.001</v>
      </c>
      <c r="D7593" s="51">
        <v>68.0</v>
      </c>
      <c r="E7593" s="52" t="s">
        <v>25</v>
      </c>
      <c r="F7593" s="52" t="s">
        <v>26</v>
      </c>
      <c r="G7593" s="54"/>
    </row>
    <row r="7594">
      <c r="A7594" s="49">
        <v>45101.044646423616</v>
      </c>
      <c r="B7594" s="50">
        <v>45101.1696277199</v>
      </c>
      <c r="C7594" s="51">
        <v>1.001</v>
      </c>
      <c r="D7594" s="51">
        <v>68.0</v>
      </c>
      <c r="E7594" s="52" t="s">
        <v>25</v>
      </c>
      <c r="F7594" s="52" t="s">
        <v>26</v>
      </c>
      <c r="G7594" s="54"/>
    </row>
    <row r="7595">
      <c r="A7595" s="49">
        <v>45101.055115069445</v>
      </c>
      <c r="B7595" s="50">
        <v>45101.1800837268</v>
      </c>
      <c r="C7595" s="51">
        <v>1.001</v>
      </c>
      <c r="D7595" s="51">
        <v>68.0</v>
      </c>
      <c r="E7595" s="52" t="s">
        <v>25</v>
      </c>
      <c r="F7595" s="52" t="s">
        <v>26</v>
      </c>
      <c r="G7595" s="54"/>
    </row>
    <row r="7596">
      <c r="A7596" s="49">
        <v>45101.06553408565</v>
      </c>
      <c r="B7596" s="50">
        <v>45101.1905070717</v>
      </c>
      <c r="C7596" s="51">
        <v>1.001</v>
      </c>
      <c r="D7596" s="51">
        <v>68.0</v>
      </c>
      <c r="E7596" s="52" t="s">
        <v>25</v>
      </c>
      <c r="F7596" s="52" t="s">
        <v>26</v>
      </c>
      <c r="G7596" s="54"/>
    </row>
    <row r="7597">
      <c r="A7597" s="49">
        <v>45101.075955486114</v>
      </c>
      <c r="B7597" s="50">
        <v>45101.2009273379</v>
      </c>
      <c r="C7597" s="51">
        <v>1.001</v>
      </c>
      <c r="D7597" s="51">
        <v>68.0</v>
      </c>
      <c r="E7597" s="52" t="s">
        <v>25</v>
      </c>
      <c r="F7597" s="52" t="s">
        <v>26</v>
      </c>
      <c r="G7597" s="54"/>
    </row>
    <row r="7598">
      <c r="A7598" s="49">
        <v>45101.08637651621</v>
      </c>
      <c r="B7598" s="50">
        <v>45101.2113511226</v>
      </c>
      <c r="C7598" s="51">
        <v>1.001</v>
      </c>
      <c r="D7598" s="51">
        <v>68.0</v>
      </c>
      <c r="E7598" s="52" t="s">
        <v>25</v>
      </c>
      <c r="F7598" s="52" t="s">
        <v>26</v>
      </c>
      <c r="G7598" s="54"/>
    </row>
    <row r="7599">
      <c r="A7599" s="49">
        <v>45101.09680454861</v>
      </c>
      <c r="B7599" s="50">
        <v>45101.2217743634</v>
      </c>
      <c r="C7599" s="51">
        <v>1.001</v>
      </c>
      <c r="D7599" s="51">
        <v>68.0</v>
      </c>
      <c r="E7599" s="52" t="s">
        <v>25</v>
      </c>
      <c r="F7599" s="52" t="s">
        <v>26</v>
      </c>
      <c r="G7599" s="54"/>
    </row>
    <row r="7600">
      <c r="A7600" s="49">
        <v>45101.10589333333</v>
      </c>
      <c r="B7600" s="50">
        <v>45101.2307993981</v>
      </c>
      <c r="C7600" s="51">
        <v>1.001</v>
      </c>
      <c r="D7600" s="51">
        <v>68.0</v>
      </c>
      <c r="E7600" s="52" t="s">
        <v>25</v>
      </c>
      <c r="F7600" s="52" t="s">
        <v>26</v>
      </c>
      <c r="G7600" s="54"/>
    </row>
    <row r="7601">
      <c r="A7601" s="49">
        <v>45101.11630545139</v>
      </c>
      <c r="B7601" s="50">
        <v>45101.2412228588</v>
      </c>
      <c r="C7601" s="51">
        <v>1.001</v>
      </c>
      <c r="D7601" s="51">
        <v>68.0</v>
      </c>
      <c r="E7601" s="52" t="s">
        <v>25</v>
      </c>
      <c r="F7601" s="52" t="s">
        <v>26</v>
      </c>
      <c r="G7601" s="54"/>
    </row>
    <row r="7602">
      <c r="A7602" s="49">
        <v>45101.12666834491</v>
      </c>
      <c r="B7602" s="50">
        <v>45101.2516437384</v>
      </c>
      <c r="C7602" s="51">
        <v>1.001</v>
      </c>
      <c r="D7602" s="51">
        <v>68.0</v>
      </c>
      <c r="E7602" s="52" t="s">
        <v>25</v>
      </c>
      <c r="F7602" s="52" t="s">
        <v>26</v>
      </c>
      <c r="G7602" s="54"/>
    </row>
    <row r="7603">
      <c r="A7603" s="49">
        <v>45101.13708722222</v>
      </c>
      <c r="B7603" s="50">
        <v>45101.2620650231</v>
      </c>
      <c r="C7603" s="51">
        <v>1.001</v>
      </c>
      <c r="D7603" s="51">
        <v>68.0</v>
      </c>
      <c r="E7603" s="52" t="s">
        <v>25</v>
      </c>
      <c r="F7603" s="52" t="s">
        <v>26</v>
      </c>
      <c r="G7603" s="54"/>
    </row>
    <row r="7604">
      <c r="A7604" s="49">
        <v>45101.147524618056</v>
      </c>
      <c r="B7604" s="50">
        <v>45101.2724865972</v>
      </c>
      <c r="C7604" s="51">
        <v>1.001</v>
      </c>
      <c r="D7604" s="51">
        <v>68.0</v>
      </c>
      <c r="E7604" s="52" t="s">
        <v>25</v>
      </c>
      <c r="F7604" s="52" t="s">
        <v>26</v>
      </c>
      <c r="G7604" s="54"/>
    </row>
    <row r="7605">
      <c r="A7605" s="49">
        <v>45101.15793877315</v>
      </c>
      <c r="B7605" s="50">
        <v>45101.2829081481</v>
      </c>
      <c r="C7605" s="51">
        <v>1.001</v>
      </c>
      <c r="D7605" s="51">
        <v>68.0</v>
      </c>
      <c r="E7605" s="52" t="s">
        <v>25</v>
      </c>
      <c r="F7605" s="52" t="s">
        <v>26</v>
      </c>
      <c r="G7605" s="54"/>
    </row>
    <row r="7606">
      <c r="A7606" s="49">
        <v>45101.16835959491</v>
      </c>
      <c r="B7606" s="50">
        <v>45101.2933298032</v>
      </c>
      <c r="C7606" s="51">
        <v>1.001</v>
      </c>
      <c r="D7606" s="51">
        <v>68.0</v>
      </c>
      <c r="E7606" s="52" t="s">
        <v>25</v>
      </c>
      <c r="F7606" s="52" t="s">
        <v>26</v>
      </c>
      <c r="G7606" s="54"/>
    </row>
    <row r="7607">
      <c r="A7607" s="49">
        <v>45101.17877817129</v>
      </c>
      <c r="B7607" s="50">
        <v>45101.3037500347</v>
      </c>
      <c r="C7607" s="51">
        <v>1.001</v>
      </c>
      <c r="D7607" s="51">
        <v>68.0</v>
      </c>
      <c r="E7607" s="52" t="s">
        <v>25</v>
      </c>
      <c r="F7607" s="52" t="s">
        <v>26</v>
      </c>
      <c r="G7607" s="54"/>
    </row>
    <row r="7608">
      <c r="A7608" s="49">
        <v>45101.189198125</v>
      </c>
      <c r="B7608" s="50">
        <v>45101.3141714236</v>
      </c>
      <c r="C7608" s="51">
        <v>1.001</v>
      </c>
      <c r="D7608" s="51">
        <v>68.0</v>
      </c>
      <c r="E7608" s="52" t="s">
        <v>25</v>
      </c>
      <c r="F7608" s="52" t="s">
        <v>26</v>
      </c>
      <c r="G7608" s="54"/>
    </row>
    <row r="7609">
      <c r="A7609" s="49">
        <v>45101.19961391204</v>
      </c>
      <c r="B7609" s="50">
        <v>45101.3245934027</v>
      </c>
      <c r="C7609" s="51">
        <v>1.001</v>
      </c>
      <c r="D7609" s="51">
        <v>68.0</v>
      </c>
      <c r="E7609" s="52" t="s">
        <v>25</v>
      </c>
      <c r="F7609" s="52" t="s">
        <v>26</v>
      </c>
      <c r="G7609" s="54"/>
    </row>
    <row r="7610">
      <c r="A7610" s="49">
        <v>45101.21004636574</v>
      </c>
      <c r="B7610" s="50">
        <v>45101.3350134606</v>
      </c>
      <c r="C7610" s="51">
        <v>1.001</v>
      </c>
      <c r="D7610" s="51">
        <v>68.0</v>
      </c>
      <c r="E7610" s="52" t="s">
        <v>25</v>
      </c>
      <c r="F7610" s="52" t="s">
        <v>26</v>
      </c>
      <c r="G7610" s="54"/>
    </row>
    <row r="7611">
      <c r="A7611" s="49">
        <v>45101.22046337963</v>
      </c>
      <c r="B7611" s="50">
        <v>45101.3454347916</v>
      </c>
      <c r="C7611" s="51">
        <v>1.001</v>
      </c>
      <c r="D7611" s="51">
        <v>68.0</v>
      </c>
      <c r="E7611" s="52" t="s">
        <v>25</v>
      </c>
      <c r="F7611" s="52" t="s">
        <v>26</v>
      </c>
      <c r="G7611" s="54"/>
    </row>
    <row r="7612">
      <c r="A7612" s="49">
        <v>45101.23088053241</v>
      </c>
      <c r="B7612" s="50">
        <v>45101.3558549421</v>
      </c>
      <c r="C7612" s="51">
        <v>1.001</v>
      </c>
      <c r="D7612" s="51">
        <v>68.0</v>
      </c>
      <c r="E7612" s="52" t="s">
        <v>25</v>
      </c>
      <c r="F7612" s="52" t="s">
        <v>26</v>
      </c>
      <c r="G7612" s="54"/>
    </row>
    <row r="7613">
      <c r="A7613" s="49">
        <v>45101.241293009254</v>
      </c>
      <c r="B7613" s="50">
        <v>45101.3662759143</v>
      </c>
      <c r="C7613" s="51">
        <v>1.001</v>
      </c>
      <c r="D7613" s="51">
        <v>68.0</v>
      </c>
      <c r="E7613" s="52" t="s">
        <v>25</v>
      </c>
      <c r="F7613" s="52" t="s">
        <v>26</v>
      </c>
      <c r="G7613" s="54"/>
    </row>
    <row r="7614">
      <c r="A7614" s="49">
        <v>45101.25172461805</v>
      </c>
      <c r="B7614" s="50">
        <v>45101.3766971875</v>
      </c>
      <c r="C7614" s="51">
        <v>1.001</v>
      </c>
      <c r="D7614" s="51">
        <v>68.0</v>
      </c>
      <c r="E7614" s="52" t="s">
        <v>25</v>
      </c>
      <c r="F7614" s="52" t="s">
        <v>26</v>
      </c>
      <c r="G7614" s="54"/>
    </row>
    <row r="7615">
      <c r="A7615" s="49">
        <v>45101.262139687504</v>
      </c>
      <c r="B7615" s="50">
        <v>45101.3871182407</v>
      </c>
      <c r="C7615" s="51">
        <v>1.001</v>
      </c>
      <c r="D7615" s="51">
        <v>68.0</v>
      </c>
      <c r="E7615" s="52" t="s">
        <v>25</v>
      </c>
      <c r="F7615" s="52" t="s">
        <v>26</v>
      </c>
      <c r="G7615" s="54"/>
    </row>
    <row r="7616">
      <c r="A7616" s="49">
        <v>45101.272570497684</v>
      </c>
      <c r="B7616" s="50">
        <v>45101.397538449</v>
      </c>
      <c r="C7616" s="51">
        <v>1.001</v>
      </c>
      <c r="D7616" s="51">
        <v>68.0</v>
      </c>
      <c r="E7616" s="52" t="s">
        <v>25</v>
      </c>
      <c r="F7616" s="52" t="s">
        <v>26</v>
      </c>
      <c r="G7616" s="54"/>
    </row>
    <row r="7617">
      <c r="A7617" s="49">
        <v>45101.282984247686</v>
      </c>
      <c r="B7617" s="50">
        <v>45101.40796</v>
      </c>
      <c r="C7617" s="51">
        <v>1.001</v>
      </c>
      <c r="D7617" s="51">
        <v>68.0</v>
      </c>
      <c r="E7617" s="52" t="s">
        <v>25</v>
      </c>
      <c r="F7617" s="52" t="s">
        <v>26</v>
      </c>
      <c r="G7617" s="54"/>
    </row>
    <row r="7618">
      <c r="A7618" s="49">
        <v>45101.29340293982</v>
      </c>
      <c r="B7618" s="50">
        <v>45101.4183804629</v>
      </c>
      <c r="C7618" s="51">
        <v>1.001</v>
      </c>
      <c r="D7618" s="51">
        <v>68.0</v>
      </c>
      <c r="E7618" s="52" t="s">
        <v>25</v>
      </c>
      <c r="F7618" s="52" t="s">
        <v>26</v>
      </c>
      <c r="G7618" s="54"/>
    </row>
    <row r="7619">
      <c r="A7619" s="49">
        <v>45101.3038303588</v>
      </c>
      <c r="B7619" s="50">
        <v>45101.4288012731</v>
      </c>
      <c r="C7619" s="51">
        <v>1.001</v>
      </c>
      <c r="D7619" s="51">
        <v>68.0</v>
      </c>
      <c r="E7619" s="52" t="s">
        <v>25</v>
      </c>
      <c r="F7619" s="52" t="s">
        <v>26</v>
      </c>
      <c r="G7619" s="54"/>
    </row>
    <row r="7620">
      <c r="A7620" s="49">
        <v>45101.31427916666</v>
      </c>
      <c r="B7620" s="50">
        <v>45101.4392462731</v>
      </c>
      <c r="C7620" s="51">
        <v>1.001</v>
      </c>
      <c r="D7620" s="51">
        <v>68.0</v>
      </c>
      <c r="E7620" s="52" t="s">
        <v>25</v>
      </c>
      <c r="F7620" s="52" t="s">
        <v>26</v>
      </c>
      <c r="G7620" s="54"/>
    </row>
    <row r="7621">
      <c r="A7621" s="49">
        <v>45101.324700173616</v>
      </c>
      <c r="B7621" s="50">
        <v>45101.4496694676</v>
      </c>
      <c r="C7621" s="51">
        <v>1.001</v>
      </c>
      <c r="D7621" s="51">
        <v>68.0</v>
      </c>
      <c r="E7621" s="52" t="s">
        <v>25</v>
      </c>
      <c r="F7621" s="52" t="s">
        <v>26</v>
      </c>
      <c r="G7621" s="54"/>
    </row>
    <row r="7622">
      <c r="A7622" s="49">
        <v>45101.33512960648</v>
      </c>
      <c r="B7622" s="50">
        <v>45101.4601044791</v>
      </c>
      <c r="C7622" s="51">
        <v>1.001</v>
      </c>
      <c r="D7622" s="51">
        <v>68.0</v>
      </c>
      <c r="E7622" s="52" t="s">
        <v>25</v>
      </c>
      <c r="F7622" s="52" t="s">
        <v>26</v>
      </c>
      <c r="G7622" s="54"/>
    </row>
    <row r="7623">
      <c r="A7623" s="49">
        <v>45101.34555513889</v>
      </c>
      <c r="B7623" s="50">
        <v>45101.4705358564</v>
      </c>
      <c r="C7623" s="51">
        <v>1.001</v>
      </c>
      <c r="D7623" s="51">
        <v>68.0</v>
      </c>
      <c r="E7623" s="52" t="s">
        <v>25</v>
      </c>
      <c r="F7623" s="52" t="s">
        <v>26</v>
      </c>
      <c r="G7623" s="54"/>
    </row>
    <row r="7624">
      <c r="A7624" s="49">
        <v>45101.35598559028</v>
      </c>
      <c r="B7624" s="50">
        <v>45101.4809568171</v>
      </c>
      <c r="C7624" s="51">
        <v>1.001</v>
      </c>
      <c r="D7624" s="51">
        <v>68.0</v>
      </c>
      <c r="E7624" s="52" t="s">
        <v>25</v>
      </c>
      <c r="F7624" s="52" t="s">
        <v>26</v>
      </c>
      <c r="G7624" s="54"/>
    </row>
    <row r="7625">
      <c r="A7625" s="49">
        <v>45101.36640400463</v>
      </c>
      <c r="B7625" s="50">
        <v>45101.4913780787</v>
      </c>
      <c r="C7625" s="51">
        <v>1.001</v>
      </c>
      <c r="D7625" s="51">
        <v>68.0</v>
      </c>
      <c r="E7625" s="52" t="s">
        <v>25</v>
      </c>
      <c r="F7625" s="52" t="s">
        <v>26</v>
      </c>
      <c r="G7625" s="54"/>
    </row>
    <row r="7626">
      <c r="A7626" s="49">
        <v>45101.37682309028</v>
      </c>
      <c r="B7626" s="50">
        <v>45101.501799074</v>
      </c>
      <c r="C7626" s="51">
        <v>1.001</v>
      </c>
      <c r="D7626" s="51">
        <v>68.0</v>
      </c>
      <c r="E7626" s="52" t="s">
        <v>25</v>
      </c>
      <c r="F7626" s="52" t="s">
        <v>26</v>
      </c>
      <c r="G7626" s="54"/>
    </row>
    <row r="7627">
      <c r="A7627" s="49">
        <v>45101.387262118056</v>
      </c>
      <c r="B7627" s="50">
        <v>45101.5122324652</v>
      </c>
      <c r="C7627" s="51">
        <v>1.001</v>
      </c>
      <c r="D7627" s="51">
        <v>68.0</v>
      </c>
      <c r="E7627" s="52" t="s">
        <v>25</v>
      </c>
      <c r="F7627" s="52" t="s">
        <v>26</v>
      </c>
      <c r="G7627" s="54"/>
    </row>
    <row r="7628">
      <c r="A7628" s="49">
        <v>45101.39768731481</v>
      </c>
      <c r="B7628" s="50">
        <v>45101.5226655439</v>
      </c>
      <c r="C7628" s="51">
        <v>1.001</v>
      </c>
      <c r="D7628" s="51">
        <v>68.0</v>
      </c>
      <c r="E7628" s="52" t="s">
        <v>25</v>
      </c>
      <c r="F7628" s="52" t="s">
        <v>26</v>
      </c>
      <c r="G7628" s="54"/>
    </row>
    <row r="7629">
      <c r="A7629" s="49">
        <v>45101.40810834491</v>
      </c>
      <c r="B7629" s="50">
        <v>45101.5330852546</v>
      </c>
      <c r="C7629" s="51">
        <v>1.001</v>
      </c>
      <c r="D7629" s="51">
        <v>68.0</v>
      </c>
      <c r="E7629" s="52" t="s">
        <v>25</v>
      </c>
      <c r="F7629" s="52" t="s">
        <v>26</v>
      </c>
      <c r="G7629" s="54"/>
    </row>
    <row r="7630">
      <c r="A7630" s="49">
        <v>45101.418530324074</v>
      </c>
      <c r="B7630" s="50">
        <v>45101.5435059027</v>
      </c>
      <c r="C7630" s="51">
        <v>1.001</v>
      </c>
      <c r="D7630" s="51">
        <v>68.0</v>
      </c>
      <c r="E7630" s="52" t="s">
        <v>25</v>
      </c>
      <c r="F7630" s="52" t="s">
        <v>26</v>
      </c>
      <c r="G7630" s="54"/>
    </row>
    <row r="7631">
      <c r="A7631" s="49">
        <v>45101.428952013885</v>
      </c>
      <c r="B7631" s="50">
        <v>45101.5539284953</v>
      </c>
      <c r="C7631" s="51">
        <v>1.001</v>
      </c>
      <c r="D7631" s="51">
        <v>68.0</v>
      </c>
      <c r="E7631" s="52" t="s">
        <v>25</v>
      </c>
      <c r="F7631" s="52" t="s">
        <v>26</v>
      </c>
      <c r="G7631" s="54"/>
    </row>
    <row r="7632">
      <c r="A7632" s="49">
        <v>45101.43937743056</v>
      </c>
      <c r="B7632" s="50">
        <v>45101.5643493981</v>
      </c>
      <c r="C7632" s="51">
        <v>1.001</v>
      </c>
      <c r="D7632" s="51">
        <v>68.0</v>
      </c>
      <c r="E7632" s="52" t="s">
        <v>25</v>
      </c>
      <c r="F7632" s="52" t="s">
        <v>26</v>
      </c>
      <c r="G7632" s="54"/>
    </row>
    <row r="7633">
      <c r="A7633" s="49">
        <v>45101.44981465278</v>
      </c>
      <c r="B7633" s="50">
        <v>45101.5747717013</v>
      </c>
      <c r="C7633" s="51">
        <v>1.001</v>
      </c>
      <c r="D7633" s="51">
        <v>68.0</v>
      </c>
      <c r="E7633" s="52" t="s">
        <v>25</v>
      </c>
      <c r="F7633" s="52" t="s">
        <v>26</v>
      </c>
      <c r="G7633" s="54"/>
    </row>
    <row r="7634">
      <c r="A7634" s="49">
        <v>45101.46024690972</v>
      </c>
      <c r="B7634" s="50">
        <v>45101.5852172569</v>
      </c>
      <c r="C7634" s="51">
        <v>1.001</v>
      </c>
      <c r="D7634" s="51">
        <v>68.0</v>
      </c>
      <c r="E7634" s="52" t="s">
        <v>25</v>
      </c>
      <c r="F7634" s="52" t="s">
        <v>26</v>
      </c>
      <c r="G7634" s="54"/>
    </row>
    <row r="7635">
      <c r="A7635" s="49">
        <v>45101.470691863426</v>
      </c>
      <c r="B7635" s="50">
        <v>45101.5956627199</v>
      </c>
      <c r="C7635" s="51">
        <v>1.001</v>
      </c>
      <c r="D7635" s="51">
        <v>68.0</v>
      </c>
      <c r="E7635" s="52" t="s">
        <v>25</v>
      </c>
      <c r="F7635" s="52" t="s">
        <v>26</v>
      </c>
      <c r="G7635" s="54"/>
    </row>
    <row r="7636">
      <c r="A7636" s="49">
        <v>45101.48112578704</v>
      </c>
      <c r="B7636" s="50">
        <v>45101.606094375</v>
      </c>
      <c r="C7636" s="51">
        <v>1.001</v>
      </c>
      <c r="D7636" s="51">
        <v>68.0</v>
      </c>
      <c r="E7636" s="52" t="s">
        <v>25</v>
      </c>
      <c r="F7636" s="52" t="s">
        <v>26</v>
      </c>
      <c r="G7636" s="54"/>
    </row>
    <row r="7637">
      <c r="A7637" s="49">
        <v>45101.49154870371</v>
      </c>
      <c r="B7637" s="50">
        <v>45101.6165160995</v>
      </c>
      <c r="C7637" s="51">
        <v>1.001</v>
      </c>
      <c r="D7637" s="51">
        <v>68.0</v>
      </c>
      <c r="E7637" s="52" t="s">
        <v>25</v>
      </c>
      <c r="F7637" s="52" t="s">
        <v>26</v>
      </c>
      <c r="G7637" s="54"/>
    </row>
    <row r="7638">
      <c r="A7638" s="49">
        <v>45101.50196475694</v>
      </c>
      <c r="B7638" s="50">
        <v>45101.62693853</v>
      </c>
      <c r="C7638" s="51">
        <v>1.001</v>
      </c>
      <c r="D7638" s="51">
        <v>68.0</v>
      </c>
      <c r="E7638" s="52" t="s">
        <v>25</v>
      </c>
      <c r="F7638" s="52" t="s">
        <v>26</v>
      </c>
      <c r="G7638" s="54"/>
    </row>
    <row r="7639">
      <c r="A7639" s="49">
        <v>45101.512398391205</v>
      </c>
      <c r="B7639" s="50">
        <v>45101.6373713773</v>
      </c>
      <c r="C7639" s="51">
        <v>1.001</v>
      </c>
      <c r="D7639" s="51">
        <v>68.0</v>
      </c>
      <c r="E7639" s="52" t="s">
        <v>25</v>
      </c>
      <c r="F7639" s="52" t="s">
        <v>26</v>
      </c>
      <c r="G7639" s="54"/>
    </row>
    <row r="7640">
      <c r="A7640" s="49">
        <v>45101.522822430554</v>
      </c>
      <c r="B7640" s="50">
        <v>45101.6477923842</v>
      </c>
      <c r="C7640" s="51">
        <v>1.001</v>
      </c>
      <c r="D7640" s="51">
        <v>68.0</v>
      </c>
      <c r="E7640" s="52" t="s">
        <v>25</v>
      </c>
      <c r="F7640" s="52" t="s">
        <v>26</v>
      </c>
      <c r="G7640" s="54"/>
    </row>
    <row r="7641">
      <c r="A7641" s="49">
        <v>45101.53323259259</v>
      </c>
      <c r="B7641" s="50">
        <v>45101.6582135069</v>
      </c>
      <c r="C7641" s="51">
        <v>1.0</v>
      </c>
      <c r="D7641" s="51">
        <v>68.0</v>
      </c>
      <c r="E7641" s="52" t="s">
        <v>25</v>
      </c>
      <c r="F7641" s="52" t="s">
        <v>26</v>
      </c>
      <c r="G7641" s="54"/>
    </row>
    <row r="7642">
      <c r="A7642" s="49">
        <v>45101.54366015046</v>
      </c>
      <c r="B7642" s="50">
        <v>45101.6686335763</v>
      </c>
      <c r="C7642" s="51">
        <v>1.0</v>
      </c>
      <c r="D7642" s="51">
        <v>68.0</v>
      </c>
      <c r="E7642" s="52" t="s">
        <v>25</v>
      </c>
      <c r="F7642" s="52" t="s">
        <v>26</v>
      </c>
      <c r="G7642" s="54"/>
    </row>
    <row r="7643">
      <c r="A7643" s="49">
        <v>45101.554083125</v>
      </c>
      <c r="B7643" s="50">
        <v>45101.6790542361</v>
      </c>
      <c r="C7643" s="51">
        <v>1.001</v>
      </c>
      <c r="D7643" s="51">
        <v>68.0</v>
      </c>
      <c r="E7643" s="52" t="s">
        <v>25</v>
      </c>
      <c r="F7643" s="52" t="s">
        <v>26</v>
      </c>
      <c r="G7643" s="54"/>
    </row>
    <row r="7644">
      <c r="A7644" s="49">
        <v>45101.56451439815</v>
      </c>
      <c r="B7644" s="50">
        <v>45101.6894875347</v>
      </c>
      <c r="C7644" s="51">
        <v>1.001</v>
      </c>
      <c r="D7644" s="51">
        <v>68.0</v>
      </c>
      <c r="E7644" s="52" t="s">
        <v>25</v>
      </c>
      <c r="F7644" s="52" t="s">
        <v>26</v>
      </c>
      <c r="G7644" s="54"/>
    </row>
    <row r="7645">
      <c r="A7645" s="49">
        <v>45101.574939259255</v>
      </c>
      <c r="B7645" s="50">
        <v>45101.6999098264</v>
      </c>
      <c r="C7645" s="51">
        <v>1.0</v>
      </c>
      <c r="D7645" s="51">
        <v>68.0</v>
      </c>
      <c r="E7645" s="52" t="s">
        <v>25</v>
      </c>
      <c r="F7645" s="52" t="s">
        <v>26</v>
      </c>
      <c r="G7645" s="54"/>
    </row>
    <row r="7646">
      <c r="A7646" s="49">
        <v>45101.58537274305</v>
      </c>
      <c r="B7646" s="50">
        <v>45101.7103420486</v>
      </c>
      <c r="C7646" s="51">
        <v>1.001</v>
      </c>
      <c r="D7646" s="51">
        <v>68.0</v>
      </c>
      <c r="E7646" s="52" t="s">
        <v>25</v>
      </c>
      <c r="F7646" s="52" t="s">
        <v>26</v>
      </c>
      <c r="G7646" s="54"/>
    </row>
    <row r="7647">
      <c r="A7647" s="49">
        <v>45101.59578870371</v>
      </c>
      <c r="B7647" s="50">
        <v>45101.7207626273</v>
      </c>
      <c r="C7647" s="51">
        <v>1.001</v>
      </c>
      <c r="D7647" s="51">
        <v>68.0</v>
      </c>
      <c r="E7647" s="52" t="s">
        <v>25</v>
      </c>
      <c r="F7647" s="52" t="s">
        <v>26</v>
      </c>
      <c r="G7647" s="54"/>
    </row>
    <row r="7648">
      <c r="A7648" s="49">
        <v>45101.606211238424</v>
      </c>
      <c r="B7648" s="50">
        <v>45101.7311842013</v>
      </c>
      <c r="C7648" s="51">
        <v>1.0</v>
      </c>
      <c r="D7648" s="51">
        <v>68.0</v>
      </c>
      <c r="E7648" s="52" t="s">
        <v>25</v>
      </c>
      <c r="F7648" s="52" t="s">
        <v>26</v>
      </c>
      <c r="G7648" s="54"/>
    </row>
    <row r="7649">
      <c r="A7649" s="49">
        <v>45101.61663746528</v>
      </c>
      <c r="B7649" s="50">
        <v>45101.7416149189</v>
      </c>
      <c r="C7649" s="51">
        <v>1.001</v>
      </c>
      <c r="D7649" s="51">
        <v>68.0</v>
      </c>
      <c r="E7649" s="52" t="s">
        <v>25</v>
      </c>
      <c r="F7649" s="52" t="s">
        <v>26</v>
      </c>
      <c r="G7649" s="54"/>
    </row>
    <row r="7650">
      <c r="A7650" s="49">
        <v>45101.62706344908</v>
      </c>
      <c r="B7650" s="50">
        <v>45101.7520354861</v>
      </c>
      <c r="C7650" s="51">
        <v>1.001</v>
      </c>
      <c r="D7650" s="51">
        <v>68.0</v>
      </c>
      <c r="E7650" s="52" t="s">
        <v>25</v>
      </c>
      <c r="F7650" s="52" t="s">
        <v>26</v>
      </c>
      <c r="G7650" s="54"/>
    </row>
    <row r="7651">
      <c r="A7651" s="49">
        <v>45101.63748803241</v>
      </c>
      <c r="B7651" s="50">
        <v>45101.7624576736</v>
      </c>
      <c r="C7651" s="51">
        <v>1.001</v>
      </c>
      <c r="D7651" s="51">
        <v>68.0</v>
      </c>
      <c r="E7651" s="52" t="s">
        <v>25</v>
      </c>
      <c r="F7651" s="52" t="s">
        <v>26</v>
      </c>
      <c r="G7651" s="54"/>
    </row>
    <row r="7652">
      <c r="A7652" s="49">
        <v>45101.647908796294</v>
      </c>
      <c r="B7652" s="50">
        <v>45101.7728792245</v>
      </c>
      <c r="C7652" s="51">
        <v>1.0</v>
      </c>
      <c r="D7652" s="51">
        <v>68.0</v>
      </c>
      <c r="E7652" s="52" t="s">
        <v>25</v>
      </c>
      <c r="F7652" s="52" t="s">
        <v>26</v>
      </c>
      <c r="G7652" s="54"/>
    </row>
    <row r="7653">
      <c r="A7653" s="49">
        <v>45101.65833230324</v>
      </c>
      <c r="B7653" s="50">
        <v>45101.7833111226</v>
      </c>
      <c r="C7653" s="51">
        <v>1.001</v>
      </c>
      <c r="D7653" s="51">
        <v>68.0</v>
      </c>
      <c r="E7653" s="52" t="s">
        <v>25</v>
      </c>
      <c r="F7653" s="52" t="s">
        <v>26</v>
      </c>
      <c r="G7653" s="54"/>
    </row>
    <row r="7654">
      <c r="A7654" s="49">
        <v>45101.66875415509</v>
      </c>
      <c r="B7654" s="50">
        <v>45101.7937338541</v>
      </c>
      <c r="C7654" s="51">
        <v>1.001</v>
      </c>
      <c r="D7654" s="51">
        <v>68.0</v>
      </c>
      <c r="E7654" s="52" t="s">
        <v>25</v>
      </c>
      <c r="F7654" s="52" t="s">
        <v>26</v>
      </c>
      <c r="G7654" s="54"/>
    </row>
    <row r="7655">
      <c r="A7655" s="49">
        <v>45101.679220729166</v>
      </c>
      <c r="B7655" s="50">
        <v>45101.804188831</v>
      </c>
      <c r="C7655" s="51">
        <v>1.001</v>
      </c>
      <c r="D7655" s="51">
        <v>68.0</v>
      </c>
      <c r="E7655" s="52" t="s">
        <v>25</v>
      </c>
      <c r="F7655" s="52" t="s">
        <v>26</v>
      </c>
      <c r="G7655" s="54"/>
    </row>
    <row r="7656">
      <c r="A7656" s="49">
        <v>45101.68963149306</v>
      </c>
      <c r="B7656" s="50">
        <v>45101.8146098611</v>
      </c>
      <c r="C7656" s="51">
        <v>1.001</v>
      </c>
      <c r="D7656" s="51">
        <v>68.0</v>
      </c>
      <c r="E7656" s="52" t="s">
        <v>25</v>
      </c>
      <c r="F7656" s="52" t="s">
        <v>26</v>
      </c>
      <c r="G7656" s="54"/>
    </row>
    <row r="7657">
      <c r="A7657" s="49">
        <v>45101.70005917824</v>
      </c>
      <c r="B7657" s="50">
        <v>45101.8250294907</v>
      </c>
      <c r="C7657" s="51">
        <v>1.0</v>
      </c>
      <c r="D7657" s="51">
        <v>68.0</v>
      </c>
      <c r="E7657" s="52" t="s">
        <v>25</v>
      </c>
      <c r="F7657" s="52" t="s">
        <v>26</v>
      </c>
      <c r="G7657" s="54"/>
    </row>
    <row r="7658">
      <c r="A7658" s="49">
        <v>45101.710510115736</v>
      </c>
      <c r="B7658" s="50">
        <v>45101.8354625578</v>
      </c>
      <c r="C7658" s="51">
        <v>1.001</v>
      </c>
      <c r="D7658" s="51">
        <v>68.0</v>
      </c>
      <c r="E7658" s="52" t="s">
        <v>25</v>
      </c>
      <c r="F7658" s="52" t="s">
        <v>26</v>
      </c>
      <c r="G7658" s="54"/>
    </row>
    <row r="7659">
      <c r="A7659" s="49">
        <v>45101.72091344907</v>
      </c>
      <c r="B7659" s="50">
        <v>45101.8458957407</v>
      </c>
      <c r="C7659" s="51">
        <v>1.001</v>
      </c>
      <c r="D7659" s="51">
        <v>68.0</v>
      </c>
      <c r="E7659" s="52" t="s">
        <v>25</v>
      </c>
      <c r="F7659" s="52" t="s">
        <v>26</v>
      </c>
      <c r="G7659" s="54"/>
    </row>
    <row r="7660">
      <c r="A7660" s="49">
        <v>45101.73133572917</v>
      </c>
      <c r="B7660" s="50">
        <v>45101.8563148842</v>
      </c>
      <c r="C7660" s="51">
        <v>1.0</v>
      </c>
      <c r="D7660" s="51">
        <v>68.0</v>
      </c>
      <c r="E7660" s="52" t="s">
        <v>25</v>
      </c>
      <c r="F7660" s="52" t="s">
        <v>26</v>
      </c>
      <c r="G7660" s="54"/>
    </row>
    <row r="7661">
      <c r="A7661" s="49">
        <v>45101.741766527775</v>
      </c>
      <c r="B7661" s="50">
        <v>45101.8667365972</v>
      </c>
      <c r="C7661" s="51">
        <v>1.001</v>
      </c>
      <c r="D7661" s="51">
        <v>68.0</v>
      </c>
      <c r="E7661" s="52" t="s">
        <v>25</v>
      </c>
      <c r="F7661" s="52" t="s">
        <v>26</v>
      </c>
      <c r="G7661" s="54"/>
    </row>
    <row r="7662">
      <c r="A7662" s="49">
        <v>45101.752199560186</v>
      </c>
      <c r="B7662" s="50">
        <v>45101.877168368</v>
      </c>
      <c r="C7662" s="51">
        <v>1.001</v>
      </c>
      <c r="D7662" s="51">
        <v>68.0</v>
      </c>
      <c r="E7662" s="52" t="s">
        <v>25</v>
      </c>
      <c r="F7662" s="52" t="s">
        <v>26</v>
      </c>
      <c r="G7662" s="54"/>
    </row>
    <row r="7663">
      <c r="A7663" s="49">
        <v>45101.76261635417</v>
      </c>
      <c r="B7663" s="50">
        <v>45101.8875906018</v>
      </c>
      <c r="C7663" s="51">
        <v>1.0</v>
      </c>
      <c r="D7663" s="51">
        <v>68.0</v>
      </c>
      <c r="E7663" s="52" t="s">
        <v>25</v>
      </c>
      <c r="F7663" s="52" t="s">
        <v>26</v>
      </c>
      <c r="G7663" s="54"/>
    </row>
    <row r="7664">
      <c r="A7664" s="49">
        <v>45101.773061087966</v>
      </c>
      <c r="B7664" s="50">
        <v>45101.8980338888</v>
      </c>
      <c r="C7664" s="51">
        <v>1.001</v>
      </c>
      <c r="D7664" s="51">
        <v>68.0</v>
      </c>
      <c r="E7664" s="52" t="s">
        <v>25</v>
      </c>
      <c r="F7664" s="52" t="s">
        <v>26</v>
      </c>
      <c r="G7664" s="54"/>
    </row>
    <row r="7665">
      <c r="A7665" s="49">
        <v>45101.78349133102</v>
      </c>
      <c r="B7665" s="50">
        <v>45101.9084667939</v>
      </c>
      <c r="C7665" s="51">
        <v>1.0</v>
      </c>
      <c r="D7665" s="51">
        <v>68.0</v>
      </c>
      <c r="E7665" s="52" t="s">
        <v>25</v>
      </c>
      <c r="F7665" s="52" t="s">
        <v>26</v>
      </c>
      <c r="G7665" s="54"/>
    </row>
    <row r="7666">
      <c r="A7666" s="49">
        <v>45101.7939178125</v>
      </c>
      <c r="B7666" s="50">
        <v>45101.9188876851</v>
      </c>
      <c r="C7666" s="51">
        <v>1.0</v>
      </c>
      <c r="D7666" s="51">
        <v>68.0</v>
      </c>
      <c r="E7666" s="52" t="s">
        <v>25</v>
      </c>
      <c r="F7666" s="52" t="s">
        <v>26</v>
      </c>
      <c r="G7666" s="54"/>
    </row>
    <row r="7667">
      <c r="A7667" s="49">
        <v>45101.80434126157</v>
      </c>
      <c r="B7667" s="50">
        <v>45101.9293108912</v>
      </c>
      <c r="C7667" s="51">
        <v>1.001</v>
      </c>
      <c r="D7667" s="51">
        <v>68.0</v>
      </c>
      <c r="E7667" s="52" t="s">
        <v>25</v>
      </c>
      <c r="F7667" s="52" t="s">
        <v>26</v>
      </c>
      <c r="G7667" s="54"/>
    </row>
    <row r="7668">
      <c r="A7668" s="49">
        <v>45101.814763449074</v>
      </c>
      <c r="B7668" s="50">
        <v>45101.9397329976</v>
      </c>
      <c r="C7668" s="51">
        <v>1.001</v>
      </c>
      <c r="D7668" s="51">
        <v>69.0</v>
      </c>
      <c r="E7668" s="52" t="s">
        <v>25</v>
      </c>
      <c r="F7668" s="52" t="s">
        <v>26</v>
      </c>
      <c r="G7668" s="54"/>
    </row>
    <row r="7669">
      <c r="A7669" s="49">
        <v>45101.825181423614</v>
      </c>
      <c r="B7669" s="50">
        <v>45101.950156493</v>
      </c>
      <c r="C7669" s="51">
        <v>1.001</v>
      </c>
      <c r="D7669" s="51">
        <v>68.0</v>
      </c>
      <c r="E7669" s="52" t="s">
        <v>25</v>
      </c>
      <c r="F7669" s="52" t="s">
        <v>26</v>
      </c>
      <c r="G7669" s="54"/>
    </row>
    <row r="7670">
      <c r="A7670" s="49">
        <v>45101.835598715275</v>
      </c>
      <c r="B7670" s="50">
        <v>45101.960577743</v>
      </c>
      <c r="C7670" s="51">
        <v>1.001</v>
      </c>
      <c r="D7670" s="51">
        <v>68.0</v>
      </c>
      <c r="E7670" s="52" t="s">
        <v>25</v>
      </c>
      <c r="F7670" s="52" t="s">
        <v>26</v>
      </c>
      <c r="G7670" s="54"/>
    </row>
    <row r="7671">
      <c r="A7671" s="49">
        <v>45101.846024178245</v>
      </c>
      <c r="B7671" s="50">
        <v>45101.9709977314</v>
      </c>
      <c r="C7671" s="51">
        <v>1.001</v>
      </c>
      <c r="D7671" s="51">
        <v>68.0</v>
      </c>
      <c r="E7671" s="52" t="s">
        <v>25</v>
      </c>
      <c r="F7671" s="52" t="s">
        <v>26</v>
      </c>
      <c r="G7671" s="54"/>
    </row>
    <row r="7672">
      <c r="A7672" s="49">
        <v>45101.856448391205</v>
      </c>
      <c r="B7672" s="50">
        <v>45101.9814198611</v>
      </c>
      <c r="C7672" s="51">
        <v>1.001</v>
      </c>
      <c r="D7672" s="51">
        <v>69.0</v>
      </c>
      <c r="E7672" s="52" t="s">
        <v>25</v>
      </c>
      <c r="F7672" s="52" t="s">
        <v>26</v>
      </c>
      <c r="G7672" s="54"/>
    </row>
    <row r="7673">
      <c r="A7673" s="49">
        <v>45101.8668593287</v>
      </c>
      <c r="B7673" s="50">
        <v>45101.9918403588</v>
      </c>
      <c r="C7673" s="51">
        <v>1.001</v>
      </c>
      <c r="D7673" s="51">
        <v>68.0</v>
      </c>
      <c r="E7673" s="52" t="s">
        <v>25</v>
      </c>
      <c r="F7673" s="52" t="s">
        <v>26</v>
      </c>
      <c r="G7673" s="54"/>
    </row>
    <row r="7674">
      <c r="A7674" s="49">
        <v>45101.87727556713</v>
      </c>
      <c r="B7674" s="50">
        <v>45102.0022597222</v>
      </c>
      <c r="C7674" s="51">
        <v>1.001</v>
      </c>
      <c r="D7674" s="51">
        <v>68.0</v>
      </c>
      <c r="E7674" s="52" t="s">
        <v>25</v>
      </c>
      <c r="F7674" s="52" t="s">
        <v>26</v>
      </c>
      <c r="G7674" s="54"/>
    </row>
    <row r="7675">
      <c r="A7675" s="49">
        <v>45101.88772042824</v>
      </c>
      <c r="B7675" s="50">
        <v>45102.0126928125</v>
      </c>
      <c r="C7675" s="51">
        <v>1.001</v>
      </c>
      <c r="D7675" s="51">
        <v>69.0</v>
      </c>
      <c r="E7675" s="52" t="s">
        <v>25</v>
      </c>
      <c r="F7675" s="52" t="s">
        <v>26</v>
      </c>
      <c r="G7675" s="54"/>
    </row>
    <row r="7676">
      <c r="A7676" s="49">
        <v>45101.89813678241</v>
      </c>
      <c r="B7676" s="50">
        <v>45102.0231128703</v>
      </c>
      <c r="C7676" s="51">
        <v>1.001</v>
      </c>
      <c r="D7676" s="51">
        <v>69.0</v>
      </c>
      <c r="E7676" s="52" t="s">
        <v>25</v>
      </c>
      <c r="F7676" s="52" t="s">
        <v>26</v>
      </c>
      <c r="G7676" s="54"/>
    </row>
    <row r="7677">
      <c r="A7677" s="49">
        <v>45101.90856484954</v>
      </c>
      <c r="B7677" s="50">
        <v>45102.0335330555</v>
      </c>
      <c r="C7677" s="51">
        <v>1.0</v>
      </c>
      <c r="D7677" s="51">
        <v>69.0</v>
      </c>
      <c r="E7677" s="52" t="s">
        <v>25</v>
      </c>
      <c r="F7677" s="52" t="s">
        <v>26</v>
      </c>
      <c r="G7677" s="54"/>
    </row>
    <row r="7678">
      <c r="A7678" s="49">
        <v>45101.91899381945</v>
      </c>
      <c r="B7678" s="50">
        <v>45102.0439660301</v>
      </c>
      <c r="C7678" s="51">
        <v>1.001</v>
      </c>
      <c r="D7678" s="51">
        <v>69.0</v>
      </c>
      <c r="E7678" s="52" t="s">
        <v>25</v>
      </c>
      <c r="F7678" s="52" t="s">
        <v>26</v>
      </c>
      <c r="G7678" s="54"/>
    </row>
    <row r="7679">
      <c r="A7679" s="49">
        <v>45101.92940587963</v>
      </c>
      <c r="B7679" s="50">
        <v>45102.054387743</v>
      </c>
      <c r="C7679" s="51">
        <v>1.001</v>
      </c>
      <c r="D7679" s="51">
        <v>69.0</v>
      </c>
      <c r="E7679" s="52" t="s">
        <v>25</v>
      </c>
      <c r="F7679" s="52" t="s">
        <v>26</v>
      </c>
      <c r="G7679" s="54"/>
    </row>
    <row r="7680">
      <c r="A7680" s="49">
        <v>45101.93983953704</v>
      </c>
      <c r="B7680" s="50">
        <v>45102.0648099537</v>
      </c>
      <c r="C7680" s="51">
        <v>1.001</v>
      </c>
      <c r="D7680" s="51">
        <v>69.0</v>
      </c>
      <c r="E7680" s="52" t="s">
        <v>25</v>
      </c>
      <c r="F7680" s="52" t="s">
        <v>26</v>
      </c>
      <c r="G7680" s="54"/>
    </row>
    <row r="7681">
      <c r="A7681" s="49">
        <v>45101.950258807876</v>
      </c>
      <c r="B7681" s="50">
        <v>45102.075230787</v>
      </c>
      <c r="C7681" s="51">
        <v>1.001</v>
      </c>
      <c r="D7681" s="51">
        <v>69.0</v>
      </c>
      <c r="E7681" s="52" t="s">
        <v>25</v>
      </c>
      <c r="F7681" s="52" t="s">
        <v>26</v>
      </c>
      <c r="G7681" s="54"/>
    </row>
    <row r="7682">
      <c r="A7682" s="49">
        <v>45101.960676319446</v>
      </c>
      <c r="B7682" s="50">
        <v>45102.0856521296</v>
      </c>
      <c r="C7682" s="51">
        <v>1.001</v>
      </c>
      <c r="D7682" s="51">
        <v>69.0</v>
      </c>
      <c r="E7682" s="52" t="s">
        <v>25</v>
      </c>
      <c r="F7682" s="52" t="s">
        <v>26</v>
      </c>
      <c r="G7682" s="54"/>
    </row>
    <row r="7683">
      <c r="A7683" s="49">
        <v>45101.971104675926</v>
      </c>
      <c r="B7683" s="50">
        <v>45102.0960713773</v>
      </c>
      <c r="C7683" s="51">
        <v>1.001</v>
      </c>
      <c r="D7683" s="51">
        <v>69.0</v>
      </c>
      <c r="E7683" s="52" t="s">
        <v>25</v>
      </c>
      <c r="F7683" s="52" t="s">
        <v>26</v>
      </c>
      <c r="G7683" s="54"/>
    </row>
    <row r="7684">
      <c r="A7684" s="49">
        <v>45101.981525625</v>
      </c>
      <c r="B7684" s="50">
        <v>45102.1065034722</v>
      </c>
      <c r="C7684" s="51">
        <v>1.0</v>
      </c>
      <c r="D7684" s="51">
        <v>69.0</v>
      </c>
      <c r="E7684" s="52" t="s">
        <v>25</v>
      </c>
      <c r="F7684" s="52" t="s">
        <v>26</v>
      </c>
      <c r="G7684" s="54"/>
    </row>
    <row r="7685">
      <c r="A7685" s="49">
        <v>45101.991955034726</v>
      </c>
      <c r="B7685" s="50">
        <v>45102.1169254513</v>
      </c>
      <c r="C7685" s="51">
        <v>1.001</v>
      </c>
      <c r="D7685" s="51">
        <v>69.0</v>
      </c>
      <c r="E7685" s="52" t="s">
        <v>25</v>
      </c>
      <c r="F7685" s="52" t="s">
        <v>26</v>
      </c>
      <c r="G7685" s="54"/>
    </row>
    <row r="7686">
      <c r="A7686" s="49">
        <v>45102.002396701384</v>
      </c>
      <c r="B7686" s="50">
        <v>45102.1273580555</v>
      </c>
      <c r="C7686" s="51">
        <v>1.0</v>
      </c>
      <c r="D7686" s="51">
        <v>69.0</v>
      </c>
      <c r="E7686" s="52" t="s">
        <v>25</v>
      </c>
      <c r="F7686" s="52" t="s">
        <v>26</v>
      </c>
      <c r="G7686" s="54"/>
    </row>
    <row r="7687">
      <c r="A7687" s="49">
        <v>45102.012804224534</v>
      </c>
      <c r="B7687" s="50">
        <v>45102.1377802777</v>
      </c>
      <c r="C7687" s="51">
        <v>1.001</v>
      </c>
      <c r="D7687" s="51">
        <v>69.0</v>
      </c>
      <c r="E7687" s="52" t="s">
        <v>25</v>
      </c>
      <c r="F7687" s="52" t="s">
        <v>26</v>
      </c>
      <c r="G7687" s="54"/>
    </row>
    <row r="7688">
      <c r="A7688" s="49">
        <v>45102.02322361111</v>
      </c>
      <c r="B7688" s="50">
        <v>45102.1482004166</v>
      </c>
      <c r="C7688" s="51">
        <v>1.001</v>
      </c>
      <c r="D7688" s="51">
        <v>69.0</v>
      </c>
      <c r="E7688" s="52" t="s">
        <v>25</v>
      </c>
      <c r="F7688" s="52" t="s">
        <v>26</v>
      </c>
      <c r="G7688" s="54"/>
    </row>
    <row r="7689">
      <c r="A7689" s="49">
        <v>45102.033643055554</v>
      </c>
      <c r="B7689" s="50">
        <v>45102.1586212152</v>
      </c>
      <c r="C7689" s="51">
        <v>1.001</v>
      </c>
      <c r="D7689" s="51">
        <v>69.0</v>
      </c>
      <c r="E7689" s="52" t="s">
        <v>25</v>
      </c>
      <c r="F7689" s="52" t="s">
        <v>26</v>
      </c>
      <c r="G7689" s="54"/>
    </row>
    <row r="7690">
      <c r="A7690" s="49">
        <v>45102.044062245375</v>
      </c>
      <c r="B7690" s="50">
        <v>45102.1690422338</v>
      </c>
      <c r="C7690" s="51">
        <v>1.001</v>
      </c>
      <c r="D7690" s="51">
        <v>69.0</v>
      </c>
      <c r="E7690" s="52" t="s">
        <v>25</v>
      </c>
      <c r="F7690" s="52" t="s">
        <v>26</v>
      </c>
      <c r="G7690" s="54"/>
    </row>
    <row r="7691">
      <c r="A7691" s="49">
        <v>45102.05448961805</v>
      </c>
      <c r="B7691" s="50">
        <v>45102.1794617824</v>
      </c>
      <c r="C7691" s="51">
        <v>1.001</v>
      </c>
      <c r="D7691" s="51">
        <v>69.0</v>
      </c>
      <c r="E7691" s="52" t="s">
        <v>25</v>
      </c>
      <c r="F7691" s="52" t="s">
        <v>26</v>
      </c>
      <c r="G7691" s="54"/>
    </row>
    <row r="7692">
      <c r="A7692" s="49">
        <v>45102.064899375</v>
      </c>
      <c r="B7692" s="50">
        <v>45102.1898804513</v>
      </c>
      <c r="C7692" s="51">
        <v>1.001</v>
      </c>
      <c r="D7692" s="51">
        <v>69.0</v>
      </c>
      <c r="E7692" s="52" t="s">
        <v>25</v>
      </c>
      <c r="F7692" s="52" t="s">
        <v>26</v>
      </c>
      <c r="G7692" s="54"/>
    </row>
    <row r="7693">
      <c r="A7693" s="49">
        <v>45102.07533009259</v>
      </c>
      <c r="B7693" s="50">
        <v>45102.2002998958</v>
      </c>
      <c r="C7693" s="51">
        <v>1.0</v>
      </c>
      <c r="D7693" s="51">
        <v>69.0</v>
      </c>
      <c r="E7693" s="52" t="s">
        <v>25</v>
      </c>
      <c r="F7693" s="52" t="s">
        <v>26</v>
      </c>
      <c r="G7693" s="54"/>
    </row>
    <row r="7694">
      <c r="A7694" s="49">
        <v>45102.085780856476</v>
      </c>
      <c r="B7694" s="50">
        <v>45102.2107346643</v>
      </c>
      <c r="C7694" s="51">
        <v>1.0</v>
      </c>
      <c r="D7694" s="51">
        <v>69.0</v>
      </c>
      <c r="E7694" s="52" t="s">
        <v>25</v>
      </c>
      <c r="F7694" s="52" t="s">
        <v>26</v>
      </c>
      <c r="G7694" s="54"/>
    </row>
    <row r="7695">
      <c r="A7695" s="49">
        <v>45102.096178865744</v>
      </c>
      <c r="B7695" s="50">
        <v>45102.2211582638</v>
      </c>
      <c r="C7695" s="51">
        <v>1.001</v>
      </c>
      <c r="D7695" s="51">
        <v>69.0</v>
      </c>
      <c r="E7695" s="52" t="s">
        <v>25</v>
      </c>
      <c r="F7695" s="52" t="s">
        <v>26</v>
      </c>
      <c r="G7695" s="54"/>
    </row>
    <row r="7696">
      <c r="A7696" s="49">
        <v>45102.10661520834</v>
      </c>
      <c r="B7696" s="50">
        <v>45102.23159125</v>
      </c>
      <c r="C7696" s="51">
        <v>1.0</v>
      </c>
      <c r="D7696" s="51">
        <v>69.0</v>
      </c>
      <c r="E7696" s="52" t="s">
        <v>25</v>
      </c>
      <c r="F7696" s="52" t="s">
        <v>26</v>
      </c>
      <c r="G7696" s="54"/>
    </row>
    <row r="7697">
      <c r="A7697" s="49">
        <v>45102.11703577546</v>
      </c>
      <c r="B7697" s="50">
        <v>45102.2420118055</v>
      </c>
      <c r="C7697" s="51">
        <v>1.001</v>
      </c>
      <c r="D7697" s="51">
        <v>69.0</v>
      </c>
      <c r="E7697" s="52" t="s">
        <v>25</v>
      </c>
      <c r="F7697" s="52" t="s">
        <v>26</v>
      </c>
      <c r="G7697" s="54"/>
    </row>
    <row r="7698">
      <c r="A7698" s="49">
        <v>45102.12746173611</v>
      </c>
      <c r="B7698" s="50">
        <v>45102.252434074</v>
      </c>
      <c r="C7698" s="51">
        <v>1.001</v>
      </c>
      <c r="D7698" s="51">
        <v>69.0</v>
      </c>
      <c r="E7698" s="52" t="s">
        <v>25</v>
      </c>
      <c r="F7698" s="52" t="s">
        <v>26</v>
      </c>
      <c r="G7698" s="54"/>
    </row>
    <row r="7699">
      <c r="A7699" s="49">
        <v>45102.13788414352</v>
      </c>
      <c r="B7699" s="50">
        <v>45102.2628553935</v>
      </c>
      <c r="C7699" s="51">
        <v>1.001</v>
      </c>
      <c r="D7699" s="51">
        <v>69.0</v>
      </c>
      <c r="E7699" s="52" t="s">
        <v>25</v>
      </c>
      <c r="F7699" s="52" t="s">
        <v>26</v>
      </c>
      <c r="G7699" s="54"/>
    </row>
    <row r="7700">
      <c r="A7700" s="49">
        <v>45102.14831400463</v>
      </c>
      <c r="B7700" s="50">
        <v>45102.2732865277</v>
      </c>
      <c r="C7700" s="51">
        <v>1.001</v>
      </c>
      <c r="D7700" s="51">
        <v>69.0</v>
      </c>
      <c r="E7700" s="52" t="s">
        <v>25</v>
      </c>
      <c r="F7700" s="52" t="s">
        <v>26</v>
      </c>
      <c r="G7700" s="54"/>
    </row>
    <row r="7701">
      <c r="A7701" s="49">
        <v>45102.15873697917</v>
      </c>
      <c r="B7701" s="50">
        <v>45102.2837085995</v>
      </c>
      <c r="C7701" s="51">
        <v>1.001</v>
      </c>
      <c r="D7701" s="51">
        <v>69.0</v>
      </c>
      <c r="E7701" s="52" t="s">
        <v>25</v>
      </c>
      <c r="F7701" s="52" t="s">
        <v>26</v>
      </c>
      <c r="G7701" s="54"/>
    </row>
    <row r="7702">
      <c r="A7702" s="49">
        <v>45102.16916494213</v>
      </c>
      <c r="B7702" s="50">
        <v>45102.2941407291</v>
      </c>
      <c r="C7702" s="51">
        <v>1.001</v>
      </c>
      <c r="D7702" s="51">
        <v>69.0</v>
      </c>
      <c r="E7702" s="52" t="s">
        <v>25</v>
      </c>
      <c r="F7702" s="52" t="s">
        <v>26</v>
      </c>
      <c r="G7702" s="54"/>
    </row>
    <row r="7703">
      <c r="A7703" s="49">
        <v>45102.179587094906</v>
      </c>
      <c r="B7703" s="50">
        <v>45102.3045638425</v>
      </c>
      <c r="C7703" s="51">
        <v>1.001</v>
      </c>
      <c r="D7703" s="51">
        <v>69.0</v>
      </c>
      <c r="E7703" s="52" t="s">
        <v>25</v>
      </c>
      <c r="F7703" s="52" t="s">
        <v>26</v>
      </c>
      <c r="G7703" s="54"/>
    </row>
    <row r="7704">
      <c r="A7704" s="49">
        <v>45102.19000743056</v>
      </c>
      <c r="B7704" s="50">
        <v>45102.3149840393</v>
      </c>
      <c r="C7704" s="51">
        <v>1.001</v>
      </c>
      <c r="D7704" s="51">
        <v>69.0</v>
      </c>
      <c r="E7704" s="52" t="s">
        <v>25</v>
      </c>
      <c r="F7704" s="52" t="s">
        <v>26</v>
      </c>
      <c r="G7704" s="54"/>
    </row>
    <row r="7705">
      <c r="A7705" s="49">
        <v>45102.20042663194</v>
      </c>
      <c r="B7705" s="50">
        <v>45102.3254031712</v>
      </c>
      <c r="C7705" s="51">
        <v>1.001</v>
      </c>
      <c r="D7705" s="51">
        <v>69.0</v>
      </c>
      <c r="E7705" s="52" t="s">
        <v>25</v>
      </c>
      <c r="F7705" s="52" t="s">
        <v>26</v>
      </c>
      <c r="G7705" s="54"/>
    </row>
    <row r="7706">
      <c r="A7706" s="49">
        <v>45102.21085545139</v>
      </c>
      <c r="B7706" s="50">
        <v>45102.3358252893</v>
      </c>
      <c r="C7706" s="51">
        <v>1.001</v>
      </c>
      <c r="D7706" s="51">
        <v>69.0</v>
      </c>
      <c r="E7706" s="52" t="s">
        <v>25</v>
      </c>
      <c r="F7706" s="52" t="s">
        <v>26</v>
      </c>
      <c r="G7706" s="54"/>
    </row>
    <row r="7707">
      <c r="A7707" s="49">
        <v>45102.22127219907</v>
      </c>
      <c r="B7707" s="50">
        <v>45102.3462481944</v>
      </c>
      <c r="C7707" s="51">
        <v>1.001</v>
      </c>
      <c r="D7707" s="51">
        <v>69.0</v>
      </c>
      <c r="E7707" s="52" t="s">
        <v>25</v>
      </c>
      <c r="F7707" s="52" t="s">
        <v>26</v>
      </c>
      <c r="G7707" s="54"/>
    </row>
    <row r="7708">
      <c r="A7708" s="49">
        <v>45102.2316849537</v>
      </c>
      <c r="B7708" s="50">
        <v>45102.3566684838</v>
      </c>
      <c r="C7708" s="51">
        <v>1.0</v>
      </c>
      <c r="D7708" s="51">
        <v>69.0</v>
      </c>
      <c r="E7708" s="52" t="s">
        <v>25</v>
      </c>
      <c r="F7708" s="52" t="s">
        <v>26</v>
      </c>
      <c r="G7708" s="54"/>
    </row>
    <row r="7709">
      <c r="A7709" s="49">
        <v>45102.24211424768</v>
      </c>
      <c r="B7709" s="50">
        <v>45102.3670905092</v>
      </c>
      <c r="C7709" s="51">
        <v>1.0</v>
      </c>
      <c r="D7709" s="51">
        <v>69.0</v>
      </c>
      <c r="E7709" s="52" t="s">
        <v>25</v>
      </c>
      <c r="F7709" s="52" t="s">
        <v>26</v>
      </c>
      <c r="G7709" s="54"/>
    </row>
    <row r="7710">
      <c r="A7710" s="49">
        <v>45102.252534942134</v>
      </c>
      <c r="B7710" s="50">
        <v>45102.3775108564</v>
      </c>
      <c r="C7710" s="51">
        <v>1.001</v>
      </c>
      <c r="D7710" s="51">
        <v>69.0</v>
      </c>
      <c r="E7710" s="52" t="s">
        <v>25</v>
      </c>
      <c r="F7710" s="52" t="s">
        <v>26</v>
      </c>
      <c r="G7710" s="54"/>
    </row>
    <row r="7711">
      <c r="A7711" s="49">
        <v>45102.26295672454</v>
      </c>
      <c r="B7711" s="50">
        <v>45102.3879317592</v>
      </c>
      <c r="C7711" s="51">
        <v>1.001</v>
      </c>
      <c r="D7711" s="51">
        <v>69.0</v>
      </c>
      <c r="E7711" s="52" t="s">
        <v>25</v>
      </c>
      <c r="F7711" s="52" t="s">
        <v>26</v>
      </c>
      <c r="G7711" s="54"/>
    </row>
    <row r="7712">
      <c r="A7712" s="49">
        <v>45102.27336759259</v>
      </c>
      <c r="B7712" s="50">
        <v>45102.398351412</v>
      </c>
      <c r="C7712" s="51">
        <v>1.001</v>
      </c>
      <c r="D7712" s="51">
        <v>69.0</v>
      </c>
      <c r="E7712" s="52" t="s">
        <v>25</v>
      </c>
      <c r="F7712" s="52" t="s">
        <v>26</v>
      </c>
      <c r="G7712" s="54"/>
    </row>
    <row r="7713">
      <c r="A7713" s="49">
        <v>45102.28380744213</v>
      </c>
      <c r="B7713" s="50">
        <v>45102.4087846064</v>
      </c>
      <c r="C7713" s="51">
        <v>1.001</v>
      </c>
      <c r="D7713" s="51">
        <v>69.0</v>
      </c>
      <c r="E7713" s="52" t="s">
        <v>25</v>
      </c>
      <c r="F7713" s="52" t="s">
        <v>26</v>
      </c>
      <c r="G7713" s="54"/>
    </row>
    <row r="7714">
      <c r="A7714" s="49">
        <v>45102.29423269676</v>
      </c>
      <c r="B7714" s="50">
        <v>45102.4192065277</v>
      </c>
      <c r="C7714" s="51">
        <v>1.0</v>
      </c>
      <c r="D7714" s="51">
        <v>69.0</v>
      </c>
      <c r="E7714" s="52" t="s">
        <v>25</v>
      </c>
      <c r="F7714" s="52" t="s">
        <v>26</v>
      </c>
      <c r="G7714" s="54"/>
    </row>
    <row r="7715">
      <c r="A7715" s="49">
        <v>45102.30465436343</v>
      </c>
      <c r="B7715" s="50">
        <v>45102.4296273958</v>
      </c>
      <c r="C7715" s="51">
        <v>1.001</v>
      </c>
      <c r="D7715" s="51">
        <v>69.0</v>
      </c>
      <c r="E7715" s="52" t="s">
        <v>25</v>
      </c>
      <c r="F7715" s="52" t="s">
        <v>26</v>
      </c>
      <c r="G7715" s="54"/>
    </row>
    <row r="7716">
      <c r="A7716" s="49">
        <v>45102.31508151621</v>
      </c>
      <c r="B7716" s="50">
        <v>45102.4400479976</v>
      </c>
      <c r="C7716" s="51">
        <v>1.001</v>
      </c>
      <c r="D7716" s="51">
        <v>69.0</v>
      </c>
      <c r="E7716" s="52" t="s">
        <v>25</v>
      </c>
      <c r="F7716" s="52" t="s">
        <v>26</v>
      </c>
      <c r="G7716" s="54"/>
    </row>
    <row r="7717">
      <c r="A7717" s="49">
        <v>45102.32548438657</v>
      </c>
      <c r="B7717" s="50">
        <v>45102.450467662</v>
      </c>
      <c r="C7717" s="51">
        <v>1.0</v>
      </c>
      <c r="D7717" s="51">
        <v>69.0</v>
      </c>
      <c r="E7717" s="52" t="s">
        <v>25</v>
      </c>
      <c r="F7717" s="52" t="s">
        <v>26</v>
      </c>
      <c r="G7717" s="54"/>
    </row>
    <row r="7718">
      <c r="A7718" s="49">
        <v>45102.33591450231</v>
      </c>
      <c r="B7718" s="50">
        <v>45102.4608898958</v>
      </c>
      <c r="C7718" s="51">
        <v>1.001</v>
      </c>
      <c r="D7718" s="51">
        <v>69.0</v>
      </c>
      <c r="E7718" s="52" t="s">
        <v>25</v>
      </c>
      <c r="F7718" s="52" t="s">
        <v>26</v>
      </c>
      <c r="G7718" s="54"/>
    </row>
    <row r="7719">
      <c r="A7719" s="49">
        <v>45102.34633876158</v>
      </c>
      <c r="B7719" s="50">
        <v>45102.4713115046</v>
      </c>
      <c r="C7719" s="51">
        <v>1.0</v>
      </c>
      <c r="D7719" s="51">
        <v>69.0</v>
      </c>
      <c r="E7719" s="52" t="s">
        <v>25</v>
      </c>
      <c r="F7719" s="52" t="s">
        <v>26</v>
      </c>
      <c r="G7719" s="54"/>
    </row>
    <row r="7720">
      <c r="A7720" s="49">
        <v>45102.35675894676</v>
      </c>
      <c r="B7720" s="50">
        <v>45102.4817337037</v>
      </c>
      <c r="C7720" s="51">
        <v>1.001</v>
      </c>
      <c r="D7720" s="51">
        <v>69.0</v>
      </c>
      <c r="E7720" s="52" t="s">
        <v>25</v>
      </c>
      <c r="F7720" s="52" t="s">
        <v>26</v>
      </c>
      <c r="G7720" s="54"/>
    </row>
    <row r="7721">
      <c r="A7721" s="49">
        <v>45102.3671809375</v>
      </c>
      <c r="B7721" s="50">
        <v>45102.4921640046</v>
      </c>
      <c r="C7721" s="51">
        <v>1.0</v>
      </c>
      <c r="D7721" s="51">
        <v>69.0</v>
      </c>
      <c r="E7721" s="52" t="s">
        <v>25</v>
      </c>
      <c r="F7721" s="52" t="s">
        <v>26</v>
      </c>
      <c r="G7721" s="54"/>
    </row>
    <row r="7722">
      <c r="A7722" s="49">
        <v>45102.3776091551</v>
      </c>
      <c r="B7722" s="50">
        <v>45102.5025838078</v>
      </c>
      <c r="C7722" s="51">
        <v>1.0</v>
      </c>
      <c r="D7722" s="51">
        <v>69.0</v>
      </c>
      <c r="E7722" s="52" t="s">
        <v>25</v>
      </c>
      <c r="F7722" s="52" t="s">
        <v>26</v>
      </c>
      <c r="G7722" s="54"/>
    </row>
    <row r="7723">
      <c r="A7723" s="49">
        <v>45102.38802844907</v>
      </c>
      <c r="B7723" s="50">
        <v>45102.5130043981</v>
      </c>
      <c r="C7723" s="51">
        <v>1.001</v>
      </c>
      <c r="D7723" s="51">
        <v>69.0</v>
      </c>
      <c r="E7723" s="52" t="s">
        <v>25</v>
      </c>
      <c r="F7723" s="52" t="s">
        <v>26</v>
      </c>
      <c r="G7723" s="54"/>
    </row>
    <row r="7724">
      <c r="A7724" s="49">
        <v>45102.39846430556</v>
      </c>
      <c r="B7724" s="50">
        <v>45102.5234381134</v>
      </c>
      <c r="C7724" s="51">
        <v>1.0</v>
      </c>
      <c r="D7724" s="51">
        <v>69.0</v>
      </c>
      <c r="E7724" s="52" t="s">
        <v>25</v>
      </c>
      <c r="F7724" s="52" t="s">
        <v>26</v>
      </c>
      <c r="G7724" s="54"/>
    </row>
    <row r="7725">
      <c r="A7725" s="49">
        <v>45102.40888418982</v>
      </c>
      <c r="B7725" s="50">
        <v>45102.533870949</v>
      </c>
      <c r="C7725" s="51">
        <v>1.0</v>
      </c>
      <c r="D7725" s="51">
        <v>69.0</v>
      </c>
      <c r="E7725" s="52" t="s">
        <v>25</v>
      </c>
      <c r="F7725" s="52" t="s">
        <v>26</v>
      </c>
      <c r="G7725" s="54"/>
    </row>
    <row r="7726">
      <c r="A7726" s="49">
        <v>45102.419324699076</v>
      </c>
      <c r="B7726" s="50">
        <v>45102.5443042129</v>
      </c>
      <c r="C7726" s="51">
        <v>1.001</v>
      </c>
      <c r="D7726" s="51">
        <v>69.0</v>
      </c>
      <c r="E7726" s="52" t="s">
        <v>25</v>
      </c>
      <c r="F7726" s="52" t="s">
        <v>26</v>
      </c>
      <c r="G7726" s="54"/>
    </row>
    <row r="7727">
      <c r="A7727" s="49">
        <v>45102.42974798611</v>
      </c>
      <c r="B7727" s="50">
        <v>45102.5547264004</v>
      </c>
      <c r="C7727" s="51">
        <v>1.001</v>
      </c>
      <c r="D7727" s="51">
        <v>69.0</v>
      </c>
      <c r="E7727" s="52" t="s">
        <v>25</v>
      </c>
      <c r="F7727" s="52" t="s">
        <v>26</v>
      </c>
      <c r="G7727" s="54"/>
    </row>
    <row r="7728">
      <c r="A7728" s="49">
        <v>45102.440182708335</v>
      </c>
      <c r="B7728" s="50">
        <v>45102.5651589814</v>
      </c>
      <c r="C7728" s="51">
        <v>1.0</v>
      </c>
      <c r="D7728" s="51">
        <v>69.0</v>
      </c>
      <c r="E7728" s="52" t="s">
        <v>25</v>
      </c>
      <c r="F7728" s="52" t="s">
        <v>26</v>
      </c>
      <c r="G7728" s="54"/>
    </row>
    <row r="7729">
      <c r="A7729" s="49">
        <v>45102.45060640047</v>
      </c>
      <c r="B7729" s="50">
        <v>45102.5755798611</v>
      </c>
      <c r="C7729" s="51">
        <v>1.0</v>
      </c>
      <c r="D7729" s="51">
        <v>69.0</v>
      </c>
      <c r="E7729" s="52" t="s">
        <v>25</v>
      </c>
      <c r="F7729" s="52" t="s">
        <v>26</v>
      </c>
      <c r="G7729" s="54"/>
    </row>
    <row r="7730">
      <c r="A7730" s="49">
        <v>45102.46101805556</v>
      </c>
      <c r="B7730" s="50">
        <v>45102.5859997106</v>
      </c>
      <c r="C7730" s="51">
        <v>1.0</v>
      </c>
      <c r="D7730" s="51">
        <v>69.0</v>
      </c>
      <c r="E7730" s="52" t="s">
        <v>25</v>
      </c>
      <c r="F7730" s="52" t="s">
        <v>26</v>
      </c>
      <c r="G7730" s="54"/>
    </row>
    <row r="7731">
      <c r="A7731" s="49">
        <v>45102.471446041665</v>
      </c>
      <c r="B7731" s="50">
        <v>45102.5964203819</v>
      </c>
      <c r="C7731" s="51">
        <v>1.001</v>
      </c>
      <c r="D7731" s="51">
        <v>69.0</v>
      </c>
      <c r="E7731" s="52" t="s">
        <v>25</v>
      </c>
      <c r="F7731" s="52" t="s">
        <v>26</v>
      </c>
      <c r="G7731" s="54"/>
    </row>
    <row r="7732">
      <c r="A7732" s="49">
        <v>45102.481866030095</v>
      </c>
      <c r="B7732" s="50">
        <v>45102.6068407638</v>
      </c>
      <c r="C7732" s="51">
        <v>1.001</v>
      </c>
      <c r="D7732" s="51">
        <v>69.0</v>
      </c>
      <c r="E7732" s="52" t="s">
        <v>25</v>
      </c>
      <c r="F7732" s="52" t="s">
        <v>26</v>
      </c>
      <c r="G7732" s="54"/>
    </row>
    <row r="7733">
      <c r="A7733" s="49">
        <v>45102.49229101852</v>
      </c>
      <c r="B7733" s="50">
        <v>45102.6172620486</v>
      </c>
      <c r="C7733" s="51">
        <v>1.0</v>
      </c>
      <c r="D7733" s="51">
        <v>69.0</v>
      </c>
      <c r="E7733" s="52" t="s">
        <v>25</v>
      </c>
      <c r="F7733" s="52" t="s">
        <v>26</v>
      </c>
      <c r="G7733" s="54"/>
    </row>
    <row r="7734">
      <c r="A7734" s="49">
        <v>45102.50273677083</v>
      </c>
      <c r="B7734" s="50">
        <v>45102.62770853</v>
      </c>
      <c r="C7734" s="51">
        <v>1.001</v>
      </c>
      <c r="D7734" s="51">
        <v>69.0</v>
      </c>
      <c r="E7734" s="52" t="s">
        <v>25</v>
      </c>
      <c r="F7734" s="52" t="s">
        <v>26</v>
      </c>
      <c r="G7734" s="54"/>
    </row>
    <row r="7735">
      <c r="A7735" s="49">
        <v>45102.51316693287</v>
      </c>
      <c r="B7735" s="50">
        <v>45102.6381410879</v>
      </c>
      <c r="C7735" s="51">
        <v>1.0</v>
      </c>
      <c r="D7735" s="51">
        <v>69.0</v>
      </c>
      <c r="E7735" s="52" t="s">
        <v>25</v>
      </c>
      <c r="F7735" s="52" t="s">
        <v>26</v>
      </c>
      <c r="G7735" s="54"/>
    </row>
    <row r="7736">
      <c r="A7736" s="49">
        <v>45102.52359971065</v>
      </c>
      <c r="B7736" s="50">
        <v>45102.6485768402</v>
      </c>
      <c r="C7736" s="51">
        <v>1.0</v>
      </c>
      <c r="D7736" s="51">
        <v>69.0</v>
      </c>
      <c r="E7736" s="52" t="s">
        <v>25</v>
      </c>
      <c r="F7736" s="52" t="s">
        <v>26</v>
      </c>
      <c r="G7736" s="54"/>
    </row>
    <row r="7737">
      <c r="A7737" s="49">
        <v>45102.534016805555</v>
      </c>
      <c r="B7737" s="50">
        <v>45102.6589983564</v>
      </c>
      <c r="C7737" s="51">
        <v>1.001</v>
      </c>
      <c r="D7737" s="51">
        <v>69.0</v>
      </c>
      <c r="E7737" s="52" t="s">
        <v>25</v>
      </c>
      <c r="F7737" s="52" t="s">
        <v>26</v>
      </c>
      <c r="G7737" s="54"/>
    </row>
    <row r="7738">
      <c r="A7738" s="49">
        <v>45102.54444334491</v>
      </c>
      <c r="B7738" s="50">
        <v>45102.6694187152</v>
      </c>
      <c r="C7738" s="51">
        <v>1.0</v>
      </c>
      <c r="D7738" s="51">
        <v>69.0</v>
      </c>
      <c r="E7738" s="52" t="s">
        <v>25</v>
      </c>
      <c r="F7738" s="52" t="s">
        <v>26</v>
      </c>
      <c r="G7738" s="54"/>
    </row>
    <row r="7739">
      <c r="A7739" s="49">
        <v>45102.55487280093</v>
      </c>
      <c r="B7739" s="50">
        <v>45102.6798521875</v>
      </c>
      <c r="C7739" s="51">
        <v>1.0</v>
      </c>
      <c r="D7739" s="51">
        <v>69.0</v>
      </c>
      <c r="E7739" s="52" t="s">
        <v>25</v>
      </c>
      <c r="F7739" s="52" t="s">
        <v>26</v>
      </c>
      <c r="G7739" s="54"/>
    </row>
    <row r="7740">
      <c r="A7740" s="49">
        <v>45102.56528780093</v>
      </c>
      <c r="B7740" s="50">
        <v>45102.6902711226</v>
      </c>
      <c r="C7740" s="51">
        <v>1.0</v>
      </c>
      <c r="D7740" s="51">
        <v>69.0</v>
      </c>
      <c r="E7740" s="52" t="s">
        <v>25</v>
      </c>
      <c r="F7740" s="52" t="s">
        <v>26</v>
      </c>
      <c r="G7740" s="54"/>
    </row>
    <row r="7741">
      <c r="A7741" s="49">
        <v>45102.575716875</v>
      </c>
      <c r="B7741" s="50">
        <v>45102.7006936111</v>
      </c>
      <c r="C7741" s="51">
        <v>1.001</v>
      </c>
      <c r="D7741" s="51">
        <v>69.0</v>
      </c>
      <c r="E7741" s="52" t="s">
        <v>25</v>
      </c>
      <c r="F7741" s="52" t="s">
        <v>26</v>
      </c>
      <c r="G7741" s="54"/>
    </row>
    <row r="7742">
      <c r="A7742" s="49">
        <v>45102.58614555556</v>
      </c>
      <c r="B7742" s="50">
        <v>45102.7111273032</v>
      </c>
      <c r="C7742" s="51">
        <v>1.0</v>
      </c>
      <c r="D7742" s="51">
        <v>69.0</v>
      </c>
      <c r="E7742" s="52" t="s">
        <v>25</v>
      </c>
      <c r="F7742" s="52" t="s">
        <v>26</v>
      </c>
      <c r="G7742" s="54"/>
    </row>
    <row r="7743">
      <c r="A7743" s="49">
        <v>45102.596575034724</v>
      </c>
      <c r="B7743" s="50">
        <v>45102.7215472338</v>
      </c>
      <c r="C7743" s="51">
        <v>1.0</v>
      </c>
      <c r="D7743" s="51">
        <v>69.0</v>
      </c>
      <c r="E7743" s="52" t="s">
        <v>25</v>
      </c>
      <c r="F7743" s="52" t="s">
        <v>26</v>
      </c>
      <c r="G7743" s="54"/>
    </row>
    <row r="7744">
      <c r="A7744" s="49">
        <v>45102.60700087963</v>
      </c>
      <c r="B7744" s="50">
        <v>45102.7319762847</v>
      </c>
      <c r="C7744" s="51">
        <v>1.0</v>
      </c>
      <c r="D7744" s="51">
        <v>69.0</v>
      </c>
      <c r="E7744" s="52" t="s">
        <v>25</v>
      </c>
      <c r="F7744" s="52" t="s">
        <v>26</v>
      </c>
      <c r="G7744" s="54"/>
    </row>
    <row r="7745">
      <c r="A7745" s="49">
        <v>45102.61742023149</v>
      </c>
      <c r="B7745" s="50">
        <v>45102.7423975</v>
      </c>
      <c r="C7745" s="51">
        <v>1.001</v>
      </c>
      <c r="D7745" s="51">
        <v>69.0</v>
      </c>
      <c r="E7745" s="52" t="s">
        <v>25</v>
      </c>
      <c r="F7745" s="52" t="s">
        <v>26</v>
      </c>
      <c r="G7745" s="54"/>
    </row>
    <row r="7746">
      <c r="A7746" s="49">
        <v>45102.62783899305</v>
      </c>
      <c r="B7746" s="50">
        <v>45102.7528193287</v>
      </c>
      <c r="C7746" s="51">
        <v>1.001</v>
      </c>
      <c r="D7746" s="51">
        <v>69.0</v>
      </c>
      <c r="E7746" s="52" t="s">
        <v>25</v>
      </c>
      <c r="F7746" s="52" t="s">
        <v>26</v>
      </c>
      <c r="G7746" s="54"/>
    </row>
    <row r="7747">
      <c r="A7747" s="49">
        <v>45102.63825671296</v>
      </c>
      <c r="B7747" s="50">
        <v>45102.7632404398</v>
      </c>
      <c r="C7747" s="51">
        <v>1.001</v>
      </c>
      <c r="D7747" s="51">
        <v>69.0</v>
      </c>
      <c r="E7747" s="52" t="s">
        <v>25</v>
      </c>
      <c r="F7747" s="52" t="s">
        <v>26</v>
      </c>
      <c r="G7747" s="54"/>
    </row>
    <row r="7748">
      <c r="A7748" s="49">
        <v>45102.64868184028</v>
      </c>
      <c r="B7748" s="50">
        <v>45102.7736614583</v>
      </c>
      <c r="C7748" s="51">
        <v>1.001</v>
      </c>
      <c r="D7748" s="51">
        <v>69.0</v>
      </c>
      <c r="E7748" s="52" t="s">
        <v>25</v>
      </c>
      <c r="F7748" s="52" t="s">
        <v>26</v>
      </c>
      <c r="G7748" s="54"/>
    </row>
    <row r="7749">
      <c r="A7749" s="49">
        <v>45102.65911054398</v>
      </c>
      <c r="B7749" s="50">
        <v>45102.7840823032</v>
      </c>
      <c r="C7749" s="51">
        <v>1.0</v>
      </c>
      <c r="D7749" s="51">
        <v>69.0</v>
      </c>
      <c r="E7749" s="52" t="s">
        <v>25</v>
      </c>
      <c r="F7749" s="52" t="s">
        <v>26</v>
      </c>
      <c r="G7749" s="54"/>
    </row>
    <row r="7750">
      <c r="A7750" s="49">
        <v>45102.66952490741</v>
      </c>
      <c r="B7750" s="50">
        <v>45102.7945023032</v>
      </c>
      <c r="C7750" s="51">
        <v>1.0</v>
      </c>
      <c r="D7750" s="51">
        <v>69.0</v>
      </c>
      <c r="E7750" s="52" t="s">
        <v>25</v>
      </c>
      <c r="F7750" s="52" t="s">
        <v>26</v>
      </c>
      <c r="G7750" s="54"/>
    </row>
    <row r="7751">
      <c r="A7751" s="49">
        <v>45102.679946006945</v>
      </c>
      <c r="B7751" s="50">
        <v>45102.804921331</v>
      </c>
      <c r="C7751" s="51">
        <v>1.0</v>
      </c>
      <c r="D7751" s="51">
        <v>69.0</v>
      </c>
      <c r="E7751" s="52" t="s">
        <v>25</v>
      </c>
      <c r="F7751" s="52" t="s">
        <v>26</v>
      </c>
      <c r="G7751" s="54"/>
    </row>
    <row r="7752">
      <c r="A7752" s="49">
        <v>45102.69036799768</v>
      </c>
      <c r="B7752" s="50">
        <v>45102.815342199</v>
      </c>
      <c r="C7752" s="51">
        <v>1.001</v>
      </c>
      <c r="D7752" s="51">
        <v>69.0</v>
      </c>
      <c r="E7752" s="52" t="s">
        <v>25</v>
      </c>
      <c r="F7752" s="52" t="s">
        <v>26</v>
      </c>
      <c r="G7752" s="54"/>
    </row>
    <row r="7753">
      <c r="A7753" s="49">
        <v>45102.70079369213</v>
      </c>
      <c r="B7753" s="50">
        <v>45102.8257629166</v>
      </c>
      <c r="C7753" s="51">
        <v>1.0</v>
      </c>
      <c r="D7753" s="51">
        <v>69.0</v>
      </c>
      <c r="E7753" s="52" t="s">
        <v>25</v>
      </c>
      <c r="F7753" s="52" t="s">
        <v>26</v>
      </c>
      <c r="G7753" s="54"/>
    </row>
    <row r="7754">
      <c r="A7754" s="49">
        <v>45102.711205127314</v>
      </c>
      <c r="B7754" s="50">
        <v>45102.8361859027</v>
      </c>
      <c r="C7754" s="51">
        <v>1.0</v>
      </c>
      <c r="D7754" s="51">
        <v>69.0</v>
      </c>
      <c r="E7754" s="52" t="s">
        <v>25</v>
      </c>
      <c r="F7754" s="52" t="s">
        <v>26</v>
      </c>
      <c r="G7754" s="54"/>
    </row>
    <row r="7755">
      <c r="A7755" s="49">
        <v>45102.72165247685</v>
      </c>
      <c r="B7755" s="50">
        <v>45102.8466306597</v>
      </c>
      <c r="C7755" s="51">
        <v>1.0</v>
      </c>
      <c r="D7755" s="51">
        <v>69.0</v>
      </c>
      <c r="E7755" s="52" t="s">
        <v>25</v>
      </c>
      <c r="F7755" s="52" t="s">
        <v>26</v>
      </c>
      <c r="G7755" s="54"/>
    </row>
    <row r="7756">
      <c r="A7756" s="49">
        <v>45102.73207570602</v>
      </c>
      <c r="B7756" s="50">
        <v>45102.8570506828</v>
      </c>
      <c r="C7756" s="51">
        <v>1.0</v>
      </c>
      <c r="D7756" s="51">
        <v>69.0</v>
      </c>
      <c r="E7756" s="52" t="s">
        <v>25</v>
      </c>
      <c r="F7756" s="52" t="s">
        <v>26</v>
      </c>
      <c r="G7756" s="54"/>
    </row>
    <row r="7757">
      <c r="A7757" s="49">
        <v>45102.74249680556</v>
      </c>
      <c r="B7757" s="50">
        <v>45102.8674813078</v>
      </c>
      <c r="C7757" s="51">
        <v>1.001</v>
      </c>
      <c r="D7757" s="51">
        <v>69.0</v>
      </c>
      <c r="E7757" s="52" t="s">
        <v>25</v>
      </c>
      <c r="F7757" s="52" t="s">
        <v>26</v>
      </c>
      <c r="G7757" s="54"/>
    </row>
    <row r="7758">
      <c r="A7758" s="49">
        <v>45102.75293236111</v>
      </c>
      <c r="B7758" s="50">
        <v>45102.8779018402</v>
      </c>
      <c r="C7758" s="51">
        <v>1.0</v>
      </c>
      <c r="D7758" s="51">
        <v>69.0</v>
      </c>
      <c r="E7758" s="52" t="s">
        <v>25</v>
      </c>
      <c r="F7758" s="52" t="s">
        <v>26</v>
      </c>
      <c r="G7758" s="54"/>
    </row>
    <row r="7759">
      <c r="A7759" s="49">
        <v>45102.76337332176</v>
      </c>
      <c r="B7759" s="50">
        <v>45102.8883466551</v>
      </c>
      <c r="C7759" s="51">
        <v>1.001</v>
      </c>
      <c r="D7759" s="51">
        <v>69.0</v>
      </c>
      <c r="E7759" s="52" t="s">
        <v>25</v>
      </c>
      <c r="F7759" s="52" t="s">
        <v>26</v>
      </c>
      <c r="G7759" s="54"/>
    </row>
    <row r="7760">
      <c r="A7760" s="49">
        <v>45102.773797291666</v>
      </c>
      <c r="B7760" s="50">
        <v>45102.8987685416</v>
      </c>
      <c r="C7760" s="51">
        <v>1.0</v>
      </c>
      <c r="D7760" s="51">
        <v>69.0</v>
      </c>
      <c r="E7760" s="52" t="s">
        <v>25</v>
      </c>
      <c r="F7760" s="52" t="s">
        <v>26</v>
      </c>
      <c r="G7760" s="54"/>
    </row>
    <row r="7761">
      <c r="A7761" s="49">
        <v>45102.78425710648</v>
      </c>
      <c r="B7761" s="50">
        <v>45102.9092235301</v>
      </c>
      <c r="C7761" s="51">
        <v>1.0</v>
      </c>
      <c r="D7761" s="51">
        <v>69.0</v>
      </c>
      <c r="E7761" s="52" t="s">
        <v>25</v>
      </c>
      <c r="F7761" s="52" t="s">
        <v>26</v>
      </c>
      <c r="G7761" s="54"/>
    </row>
    <row r="7762">
      <c r="A7762" s="49">
        <v>45102.79467530093</v>
      </c>
      <c r="B7762" s="50">
        <v>45102.9196436689</v>
      </c>
      <c r="C7762" s="51">
        <v>1.0</v>
      </c>
      <c r="D7762" s="51">
        <v>69.0</v>
      </c>
      <c r="E7762" s="52" t="s">
        <v>25</v>
      </c>
      <c r="F7762" s="52" t="s">
        <v>26</v>
      </c>
      <c r="G7762" s="54"/>
    </row>
    <row r="7763">
      <c r="A7763" s="49">
        <v>45102.805092905095</v>
      </c>
      <c r="B7763" s="50">
        <v>45102.9300651967</v>
      </c>
      <c r="C7763" s="51">
        <v>1.0</v>
      </c>
      <c r="D7763" s="51">
        <v>69.0</v>
      </c>
      <c r="E7763" s="52" t="s">
        <v>25</v>
      </c>
      <c r="F7763" s="52" t="s">
        <v>26</v>
      </c>
      <c r="G7763" s="54"/>
    </row>
    <row r="7764">
      <c r="A7764" s="49">
        <v>45102.81551770833</v>
      </c>
      <c r="B7764" s="50">
        <v>45102.9404862152</v>
      </c>
      <c r="C7764" s="51">
        <v>1.001</v>
      </c>
      <c r="D7764" s="51">
        <v>69.0</v>
      </c>
      <c r="E7764" s="52" t="s">
        <v>25</v>
      </c>
      <c r="F7764" s="52" t="s">
        <v>26</v>
      </c>
      <c r="G7764" s="54"/>
    </row>
    <row r="7765">
      <c r="A7765" s="49">
        <v>45102.825938877315</v>
      </c>
      <c r="B7765" s="50">
        <v>45102.9509084027</v>
      </c>
      <c r="C7765" s="51">
        <v>1.0</v>
      </c>
      <c r="D7765" s="51">
        <v>69.0</v>
      </c>
      <c r="E7765" s="52" t="s">
        <v>25</v>
      </c>
      <c r="F7765" s="52" t="s">
        <v>26</v>
      </c>
      <c r="G7765" s="54"/>
    </row>
    <row r="7766">
      <c r="A7766" s="49">
        <v>45102.83635625</v>
      </c>
      <c r="B7766" s="50">
        <v>45102.9613292013</v>
      </c>
      <c r="C7766" s="51">
        <v>1.0</v>
      </c>
      <c r="D7766" s="51">
        <v>69.0</v>
      </c>
      <c r="E7766" s="52" t="s">
        <v>25</v>
      </c>
      <c r="F7766" s="52" t="s">
        <v>26</v>
      </c>
      <c r="G7766" s="54"/>
    </row>
    <row r="7767">
      <c r="A7767" s="49">
        <v>45102.84677971065</v>
      </c>
      <c r="B7767" s="50">
        <v>45102.9717495138</v>
      </c>
      <c r="C7767" s="51">
        <v>1.001</v>
      </c>
      <c r="D7767" s="51">
        <v>69.0</v>
      </c>
      <c r="E7767" s="52" t="s">
        <v>25</v>
      </c>
      <c r="F7767" s="52" t="s">
        <v>26</v>
      </c>
      <c r="G7767" s="54"/>
    </row>
    <row r="7768">
      <c r="A7768" s="49">
        <v>45102.85719995371</v>
      </c>
      <c r="B7768" s="50">
        <v>45102.9821705555</v>
      </c>
      <c r="C7768" s="51">
        <v>1.001</v>
      </c>
      <c r="D7768" s="51">
        <v>69.0</v>
      </c>
      <c r="E7768" s="52" t="s">
        <v>25</v>
      </c>
      <c r="F7768" s="52" t="s">
        <v>26</v>
      </c>
      <c r="G7768" s="54"/>
    </row>
    <row r="7769">
      <c r="A7769" s="49">
        <v>45102.86763168982</v>
      </c>
      <c r="B7769" s="50">
        <v>45102.9925912731</v>
      </c>
      <c r="C7769" s="51">
        <v>1.0</v>
      </c>
      <c r="D7769" s="51">
        <v>69.0</v>
      </c>
      <c r="E7769" s="52" t="s">
        <v>25</v>
      </c>
      <c r="F7769" s="52" t="s">
        <v>26</v>
      </c>
      <c r="G7769" s="54"/>
    </row>
    <row r="7770">
      <c r="A7770" s="49">
        <v>45102.878039710646</v>
      </c>
      <c r="B7770" s="50">
        <v>45103.0030099189</v>
      </c>
      <c r="C7770" s="51">
        <v>1.0</v>
      </c>
      <c r="D7770" s="51">
        <v>69.0</v>
      </c>
      <c r="E7770" s="52" t="s">
        <v>25</v>
      </c>
      <c r="F7770" s="52" t="s">
        <v>26</v>
      </c>
      <c r="G7770" s="54"/>
    </row>
    <row r="7771">
      <c r="A7771" s="49">
        <v>45102.88847668981</v>
      </c>
      <c r="B7771" s="50">
        <v>45103.013442743</v>
      </c>
      <c r="C7771" s="51">
        <v>1.0</v>
      </c>
      <c r="D7771" s="51">
        <v>69.0</v>
      </c>
      <c r="E7771" s="52" t="s">
        <v>25</v>
      </c>
      <c r="F7771" s="52" t="s">
        <v>26</v>
      </c>
      <c r="G7771" s="54"/>
    </row>
    <row r="7772">
      <c r="A7772" s="49">
        <v>45102.89888743055</v>
      </c>
      <c r="B7772" s="50">
        <v>45103.0238646064</v>
      </c>
      <c r="C7772" s="51">
        <v>1.0</v>
      </c>
      <c r="D7772" s="51">
        <v>69.0</v>
      </c>
      <c r="E7772" s="52" t="s">
        <v>25</v>
      </c>
      <c r="F7772" s="52" t="s">
        <v>26</v>
      </c>
      <c r="G7772" s="54"/>
    </row>
    <row r="7773">
      <c r="A7773" s="49">
        <v>45102.90931368056</v>
      </c>
      <c r="B7773" s="50">
        <v>45103.0342864467</v>
      </c>
      <c r="C7773" s="51">
        <v>1.0</v>
      </c>
      <c r="D7773" s="51">
        <v>69.0</v>
      </c>
      <c r="E7773" s="52" t="s">
        <v>25</v>
      </c>
      <c r="F7773" s="52" t="s">
        <v>26</v>
      </c>
      <c r="G7773" s="54"/>
    </row>
    <row r="7774">
      <c r="A7774" s="49">
        <v>45102.91973260416</v>
      </c>
      <c r="B7774" s="50">
        <v>45103.0447082407</v>
      </c>
      <c r="C7774" s="51">
        <v>1.0</v>
      </c>
      <c r="D7774" s="51">
        <v>69.0</v>
      </c>
      <c r="E7774" s="52" t="s">
        <v>25</v>
      </c>
      <c r="F7774" s="52" t="s">
        <v>26</v>
      </c>
      <c r="G7774" s="54"/>
    </row>
    <row r="7775">
      <c r="A7775" s="49">
        <v>45102.93016671296</v>
      </c>
      <c r="B7775" s="50">
        <v>45103.0551284953</v>
      </c>
      <c r="C7775" s="51">
        <v>1.0</v>
      </c>
      <c r="D7775" s="51">
        <v>69.0</v>
      </c>
      <c r="E7775" s="52" t="s">
        <v>25</v>
      </c>
      <c r="F7775" s="52" t="s">
        <v>26</v>
      </c>
      <c r="G7775" s="54"/>
    </row>
    <row r="7776">
      <c r="A7776" s="49">
        <v>45102.94057578704</v>
      </c>
      <c r="B7776" s="50">
        <v>45103.0655490162</v>
      </c>
      <c r="C7776" s="51">
        <v>1.001</v>
      </c>
      <c r="D7776" s="51">
        <v>69.0</v>
      </c>
      <c r="E7776" s="52" t="s">
        <v>25</v>
      </c>
      <c r="F7776" s="52" t="s">
        <v>26</v>
      </c>
      <c r="G7776" s="54"/>
    </row>
    <row r="7777">
      <c r="A7777" s="49">
        <v>45102.95099960648</v>
      </c>
      <c r="B7777" s="50">
        <v>45103.0759714699</v>
      </c>
      <c r="C7777" s="51">
        <v>1.001</v>
      </c>
      <c r="D7777" s="51">
        <v>69.0</v>
      </c>
      <c r="E7777" s="52" t="s">
        <v>25</v>
      </c>
      <c r="F7777" s="52" t="s">
        <v>26</v>
      </c>
      <c r="G7777" s="54"/>
    </row>
    <row r="7778">
      <c r="A7778" s="49">
        <v>45102.96142385417</v>
      </c>
      <c r="B7778" s="50">
        <v>45103.0863918634</v>
      </c>
      <c r="C7778" s="51">
        <v>1.0</v>
      </c>
      <c r="D7778" s="51">
        <v>69.0</v>
      </c>
      <c r="E7778" s="52" t="s">
        <v>25</v>
      </c>
      <c r="F7778" s="52" t="s">
        <v>26</v>
      </c>
      <c r="G7778" s="54"/>
    </row>
    <row r="7779">
      <c r="A7779" s="49">
        <v>45102.97184731481</v>
      </c>
      <c r="B7779" s="50">
        <v>45103.096812743</v>
      </c>
      <c r="C7779" s="51">
        <v>1.0</v>
      </c>
      <c r="D7779" s="51">
        <v>69.0</v>
      </c>
      <c r="E7779" s="52" t="s">
        <v>25</v>
      </c>
      <c r="F7779" s="52" t="s">
        <v>26</v>
      </c>
      <c r="G7779" s="54"/>
    </row>
    <row r="7780">
      <c r="A7780" s="49">
        <v>45102.982275925926</v>
      </c>
      <c r="B7780" s="50">
        <v>45103.1072469675</v>
      </c>
      <c r="C7780" s="51">
        <v>1.0</v>
      </c>
      <c r="D7780" s="51">
        <v>69.0</v>
      </c>
      <c r="E7780" s="52" t="s">
        <v>25</v>
      </c>
      <c r="F7780" s="52" t="s">
        <v>26</v>
      </c>
      <c r="G7780" s="54"/>
    </row>
    <row r="7781">
      <c r="A7781" s="49">
        <v>45102.99269047454</v>
      </c>
      <c r="B7781" s="50">
        <v>45103.1176690856</v>
      </c>
      <c r="C7781" s="51">
        <v>1.0</v>
      </c>
      <c r="D7781" s="51">
        <v>69.0</v>
      </c>
      <c r="E7781" s="52" t="s">
        <v>25</v>
      </c>
      <c r="F7781" s="52" t="s">
        <v>26</v>
      </c>
      <c r="G7781" s="54"/>
    </row>
    <row r="7782">
      <c r="A7782" s="49">
        <v>45103.00312530092</v>
      </c>
      <c r="B7782" s="50">
        <v>45103.1280907291</v>
      </c>
      <c r="C7782" s="51">
        <v>1.0</v>
      </c>
      <c r="D7782" s="51">
        <v>69.0</v>
      </c>
      <c r="E7782" s="52" t="s">
        <v>25</v>
      </c>
      <c r="F7782" s="52" t="s">
        <v>26</v>
      </c>
      <c r="G7782" s="54"/>
    </row>
    <row r="7783">
      <c r="A7783" s="49">
        <v>45103.01354241898</v>
      </c>
      <c r="B7783" s="50">
        <v>45103.1385094328</v>
      </c>
      <c r="C7783" s="51">
        <v>1.0</v>
      </c>
      <c r="D7783" s="51">
        <v>69.0</v>
      </c>
      <c r="E7783" s="52" t="s">
        <v>25</v>
      </c>
      <c r="F7783" s="52" t="s">
        <v>26</v>
      </c>
      <c r="G7783" s="54"/>
    </row>
    <row r="7784">
      <c r="A7784" s="49">
        <v>45103.02396564815</v>
      </c>
      <c r="B7784" s="50">
        <v>45103.1489303125</v>
      </c>
      <c r="C7784" s="51">
        <v>1.0</v>
      </c>
      <c r="D7784" s="51">
        <v>69.0</v>
      </c>
      <c r="E7784" s="52" t="s">
        <v>25</v>
      </c>
      <c r="F7784" s="52" t="s">
        <v>26</v>
      </c>
      <c r="G7784" s="54"/>
    </row>
    <row r="7785">
      <c r="A7785" s="49">
        <v>45103.03437518519</v>
      </c>
      <c r="B7785" s="50">
        <v>45103.1593507523</v>
      </c>
      <c r="C7785" s="51">
        <v>1.001</v>
      </c>
      <c r="D7785" s="51">
        <v>69.0</v>
      </c>
      <c r="E7785" s="52" t="s">
        <v>25</v>
      </c>
      <c r="F7785" s="52" t="s">
        <v>26</v>
      </c>
      <c r="G7785" s="54"/>
    </row>
    <row r="7786">
      <c r="A7786" s="49">
        <v>45103.04479375</v>
      </c>
      <c r="B7786" s="50">
        <v>45103.1697724421</v>
      </c>
      <c r="C7786" s="51">
        <v>1.0</v>
      </c>
      <c r="D7786" s="51">
        <v>69.0</v>
      </c>
      <c r="E7786" s="52" t="s">
        <v>25</v>
      </c>
      <c r="F7786" s="52" t="s">
        <v>26</v>
      </c>
      <c r="G7786" s="54"/>
    </row>
    <row r="7787">
      <c r="A7787" s="49">
        <v>45103.05522751158</v>
      </c>
      <c r="B7787" s="50">
        <v>45103.1801941203</v>
      </c>
      <c r="C7787" s="51">
        <v>1.0</v>
      </c>
      <c r="D7787" s="51">
        <v>69.0</v>
      </c>
      <c r="E7787" s="52" t="s">
        <v>25</v>
      </c>
      <c r="F7787" s="52" t="s">
        <v>26</v>
      </c>
      <c r="G7787" s="54"/>
    </row>
    <row r="7788">
      <c r="A7788" s="49">
        <v>45103.06563315973</v>
      </c>
      <c r="B7788" s="50">
        <v>45103.1906160995</v>
      </c>
      <c r="C7788" s="51">
        <v>1.001</v>
      </c>
      <c r="D7788" s="51">
        <v>69.0</v>
      </c>
      <c r="E7788" s="52" t="s">
        <v>25</v>
      </c>
      <c r="F7788" s="52" t="s">
        <v>26</v>
      </c>
      <c r="G7788" s="54"/>
    </row>
    <row r="7789">
      <c r="A7789" s="49">
        <v>45103.07605743056</v>
      </c>
      <c r="B7789" s="50">
        <v>45103.20103478</v>
      </c>
      <c r="C7789" s="51">
        <v>1.0</v>
      </c>
      <c r="D7789" s="51">
        <v>69.0</v>
      </c>
      <c r="E7789" s="52" t="s">
        <v>25</v>
      </c>
      <c r="F7789" s="52" t="s">
        <v>26</v>
      </c>
      <c r="G7789" s="54"/>
    </row>
    <row r="7790">
      <c r="A7790" s="49">
        <v>45103.08648295139</v>
      </c>
      <c r="B7790" s="50">
        <v>45103.2114560069</v>
      </c>
      <c r="C7790" s="51">
        <v>1.0</v>
      </c>
      <c r="D7790" s="51">
        <v>69.0</v>
      </c>
      <c r="E7790" s="52" t="s">
        <v>25</v>
      </c>
      <c r="F7790" s="52" t="s">
        <v>26</v>
      </c>
      <c r="G7790" s="54"/>
    </row>
    <row r="7791">
      <c r="A7791" s="49">
        <v>45103.09690506944</v>
      </c>
      <c r="B7791" s="50">
        <v>45103.2218779513</v>
      </c>
      <c r="C7791" s="51">
        <v>1.001</v>
      </c>
      <c r="D7791" s="51">
        <v>69.0</v>
      </c>
      <c r="E7791" s="52" t="s">
        <v>25</v>
      </c>
      <c r="F7791" s="52" t="s">
        <v>26</v>
      </c>
      <c r="G7791" s="54"/>
    </row>
    <row r="7792">
      <c r="A7792" s="49">
        <v>45103.107336643516</v>
      </c>
      <c r="B7792" s="50">
        <v>45103.2322994676</v>
      </c>
      <c r="C7792" s="51">
        <v>1.001</v>
      </c>
      <c r="D7792" s="51">
        <v>69.0</v>
      </c>
      <c r="E7792" s="52" t="s">
        <v>25</v>
      </c>
      <c r="F7792" s="52" t="s">
        <v>26</v>
      </c>
      <c r="G7792" s="54"/>
    </row>
    <row r="7793">
      <c r="A7793" s="49">
        <v>45103.11774405093</v>
      </c>
      <c r="B7793" s="50">
        <v>45103.242720706</v>
      </c>
      <c r="C7793" s="51">
        <v>1.0</v>
      </c>
      <c r="D7793" s="51">
        <v>69.0</v>
      </c>
      <c r="E7793" s="52" t="s">
        <v>25</v>
      </c>
      <c r="F7793" s="52" t="s">
        <v>26</v>
      </c>
      <c r="G7793" s="54"/>
    </row>
    <row r="7794">
      <c r="A7794" s="49">
        <v>45103.128161053246</v>
      </c>
      <c r="B7794" s="50">
        <v>45103.2531400463</v>
      </c>
      <c r="C7794" s="51">
        <v>1.0</v>
      </c>
      <c r="D7794" s="51">
        <v>69.0</v>
      </c>
      <c r="E7794" s="52" t="s">
        <v>25</v>
      </c>
      <c r="F7794" s="52" t="s">
        <v>26</v>
      </c>
      <c r="G7794" s="54"/>
    </row>
    <row r="7795">
      <c r="A7795" s="49">
        <v>45103.138577245365</v>
      </c>
      <c r="B7795" s="50">
        <v>45103.263560405</v>
      </c>
      <c r="C7795" s="51">
        <v>1.0</v>
      </c>
      <c r="D7795" s="51">
        <v>69.0</v>
      </c>
      <c r="E7795" s="52" t="s">
        <v>25</v>
      </c>
      <c r="F7795" s="52" t="s">
        <v>26</v>
      </c>
      <c r="G7795" s="54"/>
    </row>
    <row r="7796">
      <c r="A7796" s="49">
        <v>45103.14900903935</v>
      </c>
      <c r="B7796" s="50">
        <v>45103.2739821064</v>
      </c>
      <c r="C7796" s="51">
        <v>1.001</v>
      </c>
      <c r="D7796" s="51">
        <v>69.0</v>
      </c>
      <c r="E7796" s="52" t="s">
        <v>25</v>
      </c>
      <c r="F7796" s="52" t="s">
        <v>26</v>
      </c>
      <c r="G7796" s="54"/>
    </row>
    <row r="7797">
      <c r="A7797" s="49">
        <v>45103.15942924768</v>
      </c>
      <c r="B7797" s="50">
        <v>45103.284404074</v>
      </c>
      <c r="C7797" s="51">
        <v>1.0</v>
      </c>
      <c r="D7797" s="51">
        <v>69.0</v>
      </c>
      <c r="E7797" s="52" t="s">
        <v>25</v>
      </c>
      <c r="F7797" s="52" t="s">
        <v>26</v>
      </c>
      <c r="G7797" s="54"/>
    </row>
    <row r="7798">
      <c r="A7798" s="49">
        <v>45103.16986070602</v>
      </c>
      <c r="B7798" s="50">
        <v>45103.2948392824</v>
      </c>
      <c r="C7798" s="51">
        <v>1.0</v>
      </c>
      <c r="D7798" s="51">
        <v>69.0</v>
      </c>
      <c r="E7798" s="52" t="s">
        <v>25</v>
      </c>
      <c r="F7798" s="52" t="s">
        <v>26</v>
      </c>
      <c r="G7798" s="54"/>
    </row>
    <row r="7799">
      <c r="A7799" s="49">
        <v>45103.18028288195</v>
      </c>
      <c r="B7799" s="50">
        <v>45103.3052594444</v>
      </c>
      <c r="C7799" s="51">
        <v>1.0</v>
      </c>
      <c r="D7799" s="51">
        <v>69.0</v>
      </c>
      <c r="E7799" s="52" t="s">
        <v>25</v>
      </c>
      <c r="F7799" s="52" t="s">
        <v>26</v>
      </c>
      <c r="G7799" s="54"/>
    </row>
    <row r="7800">
      <c r="A7800" s="49">
        <v>45103.19070329861</v>
      </c>
      <c r="B7800" s="50">
        <v>45103.3156809259</v>
      </c>
      <c r="C7800" s="51">
        <v>1.0</v>
      </c>
      <c r="D7800" s="51">
        <v>69.0</v>
      </c>
      <c r="E7800" s="52" t="s">
        <v>25</v>
      </c>
      <c r="F7800" s="52" t="s">
        <v>26</v>
      </c>
      <c r="G7800" s="54"/>
    </row>
    <row r="7801">
      <c r="A7801" s="49">
        <v>45103.201128263885</v>
      </c>
      <c r="B7801" s="50">
        <v>45103.326103125</v>
      </c>
      <c r="C7801" s="51">
        <v>1.0</v>
      </c>
      <c r="D7801" s="51">
        <v>69.0</v>
      </c>
      <c r="E7801" s="52" t="s">
        <v>25</v>
      </c>
      <c r="F7801" s="52" t="s">
        <v>26</v>
      </c>
      <c r="G7801" s="54"/>
    </row>
    <row r="7802">
      <c r="A7802" s="49">
        <v>45103.21154842593</v>
      </c>
      <c r="B7802" s="50">
        <v>45103.336524699</v>
      </c>
      <c r="C7802" s="51">
        <v>1.0</v>
      </c>
      <c r="D7802" s="51">
        <v>69.0</v>
      </c>
      <c r="E7802" s="52" t="s">
        <v>25</v>
      </c>
      <c r="F7802" s="52" t="s">
        <v>26</v>
      </c>
      <c r="G7802" s="54"/>
    </row>
    <row r="7803">
      <c r="A7803" s="49">
        <v>45103.22197075232</v>
      </c>
      <c r="B7803" s="50">
        <v>45103.3469461458</v>
      </c>
      <c r="C7803" s="51">
        <v>1.0</v>
      </c>
      <c r="D7803" s="51">
        <v>69.0</v>
      </c>
      <c r="E7803" s="52" t="s">
        <v>25</v>
      </c>
      <c r="F7803" s="52" t="s">
        <v>26</v>
      </c>
      <c r="G7803" s="54"/>
    </row>
    <row r="7804">
      <c r="A7804" s="49">
        <v>45103.23239809027</v>
      </c>
      <c r="B7804" s="50">
        <v>45103.357368125</v>
      </c>
      <c r="C7804" s="51">
        <v>1.0</v>
      </c>
      <c r="D7804" s="51">
        <v>69.0</v>
      </c>
      <c r="E7804" s="52" t="s">
        <v>25</v>
      </c>
      <c r="F7804" s="52" t="s">
        <v>26</v>
      </c>
      <c r="G7804" s="54"/>
    </row>
    <row r="7805">
      <c r="A7805" s="49">
        <v>45103.24282950231</v>
      </c>
      <c r="B7805" s="50">
        <v>45103.3678109143</v>
      </c>
      <c r="C7805" s="51">
        <v>1.0</v>
      </c>
      <c r="D7805" s="51">
        <v>69.0</v>
      </c>
      <c r="E7805" s="52" t="s">
        <v>25</v>
      </c>
      <c r="F7805" s="52" t="s">
        <v>26</v>
      </c>
      <c r="G7805" s="54"/>
    </row>
    <row r="7806">
      <c r="A7806" s="49">
        <v>45103.253246215274</v>
      </c>
      <c r="B7806" s="50">
        <v>45103.378230706</v>
      </c>
      <c r="C7806" s="51">
        <v>1.0</v>
      </c>
      <c r="D7806" s="51">
        <v>69.0</v>
      </c>
      <c r="E7806" s="52" t="s">
        <v>25</v>
      </c>
      <c r="F7806" s="52" t="s">
        <v>26</v>
      </c>
      <c r="G7806" s="54"/>
    </row>
    <row r="7807">
      <c r="A7807" s="49">
        <v>45103.26367774306</v>
      </c>
      <c r="B7807" s="50">
        <v>45103.3886506712</v>
      </c>
      <c r="C7807" s="51">
        <v>1.0</v>
      </c>
      <c r="D7807" s="51">
        <v>69.0</v>
      </c>
      <c r="E7807" s="52" t="s">
        <v>25</v>
      </c>
      <c r="F7807" s="52" t="s">
        <v>26</v>
      </c>
      <c r="G7807" s="54"/>
    </row>
    <row r="7808">
      <c r="A7808" s="49">
        <v>45103.27410417824</v>
      </c>
      <c r="B7808" s="50">
        <v>45103.399084155</v>
      </c>
      <c r="C7808" s="51">
        <v>1.0</v>
      </c>
      <c r="D7808" s="51">
        <v>69.0</v>
      </c>
      <c r="E7808" s="52" t="s">
        <v>25</v>
      </c>
      <c r="F7808" s="52" t="s">
        <v>26</v>
      </c>
      <c r="G7808" s="54"/>
    </row>
    <row r="7809">
      <c r="A7809" s="49">
        <v>45103.28457109953</v>
      </c>
      <c r="B7809" s="50">
        <v>45103.40954125</v>
      </c>
      <c r="C7809" s="51">
        <v>1.0</v>
      </c>
      <c r="D7809" s="51">
        <v>69.0</v>
      </c>
      <c r="E7809" s="52" t="s">
        <v>25</v>
      </c>
      <c r="F7809" s="52" t="s">
        <v>26</v>
      </c>
      <c r="G7809" s="54"/>
    </row>
    <row r="7810">
      <c r="A7810" s="49">
        <v>45103.294992615745</v>
      </c>
      <c r="B7810" s="50">
        <v>45103.4199636574</v>
      </c>
      <c r="C7810" s="51">
        <v>1.0</v>
      </c>
      <c r="D7810" s="51">
        <v>69.0</v>
      </c>
      <c r="E7810" s="52" t="s">
        <v>25</v>
      </c>
      <c r="F7810" s="52" t="s">
        <v>26</v>
      </c>
      <c r="G7810" s="54"/>
    </row>
    <row r="7811">
      <c r="A7811" s="49">
        <v>45103.30539844907</v>
      </c>
      <c r="B7811" s="50">
        <v>45103.4303837384</v>
      </c>
      <c r="C7811" s="51">
        <v>1.0</v>
      </c>
      <c r="D7811" s="51">
        <v>69.0</v>
      </c>
      <c r="E7811" s="52" t="s">
        <v>25</v>
      </c>
      <c r="F7811" s="52" t="s">
        <v>26</v>
      </c>
      <c r="G7811" s="54"/>
    </row>
    <row r="7812">
      <c r="A7812" s="49">
        <v>45103.31583599537</v>
      </c>
      <c r="B7812" s="50">
        <v>45103.4408049884</v>
      </c>
      <c r="C7812" s="51">
        <v>1.0</v>
      </c>
      <c r="D7812" s="51">
        <v>69.0</v>
      </c>
      <c r="E7812" s="52" t="s">
        <v>25</v>
      </c>
      <c r="F7812" s="52" t="s">
        <v>26</v>
      </c>
      <c r="G7812" s="54"/>
    </row>
    <row r="7813">
      <c r="A7813" s="49">
        <v>45103.326259803245</v>
      </c>
      <c r="B7813" s="50">
        <v>45103.4512252314</v>
      </c>
      <c r="C7813" s="51">
        <v>1.0</v>
      </c>
      <c r="D7813" s="51">
        <v>69.0</v>
      </c>
      <c r="E7813" s="52" t="s">
        <v>25</v>
      </c>
      <c r="F7813" s="52" t="s">
        <v>26</v>
      </c>
      <c r="G7813" s="54"/>
    </row>
    <row r="7814">
      <c r="A7814" s="49">
        <v>45103.33667650463</v>
      </c>
      <c r="B7814" s="50">
        <v>45103.4616482754</v>
      </c>
      <c r="C7814" s="51">
        <v>1.0</v>
      </c>
      <c r="D7814" s="51">
        <v>69.0</v>
      </c>
      <c r="E7814" s="52" t="s">
        <v>25</v>
      </c>
      <c r="F7814" s="52" t="s">
        <v>26</v>
      </c>
      <c r="G7814" s="54"/>
    </row>
    <row r="7815">
      <c r="A7815" s="49">
        <v>45103.34709913195</v>
      </c>
      <c r="B7815" s="50">
        <v>45103.4720828703</v>
      </c>
      <c r="C7815" s="51">
        <v>1.0</v>
      </c>
      <c r="D7815" s="51">
        <v>69.0</v>
      </c>
      <c r="E7815" s="52" t="s">
        <v>25</v>
      </c>
      <c r="F7815" s="52" t="s">
        <v>26</v>
      </c>
      <c r="G7815" s="54"/>
    </row>
    <row r="7816">
      <c r="A7816" s="49">
        <v>45103.35752800926</v>
      </c>
      <c r="B7816" s="50">
        <v>45103.4825044907</v>
      </c>
      <c r="C7816" s="51">
        <v>1.0</v>
      </c>
      <c r="D7816" s="51">
        <v>69.0</v>
      </c>
      <c r="E7816" s="52" t="s">
        <v>25</v>
      </c>
      <c r="F7816" s="52" t="s">
        <v>26</v>
      </c>
      <c r="G7816" s="54"/>
    </row>
    <row r="7817">
      <c r="A7817" s="49">
        <v>45103.36794648148</v>
      </c>
      <c r="B7817" s="50">
        <v>45103.4929259375</v>
      </c>
      <c r="C7817" s="51">
        <v>1.0</v>
      </c>
      <c r="D7817" s="51">
        <v>69.0</v>
      </c>
      <c r="E7817" s="52" t="s">
        <v>25</v>
      </c>
      <c r="F7817" s="52" t="s">
        <v>26</v>
      </c>
      <c r="G7817" s="54"/>
    </row>
    <row r="7818">
      <c r="A7818" s="49">
        <v>45103.378363298616</v>
      </c>
      <c r="B7818" s="50">
        <v>45103.5033457638</v>
      </c>
      <c r="C7818" s="51">
        <v>1.0</v>
      </c>
      <c r="D7818" s="51">
        <v>69.0</v>
      </c>
      <c r="E7818" s="52" t="s">
        <v>25</v>
      </c>
      <c r="F7818" s="52" t="s">
        <v>26</v>
      </c>
      <c r="G7818" s="54"/>
    </row>
    <row r="7819">
      <c r="A7819" s="49">
        <v>45103.38878469907</v>
      </c>
      <c r="B7819" s="50">
        <v>45103.5137662384</v>
      </c>
      <c r="C7819" s="51">
        <v>1.0</v>
      </c>
      <c r="D7819" s="51">
        <v>69.0</v>
      </c>
      <c r="E7819" s="52" t="s">
        <v>25</v>
      </c>
      <c r="F7819" s="52" t="s">
        <v>26</v>
      </c>
      <c r="G7819" s="54"/>
    </row>
    <row r="7820">
      <c r="A7820" s="49">
        <v>45103.399206064816</v>
      </c>
      <c r="B7820" s="50">
        <v>45103.5241874652</v>
      </c>
      <c r="C7820" s="51">
        <v>1.001</v>
      </c>
      <c r="D7820" s="51">
        <v>69.0</v>
      </c>
      <c r="E7820" s="52" t="s">
        <v>25</v>
      </c>
      <c r="F7820" s="52" t="s">
        <v>26</v>
      </c>
      <c r="G7820" s="54"/>
    </row>
    <row r="7821">
      <c r="A7821" s="49">
        <v>45103.40963247685</v>
      </c>
      <c r="B7821" s="50">
        <v>45103.5346082754</v>
      </c>
      <c r="C7821" s="51">
        <v>1.0</v>
      </c>
      <c r="D7821" s="51">
        <v>69.0</v>
      </c>
      <c r="E7821" s="52" t="s">
        <v>25</v>
      </c>
      <c r="F7821" s="52" t="s">
        <v>26</v>
      </c>
      <c r="G7821" s="54"/>
    </row>
    <row r="7822">
      <c r="A7822" s="49">
        <v>45103.420054745366</v>
      </c>
      <c r="B7822" s="50">
        <v>45103.5450296412</v>
      </c>
      <c r="C7822" s="51">
        <v>1.0</v>
      </c>
      <c r="D7822" s="51">
        <v>69.0</v>
      </c>
      <c r="E7822" s="52" t="s">
        <v>25</v>
      </c>
      <c r="F7822" s="52" t="s">
        <v>26</v>
      </c>
      <c r="G7822" s="54"/>
    </row>
    <row r="7823">
      <c r="A7823" s="49">
        <v>45103.43047126157</v>
      </c>
      <c r="B7823" s="50">
        <v>45103.5554507523</v>
      </c>
      <c r="C7823" s="51">
        <v>1.0</v>
      </c>
      <c r="D7823" s="51">
        <v>69.0</v>
      </c>
      <c r="E7823" s="52" t="s">
        <v>25</v>
      </c>
      <c r="F7823" s="52" t="s">
        <v>26</v>
      </c>
      <c r="G7823" s="54"/>
    </row>
    <row r="7824">
      <c r="A7824" s="49">
        <v>45103.440894155094</v>
      </c>
      <c r="B7824" s="50">
        <v>45103.5658719675</v>
      </c>
      <c r="C7824" s="51">
        <v>1.0</v>
      </c>
      <c r="D7824" s="51">
        <v>69.0</v>
      </c>
      <c r="E7824" s="52" t="s">
        <v>25</v>
      </c>
      <c r="F7824" s="52" t="s">
        <v>26</v>
      </c>
      <c r="G7824" s="54"/>
    </row>
    <row r="7825">
      <c r="A7825" s="49">
        <v>45103.45132261574</v>
      </c>
      <c r="B7825" s="50">
        <v>45103.5762924421</v>
      </c>
      <c r="C7825" s="51">
        <v>1.0</v>
      </c>
      <c r="D7825" s="51">
        <v>69.0</v>
      </c>
      <c r="E7825" s="52" t="s">
        <v>25</v>
      </c>
      <c r="F7825" s="52" t="s">
        <v>26</v>
      </c>
      <c r="G7825" s="54"/>
    </row>
    <row r="7826">
      <c r="A7826" s="49">
        <v>45103.46175221065</v>
      </c>
      <c r="B7826" s="50">
        <v>45103.5867246527</v>
      </c>
      <c r="C7826" s="51">
        <v>1.0</v>
      </c>
      <c r="D7826" s="51">
        <v>69.0</v>
      </c>
      <c r="E7826" s="52" t="s">
        <v>25</v>
      </c>
      <c r="F7826" s="52" t="s">
        <v>26</v>
      </c>
      <c r="G7826" s="54"/>
    </row>
    <row r="7827">
      <c r="A7827" s="49">
        <v>45103.472186238425</v>
      </c>
      <c r="B7827" s="50">
        <v>45103.5971587847</v>
      </c>
      <c r="C7827" s="51">
        <v>1.001</v>
      </c>
      <c r="D7827" s="51">
        <v>69.0</v>
      </c>
      <c r="E7827" s="52" t="s">
        <v>25</v>
      </c>
      <c r="F7827" s="52" t="s">
        <v>26</v>
      </c>
      <c r="G7827" s="54"/>
    </row>
    <row r="7828">
      <c r="A7828" s="49">
        <v>45103.48261375</v>
      </c>
      <c r="B7828" s="50">
        <v>45103.607590081</v>
      </c>
      <c r="C7828" s="51">
        <v>1.0</v>
      </c>
      <c r="D7828" s="51">
        <v>69.0</v>
      </c>
      <c r="E7828" s="52" t="s">
        <v>25</v>
      </c>
      <c r="F7828" s="52" t="s">
        <v>26</v>
      </c>
      <c r="G7828" s="54"/>
    </row>
    <row r="7829">
      <c r="A7829" s="49">
        <v>45103.493029756944</v>
      </c>
      <c r="B7829" s="50">
        <v>45103.6180101736</v>
      </c>
      <c r="C7829" s="51">
        <v>1.0</v>
      </c>
      <c r="D7829" s="51">
        <v>69.0</v>
      </c>
      <c r="E7829" s="52" t="s">
        <v>25</v>
      </c>
      <c r="F7829" s="52" t="s">
        <v>26</v>
      </c>
      <c r="G7829" s="54"/>
    </row>
    <row r="7830">
      <c r="A7830" s="49">
        <v>45103.50345853009</v>
      </c>
      <c r="B7830" s="50">
        <v>45103.6284316782</v>
      </c>
      <c r="C7830" s="51">
        <v>1.0</v>
      </c>
      <c r="D7830" s="51">
        <v>69.0</v>
      </c>
      <c r="E7830" s="52" t="s">
        <v>25</v>
      </c>
      <c r="F7830" s="52" t="s">
        <v>26</v>
      </c>
      <c r="G7830" s="54"/>
    </row>
    <row r="7831">
      <c r="A7831" s="49">
        <v>45103.51387998843</v>
      </c>
      <c r="B7831" s="50">
        <v>45103.6388525231</v>
      </c>
      <c r="C7831" s="51">
        <v>1.0</v>
      </c>
      <c r="D7831" s="51">
        <v>69.0</v>
      </c>
      <c r="E7831" s="52" t="s">
        <v>25</v>
      </c>
      <c r="F7831" s="52" t="s">
        <v>26</v>
      </c>
      <c r="G7831" s="54"/>
    </row>
    <row r="7832">
      <c r="A7832" s="49">
        <v>45103.52431138889</v>
      </c>
      <c r="B7832" s="50">
        <v>45103.6492866088</v>
      </c>
      <c r="C7832" s="51">
        <v>1.0</v>
      </c>
      <c r="D7832" s="51">
        <v>69.0</v>
      </c>
      <c r="E7832" s="52" t="s">
        <v>25</v>
      </c>
      <c r="F7832" s="52" t="s">
        <v>26</v>
      </c>
      <c r="G7832" s="54"/>
    </row>
    <row r="7833">
      <c r="A7833" s="49">
        <v>45103.53473436343</v>
      </c>
      <c r="B7833" s="50">
        <v>45103.6597073726</v>
      </c>
      <c r="C7833" s="51">
        <v>1.001</v>
      </c>
      <c r="D7833" s="51">
        <v>69.0</v>
      </c>
      <c r="E7833" s="52" t="s">
        <v>25</v>
      </c>
      <c r="F7833" s="52" t="s">
        <v>26</v>
      </c>
      <c r="G7833" s="54"/>
    </row>
    <row r="7834">
      <c r="A7834" s="49">
        <v>45103.5451518287</v>
      </c>
      <c r="B7834" s="50">
        <v>45103.6701276736</v>
      </c>
      <c r="C7834" s="51">
        <v>1.0</v>
      </c>
      <c r="D7834" s="51">
        <v>69.0</v>
      </c>
      <c r="E7834" s="52" t="s">
        <v>25</v>
      </c>
      <c r="F7834" s="52" t="s">
        <v>26</v>
      </c>
      <c r="G7834" s="54"/>
    </row>
    <row r="7835">
      <c r="A7835" s="49">
        <v>45103.55557133102</v>
      </c>
      <c r="B7835" s="50">
        <v>45103.6805475115</v>
      </c>
      <c r="C7835" s="51">
        <v>1.0</v>
      </c>
      <c r="D7835" s="51">
        <v>69.0</v>
      </c>
      <c r="E7835" s="52" t="s">
        <v>25</v>
      </c>
      <c r="F7835" s="52" t="s">
        <v>26</v>
      </c>
      <c r="G7835" s="54"/>
    </row>
    <row r="7836">
      <c r="A7836" s="49">
        <v>45103.565989814815</v>
      </c>
      <c r="B7836" s="50">
        <v>45103.6909691666</v>
      </c>
      <c r="C7836" s="51">
        <v>1.0</v>
      </c>
      <c r="D7836" s="51">
        <v>69.0</v>
      </c>
      <c r="E7836" s="52" t="s">
        <v>25</v>
      </c>
      <c r="F7836" s="52" t="s">
        <v>26</v>
      </c>
      <c r="G7836" s="54"/>
    </row>
    <row r="7837">
      <c r="A7837" s="49">
        <v>45103.576423923616</v>
      </c>
      <c r="B7837" s="50">
        <v>45103.7013998379</v>
      </c>
      <c r="C7837" s="51">
        <v>1.0</v>
      </c>
      <c r="D7837" s="51">
        <v>69.0</v>
      </c>
      <c r="E7837" s="52" t="s">
        <v>25</v>
      </c>
      <c r="F7837" s="52" t="s">
        <v>26</v>
      </c>
      <c r="G7837" s="54"/>
    </row>
    <row r="7838">
      <c r="A7838" s="49">
        <v>45103.58684603009</v>
      </c>
      <c r="B7838" s="50">
        <v>45103.7118220138</v>
      </c>
      <c r="C7838" s="51">
        <v>1.0</v>
      </c>
      <c r="D7838" s="51">
        <v>69.0</v>
      </c>
      <c r="E7838" s="52" t="s">
        <v>25</v>
      </c>
      <c r="F7838" s="52" t="s">
        <v>26</v>
      </c>
      <c r="G7838" s="54"/>
    </row>
    <row r="7839">
      <c r="A7839" s="49">
        <v>45103.59726908564</v>
      </c>
      <c r="B7839" s="50">
        <v>45103.7222424421</v>
      </c>
      <c r="C7839" s="51">
        <v>1.0</v>
      </c>
      <c r="D7839" s="51">
        <v>69.0</v>
      </c>
      <c r="E7839" s="52" t="s">
        <v>25</v>
      </c>
      <c r="F7839" s="52" t="s">
        <v>26</v>
      </c>
      <c r="G7839" s="54"/>
    </row>
    <row r="7840">
      <c r="A7840" s="49">
        <v>45103.60768714121</v>
      </c>
      <c r="B7840" s="50">
        <v>45103.7326634722</v>
      </c>
      <c r="C7840" s="51">
        <v>1.0</v>
      </c>
      <c r="D7840" s="51">
        <v>69.0</v>
      </c>
      <c r="E7840" s="52" t="s">
        <v>25</v>
      </c>
      <c r="F7840" s="52" t="s">
        <v>26</v>
      </c>
      <c r="G7840" s="54"/>
    </row>
    <row r="7841">
      <c r="A7841" s="49">
        <v>45103.61810274306</v>
      </c>
      <c r="B7841" s="50">
        <v>45103.7430834838</v>
      </c>
      <c r="C7841" s="51">
        <v>1.0</v>
      </c>
      <c r="D7841" s="51">
        <v>69.0</v>
      </c>
      <c r="E7841" s="52" t="s">
        <v>25</v>
      </c>
      <c r="F7841" s="52" t="s">
        <v>26</v>
      </c>
      <c r="G7841" s="54"/>
    </row>
    <row r="7842">
      <c r="A7842" s="49">
        <v>45103.628528506946</v>
      </c>
      <c r="B7842" s="50">
        <v>45103.7535052893</v>
      </c>
      <c r="C7842" s="51">
        <v>1.0</v>
      </c>
      <c r="D7842" s="51">
        <v>69.0</v>
      </c>
      <c r="E7842" s="52" t="s">
        <v>25</v>
      </c>
      <c r="F7842" s="52" t="s">
        <v>26</v>
      </c>
      <c r="G7842" s="54"/>
    </row>
    <row r="7843">
      <c r="A7843" s="49">
        <v>45103.63894641204</v>
      </c>
      <c r="B7843" s="50">
        <v>45103.7639253588</v>
      </c>
      <c r="C7843" s="51">
        <v>1.0</v>
      </c>
      <c r="D7843" s="51">
        <v>69.0</v>
      </c>
      <c r="E7843" s="52" t="s">
        <v>25</v>
      </c>
      <c r="F7843" s="52" t="s">
        <v>26</v>
      </c>
      <c r="G7843" s="54"/>
    </row>
    <row r="7844">
      <c r="A7844" s="49">
        <v>45103.64936701389</v>
      </c>
      <c r="B7844" s="50">
        <v>45103.7743450462</v>
      </c>
      <c r="C7844" s="51">
        <v>1.0</v>
      </c>
      <c r="D7844" s="51">
        <v>69.0</v>
      </c>
      <c r="E7844" s="52" t="s">
        <v>25</v>
      </c>
      <c r="F7844" s="52" t="s">
        <v>26</v>
      </c>
      <c r="G7844" s="54"/>
    </row>
    <row r="7845">
      <c r="A7845" s="49">
        <v>45103.659801180554</v>
      </c>
      <c r="B7845" s="50">
        <v>45103.7847665277</v>
      </c>
      <c r="C7845" s="51">
        <v>1.0</v>
      </c>
      <c r="D7845" s="51">
        <v>69.0</v>
      </c>
      <c r="E7845" s="52" t="s">
        <v>25</v>
      </c>
      <c r="F7845" s="52" t="s">
        <v>26</v>
      </c>
      <c r="G7845" s="54"/>
    </row>
    <row r="7846">
      <c r="A7846" s="49">
        <v>45103.67021247685</v>
      </c>
      <c r="B7846" s="50">
        <v>45103.7951880902</v>
      </c>
      <c r="C7846" s="51">
        <v>1.0</v>
      </c>
      <c r="D7846" s="51">
        <v>69.0</v>
      </c>
      <c r="E7846" s="52" t="s">
        <v>25</v>
      </c>
      <c r="F7846" s="52" t="s">
        <v>26</v>
      </c>
      <c r="G7846" s="54"/>
    </row>
    <row r="7847">
      <c r="A7847" s="49">
        <v>45103.680639976854</v>
      </c>
      <c r="B7847" s="50">
        <v>45103.8056102893</v>
      </c>
      <c r="C7847" s="51">
        <v>1.0</v>
      </c>
      <c r="D7847" s="51">
        <v>69.0</v>
      </c>
      <c r="E7847" s="52" t="s">
        <v>25</v>
      </c>
      <c r="F7847" s="52" t="s">
        <v>26</v>
      </c>
      <c r="G7847" s="54"/>
    </row>
    <row r="7848">
      <c r="A7848" s="49">
        <v>45103.69104586805</v>
      </c>
      <c r="B7848" s="50">
        <v>45103.8160306018</v>
      </c>
      <c r="C7848" s="51">
        <v>1.0</v>
      </c>
      <c r="D7848" s="51">
        <v>69.0</v>
      </c>
      <c r="E7848" s="52" t="s">
        <v>25</v>
      </c>
      <c r="F7848" s="52" t="s">
        <v>26</v>
      </c>
      <c r="G7848" s="54"/>
    </row>
    <row r="7849">
      <c r="A7849" s="49">
        <v>45103.70148498843</v>
      </c>
      <c r="B7849" s="50">
        <v>45103.826462905</v>
      </c>
      <c r="C7849" s="51">
        <v>1.001</v>
      </c>
      <c r="D7849" s="51">
        <v>69.0</v>
      </c>
      <c r="E7849" s="52" t="s">
        <v>25</v>
      </c>
      <c r="F7849" s="52" t="s">
        <v>26</v>
      </c>
      <c r="G7849" s="54"/>
    </row>
    <row r="7850">
      <c r="A7850" s="49">
        <v>45103.711900069444</v>
      </c>
      <c r="B7850" s="50">
        <v>45103.8368846875</v>
      </c>
      <c r="C7850" s="51">
        <v>1.0</v>
      </c>
      <c r="D7850" s="51">
        <v>69.0</v>
      </c>
      <c r="E7850" s="52" t="s">
        <v>25</v>
      </c>
      <c r="F7850" s="52" t="s">
        <v>26</v>
      </c>
      <c r="G7850" s="54"/>
    </row>
    <row r="7851">
      <c r="A7851" s="49">
        <v>45103.72232380787</v>
      </c>
      <c r="B7851" s="50">
        <v>45103.847306956</v>
      </c>
      <c r="C7851" s="51">
        <v>1.0</v>
      </c>
      <c r="D7851" s="51">
        <v>69.0</v>
      </c>
      <c r="E7851" s="52" t="s">
        <v>25</v>
      </c>
      <c r="F7851" s="52" t="s">
        <v>26</v>
      </c>
      <c r="G7851" s="54"/>
    </row>
    <row r="7852">
      <c r="A7852" s="49">
        <v>45103.73274782408</v>
      </c>
      <c r="B7852" s="50">
        <v>45103.8577275347</v>
      </c>
      <c r="C7852" s="51">
        <v>1.0</v>
      </c>
      <c r="D7852" s="51">
        <v>69.0</v>
      </c>
      <c r="E7852" s="52" t="s">
        <v>25</v>
      </c>
      <c r="F7852" s="52" t="s">
        <v>26</v>
      </c>
      <c r="G7852" s="54"/>
    </row>
    <row r="7853">
      <c r="A7853" s="49">
        <v>45103.74317487268</v>
      </c>
      <c r="B7853" s="50">
        <v>45103.8681489467</v>
      </c>
      <c r="C7853" s="51">
        <v>1.001</v>
      </c>
      <c r="D7853" s="51">
        <v>69.0</v>
      </c>
      <c r="E7853" s="52" t="s">
        <v>25</v>
      </c>
      <c r="F7853" s="52" t="s">
        <v>26</v>
      </c>
      <c r="G7853" s="54"/>
    </row>
    <row r="7854">
      <c r="A7854" s="49">
        <v>45103.75359275463</v>
      </c>
      <c r="B7854" s="50">
        <v>45103.8785707523</v>
      </c>
      <c r="C7854" s="51">
        <v>1.0</v>
      </c>
      <c r="D7854" s="51">
        <v>69.0</v>
      </c>
      <c r="E7854" s="52" t="s">
        <v>25</v>
      </c>
      <c r="F7854" s="52" t="s">
        <v>26</v>
      </c>
      <c r="G7854" s="54"/>
    </row>
    <row r="7855">
      <c r="A7855" s="49">
        <v>45103.764016076384</v>
      </c>
      <c r="B7855" s="50">
        <v>45103.8889921296</v>
      </c>
      <c r="C7855" s="51">
        <v>1.0</v>
      </c>
      <c r="D7855" s="51">
        <v>69.0</v>
      </c>
      <c r="E7855" s="52" t="s">
        <v>25</v>
      </c>
      <c r="F7855" s="52" t="s">
        <v>26</v>
      </c>
      <c r="G7855" s="54"/>
    </row>
    <row r="7856">
      <c r="A7856" s="49">
        <v>45103.774450625</v>
      </c>
      <c r="B7856" s="50">
        <v>45103.8994252777</v>
      </c>
      <c r="C7856" s="51">
        <v>1.0</v>
      </c>
      <c r="D7856" s="51">
        <v>69.0</v>
      </c>
      <c r="E7856" s="52" t="s">
        <v>25</v>
      </c>
      <c r="F7856" s="52" t="s">
        <v>26</v>
      </c>
      <c r="G7856" s="54"/>
    </row>
    <row r="7857">
      <c r="A7857" s="49">
        <v>45103.784896921294</v>
      </c>
      <c r="B7857" s="50">
        <v>45103.9098705671</v>
      </c>
      <c r="C7857" s="51">
        <v>1.0</v>
      </c>
      <c r="D7857" s="51">
        <v>69.0</v>
      </c>
      <c r="E7857" s="52" t="s">
        <v>25</v>
      </c>
      <c r="F7857" s="52" t="s">
        <v>26</v>
      </c>
      <c r="G7857" s="54"/>
    </row>
    <row r="7858">
      <c r="A7858" s="49">
        <v>45103.79530545139</v>
      </c>
      <c r="B7858" s="50">
        <v>45103.9202914814</v>
      </c>
      <c r="C7858" s="51">
        <v>1.0</v>
      </c>
      <c r="D7858" s="51">
        <v>69.0</v>
      </c>
      <c r="E7858" s="52" t="s">
        <v>25</v>
      </c>
      <c r="F7858" s="52" t="s">
        <v>26</v>
      </c>
      <c r="G7858" s="54"/>
    </row>
    <row r="7859">
      <c r="A7859" s="49">
        <v>45103.805735312504</v>
      </c>
      <c r="B7859" s="50">
        <v>45103.9307125925</v>
      </c>
      <c r="C7859" s="51">
        <v>1.001</v>
      </c>
      <c r="D7859" s="51">
        <v>69.0</v>
      </c>
      <c r="E7859" s="52" t="s">
        <v>25</v>
      </c>
      <c r="F7859" s="52" t="s">
        <v>26</v>
      </c>
      <c r="G7859" s="54"/>
    </row>
    <row r="7860">
      <c r="A7860" s="49">
        <v>45103.81615763889</v>
      </c>
      <c r="B7860" s="50">
        <v>45103.9411333796</v>
      </c>
      <c r="C7860" s="51">
        <v>1.0</v>
      </c>
      <c r="D7860" s="51">
        <v>69.0</v>
      </c>
      <c r="E7860" s="52" t="s">
        <v>25</v>
      </c>
      <c r="F7860" s="52" t="s">
        <v>26</v>
      </c>
      <c r="G7860" s="54"/>
    </row>
    <row r="7861">
      <c r="A7861" s="49">
        <v>45103.82657819444</v>
      </c>
      <c r="B7861" s="50">
        <v>45103.9515561111</v>
      </c>
      <c r="C7861" s="51">
        <v>1.0</v>
      </c>
      <c r="D7861" s="51">
        <v>69.0</v>
      </c>
      <c r="E7861" s="52" t="s">
        <v>25</v>
      </c>
      <c r="F7861" s="52" t="s">
        <v>26</v>
      </c>
      <c r="G7861" s="54"/>
    </row>
    <row r="7862">
      <c r="A7862" s="49">
        <v>45103.83700216435</v>
      </c>
      <c r="B7862" s="50">
        <v>45103.9619767476</v>
      </c>
      <c r="C7862" s="51">
        <v>1.0</v>
      </c>
      <c r="D7862" s="51">
        <v>69.0</v>
      </c>
      <c r="E7862" s="52" t="s">
        <v>25</v>
      </c>
      <c r="F7862" s="52" t="s">
        <v>26</v>
      </c>
      <c r="G7862" s="54"/>
    </row>
    <row r="7863">
      <c r="A7863" s="49">
        <v>45103.84741296296</v>
      </c>
      <c r="B7863" s="50">
        <v>45103.9723979745</v>
      </c>
      <c r="C7863" s="51">
        <v>1.0</v>
      </c>
      <c r="D7863" s="51">
        <v>69.0</v>
      </c>
      <c r="E7863" s="52" t="s">
        <v>25</v>
      </c>
      <c r="F7863" s="52" t="s">
        <v>26</v>
      </c>
      <c r="G7863" s="54"/>
    </row>
    <row r="7864">
      <c r="A7864" s="49">
        <v>45103.857842708334</v>
      </c>
      <c r="B7864" s="50">
        <v>45103.9828181365</v>
      </c>
      <c r="C7864" s="51">
        <v>1.0</v>
      </c>
      <c r="D7864" s="51">
        <v>69.0</v>
      </c>
      <c r="E7864" s="52" t="s">
        <v>25</v>
      </c>
      <c r="F7864" s="52" t="s">
        <v>26</v>
      </c>
      <c r="G7864" s="54"/>
    </row>
    <row r="7865">
      <c r="A7865" s="49">
        <v>45103.86825996528</v>
      </c>
      <c r="B7865" s="50">
        <v>45103.9932395254</v>
      </c>
      <c r="C7865" s="51">
        <v>1.0</v>
      </c>
      <c r="D7865" s="51">
        <v>69.0</v>
      </c>
      <c r="E7865" s="52" t="s">
        <v>25</v>
      </c>
      <c r="F7865" s="52" t="s">
        <v>26</v>
      </c>
      <c r="G7865" s="54"/>
    </row>
    <row r="7866">
      <c r="A7866" s="49">
        <v>45103.87870208333</v>
      </c>
      <c r="B7866" s="50">
        <v>45104.0036737847</v>
      </c>
      <c r="C7866" s="51">
        <v>1.0</v>
      </c>
      <c r="D7866" s="51">
        <v>69.0</v>
      </c>
      <c r="E7866" s="52" t="s">
        <v>25</v>
      </c>
      <c r="F7866" s="52" t="s">
        <v>26</v>
      </c>
      <c r="G7866" s="54"/>
    </row>
    <row r="7867">
      <c r="A7867" s="49">
        <v>45103.88913689815</v>
      </c>
      <c r="B7867" s="50">
        <v>45104.0141074189</v>
      </c>
      <c r="C7867" s="51">
        <v>1.001</v>
      </c>
      <c r="D7867" s="51">
        <v>69.0</v>
      </c>
      <c r="E7867" s="52" t="s">
        <v>25</v>
      </c>
      <c r="F7867" s="52" t="s">
        <v>26</v>
      </c>
      <c r="G7867" s="54"/>
    </row>
    <row r="7868">
      <c r="A7868" s="49">
        <v>45103.89954465278</v>
      </c>
      <c r="B7868" s="50">
        <v>45104.0245287268</v>
      </c>
      <c r="C7868" s="51">
        <v>1.0</v>
      </c>
      <c r="D7868" s="51">
        <v>69.0</v>
      </c>
      <c r="E7868" s="52" t="s">
        <v>25</v>
      </c>
      <c r="F7868" s="52" t="s">
        <v>26</v>
      </c>
      <c r="G7868" s="54"/>
    </row>
    <row r="7869">
      <c r="A7869" s="49">
        <v>45103.90997438657</v>
      </c>
      <c r="B7869" s="50">
        <v>45104.0349488773</v>
      </c>
      <c r="C7869" s="51">
        <v>1.0</v>
      </c>
      <c r="D7869" s="51">
        <v>69.0</v>
      </c>
      <c r="E7869" s="52" t="s">
        <v>25</v>
      </c>
      <c r="F7869" s="52" t="s">
        <v>26</v>
      </c>
      <c r="G7869" s="54"/>
    </row>
    <row r="7870">
      <c r="A7870" s="49">
        <v>45103.920390486106</v>
      </c>
      <c r="B7870" s="50">
        <v>45104.0453710185</v>
      </c>
      <c r="C7870" s="51">
        <v>1.0</v>
      </c>
      <c r="D7870" s="51">
        <v>69.0</v>
      </c>
      <c r="E7870" s="52" t="s">
        <v>25</v>
      </c>
      <c r="F7870" s="52" t="s">
        <v>26</v>
      </c>
      <c r="G7870" s="54"/>
    </row>
    <row r="7871">
      <c r="A7871" s="49">
        <v>45103.93080887731</v>
      </c>
      <c r="B7871" s="50">
        <v>45104.0557908101</v>
      </c>
      <c r="C7871" s="51">
        <v>1.0</v>
      </c>
      <c r="D7871" s="51">
        <v>69.0</v>
      </c>
      <c r="E7871" s="52" t="s">
        <v>25</v>
      </c>
      <c r="F7871" s="52" t="s">
        <v>26</v>
      </c>
      <c r="G7871" s="54"/>
    </row>
    <row r="7872">
      <c r="A7872" s="49">
        <v>45103.941235</v>
      </c>
      <c r="B7872" s="50">
        <v>45104.0662123726</v>
      </c>
      <c r="C7872" s="51">
        <v>1.0</v>
      </c>
      <c r="D7872" s="51">
        <v>69.0</v>
      </c>
      <c r="E7872" s="52" t="s">
        <v>25</v>
      </c>
      <c r="F7872" s="52" t="s">
        <v>26</v>
      </c>
      <c r="G7872" s="54"/>
    </row>
    <row r="7873">
      <c r="A7873" s="49">
        <v>45103.95166172454</v>
      </c>
      <c r="B7873" s="50">
        <v>45104.0766461689</v>
      </c>
      <c r="C7873" s="51">
        <v>1.0</v>
      </c>
      <c r="D7873" s="51">
        <v>69.0</v>
      </c>
      <c r="E7873" s="52" t="s">
        <v>25</v>
      </c>
      <c r="F7873" s="52" t="s">
        <v>26</v>
      </c>
      <c r="G7873" s="54"/>
    </row>
    <row r="7874">
      <c r="A7874" s="49">
        <v>45103.962093090275</v>
      </c>
      <c r="B7874" s="50">
        <v>45104.0870667245</v>
      </c>
      <c r="C7874" s="51">
        <v>1.0</v>
      </c>
      <c r="D7874" s="51">
        <v>69.0</v>
      </c>
      <c r="E7874" s="52" t="s">
        <v>25</v>
      </c>
      <c r="F7874" s="52" t="s">
        <v>26</v>
      </c>
      <c r="G7874" s="54"/>
    </row>
    <row r="7875">
      <c r="A7875" s="49">
        <v>45103.972511932865</v>
      </c>
      <c r="B7875" s="50">
        <v>45104.0974875694</v>
      </c>
      <c r="C7875" s="51">
        <v>1.0</v>
      </c>
      <c r="D7875" s="51">
        <v>69.0</v>
      </c>
      <c r="E7875" s="52" t="s">
        <v>25</v>
      </c>
      <c r="F7875" s="52" t="s">
        <v>26</v>
      </c>
      <c r="G7875" s="54"/>
    </row>
    <row r="7876">
      <c r="A7876" s="49">
        <v>45103.98292756944</v>
      </c>
      <c r="B7876" s="50">
        <v>45104.1079092361</v>
      </c>
      <c r="C7876" s="51">
        <v>1.0</v>
      </c>
      <c r="D7876" s="51">
        <v>69.0</v>
      </c>
      <c r="E7876" s="52" t="s">
        <v>25</v>
      </c>
      <c r="F7876" s="52" t="s">
        <v>26</v>
      </c>
      <c r="G7876" s="54"/>
    </row>
    <row r="7877">
      <c r="A7877" s="49">
        <v>45103.993356273146</v>
      </c>
      <c r="B7877" s="50">
        <v>45104.1183292361</v>
      </c>
      <c r="C7877" s="51">
        <v>1.0</v>
      </c>
      <c r="D7877" s="51">
        <v>69.0</v>
      </c>
      <c r="E7877" s="52" t="s">
        <v>25</v>
      </c>
      <c r="F7877" s="52" t="s">
        <v>26</v>
      </c>
      <c r="G7877" s="54"/>
    </row>
    <row r="7878">
      <c r="A7878" s="49">
        <v>45104.003773136574</v>
      </c>
      <c r="B7878" s="50">
        <v>45104.1287490509</v>
      </c>
      <c r="C7878" s="51">
        <v>1.001</v>
      </c>
      <c r="D7878" s="51">
        <v>69.0</v>
      </c>
      <c r="E7878" s="52" t="s">
        <v>25</v>
      </c>
      <c r="F7878" s="52" t="s">
        <v>26</v>
      </c>
      <c r="G7878" s="54"/>
    </row>
    <row r="7879">
      <c r="A7879" s="49">
        <v>45104.01419046296</v>
      </c>
      <c r="B7879" s="50">
        <v>45104.1391689236</v>
      </c>
      <c r="C7879" s="51">
        <v>1.0</v>
      </c>
      <c r="D7879" s="51">
        <v>69.0</v>
      </c>
      <c r="E7879" s="52" t="s">
        <v>25</v>
      </c>
      <c r="F7879" s="52" t="s">
        <v>26</v>
      </c>
      <c r="G7879" s="54"/>
    </row>
    <row r="7880">
      <c r="A7880" s="49">
        <v>45104.02461487269</v>
      </c>
      <c r="B7880" s="50">
        <v>45104.1495888078</v>
      </c>
      <c r="C7880" s="51">
        <v>1.0</v>
      </c>
      <c r="D7880" s="51">
        <v>69.0</v>
      </c>
      <c r="E7880" s="52" t="s">
        <v>25</v>
      </c>
      <c r="F7880" s="52" t="s">
        <v>26</v>
      </c>
      <c r="G7880" s="54"/>
    </row>
    <row r="7881">
      <c r="A7881" s="49">
        <v>45104.035035925925</v>
      </c>
      <c r="B7881" s="50">
        <v>45104.1600112152</v>
      </c>
      <c r="C7881" s="51">
        <v>1.0</v>
      </c>
      <c r="D7881" s="51">
        <v>69.0</v>
      </c>
      <c r="E7881" s="52" t="s">
        <v>25</v>
      </c>
      <c r="F7881" s="52" t="s">
        <v>26</v>
      </c>
      <c r="G7881" s="54"/>
    </row>
    <row r="7882">
      <c r="A7882" s="49">
        <v>45104.04547305555</v>
      </c>
      <c r="B7882" s="50">
        <v>45104.1704532754</v>
      </c>
      <c r="C7882" s="51">
        <v>1.0</v>
      </c>
      <c r="D7882" s="51">
        <v>69.0</v>
      </c>
      <c r="E7882" s="52" t="s">
        <v>25</v>
      </c>
      <c r="F7882" s="52" t="s">
        <v>26</v>
      </c>
      <c r="G7882" s="54"/>
    </row>
    <row r="7883">
      <c r="A7883" s="49">
        <v>45104.05590946759</v>
      </c>
      <c r="B7883" s="50">
        <v>45104.1808870601</v>
      </c>
      <c r="C7883" s="51">
        <v>1.001</v>
      </c>
      <c r="D7883" s="51">
        <v>69.0</v>
      </c>
      <c r="E7883" s="52" t="s">
        <v>25</v>
      </c>
      <c r="F7883" s="52" t="s">
        <v>26</v>
      </c>
      <c r="G7883" s="54"/>
    </row>
    <row r="7884">
      <c r="A7884" s="49">
        <v>45104.06633339121</v>
      </c>
      <c r="B7884" s="50">
        <v>45104.1913082754</v>
      </c>
      <c r="C7884" s="51">
        <v>1.0</v>
      </c>
      <c r="D7884" s="51">
        <v>69.0</v>
      </c>
      <c r="E7884" s="52" t="s">
        <v>25</v>
      </c>
      <c r="F7884" s="52" t="s">
        <v>26</v>
      </c>
      <c r="G7884" s="54"/>
    </row>
    <row r="7885">
      <c r="A7885" s="49">
        <v>45104.07675394676</v>
      </c>
      <c r="B7885" s="50">
        <v>45104.2017297685</v>
      </c>
      <c r="C7885" s="51">
        <v>1.0</v>
      </c>
      <c r="D7885" s="51">
        <v>69.0</v>
      </c>
      <c r="E7885" s="52" t="s">
        <v>25</v>
      </c>
      <c r="F7885" s="52" t="s">
        <v>26</v>
      </c>
      <c r="G7885" s="54"/>
    </row>
    <row r="7886">
      <c r="A7886" s="49">
        <v>45104.08719153935</v>
      </c>
      <c r="B7886" s="50">
        <v>45104.2121752546</v>
      </c>
      <c r="C7886" s="51">
        <v>1.0</v>
      </c>
      <c r="D7886" s="51">
        <v>69.0</v>
      </c>
      <c r="E7886" s="52" t="s">
        <v>25</v>
      </c>
      <c r="F7886" s="52" t="s">
        <v>26</v>
      </c>
      <c r="G7886" s="54"/>
    </row>
    <row r="7887">
      <c r="A7887" s="49">
        <v>45104.09761866898</v>
      </c>
      <c r="B7887" s="50">
        <v>45104.2225962037</v>
      </c>
      <c r="C7887" s="51">
        <v>1.0</v>
      </c>
      <c r="D7887" s="51">
        <v>69.0</v>
      </c>
      <c r="E7887" s="52" t="s">
        <v>25</v>
      </c>
      <c r="F7887" s="52" t="s">
        <v>26</v>
      </c>
      <c r="G7887" s="54"/>
    </row>
    <row r="7888">
      <c r="A7888" s="49">
        <v>45104.10804895833</v>
      </c>
      <c r="B7888" s="50">
        <v>45104.2330267476</v>
      </c>
      <c r="C7888" s="51">
        <v>1.0</v>
      </c>
      <c r="D7888" s="51">
        <v>69.0</v>
      </c>
      <c r="E7888" s="52" t="s">
        <v>25</v>
      </c>
      <c r="F7888" s="52" t="s">
        <v>26</v>
      </c>
      <c r="G7888" s="54"/>
    </row>
    <row r="7889">
      <c r="A7889" s="49">
        <v>45104.11846614583</v>
      </c>
      <c r="B7889" s="50">
        <v>45104.2434473263</v>
      </c>
      <c r="C7889" s="51">
        <v>1.0</v>
      </c>
      <c r="D7889" s="51">
        <v>69.0</v>
      </c>
      <c r="E7889" s="52" t="s">
        <v>25</v>
      </c>
      <c r="F7889" s="52" t="s">
        <v>26</v>
      </c>
      <c r="G7889" s="54"/>
    </row>
    <row r="7890">
      <c r="A7890" s="49">
        <v>45104.12889392361</v>
      </c>
      <c r="B7890" s="50">
        <v>45104.2538688657</v>
      </c>
      <c r="C7890" s="51">
        <v>1.0</v>
      </c>
      <c r="D7890" s="51">
        <v>69.0</v>
      </c>
      <c r="E7890" s="52" t="s">
        <v>25</v>
      </c>
      <c r="F7890" s="52" t="s">
        <v>26</v>
      </c>
      <c r="G7890" s="54"/>
    </row>
    <row r="7891">
      <c r="A7891" s="49">
        <v>45104.139306296296</v>
      </c>
      <c r="B7891" s="50">
        <v>45104.2642907407</v>
      </c>
      <c r="C7891" s="51">
        <v>1.001</v>
      </c>
      <c r="D7891" s="51">
        <v>69.0</v>
      </c>
      <c r="E7891" s="52" t="s">
        <v>25</v>
      </c>
      <c r="F7891" s="52" t="s">
        <v>26</v>
      </c>
      <c r="G7891" s="54"/>
    </row>
    <row r="7892">
      <c r="A7892" s="49">
        <v>45104.14973708334</v>
      </c>
      <c r="B7892" s="50">
        <v>45104.2747114004</v>
      </c>
      <c r="C7892" s="51">
        <v>1.0</v>
      </c>
      <c r="D7892" s="51">
        <v>69.0</v>
      </c>
      <c r="E7892" s="52" t="s">
        <v>25</v>
      </c>
      <c r="F7892" s="52" t="s">
        <v>26</v>
      </c>
      <c r="G7892" s="54"/>
    </row>
    <row r="7893">
      <c r="A7893" s="49">
        <v>45104.16015431713</v>
      </c>
      <c r="B7893" s="50">
        <v>45104.2851328703</v>
      </c>
      <c r="C7893" s="51">
        <v>1.0</v>
      </c>
      <c r="D7893" s="51">
        <v>69.0</v>
      </c>
      <c r="E7893" s="52" t="s">
        <v>25</v>
      </c>
      <c r="F7893" s="52" t="s">
        <v>26</v>
      </c>
      <c r="G7893" s="54"/>
    </row>
    <row r="7894">
      <c r="A7894" s="49">
        <v>45104.17059408565</v>
      </c>
      <c r="B7894" s="50">
        <v>45104.2955634143</v>
      </c>
      <c r="C7894" s="51">
        <v>1.0</v>
      </c>
      <c r="D7894" s="51">
        <v>69.0</v>
      </c>
      <c r="E7894" s="52" t="s">
        <v>25</v>
      </c>
      <c r="F7894" s="52" t="s">
        <v>26</v>
      </c>
      <c r="G7894" s="54"/>
    </row>
    <row r="7895">
      <c r="A7895" s="49">
        <v>45104.18101489583</v>
      </c>
      <c r="B7895" s="50">
        <v>45104.3059849421</v>
      </c>
      <c r="C7895" s="51">
        <v>1.0</v>
      </c>
      <c r="D7895" s="51">
        <v>69.0</v>
      </c>
      <c r="E7895" s="52" t="s">
        <v>25</v>
      </c>
      <c r="F7895" s="52" t="s">
        <v>26</v>
      </c>
      <c r="G7895" s="54"/>
    </row>
    <row r="7896">
      <c r="A7896" s="49">
        <v>45104.19143186342</v>
      </c>
      <c r="B7896" s="50">
        <v>45104.316407199</v>
      </c>
      <c r="C7896" s="51">
        <v>1.0</v>
      </c>
      <c r="D7896" s="51">
        <v>69.0</v>
      </c>
      <c r="E7896" s="52" t="s">
        <v>25</v>
      </c>
      <c r="F7896" s="52" t="s">
        <v>26</v>
      </c>
      <c r="G7896" s="54"/>
    </row>
    <row r="7897">
      <c r="A7897" s="49">
        <v>45104.20185091435</v>
      </c>
      <c r="B7897" s="50">
        <v>45104.3268291203</v>
      </c>
      <c r="C7897" s="51">
        <v>1.0</v>
      </c>
      <c r="D7897" s="51">
        <v>69.0</v>
      </c>
      <c r="E7897" s="52" t="s">
        <v>25</v>
      </c>
      <c r="F7897" s="52" t="s">
        <v>26</v>
      </c>
      <c r="G7897" s="54"/>
    </row>
    <row r="7898">
      <c r="A7898" s="49">
        <v>45104.212269375</v>
      </c>
      <c r="B7898" s="50">
        <v>45104.3372515509</v>
      </c>
      <c r="C7898" s="51">
        <v>1.0</v>
      </c>
      <c r="D7898" s="51">
        <v>69.0</v>
      </c>
      <c r="E7898" s="52" t="s">
        <v>25</v>
      </c>
      <c r="F7898" s="52" t="s">
        <v>26</v>
      </c>
      <c r="G7898" s="54"/>
    </row>
    <row r="7899">
      <c r="A7899" s="49">
        <v>45104.22269821759</v>
      </c>
      <c r="B7899" s="50">
        <v>45104.3476715046</v>
      </c>
      <c r="C7899" s="51">
        <v>1.0</v>
      </c>
      <c r="D7899" s="51">
        <v>69.0</v>
      </c>
      <c r="E7899" s="52" t="s">
        <v>25</v>
      </c>
      <c r="F7899" s="52" t="s">
        <v>26</v>
      </c>
      <c r="G7899" s="54"/>
    </row>
    <row r="7900">
      <c r="A7900" s="49">
        <v>45104.23311663195</v>
      </c>
      <c r="B7900" s="50">
        <v>45104.3580937731</v>
      </c>
      <c r="C7900" s="51">
        <v>1.0</v>
      </c>
      <c r="D7900" s="51">
        <v>69.0</v>
      </c>
      <c r="E7900" s="52" t="s">
        <v>25</v>
      </c>
      <c r="F7900" s="52" t="s">
        <v>26</v>
      </c>
      <c r="G7900" s="54"/>
    </row>
    <row r="7901">
      <c r="A7901" s="49">
        <v>45104.243533217596</v>
      </c>
      <c r="B7901" s="50">
        <v>45104.3685165046</v>
      </c>
      <c r="C7901" s="51">
        <v>1.0</v>
      </c>
      <c r="D7901" s="51">
        <v>69.0</v>
      </c>
      <c r="E7901" s="52" t="s">
        <v>25</v>
      </c>
      <c r="F7901" s="52" t="s">
        <v>26</v>
      </c>
      <c r="G7901" s="54"/>
    </row>
    <row r="7902">
      <c r="A7902" s="49">
        <v>45104.253978877314</v>
      </c>
      <c r="B7902" s="50">
        <v>45104.3789491088</v>
      </c>
      <c r="C7902" s="51">
        <v>1.0</v>
      </c>
      <c r="D7902" s="51">
        <v>69.0</v>
      </c>
      <c r="E7902" s="52" t="s">
        <v>25</v>
      </c>
      <c r="F7902" s="52" t="s">
        <v>26</v>
      </c>
      <c r="G7902" s="54"/>
    </row>
    <row r="7903">
      <c r="A7903" s="49">
        <v>45104.26439626157</v>
      </c>
      <c r="B7903" s="50">
        <v>45104.3893710532</v>
      </c>
      <c r="C7903" s="51">
        <v>1.0</v>
      </c>
      <c r="D7903" s="51">
        <v>69.0</v>
      </c>
      <c r="E7903" s="52" t="s">
        <v>25</v>
      </c>
      <c r="F7903" s="52" t="s">
        <v>26</v>
      </c>
      <c r="G7903" s="54"/>
    </row>
    <row r="7904">
      <c r="A7904" s="49">
        <v>45104.2748116088</v>
      </c>
      <c r="B7904" s="50">
        <v>45104.3997915393</v>
      </c>
      <c r="C7904" s="51">
        <v>1.0</v>
      </c>
      <c r="D7904" s="51">
        <v>69.0</v>
      </c>
      <c r="E7904" s="52" t="s">
        <v>25</v>
      </c>
      <c r="F7904" s="52" t="s">
        <v>26</v>
      </c>
      <c r="G7904" s="54"/>
    </row>
    <row r="7905">
      <c r="A7905" s="49">
        <v>45104.285250891204</v>
      </c>
      <c r="B7905" s="50">
        <v>45104.4102136226</v>
      </c>
      <c r="C7905" s="51">
        <v>1.0</v>
      </c>
      <c r="D7905" s="51">
        <v>69.0</v>
      </c>
      <c r="E7905" s="52" t="s">
        <v>25</v>
      </c>
      <c r="F7905" s="52" t="s">
        <v>26</v>
      </c>
      <c r="G7905" s="54"/>
    </row>
    <row r="7906">
      <c r="A7906" s="49">
        <v>45104.29566736111</v>
      </c>
      <c r="B7906" s="50">
        <v>45104.4206462847</v>
      </c>
      <c r="C7906" s="51">
        <v>1.0</v>
      </c>
      <c r="D7906" s="51">
        <v>69.0</v>
      </c>
      <c r="E7906" s="52" t="s">
        <v>25</v>
      </c>
      <c r="F7906" s="52" t="s">
        <v>26</v>
      </c>
      <c r="G7906" s="54"/>
    </row>
    <row r="7907">
      <c r="A7907" s="49">
        <v>45104.306087523146</v>
      </c>
      <c r="B7907" s="50">
        <v>45104.4310680439</v>
      </c>
      <c r="C7907" s="51">
        <v>1.0</v>
      </c>
      <c r="D7907" s="51">
        <v>69.0</v>
      </c>
      <c r="E7907" s="52" t="s">
        <v>25</v>
      </c>
      <c r="F7907" s="52" t="s">
        <v>26</v>
      </c>
      <c r="G7907" s="54"/>
    </row>
    <row r="7908">
      <c r="A7908" s="49">
        <v>45104.31651768518</v>
      </c>
      <c r="B7908" s="50">
        <v>45104.4414892245</v>
      </c>
      <c r="C7908" s="51">
        <v>1.0</v>
      </c>
      <c r="D7908" s="51">
        <v>69.0</v>
      </c>
      <c r="E7908" s="52" t="s">
        <v>25</v>
      </c>
      <c r="F7908" s="52" t="s">
        <v>26</v>
      </c>
      <c r="G7908" s="54"/>
    </row>
    <row r="7909">
      <c r="A7909" s="49">
        <v>45104.326936944446</v>
      </c>
      <c r="B7909" s="50">
        <v>45104.4519116666</v>
      </c>
      <c r="C7909" s="51">
        <v>1.0</v>
      </c>
      <c r="D7909" s="51">
        <v>69.0</v>
      </c>
      <c r="E7909" s="52" t="s">
        <v>25</v>
      </c>
      <c r="F7909" s="52" t="s">
        <v>26</v>
      </c>
      <c r="G7909" s="54"/>
    </row>
    <row r="7910">
      <c r="A7910" s="49">
        <v>45104.33749689815</v>
      </c>
      <c r="B7910" s="50">
        <v>45104.462331655</v>
      </c>
      <c r="C7910" s="51">
        <v>1.0</v>
      </c>
      <c r="D7910" s="51">
        <v>69.0</v>
      </c>
      <c r="E7910" s="52" t="s">
        <v>25</v>
      </c>
      <c r="F7910" s="52" t="s">
        <v>26</v>
      </c>
      <c r="G7910" s="54"/>
    </row>
    <row r="7911">
      <c r="A7911" s="49">
        <v>45104.34778037037</v>
      </c>
      <c r="B7911" s="50">
        <v>45104.4727527662</v>
      </c>
      <c r="C7911" s="51">
        <v>1.0</v>
      </c>
      <c r="D7911" s="51">
        <v>69.0</v>
      </c>
      <c r="E7911" s="52" t="s">
        <v>25</v>
      </c>
      <c r="F7911" s="52" t="s">
        <v>26</v>
      </c>
      <c r="G7911" s="54"/>
    </row>
    <row r="7912">
      <c r="A7912" s="49">
        <v>45104.358204502314</v>
      </c>
      <c r="B7912" s="50">
        <v>45104.4831757523</v>
      </c>
      <c r="C7912" s="51">
        <v>1.0</v>
      </c>
      <c r="D7912" s="51">
        <v>69.0</v>
      </c>
      <c r="E7912" s="52" t="s">
        <v>25</v>
      </c>
      <c r="F7912" s="52" t="s">
        <v>26</v>
      </c>
      <c r="G7912" s="54"/>
    </row>
    <row r="7913">
      <c r="A7913" s="49">
        <v>45104.368619444445</v>
      </c>
      <c r="B7913" s="50">
        <v>45104.4935968055</v>
      </c>
      <c r="C7913" s="51">
        <v>1.0</v>
      </c>
      <c r="D7913" s="51">
        <v>69.0</v>
      </c>
      <c r="E7913" s="52" t="s">
        <v>25</v>
      </c>
      <c r="F7913" s="52" t="s">
        <v>26</v>
      </c>
      <c r="G7913" s="54"/>
    </row>
    <row r="7914">
      <c r="A7914" s="49">
        <v>45104.379044560184</v>
      </c>
      <c r="B7914" s="50">
        <v>45104.5040186111</v>
      </c>
      <c r="C7914" s="51">
        <v>1.0</v>
      </c>
      <c r="D7914" s="51">
        <v>69.0</v>
      </c>
      <c r="E7914" s="52" t="s">
        <v>25</v>
      </c>
      <c r="F7914" s="52" t="s">
        <v>26</v>
      </c>
      <c r="G7914" s="54"/>
    </row>
    <row r="7915">
      <c r="A7915" s="49">
        <v>45104.38946818287</v>
      </c>
      <c r="B7915" s="50">
        <v>45104.5144385069</v>
      </c>
      <c r="C7915" s="51">
        <v>1.0</v>
      </c>
      <c r="D7915" s="51">
        <v>69.0</v>
      </c>
      <c r="E7915" s="52" t="s">
        <v>25</v>
      </c>
      <c r="F7915" s="52" t="s">
        <v>26</v>
      </c>
      <c r="G7915" s="54"/>
    </row>
    <row r="7916">
      <c r="A7916" s="49">
        <v>45104.39987903935</v>
      </c>
      <c r="B7916" s="50">
        <v>45104.52485978</v>
      </c>
      <c r="C7916" s="51">
        <v>1.0</v>
      </c>
      <c r="D7916" s="51">
        <v>69.0</v>
      </c>
      <c r="E7916" s="52" t="s">
        <v>25</v>
      </c>
      <c r="F7916" s="52" t="s">
        <v>26</v>
      </c>
      <c r="G7916" s="54"/>
    </row>
    <row r="7917">
      <c r="A7917" s="49">
        <v>45104.41030546297</v>
      </c>
      <c r="B7917" s="50">
        <v>45104.5352824305</v>
      </c>
      <c r="C7917" s="51">
        <v>1.0</v>
      </c>
      <c r="D7917" s="51">
        <v>69.0</v>
      </c>
      <c r="E7917" s="52" t="s">
        <v>25</v>
      </c>
      <c r="F7917" s="52" t="s">
        <v>26</v>
      </c>
      <c r="G7917" s="54"/>
    </row>
    <row r="7918">
      <c r="A7918" s="49">
        <v>45104.42074324074</v>
      </c>
      <c r="B7918" s="50">
        <v>45104.5457149305</v>
      </c>
      <c r="C7918" s="51">
        <v>1.0</v>
      </c>
      <c r="D7918" s="51">
        <v>69.0</v>
      </c>
      <c r="E7918" s="52" t="s">
        <v>25</v>
      </c>
      <c r="F7918" s="52" t="s">
        <v>26</v>
      </c>
      <c r="G7918" s="54"/>
    </row>
    <row r="7919">
      <c r="A7919" s="49">
        <v>45104.43115359954</v>
      </c>
      <c r="B7919" s="50">
        <v>45104.5561354861</v>
      </c>
      <c r="C7919" s="51">
        <v>1.0</v>
      </c>
      <c r="D7919" s="51">
        <v>69.0</v>
      </c>
      <c r="E7919" s="52" t="s">
        <v>25</v>
      </c>
      <c r="F7919" s="52" t="s">
        <v>26</v>
      </c>
      <c r="G7919" s="54"/>
    </row>
    <row r="7920">
      <c r="A7920" s="49">
        <v>45104.44158033565</v>
      </c>
      <c r="B7920" s="50">
        <v>45104.5665567013</v>
      </c>
      <c r="C7920" s="51">
        <v>1.0</v>
      </c>
      <c r="D7920" s="51">
        <v>69.0</v>
      </c>
      <c r="E7920" s="52" t="s">
        <v>25</v>
      </c>
      <c r="F7920" s="52" t="s">
        <v>26</v>
      </c>
      <c r="G7920" s="54"/>
    </row>
    <row r="7921">
      <c r="A7921" s="49">
        <v>45104.45201512732</v>
      </c>
      <c r="B7921" s="50">
        <v>45104.5769787731</v>
      </c>
      <c r="C7921" s="51">
        <v>1.0</v>
      </c>
      <c r="D7921" s="51">
        <v>69.0</v>
      </c>
      <c r="E7921" s="52" t="s">
        <v>25</v>
      </c>
      <c r="F7921" s="52" t="s">
        <v>26</v>
      </c>
      <c r="G7921" s="54"/>
    </row>
    <row r="7922">
      <c r="A7922" s="49">
        <v>45104.46241791667</v>
      </c>
      <c r="B7922" s="50">
        <v>45104.5873987615</v>
      </c>
      <c r="C7922" s="51">
        <v>1.0</v>
      </c>
      <c r="D7922" s="51">
        <v>69.0</v>
      </c>
      <c r="E7922" s="52" t="s">
        <v>25</v>
      </c>
      <c r="F7922" s="52" t="s">
        <v>26</v>
      </c>
      <c r="G7922" s="54"/>
    </row>
    <row r="7923">
      <c r="A7923" s="49">
        <v>45104.47284855324</v>
      </c>
      <c r="B7923" s="50">
        <v>45104.5978308101</v>
      </c>
      <c r="C7923" s="51">
        <v>1.0</v>
      </c>
      <c r="D7923" s="51">
        <v>69.0</v>
      </c>
      <c r="E7923" s="52" t="s">
        <v>25</v>
      </c>
      <c r="F7923" s="52" t="s">
        <v>26</v>
      </c>
      <c r="G7923" s="54"/>
    </row>
    <row r="7924">
      <c r="A7924" s="49">
        <v>45104.48328030093</v>
      </c>
      <c r="B7924" s="50">
        <v>45104.608251412</v>
      </c>
      <c r="C7924" s="51">
        <v>1.0</v>
      </c>
      <c r="D7924" s="51">
        <v>69.0</v>
      </c>
      <c r="E7924" s="52" t="s">
        <v>25</v>
      </c>
      <c r="F7924" s="52" t="s">
        <v>26</v>
      </c>
      <c r="G7924" s="54"/>
    </row>
    <row r="7925">
      <c r="A7925" s="49">
        <v>45104.49372746528</v>
      </c>
      <c r="B7925" s="50">
        <v>45104.6186967592</v>
      </c>
      <c r="C7925" s="51">
        <v>1.0</v>
      </c>
      <c r="D7925" s="51">
        <v>69.0</v>
      </c>
      <c r="E7925" s="52" t="s">
        <v>25</v>
      </c>
      <c r="F7925" s="52" t="s">
        <v>26</v>
      </c>
      <c r="G7925" s="54"/>
    </row>
    <row r="7926">
      <c r="A7926" s="49">
        <v>45104.504143032405</v>
      </c>
      <c r="B7926" s="50">
        <v>45104.6291179282</v>
      </c>
      <c r="C7926" s="51">
        <v>1.0</v>
      </c>
      <c r="D7926" s="51">
        <v>69.0</v>
      </c>
      <c r="E7926" s="52" t="s">
        <v>25</v>
      </c>
      <c r="F7926" s="52" t="s">
        <v>26</v>
      </c>
      <c r="G7926" s="54"/>
    </row>
    <row r="7927">
      <c r="A7927" s="49">
        <v>45104.514560682874</v>
      </c>
      <c r="B7927" s="50">
        <v>45104.6395386226</v>
      </c>
      <c r="C7927" s="51">
        <v>1.0</v>
      </c>
      <c r="D7927" s="51">
        <v>69.0</v>
      </c>
      <c r="E7927" s="52" t="s">
        <v>25</v>
      </c>
      <c r="F7927" s="52" t="s">
        <v>26</v>
      </c>
      <c r="G7927" s="54"/>
    </row>
    <row r="7928">
      <c r="A7928" s="49">
        <v>45104.524990833335</v>
      </c>
      <c r="B7928" s="50">
        <v>45104.6499723611</v>
      </c>
      <c r="C7928" s="51">
        <v>1.0</v>
      </c>
      <c r="D7928" s="51">
        <v>69.0</v>
      </c>
      <c r="E7928" s="52" t="s">
        <v>25</v>
      </c>
      <c r="F7928" s="52" t="s">
        <v>26</v>
      </c>
      <c r="G7928" s="54"/>
    </row>
    <row r="7929">
      <c r="A7929" s="49">
        <v>45104.535421458335</v>
      </c>
      <c r="B7929" s="50">
        <v>45104.6603947916</v>
      </c>
      <c r="C7929" s="51">
        <v>1.0</v>
      </c>
      <c r="D7929" s="51">
        <v>69.0</v>
      </c>
      <c r="E7929" s="52" t="s">
        <v>25</v>
      </c>
      <c r="F7929" s="52" t="s">
        <v>26</v>
      </c>
      <c r="G7929" s="54"/>
    </row>
    <row r="7930">
      <c r="A7930" s="49">
        <v>45104.54583501157</v>
      </c>
      <c r="B7930" s="50">
        <v>45104.6708161689</v>
      </c>
      <c r="C7930" s="51">
        <v>1.0</v>
      </c>
      <c r="D7930" s="51">
        <v>69.0</v>
      </c>
      <c r="E7930" s="52" t="s">
        <v>25</v>
      </c>
      <c r="F7930" s="52" t="s">
        <v>26</v>
      </c>
      <c r="G7930" s="54"/>
    </row>
    <row r="7931">
      <c r="A7931" s="49">
        <v>45104.556261817124</v>
      </c>
      <c r="B7931" s="50">
        <v>45104.6812383217</v>
      </c>
      <c r="C7931" s="51">
        <v>1.0</v>
      </c>
      <c r="D7931" s="51">
        <v>69.0</v>
      </c>
      <c r="E7931" s="52" t="s">
        <v>25</v>
      </c>
      <c r="F7931" s="52" t="s">
        <v>26</v>
      </c>
      <c r="G7931" s="54"/>
    </row>
    <row r="7932">
      <c r="A7932" s="49">
        <v>45104.566687893515</v>
      </c>
      <c r="B7932" s="50">
        <v>45104.6916601388</v>
      </c>
      <c r="C7932" s="51">
        <v>1.0</v>
      </c>
      <c r="D7932" s="51">
        <v>69.0</v>
      </c>
      <c r="E7932" s="52" t="s">
        <v>25</v>
      </c>
      <c r="F7932" s="52" t="s">
        <v>26</v>
      </c>
      <c r="G7932" s="54"/>
    </row>
    <row r="7933">
      <c r="A7933" s="49">
        <v>45104.57710559027</v>
      </c>
      <c r="B7933" s="50">
        <v>45104.702081655</v>
      </c>
      <c r="C7933" s="51">
        <v>1.0</v>
      </c>
      <c r="D7933" s="51">
        <v>69.0</v>
      </c>
      <c r="E7933" s="52" t="s">
        <v>25</v>
      </c>
      <c r="F7933" s="52" t="s">
        <v>26</v>
      </c>
      <c r="G7933" s="54"/>
    </row>
    <row r="7934">
      <c r="A7934" s="49">
        <v>45104.587541099536</v>
      </c>
      <c r="B7934" s="50">
        <v>45104.7125135532</v>
      </c>
      <c r="C7934" s="51">
        <v>1.0</v>
      </c>
      <c r="D7934" s="51">
        <v>69.0</v>
      </c>
      <c r="E7934" s="52" t="s">
        <v>25</v>
      </c>
      <c r="F7934" s="52" t="s">
        <v>26</v>
      </c>
      <c r="G7934" s="54"/>
    </row>
    <row r="7935">
      <c r="A7935" s="49">
        <v>45104.5979744213</v>
      </c>
      <c r="B7935" s="50">
        <v>45104.7229475231</v>
      </c>
      <c r="C7935" s="51">
        <v>1.0</v>
      </c>
      <c r="D7935" s="51">
        <v>69.0</v>
      </c>
      <c r="E7935" s="52" t="s">
        <v>25</v>
      </c>
      <c r="F7935" s="52" t="s">
        <v>26</v>
      </c>
      <c r="G7935" s="54"/>
    </row>
    <row r="7936">
      <c r="A7936" s="49">
        <v>45104.60839894676</v>
      </c>
      <c r="B7936" s="50">
        <v>45104.7333696643</v>
      </c>
      <c r="C7936" s="51">
        <v>1.0</v>
      </c>
      <c r="D7936" s="51">
        <v>69.0</v>
      </c>
      <c r="E7936" s="52" t="s">
        <v>25</v>
      </c>
      <c r="F7936" s="52" t="s">
        <v>26</v>
      </c>
      <c r="G7936" s="54"/>
    </row>
    <row r="7937">
      <c r="A7937" s="49">
        <v>45104.61881532407</v>
      </c>
      <c r="B7937" s="50">
        <v>45104.7437895023</v>
      </c>
      <c r="C7937" s="51">
        <v>1.0</v>
      </c>
      <c r="D7937" s="51">
        <v>69.0</v>
      </c>
      <c r="E7937" s="52" t="s">
        <v>25</v>
      </c>
      <c r="F7937" s="52" t="s">
        <v>26</v>
      </c>
      <c r="G7937" s="54"/>
    </row>
    <row r="7938">
      <c r="A7938" s="49">
        <v>45104.62923628472</v>
      </c>
      <c r="B7938" s="50">
        <v>45104.7542106944</v>
      </c>
      <c r="C7938" s="51">
        <v>1.0</v>
      </c>
      <c r="D7938" s="51">
        <v>69.0</v>
      </c>
      <c r="E7938" s="52" t="s">
        <v>25</v>
      </c>
      <c r="F7938" s="52" t="s">
        <v>26</v>
      </c>
      <c r="G7938" s="54"/>
    </row>
    <row r="7939">
      <c r="A7939" s="49">
        <v>45104.6396534838</v>
      </c>
      <c r="B7939" s="50">
        <v>45104.7646308912</v>
      </c>
      <c r="C7939" s="51">
        <v>1.0</v>
      </c>
      <c r="D7939" s="51">
        <v>69.0</v>
      </c>
      <c r="E7939" s="52" t="s">
        <v>25</v>
      </c>
      <c r="F7939" s="52" t="s">
        <v>26</v>
      </c>
      <c r="G7939" s="54"/>
    </row>
    <row r="7940">
      <c r="A7940" s="49">
        <v>45104.65009201389</v>
      </c>
      <c r="B7940" s="50">
        <v>45104.7750632986</v>
      </c>
      <c r="C7940" s="51">
        <v>1.0</v>
      </c>
      <c r="D7940" s="51">
        <v>69.0</v>
      </c>
      <c r="E7940" s="52" t="s">
        <v>25</v>
      </c>
      <c r="F7940" s="52" t="s">
        <v>26</v>
      </c>
      <c r="G7940" s="54"/>
    </row>
    <row r="7941">
      <c r="A7941" s="49">
        <v>45104.66050784722</v>
      </c>
      <c r="B7941" s="50">
        <v>45104.785483993</v>
      </c>
      <c r="C7941" s="51">
        <v>1.0</v>
      </c>
      <c r="D7941" s="51">
        <v>69.0</v>
      </c>
      <c r="E7941" s="52" t="s">
        <v>25</v>
      </c>
      <c r="F7941" s="52" t="s">
        <v>26</v>
      </c>
      <c r="G7941" s="54"/>
    </row>
    <row r="7942">
      <c r="A7942" s="49">
        <v>45104.670938090276</v>
      </c>
      <c r="B7942" s="50">
        <v>45104.7959183564</v>
      </c>
      <c r="C7942" s="51">
        <v>1.0</v>
      </c>
      <c r="D7942" s="51">
        <v>69.0</v>
      </c>
      <c r="E7942" s="52" t="s">
        <v>25</v>
      </c>
      <c r="F7942" s="52" t="s">
        <v>26</v>
      </c>
      <c r="G7942" s="54"/>
    </row>
    <row r="7943">
      <c r="A7943" s="49">
        <v>45104.68136313657</v>
      </c>
      <c r="B7943" s="50">
        <v>45104.8063391435</v>
      </c>
      <c r="C7943" s="51">
        <v>1.0</v>
      </c>
      <c r="D7943" s="51">
        <v>69.0</v>
      </c>
      <c r="E7943" s="52" t="s">
        <v>25</v>
      </c>
      <c r="F7943" s="52" t="s">
        <v>26</v>
      </c>
      <c r="G7943" s="54"/>
    </row>
    <row r="7944">
      <c r="A7944" s="49">
        <v>45104.69178248843</v>
      </c>
      <c r="B7944" s="50">
        <v>45104.8167603472</v>
      </c>
      <c r="C7944" s="51">
        <v>1.0</v>
      </c>
      <c r="D7944" s="51">
        <v>69.0</v>
      </c>
      <c r="E7944" s="52" t="s">
        <v>25</v>
      </c>
      <c r="F7944" s="52" t="s">
        <v>26</v>
      </c>
      <c r="G7944" s="54"/>
    </row>
    <row r="7945">
      <c r="A7945" s="49">
        <v>45104.70222091435</v>
      </c>
      <c r="B7945" s="50">
        <v>45104.8271948958</v>
      </c>
      <c r="C7945" s="51">
        <v>1.0</v>
      </c>
      <c r="D7945" s="51">
        <v>69.0</v>
      </c>
      <c r="E7945" s="52" t="s">
        <v>25</v>
      </c>
      <c r="F7945" s="52" t="s">
        <v>26</v>
      </c>
      <c r="G7945" s="54"/>
    </row>
    <row r="7946">
      <c r="A7946" s="49">
        <v>45104.712639363424</v>
      </c>
      <c r="B7946" s="50">
        <v>45104.8376170486</v>
      </c>
      <c r="C7946" s="51">
        <v>1.0</v>
      </c>
      <c r="D7946" s="51">
        <v>69.0</v>
      </c>
      <c r="E7946" s="52" t="s">
        <v>25</v>
      </c>
      <c r="F7946" s="52" t="s">
        <v>26</v>
      </c>
      <c r="G7946" s="54"/>
    </row>
    <row r="7947">
      <c r="A7947" s="49">
        <v>45104.72306495371</v>
      </c>
      <c r="B7947" s="50">
        <v>45104.8480489467</v>
      </c>
      <c r="C7947" s="51">
        <v>1.0</v>
      </c>
      <c r="D7947" s="51">
        <v>69.0</v>
      </c>
      <c r="E7947" s="52" t="s">
        <v>25</v>
      </c>
      <c r="F7947" s="52" t="s">
        <v>26</v>
      </c>
      <c r="G7947" s="54"/>
    </row>
    <row r="7948">
      <c r="A7948" s="49">
        <v>45104.73349362268</v>
      </c>
      <c r="B7948" s="50">
        <v>45104.858469375</v>
      </c>
      <c r="C7948" s="51">
        <v>1.0</v>
      </c>
      <c r="D7948" s="51">
        <v>69.0</v>
      </c>
      <c r="E7948" s="52" t="s">
        <v>25</v>
      </c>
      <c r="F7948" s="52" t="s">
        <v>26</v>
      </c>
      <c r="G7948" s="54"/>
    </row>
    <row r="7949">
      <c r="A7949" s="49">
        <v>45104.74391211805</v>
      </c>
      <c r="B7949" s="50">
        <v>45104.868890625</v>
      </c>
      <c r="C7949" s="51">
        <v>1.0</v>
      </c>
      <c r="D7949" s="51">
        <v>69.0</v>
      </c>
      <c r="E7949" s="52" t="s">
        <v>25</v>
      </c>
      <c r="F7949" s="52" t="s">
        <v>26</v>
      </c>
      <c r="G7949" s="54"/>
    </row>
    <row r="7950">
      <c r="A7950" s="49">
        <v>45104.75433747685</v>
      </c>
      <c r="B7950" s="50">
        <v>45104.8793106365</v>
      </c>
      <c r="C7950" s="51">
        <v>1.0</v>
      </c>
      <c r="D7950" s="51">
        <v>69.0</v>
      </c>
      <c r="E7950" s="52" t="s">
        <v>25</v>
      </c>
      <c r="F7950" s="52" t="s">
        <v>26</v>
      </c>
      <c r="G7950" s="54"/>
    </row>
    <row r="7951">
      <c r="A7951" s="49">
        <v>45104.76475802083</v>
      </c>
      <c r="B7951" s="50">
        <v>45104.8897314236</v>
      </c>
      <c r="C7951" s="51">
        <v>1.0</v>
      </c>
      <c r="D7951" s="51">
        <v>69.0</v>
      </c>
      <c r="E7951" s="52" t="s">
        <v>25</v>
      </c>
      <c r="F7951" s="52" t="s">
        <v>26</v>
      </c>
      <c r="G7951" s="54"/>
    </row>
    <row r="7952">
      <c r="A7952" s="49">
        <v>45104.77518188657</v>
      </c>
      <c r="B7952" s="50">
        <v>45104.9001525578</v>
      </c>
      <c r="C7952" s="51">
        <v>1.0</v>
      </c>
      <c r="D7952" s="51">
        <v>69.0</v>
      </c>
      <c r="E7952" s="52" t="s">
        <v>25</v>
      </c>
      <c r="F7952" s="52" t="s">
        <v>26</v>
      </c>
      <c r="G7952" s="54"/>
    </row>
    <row r="7953">
      <c r="A7953" s="49">
        <v>45104.78559979166</v>
      </c>
      <c r="B7953" s="50">
        <v>45104.9105724652</v>
      </c>
      <c r="C7953" s="51">
        <v>1.0</v>
      </c>
      <c r="D7953" s="51">
        <v>69.0</v>
      </c>
      <c r="E7953" s="52" t="s">
        <v>25</v>
      </c>
      <c r="F7953" s="52" t="s">
        <v>26</v>
      </c>
      <c r="G7953" s="54"/>
    </row>
    <row r="7954">
      <c r="A7954" s="49">
        <v>45104.79601689815</v>
      </c>
      <c r="B7954" s="50">
        <v>45104.9209949537</v>
      </c>
      <c r="C7954" s="51">
        <v>1.0</v>
      </c>
      <c r="D7954" s="51">
        <v>69.0</v>
      </c>
      <c r="E7954" s="52" t="s">
        <v>25</v>
      </c>
      <c r="F7954" s="52" t="s">
        <v>26</v>
      </c>
      <c r="G7954" s="54"/>
    </row>
    <row r="7955">
      <c r="A7955" s="49">
        <v>45104.80645109953</v>
      </c>
      <c r="B7955" s="50">
        <v>45104.931427743</v>
      </c>
      <c r="C7955" s="51">
        <v>1.0</v>
      </c>
      <c r="D7955" s="51">
        <v>69.0</v>
      </c>
      <c r="E7955" s="52" t="s">
        <v>25</v>
      </c>
      <c r="F7955" s="52" t="s">
        <v>26</v>
      </c>
      <c r="G7955" s="54"/>
    </row>
    <row r="7956">
      <c r="A7956" s="49">
        <v>45104.81688334491</v>
      </c>
      <c r="B7956" s="50">
        <v>45104.9418618287</v>
      </c>
      <c r="C7956" s="51">
        <v>1.0</v>
      </c>
      <c r="D7956" s="51">
        <v>69.0</v>
      </c>
      <c r="E7956" s="52" t="s">
        <v>25</v>
      </c>
      <c r="F7956" s="52" t="s">
        <v>26</v>
      </c>
      <c r="G7956" s="54"/>
    </row>
    <row r="7957">
      <c r="A7957" s="49">
        <v>45104.82730503472</v>
      </c>
      <c r="B7957" s="50">
        <v>45104.9522815277</v>
      </c>
      <c r="C7957" s="51">
        <v>1.0</v>
      </c>
      <c r="D7957" s="51">
        <v>69.0</v>
      </c>
      <c r="E7957" s="52" t="s">
        <v>25</v>
      </c>
      <c r="F7957" s="52" t="s">
        <v>26</v>
      </c>
      <c r="G7957" s="54"/>
    </row>
    <row r="7958">
      <c r="A7958" s="49">
        <v>45104.8377296875</v>
      </c>
      <c r="B7958" s="50">
        <v>45104.9627028472</v>
      </c>
      <c r="C7958" s="51">
        <v>1.0</v>
      </c>
      <c r="D7958" s="51">
        <v>69.0</v>
      </c>
      <c r="E7958" s="52" t="s">
        <v>25</v>
      </c>
      <c r="F7958" s="52" t="s">
        <v>26</v>
      </c>
      <c r="G7958" s="54"/>
    </row>
    <row r="7959">
      <c r="A7959" s="49">
        <v>45104.8481546875</v>
      </c>
      <c r="B7959" s="50">
        <v>45104.973124456</v>
      </c>
      <c r="C7959" s="51">
        <v>1.0</v>
      </c>
      <c r="D7959" s="51">
        <v>69.0</v>
      </c>
      <c r="E7959" s="52" t="s">
        <v>25</v>
      </c>
      <c r="F7959" s="52" t="s">
        <v>26</v>
      </c>
      <c r="G7959" s="54"/>
    </row>
    <row r="7960">
      <c r="A7960" s="49">
        <v>45104.85857913195</v>
      </c>
      <c r="B7960" s="50">
        <v>45104.9835551967</v>
      </c>
      <c r="C7960" s="51">
        <v>1.0</v>
      </c>
      <c r="D7960" s="51">
        <v>69.0</v>
      </c>
      <c r="E7960" s="52" t="s">
        <v>25</v>
      </c>
      <c r="F7960" s="52" t="s">
        <v>26</v>
      </c>
      <c r="G7960" s="54"/>
    </row>
    <row r="7961">
      <c r="A7961" s="49">
        <v>45104.869028692134</v>
      </c>
      <c r="B7961" s="50">
        <v>45104.9939979282</v>
      </c>
      <c r="C7961" s="51">
        <v>1.0</v>
      </c>
      <c r="D7961" s="51">
        <v>69.0</v>
      </c>
      <c r="E7961" s="52" t="s">
        <v>25</v>
      </c>
      <c r="F7961" s="52" t="s">
        <v>26</v>
      </c>
      <c r="G7961" s="54"/>
    </row>
    <row r="7962">
      <c r="A7962" s="49">
        <v>45104.87944578704</v>
      </c>
      <c r="B7962" s="50">
        <v>45105.004418368</v>
      </c>
      <c r="C7962" s="51">
        <v>1.0</v>
      </c>
      <c r="D7962" s="51">
        <v>69.0</v>
      </c>
      <c r="E7962" s="52" t="s">
        <v>25</v>
      </c>
      <c r="F7962" s="52" t="s">
        <v>26</v>
      </c>
      <c r="G7962" s="54"/>
    </row>
    <row r="7963">
      <c r="A7963" s="49">
        <v>45104.8898678588</v>
      </c>
      <c r="B7963" s="50">
        <v>45105.0148411458</v>
      </c>
      <c r="C7963" s="51">
        <v>1.0</v>
      </c>
      <c r="D7963" s="51">
        <v>69.0</v>
      </c>
      <c r="E7963" s="52" t="s">
        <v>25</v>
      </c>
      <c r="F7963" s="52" t="s">
        <v>26</v>
      </c>
      <c r="G7963" s="54"/>
    </row>
    <row r="7964">
      <c r="A7964" s="49">
        <v>45104.900286840275</v>
      </c>
      <c r="B7964" s="50">
        <v>45105.0252625926</v>
      </c>
      <c r="C7964" s="51">
        <v>1.0</v>
      </c>
      <c r="D7964" s="51">
        <v>69.0</v>
      </c>
      <c r="E7964" s="52" t="s">
        <v>25</v>
      </c>
      <c r="F7964" s="52" t="s">
        <v>26</v>
      </c>
      <c r="G7964" s="54"/>
    </row>
    <row r="7965">
      <c r="A7965" s="49">
        <v>45104.91071059028</v>
      </c>
      <c r="B7965" s="50">
        <v>45105.0356847338</v>
      </c>
      <c r="C7965" s="51">
        <v>1.0</v>
      </c>
      <c r="D7965" s="51">
        <v>69.0</v>
      </c>
      <c r="E7965" s="52" t="s">
        <v>25</v>
      </c>
      <c r="F7965" s="52" t="s">
        <v>26</v>
      </c>
      <c r="G7965" s="54"/>
    </row>
    <row r="7966">
      <c r="A7966" s="49">
        <v>45104.921129016206</v>
      </c>
      <c r="B7966" s="50">
        <v>45105.0461055439</v>
      </c>
      <c r="C7966" s="51">
        <v>1.0</v>
      </c>
      <c r="D7966" s="51">
        <v>69.0</v>
      </c>
      <c r="E7966" s="52" t="s">
        <v>25</v>
      </c>
      <c r="F7966" s="52" t="s">
        <v>26</v>
      </c>
      <c r="G7966" s="54"/>
    </row>
    <row r="7967">
      <c r="A7967" s="49">
        <v>45104.93157609954</v>
      </c>
      <c r="B7967" s="50">
        <v>45105.0565387615</v>
      </c>
      <c r="C7967" s="51">
        <v>1.0</v>
      </c>
      <c r="D7967" s="51">
        <v>69.0</v>
      </c>
      <c r="E7967" s="52" t="s">
        <v>25</v>
      </c>
      <c r="F7967" s="52" t="s">
        <v>26</v>
      </c>
      <c r="G7967" s="54"/>
    </row>
    <row r="7968">
      <c r="A7968" s="49">
        <v>45104.94202083333</v>
      </c>
      <c r="B7968" s="50">
        <v>45105.0669945833</v>
      </c>
      <c r="C7968" s="51">
        <v>1.0</v>
      </c>
      <c r="D7968" s="51">
        <v>69.0</v>
      </c>
      <c r="E7968" s="52" t="s">
        <v>25</v>
      </c>
      <c r="F7968" s="52" t="s">
        <v>26</v>
      </c>
      <c r="G7968" s="54"/>
    </row>
    <row r="7969">
      <c r="A7969" s="49">
        <v>45104.95243619213</v>
      </c>
      <c r="B7969" s="50">
        <v>45105.0774165277</v>
      </c>
      <c r="C7969" s="51">
        <v>1.0</v>
      </c>
      <c r="D7969" s="51">
        <v>69.0</v>
      </c>
      <c r="E7969" s="52" t="s">
        <v>25</v>
      </c>
      <c r="F7969" s="52" t="s">
        <v>26</v>
      </c>
      <c r="G7969" s="54"/>
    </row>
    <row r="7970">
      <c r="A7970" s="49">
        <v>45104.962865243055</v>
      </c>
      <c r="B7970" s="50">
        <v>45105.0878388194</v>
      </c>
      <c r="C7970" s="51">
        <v>1.0</v>
      </c>
      <c r="D7970" s="51">
        <v>69.0</v>
      </c>
      <c r="E7970" s="52" t="s">
        <v>25</v>
      </c>
      <c r="F7970" s="52" t="s">
        <v>26</v>
      </c>
      <c r="G7970" s="54"/>
    </row>
    <row r="7971">
      <c r="A7971" s="49">
        <v>45104.97328277778</v>
      </c>
      <c r="B7971" s="50">
        <v>45105.0982588541</v>
      </c>
      <c r="C7971" s="51">
        <v>1.0</v>
      </c>
      <c r="D7971" s="51">
        <v>69.0</v>
      </c>
      <c r="E7971" s="52" t="s">
        <v>25</v>
      </c>
      <c r="F7971" s="52" t="s">
        <v>26</v>
      </c>
      <c r="G7971" s="54"/>
    </row>
    <row r="7972">
      <c r="A7972" s="49">
        <v>45104.98370092592</v>
      </c>
      <c r="B7972" s="50">
        <v>45105.1086810301</v>
      </c>
      <c r="C7972" s="51">
        <v>1.0</v>
      </c>
      <c r="D7972" s="51">
        <v>69.0</v>
      </c>
      <c r="E7972" s="52" t="s">
        <v>25</v>
      </c>
      <c r="F7972" s="52" t="s">
        <v>26</v>
      </c>
      <c r="G7972" s="54"/>
    </row>
    <row r="7973">
      <c r="A7973" s="49">
        <v>45104.994141979165</v>
      </c>
      <c r="B7973" s="50">
        <v>45105.1191148842</v>
      </c>
      <c r="C7973" s="51">
        <v>1.0</v>
      </c>
      <c r="D7973" s="51">
        <v>69.0</v>
      </c>
      <c r="E7973" s="52" t="s">
        <v>25</v>
      </c>
      <c r="F7973" s="52" t="s">
        <v>26</v>
      </c>
      <c r="G7973" s="54"/>
    </row>
    <row r="7974">
      <c r="A7974" s="49">
        <v>45105.00455993056</v>
      </c>
      <c r="B7974" s="50">
        <v>45105.1295371412</v>
      </c>
      <c r="C7974" s="51">
        <v>1.0</v>
      </c>
      <c r="D7974" s="51">
        <v>69.0</v>
      </c>
      <c r="E7974" s="52" t="s">
        <v>25</v>
      </c>
      <c r="F7974" s="52" t="s">
        <v>26</v>
      </c>
      <c r="G7974" s="54"/>
    </row>
    <row r="7975">
      <c r="A7975" s="49">
        <v>45105.014999039355</v>
      </c>
      <c r="B7975" s="50">
        <v>45105.1399810069</v>
      </c>
      <c r="C7975" s="51">
        <v>1.0</v>
      </c>
      <c r="D7975" s="51">
        <v>69.0</v>
      </c>
      <c r="E7975" s="52" t="s">
        <v>25</v>
      </c>
      <c r="F7975" s="52" t="s">
        <v>26</v>
      </c>
      <c r="G7975" s="54"/>
    </row>
    <row r="7976">
      <c r="A7976" s="49">
        <v>45105.02542847222</v>
      </c>
      <c r="B7976" s="50">
        <v>45105.150404375</v>
      </c>
      <c r="C7976" s="51">
        <v>1.0</v>
      </c>
      <c r="D7976" s="51">
        <v>69.0</v>
      </c>
      <c r="E7976" s="52" t="s">
        <v>25</v>
      </c>
      <c r="F7976" s="52" t="s">
        <v>26</v>
      </c>
      <c r="G7976" s="54"/>
    </row>
    <row r="7977">
      <c r="A7977" s="49">
        <v>45105.03585053241</v>
      </c>
      <c r="B7977" s="50">
        <v>45105.1608248726</v>
      </c>
      <c r="C7977" s="51">
        <v>1.0</v>
      </c>
      <c r="D7977" s="51">
        <v>69.0</v>
      </c>
      <c r="E7977" s="52" t="s">
        <v>25</v>
      </c>
      <c r="F7977" s="52" t="s">
        <v>26</v>
      </c>
      <c r="G7977" s="54"/>
    </row>
    <row r="7978">
      <c r="A7978" s="49">
        <v>45105.04627384259</v>
      </c>
      <c r="B7978" s="50">
        <v>45105.1712468287</v>
      </c>
      <c r="C7978" s="51">
        <v>1.0</v>
      </c>
      <c r="D7978" s="51">
        <v>69.0</v>
      </c>
      <c r="E7978" s="52" t="s">
        <v>25</v>
      </c>
      <c r="F7978" s="52" t="s">
        <v>26</v>
      </c>
      <c r="G7978" s="54"/>
    </row>
    <row r="7979">
      <c r="A7979" s="49">
        <v>45105.056697858796</v>
      </c>
      <c r="B7979" s="50">
        <v>45105.1816674189</v>
      </c>
      <c r="C7979" s="51">
        <v>1.0</v>
      </c>
      <c r="D7979" s="51">
        <v>69.0</v>
      </c>
      <c r="E7979" s="52" t="s">
        <v>25</v>
      </c>
      <c r="F7979" s="52" t="s">
        <v>26</v>
      </c>
      <c r="G7979" s="54"/>
    </row>
    <row r="7980">
      <c r="A7980" s="49">
        <v>45105.06711765046</v>
      </c>
      <c r="B7980" s="50">
        <v>45105.1920892476</v>
      </c>
      <c r="C7980" s="51">
        <v>1.0</v>
      </c>
      <c r="D7980" s="51">
        <v>69.0</v>
      </c>
      <c r="E7980" s="52" t="s">
        <v>25</v>
      </c>
      <c r="F7980" s="52" t="s">
        <v>26</v>
      </c>
      <c r="G7980" s="54"/>
    </row>
    <row r="7981">
      <c r="A7981" s="49">
        <v>45105.077548587964</v>
      </c>
      <c r="B7981" s="50">
        <v>45105.2025213773</v>
      </c>
      <c r="C7981" s="51">
        <v>1.0</v>
      </c>
      <c r="D7981" s="51">
        <v>69.0</v>
      </c>
      <c r="E7981" s="52" t="s">
        <v>25</v>
      </c>
      <c r="F7981" s="52" t="s">
        <v>26</v>
      </c>
      <c r="G7981" s="54"/>
    </row>
    <row r="7982">
      <c r="A7982" s="49">
        <v>45105.08797450231</v>
      </c>
      <c r="B7982" s="50">
        <v>45105.2129439236</v>
      </c>
      <c r="C7982" s="51">
        <v>1.0</v>
      </c>
      <c r="D7982" s="51">
        <v>69.0</v>
      </c>
      <c r="E7982" s="52" t="s">
        <v>25</v>
      </c>
      <c r="F7982" s="52" t="s">
        <v>26</v>
      </c>
      <c r="G7982" s="54"/>
    </row>
    <row r="7983">
      <c r="A7983" s="49">
        <v>45105.09839641204</v>
      </c>
      <c r="B7983" s="50">
        <v>45105.2233658101</v>
      </c>
      <c r="C7983" s="51">
        <v>1.0</v>
      </c>
      <c r="D7983" s="51">
        <v>69.0</v>
      </c>
      <c r="E7983" s="52" t="s">
        <v>25</v>
      </c>
      <c r="F7983" s="52" t="s">
        <v>26</v>
      </c>
      <c r="G7983" s="54"/>
    </row>
    <row r="7984">
      <c r="A7984" s="49">
        <v>45105.10880960648</v>
      </c>
      <c r="B7984" s="50">
        <v>45105.2337848148</v>
      </c>
      <c r="C7984" s="51">
        <v>1.0</v>
      </c>
      <c r="D7984" s="51">
        <v>69.0</v>
      </c>
      <c r="E7984" s="52" t="s">
        <v>25</v>
      </c>
      <c r="F7984" s="52" t="s">
        <v>26</v>
      </c>
      <c r="G7984" s="54"/>
    </row>
    <row r="7985">
      <c r="A7985" s="49">
        <v>45105.11923325231</v>
      </c>
      <c r="B7985" s="50">
        <v>45105.2442054051</v>
      </c>
      <c r="C7985" s="51">
        <v>1.0</v>
      </c>
      <c r="D7985" s="51">
        <v>69.0</v>
      </c>
      <c r="E7985" s="52" t="s">
        <v>25</v>
      </c>
      <c r="F7985" s="52" t="s">
        <v>26</v>
      </c>
      <c r="G7985" s="54"/>
    </row>
    <row r="7986">
      <c r="A7986" s="49">
        <v>45105.12965092593</v>
      </c>
      <c r="B7986" s="50">
        <v>45105.2546267592</v>
      </c>
      <c r="C7986" s="51">
        <v>1.0</v>
      </c>
      <c r="D7986" s="51">
        <v>69.0</v>
      </c>
      <c r="E7986" s="52" t="s">
        <v>25</v>
      </c>
      <c r="F7986" s="52" t="s">
        <v>26</v>
      </c>
      <c r="G7986" s="54"/>
    </row>
    <row r="7987">
      <c r="A7987" s="49">
        <v>45105.1400812963</v>
      </c>
      <c r="B7987" s="50">
        <v>45105.2650596527</v>
      </c>
      <c r="C7987" s="51">
        <v>1.0</v>
      </c>
      <c r="D7987" s="51">
        <v>69.0</v>
      </c>
      <c r="E7987" s="52" t="s">
        <v>25</v>
      </c>
      <c r="F7987" s="52" t="s">
        <v>26</v>
      </c>
      <c r="G7987" s="54"/>
    </row>
    <row r="7988">
      <c r="A7988" s="49">
        <v>45105.15050541666</v>
      </c>
      <c r="B7988" s="50">
        <v>45105.2754804976</v>
      </c>
      <c r="C7988" s="51">
        <v>1.0</v>
      </c>
      <c r="D7988" s="51">
        <v>69.0</v>
      </c>
      <c r="E7988" s="52" t="s">
        <v>25</v>
      </c>
      <c r="F7988" s="52" t="s">
        <v>26</v>
      </c>
      <c r="G7988" s="54"/>
    </row>
    <row r="7989">
      <c r="A7989" s="49">
        <v>45105.16092149305</v>
      </c>
      <c r="B7989" s="50">
        <v>45105.2859025115</v>
      </c>
      <c r="C7989" s="51">
        <v>1.0</v>
      </c>
      <c r="D7989" s="51">
        <v>69.0</v>
      </c>
      <c r="E7989" s="52" t="s">
        <v>25</v>
      </c>
      <c r="F7989" s="52" t="s">
        <v>26</v>
      </c>
      <c r="G7989" s="54"/>
    </row>
    <row r="7990">
      <c r="A7990" s="49">
        <v>45105.171348958334</v>
      </c>
      <c r="B7990" s="50">
        <v>45105.296324074</v>
      </c>
      <c r="C7990" s="51">
        <v>1.0</v>
      </c>
      <c r="D7990" s="51">
        <v>69.0</v>
      </c>
      <c r="E7990" s="52" t="s">
        <v>25</v>
      </c>
      <c r="F7990" s="52" t="s">
        <v>26</v>
      </c>
      <c r="G7990" s="54"/>
    </row>
    <row r="7991">
      <c r="A7991" s="49">
        <v>45105.1817659375</v>
      </c>
      <c r="B7991" s="50">
        <v>45105.3067448842</v>
      </c>
      <c r="C7991" s="51">
        <v>1.0</v>
      </c>
      <c r="D7991" s="51">
        <v>69.0</v>
      </c>
      <c r="E7991" s="52" t="s">
        <v>25</v>
      </c>
      <c r="F7991" s="52" t="s">
        <v>26</v>
      </c>
      <c r="G7991" s="54"/>
    </row>
    <row r="7992">
      <c r="A7992" s="49">
        <v>45105.19219381944</v>
      </c>
      <c r="B7992" s="50">
        <v>45105.3171669097</v>
      </c>
      <c r="C7992" s="51">
        <v>1.0</v>
      </c>
      <c r="D7992" s="51">
        <v>69.0</v>
      </c>
      <c r="E7992" s="52" t="s">
        <v>25</v>
      </c>
      <c r="F7992" s="52" t="s">
        <v>26</v>
      </c>
      <c r="G7992" s="54"/>
    </row>
    <row r="7993">
      <c r="A7993" s="49">
        <v>45105.20261144676</v>
      </c>
      <c r="B7993" s="50">
        <v>45105.327588368</v>
      </c>
      <c r="C7993" s="51">
        <v>1.0</v>
      </c>
      <c r="D7993" s="51">
        <v>69.0</v>
      </c>
      <c r="E7993" s="52" t="s">
        <v>25</v>
      </c>
      <c r="F7993" s="52" t="s">
        <v>26</v>
      </c>
      <c r="G7993" s="54"/>
    </row>
    <row r="7994">
      <c r="A7994" s="49">
        <v>45105.2130288426</v>
      </c>
      <c r="B7994" s="50">
        <v>45105.3380080902</v>
      </c>
      <c r="C7994" s="51">
        <v>1.0</v>
      </c>
      <c r="D7994" s="51">
        <v>69.0</v>
      </c>
      <c r="E7994" s="52" t="s">
        <v>25</v>
      </c>
      <c r="F7994" s="52" t="s">
        <v>26</v>
      </c>
      <c r="G7994" s="54"/>
    </row>
    <row r="7995">
      <c r="A7995" s="49">
        <v>45105.22346260417</v>
      </c>
      <c r="B7995" s="50">
        <v>45105.3484409722</v>
      </c>
      <c r="C7995" s="51">
        <v>1.0</v>
      </c>
      <c r="D7995" s="51">
        <v>69.0</v>
      </c>
      <c r="E7995" s="52" t="s">
        <v>25</v>
      </c>
      <c r="F7995" s="52" t="s">
        <v>26</v>
      </c>
      <c r="G7995" s="54"/>
    </row>
    <row r="7996">
      <c r="A7996" s="49">
        <v>45105.23388337963</v>
      </c>
      <c r="B7996" s="50">
        <v>45105.3588623958</v>
      </c>
      <c r="C7996" s="51">
        <v>1.0</v>
      </c>
      <c r="D7996" s="51">
        <v>69.0</v>
      </c>
      <c r="E7996" s="52" t="s">
        <v>25</v>
      </c>
      <c r="F7996" s="52" t="s">
        <v>26</v>
      </c>
      <c r="G7996" s="54"/>
    </row>
    <row r="7997">
      <c r="A7997" s="49">
        <v>45105.24430800926</v>
      </c>
      <c r="B7997" s="50">
        <v>45105.3692821412</v>
      </c>
      <c r="C7997" s="51">
        <v>1.0</v>
      </c>
      <c r="D7997" s="51">
        <v>69.0</v>
      </c>
      <c r="E7997" s="52" t="s">
        <v>25</v>
      </c>
      <c r="F7997" s="52" t="s">
        <v>26</v>
      </c>
      <c r="G7997" s="54"/>
    </row>
    <row r="7998">
      <c r="A7998" s="49">
        <v>45105.25474063658</v>
      </c>
      <c r="B7998" s="50">
        <v>45105.3797148958</v>
      </c>
      <c r="C7998" s="51">
        <v>1.0</v>
      </c>
      <c r="D7998" s="51">
        <v>69.0</v>
      </c>
      <c r="E7998" s="52" t="s">
        <v>25</v>
      </c>
      <c r="F7998" s="52" t="s">
        <v>26</v>
      </c>
      <c r="G7998" s="54"/>
    </row>
    <row r="7999">
      <c r="A7999" s="49">
        <v>45105.26516185185</v>
      </c>
      <c r="B7999" s="50">
        <v>45105.3901368865</v>
      </c>
      <c r="C7999" s="51">
        <v>1.0</v>
      </c>
      <c r="D7999" s="51">
        <v>69.0</v>
      </c>
      <c r="E7999" s="52" t="s">
        <v>25</v>
      </c>
      <c r="F7999" s="52" t="s">
        <v>26</v>
      </c>
      <c r="G7999" s="54"/>
    </row>
    <row r="8000">
      <c r="A8000" s="49">
        <v>45105.275584849536</v>
      </c>
      <c r="B8000" s="50">
        <v>45105.4005585069</v>
      </c>
      <c r="C8000" s="51">
        <v>1.0</v>
      </c>
      <c r="D8000" s="51">
        <v>69.0</v>
      </c>
      <c r="E8000" s="52" t="s">
        <v>25</v>
      </c>
      <c r="F8000" s="52" t="s">
        <v>26</v>
      </c>
      <c r="G8000" s="54"/>
    </row>
    <row r="8001">
      <c r="A8001" s="49">
        <v>45105.28600451389</v>
      </c>
      <c r="B8001" s="50">
        <v>45105.4109783796</v>
      </c>
      <c r="C8001" s="51">
        <v>1.0</v>
      </c>
      <c r="D8001" s="51">
        <v>69.0</v>
      </c>
      <c r="E8001" s="52" t="s">
        <v>25</v>
      </c>
      <c r="F8001" s="52" t="s">
        <v>26</v>
      </c>
      <c r="G8001" s="54"/>
    </row>
    <row r="8002">
      <c r="A8002" s="49">
        <v>45105.29643170139</v>
      </c>
      <c r="B8002" s="50">
        <v>45105.4213969907</v>
      </c>
      <c r="C8002" s="51">
        <v>1.0</v>
      </c>
      <c r="D8002" s="51">
        <v>69.0</v>
      </c>
      <c r="E8002" s="52" t="s">
        <v>25</v>
      </c>
      <c r="F8002" s="52" t="s">
        <v>26</v>
      </c>
      <c r="G8002" s="54"/>
    </row>
    <row r="8003">
      <c r="A8003" s="49">
        <v>45105.30684556713</v>
      </c>
      <c r="B8003" s="50">
        <v>45105.4318182407</v>
      </c>
      <c r="C8003" s="51">
        <v>1.0</v>
      </c>
      <c r="D8003" s="51">
        <v>69.0</v>
      </c>
      <c r="E8003" s="52" t="s">
        <v>25</v>
      </c>
      <c r="F8003" s="52" t="s">
        <v>26</v>
      </c>
      <c r="G8003" s="54"/>
    </row>
    <row r="8004">
      <c r="A8004" s="49">
        <v>45105.327699155096</v>
      </c>
      <c r="B8004" s="50">
        <v>45105.4526627314</v>
      </c>
      <c r="C8004" s="51">
        <v>1.0</v>
      </c>
      <c r="D8004" s="51">
        <v>69.0</v>
      </c>
      <c r="E8004" s="52" t="s">
        <v>25</v>
      </c>
      <c r="F8004" s="52" t="s">
        <v>26</v>
      </c>
      <c r="G8004" s="54"/>
    </row>
    <row r="8005">
      <c r="A8005" s="49">
        <v>45105.33812758102</v>
      </c>
      <c r="B8005" s="50">
        <v>45105.4630960069</v>
      </c>
      <c r="C8005" s="51">
        <v>1.0</v>
      </c>
      <c r="D8005" s="51">
        <v>69.0</v>
      </c>
      <c r="E8005" s="52" t="s">
        <v>25</v>
      </c>
      <c r="F8005" s="52" t="s">
        <v>26</v>
      </c>
      <c r="G8005" s="54"/>
    </row>
    <row r="8006">
      <c r="A8006" s="49">
        <v>45105.348550821756</v>
      </c>
      <c r="B8006" s="50">
        <v>45105.4735281944</v>
      </c>
      <c r="C8006" s="51">
        <v>1.0</v>
      </c>
      <c r="D8006" s="51">
        <v>69.0</v>
      </c>
      <c r="E8006" s="52" t="s">
        <v>25</v>
      </c>
      <c r="F8006" s="52" t="s">
        <v>26</v>
      </c>
      <c r="G8006" s="54"/>
    </row>
    <row r="8007">
      <c r="A8007" s="49">
        <v>45105.35897634259</v>
      </c>
      <c r="B8007" s="50">
        <v>45105.4839500462</v>
      </c>
      <c r="C8007" s="51">
        <v>1.0</v>
      </c>
      <c r="D8007" s="51">
        <v>69.0</v>
      </c>
      <c r="E8007" s="52" t="s">
        <v>25</v>
      </c>
      <c r="F8007" s="52" t="s">
        <v>26</v>
      </c>
      <c r="G8007" s="54"/>
    </row>
    <row r="8008">
      <c r="A8008" s="49">
        <v>45105.36939439815</v>
      </c>
      <c r="B8008" s="50">
        <v>45105.4943728588</v>
      </c>
      <c r="C8008" s="51">
        <v>1.0</v>
      </c>
      <c r="D8008" s="51">
        <v>69.0</v>
      </c>
      <c r="E8008" s="52" t="s">
        <v>25</v>
      </c>
      <c r="F8008" s="52" t="s">
        <v>26</v>
      </c>
      <c r="G8008" s="54"/>
    </row>
    <row r="8009">
      <c r="A8009" s="49">
        <v>45105.37981633102</v>
      </c>
      <c r="B8009" s="50">
        <v>45105.5047953009</v>
      </c>
      <c r="C8009" s="51">
        <v>1.0</v>
      </c>
      <c r="D8009" s="51">
        <v>69.0</v>
      </c>
      <c r="E8009" s="52" t="s">
        <v>25</v>
      </c>
      <c r="F8009" s="52" t="s">
        <v>26</v>
      </c>
      <c r="G8009" s="54"/>
    </row>
    <row r="8010">
      <c r="A8010" s="49">
        <v>45105.39023797454</v>
      </c>
      <c r="B8010" s="50">
        <v>45105.5152172106</v>
      </c>
      <c r="C8010" s="51">
        <v>1.0</v>
      </c>
      <c r="D8010" s="51">
        <v>69.0</v>
      </c>
      <c r="E8010" s="52" t="s">
        <v>25</v>
      </c>
      <c r="F8010" s="52" t="s">
        <v>26</v>
      </c>
      <c r="G8010" s="54"/>
    </row>
    <row r="8011">
      <c r="A8011" s="49">
        <v>45105.40066555556</v>
      </c>
      <c r="B8011" s="50">
        <v>45105.525636331</v>
      </c>
      <c r="C8011" s="51">
        <v>1.0</v>
      </c>
      <c r="D8011" s="51">
        <v>69.0</v>
      </c>
      <c r="E8011" s="52" t="s">
        <v>25</v>
      </c>
      <c r="F8011" s="52" t="s">
        <v>26</v>
      </c>
      <c r="G8011" s="54"/>
    </row>
    <row r="8012">
      <c r="A8012" s="49">
        <v>45105.41108193287</v>
      </c>
      <c r="B8012" s="50">
        <v>45105.5360578819</v>
      </c>
      <c r="C8012" s="51">
        <v>1.0</v>
      </c>
      <c r="D8012" s="51">
        <v>69.0</v>
      </c>
      <c r="E8012" s="52" t="s">
        <v>25</v>
      </c>
      <c r="F8012" s="52" t="s">
        <v>26</v>
      </c>
      <c r="G8012" s="54"/>
    </row>
    <row r="8013">
      <c r="A8013" s="49">
        <v>45105.4215019213</v>
      </c>
      <c r="B8013" s="50">
        <v>45105.5464794213</v>
      </c>
      <c r="C8013" s="51">
        <v>1.0</v>
      </c>
      <c r="D8013" s="51">
        <v>69.0</v>
      </c>
      <c r="E8013" s="52" t="s">
        <v>25</v>
      </c>
      <c r="F8013" s="52" t="s">
        <v>26</v>
      </c>
      <c r="G8013" s="54"/>
    </row>
    <row r="8014">
      <c r="A8014" s="49">
        <v>45105.43194392361</v>
      </c>
      <c r="B8014" s="50">
        <v>45105.556914375</v>
      </c>
      <c r="C8014" s="51">
        <v>1.0</v>
      </c>
      <c r="D8014" s="51">
        <v>69.0</v>
      </c>
      <c r="E8014" s="52" t="s">
        <v>25</v>
      </c>
      <c r="F8014" s="52" t="s">
        <v>26</v>
      </c>
      <c r="G8014" s="54"/>
    </row>
    <row r="8015">
      <c r="A8015" s="49">
        <v>45105.442359884255</v>
      </c>
      <c r="B8015" s="50">
        <v>45105.5673338657</v>
      </c>
      <c r="C8015" s="51">
        <v>1.0</v>
      </c>
      <c r="D8015" s="51">
        <v>69.0</v>
      </c>
      <c r="E8015" s="52" t="s">
        <v>25</v>
      </c>
      <c r="F8015" s="52" t="s">
        <v>26</v>
      </c>
      <c r="G8015" s="54"/>
    </row>
    <row r="8016">
      <c r="A8016" s="49">
        <v>45105.45277740741</v>
      </c>
      <c r="B8016" s="50">
        <v>45105.5777555555</v>
      </c>
      <c r="C8016" s="51">
        <v>1.0</v>
      </c>
      <c r="D8016" s="51">
        <v>69.0</v>
      </c>
      <c r="E8016" s="52" t="s">
        <v>25</v>
      </c>
      <c r="F8016" s="52" t="s">
        <v>26</v>
      </c>
      <c r="G8016" s="54"/>
    </row>
    <row r="8017">
      <c r="A8017" s="49">
        <v>45105.46321631945</v>
      </c>
      <c r="B8017" s="50">
        <v>45105.5881894791</v>
      </c>
      <c r="C8017" s="51">
        <v>1.0</v>
      </c>
      <c r="D8017" s="51">
        <v>69.0</v>
      </c>
      <c r="E8017" s="52" t="s">
        <v>25</v>
      </c>
      <c r="F8017" s="52" t="s">
        <v>26</v>
      </c>
      <c r="G8017" s="54"/>
    </row>
    <row r="8018">
      <c r="A8018" s="49">
        <v>45105.47365337963</v>
      </c>
      <c r="B8018" s="50">
        <v>45105.5986237731</v>
      </c>
      <c r="C8018" s="51">
        <v>1.0</v>
      </c>
      <c r="D8018" s="51">
        <v>69.0</v>
      </c>
      <c r="E8018" s="52" t="s">
        <v>25</v>
      </c>
      <c r="F8018" s="52" t="s">
        <v>26</v>
      </c>
      <c r="G8018" s="54"/>
    </row>
    <row r="8019">
      <c r="A8019" s="49">
        <v>45105.48407040509</v>
      </c>
      <c r="B8019" s="50">
        <v>45105.6090439236</v>
      </c>
      <c r="C8019" s="51">
        <v>1.0</v>
      </c>
      <c r="D8019" s="51">
        <v>69.0</v>
      </c>
      <c r="E8019" s="52" t="s">
        <v>25</v>
      </c>
      <c r="F8019" s="52" t="s">
        <v>26</v>
      </c>
      <c r="G8019" s="54"/>
    </row>
    <row r="8020">
      <c r="A8020" s="49">
        <v>45105.49448840278</v>
      </c>
      <c r="B8020" s="50">
        <v>45105.6194637615</v>
      </c>
      <c r="C8020" s="51">
        <v>1.0</v>
      </c>
      <c r="D8020" s="51">
        <v>69.0</v>
      </c>
      <c r="E8020" s="52" t="s">
        <v>25</v>
      </c>
      <c r="F8020" s="52" t="s">
        <v>26</v>
      </c>
      <c r="G8020" s="54"/>
    </row>
    <row r="8021">
      <c r="A8021" s="49">
        <v>45105.5049128588</v>
      </c>
      <c r="B8021" s="50">
        <v>45105.6298848148</v>
      </c>
      <c r="C8021" s="51">
        <v>1.0</v>
      </c>
      <c r="D8021" s="51">
        <v>69.0</v>
      </c>
      <c r="E8021" s="52" t="s">
        <v>25</v>
      </c>
      <c r="F8021" s="52" t="s">
        <v>26</v>
      </c>
      <c r="G8021" s="54"/>
    </row>
    <row r="8022">
      <c r="A8022" s="49">
        <v>45105.515338171295</v>
      </c>
      <c r="B8022" s="50">
        <v>45105.6403080555</v>
      </c>
      <c r="C8022" s="51">
        <v>1.0</v>
      </c>
      <c r="D8022" s="51">
        <v>69.0</v>
      </c>
      <c r="E8022" s="52" t="s">
        <v>25</v>
      </c>
      <c r="F8022" s="52" t="s">
        <v>26</v>
      </c>
      <c r="G8022" s="54"/>
    </row>
    <row r="8023">
      <c r="A8023" s="49">
        <v>45105.525750891204</v>
      </c>
      <c r="B8023" s="50">
        <v>45105.6507273148</v>
      </c>
      <c r="C8023" s="51">
        <v>1.0</v>
      </c>
      <c r="D8023" s="51">
        <v>69.0</v>
      </c>
      <c r="E8023" s="52" t="s">
        <v>25</v>
      </c>
      <c r="F8023" s="52" t="s">
        <v>26</v>
      </c>
      <c r="G8023" s="54"/>
    </row>
    <row r="8024">
      <c r="A8024" s="49">
        <v>45105.536179097224</v>
      </c>
      <c r="B8024" s="50">
        <v>45105.6611485879</v>
      </c>
      <c r="C8024" s="51">
        <v>1.0</v>
      </c>
      <c r="D8024" s="51">
        <v>69.0</v>
      </c>
      <c r="E8024" s="52" t="s">
        <v>25</v>
      </c>
      <c r="F8024" s="52" t="s">
        <v>26</v>
      </c>
      <c r="G8024" s="54"/>
    </row>
    <row r="8025">
      <c r="A8025" s="49">
        <v>45105.546600497684</v>
      </c>
      <c r="B8025" s="50">
        <v>45105.6715695138</v>
      </c>
      <c r="C8025" s="51">
        <v>1.0</v>
      </c>
      <c r="D8025" s="51">
        <v>69.0</v>
      </c>
      <c r="E8025" s="52" t="s">
        <v>25</v>
      </c>
      <c r="F8025" s="52" t="s">
        <v>26</v>
      </c>
      <c r="G8025" s="54"/>
    </row>
    <row r="8026">
      <c r="A8026" s="49">
        <v>45105.55700681713</v>
      </c>
      <c r="B8026" s="50">
        <v>45105.6819884606</v>
      </c>
      <c r="C8026" s="51">
        <v>1.0</v>
      </c>
      <c r="D8026" s="51">
        <v>69.0</v>
      </c>
      <c r="E8026" s="52" t="s">
        <v>25</v>
      </c>
      <c r="F8026" s="52" t="s">
        <v>26</v>
      </c>
      <c r="G8026" s="54"/>
    </row>
    <row r="8027">
      <c r="A8027" s="49">
        <v>45105.56743368055</v>
      </c>
      <c r="B8027" s="50">
        <v>45105.692410243</v>
      </c>
      <c r="C8027" s="51">
        <v>1.0</v>
      </c>
      <c r="D8027" s="51">
        <v>69.0</v>
      </c>
      <c r="E8027" s="52" t="s">
        <v>25</v>
      </c>
      <c r="F8027" s="52" t="s">
        <v>26</v>
      </c>
      <c r="G8027" s="54"/>
    </row>
    <row r="8028">
      <c r="A8028" s="49">
        <v>45105.577858206016</v>
      </c>
      <c r="B8028" s="50">
        <v>45105.7028319444</v>
      </c>
      <c r="C8028" s="51">
        <v>1.0</v>
      </c>
      <c r="D8028" s="51">
        <v>69.0</v>
      </c>
      <c r="E8028" s="52" t="s">
        <v>25</v>
      </c>
      <c r="F8028" s="52" t="s">
        <v>26</v>
      </c>
      <c r="G8028" s="54"/>
    </row>
    <row r="8029">
      <c r="A8029" s="49">
        <v>45105.588283391204</v>
      </c>
      <c r="B8029" s="50">
        <v>45105.7132542824</v>
      </c>
      <c r="C8029" s="51">
        <v>1.0</v>
      </c>
      <c r="D8029" s="51">
        <v>69.0</v>
      </c>
      <c r="E8029" s="52" t="s">
        <v>25</v>
      </c>
      <c r="F8029" s="52" t="s">
        <v>26</v>
      </c>
      <c r="G8029" s="54"/>
    </row>
    <row r="8030">
      <c r="A8030" s="49">
        <v>45105.59870486111</v>
      </c>
      <c r="B8030" s="50">
        <v>45105.7236752777</v>
      </c>
      <c r="C8030" s="51">
        <v>1.0</v>
      </c>
      <c r="D8030" s="51">
        <v>69.0</v>
      </c>
      <c r="E8030" s="52" t="s">
        <v>25</v>
      </c>
      <c r="F8030" s="52" t="s">
        <v>26</v>
      </c>
      <c r="G8030" s="54"/>
    </row>
    <row r="8031">
      <c r="A8031" s="49">
        <v>45105.60912789352</v>
      </c>
      <c r="B8031" s="50">
        <v>45105.7340959606</v>
      </c>
      <c r="C8031" s="51">
        <v>1.0</v>
      </c>
      <c r="D8031" s="51">
        <v>69.0</v>
      </c>
      <c r="E8031" s="52" t="s">
        <v>25</v>
      </c>
      <c r="F8031" s="52" t="s">
        <v>26</v>
      </c>
      <c r="G8031" s="54"/>
    </row>
    <row r="8032">
      <c r="A8032" s="49">
        <v>45105.61953650463</v>
      </c>
      <c r="B8032" s="50">
        <v>45105.7445157176</v>
      </c>
      <c r="C8032" s="51">
        <v>1.0</v>
      </c>
      <c r="D8032" s="51">
        <v>69.0</v>
      </c>
      <c r="E8032" s="52" t="s">
        <v>25</v>
      </c>
      <c r="F8032" s="52" t="s">
        <v>26</v>
      </c>
      <c r="G8032" s="54"/>
    </row>
    <row r="8033">
      <c r="A8033" s="49">
        <v>45105.62995725694</v>
      </c>
      <c r="B8033" s="50">
        <v>45105.7549362731</v>
      </c>
      <c r="C8033" s="51">
        <v>1.0</v>
      </c>
      <c r="D8033" s="51">
        <v>69.0</v>
      </c>
      <c r="E8033" s="52" t="s">
        <v>25</v>
      </c>
      <c r="F8033" s="52" t="s">
        <v>26</v>
      </c>
      <c r="G8033" s="54"/>
    </row>
    <row r="8034">
      <c r="A8034" s="49">
        <v>45105.640377372685</v>
      </c>
      <c r="B8034" s="50">
        <v>45105.7653560995</v>
      </c>
      <c r="C8034" s="51">
        <v>1.0</v>
      </c>
      <c r="D8034" s="51">
        <v>69.0</v>
      </c>
      <c r="E8034" s="52" t="s">
        <v>25</v>
      </c>
      <c r="F8034" s="52" t="s">
        <v>26</v>
      </c>
      <c r="G8034" s="54"/>
    </row>
    <row r="8035">
      <c r="A8035" s="49">
        <v>45105.650801655094</v>
      </c>
      <c r="B8035" s="50">
        <v>45105.7757764583</v>
      </c>
      <c r="C8035" s="51">
        <v>1.0</v>
      </c>
      <c r="D8035" s="51">
        <v>69.0</v>
      </c>
      <c r="E8035" s="52" t="s">
        <v>25</v>
      </c>
      <c r="F8035" s="52" t="s">
        <v>26</v>
      </c>
      <c r="G8035" s="54"/>
    </row>
    <row r="8036">
      <c r="A8036" s="49">
        <v>45105.661233923616</v>
      </c>
      <c r="B8036" s="50">
        <v>45105.7862076967</v>
      </c>
      <c r="C8036" s="51">
        <v>1.0</v>
      </c>
      <c r="D8036" s="51">
        <v>69.0</v>
      </c>
      <c r="E8036" s="52" t="s">
        <v>25</v>
      </c>
      <c r="F8036" s="52" t="s">
        <v>26</v>
      </c>
      <c r="G8036" s="54"/>
    </row>
    <row r="8037">
      <c r="A8037" s="49">
        <v>45105.67165626158</v>
      </c>
      <c r="B8037" s="50">
        <v>45105.7966301041</v>
      </c>
      <c r="C8037" s="51">
        <v>1.0</v>
      </c>
      <c r="D8037" s="51">
        <v>69.0</v>
      </c>
      <c r="E8037" s="52" t="s">
        <v>25</v>
      </c>
      <c r="F8037" s="52" t="s">
        <v>26</v>
      </c>
      <c r="G8037" s="54"/>
    </row>
    <row r="8038">
      <c r="A8038" s="49">
        <v>45105.682086932866</v>
      </c>
      <c r="B8038" s="50">
        <v>45105.8070615046</v>
      </c>
      <c r="C8038" s="51">
        <v>1.0</v>
      </c>
      <c r="D8038" s="51">
        <v>69.0</v>
      </c>
      <c r="E8038" s="52" t="s">
        <v>25</v>
      </c>
      <c r="F8038" s="52" t="s">
        <v>26</v>
      </c>
      <c r="G8038" s="54"/>
    </row>
    <row r="8039">
      <c r="A8039" s="49">
        <v>45105.692518067124</v>
      </c>
      <c r="B8039" s="50">
        <v>45105.8174939004</v>
      </c>
      <c r="C8039" s="51">
        <v>1.0</v>
      </c>
      <c r="D8039" s="51">
        <v>69.0</v>
      </c>
      <c r="E8039" s="52" t="s">
        <v>25</v>
      </c>
      <c r="F8039" s="52" t="s">
        <v>26</v>
      </c>
      <c r="G8039" s="54"/>
    </row>
    <row r="8040">
      <c r="A8040" s="49">
        <v>45105.702947743055</v>
      </c>
      <c r="B8040" s="50">
        <v>45105.8279260995</v>
      </c>
      <c r="C8040" s="51">
        <v>1.0</v>
      </c>
      <c r="D8040" s="51">
        <v>69.0</v>
      </c>
      <c r="E8040" s="52" t="s">
        <v>25</v>
      </c>
      <c r="F8040" s="52" t="s">
        <v>26</v>
      </c>
      <c r="G8040" s="54"/>
    </row>
    <row r="8041">
      <c r="A8041" s="49">
        <v>45105.71337652778</v>
      </c>
      <c r="B8041" s="50">
        <v>45105.8383475578</v>
      </c>
      <c r="C8041" s="51">
        <v>1.0</v>
      </c>
      <c r="D8041" s="51">
        <v>69.0</v>
      </c>
      <c r="E8041" s="52" t="s">
        <v>25</v>
      </c>
      <c r="F8041" s="52" t="s">
        <v>26</v>
      </c>
      <c r="G8041" s="54"/>
    </row>
    <row r="8042">
      <c r="A8042" s="49">
        <v>45105.72379159722</v>
      </c>
      <c r="B8042" s="50">
        <v>45105.8487688657</v>
      </c>
      <c r="C8042" s="51">
        <v>1.0</v>
      </c>
      <c r="D8042" s="51">
        <v>69.0</v>
      </c>
      <c r="E8042" s="52" t="s">
        <v>25</v>
      </c>
      <c r="F8042" s="52" t="s">
        <v>26</v>
      </c>
      <c r="G8042" s="54"/>
    </row>
    <row r="8043">
      <c r="A8043" s="49">
        <v>45105.734211574076</v>
      </c>
      <c r="B8043" s="50">
        <v>45105.8591904629</v>
      </c>
      <c r="C8043" s="51">
        <v>1.0</v>
      </c>
      <c r="D8043" s="51">
        <v>69.0</v>
      </c>
      <c r="E8043" s="52" t="s">
        <v>25</v>
      </c>
      <c r="F8043" s="52" t="s">
        <v>26</v>
      </c>
      <c r="G8043" s="54"/>
    </row>
    <row r="8044">
      <c r="A8044" s="49">
        <v>45105.74463609954</v>
      </c>
      <c r="B8044" s="50">
        <v>45105.8696103009</v>
      </c>
      <c r="C8044" s="51">
        <v>1.0</v>
      </c>
      <c r="D8044" s="51">
        <v>69.0</v>
      </c>
      <c r="E8044" s="52" t="s">
        <v>25</v>
      </c>
      <c r="F8044" s="52" t="s">
        <v>26</v>
      </c>
      <c r="G8044" s="54"/>
    </row>
    <row r="8045">
      <c r="A8045" s="49">
        <v>45105.755053761575</v>
      </c>
      <c r="B8045" s="50">
        <v>45105.8800304398</v>
      </c>
      <c r="C8045" s="51">
        <v>1.0</v>
      </c>
      <c r="D8045" s="51">
        <v>69.0</v>
      </c>
      <c r="E8045" s="52" t="s">
        <v>25</v>
      </c>
      <c r="F8045" s="52" t="s">
        <v>26</v>
      </c>
      <c r="G8045" s="54"/>
    </row>
    <row r="8046">
      <c r="A8046" s="49">
        <v>45105.765486793985</v>
      </c>
      <c r="B8046" s="50">
        <v>45105.8904517013</v>
      </c>
      <c r="C8046" s="51">
        <v>1.0</v>
      </c>
      <c r="D8046" s="51">
        <v>69.0</v>
      </c>
      <c r="E8046" s="52" t="s">
        <v>25</v>
      </c>
      <c r="F8046" s="52" t="s">
        <v>26</v>
      </c>
      <c r="G8046" s="54"/>
    </row>
    <row r="8047">
      <c r="A8047" s="49">
        <v>45105.775898101856</v>
      </c>
      <c r="B8047" s="50">
        <v>45105.9008730902</v>
      </c>
      <c r="C8047" s="51">
        <v>1.0</v>
      </c>
      <c r="D8047" s="51">
        <v>69.0</v>
      </c>
      <c r="E8047" s="52" t="s">
        <v>25</v>
      </c>
      <c r="F8047" s="52" t="s">
        <v>26</v>
      </c>
      <c r="G8047" s="54"/>
    </row>
    <row r="8048">
      <c r="A8048" s="49">
        <v>45105.78631380787</v>
      </c>
      <c r="B8048" s="50">
        <v>45105.9112931712</v>
      </c>
      <c r="C8048" s="51">
        <v>1.0</v>
      </c>
      <c r="D8048" s="51">
        <v>69.0</v>
      </c>
      <c r="E8048" s="52" t="s">
        <v>25</v>
      </c>
      <c r="F8048" s="52" t="s">
        <v>26</v>
      </c>
      <c r="G8048" s="54"/>
    </row>
    <row r="8049">
      <c r="A8049" s="49">
        <v>45105.79673232639</v>
      </c>
      <c r="B8049" s="50">
        <v>45105.9217120254</v>
      </c>
      <c r="C8049" s="51">
        <v>1.0</v>
      </c>
      <c r="D8049" s="51">
        <v>69.0</v>
      </c>
      <c r="E8049" s="52" t="s">
        <v>25</v>
      </c>
      <c r="F8049" s="52" t="s">
        <v>26</v>
      </c>
      <c r="G8049" s="54"/>
    </row>
    <row r="8050">
      <c r="A8050" s="49">
        <v>45105.807161550925</v>
      </c>
      <c r="B8050" s="50">
        <v>45105.932133449</v>
      </c>
      <c r="C8050" s="51">
        <v>1.0</v>
      </c>
      <c r="D8050" s="51">
        <v>69.0</v>
      </c>
      <c r="E8050" s="52" t="s">
        <v>25</v>
      </c>
      <c r="F8050" s="52" t="s">
        <v>26</v>
      </c>
      <c r="G8050" s="54"/>
    </row>
    <row r="8051">
      <c r="A8051" s="49">
        <v>45105.81758171297</v>
      </c>
      <c r="B8051" s="50">
        <v>45105.9425535532</v>
      </c>
      <c r="C8051" s="51">
        <v>1.0</v>
      </c>
      <c r="D8051" s="51">
        <v>69.0</v>
      </c>
      <c r="E8051" s="52" t="s">
        <v>25</v>
      </c>
      <c r="F8051" s="52" t="s">
        <v>26</v>
      </c>
      <c r="G8051" s="54"/>
    </row>
    <row r="8052">
      <c r="A8052" s="49">
        <v>45105.82800068287</v>
      </c>
      <c r="B8052" s="50">
        <v>45105.9529740162</v>
      </c>
      <c r="C8052" s="51">
        <v>1.0</v>
      </c>
      <c r="D8052" s="51">
        <v>69.0</v>
      </c>
      <c r="E8052" s="52" t="s">
        <v>25</v>
      </c>
      <c r="F8052" s="52" t="s">
        <v>26</v>
      </c>
      <c r="G8052" s="54"/>
    </row>
    <row r="8053">
      <c r="A8053" s="49">
        <v>45105.8384396412</v>
      </c>
      <c r="B8053" s="50">
        <v>45105.9633954629</v>
      </c>
      <c r="C8053" s="51">
        <v>1.0</v>
      </c>
      <c r="D8053" s="51">
        <v>69.0</v>
      </c>
      <c r="E8053" s="52" t="s">
        <v>25</v>
      </c>
      <c r="F8053" s="52" t="s">
        <v>26</v>
      </c>
      <c r="G8053" s="54"/>
    </row>
    <row r="8054">
      <c r="A8054" s="49">
        <v>45105.84886521991</v>
      </c>
      <c r="B8054" s="50">
        <v>45105.9738160995</v>
      </c>
      <c r="C8054" s="51">
        <v>1.0</v>
      </c>
      <c r="D8054" s="51">
        <v>69.0</v>
      </c>
      <c r="E8054" s="52" t="s">
        <v>25</v>
      </c>
      <c r="F8054" s="52" t="s">
        <v>26</v>
      </c>
      <c r="G8054" s="54"/>
    </row>
    <row r="8055">
      <c r="A8055" s="49">
        <v>45105.859306701386</v>
      </c>
      <c r="B8055" s="50">
        <v>45105.9842477546</v>
      </c>
      <c r="C8055" s="51">
        <v>1.0</v>
      </c>
      <c r="D8055" s="51">
        <v>69.0</v>
      </c>
      <c r="E8055" s="52" t="s">
        <v>25</v>
      </c>
      <c r="F8055" s="52" t="s">
        <v>26</v>
      </c>
      <c r="G8055" s="54"/>
    </row>
    <row r="8056">
      <c r="A8056" s="49">
        <v>45105.869691875</v>
      </c>
      <c r="B8056" s="50">
        <v>45105.9946683333</v>
      </c>
      <c r="C8056" s="51">
        <v>1.0</v>
      </c>
      <c r="D8056" s="51">
        <v>69.0</v>
      </c>
      <c r="E8056" s="52" t="s">
        <v>25</v>
      </c>
      <c r="F8056" s="52" t="s">
        <v>26</v>
      </c>
      <c r="G8056" s="54"/>
    </row>
    <row r="8057">
      <c r="A8057" s="49">
        <v>45105.88011425926</v>
      </c>
      <c r="B8057" s="50">
        <v>45106.0050896759</v>
      </c>
      <c r="C8057" s="51">
        <v>1.0</v>
      </c>
      <c r="D8057" s="51">
        <v>69.0</v>
      </c>
      <c r="E8057" s="52" t="s">
        <v>25</v>
      </c>
      <c r="F8057" s="52" t="s">
        <v>26</v>
      </c>
      <c r="G8057" s="54"/>
    </row>
    <row r="8058">
      <c r="A8058" s="49">
        <v>45105.890543807865</v>
      </c>
      <c r="B8058" s="50">
        <v>45106.0155213541</v>
      </c>
      <c r="C8058" s="51">
        <v>1.0</v>
      </c>
      <c r="D8058" s="51">
        <v>69.0</v>
      </c>
      <c r="E8058" s="52" t="s">
        <v>25</v>
      </c>
      <c r="F8058" s="52" t="s">
        <v>26</v>
      </c>
      <c r="G8058" s="54"/>
    </row>
    <row r="8059">
      <c r="A8059" s="49">
        <v>45105.900962175925</v>
      </c>
      <c r="B8059" s="50">
        <v>45106.0259426967</v>
      </c>
      <c r="C8059" s="51">
        <v>1.0</v>
      </c>
      <c r="D8059" s="51">
        <v>69.0</v>
      </c>
      <c r="E8059" s="52" t="s">
        <v>25</v>
      </c>
      <c r="F8059" s="52" t="s">
        <v>26</v>
      </c>
      <c r="G8059" s="54"/>
    </row>
    <row r="8060">
      <c r="A8060" s="49">
        <v>45105.92181197916</v>
      </c>
      <c r="B8060" s="50">
        <v>45106.0467839236</v>
      </c>
      <c r="C8060" s="51">
        <v>1.0</v>
      </c>
      <c r="D8060" s="51">
        <v>69.0</v>
      </c>
      <c r="E8060" s="52" t="s">
        <v>25</v>
      </c>
      <c r="F8060" s="52" t="s">
        <v>26</v>
      </c>
      <c r="G8060" s="54"/>
    </row>
    <row r="8061">
      <c r="A8061" s="49">
        <v>45105.932239166665</v>
      </c>
      <c r="B8061" s="50">
        <v>45106.0572063194</v>
      </c>
      <c r="C8061" s="51">
        <v>1.0</v>
      </c>
      <c r="D8061" s="51">
        <v>69.0</v>
      </c>
      <c r="E8061" s="52" t="s">
        <v>25</v>
      </c>
      <c r="F8061" s="52" t="s">
        <v>26</v>
      </c>
      <c r="G8061" s="54"/>
    </row>
    <row r="8062">
      <c r="A8062" s="49">
        <v>45105.942652928235</v>
      </c>
      <c r="B8062" s="50">
        <v>45106.0676260648</v>
      </c>
      <c r="C8062" s="51">
        <v>1.0</v>
      </c>
      <c r="D8062" s="51">
        <v>69.0</v>
      </c>
      <c r="E8062" s="52" t="s">
        <v>25</v>
      </c>
      <c r="F8062" s="52" t="s">
        <v>26</v>
      </c>
      <c r="G8062" s="54"/>
    </row>
    <row r="8063">
      <c r="A8063" s="49">
        <v>45105.953069641204</v>
      </c>
      <c r="B8063" s="50">
        <v>45106.0780481944</v>
      </c>
      <c r="C8063" s="51">
        <v>1.0</v>
      </c>
      <c r="D8063" s="51">
        <v>69.0</v>
      </c>
      <c r="E8063" s="52" t="s">
        <v>25</v>
      </c>
      <c r="F8063" s="52" t="s">
        <v>26</v>
      </c>
      <c r="G8063" s="54"/>
    </row>
    <row r="8064">
      <c r="A8064" s="49">
        <v>45105.96350366898</v>
      </c>
      <c r="B8064" s="50">
        <v>45106.0884716782</v>
      </c>
      <c r="C8064" s="51">
        <v>1.0</v>
      </c>
      <c r="D8064" s="51">
        <v>69.0</v>
      </c>
      <c r="E8064" s="52" t="s">
        <v>25</v>
      </c>
      <c r="F8064" s="52" t="s">
        <v>26</v>
      </c>
      <c r="G8064" s="54"/>
    </row>
    <row r="8065">
      <c r="A8065" s="49">
        <v>45105.97392548611</v>
      </c>
      <c r="B8065" s="50">
        <v>45106.098892118</v>
      </c>
      <c r="C8065" s="51">
        <v>1.0</v>
      </c>
      <c r="D8065" s="51">
        <v>69.0</v>
      </c>
      <c r="E8065" s="52" t="s">
        <v>25</v>
      </c>
      <c r="F8065" s="52" t="s">
        <v>26</v>
      </c>
      <c r="G8065" s="54"/>
    </row>
    <row r="8066">
      <c r="A8066" s="49">
        <v>45105.98433961805</v>
      </c>
      <c r="B8066" s="50">
        <v>45106.1093115277</v>
      </c>
      <c r="C8066" s="51">
        <v>1.0</v>
      </c>
      <c r="D8066" s="51">
        <v>69.0</v>
      </c>
      <c r="E8066" s="52" t="s">
        <v>25</v>
      </c>
      <c r="F8066" s="52" t="s">
        <v>26</v>
      </c>
      <c r="G8066" s="54"/>
    </row>
    <row r="8067">
      <c r="A8067" s="49">
        <v>45105.99476428241</v>
      </c>
      <c r="B8067" s="50">
        <v>45106.1197437731</v>
      </c>
      <c r="C8067" s="51">
        <v>1.0</v>
      </c>
      <c r="D8067" s="51">
        <v>69.0</v>
      </c>
      <c r="E8067" s="52" t="s">
        <v>25</v>
      </c>
      <c r="F8067" s="52" t="s">
        <v>26</v>
      </c>
      <c r="G8067" s="54"/>
    </row>
    <row r="8068">
      <c r="A8068" s="49">
        <v>45106.00519592593</v>
      </c>
      <c r="B8068" s="50">
        <v>45106.1301645833</v>
      </c>
      <c r="C8068" s="51">
        <v>1.0</v>
      </c>
      <c r="D8068" s="51">
        <v>69.0</v>
      </c>
      <c r="E8068" s="52" t="s">
        <v>25</v>
      </c>
      <c r="F8068" s="52" t="s">
        <v>26</v>
      </c>
      <c r="G8068" s="54"/>
    </row>
    <row r="8069">
      <c r="A8069" s="49">
        <v>45106.01562440972</v>
      </c>
      <c r="B8069" s="50">
        <v>45106.1405968634</v>
      </c>
      <c r="C8069" s="51">
        <v>1.0</v>
      </c>
      <c r="D8069" s="51">
        <v>69.0</v>
      </c>
      <c r="E8069" s="52" t="s">
        <v>25</v>
      </c>
      <c r="F8069" s="52" t="s">
        <v>26</v>
      </c>
      <c r="G8069" s="54"/>
    </row>
    <row r="8070">
      <c r="A8070" s="49">
        <v>45106.02604490741</v>
      </c>
      <c r="B8070" s="50">
        <v>45106.1510194328</v>
      </c>
      <c r="C8070" s="51">
        <v>1.0</v>
      </c>
      <c r="D8070" s="51">
        <v>69.0</v>
      </c>
      <c r="E8070" s="52" t="s">
        <v>25</v>
      </c>
      <c r="F8070" s="52" t="s">
        <v>26</v>
      </c>
      <c r="G8070" s="54"/>
    </row>
    <row r="8071">
      <c r="A8071" s="49">
        <v>45106.036479305556</v>
      </c>
      <c r="B8071" s="50">
        <v>45106.1614507638</v>
      </c>
      <c r="C8071" s="51">
        <v>1.0</v>
      </c>
      <c r="D8071" s="51">
        <v>69.0</v>
      </c>
      <c r="E8071" s="52" t="s">
        <v>25</v>
      </c>
      <c r="F8071" s="52" t="s">
        <v>26</v>
      </c>
      <c r="G8071" s="54"/>
    </row>
    <row r="8072">
      <c r="A8072" s="49">
        <v>45106.046902789356</v>
      </c>
      <c r="B8072" s="50">
        <v>45106.1718729513</v>
      </c>
      <c r="C8072" s="51">
        <v>1.0</v>
      </c>
      <c r="D8072" s="51">
        <v>69.0</v>
      </c>
      <c r="E8072" s="52" t="s">
        <v>25</v>
      </c>
      <c r="F8072" s="52" t="s">
        <v>26</v>
      </c>
      <c r="G8072" s="54"/>
    </row>
    <row r="8073">
      <c r="A8073" s="49">
        <v>45106.05731747685</v>
      </c>
      <c r="B8073" s="50">
        <v>45106.1822940277</v>
      </c>
      <c r="C8073" s="51">
        <v>1.0</v>
      </c>
      <c r="D8073" s="51">
        <v>69.0</v>
      </c>
      <c r="E8073" s="52" t="s">
        <v>25</v>
      </c>
      <c r="F8073" s="52" t="s">
        <v>26</v>
      </c>
      <c r="G8073" s="54"/>
    </row>
    <row r="8074">
      <c r="A8074" s="49">
        <v>45106.067743796295</v>
      </c>
      <c r="B8074" s="50">
        <v>45106.1927146296</v>
      </c>
      <c r="C8074" s="51">
        <v>1.0</v>
      </c>
      <c r="D8074" s="51">
        <v>69.0</v>
      </c>
      <c r="E8074" s="52" t="s">
        <v>25</v>
      </c>
      <c r="F8074" s="52" t="s">
        <v>26</v>
      </c>
      <c r="G8074" s="54"/>
    </row>
    <row r="8075">
      <c r="A8075" s="49">
        <v>45106.078178703705</v>
      </c>
      <c r="B8075" s="50">
        <v>45106.2031487384</v>
      </c>
      <c r="C8075" s="51">
        <v>1.0</v>
      </c>
      <c r="D8075" s="51">
        <v>69.0</v>
      </c>
      <c r="E8075" s="52" t="s">
        <v>25</v>
      </c>
      <c r="F8075" s="52" t="s">
        <v>26</v>
      </c>
      <c r="G8075" s="54"/>
    </row>
    <row r="8076">
      <c r="A8076" s="49">
        <v>45106.08860209491</v>
      </c>
      <c r="B8076" s="50">
        <v>45106.2135694097</v>
      </c>
      <c r="C8076" s="51">
        <v>1.0</v>
      </c>
      <c r="D8076" s="51">
        <v>69.0</v>
      </c>
      <c r="E8076" s="52" t="s">
        <v>25</v>
      </c>
      <c r="F8076" s="52" t="s">
        <v>26</v>
      </c>
      <c r="G8076" s="54"/>
    </row>
    <row r="8077">
      <c r="A8077" s="49">
        <v>45106.099020127316</v>
      </c>
      <c r="B8077" s="50">
        <v>45106.2239912615</v>
      </c>
      <c r="C8077" s="51">
        <v>1.0</v>
      </c>
      <c r="D8077" s="51">
        <v>69.0</v>
      </c>
      <c r="E8077" s="52" t="s">
        <v>25</v>
      </c>
      <c r="F8077" s="52" t="s">
        <v>26</v>
      </c>
      <c r="G8077" s="54"/>
    </row>
    <row r="8078">
      <c r="A8078" s="49">
        <v>45106.109455405094</v>
      </c>
      <c r="B8078" s="50">
        <v>45106.2344242361</v>
      </c>
      <c r="C8078" s="51">
        <v>1.0</v>
      </c>
      <c r="D8078" s="51">
        <v>69.0</v>
      </c>
      <c r="E8078" s="52" t="s">
        <v>25</v>
      </c>
      <c r="F8078" s="52" t="s">
        <v>26</v>
      </c>
      <c r="G8078" s="54"/>
    </row>
    <row r="8079">
      <c r="A8079" s="49">
        <v>45106.11986987268</v>
      </c>
      <c r="B8079" s="50">
        <v>45106.2448440046</v>
      </c>
      <c r="C8079" s="51">
        <v>1.0</v>
      </c>
      <c r="D8079" s="51">
        <v>69.0</v>
      </c>
      <c r="E8079" s="52" t="s">
        <v>25</v>
      </c>
      <c r="F8079" s="52" t="s">
        <v>26</v>
      </c>
      <c r="G8079" s="54"/>
    </row>
    <row r="8080">
      <c r="A8080" s="49">
        <v>45106.1302953125</v>
      </c>
      <c r="B8080" s="50">
        <v>45106.2552627777</v>
      </c>
      <c r="C8080" s="51">
        <v>1.0</v>
      </c>
      <c r="D8080" s="51">
        <v>69.0</v>
      </c>
      <c r="E8080" s="52" t="s">
        <v>25</v>
      </c>
      <c r="F8080" s="52" t="s">
        <v>26</v>
      </c>
      <c r="G8080" s="54"/>
    </row>
    <row r="8081">
      <c r="A8081" s="49">
        <v>45106.14071356482</v>
      </c>
      <c r="B8081" s="50">
        <v>45106.2656838888</v>
      </c>
      <c r="C8081" s="51">
        <v>1.0</v>
      </c>
      <c r="D8081" s="51">
        <v>69.0</v>
      </c>
      <c r="E8081" s="52" t="s">
        <v>25</v>
      </c>
      <c r="F8081" s="52" t="s">
        <v>26</v>
      </c>
      <c r="G8081" s="54"/>
    </row>
    <row r="8082">
      <c r="A8082" s="49">
        <v>45106.151150543985</v>
      </c>
      <c r="B8082" s="50">
        <v>45106.2761151736</v>
      </c>
      <c r="C8082" s="51">
        <v>1.0</v>
      </c>
      <c r="D8082" s="51">
        <v>69.0</v>
      </c>
      <c r="E8082" s="52" t="s">
        <v>25</v>
      </c>
      <c r="F8082" s="52" t="s">
        <v>26</v>
      </c>
      <c r="G8082" s="54"/>
    </row>
    <row r="8083">
      <c r="A8083" s="49">
        <v>45106.16156069444</v>
      </c>
      <c r="B8083" s="50">
        <v>45106.2865361342</v>
      </c>
      <c r="C8083" s="51">
        <v>1.0</v>
      </c>
      <c r="D8083" s="51">
        <v>69.0</v>
      </c>
      <c r="E8083" s="52" t="s">
        <v>25</v>
      </c>
      <c r="F8083" s="52" t="s">
        <v>26</v>
      </c>
      <c r="G8083" s="54"/>
    </row>
    <row r="8084">
      <c r="A8084" s="49">
        <v>45106.17198932871</v>
      </c>
      <c r="B8084" s="50">
        <v>45106.2969571064</v>
      </c>
      <c r="C8084" s="51">
        <v>1.0</v>
      </c>
      <c r="D8084" s="51">
        <v>69.0</v>
      </c>
      <c r="E8084" s="52" t="s">
        <v>25</v>
      </c>
      <c r="F8084" s="52" t="s">
        <v>26</v>
      </c>
      <c r="G8084" s="54"/>
    </row>
    <row r="8085">
      <c r="A8085" s="49">
        <v>45106.182403032406</v>
      </c>
      <c r="B8085" s="50">
        <v>45106.307379618</v>
      </c>
      <c r="C8085" s="51">
        <v>1.0</v>
      </c>
      <c r="D8085" s="51">
        <v>69.0</v>
      </c>
      <c r="E8085" s="52" t="s">
        <v>25</v>
      </c>
      <c r="F8085" s="52" t="s">
        <v>26</v>
      </c>
      <c r="G8085" s="54"/>
    </row>
    <row r="8086">
      <c r="A8086" s="49">
        <v>45106.19283076389</v>
      </c>
      <c r="B8086" s="50">
        <v>45106.3178014351</v>
      </c>
      <c r="C8086" s="51">
        <v>1.0</v>
      </c>
      <c r="D8086" s="51">
        <v>69.0</v>
      </c>
      <c r="E8086" s="52" t="s">
        <v>25</v>
      </c>
      <c r="F8086" s="52" t="s">
        <v>26</v>
      </c>
      <c r="G8086" s="54"/>
    </row>
    <row r="8087">
      <c r="A8087" s="49">
        <v>45106.20325443287</v>
      </c>
      <c r="B8087" s="50">
        <v>45106.3282217013</v>
      </c>
      <c r="C8087" s="51">
        <v>1.0</v>
      </c>
      <c r="D8087" s="51">
        <v>69.0</v>
      </c>
      <c r="E8087" s="52" t="s">
        <v>25</v>
      </c>
      <c r="F8087" s="52" t="s">
        <v>26</v>
      </c>
      <c r="G8087" s="54"/>
    </row>
    <row r="8088">
      <c r="A8088" s="49">
        <v>45106.21367506945</v>
      </c>
      <c r="B8088" s="50">
        <v>45106.3386443171</v>
      </c>
      <c r="C8088" s="51">
        <v>1.0</v>
      </c>
      <c r="D8088" s="51">
        <v>69.0</v>
      </c>
      <c r="E8088" s="52" t="s">
        <v>25</v>
      </c>
      <c r="F8088" s="52" t="s">
        <v>26</v>
      </c>
      <c r="G8088" s="54"/>
    </row>
    <row r="8089">
      <c r="A8089" s="49">
        <v>45106.2345178588</v>
      </c>
      <c r="B8089" s="50">
        <v>45106.3594883101</v>
      </c>
      <c r="C8089" s="51">
        <v>1.0</v>
      </c>
      <c r="D8089" s="51">
        <v>69.0</v>
      </c>
      <c r="E8089" s="52" t="s">
        <v>25</v>
      </c>
      <c r="F8089" s="52" t="s">
        <v>26</v>
      </c>
      <c r="G8089" s="54"/>
    </row>
    <row r="8090">
      <c r="A8090" s="49">
        <v>45106.2449406713</v>
      </c>
      <c r="B8090" s="50">
        <v>45106.3699102314</v>
      </c>
      <c r="C8090" s="51">
        <v>1.0</v>
      </c>
      <c r="D8090" s="51">
        <v>69.0</v>
      </c>
      <c r="E8090" s="52" t="s">
        <v>25</v>
      </c>
      <c r="F8090" s="52" t="s">
        <v>26</v>
      </c>
      <c r="G8090" s="54"/>
    </row>
    <row r="8091">
      <c r="A8091" s="49">
        <v>45106.255377291665</v>
      </c>
      <c r="B8091" s="50">
        <v>45106.3803433333</v>
      </c>
      <c r="C8091" s="51">
        <v>1.0</v>
      </c>
      <c r="D8091" s="51">
        <v>69.0</v>
      </c>
      <c r="E8091" s="52" t="s">
        <v>25</v>
      </c>
      <c r="F8091" s="52" t="s">
        <v>26</v>
      </c>
      <c r="G8091" s="54"/>
    </row>
    <row r="8092">
      <c r="A8092" s="49">
        <v>45106.26582564815</v>
      </c>
      <c r="B8092" s="50">
        <v>45106.3907992476</v>
      </c>
      <c r="C8092" s="51">
        <v>1.0</v>
      </c>
      <c r="D8092" s="51">
        <v>69.0</v>
      </c>
      <c r="E8092" s="52" t="s">
        <v>25</v>
      </c>
      <c r="F8092" s="52" t="s">
        <v>26</v>
      </c>
      <c r="G8092" s="54"/>
    </row>
    <row r="8093">
      <c r="A8093" s="49">
        <v>45106.27638951389</v>
      </c>
      <c r="B8093" s="50">
        <v>45106.4012179051</v>
      </c>
      <c r="C8093" s="51">
        <v>1.0</v>
      </c>
      <c r="D8093" s="51">
        <v>69.0</v>
      </c>
      <c r="E8093" s="52" t="s">
        <v>25</v>
      </c>
      <c r="F8093" s="52" t="s">
        <v>26</v>
      </c>
      <c r="G8093" s="54"/>
    </row>
    <row r="8094">
      <c r="A8094" s="49">
        <v>45106.28667320602</v>
      </c>
      <c r="B8094" s="50">
        <v>45106.4116522916</v>
      </c>
      <c r="C8094" s="51">
        <v>1.0</v>
      </c>
      <c r="D8094" s="51">
        <v>69.0</v>
      </c>
      <c r="E8094" s="52" t="s">
        <v>25</v>
      </c>
      <c r="F8094" s="52" t="s">
        <v>26</v>
      </c>
      <c r="G8094" s="54"/>
    </row>
    <row r="8095">
      <c r="A8095" s="49">
        <v>45106.29711696759</v>
      </c>
      <c r="B8095" s="50">
        <v>45106.4220844444</v>
      </c>
      <c r="C8095" s="51">
        <v>1.0</v>
      </c>
      <c r="D8095" s="51">
        <v>69.0</v>
      </c>
      <c r="E8095" s="52" t="s">
        <v>25</v>
      </c>
      <c r="F8095" s="52" t="s">
        <v>26</v>
      </c>
      <c r="G8095" s="54"/>
    </row>
    <row r="8096">
      <c r="A8096" s="49">
        <v>45106.30753380787</v>
      </c>
      <c r="B8096" s="50">
        <v>45106.4325065972</v>
      </c>
      <c r="C8096" s="51">
        <v>1.0</v>
      </c>
      <c r="D8096" s="51">
        <v>69.0</v>
      </c>
      <c r="E8096" s="52" t="s">
        <v>25</v>
      </c>
      <c r="F8096" s="52" t="s">
        <v>26</v>
      </c>
      <c r="G8096" s="54"/>
    </row>
    <row r="8097">
      <c r="A8097" s="49">
        <v>45106.31795170139</v>
      </c>
      <c r="B8097" s="50">
        <v>45106.4429261226</v>
      </c>
      <c r="C8097" s="51">
        <v>1.0</v>
      </c>
      <c r="D8097" s="51">
        <v>69.0</v>
      </c>
      <c r="E8097" s="52" t="s">
        <v>25</v>
      </c>
      <c r="F8097" s="52" t="s">
        <v>26</v>
      </c>
      <c r="G8097" s="54"/>
    </row>
    <row r="8098">
      <c r="A8098" s="49">
        <v>45106.32837753472</v>
      </c>
      <c r="B8098" s="50">
        <v>45106.4533475694</v>
      </c>
      <c r="C8098" s="51">
        <v>1.0</v>
      </c>
      <c r="D8098" s="51">
        <v>69.0</v>
      </c>
      <c r="E8098" s="52" t="s">
        <v>25</v>
      </c>
      <c r="F8098" s="52" t="s">
        <v>26</v>
      </c>
      <c r="G8098" s="54"/>
    </row>
    <row r="8099">
      <c r="A8099" s="49">
        <v>45106.338797372686</v>
      </c>
      <c r="B8099" s="50">
        <v>45106.4637675926</v>
      </c>
      <c r="C8099" s="51">
        <v>1.0</v>
      </c>
      <c r="D8099" s="51">
        <v>69.0</v>
      </c>
      <c r="E8099" s="52" t="s">
        <v>25</v>
      </c>
      <c r="F8099" s="52" t="s">
        <v>26</v>
      </c>
      <c r="G8099" s="54"/>
    </row>
    <row r="8100">
      <c r="A8100" s="49">
        <v>45106.34921236111</v>
      </c>
      <c r="B8100" s="50">
        <v>45106.474189618</v>
      </c>
      <c r="C8100" s="51">
        <v>1.0</v>
      </c>
      <c r="D8100" s="51">
        <v>69.0</v>
      </c>
      <c r="E8100" s="52" t="s">
        <v>25</v>
      </c>
      <c r="F8100" s="52" t="s">
        <v>26</v>
      </c>
      <c r="G8100" s="54"/>
    </row>
    <row r="8101">
      <c r="A8101" s="49">
        <v>45106.359644675926</v>
      </c>
      <c r="B8101" s="50">
        <v>45106.4846204398</v>
      </c>
      <c r="C8101" s="51">
        <v>1.0</v>
      </c>
      <c r="D8101" s="51">
        <v>69.0</v>
      </c>
      <c r="E8101" s="52" t="s">
        <v>25</v>
      </c>
      <c r="F8101" s="52" t="s">
        <v>26</v>
      </c>
      <c r="G8101" s="54"/>
    </row>
    <row r="8102">
      <c r="A8102" s="49">
        <v>45106.37006611111</v>
      </c>
      <c r="B8102" s="50">
        <v>45106.4950411458</v>
      </c>
      <c r="C8102" s="51">
        <v>1.0</v>
      </c>
      <c r="D8102" s="51">
        <v>69.0</v>
      </c>
      <c r="E8102" s="52" t="s">
        <v>25</v>
      </c>
      <c r="F8102" s="52" t="s">
        <v>26</v>
      </c>
      <c r="G8102" s="54"/>
    </row>
    <row r="8103">
      <c r="A8103" s="49">
        <v>45106.38051436342</v>
      </c>
      <c r="B8103" s="50">
        <v>45106.5054856828</v>
      </c>
      <c r="C8103" s="51">
        <v>1.0</v>
      </c>
      <c r="D8103" s="51">
        <v>69.0</v>
      </c>
      <c r="E8103" s="52" t="s">
        <v>25</v>
      </c>
      <c r="F8103" s="52" t="s">
        <v>26</v>
      </c>
      <c r="G8103" s="54"/>
    </row>
    <row r="8104">
      <c r="A8104" s="49">
        <v>45106.390950960646</v>
      </c>
      <c r="B8104" s="50">
        <v>45106.5159178009</v>
      </c>
      <c r="C8104" s="51">
        <v>1.0</v>
      </c>
      <c r="D8104" s="51">
        <v>69.0</v>
      </c>
      <c r="E8104" s="52" t="s">
        <v>25</v>
      </c>
      <c r="F8104" s="52" t="s">
        <v>26</v>
      </c>
      <c r="G8104" s="54"/>
    </row>
    <row r="8105">
      <c r="A8105" s="49">
        <v>45106.40136667824</v>
      </c>
      <c r="B8105" s="50">
        <v>45106.5263382176</v>
      </c>
      <c r="C8105" s="51">
        <v>1.0</v>
      </c>
      <c r="D8105" s="51">
        <v>69.0</v>
      </c>
      <c r="E8105" s="52" t="s">
        <v>25</v>
      </c>
      <c r="F8105" s="52" t="s">
        <v>26</v>
      </c>
      <c r="G8105" s="54"/>
    </row>
    <row r="8106">
      <c r="A8106" s="49">
        <v>45106.41178887732</v>
      </c>
      <c r="B8106" s="50">
        <v>45106.5367593865</v>
      </c>
      <c r="C8106" s="51">
        <v>1.0</v>
      </c>
      <c r="D8106" s="51">
        <v>69.0</v>
      </c>
      <c r="E8106" s="52" t="s">
        <v>25</v>
      </c>
      <c r="F8106" s="52" t="s">
        <v>26</v>
      </c>
      <c r="G8106" s="54"/>
    </row>
    <row r="8107">
      <c r="A8107" s="49">
        <v>45106.42220821759</v>
      </c>
      <c r="B8107" s="50">
        <v>45106.5471802662</v>
      </c>
      <c r="C8107" s="51">
        <v>1.0</v>
      </c>
      <c r="D8107" s="51">
        <v>69.0</v>
      </c>
      <c r="E8107" s="52" t="s">
        <v>25</v>
      </c>
      <c r="F8107" s="52" t="s">
        <v>26</v>
      </c>
      <c r="G8107" s="54"/>
    </row>
    <row r="8108">
      <c r="A8108" s="49">
        <v>45106.43262918982</v>
      </c>
      <c r="B8108" s="50">
        <v>45106.5576038657</v>
      </c>
      <c r="C8108" s="51">
        <v>1.0</v>
      </c>
      <c r="D8108" s="51">
        <v>69.0</v>
      </c>
      <c r="E8108" s="52" t="s">
        <v>25</v>
      </c>
      <c r="F8108" s="52" t="s">
        <v>26</v>
      </c>
      <c r="G8108" s="54"/>
    </row>
    <row r="8109">
      <c r="A8109" s="49">
        <v>45106.4430534375</v>
      </c>
      <c r="B8109" s="50">
        <v>45106.568026412</v>
      </c>
      <c r="C8109" s="51">
        <v>1.0</v>
      </c>
      <c r="D8109" s="51">
        <v>69.0</v>
      </c>
      <c r="E8109" s="52" t="s">
        <v>25</v>
      </c>
      <c r="F8109" s="52" t="s">
        <v>26</v>
      </c>
      <c r="G8109" s="54"/>
    </row>
    <row r="8110">
      <c r="A8110" s="49">
        <v>45106.45348383102</v>
      </c>
      <c r="B8110" s="50">
        <v>45106.5784579861</v>
      </c>
      <c r="C8110" s="51">
        <v>1.0</v>
      </c>
      <c r="D8110" s="51">
        <v>69.0</v>
      </c>
      <c r="E8110" s="52" t="s">
        <v>25</v>
      </c>
      <c r="F8110" s="52" t="s">
        <v>26</v>
      </c>
      <c r="G8110" s="54"/>
    </row>
    <row r="8111">
      <c r="A8111" s="49">
        <v>45106.463928599536</v>
      </c>
      <c r="B8111" s="50">
        <v>45106.5888916087</v>
      </c>
      <c r="C8111" s="51">
        <v>1.0</v>
      </c>
      <c r="D8111" s="51">
        <v>69.0</v>
      </c>
      <c r="E8111" s="52" t="s">
        <v>25</v>
      </c>
      <c r="F8111" s="52" t="s">
        <v>26</v>
      </c>
      <c r="G8111" s="54"/>
    </row>
    <row r="8112">
      <c r="A8112" s="49">
        <v>45106.47435563657</v>
      </c>
      <c r="B8112" s="50">
        <v>45106.5993236226</v>
      </c>
      <c r="C8112" s="51">
        <v>1.0</v>
      </c>
      <c r="D8112" s="51">
        <v>69.0</v>
      </c>
      <c r="E8112" s="52" t="s">
        <v>25</v>
      </c>
      <c r="F8112" s="52" t="s">
        <v>26</v>
      </c>
      <c r="G8112" s="54"/>
    </row>
    <row r="8113">
      <c r="A8113" s="49">
        <v>45106.48476520833</v>
      </c>
      <c r="B8113" s="50">
        <v>45106.6097451273</v>
      </c>
      <c r="C8113" s="51">
        <v>1.0</v>
      </c>
      <c r="D8113" s="51">
        <v>69.0</v>
      </c>
      <c r="E8113" s="52" t="s">
        <v>25</v>
      </c>
      <c r="F8113" s="52" t="s">
        <v>26</v>
      </c>
      <c r="G8113" s="54"/>
    </row>
    <row r="8114">
      <c r="A8114" s="49">
        <v>45106.49519706018</v>
      </c>
      <c r="B8114" s="50">
        <v>45106.6201661921</v>
      </c>
      <c r="C8114" s="51">
        <v>1.0</v>
      </c>
      <c r="D8114" s="51">
        <v>69.0</v>
      </c>
      <c r="E8114" s="52" t="s">
        <v>25</v>
      </c>
      <c r="F8114" s="52" t="s">
        <v>26</v>
      </c>
      <c r="G8114" s="54"/>
    </row>
    <row r="8115">
      <c r="A8115" s="49">
        <v>45106.50562251157</v>
      </c>
      <c r="B8115" s="50">
        <v>45106.6305882986</v>
      </c>
      <c r="C8115" s="51">
        <v>1.0</v>
      </c>
      <c r="D8115" s="51">
        <v>69.0</v>
      </c>
      <c r="E8115" s="52" t="s">
        <v>25</v>
      </c>
      <c r="F8115" s="52" t="s">
        <v>26</v>
      </c>
      <c r="G8115" s="54"/>
    </row>
    <row r="8116">
      <c r="A8116" s="49">
        <v>45106.51604292824</v>
      </c>
      <c r="B8116" s="50">
        <v>45106.6410103009</v>
      </c>
      <c r="C8116" s="51">
        <v>1.0</v>
      </c>
      <c r="D8116" s="51">
        <v>69.0</v>
      </c>
      <c r="E8116" s="52" t="s">
        <v>25</v>
      </c>
      <c r="F8116" s="52" t="s">
        <v>26</v>
      </c>
      <c r="G8116" s="54"/>
    </row>
    <row r="8117">
      <c r="A8117" s="49">
        <v>45106.52645070602</v>
      </c>
      <c r="B8117" s="50">
        <v>45106.651429618</v>
      </c>
      <c r="C8117" s="51">
        <v>1.0</v>
      </c>
      <c r="D8117" s="51">
        <v>69.0</v>
      </c>
      <c r="E8117" s="52" t="s">
        <v>25</v>
      </c>
      <c r="F8117" s="52" t="s">
        <v>26</v>
      </c>
      <c r="G8117" s="54"/>
    </row>
    <row r="8118">
      <c r="A8118" s="49">
        <v>45106.53688572916</v>
      </c>
      <c r="B8118" s="50">
        <v>45106.6618504398</v>
      </c>
      <c r="C8118" s="51">
        <v>1.0</v>
      </c>
      <c r="D8118" s="51">
        <v>69.0</v>
      </c>
      <c r="E8118" s="52" t="s">
        <v>25</v>
      </c>
      <c r="F8118" s="52" t="s">
        <v>26</v>
      </c>
      <c r="G8118" s="54"/>
    </row>
    <row r="8119">
      <c r="A8119" s="49">
        <v>45106.54729980324</v>
      </c>
      <c r="B8119" s="50">
        <v>45106.672270324</v>
      </c>
      <c r="C8119" s="51">
        <v>1.0</v>
      </c>
      <c r="D8119" s="51">
        <v>69.0</v>
      </c>
      <c r="E8119" s="52" t="s">
        <v>25</v>
      </c>
      <c r="F8119" s="52" t="s">
        <v>26</v>
      </c>
      <c r="G8119" s="54"/>
    </row>
    <row r="8120">
      <c r="A8120" s="49">
        <v>45106.557727465275</v>
      </c>
      <c r="B8120" s="50">
        <v>45106.6827037384</v>
      </c>
      <c r="C8120" s="51">
        <v>1.0</v>
      </c>
      <c r="D8120" s="51">
        <v>69.0</v>
      </c>
      <c r="E8120" s="52" t="s">
        <v>25</v>
      </c>
      <c r="F8120" s="52" t="s">
        <v>26</v>
      </c>
      <c r="G8120" s="54"/>
    </row>
    <row r="8121">
      <c r="A8121" s="49">
        <v>45106.56816076388</v>
      </c>
      <c r="B8121" s="50">
        <v>45106.6931240046</v>
      </c>
      <c r="C8121" s="51">
        <v>1.0</v>
      </c>
      <c r="D8121" s="51">
        <v>69.0</v>
      </c>
      <c r="E8121" s="52" t="s">
        <v>25</v>
      </c>
      <c r="F8121" s="52" t="s">
        <v>26</v>
      </c>
      <c r="G8121" s="54"/>
    </row>
    <row r="8122">
      <c r="A8122" s="49">
        <v>45106.57857222222</v>
      </c>
      <c r="B8122" s="50">
        <v>45106.703544537</v>
      </c>
      <c r="C8122" s="51">
        <v>1.0</v>
      </c>
      <c r="D8122" s="51">
        <v>69.0</v>
      </c>
      <c r="E8122" s="52" t="s">
        <v>25</v>
      </c>
      <c r="F8122" s="52" t="s">
        <v>26</v>
      </c>
      <c r="G8122" s="54"/>
    </row>
    <row r="8123">
      <c r="A8123" s="49">
        <v>45106.588991145836</v>
      </c>
      <c r="B8123" s="50">
        <v>45106.7139656944</v>
      </c>
      <c r="C8123" s="51">
        <v>1.0</v>
      </c>
      <c r="D8123" s="51">
        <v>69.0</v>
      </c>
      <c r="E8123" s="52" t="s">
        <v>25</v>
      </c>
      <c r="F8123" s="52" t="s">
        <v>26</v>
      </c>
      <c r="G8123" s="54"/>
    </row>
    <row r="8124">
      <c r="A8124" s="49">
        <v>45106.59941520833</v>
      </c>
      <c r="B8124" s="50">
        <v>45106.7243852662</v>
      </c>
      <c r="C8124" s="51">
        <v>1.0</v>
      </c>
      <c r="D8124" s="51">
        <v>69.0</v>
      </c>
      <c r="E8124" s="52" t="s">
        <v>25</v>
      </c>
      <c r="F8124" s="52" t="s">
        <v>26</v>
      </c>
      <c r="G8124" s="54"/>
    </row>
    <row r="8125">
      <c r="A8125" s="49">
        <v>45106.60983822917</v>
      </c>
      <c r="B8125" s="50">
        <v>45106.7348077199</v>
      </c>
      <c r="C8125" s="51">
        <v>1.0</v>
      </c>
      <c r="D8125" s="51">
        <v>69.0</v>
      </c>
      <c r="E8125" s="52" t="s">
        <v>25</v>
      </c>
      <c r="F8125" s="52" t="s">
        <v>26</v>
      </c>
      <c r="G8125" s="54"/>
    </row>
    <row r="8126">
      <c r="A8126" s="49">
        <v>45106.62026861111</v>
      </c>
      <c r="B8126" s="50">
        <v>45106.7452288425</v>
      </c>
      <c r="C8126" s="51">
        <v>1.0</v>
      </c>
      <c r="D8126" s="51">
        <v>69.0</v>
      </c>
      <c r="E8126" s="52" t="s">
        <v>25</v>
      </c>
      <c r="F8126" s="52" t="s">
        <v>26</v>
      </c>
      <c r="G8126" s="54"/>
    </row>
    <row r="8127">
      <c r="A8127" s="49">
        <v>45106.63069032408</v>
      </c>
      <c r="B8127" s="50">
        <v>45106.7556627199</v>
      </c>
      <c r="C8127" s="51">
        <v>1.0</v>
      </c>
      <c r="D8127" s="51">
        <v>69.0</v>
      </c>
      <c r="E8127" s="52" t="s">
        <v>25</v>
      </c>
      <c r="F8127" s="52" t="s">
        <v>26</v>
      </c>
      <c r="G8127" s="54"/>
    </row>
    <row r="8128">
      <c r="A8128" s="49">
        <v>45106.64116103009</v>
      </c>
      <c r="B8128" s="50">
        <v>45106.7661299768</v>
      </c>
      <c r="C8128" s="51">
        <v>1.0</v>
      </c>
      <c r="D8128" s="51">
        <v>69.0</v>
      </c>
      <c r="E8128" s="52" t="s">
        <v>25</v>
      </c>
      <c r="F8128" s="52" t="s">
        <v>26</v>
      </c>
      <c r="G8128" s="54"/>
    </row>
    <row r="8129">
      <c r="A8129" s="49">
        <v>45106.651582349536</v>
      </c>
      <c r="B8129" s="50">
        <v>45106.7765501388</v>
      </c>
      <c r="C8129" s="51">
        <v>1.0</v>
      </c>
      <c r="D8129" s="51">
        <v>69.0</v>
      </c>
      <c r="E8129" s="52" t="s">
        <v>25</v>
      </c>
      <c r="F8129" s="52" t="s">
        <v>26</v>
      </c>
      <c r="G8129" s="54"/>
    </row>
    <row r="8130">
      <c r="A8130" s="49">
        <v>45106.66199363426</v>
      </c>
      <c r="B8130" s="50">
        <v>45106.7869716898</v>
      </c>
      <c r="C8130" s="51">
        <v>1.0</v>
      </c>
      <c r="D8130" s="51">
        <v>69.0</v>
      </c>
      <c r="E8130" s="52" t="s">
        <v>25</v>
      </c>
      <c r="F8130" s="52" t="s">
        <v>26</v>
      </c>
      <c r="G8130" s="54"/>
    </row>
    <row r="8131">
      <c r="A8131" s="49">
        <v>45106.67242304399</v>
      </c>
      <c r="B8131" s="50">
        <v>45106.7973927893</v>
      </c>
      <c r="C8131" s="51">
        <v>1.0</v>
      </c>
      <c r="D8131" s="51">
        <v>69.0</v>
      </c>
      <c r="E8131" s="52" t="s">
        <v>25</v>
      </c>
      <c r="F8131" s="52" t="s">
        <v>26</v>
      </c>
      <c r="G8131" s="54"/>
    </row>
    <row r="8132">
      <c r="A8132" s="49">
        <v>45106.682835451385</v>
      </c>
      <c r="B8132" s="50">
        <v>45106.8078137037</v>
      </c>
      <c r="C8132" s="51">
        <v>1.0</v>
      </c>
      <c r="D8132" s="51">
        <v>69.0</v>
      </c>
      <c r="E8132" s="52" t="s">
        <v>25</v>
      </c>
      <c r="F8132" s="52" t="s">
        <v>26</v>
      </c>
      <c r="G8132" s="54"/>
    </row>
    <row r="8133">
      <c r="A8133" s="49">
        <v>45106.693263946756</v>
      </c>
      <c r="B8133" s="50">
        <v>45106.8182348263</v>
      </c>
      <c r="C8133" s="51">
        <v>1.0</v>
      </c>
      <c r="D8133" s="51">
        <v>69.0</v>
      </c>
      <c r="E8133" s="52" t="s">
        <v>25</v>
      </c>
      <c r="F8133" s="52" t="s">
        <v>26</v>
      </c>
      <c r="G8133" s="54"/>
    </row>
    <row r="8134">
      <c r="A8134" s="49">
        <v>45106.70368520833</v>
      </c>
      <c r="B8134" s="50">
        <v>45106.8286566088</v>
      </c>
      <c r="C8134" s="51">
        <v>1.0</v>
      </c>
      <c r="D8134" s="51">
        <v>69.0</v>
      </c>
      <c r="E8134" s="52" t="s">
        <v>25</v>
      </c>
      <c r="F8134" s="52" t="s">
        <v>26</v>
      </c>
      <c r="G8134" s="54"/>
    </row>
    <row r="8135">
      <c r="A8135" s="49">
        <v>45106.714105810184</v>
      </c>
      <c r="B8135" s="50">
        <v>45106.8390762963</v>
      </c>
      <c r="C8135" s="51">
        <v>1.0</v>
      </c>
      <c r="D8135" s="51">
        <v>69.0</v>
      </c>
      <c r="E8135" s="52" t="s">
        <v>25</v>
      </c>
      <c r="F8135" s="52" t="s">
        <v>26</v>
      </c>
      <c r="G8135" s="54"/>
    </row>
    <row r="8136">
      <c r="A8136" s="49">
        <v>45106.7245405787</v>
      </c>
      <c r="B8136" s="50">
        <v>45106.8495095254</v>
      </c>
      <c r="C8136" s="51">
        <v>1.0</v>
      </c>
      <c r="D8136" s="51">
        <v>69.0</v>
      </c>
      <c r="E8136" s="52" t="s">
        <v>25</v>
      </c>
      <c r="F8136" s="52" t="s">
        <v>26</v>
      </c>
      <c r="G8136" s="54"/>
    </row>
    <row r="8137">
      <c r="A8137" s="49">
        <v>45106.73497013889</v>
      </c>
      <c r="B8137" s="50">
        <v>45106.8599413888</v>
      </c>
      <c r="C8137" s="51">
        <v>1.0</v>
      </c>
      <c r="D8137" s="51">
        <v>69.0</v>
      </c>
      <c r="E8137" s="52" t="s">
        <v>25</v>
      </c>
      <c r="F8137" s="52" t="s">
        <v>26</v>
      </c>
      <c r="G8137" s="54"/>
    </row>
    <row r="8138">
      <c r="A8138" s="49">
        <v>45106.745404201385</v>
      </c>
      <c r="B8138" s="50">
        <v>45106.8703724537</v>
      </c>
      <c r="C8138" s="51">
        <v>1.0</v>
      </c>
      <c r="D8138" s="51">
        <v>69.0</v>
      </c>
      <c r="E8138" s="52" t="s">
        <v>25</v>
      </c>
      <c r="F8138" s="52" t="s">
        <v>26</v>
      </c>
      <c r="G8138" s="54"/>
    </row>
    <row r="8139">
      <c r="A8139" s="49">
        <v>45106.755829155096</v>
      </c>
      <c r="B8139" s="50">
        <v>45106.8807944676</v>
      </c>
      <c r="C8139" s="51">
        <v>1.0</v>
      </c>
      <c r="D8139" s="51">
        <v>69.0</v>
      </c>
      <c r="E8139" s="52" t="s">
        <v>25</v>
      </c>
      <c r="F8139" s="52" t="s">
        <v>26</v>
      </c>
      <c r="G8139" s="54"/>
    </row>
    <row r="8140">
      <c r="A8140" s="49">
        <v>45106.76624759259</v>
      </c>
      <c r="B8140" s="50">
        <v>45106.8912150926</v>
      </c>
      <c r="C8140" s="51">
        <v>1.0</v>
      </c>
      <c r="D8140" s="51">
        <v>69.0</v>
      </c>
      <c r="E8140" s="52" t="s">
        <v>25</v>
      </c>
      <c r="F8140" s="52" t="s">
        <v>26</v>
      </c>
      <c r="G8140" s="54"/>
    </row>
    <row r="8141">
      <c r="A8141" s="49">
        <v>45106.77666527778</v>
      </c>
      <c r="B8141" s="50">
        <v>45106.9016372106</v>
      </c>
      <c r="C8141" s="51">
        <v>1.0</v>
      </c>
      <c r="D8141" s="51">
        <v>69.0</v>
      </c>
      <c r="E8141" s="52" t="s">
        <v>25</v>
      </c>
      <c r="F8141" s="52" t="s">
        <v>26</v>
      </c>
      <c r="G8141" s="54"/>
    </row>
    <row r="8142">
      <c r="A8142" s="49">
        <v>45106.78708204861</v>
      </c>
      <c r="B8142" s="50">
        <v>45106.9120573379</v>
      </c>
      <c r="C8142" s="51">
        <v>1.0</v>
      </c>
      <c r="D8142" s="51">
        <v>69.0</v>
      </c>
      <c r="E8142" s="52" t="s">
        <v>25</v>
      </c>
      <c r="F8142" s="52" t="s">
        <v>26</v>
      </c>
      <c r="G8142" s="54"/>
    </row>
    <row r="8143">
      <c r="A8143" s="49">
        <v>45106.797502256944</v>
      </c>
      <c r="B8143" s="50">
        <v>45106.9224789351</v>
      </c>
      <c r="C8143" s="51">
        <v>1.0</v>
      </c>
      <c r="D8143" s="51">
        <v>69.0</v>
      </c>
      <c r="E8143" s="52" t="s">
        <v>25</v>
      </c>
      <c r="F8143" s="52" t="s">
        <v>26</v>
      </c>
      <c r="G8143" s="54"/>
    </row>
    <row r="8144">
      <c r="A8144" s="49">
        <v>45106.807945532404</v>
      </c>
      <c r="B8144" s="50">
        <v>45106.9329118171</v>
      </c>
      <c r="C8144" s="51">
        <v>1.0</v>
      </c>
      <c r="D8144" s="51">
        <v>69.0</v>
      </c>
      <c r="E8144" s="52" t="s">
        <v>25</v>
      </c>
      <c r="F8144" s="52" t="s">
        <v>26</v>
      </c>
      <c r="G8144" s="54"/>
    </row>
    <row r="8145">
      <c r="A8145" s="49">
        <v>45106.818362245365</v>
      </c>
      <c r="B8145" s="50">
        <v>45106.9433345486</v>
      </c>
      <c r="C8145" s="51">
        <v>1.0</v>
      </c>
      <c r="D8145" s="51">
        <v>69.0</v>
      </c>
      <c r="E8145" s="52" t="s">
        <v>25</v>
      </c>
      <c r="F8145" s="52" t="s">
        <v>26</v>
      </c>
      <c r="G8145" s="54"/>
    </row>
    <row r="8146">
      <c r="A8146" s="49">
        <v>45106.82879784722</v>
      </c>
      <c r="B8146" s="50">
        <v>45106.9537793402</v>
      </c>
      <c r="C8146" s="51">
        <v>1.0</v>
      </c>
      <c r="D8146" s="51">
        <v>69.0</v>
      </c>
      <c r="E8146" s="52" t="s">
        <v>25</v>
      </c>
      <c r="F8146" s="52" t="s">
        <v>26</v>
      </c>
      <c r="G8146" s="54"/>
    </row>
    <row r="8147">
      <c r="A8147" s="49">
        <v>45106.83924498843</v>
      </c>
      <c r="B8147" s="50">
        <v>45106.964223831</v>
      </c>
      <c r="C8147" s="51">
        <v>1.0</v>
      </c>
      <c r="D8147" s="51">
        <v>69.0</v>
      </c>
      <c r="E8147" s="52" t="s">
        <v>25</v>
      </c>
      <c r="F8147" s="52" t="s">
        <v>26</v>
      </c>
      <c r="G8147" s="54"/>
    </row>
    <row r="8148">
      <c r="A8148" s="49">
        <v>45106.84966587963</v>
      </c>
      <c r="B8148" s="50">
        <v>45106.9746454976</v>
      </c>
      <c r="C8148" s="51">
        <v>1.0</v>
      </c>
      <c r="D8148" s="51">
        <v>69.0</v>
      </c>
      <c r="E8148" s="52" t="s">
        <v>25</v>
      </c>
      <c r="F8148" s="52" t="s">
        <v>26</v>
      </c>
      <c r="G8148" s="54"/>
    </row>
    <row r="8149">
      <c r="A8149" s="49">
        <v>45106.86008893518</v>
      </c>
      <c r="B8149" s="50">
        <v>45106.9850656597</v>
      </c>
      <c r="C8149" s="51">
        <v>1.0</v>
      </c>
      <c r="D8149" s="51">
        <v>69.0</v>
      </c>
      <c r="E8149" s="52" t="s">
        <v>25</v>
      </c>
      <c r="F8149" s="52" t="s">
        <v>26</v>
      </c>
      <c r="G8149" s="54"/>
    </row>
    <row r="8150">
      <c r="A8150" s="49">
        <v>45106.87051525463</v>
      </c>
      <c r="B8150" s="50">
        <v>45106.9954868171</v>
      </c>
      <c r="C8150" s="51">
        <v>1.0</v>
      </c>
      <c r="D8150" s="51">
        <v>69.0</v>
      </c>
      <c r="E8150" s="52" t="s">
        <v>25</v>
      </c>
      <c r="F8150" s="52" t="s">
        <v>26</v>
      </c>
      <c r="G8150" s="54"/>
    </row>
    <row r="8151">
      <c r="A8151" s="49">
        <v>45106.88095104166</v>
      </c>
      <c r="B8151" s="50">
        <v>45107.005920243</v>
      </c>
      <c r="C8151" s="51">
        <v>1.0</v>
      </c>
      <c r="D8151" s="51">
        <v>69.0</v>
      </c>
      <c r="E8151" s="52" t="s">
        <v>25</v>
      </c>
      <c r="F8151" s="52" t="s">
        <v>26</v>
      </c>
      <c r="G8151" s="54"/>
    </row>
    <row r="8152">
      <c r="A8152" s="49">
        <v>45106.89136725695</v>
      </c>
      <c r="B8152" s="50">
        <v>45107.0163416435</v>
      </c>
      <c r="C8152" s="51">
        <v>1.0</v>
      </c>
      <c r="D8152" s="51">
        <v>69.0</v>
      </c>
      <c r="E8152" s="52" t="s">
        <v>25</v>
      </c>
      <c r="F8152" s="52" t="s">
        <v>26</v>
      </c>
      <c r="G8152" s="54"/>
    </row>
    <row r="8153">
      <c r="A8153" s="49">
        <v>45106.90178510417</v>
      </c>
      <c r="B8153" s="50">
        <v>45107.0267618981</v>
      </c>
      <c r="C8153" s="51">
        <v>1.0</v>
      </c>
      <c r="D8153" s="51">
        <v>69.0</v>
      </c>
      <c r="E8153" s="52" t="s">
        <v>25</v>
      </c>
      <c r="F8153" s="52" t="s">
        <v>26</v>
      </c>
      <c r="G8153" s="54"/>
    </row>
    <row r="8154">
      <c r="A8154" s="49">
        <v>45106.91221069444</v>
      </c>
      <c r="B8154" s="50">
        <v>45107.0371948148</v>
      </c>
      <c r="C8154" s="51">
        <v>1.0</v>
      </c>
      <c r="D8154" s="51">
        <v>69.0</v>
      </c>
      <c r="E8154" s="52" t="s">
        <v>25</v>
      </c>
      <c r="F8154" s="52" t="s">
        <v>26</v>
      </c>
      <c r="G8154" s="54"/>
    </row>
    <row r="8155">
      <c r="A8155" s="49">
        <v>45106.92265278935</v>
      </c>
      <c r="B8155" s="50">
        <v>45107.0476275115</v>
      </c>
      <c r="C8155" s="51">
        <v>1.0</v>
      </c>
      <c r="D8155" s="51">
        <v>69.0</v>
      </c>
      <c r="E8155" s="52" t="s">
        <v>25</v>
      </c>
      <c r="F8155" s="52" t="s">
        <v>26</v>
      </c>
      <c r="G8155" s="54"/>
    </row>
    <row r="8156">
      <c r="A8156" s="49">
        <v>45106.93306982639</v>
      </c>
      <c r="B8156" s="50">
        <v>45107.0580479745</v>
      </c>
      <c r="C8156" s="51">
        <v>1.0</v>
      </c>
      <c r="D8156" s="51">
        <v>69.0</v>
      </c>
      <c r="E8156" s="52" t="s">
        <v>25</v>
      </c>
      <c r="F8156" s="52" t="s">
        <v>26</v>
      </c>
      <c r="G8156" s="54"/>
    </row>
    <row r="8157">
      <c r="A8157" s="49">
        <v>45106.94348958333</v>
      </c>
      <c r="B8157" s="50">
        <v>45107.0684691666</v>
      </c>
      <c r="C8157" s="51">
        <v>1.0</v>
      </c>
      <c r="D8157" s="51">
        <v>69.0</v>
      </c>
      <c r="E8157" s="52" t="s">
        <v>25</v>
      </c>
      <c r="F8157" s="52" t="s">
        <v>26</v>
      </c>
      <c r="G8157" s="54"/>
    </row>
    <row r="8158">
      <c r="A8158" s="49">
        <v>45106.953914108795</v>
      </c>
      <c r="B8158" s="50">
        <v>45107.0788885185</v>
      </c>
      <c r="C8158" s="51">
        <v>1.0</v>
      </c>
      <c r="D8158" s="51">
        <v>69.0</v>
      </c>
      <c r="E8158" s="52" t="s">
        <v>25</v>
      </c>
      <c r="F8158" s="52" t="s">
        <v>26</v>
      </c>
      <c r="G8158" s="54"/>
    </row>
    <row r="8159">
      <c r="A8159" s="49">
        <v>45106.96435800926</v>
      </c>
      <c r="B8159" s="50">
        <v>45107.0893344907</v>
      </c>
      <c r="C8159" s="51">
        <v>1.0</v>
      </c>
      <c r="D8159" s="51">
        <v>69.0</v>
      </c>
      <c r="E8159" s="52" t="s">
        <v>25</v>
      </c>
      <c r="F8159" s="52" t="s">
        <v>26</v>
      </c>
      <c r="G8159" s="54"/>
    </row>
    <row r="8160">
      <c r="A8160" s="49">
        <v>45106.97479253472</v>
      </c>
      <c r="B8160" s="50">
        <v>45107.099766331</v>
      </c>
      <c r="C8160" s="51">
        <v>1.0</v>
      </c>
      <c r="D8160" s="51">
        <v>69.0</v>
      </c>
      <c r="E8160" s="52" t="s">
        <v>25</v>
      </c>
      <c r="F8160" s="52" t="s">
        <v>26</v>
      </c>
      <c r="G8160" s="54"/>
    </row>
    <row r="8161">
      <c r="A8161" s="49">
        <v>45106.98520413194</v>
      </c>
      <c r="B8161" s="50">
        <v>45107.1101872106</v>
      </c>
      <c r="C8161" s="51">
        <v>1.0</v>
      </c>
      <c r="D8161" s="51">
        <v>69.0</v>
      </c>
      <c r="E8161" s="52" t="s">
        <v>25</v>
      </c>
      <c r="F8161" s="52" t="s">
        <v>26</v>
      </c>
      <c r="G8161" s="54"/>
    </row>
    <row r="8162">
      <c r="A8162" s="49">
        <v>45106.995639699075</v>
      </c>
      <c r="B8162" s="50">
        <v>45107.1206088194</v>
      </c>
      <c r="C8162" s="51">
        <v>1.0</v>
      </c>
      <c r="D8162" s="51">
        <v>69.0</v>
      </c>
      <c r="E8162" s="52" t="s">
        <v>25</v>
      </c>
      <c r="F8162" s="52" t="s">
        <v>26</v>
      </c>
      <c r="G8162" s="54"/>
    </row>
    <row r="8163">
      <c r="A8163" s="49">
        <v>45107.00605730324</v>
      </c>
      <c r="B8163" s="50">
        <v>45107.1310293518</v>
      </c>
      <c r="C8163" s="51">
        <v>1.0</v>
      </c>
      <c r="D8163" s="51">
        <v>69.0</v>
      </c>
      <c r="E8163" s="52" t="s">
        <v>25</v>
      </c>
      <c r="F8163" s="52" t="s">
        <v>26</v>
      </c>
      <c r="G8163" s="54"/>
    </row>
    <row r="8164">
      <c r="A8164" s="49">
        <v>45107.016484189815</v>
      </c>
      <c r="B8164" s="50">
        <v>45107.1414501273</v>
      </c>
      <c r="C8164" s="51">
        <v>1.0</v>
      </c>
      <c r="D8164" s="51">
        <v>69.0</v>
      </c>
      <c r="E8164" s="52" t="s">
        <v>25</v>
      </c>
      <c r="F8164" s="52" t="s">
        <v>26</v>
      </c>
      <c r="G8164" s="54"/>
    </row>
    <row r="8165">
      <c r="A8165" s="49">
        <v>45107.0269072338</v>
      </c>
      <c r="B8165" s="50">
        <v>45107.1518831828</v>
      </c>
      <c r="C8165" s="51">
        <v>1.0</v>
      </c>
      <c r="D8165" s="51">
        <v>69.0</v>
      </c>
      <c r="E8165" s="52" t="s">
        <v>25</v>
      </c>
      <c r="F8165" s="52" t="s">
        <v>26</v>
      </c>
      <c r="G8165" s="54"/>
    </row>
    <row r="8166">
      <c r="A8166" s="49">
        <v>45107.03732700231</v>
      </c>
      <c r="B8166" s="50">
        <v>45107.1623044097</v>
      </c>
      <c r="C8166" s="51">
        <v>1.0</v>
      </c>
      <c r="D8166" s="51">
        <v>69.0</v>
      </c>
      <c r="E8166" s="52" t="s">
        <v>25</v>
      </c>
      <c r="F8166" s="52" t="s">
        <v>26</v>
      </c>
      <c r="G8166" s="54"/>
    </row>
    <row r="8167">
      <c r="A8167" s="49">
        <v>45107.047751192134</v>
      </c>
      <c r="B8167" s="50">
        <v>45107.1727255439</v>
      </c>
      <c r="C8167" s="51">
        <v>1.0</v>
      </c>
      <c r="D8167" s="51">
        <v>69.0</v>
      </c>
      <c r="E8167" s="52" t="s">
        <v>25</v>
      </c>
      <c r="F8167" s="52" t="s">
        <v>26</v>
      </c>
      <c r="G8167" s="54"/>
    </row>
    <row r="8168">
      <c r="A8168" s="49">
        <v>45107.0581755787</v>
      </c>
      <c r="B8168" s="50">
        <v>45107.1831467824</v>
      </c>
      <c r="C8168" s="51">
        <v>1.0</v>
      </c>
      <c r="D8168" s="51">
        <v>69.0</v>
      </c>
      <c r="E8168" s="52" t="s">
        <v>25</v>
      </c>
      <c r="F8168" s="52" t="s">
        <v>26</v>
      </c>
      <c r="G8168" s="54"/>
    </row>
    <row r="8169">
      <c r="A8169" s="49">
        <v>45107.06859387731</v>
      </c>
      <c r="B8169" s="50">
        <v>45107.1935699074</v>
      </c>
      <c r="C8169" s="51">
        <v>1.0</v>
      </c>
      <c r="D8169" s="51">
        <v>69.0</v>
      </c>
      <c r="E8169" s="52" t="s">
        <v>25</v>
      </c>
      <c r="F8169" s="52" t="s">
        <v>26</v>
      </c>
      <c r="G8169" s="54"/>
    </row>
    <row r="8170">
      <c r="A8170" s="49">
        <v>45107.07901888889</v>
      </c>
      <c r="B8170" s="50">
        <v>45107.2039915625</v>
      </c>
      <c r="C8170" s="51">
        <v>1.0</v>
      </c>
      <c r="D8170" s="51">
        <v>69.0</v>
      </c>
      <c r="E8170" s="52" t="s">
        <v>25</v>
      </c>
      <c r="F8170" s="52" t="s">
        <v>26</v>
      </c>
      <c r="G8170" s="54"/>
    </row>
    <row r="8171">
      <c r="A8171" s="49">
        <v>45107.08943940973</v>
      </c>
      <c r="B8171" s="50">
        <v>45107.2144115972</v>
      </c>
      <c r="C8171" s="51">
        <v>1.0</v>
      </c>
      <c r="D8171" s="51">
        <v>69.0</v>
      </c>
      <c r="E8171" s="52" t="s">
        <v>25</v>
      </c>
      <c r="F8171" s="52" t="s">
        <v>26</v>
      </c>
      <c r="G8171" s="54"/>
    </row>
    <row r="8172">
      <c r="A8172" s="49">
        <v>45107.09985939815</v>
      </c>
      <c r="B8172" s="50">
        <v>45107.2248320023</v>
      </c>
      <c r="C8172" s="51">
        <v>1.0</v>
      </c>
      <c r="D8172" s="51">
        <v>69.0</v>
      </c>
      <c r="E8172" s="52" t="s">
        <v>25</v>
      </c>
      <c r="F8172" s="52" t="s">
        <v>26</v>
      </c>
      <c r="G8172" s="54"/>
    </row>
    <row r="8173">
      <c r="A8173" s="49">
        <v>45107.110299004635</v>
      </c>
      <c r="B8173" s="50">
        <v>45107.2352772569</v>
      </c>
      <c r="C8173" s="51">
        <v>1.0</v>
      </c>
      <c r="D8173" s="51">
        <v>69.0</v>
      </c>
      <c r="E8173" s="52" t="s">
        <v>25</v>
      </c>
      <c r="F8173" s="52" t="s">
        <v>26</v>
      </c>
      <c r="G8173" s="54"/>
    </row>
    <row r="8174">
      <c r="A8174" s="49">
        <v>45107.120726574074</v>
      </c>
      <c r="B8174" s="50">
        <v>45107.2456996759</v>
      </c>
      <c r="C8174" s="51">
        <v>1.0</v>
      </c>
      <c r="D8174" s="51">
        <v>69.0</v>
      </c>
      <c r="E8174" s="52" t="s">
        <v>25</v>
      </c>
      <c r="F8174" s="52" t="s">
        <v>26</v>
      </c>
      <c r="G8174" s="54"/>
    </row>
    <row r="8175">
      <c r="A8175" s="49">
        <v>45107.131143506944</v>
      </c>
      <c r="B8175" s="50">
        <v>45107.2561219675</v>
      </c>
      <c r="C8175" s="51">
        <v>1.0</v>
      </c>
      <c r="D8175" s="51">
        <v>69.0</v>
      </c>
      <c r="E8175" s="52" t="s">
        <v>25</v>
      </c>
      <c r="F8175" s="52" t="s">
        <v>26</v>
      </c>
      <c r="G8175" s="54"/>
    </row>
    <row r="8176">
      <c r="A8176" s="49">
        <v>45107.14157607639</v>
      </c>
      <c r="B8176" s="50">
        <v>45107.2665429398</v>
      </c>
      <c r="C8176" s="51">
        <v>1.0</v>
      </c>
      <c r="D8176" s="51">
        <v>69.0</v>
      </c>
      <c r="E8176" s="52" t="s">
        <v>25</v>
      </c>
      <c r="F8176" s="52" t="s">
        <v>26</v>
      </c>
      <c r="G8176" s="54"/>
    </row>
    <row r="8177">
      <c r="A8177" s="49">
        <v>45107.15198391204</v>
      </c>
      <c r="B8177" s="50">
        <v>45107.2769633912</v>
      </c>
      <c r="C8177" s="51">
        <v>1.0</v>
      </c>
      <c r="D8177" s="51">
        <v>69.0</v>
      </c>
      <c r="E8177" s="52" t="s">
        <v>25</v>
      </c>
      <c r="F8177" s="52" t="s">
        <v>26</v>
      </c>
      <c r="G8177" s="54"/>
    </row>
    <row r="8178">
      <c r="A8178" s="49">
        <v>45107.162411261575</v>
      </c>
      <c r="B8178" s="50">
        <v>45107.2873843402</v>
      </c>
      <c r="C8178" s="51">
        <v>1.0</v>
      </c>
      <c r="D8178" s="51">
        <v>69.0</v>
      </c>
      <c r="E8178" s="52" t="s">
        <v>25</v>
      </c>
      <c r="F8178" s="52" t="s">
        <v>26</v>
      </c>
      <c r="G8178" s="54"/>
    </row>
    <row r="8179">
      <c r="A8179" s="49">
        <v>45107.17284297454</v>
      </c>
      <c r="B8179" s="50">
        <v>45107.297817037</v>
      </c>
      <c r="C8179" s="51">
        <v>1.0</v>
      </c>
      <c r="D8179" s="51">
        <v>69.0</v>
      </c>
      <c r="E8179" s="52" t="s">
        <v>25</v>
      </c>
      <c r="F8179" s="52" t="s">
        <v>26</v>
      </c>
      <c r="G8179" s="54"/>
    </row>
    <row r="8180">
      <c r="A8180" s="49">
        <v>45107.18327905092</v>
      </c>
      <c r="B8180" s="50">
        <v>45107.3082504976</v>
      </c>
      <c r="C8180" s="51">
        <v>1.0</v>
      </c>
      <c r="D8180" s="51">
        <v>69.0</v>
      </c>
      <c r="E8180" s="52" t="s">
        <v>25</v>
      </c>
      <c r="F8180" s="52" t="s">
        <v>26</v>
      </c>
      <c r="G8180" s="54"/>
    </row>
    <row r="8181">
      <c r="A8181" s="49">
        <v>45107.19371733796</v>
      </c>
      <c r="B8181" s="50">
        <v>45107.318692824</v>
      </c>
      <c r="C8181" s="51">
        <v>1.0</v>
      </c>
      <c r="D8181" s="51">
        <v>69.0</v>
      </c>
      <c r="E8181" s="52" t="s">
        <v>25</v>
      </c>
      <c r="F8181" s="52" t="s">
        <v>26</v>
      </c>
      <c r="G8181" s="54"/>
    </row>
    <row r="8182">
      <c r="A8182" s="49">
        <v>45107.204145972224</v>
      </c>
      <c r="B8182" s="50">
        <v>45107.3291266319</v>
      </c>
      <c r="C8182" s="51">
        <v>1.0</v>
      </c>
      <c r="D8182" s="51">
        <v>69.0</v>
      </c>
      <c r="E8182" s="52" t="s">
        <v>25</v>
      </c>
      <c r="F8182" s="52" t="s">
        <v>26</v>
      </c>
      <c r="G8182" s="54"/>
    </row>
    <row r="8183">
      <c r="A8183" s="49">
        <v>45107.21457240741</v>
      </c>
      <c r="B8183" s="50">
        <v>45107.3395478819</v>
      </c>
      <c r="C8183" s="51">
        <v>1.0</v>
      </c>
      <c r="D8183" s="51">
        <v>69.0</v>
      </c>
      <c r="E8183" s="52" t="s">
        <v>25</v>
      </c>
      <c r="F8183" s="52" t="s">
        <v>26</v>
      </c>
      <c r="G8183" s="54"/>
    </row>
    <row r="8184">
      <c r="A8184" s="49">
        <v>45107.22500091435</v>
      </c>
      <c r="B8184" s="50">
        <v>45107.3499812615</v>
      </c>
      <c r="C8184" s="51">
        <v>1.0</v>
      </c>
      <c r="D8184" s="51">
        <v>69.0</v>
      </c>
      <c r="E8184" s="52" t="s">
        <v>25</v>
      </c>
      <c r="F8184" s="52" t="s">
        <v>26</v>
      </c>
      <c r="G8184" s="54"/>
    </row>
    <row r="8185">
      <c r="A8185" s="49">
        <v>45107.23542074074</v>
      </c>
      <c r="B8185" s="50">
        <v>45107.3604016203</v>
      </c>
      <c r="C8185" s="51">
        <v>1.0</v>
      </c>
      <c r="D8185" s="51">
        <v>69.0</v>
      </c>
      <c r="E8185" s="52" t="s">
        <v>25</v>
      </c>
      <c r="F8185" s="52" t="s">
        <v>26</v>
      </c>
      <c r="G8185" s="54"/>
    </row>
    <row r="8186">
      <c r="A8186" s="49">
        <v>45107.24585119213</v>
      </c>
      <c r="B8186" s="50">
        <v>45107.3708215162</v>
      </c>
      <c r="C8186" s="51">
        <v>1.0</v>
      </c>
      <c r="D8186" s="51">
        <v>69.0</v>
      </c>
      <c r="E8186" s="52" t="s">
        <v>25</v>
      </c>
      <c r="F8186" s="52" t="s">
        <v>26</v>
      </c>
      <c r="G8186" s="54"/>
    </row>
    <row r="8187">
      <c r="A8187" s="49">
        <v>45107.25627025463</v>
      </c>
      <c r="B8187" s="50">
        <v>45107.381244155</v>
      </c>
      <c r="C8187" s="51">
        <v>1.0</v>
      </c>
      <c r="D8187" s="51">
        <v>69.0</v>
      </c>
      <c r="E8187" s="52" t="s">
        <v>25</v>
      </c>
      <c r="F8187" s="52" t="s">
        <v>26</v>
      </c>
      <c r="G8187" s="54"/>
    </row>
    <row r="8188">
      <c r="A8188" s="49">
        <v>45107.26669444444</v>
      </c>
      <c r="B8188" s="50">
        <v>45107.3916659606</v>
      </c>
      <c r="C8188" s="51">
        <v>1.0</v>
      </c>
      <c r="D8188" s="51">
        <v>69.0</v>
      </c>
      <c r="E8188" s="52" t="s">
        <v>25</v>
      </c>
      <c r="F8188" s="52" t="s">
        <v>26</v>
      </c>
      <c r="G8188" s="54"/>
    </row>
    <row r="8189">
      <c r="A8189" s="49">
        <v>45107.28755459491</v>
      </c>
      <c r="B8189" s="50">
        <v>45107.4125191666</v>
      </c>
      <c r="C8189" s="51">
        <v>1.0</v>
      </c>
      <c r="D8189" s="51">
        <v>69.0</v>
      </c>
      <c r="E8189" s="52" t="s">
        <v>25</v>
      </c>
      <c r="F8189" s="52" t="s">
        <v>26</v>
      </c>
      <c r="G8189" s="54"/>
    </row>
    <row r="8190">
      <c r="A8190" s="49">
        <v>45107.29798416667</v>
      </c>
      <c r="B8190" s="50">
        <v>45107.422941655</v>
      </c>
      <c r="C8190" s="51">
        <v>1.0</v>
      </c>
      <c r="D8190" s="51">
        <v>69.0</v>
      </c>
      <c r="E8190" s="52" t="s">
        <v>25</v>
      </c>
      <c r="F8190" s="52" t="s">
        <v>26</v>
      </c>
      <c r="G8190" s="54"/>
    </row>
    <row r="8191">
      <c r="A8191" s="49">
        <v>45107.308394629625</v>
      </c>
      <c r="B8191" s="50">
        <v>45107.4333629861</v>
      </c>
      <c r="C8191" s="51">
        <v>1.0</v>
      </c>
      <c r="D8191" s="51">
        <v>69.0</v>
      </c>
      <c r="E8191" s="52" t="s">
        <v>25</v>
      </c>
      <c r="F8191" s="52" t="s">
        <v>26</v>
      </c>
      <c r="G8191" s="54"/>
    </row>
    <row r="8192">
      <c r="A8192" s="49">
        <v>45107.318807118056</v>
      </c>
      <c r="B8192" s="50">
        <v>45107.4437845254</v>
      </c>
      <c r="C8192" s="51">
        <v>1.0</v>
      </c>
      <c r="D8192" s="51">
        <v>69.0</v>
      </c>
      <c r="E8192" s="52" t="s">
        <v>25</v>
      </c>
      <c r="F8192" s="52" t="s">
        <v>26</v>
      </c>
      <c r="G8192" s="54"/>
    </row>
    <row r="8193">
      <c r="A8193" s="49">
        <v>45107.329231400465</v>
      </c>
      <c r="B8193" s="50">
        <v>45107.4542061342</v>
      </c>
      <c r="C8193" s="51">
        <v>1.0</v>
      </c>
      <c r="D8193" s="51">
        <v>69.0</v>
      </c>
      <c r="E8193" s="52" t="s">
        <v>25</v>
      </c>
      <c r="F8193" s="52" t="s">
        <v>26</v>
      </c>
      <c r="G8193" s="54"/>
    </row>
    <row r="8194">
      <c r="A8194" s="49">
        <v>45107.33964965278</v>
      </c>
      <c r="B8194" s="50">
        <v>45107.4646275</v>
      </c>
      <c r="C8194" s="51">
        <v>1.0</v>
      </c>
      <c r="D8194" s="51">
        <v>69.0</v>
      </c>
      <c r="E8194" s="52" t="s">
        <v>25</v>
      </c>
      <c r="F8194" s="52" t="s">
        <v>26</v>
      </c>
      <c r="G8194" s="54"/>
    </row>
    <row r="8195">
      <c r="A8195" s="49">
        <v>45107.35007908565</v>
      </c>
      <c r="B8195" s="50">
        <v>45107.4750472338</v>
      </c>
      <c r="C8195" s="51">
        <v>1.0</v>
      </c>
      <c r="D8195" s="51">
        <v>69.0</v>
      </c>
      <c r="E8195" s="52" t="s">
        <v>25</v>
      </c>
      <c r="F8195" s="52" t="s">
        <v>26</v>
      </c>
      <c r="G8195" s="54"/>
    </row>
    <row r="8196">
      <c r="A8196" s="49">
        <v>45107.360504131946</v>
      </c>
      <c r="B8196" s="50">
        <v>45107.4854710763</v>
      </c>
      <c r="C8196" s="51">
        <v>1.0</v>
      </c>
      <c r="D8196" s="51">
        <v>69.0</v>
      </c>
      <c r="E8196" s="52" t="s">
        <v>25</v>
      </c>
      <c r="F8196" s="52" t="s">
        <v>26</v>
      </c>
      <c r="G8196" s="54"/>
    </row>
    <row r="8197">
      <c r="A8197" s="49">
        <v>45107.37092490741</v>
      </c>
      <c r="B8197" s="50">
        <v>45107.4958946064</v>
      </c>
      <c r="C8197" s="51">
        <v>1.0</v>
      </c>
      <c r="D8197" s="51">
        <v>69.0</v>
      </c>
      <c r="E8197" s="52" t="s">
        <v>25</v>
      </c>
      <c r="F8197" s="52" t="s">
        <v>26</v>
      </c>
      <c r="G8197" s="54"/>
    </row>
    <row r="8198">
      <c r="A8198" s="49">
        <v>45107.381341319444</v>
      </c>
      <c r="B8198" s="50">
        <v>45107.5063159027</v>
      </c>
      <c r="C8198" s="51">
        <v>1.0</v>
      </c>
      <c r="D8198" s="51">
        <v>69.0</v>
      </c>
      <c r="E8198" s="52" t="s">
        <v>25</v>
      </c>
      <c r="F8198" s="52" t="s">
        <v>26</v>
      </c>
      <c r="G8198" s="54"/>
    </row>
    <row r="8199">
      <c r="A8199" s="49">
        <v>45107.39177096065</v>
      </c>
      <c r="B8199" s="50">
        <v>45107.5167369791</v>
      </c>
      <c r="C8199" s="51">
        <v>1.0</v>
      </c>
      <c r="D8199" s="51">
        <v>69.0</v>
      </c>
      <c r="E8199" s="52" t="s">
        <v>25</v>
      </c>
      <c r="F8199" s="52" t="s">
        <v>26</v>
      </c>
      <c r="G8199" s="54"/>
    </row>
    <row r="8200">
      <c r="A8200" s="49">
        <v>45107.40217939815</v>
      </c>
      <c r="B8200" s="50">
        <v>45107.5271579051</v>
      </c>
      <c r="C8200" s="51">
        <v>1.0</v>
      </c>
      <c r="D8200" s="51">
        <v>69.0</v>
      </c>
      <c r="E8200" s="52" t="s">
        <v>25</v>
      </c>
      <c r="F8200" s="52" t="s">
        <v>26</v>
      </c>
      <c r="G8200" s="54"/>
    </row>
    <row r="8201">
      <c r="A8201" s="49">
        <v>45107.412617002316</v>
      </c>
      <c r="B8201" s="50">
        <v>45107.5375920138</v>
      </c>
      <c r="C8201" s="51">
        <v>1.0</v>
      </c>
      <c r="D8201" s="51">
        <v>69.0</v>
      </c>
      <c r="E8201" s="52" t="s">
        <v>25</v>
      </c>
      <c r="F8201" s="52" t="s">
        <v>26</v>
      </c>
      <c r="G8201" s="54"/>
    </row>
    <row r="8202">
      <c r="A8202" s="49">
        <v>45107.423045891206</v>
      </c>
      <c r="B8202" s="50">
        <v>45107.5480221643</v>
      </c>
      <c r="C8202" s="51">
        <v>1.0</v>
      </c>
      <c r="D8202" s="51">
        <v>69.0</v>
      </c>
      <c r="E8202" s="52" t="s">
        <v>25</v>
      </c>
      <c r="F8202" s="52" t="s">
        <v>26</v>
      </c>
      <c r="G8202" s="54"/>
    </row>
    <row r="8203">
      <c r="A8203" s="49">
        <v>45107.43346211806</v>
      </c>
      <c r="B8203" s="50">
        <v>45107.5584415509</v>
      </c>
      <c r="C8203" s="51">
        <v>1.0</v>
      </c>
      <c r="D8203" s="51">
        <v>69.0</v>
      </c>
      <c r="E8203" s="52" t="s">
        <v>25</v>
      </c>
      <c r="F8203" s="52" t="s">
        <v>26</v>
      </c>
      <c r="G8203" s="54"/>
    </row>
    <row r="8204">
      <c r="A8204" s="49">
        <v>45107.443907928246</v>
      </c>
      <c r="B8204" s="50">
        <v>45107.5688738773</v>
      </c>
      <c r="C8204" s="51">
        <v>1.0</v>
      </c>
      <c r="D8204" s="51">
        <v>69.0</v>
      </c>
      <c r="E8204" s="52" t="s">
        <v>25</v>
      </c>
      <c r="F8204" s="52" t="s">
        <v>26</v>
      </c>
      <c r="G8204" s="54"/>
    </row>
    <row r="8205">
      <c r="A8205" s="49">
        <v>45107.454321087964</v>
      </c>
      <c r="B8205" s="50">
        <v>45107.5792944097</v>
      </c>
      <c r="C8205" s="51">
        <v>1.0</v>
      </c>
      <c r="D8205" s="51">
        <v>69.0</v>
      </c>
      <c r="E8205" s="52" t="s">
        <v>25</v>
      </c>
      <c r="F8205" s="52" t="s">
        <v>26</v>
      </c>
      <c r="G8205" s="54"/>
    </row>
    <row r="8206">
      <c r="A8206" s="49">
        <v>45107.464743854165</v>
      </c>
      <c r="B8206" s="50">
        <v>45107.5897160763</v>
      </c>
      <c r="C8206" s="51">
        <v>1.0</v>
      </c>
      <c r="D8206" s="51">
        <v>69.0</v>
      </c>
      <c r="E8206" s="52" t="s">
        <v>25</v>
      </c>
      <c r="F8206" s="52" t="s">
        <v>26</v>
      </c>
      <c r="G8206" s="54"/>
    </row>
    <row r="8207">
      <c r="A8207" s="49">
        <v>45107.4751633912</v>
      </c>
      <c r="B8207" s="50">
        <v>45107.6001359259</v>
      </c>
      <c r="C8207" s="51">
        <v>1.0</v>
      </c>
      <c r="D8207" s="51">
        <v>69.0</v>
      </c>
      <c r="E8207" s="52" t="s">
        <v>25</v>
      </c>
      <c r="F8207" s="52" t="s">
        <v>26</v>
      </c>
      <c r="G8207" s="54"/>
    </row>
    <row r="8208">
      <c r="A8208" s="49">
        <v>45107.48558255787</v>
      </c>
      <c r="B8208" s="50">
        <v>45107.610557199</v>
      </c>
      <c r="C8208" s="51">
        <v>0.999</v>
      </c>
      <c r="D8208" s="51">
        <v>69.0</v>
      </c>
      <c r="E8208" s="52" t="s">
        <v>25</v>
      </c>
      <c r="F8208" s="52" t="s">
        <v>26</v>
      </c>
      <c r="G8208" s="54"/>
    </row>
    <row r="8209">
      <c r="A8209" s="49">
        <v>45107.496039247686</v>
      </c>
      <c r="B8209" s="50">
        <v>45107.6210122222</v>
      </c>
      <c r="C8209" s="51">
        <v>1.0</v>
      </c>
      <c r="D8209" s="51">
        <v>69.0</v>
      </c>
      <c r="E8209" s="52" t="s">
        <v>25</v>
      </c>
      <c r="F8209" s="52" t="s">
        <v>26</v>
      </c>
      <c r="G8209" s="54"/>
    </row>
    <row r="8210">
      <c r="A8210" s="49">
        <v>45107.506462731486</v>
      </c>
      <c r="B8210" s="50">
        <v>45107.6314334027</v>
      </c>
      <c r="C8210" s="51">
        <v>1.0</v>
      </c>
      <c r="D8210" s="51">
        <v>69.0</v>
      </c>
      <c r="E8210" s="52" t="s">
        <v>25</v>
      </c>
      <c r="F8210" s="52" t="s">
        <v>26</v>
      </c>
      <c r="G8210" s="54"/>
    </row>
    <row r="8211">
      <c r="A8211" s="49">
        <v>45107.51688079861</v>
      </c>
      <c r="B8211" s="50">
        <v>45107.641854155</v>
      </c>
      <c r="C8211" s="51">
        <v>1.0</v>
      </c>
      <c r="D8211" s="51">
        <v>69.0</v>
      </c>
      <c r="E8211" s="52" t="s">
        <v>25</v>
      </c>
      <c r="F8211" s="52" t="s">
        <v>26</v>
      </c>
      <c r="G8211" s="54"/>
    </row>
    <row r="8212">
      <c r="A8212" s="49">
        <v>45107.527298298606</v>
      </c>
      <c r="B8212" s="50">
        <v>45107.6522744097</v>
      </c>
      <c r="C8212" s="51">
        <v>1.0</v>
      </c>
      <c r="D8212" s="51">
        <v>69.0</v>
      </c>
      <c r="E8212" s="52" t="s">
        <v>25</v>
      </c>
      <c r="F8212" s="52" t="s">
        <v>26</v>
      </c>
      <c r="G8212" s="54"/>
    </row>
    <row r="8213">
      <c r="A8213" s="49">
        <v>45107.53771591435</v>
      </c>
      <c r="B8213" s="50">
        <v>45107.6626942708</v>
      </c>
      <c r="C8213" s="51">
        <v>1.0</v>
      </c>
      <c r="D8213" s="51">
        <v>69.0</v>
      </c>
      <c r="E8213" s="52" t="s">
        <v>25</v>
      </c>
      <c r="F8213" s="52" t="s">
        <v>26</v>
      </c>
      <c r="G8213" s="54"/>
    </row>
    <row r="8214">
      <c r="A8214" s="49">
        <v>45107.54813895833</v>
      </c>
      <c r="B8214" s="50">
        <v>45107.6731148148</v>
      </c>
      <c r="C8214" s="51">
        <v>1.0</v>
      </c>
      <c r="D8214" s="51">
        <v>69.0</v>
      </c>
      <c r="E8214" s="52" t="s">
        <v>25</v>
      </c>
      <c r="F8214" s="52" t="s">
        <v>26</v>
      </c>
      <c r="G8214" s="54"/>
    </row>
    <row r="8215">
      <c r="A8215" s="49">
        <v>45107.558574236115</v>
      </c>
      <c r="B8215" s="50">
        <v>45107.683545625</v>
      </c>
      <c r="C8215" s="51">
        <v>1.0</v>
      </c>
      <c r="D8215" s="51">
        <v>69.0</v>
      </c>
      <c r="E8215" s="52" t="s">
        <v>25</v>
      </c>
      <c r="F8215" s="52" t="s">
        <v>26</v>
      </c>
      <c r="G8215" s="54"/>
    </row>
    <row r="8216">
      <c r="A8216" s="49">
        <v>45107.56899508102</v>
      </c>
      <c r="B8216" s="50">
        <v>45107.6939664351</v>
      </c>
      <c r="C8216" s="51">
        <v>1.0</v>
      </c>
      <c r="D8216" s="51">
        <v>69.0</v>
      </c>
      <c r="E8216" s="52" t="s">
        <v>25</v>
      </c>
      <c r="F8216" s="52" t="s">
        <v>26</v>
      </c>
      <c r="G8216" s="54"/>
    </row>
    <row r="8217">
      <c r="A8217" s="49">
        <v>45107.57941722222</v>
      </c>
      <c r="B8217" s="50">
        <v>45107.7043871412</v>
      </c>
      <c r="C8217" s="51">
        <v>1.0</v>
      </c>
      <c r="D8217" s="51">
        <v>69.0</v>
      </c>
      <c r="E8217" s="52" t="s">
        <v>25</v>
      </c>
      <c r="F8217" s="52" t="s">
        <v>26</v>
      </c>
      <c r="G8217" s="54"/>
    </row>
    <row r="8218">
      <c r="A8218" s="49">
        <v>45107.58983575231</v>
      </c>
      <c r="B8218" s="50">
        <v>45107.7148096527</v>
      </c>
      <c r="C8218" s="51">
        <v>1.0</v>
      </c>
      <c r="D8218" s="51">
        <v>69.0</v>
      </c>
      <c r="E8218" s="52" t="s">
        <v>25</v>
      </c>
      <c r="F8218" s="52" t="s">
        <v>26</v>
      </c>
      <c r="G8218" s="54"/>
    </row>
    <row r="8219">
      <c r="A8219" s="49">
        <v>45107.60025811342</v>
      </c>
      <c r="B8219" s="50">
        <v>45107.7252319676</v>
      </c>
      <c r="C8219" s="51">
        <v>1.0</v>
      </c>
      <c r="D8219" s="51">
        <v>69.0</v>
      </c>
      <c r="E8219" s="52" t="s">
        <v>25</v>
      </c>
      <c r="F8219" s="52" t="s">
        <v>26</v>
      </c>
      <c r="G8219" s="54"/>
    </row>
    <row r="8220">
      <c r="A8220" s="49">
        <v>45107.610673055555</v>
      </c>
      <c r="B8220" s="50">
        <v>45107.7356539583</v>
      </c>
      <c r="C8220" s="51">
        <v>1.0</v>
      </c>
      <c r="D8220" s="51">
        <v>69.0</v>
      </c>
      <c r="E8220" s="52" t="s">
        <v>25</v>
      </c>
      <c r="F8220" s="52" t="s">
        <v>26</v>
      </c>
      <c r="G8220" s="54"/>
    </row>
    <row r="8221">
      <c r="A8221" s="49">
        <v>45107.6211137037</v>
      </c>
      <c r="B8221" s="50">
        <v>45107.7460861805</v>
      </c>
      <c r="C8221" s="51">
        <v>1.0</v>
      </c>
      <c r="D8221" s="51">
        <v>69.0</v>
      </c>
      <c r="E8221" s="52" t="s">
        <v>25</v>
      </c>
      <c r="F8221" s="52" t="s">
        <v>26</v>
      </c>
      <c r="G8221" s="54"/>
    </row>
    <row r="8222">
      <c r="A8222" s="49">
        <v>45107.6315314699</v>
      </c>
      <c r="B8222" s="50">
        <v>45107.7565070254</v>
      </c>
      <c r="C8222" s="51">
        <v>1.0</v>
      </c>
      <c r="D8222" s="51">
        <v>69.0</v>
      </c>
      <c r="E8222" s="52" t="s">
        <v>25</v>
      </c>
      <c r="F8222" s="52" t="s">
        <v>26</v>
      </c>
      <c r="G8222" s="54"/>
    </row>
    <row r="8223">
      <c r="A8223" s="49">
        <v>45107.641962696754</v>
      </c>
      <c r="B8223" s="50">
        <v>45107.7669291782</v>
      </c>
      <c r="C8223" s="51">
        <v>1.0</v>
      </c>
      <c r="D8223" s="51">
        <v>69.0</v>
      </c>
      <c r="E8223" s="52" t="s">
        <v>25</v>
      </c>
      <c r="F8223" s="52" t="s">
        <v>26</v>
      </c>
      <c r="G8223" s="54"/>
    </row>
    <row r="8224">
      <c r="A8224" s="49">
        <v>45107.65237429398</v>
      </c>
      <c r="B8224" s="50">
        <v>45107.7773503009</v>
      </c>
      <c r="C8224" s="51">
        <v>1.0</v>
      </c>
      <c r="D8224" s="51">
        <v>69.0</v>
      </c>
      <c r="E8224" s="52" t="s">
        <v>25</v>
      </c>
      <c r="F8224" s="52" t="s">
        <v>26</v>
      </c>
      <c r="G8224" s="54"/>
    </row>
    <row r="8225">
      <c r="A8225" s="49">
        <v>45107.6628016551</v>
      </c>
      <c r="B8225" s="50">
        <v>45107.78777375</v>
      </c>
      <c r="C8225" s="51">
        <v>1.0</v>
      </c>
      <c r="D8225" s="51">
        <v>69.0</v>
      </c>
      <c r="E8225" s="52" t="s">
        <v>25</v>
      </c>
      <c r="F8225" s="52" t="s">
        <v>26</v>
      </c>
      <c r="G8225" s="54"/>
    </row>
    <row r="8226">
      <c r="A8226" s="49">
        <v>45107.6732215625</v>
      </c>
      <c r="B8226" s="50">
        <v>45107.7981957523</v>
      </c>
      <c r="C8226" s="51">
        <v>1.0</v>
      </c>
      <c r="D8226" s="51">
        <v>69.0</v>
      </c>
      <c r="E8226" s="52" t="s">
        <v>25</v>
      </c>
      <c r="F8226" s="52" t="s">
        <v>26</v>
      </c>
      <c r="G8226" s="54"/>
    </row>
    <row r="8227">
      <c r="A8227" s="49">
        <v>45107.683644062505</v>
      </c>
      <c r="B8227" s="50">
        <v>45107.8086168865</v>
      </c>
      <c r="C8227" s="51">
        <v>1.0</v>
      </c>
      <c r="D8227" s="51">
        <v>69.0</v>
      </c>
      <c r="E8227" s="52" t="s">
        <v>25</v>
      </c>
      <c r="F8227" s="52" t="s">
        <v>26</v>
      </c>
      <c r="G8227" s="54"/>
    </row>
    <row r="8228">
      <c r="A8228" s="49">
        <v>45107.69407849537</v>
      </c>
      <c r="B8228" s="50">
        <v>45107.8190492129</v>
      </c>
      <c r="C8228" s="51">
        <v>1.0</v>
      </c>
      <c r="D8228" s="51">
        <v>69.0</v>
      </c>
      <c r="E8228" s="52" t="s">
        <v>25</v>
      </c>
      <c r="F8228" s="52" t="s">
        <v>26</v>
      </c>
      <c r="G8228" s="54"/>
    </row>
    <row r="8229">
      <c r="A8229" s="49">
        <v>45107.70449686343</v>
      </c>
      <c r="B8229" s="50">
        <v>45107.8294708912</v>
      </c>
      <c r="C8229" s="51">
        <v>1.0</v>
      </c>
      <c r="D8229" s="51">
        <v>69.0</v>
      </c>
      <c r="E8229" s="52" t="s">
        <v>25</v>
      </c>
      <c r="F8229" s="52" t="s">
        <v>26</v>
      </c>
      <c r="G8229" s="54"/>
    </row>
    <row r="8230">
      <c r="A8230" s="49">
        <v>45107.71491435185</v>
      </c>
      <c r="B8230" s="50">
        <v>45107.8398922685</v>
      </c>
      <c r="C8230" s="51">
        <v>1.0</v>
      </c>
      <c r="D8230" s="51">
        <v>69.0</v>
      </c>
      <c r="E8230" s="52" t="s">
        <v>25</v>
      </c>
      <c r="F8230" s="52" t="s">
        <v>26</v>
      </c>
      <c r="G8230" s="54"/>
    </row>
    <row r="8231">
      <c r="A8231" s="49">
        <v>45107.725334918985</v>
      </c>
      <c r="B8231" s="50">
        <v>45107.8503117824</v>
      </c>
      <c r="C8231" s="51">
        <v>1.0</v>
      </c>
      <c r="D8231" s="51">
        <v>69.0</v>
      </c>
      <c r="E8231" s="52" t="s">
        <v>25</v>
      </c>
      <c r="F8231" s="52" t="s">
        <v>26</v>
      </c>
      <c r="G8231" s="54"/>
    </row>
    <row r="8232">
      <c r="A8232" s="49">
        <v>45107.735760625</v>
      </c>
      <c r="B8232" s="50">
        <v>45107.8607313541</v>
      </c>
      <c r="C8232" s="51">
        <v>1.0</v>
      </c>
      <c r="D8232" s="51">
        <v>69.0</v>
      </c>
      <c r="E8232" s="52" t="s">
        <v>25</v>
      </c>
      <c r="F8232" s="52" t="s">
        <v>26</v>
      </c>
      <c r="G8232" s="54"/>
    </row>
    <row r="8233">
      <c r="A8233" s="49">
        <v>45107.74618033565</v>
      </c>
      <c r="B8233" s="50">
        <v>45107.8711534143</v>
      </c>
      <c r="C8233" s="51">
        <v>1.0</v>
      </c>
      <c r="D8233" s="51">
        <v>69.0</v>
      </c>
      <c r="E8233" s="52" t="s">
        <v>25</v>
      </c>
      <c r="F8233" s="52" t="s">
        <v>26</v>
      </c>
      <c r="G8233" s="54"/>
    </row>
    <row r="8234">
      <c r="A8234" s="49">
        <v>45107.75660282407</v>
      </c>
      <c r="B8234" s="50">
        <v>45107.8815738078</v>
      </c>
      <c r="C8234" s="51">
        <v>1.0</v>
      </c>
      <c r="D8234" s="51">
        <v>69.0</v>
      </c>
      <c r="E8234" s="52" t="s">
        <v>25</v>
      </c>
      <c r="F8234" s="52" t="s">
        <v>26</v>
      </c>
      <c r="G8234" s="54"/>
    </row>
    <row r="8235">
      <c r="A8235" s="49">
        <v>45107.76702175926</v>
      </c>
      <c r="B8235" s="50">
        <v>45107.8919956365</v>
      </c>
      <c r="C8235" s="51">
        <v>1.0</v>
      </c>
      <c r="D8235" s="51">
        <v>69.0</v>
      </c>
      <c r="E8235" s="52" t="s">
        <v>25</v>
      </c>
      <c r="F8235" s="52" t="s">
        <v>26</v>
      </c>
      <c r="G8235" s="54"/>
    </row>
    <row r="8236">
      <c r="A8236" s="49">
        <v>45107.77744118056</v>
      </c>
      <c r="B8236" s="50">
        <v>45107.9024180439</v>
      </c>
      <c r="C8236" s="51">
        <v>1.0</v>
      </c>
      <c r="D8236" s="51">
        <v>69.0</v>
      </c>
      <c r="E8236" s="52" t="s">
        <v>25</v>
      </c>
      <c r="F8236" s="52" t="s">
        <v>26</v>
      </c>
      <c r="G8236" s="54"/>
    </row>
    <row r="8237">
      <c r="A8237" s="49">
        <v>45107.78786575231</v>
      </c>
      <c r="B8237" s="50">
        <v>45107.9128379166</v>
      </c>
      <c r="C8237" s="51">
        <v>1.0</v>
      </c>
      <c r="D8237" s="51">
        <v>69.0</v>
      </c>
      <c r="E8237" s="52" t="s">
        <v>25</v>
      </c>
      <c r="F8237" s="52" t="s">
        <v>26</v>
      </c>
      <c r="G8237" s="54"/>
    </row>
    <row r="8238">
      <c r="A8238" s="49">
        <v>45107.79827746528</v>
      </c>
      <c r="B8238" s="50">
        <v>45107.9232587847</v>
      </c>
      <c r="C8238" s="51">
        <v>1.0</v>
      </c>
      <c r="D8238" s="51">
        <v>69.0</v>
      </c>
      <c r="E8238" s="52" t="s">
        <v>25</v>
      </c>
      <c r="F8238" s="52" t="s">
        <v>26</v>
      </c>
      <c r="G8238" s="54"/>
    </row>
    <row r="8239">
      <c r="A8239" s="49">
        <v>45107.808707013886</v>
      </c>
      <c r="B8239" s="50">
        <v>45107.9336808449</v>
      </c>
      <c r="C8239" s="51">
        <v>1.0</v>
      </c>
      <c r="D8239" s="51">
        <v>69.0</v>
      </c>
      <c r="E8239" s="52" t="s">
        <v>25</v>
      </c>
      <c r="F8239" s="52" t="s">
        <v>26</v>
      </c>
      <c r="G8239" s="54"/>
    </row>
    <row r="8240">
      <c r="A8240" s="49">
        <v>45107.81912885417</v>
      </c>
      <c r="B8240" s="50">
        <v>45107.9441042013</v>
      </c>
      <c r="C8240" s="51">
        <v>1.0</v>
      </c>
      <c r="D8240" s="51">
        <v>69.0</v>
      </c>
      <c r="E8240" s="52" t="s">
        <v>25</v>
      </c>
      <c r="F8240" s="52" t="s">
        <v>26</v>
      </c>
      <c r="G8240" s="54"/>
    </row>
    <row r="8241">
      <c r="A8241" s="49">
        <v>45107.829556701385</v>
      </c>
      <c r="B8241" s="50">
        <v>45107.9545255092</v>
      </c>
      <c r="C8241" s="51">
        <v>1.0</v>
      </c>
      <c r="D8241" s="51">
        <v>69.0</v>
      </c>
      <c r="E8241" s="52" t="s">
        <v>25</v>
      </c>
      <c r="F8241" s="52" t="s">
        <v>26</v>
      </c>
      <c r="G8241" s="54"/>
    </row>
    <row r="8242">
      <c r="A8242" s="49">
        <v>45107.83997164352</v>
      </c>
      <c r="B8242" s="50">
        <v>45107.9649452546</v>
      </c>
      <c r="C8242" s="51">
        <v>1.0</v>
      </c>
      <c r="D8242" s="51">
        <v>69.0</v>
      </c>
      <c r="E8242" s="52" t="s">
        <v>25</v>
      </c>
      <c r="F8242" s="52" t="s">
        <v>26</v>
      </c>
      <c r="G8242" s="54"/>
    </row>
    <row r="8243">
      <c r="A8243" s="49">
        <v>45107.850383576384</v>
      </c>
      <c r="B8243" s="50">
        <v>45107.9753647338</v>
      </c>
      <c r="C8243" s="51">
        <v>1.0</v>
      </c>
      <c r="D8243" s="51">
        <v>69.0</v>
      </c>
      <c r="E8243" s="52" t="s">
        <v>25</v>
      </c>
      <c r="F8243" s="52" t="s">
        <v>26</v>
      </c>
      <c r="G8243" s="54"/>
    </row>
    <row r="8244">
      <c r="A8244" s="49">
        <v>45107.86081496528</v>
      </c>
      <c r="B8244" s="50">
        <v>45107.9857866782</v>
      </c>
      <c r="C8244" s="51">
        <v>1.0</v>
      </c>
      <c r="D8244" s="51">
        <v>69.0</v>
      </c>
      <c r="E8244" s="52" t="s">
        <v>25</v>
      </c>
      <c r="F8244" s="52" t="s">
        <v>26</v>
      </c>
      <c r="G8244" s="54"/>
    </row>
    <row r="8245">
      <c r="A8245" s="49">
        <v>45107.87123282407</v>
      </c>
      <c r="B8245" s="50">
        <v>45107.996207199</v>
      </c>
      <c r="C8245" s="51">
        <v>1.0</v>
      </c>
      <c r="D8245" s="51">
        <v>69.0</v>
      </c>
      <c r="E8245" s="52" t="s">
        <v>25</v>
      </c>
      <c r="F8245" s="52" t="s">
        <v>26</v>
      </c>
      <c r="G8245" s="54"/>
    </row>
    <row r="8246">
      <c r="A8246" s="49">
        <v>45107.88165030093</v>
      </c>
      <c r="B8246" s="50">
        <v>45108.006628125</v>
      </c>
      <c r="C8246" s="51">
        <v>1.0</v>
      </c>
      <c r="D8246" s="51">
        <v>69.0</v>
      </c>
      <c r="E8246" s="52" t="s">
        <v>25</v>
      </c>
      <c r="F8246" s="52" t="s">
        <v>26</v>
      </c>
      <c r="G8246" s="54"/>
    </row>
    <row r="8247">
      <c r="A8247" s="49">
        <v>45107.89207434028</v>
      </c>
      <c r="B8247" s="50">
        <v>45108.0170509259</v>
      </c>
      <c r="C8247" s="51">
        <v>1.0</v>
      </c>
      <c r="D8247" s="51">
        <v>69.0</v>
      </c>
      <c r="E8247" s="52" t="s">
        <v>25</v>
      </c>
      <c r="F8247" s="52" t="s">
        <v>26</v>
      </c>
      <c r="G8247" s="54"/>
    </row>
    <row r="8248">
      <c r="A8248" s="49">
        <v>45107.902498854164</v>
      </c>
      <c r="B8248" s="50">
        <v>45108.0274716319</v>
      </c>
      <c r="C8248" s="51">
        <v>1.0</v>
      </c>
      <c r="D8248" s="51">
        <v>69.0</v>
      </c>
      <c r="E8248" s="52" t="s">
        <v>25</v>
      </c>
      <c r="F8248" s="52" t="s">
        <v>26</v>
      </c>
      <c r="G8248" s="54"/>
    </row>
    <row r="8249">
      <c r="A8249" s="49">
        <v>45107.912923020835</v>
      </c>
      <c r="B8249" s="50">
        <v>45108.0378936574</v>
      </c>
      <c r="C8249" s="51">
        <v>1.0</v>
      </c>
      <c r="D8249" s="51">
        <v>69.0</v>
      </c>
      <c r="E8249" s="52" t="s">
        <v>25</v>
      </c>
      <c r="F8249" s="52" t="s">
        <v>26</v>
      </c>
      <c r="G8249" s="54"/>
    </row>
    <row r="8250">
      <c r="A8250" s="49">
        <v>45107.923341319445</v>
      </c>
      <c r="B8250" s="50">
        <v>45108.0483143634</v>
      </c>
      <c r="C8250" s="51">
        <v>1.0</v>
      </c>
      <c r="D8250" s="51">
        <v>69.0</v>
      </c>
      <c r="E8250" s="52" t="s">
        <v>25</v>
      </c>
      <c r="F8250" s="52" t="s">
        <v>26</v>
      </c>
      <c r="G8250" s="54"/>
    </row>
    <row r="8251">
      <c r="A8251" s="49">
        <v>45107.933752060184</v>
      </c>
      <c r="B8251" s="50">
        <v>45108.0587341666</v>
      </c>
      <c r="C8251" s="51">
        <v>1.0</v>
      </c>
      <c r="D8251" s="51">
        <v>69.0</v>
      </c>
      <c r="E8251" s="52" t="s">
        <v>25</v>
      </c>
      <c r="F8251" s="52" t="s">
        <v>26</v>
      </c>
      <c r="G8251" s="54"/>
    </row>
    <row r="8252">
      <c r="A8252" s="49">
        <v>45107.944181122686</v>
      </c>
      <c r="B8252" s="50">
        <v>45108.0691548263</v>
      </c>
      <c r="C8252" s="51">
        <v>1.0</v>
      </c>
      <c r="D8252" s="51">
        <v>69.0</v>
      </c>
      <c r="E8252" s="52" t="s">
        <v>25</v>
      </c>
      <c r="F8252" s="52" t="s">
        <v>26</v>
      </c>
      <c r="G8252" s="54"/>
    </row>
    <row r="8253">
      <c r="A8253" s="49">
        <v>45107.95462200232</v>
      </c>
      <c r="B8253" s="50">
        <v>45108.0795974074</v>
      </c>
      <c r="C8253" s="51">
        <v>1.0</v>
      </c>
      <c r="D8253" s="51">
        <v>69.0</v>
      </c>
      <c r="E8253" s="52" t="s">
        <v>25</v>
      </c>
      <c r="F8253" s="52" t="s">
        <v>26</v>
      </c>
      <c r="G8253" s="54"/>
    </row>
    <row r="8254">
      <c r="A8254" s="49">
        <v>45107.965038055554</v>
      </c>
      <c r="B8254" s="50">
        <v>45108.0900197916</v>
      </c>
      <c r="C8254" s="51">
        <v>1.0</v>
      </c>
      <c r="D8254" s="51">
        <v>69.0</v>
      </c>
      <c r="E8254" s="52" t="s">
        <v>25</v>
      </c>
      <c r="F8254" s="52" t="s">
        <v>26</v>
      </c>
      <c r="G8254" s="54"/>
    </row>
    <row r="8255">
      <c r="A8255" s="49">
        <v>45107.975465497686</v>
      </c>
      <c r="B8255" s="50">
        <v>45108.1004417708</v>
      </c>
      <c r="C8255" s="51">
        <v>1.0</v>
      </c>
      <c r="D8255" s="51">
        <v>69.0</v>
      </c>
      <c r="E8255" s="52" t="s">
        <v>25</v>
      </c>
      <c r="F8255" s="52" t="s">
        <v>26</v>
      </c>
      <c r="G8255" s="54"/>
    </row>
    <row r="8256">
      <c r="A8256" s="49">
        <v>45107.98588479166</v>
      </c>
      <c r="B8256" s="50">
        <v>45108.1108633912</v>
      </c>
      <c r="C8256" s="51">
        <v>1.0</v>
      </c>
      <c r="D8256" s="51">
        <v>69.0</v>
      </c>
      <c r="E8256" s="52" t="s">
        <v>25</v>
      </c>
      <c r="F8256" s="52" t="s">
        <v>26</v>
      </c>
      <c r="G8256" s="54"/>
    </row>
    <row r="8257">
      <c r="A8257" s="49">
        <v>45107.99631421296</v>
      </c>
      <c r="B8257" s="50">
        <v>45108.1212861342</v>
      </c>
      <c r="C8257" s="51">
        <v>1.0</v>
      </c>
      <c r="D8257" s="51">
        <v>69.0</v>
      </c>
      <c r="E8257" s="52" t="s">
        <v>25</v>
      </c>
      <c r="F8257" s="52" t="s">
        <v>26</v>
      </c>
      <c r="G8257" s="54"/>
    </row>
    <row r="8258">
      <c r="A8258" s="49">
        <v>45108.00673616898</v>
      </c>
      <c r="B8258" s="50">
        <v>45108.1317068402</v>
      </c>
      <c r="C8258" s="51">
        <v>1.0</v>
      </c>
      <c r="D8258" s="51">
        <v>69.0</v>
      </c>
      <c r="E8258" s="52" t="s">
        <v>25</v>
      </c>
      <c r="F8258" s="52" t="s">
        <v>26</v>
      </c>
      <c r="G8258" s="54"/>
    </row>
    <row r="8259">
      <c r="A8259" s="49">
        <v>45108.01714765046</v>
      </c>
      <c r="B8259" s="50">
        <v>45108.1421271296</v>
      </c>
      <c r="C8259" s="51">
        <v>1.0</v>
      </c>
      <c r="D8259" s="51">
        <v>69.0</v>
      </c>
      <c r="E8259" s="52" t="s">
        <v>25</v>
      </c>
      <c r="F8259" s="52" t="s">
        <v>26</v>
      </c>
      <c r="G8259" s="54"/>
    </row>
    <row r="8260">
      <c r="A8260" s="49">
        <v>45108.0275712963</v>
      </c>
      <c r="B8260" s="50">
        <v>45108.1525464699</v>
      </c>
      <c r="C8260" s="51">
        <v>1.0</v>
      </c>
      <c r="D8260" s="51">
        <v>69.0</v>
      </c>
      <c r="E8260" s="52" t="s">
        <v>25</v>
      </c>
      <c r="F8260" s="52" t="s">
        <v>26</v>
      </c>
      <c r="G8260" s="54"/>
    </row>
    <row r="8261">
      <c r="A8261" s="49">
        <v>45108.03800152778</v>
      </c>
      <c r="B8261" s="50">
        <v>45108.16297875</v>
      </c>
      <c r="C8261" s="51">
        <v>0.999</v>
      </c>
      <c r="D8261" s="51">
        <v>69.0</v>
      </c>
      <c r="E8261" s="52" t="s">
        <v>25</v>
      </c>
      <c r="F8261" s="52" t="s">
        <v>26</v>
      </c>
      <c r="G8261" s="54"/>
    </row>
    <row r="8262">
      <c r="A8262" s="49">
        <v>45108.048431400464</v>
      </c>
      <c r="B8262" s="50">
        <v>45108.173400706</v>
      </c>
      <c r="C8262" s="51">
        <v>1.0</v>
      </c>
      <c r="D8262" s="51">
        <v>69.0</v>
      </c>
      <c r="E8262" s="52" t="s">
        <v>25</v>
      </c>
      <c r="F8262" s="52" t="s">
        <v>26</v>
      </c>
      <c r="G8262" s="54"/>
    </row>
    <row r="8263">
      <c r="A8263" s="49">
        <v>45108.058846053245</v>
      </c>
      <c r="B8263" s="50">
        <v>45108.1838208564</v>
      </c>
      <c r="C8263" s="51">
        <v>1.0</v>
      </c>
      <c r="D8263" s="51">
        <v>69.0</v>
      </c>
      <c r="E8263" s="52" t="s">
        <v>25</v>
      </c>
      <c r="F8263" s="52" t="s">
        <v>26</v>
      </c>
      <c r="G8263" s="54"/>
    </row>
    <row r="8264">
      <c r="A8264" s="49">
        <v>45108.069301365744</v>
      </c>
      <c r="B8264" s="50">
        <v>45108.1942771412</v>
      </c>
      <c r="C8264" s="51">
        <v>1.0</v>
      </c>
      <c r="D8264" s="51">
        <v>69.0</v>
      </c>
      <c r="E8264" s="52" t="s">
        <v>25</v>
      </c>
      <c r="F8264" s="52" t="s">
        <v>26</v>
      </c>
      <c r="G8264" s="54"/>
    </row>
    <row r="8265">
      <c r="A8265" s="49">
        <v>45108.079719236106</v>
      </c>
      <c r="B8265" s="50">
        <v>45108.2046984027</v>
      </c>
      <c r="C8265" s="51">
        <v>1.0</v>
      </c>
      <c r="D8265" s="51">
        <v>69.0</v>
      </c>
      <c r="E8265" s="52" t="s">
        <v>25</v>
      </c>
      <c r="F8265" s="52" t="s">
        <v>26</v>
      </c>
      <c r="G8265" s="54"/>
    </row>
    <row r="8266">
      <c r="A8266" s="49">
        <v>45108.090148194446</v>
      </c>
      <c r="B8266" s="50">
        <v>45108.2151205787</v>
      </c>
      <c r="C8266" s="51">
        <v>1.0</v>
      </c>
      <c r="D8266" s="51">
        <v>69.0</v>
      </c>
      <c r="E8266" s="52" t="s">
        <v>25</v>
      </c>
      <c r="F8266" s="52" t="s">
        <v>26</v>
      </c>
      <c r="G8266" s="54"/>
    </row>
    <row r="8267">
      <c r="A8267" s="49">
        <v>45108.10057709491</v>
      </c>
      <c r="B8267" s="50">
        <v>45108.2255528009</v>
      </c>
      <c r="C8267" s="51">
        <v>1.0</v>
      </c>
      <c r="D8267" s="51">
        <v>69.0</v>
      </c>
      <c r="E8267" s="52" t="s">
        <v>25</v>
      </c>
      <c r="F8267" s="52" t="s">
        <v>26</v>
      </c>
      <c r="G8267" s="54"/>
    </row>
    <row r="8268">
      <c r="A8268" s="49">
        <v>45108.11101202546</v>
      </c>
      <c r="B8268" s="50">
        <v>45108.235984537</v>
      </c>
      <c r="C8268" s="51">
        <v>1.0</v>
      </c>
      <c r="D8268" s="51">
        <v>69.0</v>
      </c>
      <c r="E8268" s="52" t="s">
        <v>25</v>
      </c>
      <c r="F8268" s="52" t="s">
        <v>26</v>
      </c>
      <c r="G8268" s="54"/>
    </row>
    <row r="8269">
      <c r="A8269" s="49">
        <v>45108.12143164352</v>
      </c>
      <c r="B8269" s="50">
        <v>45108.2464057176</v>
      </c>
      <c r="C8269" s="51">
        <v>0.999</v>
      </c>
      <c r="D8269" s="51">
        <v>69.0</v>
      </c>
      <c r="E8269" s="52" t="s">
        <v>25</v>
      </c>
      <c r="F8269" s="52" t="s">
        <v>26</v>
      </c>
      <c r="G8269" s="54"/>
    </row>
    <row r="8270">
      <c r="A8270" s="49">
        <v>45108.1318521412</v>
      </c>
      <c r="B8270" s="50">
        <v>45108.2568273148</v>
      </c>
      <c r="C8270" s="51">
        <v>1.0</v>
      </c>
      <c r="D8270" s="51">
        <v>69.0</v>
      </c>
      <c r="E8270" s="52" t="s">
        <v>25</v>
      </c>
      <c r="F8270" s="52" t="s">
        <v>26</v>
      </c>
      <c r="G8270" s="54"/>
    </row>
    <row r="8271">
      <c r="A8271" s="49">
        <v>45108.14229128472</v>
      </c>
      <c r="B8271" s="50">
        <v>45108.2672602777</v>
      </c>
      <c r="C8271" s="51">
        <v>1.0</v>
      </c>
      <c r="D8271" s="51">
        <v>69.0</v>
      </c>
      <c r="E8271" s="52" t="s">
        <v>25</v>
      </c>
      <c r="F8271" s="52" t="s">
        <v>26</v>
      </c>
      <c r="G8271" s="54"/>
    </row>
    <row r="8272">
      <c r="A8272" s="49">
        <v>45108.15270944445</v>
      </c>
      <c r="B8272" s="50">
        <v>45108.2776831828</v>
      </c>
      <c r="C8272" s="51">
        <v>1.0</v>
      </c>
      <c r="D8272" s="51">
        <v>69.0</v>
      </c>
      <c r="E8272" s="52" t="s">
        <v>25</v>
      </c>
      <c r="F8272" s="52" t="s">
        <v>26</v>
      </c>
      <c r="G8272" s="54"/>
    </row>
    <row r="8273">
      <c r="A8273" s="49">
        <v>45108.163140358796</v>
      </c>
      <c r="B8273" s="50">
        <v>45108.2881163541</v>
      </c>
      <c r="C8273" s="51">
        <v>1.0</v>
      </c>
      <c r="D8273" s="51">
        <v>69.0</v>
      </c>
      <c r="E8273" s="52" t="s">
        <v>25</v>
      </c>
      <c r="F8273" s="52" t="s">
        <v>26</v>
      </c>
      <c r="G8273" s="54"/>
    </row>
    <row r="8274">
      <c r="A8274" s="49">
        <v>45108.17355902778</v>
      </c>
      <c r="B8274" s="50">
        <v>45108.2985392939</v>
      </c>
      <c r="C8274" s="51">
        <v>1.0</v>
      </c>
      <c r="D8274" s="51">
        <v>69.0</v>
      </c>
      <c r="E8274" s="52" t="s">
        <v>25</v>
      </c>
      <c r="F8274" s="52" t="s">
        <v>26</v>
      </c>
      <c r="G8274" s="54"/>
    </row>
    <row r="8275">
      <c r="A8275" s="49">
        <v>45108.183984814816</v>
      </c>
      <c r="B8275" s="50">
        <v>45108.3089615162</v>
      </c>
      <c r="C8275" s="51">
        <v>1.0</v>
      </c>
      <c r="D8275" s="51">
        <v>69.0</v>
      </c>
      <c r="E8275" s="52" t="s">
        <v>25</v>
      </c>
      <c r="F8275" s="52" t="s">
        <v>26</v>
      </c>
      <c r="G8275" s="54"/>
    </row>
    <row r="8276">
      <c r="A8276" s="49">
        <v>45108.194411874996</v>
      </c>
      <c r="B8276" s="50">
        <v>45108.3193836921</v>
      </c>
      <c r="C8276" s="51">
        <v>1.0</v>
      </c>
      <c r="D8276" s="51">
        <v>69.0</v>
      </c>
      <c r="E8276" s="52" t="s">
        <v>25</v>
      </c>
      <c r="F8276" s="52" t="s">
        <v>26</v>
      </c>
      <c r="G8276" s="54"/>
    </row>
    <row r="8277">
      <c r="A8277" s="49">
        <v>45108.204830312505</v>
      </c>
      <c r="B8277" s="50">
        <v>45108.329804155</v>
      </c>
      <c r="C8277" s="51">
        <v>1.0</v>
      </c>
      <c r="D8277" s="51">
        <v>69.0</v>
      </c>
      <c r="E8277" s="52" t="s">
        <v>25</v>
      </c>
      <c r="F8277" s="52" t="s">
        <v>26</v>
      </c>
      <c r="G8277" s="54"/>
    </row>
    <row r="8278">
      <c r="A8278" s="49">
        <v>45108.21524695602</v>
      </c>
      <c r="B8278" s="50">
        <v>45108.3402261226</v>
      </c>
      <c r="C8278" s="51">
        <v>1.0</v>
      </c>
      <c r="D8278" s="51">
        <v>69.0</v>
      </c>
      <c r="E8278" s="52" t="s">
        <v>25</v>
      </c>
      <c r="F8278" s="52" t="s">
        <v>26</v>
      </c>
      <c r="G8278" s="54"/>
    </row>
    <row r="8279">
      <c r="A8279" s="49">
        <v>45108.22566444444</v>
      </c>
      <c r="B8279" s="50">
        <v>45108.3506460069</v>
      </c>
      <c r="C8279" s="51">
        <v>1.0</v>
      </c>
      <c r="D8279" s="51">
        <v>69.0</v>
      </c>
      <c r="E8279" s="52" t="s">
        <v>25</v>
      </c>
      <c r="F8279" s="52" t="s">
        <v>26</v>
      </c>
      <c r="G8279" s="54"/>
    </row>
    <row r="8280">
      <c r="A8280" s="49">
        <v>45108.23609356482</v>
      </c>
      <c r="B8280" s="50">
        <v>45108.3610659259</v>
      </c>
      <c r="C8280" s="51">
        <v>1.0</v>
      </c>
      <c r="D8280" s="51">
        <v>69.0</v>
      </c>
      <c r="E8280" s="52" t="s">
        <v>25</v>
      </c>
      <c r="F8280" s="52" t="s">
        <v>26</v>
      </c>
      <c r="G8280" s="54"/>
    </row>
    <row r="8281">
      <c r="A8281" s="49">
        <v>45108.246505856485</v>
      </c>
      <c r="B8281" s="50">
        <v>45108.3714859375</v>
      </c>
      <c r="C8281" s="51">
        <v>1.0</v>
      </c>
      <c r="D8281" s="51">
        <v>69.0</v>
      </c>
      <c r="E8281" s="52" t="s">
        <v>25</v>
      </c>
      <c r="F8281" s="52" t="s">
        <v>26</v>
      </c>
      <c r="G8281" s="54"/>
    </row>
    <row r="8282">
      <c r="A8282" s="49">
        <v>45108.256932777775</v>
      </c>
      <c r="B8282" s="50">
        <v>45108.3819059375</v>
      </c>
      <c r="C8282" s="51">
        <v>0.999</v>
      </c>
      <c r="D8282" s="51">
        <v>69.0</v>
      </c>
      <c r="E8282" s="52" t="s">
        <v>25</v>
      </c>
      <c r="F8282" s="52" t="s">
        <v>26</v>
      </c>
      <c r="G8282" s="54"/>
    </row>
    <row r="8283">
      <c r="A8283" s="49">
        <v>45108.267359942125</v>
      </c>
      <c r="B8283" s="50">
        <v>45108.3923394097</v>
      </c>
      <c r="C8283" s="51">
        <v>1.0</v>
      </c>
      <c r="D8283" s="51">
        <v>69.0</v>
      </c>
      <c r="E8283" s="52" t="s">
        <v>25</v>
      </c>
      <c r="F8283" s="52" t="s">
        <v>26</v>
      </c>
      <c r="G8283" s="54"/>
    </row>
    <row r="8284">
      <c r="A8284" s="49">
        <v>45108.27778539352</v>
      </c>
      <c r="B8284" s="50">
        <v>45108.40276</v>
      </c>
      <c r="C8284" s="51">
        <v>1.0</v>
      </c>
      <c r="D8284" s="51">
        <v>69.0</v>
      </c>
      <c r="E8284" s="52" t="s">
        <v>25</v>
      </c>
      <c r="F8284" s="52" t="s">
        <v>26</v>
      </c>
      <c r="G8284" s="54"/>
    </row>
    <row r="8285">
      <c r="A8285" s="49">
        <v>45108.28820707176</v>
      </c>
      <c r="B8285" s="50">
        <v>45108.4131799421</v>
      </c>
      <c r="C8285" s="51">
        <v>1.0</v>
      </c>
      <c r="D8285" s="51">
        <v>69.0</v>
      </c>
      <c r="E8285" s="52" t="s">
        <v>25</v>
      </c>
      <c r="F8285" s="52" t="s">
        <v>26</v>
      </c>
      <c r="G8285" s="54"/>
    </row>
    <row r="8286">
      <c r="A8286" s="49">
        <v>45108.298628460645</v>
      </c>
      <c r="B8286" s="50">
        <v>45108.4236010763</v>
      </c>
      <c r="C8286" s="51">
        <v>1.0</v>
      </c>
      <c r="D8286" s="51">
        <v>69.0</v>
      </c>
      <c r="E8286" s="52" t="s">
        <v>25</v>
      </c>
      <c r="F8286" s="52" t="s">
        <v>26</v>
      </c>
      <c r="G8286" s="54"/>
    </row>
    <row r="8287">
      <c r="A8287" s="49">
        <v>45108.30907790509</v>
      </c>
      <c r="B8287" s="50">
        <v>45108.4340434722</v>
      </c>
      <c r="C8287" s="51">
        <v>1.0</v>
      </c>
      <c r="D8287" s="51">
        <v>69.0</v>
      </c>
      <c r="E8287" s="52" t="s">
        <v>25</v>
      </c>
      <c r="F8287" s="52" t="s">
        <v>26</v>
      </c>
      <c r="G8287" s="54"/>
    </row>
    <row r="8288">
      <c r="A8288" s="49">
        <v>45108.31948373842</v>
      </c>
      <c r="B8288" s="50">
        <v>45108.4444638078</v>
      </c>
      <c r="C8288" s="51">
        <v>1.0</v>
      </c>
      <c r="D8288" s="51">
        <v>69.0</v>
      </c>
      <c r="E8288" s="52" t="s">
        <v>25</v>
      </c>
      <c r="F8288" s="52" t="s">
        <v>26</v>
      </c>
      <c r="G8288" s="54"/>
    </row>
    <row r="8289">
      <c r="A8289" s="49">
        <v>45108.32990650463</v>
      </c>
      <c r="B8289" s="50">
        <v>45108.4548844328</v>
      </c>
      <c r="C8289" s="51">
        <v>1.0</v>
      </c>
      <c r="D8289" s="51">
        <v>69.0</v>
      </c>
      <c r="E8289" s="52" t="s">
        <v>25</v>
      </c>
      <c r="F8289" s="52" t="s">
        <v>26</v>
      </c>
      <c r="G8289" s="54"/>
    </row>
    <row r="8290">
      <c r="A8290" s="49">
        <v>45108.3403387963</v>
      </c>
      <c r="B8290" s="50">
        <v>45108.4653052662</v>
      </c>
      <c r="C8290" s="51">
        <v>1.0</v>
      </c>
      <c r="D8290" s="51">
        <v>69.0</v>
      </c>
      <c r="E8290" s="52" t="s">
        <v>25</v>
      </c>
      <c r="F8290" s="52" t="s">
        <v>26</v>
      </c>
      <c r="G8290" s="54"/>
    </row>
    <row r="8291">
      <c r="A8291" s="49">
        <v>45108.35075528936</v>
      </c>
      <c r="B8291" s="50">
        <v>45108.4757252893</v>
      </c>
      <c r="C8291" s="51">
        <v>1.0</v>
      </c>
      <c r="D8291" s="51">
        <v>69.0</v>
      </c>
      <c r="E8291" s="52" t="s">
        <v>25</v>
      </c>
      <c r="F8291" s="52" t="s">
        <v>26</v>
      </c>
      <c r="G8291" s="54"/>
    </row>
    <row r="8292">
      <c r="A8292" s="49">
        <v>45108.361164421294</v>
      </c>
      <c r="B8292" s="50">
        <v>45108.4861456944</v>
      </c>
      <c r="C8292" s="51">
        <v>1.0</v>
      </c>
      <c r="D8292" s="51">
        <v>69.0</v>
      </c>
      <c r="E8292" s="52" t="s">
        <v>25</v>
      </c>
      <c r="F8292" s="52" t="s">
        <v>26</v>
      </c>
      <c r="G8292" s="54"/>
    </row>
    <row r="8293">
      <c r="A8293" s="49">
        <v>45108.371595000004</v>
      </c>
      <c r="B8293" s="50">
        <v>45108.4965684722</v>
      </c>
      <c r="C8293" s="51">
        <v>1.0</v>
      </c>
      <c r="D8293" s="51">
        <v>69.0</v>
      </c>
      <c r="E8293" s="52" t="s">
        <v>25</v>
      </c>
      <c r="F8293" s="52" t="s">
        <v>26</v>
      </c>
      <c r="G8293" s="54"/>
    </row>
    <row r="8294">
      <c r="A8294" s="49">
        <v>45108.38201543981</v>
      </c>
      <c r="B8294" s="50">
        <v>45108.5069893518</v>
      </c>
      <c r="C8294" s="51">
        <v>1.0</v>
      </c>
      <c r="D8294" s="51">
        <v>69.0</v>
      </c>
      <c r="E8294" s="52" t="s">
        <v>25</v>
      </c>
      <c r="F8294" s="52" t="s">
        <v>26</v>
      </c>
      <c r="G8294" s="54"/>
    </row>
    <row r="8295">
      <c r="A8295" s="49">
        <v>45108.39244027778</v>
      </c>
      <c r="B8295" s="50">
        <v>45108.5174110069</v>
      </c>
      <c r="C8295" s="51">
        <v>1.0</v>
      </c>
      <c r="D8295" s="51">
        <v>69.0</v>
      </c>
      <c r="E8295" s="52" t="s">
        <v>25</v>
      </c>
      <c r="F8295" s="52" t="s">
        <v>26</v>
      </c>
      <c r="G8295" s="54"/>
    </row>
    <row r="8296">
      <c r="A8296" s="49">
        <v>45108.40285824074</v>
      </c>
      <c r="B8296" s="50">
        <v>45108.5278317939</v>
      </c>
      <c r="C8296" s="51">
        <v>0.999</v>
      </c>
      <c r="D8296" s="51">
        <v>69.0</v>
      </c>
      <c r="E8296" s="52" t="s">
        <v>25</v>
      </c>
      <c r="F8296" s="52" t="s">
        <v>26</v>
      </c>
      <c r="G8296" s="54"/>
    </row>
    <row r="8297">
      <c r="A8297" s="49">
        <v>45108.41327694444</v>
      </c>
      <c r="B8297" s="50">
        <v>45108.5382534606</v>
      </c>
      <c r="C8297" s="51">
        <v>1.0</v>
      </c>
      <c r="D8297" s="51">
        <v>69.0</v>
      </c>
      <c r="E8297" s="52" t="s">
        <v>25</v>
      </c>
      <c r="F8297" s="52" t="s">
        <v>26</v>
      </c>
      <c r="G8297" s="54"/>
    </row>
    <row r="8298">
      <c r="A8298" s="49">
        <v>45108.423715324076</v>
      </c>
      <c r="B8298" s="50">
        <v>45108.5486990393</v>
      </c>
      <c r="C8298" s="51">
        <v>1.0</v>
      </c>
      <c r="D8298" s="51">
        <v>69.0</v>
      </c>
      <c r="E8298" s="52" t="s">
        <v>25</v>
      </c>
      <c r="F8298" s="52" t="s">
        <v>26</v>
      </c>
      <c r="G8298" s="54"/>
    </row>
    <row r="8299">
      <c r="A8299" s="49">
        <v>45108.43415052083</v>
      </c>
      <c r="B8299" s="50">
        <v>45108.5591202199</v>
      </c>
      <c r="C8299" s="51">
        <v>1.0</v>
      </c>
      <c r="D8299" s="51">
        <v>69.0</v>
      </c>
      <c r="E8299" s="52" t="s">
        <v>25</v>
      </c>
      <c r="F8299" s="52" t="s">
        <v>26</v>
      </c>
      <c r="G8299" s="54"/>
    </row>
    <row r="8300">
      <c r="A8300" s="49">
        <v>45108.444568946754</v>
      </c>
      <c r="B8300" s="50">
        <v>45108.5695413657</v>
      </c>
      <c r="C8300" s="51">
        <v>1.0</v>
      </c>
      <c r="D8300" s="51">
        <v>69.0</v>
      </c>
      <c r="E8300" s="52" t="s">
        <v>25</v>
      </c>
      <c r="F8300" s="52" t="s">
        <v>26</v>
      </c>
      <c r="G8300" s="54"/>
    </row>
    <row r="8301">
      <c r="A8301" s="49">
        <v>45108.45499165509</v>
      </c>
      <c r="B8301" s="50">
        <v>45108.5799648148</v>
      </c>
      <c r="C8301" s="51">
        <v>1.0</v>
      </c>
      <c r="D8301" s="51">
        <v>69.0</v>
      </c>
      <c r="E8301" s="52" t="s">
        <v>25</v>
      </c>
      <c r="F8301" s="52" t="s">
        <v>26</v>
      </c>
      <c r="G8301" s="54"/>
    </row>
    <row r="8302">
      <c r="A8302" s="49">
        <v>45108.46541005787</v>
      </c>
      <c r="B8302" s="50">
        <v>45108.5903866203</v>
      </c>
      <c r="C8302" s="51">
        <v>0.999</v>
      </c>
      <c r="D8302" s="51">
        <v>69.0</v>
      </c>
      <c r="E8302" s="52" t="s">
        <v>25</v>
      </c>
      <c r="F8302" s="52" t="s">
        <v>26</v>
      </c>
      <c r="G8302" s="54"/>
    </row>
    <row r="8303">
      <c r="A8303" s="49">
        <v>45108.47586077546</v>
      </c>
      <c r="B8303" s="50">
        <v>45108.6008308101</v>
      </c>
      <c r="C8303" s="51">
        <v>1.0</v>
      </c>
      <c r="D8303" s="51">
        <v>69.0</v>
      </c>
      <c r="E8303" s="52" t="s">
        <v>25</v>
      </c>
      <c r="F8303" s="52" t="s">
        <v>26</v>
      </c>
      <c r="G8303" s="54"/>
    </row>
    <row r="8304">
      <c r="A8304" s="49">
        <v>45108.48627518519</v>
      </c>
      <c r="B8304" s="50">
        <v>45108.6112511574</v>
      </c>
      <c r="C8304" s="51">
        <v>1.0</v>
      </c>
      <c r="D8304" s="51">
        <v>69.0</v>
      </c>
      <c r="E8304" s="52" t="s">
        <v>25</v>
      </c>
      <c r="F8304" s="52" t="s">
        <v>26</v>
      </c>
      <c r="G8304" s="54"/>
    </row>
    <row r="8305">
      <c r="A8305" s="49">
        <v>45108.49669905093</v>
      </c>
      <c r="B8305" s="50">
        <v>45108.6216711226</v>
      </c>
      <c r="C8305" s="51">
        <v>1.0</v>
      </c>
      <c r="D8305" s="51">
        <v>69.0</v>
      </c>
      <c r="E8305" s="52" t="s">
        <v>25</v>
      </c>
      <c r="F8305" s="52" t="s">
        <v>26</v>
      </c>
      <c r="G8305" s="54"/>
    </row>
    <row r="8306">
      <c r="A8306" s="49">
        <v>45108.50710890046</v>
      </c>
      <c r="B8306" s="50">
        <v>45108.6320904398</v>
      </c>
      <c r="C8306" s="51">
        <v>1.0</v>
      </c>
      <c r="D8306" s="51">
        <v>69.0</v>
      </c>
      <c r="E8306" s="52" t="s">
        <v>25</v>
      </c>
      <c r="F8306" s="52" t="s">
        <v>26</v>
      </c>
      <c r="G8306" s="54"/>
    </row>
    <row r="8307">
      <c r="A8307" s="49">
        <v>45108.51754450232</v>
      </c>
      <c r="B8307" s="50">
        <v>45108.6425101736</v>
      </c>
      <c r="C8307" s="51">
        <v>1.0</v>
      </c>
      <c r="D8307" s="51">
        <v>69.0</v>
      </c>
      <c r="E8307" s="52" t="s">
        <v>25</v>
      </c>
      <c r="F8307" s="52" t="s">
        <v>26</v>
      </c>
      <c r="G8307" s="54"/>
    </row>
    <row r="8308">
      <c r="A8308" s="49">
        <v>45108.527956631944</v>
      </c>
      <c r="B8308" s="50">
        <v>45108.6529320486</v>
      </c>
      <c r="C8308" s="51">
        <v>1.0</v>
      </c>
      <c r="D8308" s="51">
        <v>69.0</v>
      </c>
      <c r="E8308" s="52" t="s">
        <v>25</v>
      </c>
      <c r="F8308" s="52" t="s">
        <v>26</v>
      </c>
      <c r="G8308" s="54"/>
    </row>
    <row r="8309">
      <c r="A8309" s="49">
        <v>45108.5383812963</v>
      </c>
      <c r="B8309" s="50">
        <v>45108.663353449</v>
      </c>
      <c r="C8309" s="51">
        <v>1.0</v>
      </c>
      <c r="D8309" s="51">
        <v>69.0</v>
      </c>
      <c r="E8309" s="52" t="s">
        <v>25</v>
      </c>
      <c r="F8309" s="52" t="s">
        <v>26</v>
      </c>
      <c r="G8309" s="54"/>
    </row>
    <row r="8310">
      <c r="A8310" s="49">
        <v>45108.548794594906</v>
      </c>
      <c r="B8310" s="50">
        <v>45108.6737732638</v>
      </c>
      <c r="C8310" s="51">
        <v>1.0</v>
      </c>
      <c r="D8310" s="51">
        <v>69.0</v>
      </c>
      <c r="E8310" s="52" t="s">
        <v>25</v>
      </c>
      <c r="F8310" s="52" t="s">
        <v>26</v>
      </c>
      <c r="G8310" s="54"/>
    </row>
    <row r="8311">
      <c r="A8311" s="49">
        <v>45108.55921959491</v>
      </c>
      <c r="B8311" s="50">
        <v>45108.6841942013</v>
      </c>
      <c r="C8311" s="51">
        <v>1.0</v>
      </c>
      <c r="D8311" s="51">
        <v>69.0</v>
      </c>
      <c r="E8311" s="52" t="s">
        <v>25</v>
      </c>
      <c r="F8311" s="52" t="s">
        <v>26</v>
      </c>
      <c r="G8311" s="54"/>
    </row>
    <row r="8312">
      <c r="A8312" s="49">
        <v>45108.56963869213</v>
      </c>
      <c r="B8312" s="50">
        <v>45108.6946158796</v>
      </c>
      <c r="C8312" s="51">
        <v>1.0</v>
      </c>
      <c r="D8312" s="51">
        <v>69.0</v>
      </c>
      <c r="E8312" s="52" t="s">
        <v>25</v>
      </c>
      <c r="F8312" s="52" t="s">
        <v>26</v>
      </c>
      <c r="G8312" s="54"/>
    </row>
    <row r="8313">
      <c r="A8313" s="49">
        <v>45108.58008166667</v>
      </c>
      <c r="B8313" s="50">
        <v>45108.7050351851</v>
      </c>
      <c r="C8313" s="51">
        <v>1.0</v>
      </c>
      <c r="D8313" s="51">
        <v>69.0</v>
      </c>
      <c r="E8313" s="52" t="s">
        <v>25</v>
      </c>
      <c r="F8313" s="52" t="s">
        <v>26</v>
      </c>
      <c r="G8313" s="54"/>
    </row>
    <row r="8314">
      <c r="A8314" s="49">
        <v>45108.59047542824</v>
      </c>
      <c r="B8314" s="50">
        <v>45108.715456412</v>
      </c>
      <c r="C8314" s="51">
        <v>1.0</v>
      </c>
      <c r="D8314" s="51">
        <v>69.0</v>
      </c>
      <c r="E8314" s="52" t="s">
        <v>25</v>
      </c>
      <c r="F8314" s="52" t="s">
        <v>26</v>
      </c>
      <c r="G8314" s="54"/>
    </row>
    <row r="8315">
      <c r="A8315" s="49">
        <v>45108.600903495375</v>
      </c>
      <c r="B8315" s="50">
        <v>45108.7258874884</v>
      </c>
      <c r="C8315" s="51">
        <v>0.999</v>
      </c>
      <c r="D8315" s="51">
        <v>69.0</v>
      </c>
      <c r="E8315" s="52" t="s">
        <v>25</v>
      </c>
      <c r="F8315" s="52" t="s">
        <v>26</v>
      </c>
      <c r="G8315" s="54"/>
    </row>
    <row r="8316">
      <c r="A8316" s="49">
        <v>45108.61133351852</v>
      </c>
      <c r="B8316" s="50">
        <v>45108.7363080324</v>
      </c>
      <c r="C8316" s="51">
        <v>1.0</v>
      </c>
      <c r="D8316" s="51">
        <v>69.0</v>
      </c>
      <c r="E8316" s="52" t="s">
        <v>25</v>
      </c>
      <c r="F8316" s="52" t="s">
        <v>26</v>
      </c>
      <c r="G8316" s="54"/>
    </row>
    <row r="8317">
      <c r="A8317" s="49">
        <v>45108.621746018514</v>
      </c>
      <c r="B8317" s="50">
        <v>45108.7467298726</v>
      </c>
      <c r="C8317" s="51">
        <v>1.0</v>
      </c>
      <c r="D8317" s="51">
        <v>69.0</v>
      </c>
      <c r="E8317" s="52" t="s">
        <v>25</v>
      </c>
      <c r="F8317" s="52" t="s">
        <v>26</v>
      </c>
      <c r="G8317" s="54"/>
    </row>
    <row r="8318">
      <c r="A8318" s="49">
        <v>45108.63217758102</v>
      </c>
      <c r="B8318" s="50">
        <v>45108.7571519675</v>
      </c>
      <c r="C8318" s="51">
        <v>1.0</v>
      </c>
      <c r="D8318" s="51">
        <v>69.0</v>
      </c>
      <c r="E8318" s="52" t="s">
        <v>25</v>
      </c>
      <c r="F8318" s="52" t="s">
        <v>26</v>
      </c>
      <c r="G8318" s="54"/>
    </row>
    <row r="8319">
      <c r="A8319" s="49">
        <v>45108.64260274306</v>
      </c>
      <c r="B8319" s="50">
        <v>45108.7675740625</v>
      </c>
      <c r="C8319" s="51">
        <v>0.999</v>
      </c>
      <c r="D8319" s="51">
        <v>69.0</v>
      </c>
      <c r="E8319" s="52" t="s">
        <v>25</v>
      </c>
      <c r="F8319" s="52" t="s">
        <v>26</v>
      </c>
      <c r="G8319" s="54"/>
    </row>
    <row r="8320">
      <c r="A8320" s="49">
        <v>45108.65303296296</v>
      </c>
      <c r="B8320" s="50">
        <v>45108.7780054166</v>
      </c>
      <c r="C8320" s="51">
        <v>1.0</v>
      </c>
      <c r="D8320" s="51">
        <v>69.0</v>
      </c>
      <c r="E8320" s="52" t="s">
        <v>25</v>
      </c>
      <c r="F8320" s="52" t="s">
        <v>26</v>
      </c>
      <c r="G8320" s="54"/>
    </row>
    <row r="8321">
      <c r="A8321" s="49">
        <v>45108.663449479165</v>
      </c>
      <c r="B8321" s="50">
        <v>45108.7884271064</v>
      </c>
      <c r="C8321" s="51">
        <v>1.0</v>
      </c>
      <c r="D8321" s="51">
        <v>69.0</v>
      </c>
      <c r="E8321" s="52" t="s">
        <v>25</v>
      </c>
      <c r="F8321" s="52" t="s">
        <v>26</v>
      </c>
      <c r="G8321" s="54"/>
    </row>
    <row r="8322">
      <c r="A8322" s="49">
        <v>45108.67387590278</v>
      </c>
      <c r="B8322" s="50">
        <v>45108.7988478472</v>
      </c>
      <c r="C8322" s="51">
        <v>1.0</v>
      </c>
      <c r="D8322" s="51">
        <v>69.0</v>
      </c>
      <c r="E8322" s="52" t="s">
        <v>25</v>
      </c>
      <c r="F8322" s="52" t="s">
        <v>26</v>
      </c>
      <c r="G8322" s="54"/>
    </row>
    <row r="8323">
      <c r="A8323" s="49">
        <v>45108.684295011575</v>
      </c>
      <c r="B8323" s="50">
        <v>45108.8092702662</v>
      </c>
      <c r="C8323" s="51">
        <v>1.0</v>
      </c>
      <c r="D8323" s="51">
        <v>69.0</v>
      </c>
      <c r="E8323" s="52" t="s">
        <v>25</v>
      </c>
      <c r="F8323" s="52" t="s">
        <v>26</v>
      </c>
      <c r="G8323" s="54"/>
    </row>
    <row r="8324">
      <c r="A8324" s="49">
        <v>45108.694719039355</v>
      </c>
      <c r="B8324" s="50">
        <v>45108.8196920949</v>
      </c>
      <c r="C8324" s="51">
        <v>1.0</v>
      </c>
      <c r="D8324" s="51">
        <v>69.0</v>
      </c>
      <c r="E8324" s="52" t="s">
        <v>25</v>
      </c>
      <c r="F8324" s="52" t="s">
        <v>26</v>
      </c>
      <c r="G8324" s="54"/>
    </row>
    <row r="8325">
      <c r="A8325" s="49">
        <v>45108.70513821759</v>
      </c>
      <c r="B8325" s="50">
        <v>45108.8301132523</v>
      </c>
      <c r="C8325" s="51">
        <v>1.0</v>
      </c>
      <c r="D8325" s="51">
        <v>69.0</v>
      </c>
      <c r="E8325" s="52" t="s">
        <v>25</v>
      </c>
      <c r="F8325" s="52" t="s">
        <v>26</v>
      </c>
      <c r="G8325" s="54"/>
    </row>
    <row r="8326">
      <c r="A8326" s="49">
        <v>45108.71554990741</v>
      </c>
      <c r="B8326" s="50">
        <v>45108.840532199</v>
      </c>
      <c r="C8326" s="51">
        <v>1.0</v>
      </c>
      <c r="D8326" s="51">
        <v>69.0</v>
      </c>
      <c r="E8326" s="52" t="s">
        <v>25</v>
      </c>
      <c r="F8326" s="52" t="s">
        <v>26</v>
      </c>
      <c r="G8326" s="54"/>
    </row>
    <row r="8327">
      <c r="A8327" s="49">
        <v>45108.7259778125</v>
      </c>
      <c r="B8327" s="50">
        <v>45108.8509548842</v>
      </c>
      <c r="C8327" s="51">
        <v>1.0</v>
      </c>
      <c r="D8327" s="51">
        <v>69.0</v>
      </c>
      <c r="E8327" s="52" t="s">
        <v>25</v>
      </c>
      <c r="F8327" s="52" t="s">
        <v>26</v>
      </c>
      <c r="G8327" s="54"/>
    </row>
    <row r="8328">
      <c r="A8328" s="49">
        <v>45108.73639585648</v>
      </c>
      <c r="B8328" s="50">
        <v>45108.8613755439</v>
      </c>
      <c r="C8328" s="51">
        <v>1.0</v>
      </c>
      <c r="D8328" s="51">
        <v>69.0</v>
      </c>
      <c r="E8328" s="52" t="s">
        <v>25</v>
      </c>
      <c r="F8328" s="52" t="s">
        <v>26</v>
      </c>
      <c r="G8328" s="54"/>
    </row>
    <row r="8329">
      <c r="A8329" s="49">
        <v>45108.74681525463</v>
      </c>
      <c r="B8329" s="50">
        <v>45108.8717975694</v>
      </c>
      <c r="C8329" s="51">
        <v>1.0</v>
      </c>
      <c r="D8329" s="51">
        <v>69.0</v>
      </c>
      <c r="E8329" s="52" t="s">
        <v>25</v>
      </c>
      <c r="F8329" s="52" t="s">
        <v>26</v>
      </c>
      <c r="G8329" s="54"/>
    </row>
    <row r="8330">
      <c r="A8330" s="49">
        <v>45108.75723697917</v>
      </c>
      <c r="B8330" s="50">
        <v>45108.8822185185</v>
      </c>
      <c r="C8330" s="51">
        <v>1.0</v>
      </c>
      <c r="D8330" s="51">
        <v>69.0</v>
      </c>
      <c r="E8330" s="52" t="s">
        <v>25</v>
      </c>
      <c r="F8330" s="52" t="s">
        <v>26</v>
      </c>
      <c r="G8330" s="54"/>
    </row>
    <row r="8331">
      <c r="A8331" s="49">
        <v>45108.76767990741</v>
      </c>
      <c r="B8331" s="50">
        <v>45108.8926522222</v>
      </c>
      <c r="C8331" s="51">
        <v>1.0</v>
      </c>
      <c r="D8331" s="51">
        <v>69.0</v>
      </c>
      <c r="E8331" s="52" t="s">
        <v>25</v>
      </c>
      <c r="F8331" s="52" t="s">
        <v>26</v>
      </c>
      <c r="G8331" s="54"/>
    </row>
    <row r="8332">
      <c r="A8332" s="49">
        <v>45108.77810163195</v>
      </c>
      <c r="B8332" s="50">
        <v>45108.9030734027</v>
      </c>
      <c r="C8332" s="51">
        <v>1.0</v>
      </c>
      <c r="D8332" s="51">
        <v>69.0</v>
      </c>
      <c r="E8332" s="52" t="s">
        <v>25</v>
      </c>
      <c r="F8332" s="52" t="s">
        <v>26</v>
      </c>
      <c r="G8332" s="54"/>
    </row>
    <row r="8333">
      <c r="A8333" s="49">
        <v>45108.7885109375</v>
      </c>
      <c r="B8333" s="50">
        <v>45108.9134940046</v>
      </c>
      <c r="C8333" s="51">
        <v>1.0</v>
      </c>
      <c r="D8333" s="51">
        <v>69.0</v>
      </c>
      <c r="E8333" s="52" t="s">
        <v>25</v>
      </c>
      <c r="F8333" s="52" t="s">
        <v>26</v>
      </c>
      <c r="G8333" s="54"/>
    </row>
    <row r="8334">
      <c r="A8334" s="49">
        <v>45108.798952557874</v>
      </c>
      <c r="B8334" s="50">
        <v>45108.9239271412</v>
      </c>
      <c r="C8334" s="51">
        <v>0.999</v>
      </c>
      <c r="D8334" s="51">
        <v>69.0</v>
      </c>
      <c r="E8334" s="52" t="s">
        <v>25</v>
      </c>
      <c r="F8334" s="52" t="s">
        <v>26</v>
      </c>
      <c r="G8334" s="54"/>
    </row>
    <row r="8335">
      <c r="A8335" s="49">
        <v>45108.809367905094</v>
      </c>
      <c r="B8335" s="50">
        <v>45108.9343473263</v>
      </c>
      <c r="C8335" s="51">
        <v>1.0</v>
      </c>
      <c r="D8335" s="51">
        <v>70.0</v>
      </c>
      <c r="E8335" s="52" t="s">
        <v>25</v>
      </c>
      <c r="F8335" s="52" t="s">
        <v>26</v>
      </c>
      <c r="G8335" s="54"/>
    </row>
    <row r="8336">
      <c r="A8336" s="49">
        <v>45108.81978371528</v>
      </c>
      <c r="B8336" s="50">
        <v>45108.9447673148</v>
      </c>
      <c r="C8336" s="51">
        <v>1.0</v>
      </c>
      <c r="D8336" s="51">
        <v>69.0</v>
      </c>
      <c r="E8336" s="52" t="s">
        <v>25</v>
      </c>
      <c r="F8336" s="52" t="s">
        <v>26</v>
      </c>
      <c r="G8336" s="54"/>
    </row>
    <row r="8337">
      <c r="A8337" s="49">
        <v>45108.83021240741</v>
      </c>
      <c r="B8337" s="50">
        <v>45108.9551881944</v>
      </c>
      <c r="C8337" s="51">
        <v>1.0</v>
      </c>
      <c r="D8337" s="51">
        <v>69.0</v>
      </c>
      <c r="E8337" s="52" t="s">
        <v>25</v>
      </c>
      <c r="F8337" s="52" t="s">
        <v>26</v>
      </c>
      <c r="G8337" s="54"/>
    </row>
    <row r="8338">
      <c r="A8338" s="49">
        <v>45108.84064248843</v>
      </c>
      <c r="B8338" s="50">
        <v>45108.9656095833</v>
      </c>
      <c r="C8338" s="51">
        <v>1.0</v>
      </c>
      <c r="D8338" s="51">
        <v>70.0</v>
      </c>
      <c r="E8338" s="52" t="s">
        <v>25</v>
      </c>
      <c r="F8338" s="52" t="s">
        <v>26</v>
      </c>
      <c r="G8338" s="54"/>
    </row>
    <row r="8339">
      <c r="A8339" s="49">
        <v>45108.85106596065</v>
      </c>
      <c r="B8339" s="50">
        <v>45108.9760433333</v>
      </c>
      <c r="C8339" s="51">
        <v>1.0</v>
      </c>
      <c r="D8339" s="51">
        <v>69.0</v>
      </c>
      <c r="E8339" s="52" t="s">
        <v>25</v>
      </c>
      <c r="F8339" s="52" t="s">
        <v>26</v>
      </c>
      <c r="G8339" s="54"/>
    </row>
    <row r="8340">
      <c r="A8340" s="49">
        <v>45108.86149121528</v>
      </c>
      <c r="B8340" s="50">
        <v>45108.9864638426</v>
      </c>
      <c r="C8340" s="51">
        <v>1.0</v>
      </c>
      <c r="D8340" s="51">
        <v>69.0</v>
      </c>
      <c r="E8340" s="52" t="s">
        <v>25</v>
      </c>
      <c r="F8340" s="52" t="s">
        <v>26</v>
      </c>
      <c r="G8340" s="54"/>
    </row>
    <row r="8341">
      <c r="A8341" s="49">
        <v>45108.87191728009</v>
      </c>
      <c r="B8341" s="50">
        <v>45108.9968835069</v>
      </c>
      <c r="C8341" s="51">
        <v>1.0</v>
      </c>
      <c r="D8341" s="51">
        <v>69.0</v>
      </c>
      <c r="E8341" s="52" t="s">
        <v>25</v>
      </c>
      <c r="F8341" s="52" t="s">
        <v>26</v>
      </c>
      <c r="G8341" s="54"/>
    </row>
    <row r="8342">
      <c r="A8342" s="49">
        <v>45108.88232048611</v>
      </c>
      <c r="B8342" s="50">
        <v>45109.0073042708</v>
      </c>
      <c r="C8342" s="51">
        <v>1.0</v>
      </c>
      <c r="D8342" s="51">
        <v>69.0</v>
      </c>
      <c r="E8342" s="52" t="s">
        <v>25</v>
      </c>
      <c r="F8342" s="52" t="s">
        <v>26</v>
      </c>
      <c r="G8342" s="54"/>
    </row>
    <row r="8343">
      <c r="A8343" s="49">
        <v>45108.892760856485</v>
      </c>
      <c r="B8343" s="50">
        <v>45109.017737199</v>
      </c>
      <c r="C8343" s="51">
        <v>1.0</v>
      </c>
      <c r="D8343" s="51">
        <v>70.0</v>
      </c>
      <c r="E8343" s="52" t="s">
        <v>25</v>
      </c>
      <c r="F8343" s="52" t="s">
        <v>26</v>
      </c>
      <c r="G8343" s="54"/>
    </row>
    <row r="8344">
      <c r="A8344" s="49">
        <v>45108.90318563658</v>
      </c>
      <c r="B8344" s="50">
        <v>45109.028158368</v>
      </c>
      <c r="C8344" s="51">
        <v>1.0</v>
      </c>
      <c r="D8344" s="51">
        <v>69.0</v>
      </c>
      <c r="E8344" s="52" t="s">
        <v>25</v>
      </c>
      <c r="F8344" s="52" t="s">
        <v>26</v>
      </c>
      <c r="G8344" s="54"/>
    </row>
    <row r="8345">
      <c r="A8345" s="49">
        <v>45108.91360675926</v>
      </c>
      <c r="B8345" s="50">
        <v>45109.0385809722</v>
      </c>
      <c r="C8345" s="51">
        <v>1.0</v>
      </c>
      <c r="D8345" s="51">
        <v>69.0</v>
      </c>
      <c r="E8345" s="52" t="s">
        <v>25</v>
      </c>
      <c r="F8345" s="52" t="s">
        <v>26</v>
      </c>
      <c r="G8345" s="54"/>
    </row>
    <row r="8346">
      <c r="A8346" s="49">
        <v>45108.92402868056</v>
      </c>
      <c r="B8346" s="50">
        <v>45109.0490025</v>
      </c>
      <c r="C8346" s="51">
        <v>1.0</v>
      </c>
      <c r="D8346" s="51">
        <v>70.0</v>
      </c>
      <c r="E8346" s="52" t="s">
        <v>25</v>
      </c>
      <c r="F8346" s="52" t="s">
        <v>26</v>
      </c>
      <c r="G8346" s="54"/>
    </row>
    <row r="8347">
      <c r="A8347" s="49">
        <v>45108.93446070602</v>
      </c>
      <c r="B8347" s="50">
        <v>45109.0594361458</v>
      </c>
      <c r="C8347" s="51">
        <v>1.0</v>
      </c>
      <c r="D8347" s="51">
        <v>70.0</v>
      </c>
      <c r="E8347" s="52" t="s">
        <v>25</v>
      </c>
      <c r="F8347" s="52" t="s">
        <v>26</v>
      </c>
      <c r="G8347" s="54"/>
    </row>
    <row r="8348">
      <c r="A8348" s="49">
        <v>45108.944881724536</v>
      </c>
      <c r="B8348" s="50">
        <v>45109.0698570833</v>
      </c>
      <c r="C8348" s="51">
        <v>1.0</v>
      </c>
      <c r="D8348" s="51">
        <v>70.0</v>
      </c>
      <c r="E8348" s="52" t="s">
        <v>25</v>
      </c>
      <c r="F8348" s="52" t="s">
        <v>26</v>
      </c>
      <c r="G8348" s="54"/>
    </row>
    <row r="8349">
      <c r="A8349" s="49">
        <v>45108.9553056713</v>
      </c>
      <c r="B8349" s="50">
        <v>45109.0802799884</v>
      </c>
      <c r="C8349" s="51">
        <v>1.0</v>
      </c>
      <c r="D8349" s="51">
        <v>70.0</v>
      </c>
      <c r="E8349" s="52" t="s">
        <v>25</v>
      </c>
      <c r="F8349" s="52" t="s">
        <v>26</v>
      </c>
      <c r="G8349" s="54"/>
    </row>
    <row r="8350">
      <c r="A8350" s="49">
        <v>45108.96573005787</v>
      </c>
      <c r="B8350" s="50">
        <v>45109.0907013194</v>
      </c>
      <c r="C8350" s="51">
        <v>1.0</v>
      </c>
      <c r="D8350" s="51">
        <v>70.0</v>
      </c>
      <c r="E8350" s="52" t="s">
        <v>25</v>
      </c>
      <c r="F8350" s="52" t="s">
        <v>26</v>
      </c>
      <c r="G8350" s="54"/>
    </row>
    <row r="8351">
      <c r="A8351" s="49">
        <v>45108.976145821754</v>
      </c>
      <c r="B8351" s="50">
        <v>45109.1011225</v>
      </c>
      <c r="C8351" s="51">
        <v>1.0</v>
      </c>
      <c r="D8351" s="51">
        <v>70.0</v>
      </c>
      <c r="E8351" s="52" t="s">
        <v>25</v>
      </c>
      <c r="F8351" s="52" t="s">
        <v>26</v>
      </c>
      <c r="G8351" s="54"/>
    </row>
    <row r="8352">
      <c r="A8352" s="49">
        <v>45108.98657386574</v>
      </c>
      <c r="B8352" s="50">
        <v>45109.1115545717</v>
      </c>
      <c r="C8352" s="51">
        <v>1.0</v>
      </c>
      <c r="D8352" s="51">
        <v>70.0</v>
      </c>
      <c r="E8352" s="52" t="s">
        <v>25</v>
      </c>
      <c r="F8352" s="52" t="s">
        <v>26</v>
      </c>
      <c r="G8352" s="54"/>
    </row>
    <row r="8353">
      <c r="A8353" s="49">
        <v>45108.99700271991</v>
      </c>
      <c r="B8353" s="50">
        <v>45109.1219751967</v>
      </c>
      <c r="C8353" s="51">
        <v>1.0</v>
      </c>
      <c r="D8353" s="51">
        <v>70.0</v>
      </c>
      <c r="E8353" s="52" t="s">
        <v>25</v>
      </c>
      <c r="F8353" s="52" t="s">
        <v>26</v>
      </c>
      <c r="G8353" s="54"/>
    </row>
    <row r="8354">
      <c r="A8354" s="49">
        <v>45109.007429097226</v>
      </c>
      <c r="B8354" s="50">
        <v>45109.1324067476</v>
      </c>
      <c r="C8354" s="51">
        <v>1.0</v>
      </c>
      <c r="D8354" s="51">
        <v>70.0</v>
      </c>
      <c r="E8354" s="52" t="s">
        <v>25</v>
      </c>
      <c r="F8354" s="52" t="s">
        <v>26</v>
      </c>
      <c r="G8354" s="54"/>
    </row>
    <row r="8355">
      <c r="A8355" s="49">
        <v>45109.01785716435</v>
      </c>
      <c r="B8355" s="50">
        <v>45109.1428275231</v>
      </c>
      <c r="C8355" s="51">
        <v>1.0</v>
      </c>
      <c r="D8355" s="51">
        <v>70.0</v>
      </c>
      <c r="E8355" s="52" t="s">
        <v>25</v>
      </c>
      <c r="F8355" s="52" t="s">
        <v>26</v>
      </c>
      <c r="G8355" s="54"/>
    </row>
    <row r="8356">
      <c r="A8356" s="49">
        <v>45109.02828513889</v>
      </c>
      <c r="B8356" s="50">
        <v>45109.1532605555</v>
      </c>
      <c r="C8356" s="51">
        <v>1.0</v>
      </c>
      <c r="D8356" s="51">
        <v>70.0</v>
      </c>
      <c r="E8356" s="52" t="s">
        <v>25</v>
      </c>
      <c r="F8356" s="52" t="s">
        <v>26</v>
      </c>
      <c r="G8356" s="54"/>
    </row>
    <row r="8357">
      <c r="A8357" s="49">
        <v>45109.038715717594</v>
      </c>
      <c r="B8357" s="50">
        <v>45109.1636942476</v>
      </c>
      <c r="C8357" s="51">
        <v>0.999</v>
      </c>
      <c r="D8357" s="51">
        <v>70.0</v>
      </c>
      <c r="E8357" s="52" t="s">
        <v>25</v>
      </c>
      <c r="F8357" s="52" t="s">
        <v>26</v>
      </c>
      <c r="G8357" s="54"/>
    </row>
    <row r="8358">
      <c r="A8358" s="49">
        <v>45109.049137951384</v>
      </c>
      <c r="B8358" s="50">
        <v>45109.1741153588</v>
      </c>
      <c r="C8358" s="51">
        <v>1.0</v>
      </c>
      <c r="D8358" s="51">
        <v>70.0</v>
      </c>
      <c r="E8358" s="52" t="s">
        <v>25</v>
      </c>
      <c r="F8358" s="52" t="s">
        <v>26</v>
      </c>
      <c r="G8358" s="54"/>
    </row>
    <row r="8359">
      <c r="A8359" s="49">
        <v>45109.05956621528</v>
      </c>
      <c r="B8359" s="50">
        <v>45109.1845373148</v>
      </c>
      <c r="C8359" s="51">
        <v>0.999</v>
      </c>
      <c r="D8359" s="51">
        <v>70.0</v>
      </c>
      <c r="E8359" s="52" t="s">
        <v>25</v>
      </c>
      <c r="F8359" s="52" t="s">
        <v>26</v>
      </c>
      <c r="G8359" s="54"/>
    </row>
    <row r="8360">
      <c r="A8360" s="49">
        <v>45109.069981099536</v>
      </c>
      <c r="B8360" s="50">
        <v>45109.1949572222</v>
      </c>
      <c r="C8360" s="51">
        <v>0.999</v>
      </c>
      <c r="D8360" s="51">
        <v>70.0</v>
      </c>
      <c r="E8360" s="52" t="s">
        <v>25</v>
      </c>
      <c r="F8360" s="52" t="s">
        <v>26</v>
      </c>
      <c r="G8360" s="54"/>
    </row>
    <row r="8361">
      <c r="A8361" s="49">
        <v>45109.080405960645</v>
      </c>
      <c r="B8361" s="50">
        <v>45109.2053794675</v>
      </c>
      <c r="C8361" s="51">
        <v>1.0</v>
      </c>
      <c r="D8361" s="51">
        <v>70.0</v>
      </c>
      <c r="E8361" s="52" t="s">
        <v>25</v>
      </c>
      <c r="F8361" s="52" t="s">
        <v>26</v>
      </c>
      <c r="G8361" s="54"/>
    </row>
    <row r="8362">
      <c r="A8362" s="49">
        <v>45109.09082719908</v>
      </c>
      <c r="B8362" s="50">
        <v>45109.2158005324</v>
      </c>
      <c r="C8362" s="51">
        <v>1.0</v>
      </c>
      <c r="D8362" s="51">
        <v>70.0</v>
      </c>
      <c r="E8362" s="52" t="s">
        <v>25</v>
      </c>
      <c r="F8362" s="52" t="s">
        <v>26</v>
      </c>
      <c r="G8362" s="54"/>
    </row>
    <row r="8363">
      <c r="A8363" s="49">
        <v>45109.10127388889</v>
      </c>
      <c r="B8363" s="50">
        <v>45109.2262446875</v>
      </c>
      <c r="C8363" s="51">
        <v>1.0</v>
      </c>
      <c r="D8363" s="51">
        <v>70.0</v>
      </c>
      <c r="E8363" s="52" t="s">
        <v>25</v>
      </c>
      <c r="F8363" s="52" t="s">
        <v>26</v>
      </c>
      <c r="G8363" s="54"/>
    </row>
    <row r="8364">
      <c r="A8364" s="49">
        <v>45109.11169884259</v>
      </c>
      <c r="B8364" s="50">
        <v>45109.2366663194</v>
      </c>
      <c r="C8364" s="51">
        <v>1.0</v>
      </c>
      <c r="D8364" s="51">
        <v>70.0</v>
      </c>
      <c r="E8364" s="52" t="s">
        <v>25</v>
      </c>
      <c r="F8364" s="52" t="s">
        <v>26</v>
      </c>
      <c r="G8364" s="54"/>
    </row>
    <row r="8365">
      <c r="A8365" s="49">
        <v>45109.12211483796</v>
      </c>
      <c r="B8365" s="50">
        <v>45109.2470856481</v>
      </c>
      <c r="C8365" s="51">
        <v>1.0</v>
      </c>
      <c r="D8365" s="51">
        <v>70.0</v>
      </c>
      <c r="E8365" s="52" t="s">
        <v>25</v>
      </c>
      <c r="F8365" s="52" t="s">
        <v>26</v>
      </c>
      <c r="G8365" s="54"/>
    </row>
    <row r="8366">
      <c r="A8366" s="49">
        <v>45109.13253074074</v>
      </c>
      <c r="B8366" s="50">
        <v>45109.2575066782</v>
      </c>
      <c r="C8366" s="51">
        <v>1.0</v>
      </c>
      <c r="D8366" s="51">
        <v>70.0</v>
      </c>
      <c r="E8366" s="52" t="s">
        <v>25</v>
      </c>
      <c r="F8366" s="52" t="s">
        <v>26</v>
      </c>
      <c r="G8366" s="54"/>
    </row>
    <row r="8367">
      <c r="A8367" s="49">
        <v>45109.142966168976</v>
      </c>
      <c r="B8367" s="50">
        <v>45109.2679401041</v>
      </c>
      <c r="C8367" s="51">
        <v>1.0</v>
      </c>
      <c r="D8367" s="51">
        <v>70.0</v>
      </c>
      <c r="E8367" s="52" t="s">
        <v>25</v>
      </c>
      <c r="F8367" s="52" t="s">
        <v>26</v>
      </c>
      <c r="G8367" s="54"/>
    </row>
    <row r="8368">
      <c r="A8368" s="49">
        <v>45109.15338740741</v>
      </c>
      <c r="B8368" s="50">
        <v>45109.2783615625</v>
      </c>
      <c r="C8368" s="51">
        <v>1.0</v>
      </c>
      <c r="D8368" s="51">
        <v>70.0</v>
      </c>
      <c r="E8368" s="52" t="s">
        <v>25</v>
      </c>
      <c r="F8368" s="52" t="s">
        <v>26</v>
      </c>
      <c r="G8368" s="54"/>
    </row>
    <row r="8369">
      <c r="A8369" s="49">
        <v>45109.16379924769</v>
      </c>
      <c r="B8369" s="50">
        <v>45109.2887822106</v>
      </c>
      <c r="C8369" s="51">
        <v>1.0</v>
      </c>
      <c r="D8369" s="51">
        <v>70.0</v>
      </c>
      <c r="E8369" s="52" t="s">
        <v>25</v>
      </c>
      <c r="F8369" s="52" t="s">
        <v>26</v>
      </c>
      <c r="G8369" s="54"/>
    </row>
    <row r="8370">
      <c r="A8370" s="49">
        <v>45109.17423300926</v>
      </c>
      <c r="B8370" s="50">
        <v>45109.2992036689</v>
      </c>
      <c r="C8370" s="51">
        <v>1.0</v>
      </c>
      <c r="D8370" s="51">
        <v>70.0</v>
      </c>
      <c r="E8370" s="52" t="s">
        <v>25</v>
      </c>
      <c r="F8370" s="52" t="s">
        <v>26</v>
      </c>
      <c r="G8370" s="54"/>
    </row>
    <row r="8371">
      <c r="A8371" s="49">
        <v>45109.184659942126</v>
      </c>
      <c r="B8371" s="50">
        <v>45109.3096339583</v>
      </c>
      <c r="C8371" s="51">
        <v>1.0</v>
      </c>
      <c r="D8371" s="51">
        <v>70.0</v>
      </c>
      <c r="E8371" s="52" t="s">
        <v>25</v>
      </c>
      <c r="F8371" s="52" t="s">
        <v>26</v>
      </c>
      <c r="G8371" s="54"/>
    </row>
    <row r="8372">
      <c r="A8372" s="49">
        <v>45109.19508107639</v>
      </c>
      <c r="B8372" s="50">
        <v>45109.3200577893</v>
      </c>
      <c r="C8372" s="51">
        <v>0.999</v>
      </c>
      <c r="D8372" s="51">
        <v>70.0</v>
      </c>
      <c r="E8372" s="52" t="s">
        <v>25</v>
      </c>
      <c r="F8372" s="52" t="s">
        <v>26</v>
      </c>
      <c r="G8372" s="54"/>
    </row>
    <row r="8373">
      <c r="A8373" s="49">
        <v>45109.20550081019</v>
      </c>
      <c r="B8373" s="50">
        <v>45109.330476493</v>
      </c>
      <c r="C8373" s="51">
        <v>1.0</v>
      </c>
      <c r="D8373" s="51">
        <v>70.0</v>
      </c>
      <c r="E8373" s="52" t="s">
        <v>25</v>
      </c>
      <c r="F8373" s="52" t="s">
        <v>26</v>
      </c>
      <c r="G8373" s="54"/>
    </row>
    <row r="8374">
      <c r="A8374" s="49">
        <v>45109.2159265625</v>
      </c>
      <c r="B8374" s="50">
        <v>45109.3408999884</v>
      </c>
      <c r="C8374" s="51">
        <v>1.0</v>
      </c>
      <c r="D8374" s="51">
        <v>70.0</v>
      </c>
      <c r="E8374" s="52" t="s">
        <v>25</v>
      </c>
      <c r="F8374" s="52" t="s">
        <v>26</v>
      </c>
      <c r="G8374" s="54"/>
    </row>
    <row r="8375">
      <c r="A8375" s="49">
        <v>45109.226359629625</v>
      </c>
      <c r="B8375" s="50">
        <v>45109.351335</v>
      </c>
      <c r="C8375" s="51">
        <v>0.999</v>
      </c>
      <c r="D8375" s="51">
        <v>70.0</v>
      </c>
      <c r="E8375" s="52" t="s">
        <v>25</v>
      </c>
      <c r="F8375" s="52" t="s">
        <v>26</v>
      </c>
      <c r="G8375" s="54"/>
    </row>
    <row r="8376">
      <c r="A8376" s="49">
        <v>45109.2367943287</v>
      </c>
      <c r="B8376" s="50">
        <v>45109.3617697222</v>
      </c>
      <c r="C8376" s="51">
        <v>1.0</v>
      </c>
      <c r="D8376" s="51">
        <v>70.0</v>
      </c>
      <c r="E8376" s="52" t="s">
        <v>25</v>
      </c>
      <c r="F8376" s="52" t="s">
        <v>26</v>
      </c>
      <c r="G8376" s="54"/>
    </row>
    <row r="8377">
      <c r="A8377" s="49">
        <v>45109.24721905093</v>
      </c>
      <c r="B8377" s="50">
        <v>45109.3721897338</v>
      </c>
      <c r="C8377" s="51">
        <v>0.999</v>
      </c>
      <c r="D8377" s="51">
        <v>70.0</v>
      </c>
      <c r="E8377" s="52" t="s">
        <v>25</v>
      </c>
      <c r="F8377" s="52" t="s">
        <v>26</v>
      </c>
      <c r="G8377" s="54"/>
    </row>
    <row r="8378">
      <c r="A8378" s="49">
        <v>45109.25763611111</v>
      </c>
      <c r="B8378" s="50">
        <v>45109.3826135069</v>
      </c>
      <c r="C8378" s="51">
        <v>1.0</v>
      </c>
      <c r="D8378" s="51">
        <v>70.0</v>
      </c>
      <c r="E8378" s="52" t="s">
        <v>25</v>
      </c>
      <c r="F8378" s="52" t="s">
        <v>26</v>
      </c>
      <c r="G8378" s="54"/>
    </row>
    <row r="8379">
      <c r="A8379" s="49">
        <v>45109.268063125</v>
      </c>
      <c r="B8379" s="50">
        <v>45109.3930347916</v>
      </c>
      <c r="C8379" s="51">
        <v>1.0</v>
      </c>
      <c r="D8379" s="51">
        <v>70.0</v>
      </c>
      <c r="E8379" s="52" t="s">
        <v>25</v>
      </c>
      <c r="F8379" s="52" t="s">
        <v>26</v>
      </c>
      <c r="G8379" s="54"/>
    </row>
    <row r="8380">
      <c r="A8380" s="49">
        <v>45109.278482662034</v>
      </c>
      <c r="B8380" s="50">
        <v>45109.4034556828</v>
      </c>
      <c r="C8380" s="51">
        <v>0.999</v>
      </c>
      <c r="D8380" s="51">
        <v>70.0</v>
      </c>
      <c r="E8380" s="52" t="s">
        <v>25</v>
      </c>
      <c r="F8380" s="52" t="s">
        <v>26</v>
      </c>
      <c r="G8380" s="54"/>
    </row>
    <row r="8381">
      <c r="A8381" s="49">
        <v>45109.28890392361</v>
      </c>
      <c r="B8381" s="50">
        <v>45109.4138729629</v>
      </c>
      <c r="C8381" s="51">
        <v>0.999</v>
      </c>
      <c r="D8381" s="51">
        <v>70.0</v>
      </c>
      <c r="E8381" s="52" t="s">
        <v>25</v>
      </c>
      <c r="F8381" s="52" t="s">
        <v>26</v>
      </c>
      <c r="G8381" s="54"/>
    </row>
    <row r="8382">
      <c r="A8382" s="49">
        <v>45109.29933368055</v>
      </c>
      <c r="B8382" s="50">
        <v>45109.4243081597</v>
      </c>
      <c r="C8382" s="51">
        <v>0.999</v>
      </c>
      <c r="D8382" s="51">
        <v>70.0</v>
      </c>
      <c r="E8382" s="52" t="s">
        <v>25</v>
      </c>
      <c r="F8382" s="52" t="s">
        <v>26</v>
      </c>
      <c r="G8382" s="54"/>
    </row>
    <row r="8383">
      <c r="A8383" s="49">
        <v>45109.30975788194</v>
      </c>
      <c r="B8383" s="50">
        <v>45109.4347337731</v>
      </c>
      <c r="C8383" s="51">
        <v>1.0</v>
      </c>
      <c r="D8383" s="51">
        <v>70.0</v>
      </c>
      <c r="E8383" s="52" t="s">
        <v>25</v>
      </c>
      <c r="F8383" s="52" t="s">
        <v>26</v>
      </c>
      <c r="G8383" s="54"/>
    </row>
    <row r="8384">
      <c r="A8384" s="49">
        <v>45109.32018177083</v>
      </c>
      <c r="B8384" s="50">
        <v>45109.4451523379</v>
      </c>
      <c r="C8384" s="51">
        <v>0.999</v>
      </c>
      <c r="D8384" s="51">
        <v>70.0</v>
      </c>
      <c r="E8384" s="52" t="s">
        <v>25</v>
      </c>
      <c r="F8384" s="52" t="s">
        <v>26</v>
      </c>
      <c r="G8384" s="54"/>
    </row>
    <row r="8385">
      <c r="A8385" s="49">
        <v>45109.33062253472</v>
      </c>
      <c r="B8385" s="50">
        <v>45109.455597037</v>
      </c>
      <c r="C8385" s="51">
        <v>1.0</v>
      </c>
      <c r="D8385" s="51">
        <v>70.0</v>
      </c>
      <c r="E8385" s="52" t="s">
        <v>25</v>
      </c>
      <c r="F8385" s="52" t="s">
        <v>26</v>
      </c>
      <c r="G8385" s="54"/>
    </row>
    <row r="8386">
      <c r="A8386" s="49">
        <v>45109.341041921296</v>
      </c>
      <c r="B8386" s="50">
        <v>45109.4660172453</v>
      </c>
      <c r="C8386" s="51">
        <v>1.0</v>
      </c>
      <c r="D8386" s="51">
        <v>70.0</v>
      </c>
      <c r="E8386" s="52" t="s">
        <v>25</v>
      </c>
      <c r="F8386" s="52" t="s">
        <v>26</v>
      </c>
      <c r="G8386" s="54"/>
    </row>
    <row r="8387">
      <c r="A8387" s="49">
        <v>45109.35146449074</v>
      </c>
      <c r="B8387" s="50">
        <v>45109.4764369791</v>
      </c>
      <c r="C8387" s="51">
        <v>0.999</v>
      </c>
      <c r="D8387" s="51">
        <v>70.0</v>
      </c>
      <c r="E8387" s="52" t="s">
        <v>25</v>
      </c>
      <c r="F8387" s="52" t="s">
        <v>26</v>
      </c>
      <c r="G8387" s="54"/>
    </row>
    <row r="8388">
      <c r="A8388" s="49">
        <v>45109.361879351854</v>
      </c>
      <c r="B8388" s="50">
        <v>45109.486858287</v>
      </c>
      <c r="C8388" s="51">
        <v>1.0</v>
      </c>
      <c r="D8388" s="51">
        <v>70.0</v>
      </c>
      <c r="E8388" s="52" t="s">
        <v>25</v>
      </c>
      <c r="F8388" s="52" t="s">
        <v>26</v>
      </c>
      <c r="G8388" s="54"/>
    </row>
    <row r="8389">
      <c r="A8389" s="49">
        <v>45109.37230326389</v>
      </c>
      <c r="B8389" s="50">
        <v>45109.4972792361</v>
      </c>
      <c r="C8389" s="51">
        <v>1.0</v>
      </c>
      <c r="D8389" s="51">
        <v>70.0</v>
      </c>
      <c r="E8389" s="52" t="s">
        <v>25</v>
      </c>
      <c r="F8389" s="52" t="s">
        <v>26</v>
      </c>
      <c r="G8389" s="54"/>
    </row>
    <row r="8390">
      <c r="A8390" s="49">
        <v>45109.382726006945</v>
      </c>
      <c r="B8390" s="50">
        <v>45109.5077011574</v>
      </c>
      <c r="C8390" s="51">
        <v>0.999</v>
      </c>
      <c r="D8390" s="51">
        <v>70.0</v>
      </c>
      <c r="E8390" s="52" t="s">
        <v>25</v>
      </c>
      <c r="F8390" s="52" t="s">
        <v>26</v>
      </c>
      <c r="G8390" s="54"/>
    </row>
    <row r="8391">
      <c r="A8391" s="49">
        <v>45109.393151296295</v>
      </c>
      <c r="B8391" s="50">
        <v>45109.5181205902</v>
      </c>
      <c r="C8391" s="51">
        <v>1.0</v>
      </c>
      <c r="D8391" s="51">
        <v>70.0</v>
      </c>
      <c r="E8391" s="52" t="s">
        <v>25</v>
      </c>
      <c r="F8391" s="52" t="s">
        <v>26</v>
      </c>
      <c r="G8391" s="54"/>
    </row>
    <row r="8392">
      <c r="A8392" s="49">
        <v>45109.40356099537</v>
      </c>
      <c r="B8392" s="50">
        <v>45109.5285405092</v>
      </c>
      <c r="C8392" s="51">
        <v>1.0</v>
      </c>
      <c r="D8392" s="51">
        <v>70.0</v>
      </c>
      <c r="E8392" s="52" t="s">
        <v>25</v>
      </c>
      <c r="F8392" s="52" t="s">
        <v>26</v>
      </c>
      <c r="G8392" s="54"/>
    </row>
    <row r="8393">
      <c r="A8393" s="49">
        <v>45109.4139837963</v>
      </c>
      <c r="B8393" s="50">
        <v>45109.5389626736</v>
      </c>
      <c r="C8393" s="51">
        <v>0.999</v>
      </c>
      <c r="D8393" s="51">
        <v>70.0</v>
      </c>
      <c r="E8393" s="52" t="s">
        <v>25</v>
      </c>
      <c r="F8393" s="52" t="s">
        <v>26</v>
      </c>
      <c r="G8393" s="54"/>
    </row>
    <row r="8394">
      <c r="A8394" s="49">
        <v>45109.424411678236</v>
      </c>
      <c r="B8394" s="50">
        <v>45109.5493843981</v>
      </c>
      <c r="C8394" s="51">
        <v>0.999</v>
      </c>
      <c r="D8394" s="51">
        <v>70.0</v>
      </c>
      <c r="E8394" s="52" t="s">
        <v>25</v>
      </c>
      <c r="F8394" s="52" t="s">
        <v>26</v>
      </c>
      <c r="G8394" s="54"/>
    </row>
    <row r="8395">
      <c r="A8395" s="49">
        <v>45109.43483008102</v>
      </c>
      <c r="B8395" s="50">
        <v>45109.5598059838</v>
      </c>
      <c r="C8395" s="51">
        <v>1.0</v>
      </c>
      <c r="D8395" s="51">
        <v>70.0</v>
      </c>
      <c r="E8395" s="52" t="s">
        <v>25</v>
      </c>
      <c r="F8395" s="52" t="s">
        <v>26</v>
      </c>
      <c r="G8395" s="54"/>
    </row>
    <row r="8396">
      <c r="A8396" s="49">
        <v>45109.44525909722</v>
      </c>
      <c r="B8396" s="50">
        <v>45109.5702395717</v>
      </c>
      <c r="C8396" s="51">
        <v>0.999</v>
      </c>
      <c r="D8396" s="51">
        <v>70.0</v>
      </c>
      <c r="E8396" s="52" t="s">
        <v>25</v>
      </c>
      <c r="F8396" s="52" t="s">
        <v>26</v>
      </c>
      <c r="G8396" s="54"/>
    </row>
    <row r="8397">
      <c r="A8397" s="49">
        <v>45109.455688587965</v>
      </c>
      <c r="B8397" s="50">
        <v>45109.5806623842</v>
      </c>
      <c r="C8397" s="51">
        <v>1.0</v>
      </c>
      <c r="D8397" s="51">
        <v>70.0</v>
      </c>
      <c r="E8397" s="52" t="s">
        <v>25</v>
      </c>
      <c r="F8397" s="52" t="s">
        <v>26</v>
      </c>
      <c r="G8397" s="54"/>
    </row>
    <row r="8398">
      <c r="A8398" s="49">
        <v>45109.46611091435</v>
      </c>
      <c r="B8398" s="50">
        <v>45109.5910834375</v>
      </c>
      <c r="C8398" s="51">
        <v>1.0</v>
      </c>
      <c r="D8398" s="51">
        <v>70.0</v>
      </c>
      <c r="E8398" s="52" t="s">
        <v>25</v>
      </c>
      <c r="F8398" s="52" t="s">
        <v>26</v>
      </c>
      <c r="G8398" s="54"/>
    </row>
    <row r="8399">
      <c r="A8399" s="49">
        <v>45109.476533622685</v>
      </c>
      <c r="B8399" s="50">
        <v>45109.601514074</v>
      </c>
      <c r="C8399" s="51">
        <v>0.999</v>
      </c>
      <c r="D8399" s="51">
        <v>70.0</v>
      </c>
      <c r="E8399" s="52" t="s">
        <v>25</v>
      </c>
      <c r="F8399" s="52" t="s">
        <v>26</v>
      </c>
      <c r="G8399" s="54"/>
    </row>
    <row r="8400">
      <c r="A8400" s="49">
        <v>45109.4869509375</v>
      </c>
      <c r="B8400" s="50">
        <v>45109.6119329629</v>
      </c>
      <c r="C8400" s="51">
        <v>0.999</v>
      </c>
      <c r="D8400" s="51">
        <v>70.0</v>
      </c>
      <c r="E8400" s="52" t="s">
        <v>25</v>
      </c>
      <c r="F8400" s="52" t="s">
        <v>26</v>
      </c>
      <c r="G8400" s="54"/>
    </row>
    <row r="8401">
      <c r="A8401" s="49">
        <v>45109.497381458335</v>
      </c>
      <c r="B8401" s="50">
        <v>45109.6223537615</v>
      </c>
      <c r="C8401" s="51">
        <v>1.0</v>
      </c>
      <c r="D8401" s="51">
        <v>70.0</v>
      </c>
      <c r="E8401" s="52" t="s">
        <v>25</v>
      </c>
      <c r="F8401" s="52" t="s">
        <v>26</v>
      </c>
      <c r="G8401" s="54"/>
    </row>
    <row r="8402">
      <c r="A8402" s="49">
        <v>45109.507801458334</v>
      </c>
      <c r="B8402" s="50">
        <v>45109.6327755208</v>
      </c>
      <c r="C8402" s="51">
        <v>0.999</v>
      </c>
      <c r="D8402" s="51">
        <v>70.0</v>
      </c>
      <c r="E8402" s="52" t="s">
        <v>25</v>
      </c>
      <c r="F8402" s="52" t="s">
        <v>26</v>
      </c>
      <c r="G8402" s="54"/>
    </row>
    <row r="8403">
      <c r="A8403" s="49">
        <v>45109.51822215278</v>
      </c>
      <c r="B8403" s="50">
        <v>45109.6431956828</v>
      </c>
      <c r="C8403" s="51">
        <v>0.999</v>
      </c>
      <c r="D8403" s="51">
        <v>70.0</v>
      </c>
      <c r="E8403" s="52" t="s">
        <v>25</v>
      </c>
      <c r="F8403" s="52" t="s">
        <v>26</v>
      </c>
      <c r="G8403" s="54"/>
    </row>
    <row r="8404">
      <c r="A8404" s="49">
        <v>45109.528636180556</v>
      </c>
      <c r="B8404" s="50">
        <v>45109.6536160416</v>
      </c>
      <c r="C8404" s="51">
        <v>0.999</v>
      </c>
      <c r="D8404" s="51">
        <v>70.0</v>
      </c>
      <c r="E8404" s="52" t="s">
        <v>25</v>
      </c>
      <c r="F8404" s="52" t="s">
        <v>26</v>
      </c>
      <c r="G8404" s="54"/>
    </row>
    <row r="8405">
      <c r="A8405" s="49">
        <v>45109.53906409722</v>
      </c>
      <c r="B8405" s="50">
        <v>45109.6640387615</v>
      </c>
      <c r="C8405" s="51">
        <v>1.0</v>
      </c>
      <c r="D8405" s="51">
        <v>70.0</v>
      </c>
      <c r="E8405" s="52" t="s">
        <v>25</v>
      </c>
      <c r="F8405" s="52" t="s">
        <v>26</v>
      </c>
      <c r="G8405" s="54"/>
    </row>
    <row r="8406">
      <c r="A8406" s="49">
        <v>45109.54948298611</v>
      </c>
      <c r="B8406" s="50">
        <v>45109.6744612268</v>
      </c>
      <c r="C8406" s="51">
        <v>1.0</v>
      </c>
      <c r="D8406" s="51">
        <v>70.0</v>
      </c>
      <c r="E8406" s="52" t="s">
        <v>25</v>
      </c>
      <c r="F8406" s="52" t="s">
        <v>26</v>
      </c>
      <c r="G8406" s="54"/>
    </row>
    <row r="8407">
      <c r="A8407" s="49">
        <v>45109.559905347225</v>
      </c>
      <c r="B8407" s="50">
        <v>45109.6848814467</v>
      </c>
      <c r="C8407" s="51">
        <v>0.999</v>
      </c>
      <c r="D8407" s="51">
        <v>70.0</v>
      </c>
      <c r="E8407" s="52" t="s">
        <v>25</v>
      </c>
      <c r="F8407" s="52" t="s">
        <v>26</v>
      </c>
      <c r="G8407" s="54"/>
    </row>
    <row r="8408">
      <c r="A8408" s="49">
        <v>45109.57032706018</v>
      </c>
      <c r="B8408" s="50">
        <v>45109.6953000231</v>
      </c>
      <c r="C8408" s="51">
        <v>1.0</v>
      </c>
      <c r="D8408" s="51">
        <v>70.0</v>
      </c>
      <c r="E8408" s="52" t="s">
        <v>25</v>
      </c>
      <c r="F8408" s="52" t="s">
        <v>26</v>
      </c>
      <c r="G8408" s="54"/>
    </row>
    <row r="8409">
      <c r="A8409" s="49">
        <v>45109.580755856485</v>
      </c>
      <c r="B8409" s="50">
        <v>45109.705733287</v>
      </c>
      <c r="C8409" s="51">
        <v>1.0</v>
      </c>
      <c r="D8409" s="51">
        <v>70.0</v>
      </c>
      <c r="E8409" s="52" t="s">
        <v>25</v>
      </c>
      <c r="F8409" s="52" t="s">
        <v>26</v>
      </c>
      <c r="G8409" s="54"/>
    </row>
    <row r="8410">
      <c r="A8410" s="49">
        <v>45109.59118002315</v>
      </c>
      <c r="B8410" s="50">
        <v>45109.7161543287</v>
      </c>
      <c r="C8410" s="51">
        <v>0.999</v>
      </c>
      <c r="D8410" s="51">
        <v>70.0</v>
      </c>
      <c r="E8410" s="52" t="s">
        <v>25</v>
      </c>
      <c r="F8410" s="52" t="s">
        <v>26</v>
      </c>
      <c r="G8410" s="54"/>
    </row>
    <row r="8411">
      <c r="A8411" s="49">
        <v>45109.60160524306</v>
      </c>
      <c r="B8411" s="50">
        <v>45109.7265749074</v>
      </c>
      <c r="C8411" s="51">
        <v>1.0</v>
      </c>
      <c r="D8411" s="51">
        <v>70.0</v>
      </c>
      <c r="E8411" s="52" t="s">
        <v>25</v>
      </c>
      <c r="F8411" s="52" t="s">
        <v>26</v>
      </c>
      <c r="G8411" s="54"/>
    </row>
    <row r="8412">
      <c r="A8412" s="49">
        <v>45109.612029490745</v>
      </c>
      <c r="B8412" s="50">
        <v>45109.7370094907</v>
      </c>
      <c r="C8412" s="51">
        <v>0.999</v>
      </c>
      <c r="D8412" s="51">
        <v>70.0</v>
      </c>
      <c r="E8412" s="52" t="s">
        <v>25</v>
      </c>
      <c r="F8412" s="52" t="s">
        <v>26</v>
      </c>
      <c r="G8412" s="54"/>
    </row>
    <row r="8413">
      <c r="A8413" s="49">
        <v>45109.62246164352</v>
      </c>
      <c r="B8413" s="50">
        <v>45109.7474317708</v>
      </c>
      <c r="C8413" s="51">
        <v>1.0</v>
      </c>
      <c r="D8413" s="51">
        <v>70.0</v>
      </c>
      <c r="E8413" s="52" t="s">
        <v>25</v>
      </c>
      <c r="F8413" s="52" t="s">
        <v>26</v>
      </c>
      <c r="G8413" s="54"/>
    </row>
    <row r="8414">
      <c r="A8414" s="49">
        <v>45109.63287780093</v>
      </c>
      <c r="B8414" s="50">
        <v>45109.7578525578</v>
      </c>
      <c r="C8414" s="51">
        <v>0.999</v>
      </c>
      <c r="D8414" s="51">
        <v>70.0</v>
      </c>
      <c r="E8414" s="52" t="s">
        <v>25</v>
      </c>
      <c r="F8414" s="52" t="s">
        <v>26</v>
      </c>
      <c r="G8414" s="54"/>
    </row>
    <row r="8415">
      <c r="A8415" s="49">
        <v>45109.643291307875</v>
      </c>
      <c r="B8415" s="50">
        <v>45109.768273368</v>
      </c>
      <c r="C8415" s="51">
        <v>0.999</v>
      </c>
      <c r="D8415" s="51">
        <v>70.0</v>
      </c>
      <c r="E8415" s="52" t="s">
        <v>25</v>
      </c>
      <c r="F8415" s="52" t="s">
        <v>26</v>
      </c>
      <c r="G8415" s="54"/>
    </row>
    <row r="8416">
      <c r="A8416" s="49">
        <v>45109.65372371528</v>
      </c>
      <c r="B8416" s="50">
        <v>45109.7786948611</v>
      </c>
      <c r="C8416" s="51">
        <v>1.0</v>
      </c>
      <c r="D8416" s="51">
        <v>70.0</v>
      </c>
      <c r="E8416" s="52" t="s">
        <v>25</v>
      </c>
      <c r="F8416" s="52" t="s">
        <v>26</v>
      </c>
      <c r="G8416" s="54"/>
    </row>
    <row r="8417">
      <c r="A8417" s="49">
        <v>45109.66413576389</v>
      </c>
      <c r="B8417" s="50">
        <v>45109.789115324</v>
      </c>
      <c r="C8417" s="51">
        <v>0.999</v>
      </c>
      <c r="D8417" s="51">
        <v>70.0</v>
      </c>
      <c r="E8417" s="52" t="s">
        <v>25</v>
      </c>
      <c r="F8417" s="52" t="s">
        <v>26</v>
      </c>
      <c r="G8417" s="54"/>
    </row>
    <row r="8418">
      <c r="A8418" s="49">
        <v>45109.674553993056</v>
      </c>
      <c r="B8418" s="50">
        <v>45109.7995348495</v>
      </c>
      <c r="C8418" s="51">
        <v>1.0</v>
      </c>
      <c r="D8418" s="51">
        <v>70.0</v>
      </c>
      <c r="E8418" s="52" t="s">
        <v>25</v>
      </c>
      <c r="F8418" s="52" t="s">
        <v>26</v>
      </c>
      <c r="G8418" s="54"/>
    </row>
    <row r="8419">
      <c r="A8419" s="49">
        <v>45109.68497984954</v>
      </c>
      <c r="B8419" s="50">
        <v>45109.8099556597</v>
      </c>
      <c r="C8419" s="51">
        <v>1.0</v>
      </c>
      <c r="D8419" s="51">
        <v>70.0</v>
      </c>
      <c r="E8419" s="52" t="s">
        <v>25</v>
      </c>
      <c r="F8419" s="52" t="s">
        <v>26</v>
      </c>
      <c r="G8419" s="54"/>
    </row>
    <row r="8420">
      <c r="A8420" s="49">
        <v>45109.69540445602</v>
      </c>
      <c r="B8420" s="50">
        <v>45109.8203771527</v>
      </c>
      <c r="C8420" s="51">
        <v>0.999</v>
      </c>
      <c r="D8420" s="51">
        <v>70.0</v>
      </c>
      <c r="E8420" s="52" t="s">
        <v>25</v>
      </c>
      <c r="F8420" s="52" t="s">
        <v>26</v>
      </c>
      <c r="G8420" s="54"/>
    </row>
    <row r="8421">
      <c r="A8421" s="49">
        <v>45109.70581886574</v>
      </c>
      <c r="B8421" s="50">
        <v>45109.8307995601</v>
      </c>
      <c r="C8421" s="51">
        <v>0.999</v>
      </c>
      <c r="D8421" s="51">
        <v>70.0</v>
      </c>
      <c r="E8421" s="52" t="s">
        <v>25</v>
      </c>
      <c r="F8421" s="52" t="s">
        <v>26</v>
      </c>
      <c r="G8421" s="54"/>
    </row>
    <row r="8422">
      <c r="A8422" s="49">
        <v>45109.716264780094</v>
      </c>
      <c r="B8422" s="50">
        <v>45109.8412328356</v>
      </c>
      <c r="C8422" s="51">
        <v>1.0</v>
      </c>
      <c r="D8422" s="51">
        <v>70.0</v>
      </c>
      <c r="E8422" s="52" t="s">
        <v>25</v>
      </c>
      <c r="F8422" s="52" t="s">
        <v>26</v>
      </c>
      <c r="G8422" s="54"/>
    </row>
    <row r="8423">
      <c r="A8423" s="49">
        <v>45109.7266752662</v>
      </c>
      <c r="B8423" s="50">
        <v>45109.8516543055</v>
      </c>
      <c r="C8423" s="51">
        <v>0.999</v>
      </c>
      <c r="D8423" s="51">
        <v>70.0</v>
      </c>
      <c r="E8423" s="52" t="s">
        <v>25</v>
      </c>
      <c r="F8423" s="52" t="s">
        <v>26</v>
      </c>
      <c r="G8423" s="54"/>
    </row>
    <row r="8424">
      <c r="A8424" s="49">
        <v>45109.73709934027</v>
      </c>
      <c r="B8424" s="50">
        <v>45109.8620747222</v>
      </c>
      <c r="C8424" s="51">
        <v>0.999</v>
      </c>
      <c r="D8424" s="51">
        <v>70.0</v>
      </c>
      <c r="E8424" s="52" t="s">
        <v>25</v>
      </c>
      <c r="F8424" s="52" t="s">
        <v>26</v>
      </c>
      <c r="G8424" s="54"/>
    </row>
    <row r="8425">
      <c r="A8425" s="49">
        <v>45109.7475258912</v>
      </c>
      <c r="B8425" s="50">
        <v>45109.8725075462</v>
      </c>
      <c r="C8425" s="51">
        <v>1.0</v>
      </c>
      <c r="D8425" s="51">
        <v>70.0</v>
      </c>
      <c r="E8425" s="52" t="s">
        <v>25</v>
      </c>
      <c r="F8425" s="52" t="s">
        <v>26</v>
      </c>
      <c r="G8425" s="54"/>
    </row>
    <row r="8426">
      <c r="A8426" s="49">
        <v>45109.757965937504</v>
      </c>
      <c r="B8426" s="50">
        <v>45109.882939456</v>
      </c>
      <c r="C8426" s="51">
        <v>1.0</v>
      </c>
      <c r="D8426" s="51">
        <v>70.0</v>
      </c>
      <c r="E8426" s="52" t="s">
        <v>25</v>
      </c>
      <c r="F8426" s="52" t="s">
        <v>26</v>
      </c>
      <c r="G8426" s="54"/>
    </row>
    <row r="8427">
      <c r="A8427" s="49">
        <v>45109.7684050463</v>
      </c>
      <c r="B8427" s="50">
        <v>45109.8933825115</v>
      </c>
      <c r="C8427" s="51">
        <v>0.999</v>
      </c>
      <c r="D8427" s="51">
        <v>70.0</v>
      </c>
      <c r="E8427" s="52" t="s">
        <v>25</v>
      </c>
      <c r="F8427" s="52" t="s">
        <v>26</v>
      </c>
      <c r="G8427" s="54"/>
    </row>
    <row r="8428">
      <c r="A8428" s="49">
        <v>45109.7788352662</v>
      </c>
      <c r="B8428" s="50">
        <v>45109.9038137731</v>
      </c>
      <c r="C8428" s="51">
        <v>0.999</v>
      </c>
      <c r="D8428" s="51">
        <v>70.0</v>
      </c>
      <c r="E8428" s="52" t="s">
        <v>25</v>
      </c>
      <c r="F8428" s="52" t="s">
        <v>26</v>
      </c>
      <c r="G8428" s="54"/>
    </row>
    <row r="8429">
      <c r="A8429" s="49">
        <v>45109.789270706024</v>
      </c>
      <c r="B8429" s="50">
        <v>45109.9142462963</v>
      </c>
      <c r="C8429" s="51">
        <v>0.999</v>
      </c>
      <c r="D8429" s="51">
        <v>70.0</v>
      </c>
      <c r="E8429" s="52" t="s">
        <v>25</v>
      </c>
      <c r="F8429" s="52" t="s">
        <v>26</v>
      </c>
      <c r="G8429" s="54"/>
    </row>
    <row r="8430">
      <c r="A8430" s="49">
        <v>45109.799687997685</v>
      </c>
      <c r="B8430" s="50">
        <v>45109.9246711111</v>
      </c>
      <c r="C8430" s="51">
        <v>1.0</v>
      </c>
      <c r="D8430" s="51">
        <v>70.0</v>
      </c>
      <c r="E8430" s="52" t="s">
        <v>25</v>
      </c>
      <c r="F8430" s="52" t="s">
        <v>26</v>
      </c>
      <c r="G8430" s="54"/>
    </row>
    <row r="8431">
      <c r="A8431" s="49">
        <v>45109.81011746528</v>
      </c>
      <c r="B8431" s="50">
        <v>45109.9350911342</v>
      </c>
      <c r="C8431" s="51">
        <v>0.999</v>
      </c>
      <c r="D8431" s="51">
        <v>70.0</v>
      </c>
      <c r="E8431" s="52" t="s">
        <v>25</v>
      </c>
      <c r="F8431" s="52" t="s">
        <v>26</v>
      </c>
      <c r="G8431" s="54"/>
    </row>
    <row r="8432">
      <c r="A8432" s="49">
        <v>45109.82053278935</v>
      </c>
      <c r="B8432" s="50">
        <v>45109.9455122106</v>
      </c>
      <c r="C8432" s="51">
        <v>0.999</v>
      </c>
      <c r="D8432" s="51">
        <v>70.0</v>
      </c>
      <c r="E8432" s="52" t="s">
        <v>25</v>
      </c>
      <c r="F8432" s="52" t="s">
        <v>26</v>
      </c>
      <c r="G8432" s="54"/>
    </row>
    <row r="8433">
      <c r="A8433" s="49">
        <v>45109.83095516203</v>
      </c>
      <c r="B8433" s="50">
        <v>45109.955933449</v>
      </c>
      <c r="C8433" s="51">
        <v>1.0</v>
      </c>
      <c r="D8433" s="51">
        <v>70.0</v>
      </c>
      <c r="E8433" s="52" t="s">
        <v>25</v>
      </c>
      <c r="F8433" s="52" t="s">
        <v>26</v>
      </c>
      <c r="G8433" s="54"/>
    </row>
    <row r="8434">
      <c r="A8434" s="49">
        <v>45109.84138077546</v>
      </c>
      <c r="B8434" s="50">
        <v>45109.9663527199</v>
      </c>
      <c r="C8434" s="51">
        <v>0.999</v>
      </c>
      <c r="D8434" s="51">
        <v>70.0</v>
      </c>
      <c r="E8434" s="52" t="s">
        <v>25</v>
      </c>
      <c r="F8434" s="52" t="s">
        <v>26</v>
      </c>
      <c r="G8434" s="54"/>
    </row>
    <row r="8435">
      <c r="A8435" s="49">
        <v>45109.85179346065</v>
      </c>
      <c r="B8435" s="50">
        <v>45109.976774537</v>
      </c>
      <c r="C8435" s="51">
        <v>1.0</v>
      </c>
      <c r="D8435" s="51">
        <v>70.0</v>
      </c>
      <c r="E8435" s="52" t="s">
        <v>25</v>
      </c>
      <c r="F8435" s="52" t="s">
        <v>26</v>
      </c>
      <c r="G8435" s="54"/>
    </row>
    <row r="8436">
      <c r="A8436" s="49">
        <v>45109.86222509259</v>
      </c>
      <c r="B8436" s="50">
        <v>45109.9871966088</v>
      </c>
      <c r="C8436" s="51">
        <v>0.999</v>
      </c>
      <c r="D8436" s="51">
        <v>70.0</v>
      </c>
      <c r="E8436" s="52" t="s">
        <v>25</v>
      </c>
      <c r="F8436" s="52" t="s">
        <v>26</v>
      </c>
      <c r="G8436" s="54"/>
    </row>
    <row r="8437">
      <c r="A8437" s="49">
        <v>45109.87265421296</v>
      </c>
      <c r="B8437" s="50">
        <v>45109.9976287615</v>
      </c>
      <c r="C8437" s="51">
        <v>1.0</v>
      </c>
      <c r="D8437" s="51">
        <v>70.0</v>
      </c>
      <c r="E8437" s="52" t="s">
        <v>25</v>
      </c>
      <c r="F8437" s="52" t="s">
        <v>26</v>
      </c>
      <c r="G8437" s="54"/>
    </row>
    <row r="8438">
      <c r="A8438" s="49">
        <v>45109.88308818287</v>
      </c>
      <c r="B8438" s="50">
        <v>45110.0080487268</v>
      </c>
      <c r="C8438" s="51">
        <v>1.0</v>
      </c>
      <c r="D8438" s="51">
        <v>70.0</v>
      </c>
      <c r="E8438" s="52" t="s">
        <v>25</v>
      </c>
      <c r="F8438" s="52" t="s">
        <v>26</v>
      </c>
      <c r="G8438" s="54"/>
    </row>
    <row r="8439">
      <c r="A8439" s="49">
        <v>45109.89349739584</v>
      </c>
      <c r="B8439" s="50">
        <v>45110.0184707407</v>
      </c>
      <c r="C8439" s="51">
        <v>0.999</v>
      </c>
      <c r="D8439" s="51">
        <v>70.0</v>
      </c>
      <c r="E8439" s="52" t="s">
        <v>25</v>
      </c>
      <c r="F8439" s="52" t="s">
        <v>26</v>
      </c>
      <c r="G8439" s="54"/>
    </row>
    <row r="8440">
      <c r="A8440" s="49">
        <v>45109.90391584491</v>
      </c>
      <c r="B8440" s="50">
        <v>45110.028891956</v>
      </c>
      <c r="C8440" s="51">
        <v>1.0</v>
      </c>
      <c r="D8440" s="51">
        <v>70.0</v>
      </c>
      <c r="E8440" s="52" t="s">
        <v>25</v>
      </c>
      <c r="F8440" s="52" t="s">
        <v>26</v>
      </c>
      <c r="G8440" s="54"/>
    </row>
    <row r="8441">
      <c r="A8441" s="49">
        <v>45109.914339814815</v>
      </c>
      <c r="B8441" s="50">
        <v>45110.0393123611</v>
      </c>
      <c r="C8441" s="51">
        <v>1.0</v>
      </c>
      <c r="D8441" s="51">
        <v>70.0</v>
      </c>
      <c r="E8441" s="52" t="s">
        <v>25</v>
      </c>
      <c r="F8441" s="52" t="s">
        <v>26</v>
      </c>
      <c r="G8441" s="54"/>
    </row>
    <row r="8442">
      <c r="A8442" s="49">
        <v>45109.92476230324</v>
      </c>
      <c r="B8442" s="50">
        <v>45110.0497427199</v>
      </c>
      <c r="C8442" s="51">
        <v>1.0</v>
      </c>
      <c r="D8442" s="51">
        <v>70.0</v>
      </c>
      <c r="E8442" s="52" t="s">
        <v>25</v>
      </c>
      <c r="F8442" s="52" t="s">
        <v>26</v>
      </c>
      <c r="G8442" s="54"/>
    </row>
    <row r="8443">
      <c r="A8443" s="49">
        <v>45109.93519229167</v>
      </c>
      <c r="B8443" s="50">
        <v>45110.0601632407</v>
      </c>
      <c r="C8443" s="51">
        <v>1.0</v>
      </c>
      <c r="D8443" s="51">
        <v>70.0</v>
      </c>
      <c r="E8443" s="52" t="s">
        <v>25</v>
      </c>
      <c r="F8443" s="52" t="s">
        <v>26</v>
      </c>
      <c r="G8443" s="54"/>
    </row>
    <row r="8444">
      <c r="A8444" s="49">
        <v>45109.94560662037</v>
      </c>
      <c r="B8444" s="50">
        <v>45110.0705859838</v>
      </c>
      <c r="C8444" s="51">
        <v>0.999</v>
      </c>
      <c r="D8444" s="51">
        <v>70.0</v>
      </c>
      <c r="E8444" s="52" t="s">
        <v>25</v>
      </c>
      <c r="F8444" s="52" t="s">
        <v>26</v>
      </c>
      <c r="G8444" s="54"/>
    </row>
    <row r="8445">
      <c r="A8445" s="49">
        <v>45109.956030636575</v>
      </c>
      <c r="B8445" s="50">
        <v>45110.0810075347</v>
      </c>
      <c r="C8445" s="51">
        <v>0.999</v>
      </c>
      <c r="D8445" s="51">
        <v>70.0</v>
      </c>
      <c r="E8445" s="52" t="s">
        <v>25</v>
      </c>
      <c r="F8445" s="52" t="s">
        <v>26</v>
      </c>
      <c r="G8445" s="54"/>
    </row>
    <row r="8446">
      <c r="A8446" s="49">
        <v>45109.96644636574</v>
      </c>
      <c r="B8446" s="50">
        <v>45110.091428287</v>
      </c>
      <c r="C8446" s="51">
        <v>0.999</v>
      </c>
      <c r="D8446" s="51">
        <v>70.0</v>
      </c>
      <c r="E8446" s="52" t="s">
        <v>25</v>
      </c>
      <c r="F8446" s="52" t="s">
        <v>26</v>
      </c>
      <c r="G8446" s="54"/>
    </row>
    <row r="8447">
      <c r="A8447" s="49">
        <v>45109.97690248843</v>
      </c>
      <c r="B8447" s="50">
        <v>45110.1018714351</v>
      </c>
      <c r="C8447" s="51">
        <v>1.0</v>
      </c>
      <c r="D8447" s="51">
        <v>70.0</v>
      </c>
      <c r="E8447" s="52" t="s">
        <v>25</v>
      </c>
      <c r="F8447" s="52" t="s">
        <v>26</v>
      </c>
      <c r="G8447" s="54"/>
    </row>
    <row r="8448">
      <c r="A8448" s="49">
        <v>45109.987313958336</v>
      </c>
      <c r="B8448" s="50">
        <v>45110.1122925347</v>
      </c>
      <c r="C8448" s="51">
        <v>0.999</v>
      </c>
      <c r="D8448" s="51">
        <v>70.0</v>
      </c>
      <c r="E8448" s="52" t="s">
        <v>25</v>
      </c>
      <c r="F8448" s="52" t="s">
        <v>26</v>
      </c>
      <c r="G8448" s="54"/>
    </row>
    <row r="8449">
      <c r="A8449" s="49">
        <v>45109.99774171296</v>
      </c>
      <c r="B8449" s="50">
        <v>45110.1227129166</v>
      </c>
      <c r="C8449" s="51">
        <v>0.999</v>
      </c>
      <c r="D8449" s="51">
        <v>70.0</v>
      </c>
      <c r="E8449" s="52" t="s">
        <v>25</v>
      </c>
      <c r="F8449" s="52" t="s">
        <v>26</v>
      </c>
      <c r="G8449" s="54"/>
    </row>
    <row r="8450">
      <c r="A8450" s="49">
        <v>45110.008163391205</v>
      </c>
      <c r="B8450" s="50">
        <v>45110.1331353472</v>
      </c>
      <c r="C8450" s="51">
        <v>1.0</v>
      </c>
      <c r="D8450" s="51">
        <v>70.0</v>
      </c>
      <c r="E8450" s="52" t="s">
        <v>25</v>
      </c>
      <c r="F8450" s="52" t="s">
        <v>26</v>
      </c>
      <c r="G8450" s="54"/>
    </row>
    <row r="8451">
      <c r="A8451" s="49">
        <v>45110.01858534722</v>
      </c>
      <c r="B8451" s="50">
        <v>45110.1435579745</v>
      </c>
      <c r="C8451" s="51">
        <v>1.0</v>
      </c>
      <c r="D8451" s="51">
        <v>70.0</v>
      </c>
      <c r="E8451" s="52" t="s">
        <v>25</v>
      </c>
      <c r="F8451" s="52" t="s">
        <v>26</v>
      </c>
      <c r="G8451" s="54"/>
    </row>
    <row r="8452">
      <c r="A8452" s="49">
        <v>45110.029012893516</v>
      </c>
      <c r="B8452" s="50">
        <v>45110.1539923958</v>
      </c>
      <c r="C8452" s="51">
        <v>0.999</v>
      </c>
      <c r="D8452" s="51">
        <v>70.0</v>
      </c>
      <c r="E8452" s="52" t="s">
        <v>25</v>
      </c>
      <c r="F8452" s="52" t="s">
        <v>26</v>
      </c>
      <c r="G8452" s="54"/>
    </row>
    <row r="8453">
      <c r="A8453" s="49">
        <v>45110.039439942135</v>
      </c>
      <c r="B8453" s="50">
        <v>45110.1644136111</v>
      </c>
      <c r="C8453" s="51">
        <v>1.0</v>
      </c>
      <c r="D8453" s="51">
        <v>70.0</v>
      </c>
      <c r="E8453" s="52" t="s">
        <v>25</v>
      </c>
      <c r="F8453" s="52" t="s">
        <v>26</v>
      </c>
      <c r="G8453" s="54"/>
    </row>
    <row r="8454">
      <c r="A8454" s="49">
        <v>45110.04986943287</v>
      </c>
      <c r="B8454" s="50">
        <v>45110.1748371064</v>
      </c>
      <c r="C8454" s="51">
        <v>0.999</v>
      </c>
      <c r="D8454" s="51">
        <v>70.0</v>
      </c>
      <c r="E8454" s="52" t="s">
        <v>25</v>
      </c>
      <c r="F8454" s="52" t="s">
        <v>26</v>
      </c>
      <c r="G8454" s="54"/>
    </row>
    <row r="8455">
      <c r="A8455" s="49">
        <v>45110.060290625</v>
      </c>
      <c r="B8455" s="50">
        <v>45110.1852617245</v>
      </c>
      <c r="C8455" s="51">
        <v>0.999</v>
      </c>
      <c r="D8455" s="51">
        <v>70.0</v>
      </c>
      <c r="E8455" s="52" t="s">
        <v>25</v>
      </c>
      <c r="F8455" s="52" t="s">
        <v>26</v>
      </c>
      <c r="G8455" s="54"/>
    </row>
    <row r="8456">
      <c r="A8456" s="49">
        <v>45110.07070496528</v>
      </c>
      <c r="B8456" s="50">
        <v>45110.1956826273</v>
      </c>
      <c r="C8456" s="51">
        <v>0.999</v>
      </c>
      <c r="D8456" s="51">
        <v>70.0</v>
      </c>
      <c r="E8456" s="52" t="s">
        <v>25</v>
      </c>
      <c r="F8456" s="52" t="s">
        <v>26</v>
      </c>
      <c r="G8456" s="54"/>
    </row>
    <row r="8457">
      <c r="A8457" s="49">
        <v>45110.08114912037</v>
      </c>
      <c r="B8457" s="50">
        <v>45110.2061162268</v>
      </c>
      <c r="C8457" s="51">
        <v>0.999</v>
      </c>
      <c r="D8457" s="51">
        <v>70.0</v>
      </c>
      <c r="E8457" s="52" t="s">
        <v>25</v>
      </c>
      <c r="F8457" s="52" t="s">
        <v>26</v>
      </c>
      <c r="G8457" s="54"/>
    </row>
    <row r="8458">
      <c r="A8458" s="49">
        <v>45110.09157358797</v>
      </c>
      <c r="B8458" s="50">
        <v>45110.2165492361</v>
      </c>
      <c r="C8458" s="51">
        <v>0.999</v>
      </c>
      <c r="D8458" s="51">
        <v>70.0</v>
      </c>
      <c r="E8458" s="52" t="s">
        <v>25</v>
      </c>
      <c r="F8458" s="52" t="s">
        <v>26</v>
      </c>
      <c r="G8458" s="54"/>
    </row>
    <row r="8459">
      <c r="A8459" s="49">
        <v>45110.10199256944</v>
      </c>
      <c r="B8459" s="50">
        <v>45110.2269711921</v>
      </c>
      <c r="C8459" s="51">
        <v>0.999</v>
      </c>
      <c r="D8459" s="51">
        <v>70.0</v>
      </c>
      <c r="E8459" s="52" t="s">
        <v>25</v>
      </c>
      <c r="F8459" s="52" t="s">
        <v>26</v>
      </c>
      <c r="G8459" s="54"/>
    </row>
    <row r="8460">
      <c r="A8460" s="49">
        <v>45110.112436145835</v>
      </c>
      <c r="B8460" s="50">
        <v>45110.2374037268</v>
      </c>
      <c r="C8460" s="51">
        <v>0.999</v>
      </c>
      <c r="D8460" s="51">
        <v>70.0</v>
      </c>
      <c r="E8460" s="52" t="s">
        <v>25</v>
      </c>
      <c r="F8460" s="52" t="s">
        <v>26</v>
      </c>
      <c r="G8460" s="54"/>
    </row>
    <row r="8461">
      <c r="A8461" s="49">
        <v>45110.12284512732</v>
      </c>
      <c r="B8461" s="50">
        <v>45110.2478239351</v>
      </c>
      <c r="C8461" s="51">
        <v>0.999</v>
      </c>
      <c r="D8461" s="51">
        <v>70.0</v>
      </c>
      <c r="E8461" s="52" t="s">
        <v>25</v>
      </c>
      <c r="F8461" s="52" t="s">
        <v>26</v>
      </c>
      <c r="G8461" s="54"/>
    </row>
    <row r="8462">
      <c r="A8462" s="49">
        <v>45110.13326306713</v>
      </c>
      <c r="B8462" s="50">
        <v>45110.2582449421</v>
      </c>
      <c r="C8462" s="51">
        <v>0.999</v>
      </c>
      <c r="D8462" s="51">
        <v>70.0</v>
      </c>
      <c r="E8462" s="52" t="s">
        <v>25</v>
      </c>
      <c r="F8462" s="52" t="s">
        <v>26</v>
      </c>
      <c r="G8462" s="54"/>
    </row>
    <row r="8463">
      <c r="A8463" s="49">
        <v>45110.14369606481</v>
      </c>
      <c r="B8463" s="50">
        <v>45110.2686668865</v>
      </c>
      <c r="C8463" s="51">
        <v>1.0</v>
      </c>
      <c r="D8463" s="51">
        <v>70.0</v>
      </c>
      <c r="E8463" s="52" t="s">
        <v>25</v>
      </c>
      <c r="F8463" s="52" t="s">
        <v>26</v>
      </c>
      <c r="G8463" s="54"/>
    </row>
    <row r="8464">
      <c r="A8464" s="49">
        <v>45110.15411284722</v>
      </c>
      <c r="B8464" s="50">
        <v>45110.2790883564</v>
      </c>
      <c r="C8464" s="51">
        <v>0.999</v>
      </c>
      <c r="D8464" s="51">
        <v>70.0</v>
      </c>
      <c r="E8464" s="52" t="s">
        <v>25</v>
      </c>
      <c r="F8464" s="52" t="s">
        <v>26</v>
      </c>
      <c r="G8464" s="54"/>
    </row>
    <row r="8465">
      <c r="A8465" s="49">
        <v>45110.16454699074</v>
      </c>
      <c r="B8465" s="50">
        <v>45110.289520324</v>
      </c>
      <c r="C8465" s="51">
        <v>0.999</v>
      </c>
      <c r="D8465" s="51">
        <v>70.0</v>
      </c>
      <c r="E8465" s="52" t="s">
        <v>25</v>
      </c>
      <c r="F8465" s="52" t="s">
        <v>26</v>
      </c>
      <c r="G8465" s="54"/>
    </row>
    <row r="8466">
      <c r="A8466" s="49">
        <v>45110.17496005787</v>
      </c>
      <c r="B8466" s="50">
        <v>45110.2999413657</v>
      </c>
      <c r="C8466" s="51">
        <v>0.999</v>
      </c>
      <c r="D8466" s="51">
        <v>70.0</v>
      </c>
      <c r="E8466" s="52" t="s">
        <v>25</v>
      </c>
      <c r="F8466" s="52" t="s">
        <v>26</v>
      </c>
      <c r="G8466" s="54"/>
    </row>
    <row r="8467">
      <c r="A8467" s="49">
        <v>45110.18537572917</v>
      </c>
      <c r="B8467" s="50">
        <v>45110.3103605671</v>
      </c>
      <c r="C8467" s="51">
        <v>0.999</v>
      </c>
      <c r="D8467" s="51">
        <v>70.0</v>
      </c>
      <c r="E8467" s="52" t="s">
        <v>25</v>
      </c>
      <c r="F8467" s="52" t="s">
        <v>26</v>
      </c>
      <c r="G8467" s="54"/>
    </row>
    <row r="8468">
      <c r="A8468" s="49">
        <v>45110.19580256945</v>
      </c>
      <c r="B8468" s="50">
        <v>45110.320780324</v>
      </c>
      <c r="C8468" s="51">
        <v>0.999</v>
      </c>
      <c r="D8468" s="51">
        <v>70.0</v>
      </c>
      <c r="E8468" s="52" t="s">
        <v>25</v>
      </c>
      <c r="F8468" s="52" t="s">
        <v>26</v>
      </c>
      <c r="G8468" s="54"/>
    </row>
    <row r="8469">
      <c r="A8469" s="49">
        <v>45110.20622248843</v>
      </c>
      <c r="B8469" s="50">
        <v>45110.3312013888</v>
      </c>
      <c r="C8469" s="51">
        <v>0.999</v>
      </c>
      <c r="D8469" s="51">
        <v>70.0</v>
      </c>
      <c r="E8469" s="52" t="s">
        <v>25</v>
      </c>
      <c r="F8469" s="52" t="s">
        <v>26</v>
      </c>
      <c r="G8469" s="54"/>
    </row>
    <row r="8470">
      <c r="A8470" s="49">
        <v>45110.216647361114</v>
      </c>
      <c r="B8470" s="50">
        <v>45110.3416235069</v>
      </c>
      <c r="C8470" s="51">
        <v>0.999</v>
      </c>
      <c r="D8470" s="51">
        <v>70.0</v>
      </c>
      <c r="E8470" s="52" t="s">
        <v>25</v>
      </c>
      <c r="F8470" s="52" t="s">
        <v>26</v>
      </c>
      <c r="G8470" s="54"/>
    </row>
    <row r="8471">
      <c r="A8471" s="49">
        <v>45110.22707467593</v>
      </c>
      <c r="B8471" s="50">
        <v>45110.3520448842</v>
      </c>
      <c r="C8471" s="51">
        <v>0.999</v>
      </c>
      <c r="D8471" s="51">
        <v>70.0</v>
      </c>
      <c r="E8471" s="52" t="s">
        <v>25</v>
      </c>
      <c r="F8471" s="52" t="s">
        <v>26</v>
      </c>
      <c r="G8471" s="54"/>
    </row>
    <row r="8472">
      <c r="A8472" s="49">
        <v>45110.23748605324</v>
      </c>
      <c r="B8472" s="50">
        <v>45110.362466493</v>
      </c>
      <c r="C8472" s="51">
        <v>1.0</v>
      </c>
      <c r="D8472" s="51">
        <v>70.0</v>
      </c>
      <c r="E8472" s="52" t="s">
        <v>25</v>
      </c>
      <c r="F8472" s="52" t="s">
        <v>26</v>
      </c>
      <c r="G8472" s="54"/>
    </row>
    <row r="8473">
      <c r="A8473" s="49">
        <v>45110.24791017361</v>
      </c>
      <c r="B8473" s="50">
        <v>45110.372887118</v>
      </c>
      <c r="C8473" s="51">
        <v>0.999</v>
      </c>
      <c r="D8473" s="51">
        <v>70.0</v>
      </c>
      <c r="E8473" s="52" t="s">
        <v>25</v>
      </c>
      <c r="F8473" s="52" t="s">
        <v>26</v>
      </c>
      <c r="G8473" s="54"/>
    </row>
    <row r="8474">
      <c r="A8474" s="49">
        <v>45110.258340370376</v>
      </c>
      <c r="B8474" s="50">
        <v>45110.3833199768</v>
      </c>
      <c r="C8474" s="51">
        <v>0.999</v>
      </c>
      <c r="D8474" s="51">
        <v>70.0</v>
      </c>
      <c r="E8474" s="52" t="s">
        <v>25</v>
      </c>
      <c r="F8474" s="52" t="s">
        <v>26</v>
      </c>
      <c r="G8474" s="54"/>
    </row>
    <row r="8475">
      <c r="A8475" s="49">
        <v>45110.268766249996</v>
      </c>
      <c r="B8475" s="50">
        <v>45110.3937401041</v>
      </c>
      <c r="C8475" s="51">
        <v>0.999</v>
      </c>
      <c r="D8475" s="51">
        <v>70.0</v>
      </c>
      <c r="E8475" s="52" t="s">
        <v>25</v>
      </c>
      <c r="F8475" s="52" t="s">
        <v>26</v>
      </c>
      <c r="G8475" s="54"/>
    </row>
    <row r="8476">
      <c r="A8476" s="49">
        <v>45110.279181562495</v>
      </c>
      <c r="B8476" s="50">
        <v>45110.4041580902</v>
      </c>
      <c r="C8476" s="51">
        <v>1.0</v>
      </c>
      <c r="D8476" s="51">
        <v>70.0</v>
      </c>
      <c r="E8476" s="52" t="s">
        <v>25</v>
      </c>
      <c r="F8476" s="52" t="s">
        <v>26</v>
      </c>
      <c r="G8476" s="54"/>
    </row>
    <row r="8477">
      <c r="A8477" s="49">
        <v>45110.28960116898</v>
      </c>
      <c r="B8477" s="50">
        <v>45110.4145808217</v>
      </c>
      <c r="C8477" s="51">
        <v>1.0</v>
      </c>
      <c r="D8477" s="51">
        <v>70.0</v>
      </c>
      <c r="E8477" s="52" t="s">
        <v>25</v>
      </c>
      <c r="F8477" s="52" t="s">
        <v>26</v>
      </c>
      <c r="G8477" s="54"/>
    </row>
    <row r="8478">
      <c r="A8478" s="49">
        <v>45110.30003052083</v>
      </c>
      <c r="B8478" s="50">
        <v>45110.4250005902</v>
      </c>
      <c r="C8478" s="51">
        <v>0.999</v>
      </c>
      <c r="D8478" s="51">
        <v>70.0</v>
      </c>
      <c r="E8478" s="52" t="s">
        <v>25</v>
      </c>
      <c r="F8478" s="52" t="s">
        <v>26</v>
      </c>
      <c r="G8478" s="54"/>
    </row>
    <row r="8479">
      <c r="A8479" s="49">
        <v>45110.31044770833</v>
      </c>
      <c r="B8479" s="50">
        <v>45110.4354212847</v>
      </c>
      <c r="C8479" s="51">
        <v>0.999</v>
      </c>
      <c r="D8479" s="51">
        <v>70.0</v>
      </c>
      <c r="E8479" s="52" t="s">
        <v>25</v>
      </c>
      <c r="F8479" s="52" t="s">
        <v>26</v>
      </c>
      <c r="G8479" s="54"/>
    </row>
    <row r="8480">
      <c r="A8480" s="49">
        <v>45110.320864560184</v>
      </c>
      <c r="B8480" s="50">
        <v>45110.4458435879</v>
      </c>
      <c r="C8480" s="51">
        <v>1.0</v>
      </c>
      <c r="D8480" s="51">
        <v>70.0</v>
      </c>
      <c r="E8480" s="52" t="s">
        <v>25</v>
      </c>
      <c r="F8480" s="52" t="s">
        <v>26</v>
      </c>
      <c r="G8480" s="54"/>
    </row>
    <row r="8481">
      <c r="A8481" s="49">
        <v>45110.331288807865</v>
      </c>
      <c r="B8481" s="50">
        <v>45110.4562673726</v>
      </c>
      <c r="C8481" s="51">
        <v>1.0</v>
      </c>
      <c r="D8481" s="51">
        <v>70.0</v>
      </c>
      <c r="E8481" s="52" t="s">
        <v>25</v>
      </c>
      <c r="F8481" s="52" t="s">
        <v>26</v>
      </c>
      <c r="G8481" s="54"/>
    </row>
    <row r="8482">
      <c r="A8482" s="49">
        <v>45110.34171460648</v>
      </c>
      <c r="B8482" s="50">
        <v>45110.4666871064</v>
      </c>
      <c r="C8482" s="51">
        <v>0.999</v>
      </c>
      <c r="D8482" s="51">
        <v>70.0</v>
      </c>
      <c r="E8482" s="52" t="s">
        <v>25</v>
      </c>
      <c r="F8482" s="52" t="s">
        <v>26</v>
      </c>
      <c r="G8482" s="54"/>
    </row>
    <row r="8483">
      <c r="A8483" s="49">
        <v>45110.352162951385</v>
      </c>
      <c r="B8483" s="50">
        <v>45110.477141331</v>
      </c>
      <c r="C8483" s="51">
        <v>1.0</v>
      </c>
      <c r="D8483" s="51">
        <v>70.0</v>
      </c>
      <c r="E8483" s="52" t="s">
        <v>25</v>
      </c>
      <c r="F8483" s="52" t="s">
        <v>26</v>
      </c>
      <c r="G8483" s="54"/>
    </row>
    <row r="8484">
      <c r="A8484" s="49">
        <v>45110.36258503472</v>
      </c>
      <c r="B8484" s="50">
        <v>45110.4875627083</v>
      </c>
      <c r="C8484" s="51">
        <v>0.999</v>
      </c>
      <c r="D8484" s="51">
        <v>70.0</v>
      </c>
      <c r="E8484" s="52" t="s">
        <v>25</v>
      </c>
      <c r="F8484" s="52" t="s">
        <v>26</v>
      </c>
      <c r="G8484" s="54"/>
    </row>
    <row r="8485">
      <c r="A8485" s="49">
        <v>45110.37301077547</v>
      </c>
      <c r="B8485" s="50">
        <v>45110.4979855555</v>
      </c>
      <c r="C8485" s="51">
        <v>0.999</v>
      </c>
      <c r="D8485" s="51">
        <v>70.0</v>
      </c>
      <c r="E8485" s="52" t="s">
        <v>25</v>
      </c>
      <c r="F8485" s="52" t="s">
        <v>26</v>
      </c>
      <c r="G8485" s="54"/>
    </row>
    <row r="8486">
      <c r="A8486" s="49">
        <v>45110.383427824076</v>
      </c>
      <c r="B8486" s="50">
        <v>45110.5084065162</v>
      </c>
      <c r="C8486" s="51">
        <v>0.999</v>
      </c>
      <c r="D8486" s="51">
        <v>70.0</v>
      </c>
      <c r="E8486" s="52" t="s">
        <v>25</v>
      </c>
      <c r="F8486" s="52" t="s">
        <v>26</v>
      </c>
      <c r="G8486" s="54"/>
    </row>
    <row r="8487">
      <c r="A8487" s="49">
        <v>45110.39384267361</v>
      </c>
      <c r="B8487" s="50">
        <v>45110.518826412</v>
      </c>
      <c r="C8487" s="51">
        <v>1.0</v>
      </c>
      <c r="D8487" s="51">
        <v>70.0</v>
      </c>
      <c r="E8487" s="52" t="s">
        <v>25</v>
      </c>
      <c r="F8487" s="52" t="s">
        <v>26</v>
      </c>
      <c r="G8487" s="54"/>
    </row>
    <row r="8488">
      <c r="A8488" s="49">
        <v>45110.4042696875</v>
      </c>
      <c r="B8488" s="50">
        <v>45110.5292457291</v>
      </c>
      <c r="C8488" s="51">
        <v>1.0</v>
      </c>
      <c r="D8488" s="51">
        <v>70.0</v>
      </c>
      <c r="E8488" s="52" t="s">
        <v>25</v>
      </c>
      <c r="F8488" s="52" t="s">
        <v>26</v>
      </c>
      <c r="G8488" s="54"/>
    </row>
    <row r="8489">
      <c r="A8489" s="49">
        <v>45110.4147047338</v>
      </c>
      <c r="B8489" s="50">
        <v>45110.5396773148</v>
      </c>
      <c r="C8489" s="51">
        <v>0.999</v>
      </c>
      <c r="D8489" s="51">
        <v>70.0</v>
      </c>
      <c r="E8489" s="52" t="s">
        <v>25</v>
      </c>
      <c r="F8489" s="52" t="s">
        <v>26</v>
      </c>
      <c r="G8489" s="54"/>
    </row>
    <row r="8490">
      <c r="A8490" s="49">
        <v>45110.42512648148</v>
      </c>
      <c r="B8490" s="50">
        <v>45110.5500971064</v>
      </c>
      <c r="C8490" s="51">
        <v>0.999</v>
      </c>
      <c r="D8490" s="51">
        <v>70.0</v>
      </c>
      <c r="E8490" s="52" t="s">
        <v>25</v>
      </c>
      <c r="F8490" s="52" t="s">
        <v>26</v>
      </c>
      <c r="G8490" s="54"/>
    </row>
    <row r="8491">
      <c r="A8491" s="49">
        <v>45110.43555180555</v>
      </c>
      <c r="B8491" s="50">
        <v>45110.5605207638</v>
      </c>
      <c r="C8491" s="51">
        <v>0.999</v>
      </c>
      <c r="D8491" s="51">
        <v>70.0</v>
      </c>
      <c r="E8491" s="52" t="s">
        <v>25</v>
      </c>
      <c r="F8491" s="52" t="s">
        <v>26</v>
      </c>
      <c r="G8491" s="54"/>
    </row>
    <row r="8492">
      <c r="A8492" s="49">
        <v>45110.44597020833</v>
      </c>
      <c r="B8492" s="50">
        <v>45110.5709439699</v>
      </c>
      <c r="C8492" s="51">
        <v>0.999</v>
      </c>
      <c r="D8492" s="51">
        <v>70.0</v>
      </c>
      <c r="E8492" s="52" t="s">
        <v>25</v>
      </c>
      <c r="F8492" s="52" t="s">
        <v>26</v>
      </c>
      <c r="G8492" s="54"/>
    </row>
    <row r="8493">
      <c r="A8493" s="49">
        <v>45110.456387743056</v>
      </c>
      <c r="B8493" s="50">
        <v>45110.5813657754</v>
      </c>
      <c r="C8493" s="51">
        <v>0.999</v>
      </c>
      <c r="D8493" s="51">
        <v>70.0</v>
      </c>
      <c r="E8493" s="52" t="s">
        <v>25</v>
      </c>
      <c r="F8493" s="52" t="s">
        <v>26</v>
      </c>
      <c r="G8493" s="54"/>
    </row>
    <row r="8494">
      <c r="A8494" s="49">
        <v>45110.4668077199</v>
      </c>
      <c r="B8494" s="50">
        <v>45110.5917875463</v>
      </c>
      <c r="C8494" s="51">
        <v>0.999</v>
      </c>
      <c r="D8494" s="51">
        <v>70.0</v>
      </c>
      <c r="E8494" s="52" t="s">
        <v>25</v>
      </c>
      <c r="F8494" s="52" t="s">
        <v>26</v>
      </c>
      <c r="G8494" s="54"/>
    </row>
    <row r="8495">
      <c r="A8495" s="49">
        <v>45110.4772465162</v>
      </c>
      <c r="B8495" s="50">
        <v>45110.602220243</v>
      </c>
      <c r="C8495" s="51">
        <v>0.999</v>
      </c>
      <c r="D8495" s="51">
        <v>70.0</v>
      </c>
      <c r="E8495" s="52" t="s">
        <v>25</v>
      </c>
      <c r="F8495" s="52" t="s">
        <v>26</v>
      </c>
      <c r="G8495" s="54"/>
    </row>
    <row r="8496">
      <c r="A8496" s="49">
        <v>45110.48767587963</v>
      </c>
      <c r="B8496" s="50">
        <v>45110.6126519907</v>
      </c>
      <c r="C8496" s="51">
        <v>1.0</v>
      </c>
      <c r="D8496" s="51">
        <v>70.0</v>
      </c>
      <c r="E8496" s="52" t="s">
        <v>25</v>
      </c>
      <c r="F8496" s="52" t="s">
        <v>26</v>
      </c>
      <c r="G8496" s="54"/>
    </row>
    <row r="8497">
      <c r="A8497" s="49">
        <v>45110.49810953704</v>
      </c>
      <c r="B8497" s="50">
        <v>45110.623085162</v>
      </c>
      <c r="C8497" s="51">
        <v>1.0</v>
      </c>
      <c r="D8497" s="51">
        <v>70.0</v>
      </c>
      <c r="E8497" s="52" t="s">
        <v>25</v>
      </c>
      <c r="F8497" s="52" t="s">
        <v>26</v>
      </c>
      <c r="G8497" s="54"/>
    </row>
    <row r="8498">
      <c r="A8498" s="49">
        <v>45110.50853181713</v>
      </c>
      <c r="B8498" s="50">
        <v>45110.6335068171</v>
      </c>
      <c r="C8498" s="51">
        <v>1.0</v>
      </c>
      <c r="D8498" s="51">
        <v>70.0</v>
      </c>
      <c r="E8498" s="52" t="s">
        <v>25</v>
      </c>
      <c r="F8498" s="52" t="s">
        <v>26</v>
      </c>
      <c r="G8498" s="54"/>
    </row>
    <row r="8499">
      <c r="A8499" s="49">
        <v>45110.51895560185</v>
      </c>
      <c r="B8499" s="50">
        <v>45110.6439281828</v>
      </c>
      <c r="C8499" s="51">
        <v>0.999</v>
      </c>
      <c r="D8499" s="51">
        <v>70.0</v>
      </c>
      <c r="E8499" s="52" t="s">
        <v>25</v>
      </c>
      <c r="F8499" s="52" t="s">
        <v>26</v>
      </c>
      <c r="G8499" s="54"/>
    </row>
    <row r="8500">
      <c r="A8500" s="49">
        <v>45110.52936861111</v>
      </c>
      <c r="B8500" s="50">
        <v>45110.6543470717</v>
      </c>
      <c r="C8500" s="51">
        <v>0.999</v>
      </c>
      <c r="D8500" s="51">
        <v>70.0</v>
      </c>
      <c r="E8500" s="52" t="s">
        <v>25</v>
      </c>
      <c r="F8500" s="52" t="s">
        <v>26</v>
      </c>
      <c r="G8500" s="54"/>
    </row>
    <row r="8501">
      <c r="A8501" s="49">
        <v>45110.53979902778</v>
      </c>
      <c r="B8501" s="50">
        <v>45110.664780787</v>
      </c>
      <c r="C8501" s="51">
        <v>1.0</v>
      </c>
      <c r="D8501" s="51">
        <v>70.0</v>
      </c>
      <c r="E8501" s="52" t="s">
        <v>25</v>
      </c>
      <c r="F8501" s="52" t="s">
        <v>26</v>
      </c>
      <c r="G8501" s="54"/>
    </row>
    <row r="8502">
      <c r="A8502" s="49">
        <v>45110.55023018518</v>
      </c>
      <c r="B8502" s="50">
        <v>45110.6752005439</v>
      </c>
      <c r="C8502" s="51">
        <v>0.999</v>
      </c>
      <c r="D8502" s="51">
        <v>70.0</v>
      </c>
      <c r="E8502" s="52" t="s">
        <v>25</v>
      </c>
      <c r="F8502" s="52" t="s">
        <v>26</v>
      </c>
      <c r="G8502" s="54"/>
    </row>
    <row r="8503">
      <c r="A8503" s="49">
        <v>45110.560653125</v>
      </c>
      <c r="B8503" s="50">
        <v>45110.685619699</v>
      </c>
      <c r="C8503" s="51">
        <v>0.999</v>
      </c>
      <c r="D8503" s="51">
        <v>70.0</v>
      </c>
      <c r="E8503" s="52" t="s">
        <v>25</v>
      </c>
      <c r="F8503" s="52" t="s">
        <v>26</v>
      </c>
      <c r="G8503" s="54"/>
    </row>
    <row r="8504">
      <c r="A8504" s="49">
        <v>45110.57105866898</v>
      </c>
      <c r="B8504" s="50">
        <v>45110.6960401388</v>
      </c>
      <c r="C8504" s="51">
        <v>0.999</v>
      </c>
      <c r="D8504" s="51">
        <v>70.0</v>
      </c>
      <c r="E8504" s="52" t="s">
        <v>25</v>
      </c>
      <c r="F8504" s="52" t="s">
        <v>26</v>
      </c>
      <c r="G8504" s="54"/>
    </row>
    <row r="8505">
      <c r="A8505" s="49">
        <v>45110.58148670139</v>
      </c>
      <c r="B8505" s="50">
        <v>45110.7064596875</v>
      </c>
      <c r="C8505" s="51">
        <v>1.0</v>
      </c>
      <c r="D8505" s="51">
        <v>70.0</v>
      </c>
      <c r="E8505" s="52" t="s">
        <v>25</v>
      </c>
      <c r="F8505" s="52" t="s">
        <v>26</v>
      </c>
      <c r="G8505" s="54"/>
    </row>
    <row r="8506">
      <c r="A8506" s="49">
        <v>45110.59190402778</v>
      </c>
      <c r="B8506" s="50">
        <v>45110.7168803588</v>
      </c>
      <c r="C8506" s="51">
        <v>0.999</v>
      </c>
      <c r="D8506" s="51">
        <v>70.0</v>
      </c>
      <c r="E8506" s="52" t="s">
        <v>25</v>
      </c>
      <c r="F8506" s="52" t="s">
        <v>26</v>
      </c>
      <c r="G8506" s="54"/>
    </row>
    <row r="8507">
      <c r="A8507" s="49">
        <v>45110.60232853009</v>
      </c>
      <c r="B8507" s="50">
        <v>45110.7273016088</v>
      </c>
      <c r="C8507" s="51">
        <v>0.999</v>
      </c>
      <c r="D8507" s="51">
        <v>70.0</v>
      </c>
      <c r="E8507" s="52" t="s">
        <v>25</v>
      </c>
      <c r="F8507" s="52" t="s">
        <v>26</v>
      </c>
      <c r="G8507" s="54"/>
    </row>
    <row r="8508">
      <c r="A8508" s="49">
        <v>45110.61274578703</v>
      </c>
      <c r="B8508" s="50">
        <v>45110.7377214004</v>
      </c>
      <c r="C8508" s="51">
        <v>0.999</v>
      </c>
      <c r="D8508" s="51">
        <v>70.0</v>
      </c>
      <c r="E8508" s="52" t="s">
        <v>25</v>
      </c>
      <c r="F8508" s="52" t="s">
        <v>26</v>
      </c>
      <c r="G8508" s="54"/>
    </row>
    <row r="8509">
      <c r="A8509" s="49">
        <v>45110.623170520834</v>
      </c>
      <c r="B8509" s="50">
        <v>45110.7481435879</v>
      </c>
      <c r="C8509" s="51">
        <v>0.999</v>
      </c>
      <c r="D8509" s="51">
        <v>70.0</v>
      </c>
      <c r="E8509" s="52" t="s">
        <v>25</v>
      </c>
      <c r="F8509" s="52" t="s">
        <v>26</v>
      </c>
      <c r="G8509" s="54"/>
    </row>
    <row r="8510">
      <c r="A8510" s="49">
        <v>45110.6335868287</v>
      </c>
      <c r="B8510" s="50">
        <v>45110.758564618</v>
      </c>
      <c r="C8510" s="51">
        <v>1.0</v>
      </c>
      <c r="D8510" s="51">
        <v>70.0</v>
      </c>
      <c r="E8510" s="52" t="s">
        <v>25</v>
      </c>
      <c r="F8510" s="52" t="s">
        <v>26</v>
      </c>
      <c r="G8510" s="54"/>
    </row>
    <row r="8511">
      <c r="A8511" s="49">
        <v>45110.64400501158</v>
      </c>
      <c r="B8511" s="50">
        <v>45110.7689856134</v>
      </c>
      <c r="C8511" s="51">
        <v>0.999</v>
      </c>
      <c r="D8511" s="51">
        <v>70.0</v>
      </c>
      <c r="E8511" s="52" t="s">
        <v>25</v>
      </c>
      <c r="F8511" s="52" t="s">
        <v>26</v>
      </c>
      <c r="G8511" s="54"/>
    </row>
    <row r="8512">
      <c r="A8512" s="49">
        <v>45110.65444508102</v>
      </c>
      <c r="B8512" s="50">
        <v>45110.77942</v>
      </c>
      <c r="C8512" s="51">
        <v>0.999</v>
      </c>
      <c r="D8512" s="51">
        <v>70.0</v>
      </c>
      <c r="E8512" s="52" t="s">
        <v>25</v>
      </c>
      <c r="F8512" s="52" t="s">
        <v>26</v>
      </c>
      <c r="G8512" s="54"/>
    </row>
    <row r="8513">
      <c r="A8513" s="49">
        <v>45110.664859375</v>
      </c>
      <c r="B8513" s="50">
        <v>45110.789839537</v>
      </c>
      <c r="C8513" s="51">
        <v>0.999</v>
      </c>
      <c r="D8513" s="51">
        <v>70.0</v>
      </c>
      <c r="E8513" s="52" t="s">
        <v>25</v>
      </c>
      <c r="F8513" s="52" t="s">
        <v>26</v>
      </c>
      <c r="G8513" s="54"/>
    </row>
    <row r="8514">
      <c r="A8514" s="49">
        <v>45110.675276759255</v>
      </c>
      <c r="B8514" s="50">
        <v>45110.8002607407</v>
      </c>
      <c r="C8514" s="51">
        <v>1.0</v>
      </c>
      <c r="D8514" s="51">
        <v>70.0</v>
      </c>
      <c r="E8514" s="52" t="s">
        <v>25</v>
      </c>
      <c r="F8514" s="52" t="s">
        <v>26</v>
      </c>
      <c r="G8514" s="54"/>
    </row>
    <row r="8515">
      <c r="A8515" s="49">
        <v>45110.685704351854</v>
      </c>
      <c r="B8515" s="50">
        <v>45110.810682037</v>
      </c>
      <c r="C8515" s="51">
        <v>0.999</v>
      </c>
      <c r="D8515" s="51">
        <v>70.0</v>
      </c>
      <c r="E8515" s="52" t="s">
        <v>25</v>
      </c>
      <c r="F8515" s="52" t="s">
        <v>26</v>
      </c>
      <c r="G8515" s="54"/>
    </row>
    <row r="8516">
      <c r="A8516" s="49">
        <v>45110.69612311343</v>
      </c>
      <c r="B8516" s="50">
        <v>45110.8211022569</v>
      </c>
      <c r="C8516" s="51">
        <v>0.999</v>
      </c>
      <c r="D8516" s="51">
        <v>70.0</v>
      </c>
      <c r="E8516" s="52" t="s">
        <v>25</v>
      </c>
      <c r="F8516" s="52" t="s">
        <v>26</v>
      </c>
      <c r="G8516" s="54"/>
    </row>
    <row r="8517">
      <c r="A8517" s="49">
        <v>45110.706551041665</v>
      </c>
      <c r="B8517" s="50">
        <v>45110.8315228819</v>
      </c>
      <c r="C8517" s="51">
        <v>0.999</v>
      </c>
      <c r="D8517" s="51">
        <v>70.0</v>
      </c>
      <c r="E8517" s="52" t="s">
        <v>25</v>
      </c>
      <c r="F8517" s="52" t="s">
        <v>26</v>
      </c>
      <c r="G8517" s="54"/>
    </row>
    <row r="8518">
      <c r="A8518" s="49">
        <v>45110.716965879634</v>
      </c>
      <c r="B8518" s="50">
        <v>45110.84194375</v>
      </c>
      <c r="C8518" s="51">
        <v>0.999</v>
      </c>
      <c r="D8518" s="51">
        <v>70.0</v>
      </c>
      <c r="E8518" s="52" t="s">
        <v>25</v>
      </c>
      <c r="F8518" s="52" t="s">
        <v>26</v>
      </c>
      <c r="G8518" s="54"/>
    </row>
    <row r="8519">
      <c r="A8519" s="49">
        <v>45110.727390925924</v>
      </c>
      <c r="B8519" s="50">
        <v>45110.8523660879</v>
      </c>
      <c r="C8519" s="51">
        <v>0.999</v>
      </c>
      <c r="D8519" s="51">
        <v>70.0</v>
      </c>
      <c r="E8519" s="52" t="s">
        <v>25</v>
      </c>
      <c r="F8519" s="52" t="s">
        <v>26</v>
      </c>
      <c r="G8519" s="54"/>
    </row>
    <row r="8520">
      <c r="A8520" s="49">
        <v>45110.73783056713</v>
      </c>
      <c r="B8520" s="50">
        <v>45110.8628102662</v>
      </c>
      <c r="C8520" s="51">
        <v>0.999</v>
      </c>
      <c r="D8520" s="51">
        <v>71.0</v>
      </c>
      <c r="E8520" s="52" t="s">
        <v>25</v>
      </c>
      <c r="F8520" s="52" t="s">
        <v>26</v>
      </c>
      <c r="G8520" s="54"/>
    </row>
    <row r="8521">
      <c r="A8521" s="49">
        <v>45110.748257245374</v>
      </c>
      <c r="B8521" s="50">
        <v>45110.8732306365</v>
      </c>
      <c r="C8521" s="51">
        <v>0.999</v>
      </c>
      <c r="D8521" s="51">
        <v>70.0</v>
      </c>
      <c r="E8521" s="52" t="s">
        <v>25</v>
      </c>
      <c r="F8521" s="52" t="s">
        <v>26</v>
      </c>
      <c r="G8521" s="54"/>
    </row>
    <row r="8522">
      <c r="A8522" s="49">
        <v>45110.758693634256</v>
      </c>
      <c r="B8522" s="50">
        <v>45110.883662905</v>
      </c>
      <c r="C8522" s="51">
        <v>0.999</v>
      </c>
      <c r="D8522" s="51">
        <v>70.0</v>
      </c>
      <c r="E8522" s="52" t="s">
        <v>25</v>
      </c>
      <c r="F8522" s="52" t="s">
        <v>26</v>
      </c>
      <c r="G8522" s="54"/>
    </row>
    <row r="8523">
      <c r="A8523" s="49">
        <v>45110.769108796296</v>
      </c>
      <c r="B8523" s="50">
        <v>45110.8940834606</v>
      </c>
      <c r="C8523" s="51">
        <v>0.999</v>
      </c>
      <c r="D8523" s="51">
        <v>70.0</v>
      </c>
      <c r="E8523" s="52" t="s">
        <v>25</v>
      </c>
      <c r="F8523" s="52" t="s">
        <v>26</v>
      </c>
      <c r="G8523" s="54"/>
    </row>
    <row r="8524">
      <c r="A8524" s="49">
        <v>45110.7795328125</v>
      </c>
      <c r="B8524" s="50">
        <v>45110.9045063194</v>
      </c>
      <c r="C8524" s="51">
        <v>0.999</v>
      </c>
      <c r="D8524" s="51">
        <v>70.0</v>
      </c>
      <c r="E8524" s="52" t="s">
        <v>25</v>
      </c>
      <c r="F8524" s="52" t="s">
        <v>26</v>
      </c>
      <c r="G8524" s="54"/>
    </row>
    <row r="8525">
      <c r="A8525" s="49">
        <v>45110.78995202546</v>
      </c>
      <c r="B8525" s="50">
        <v>45110.9149266319</v>
      </c>
      <c r="C8525" s="51">
        <v>0.999</v>
      </c>
      <c r="D8525" s="51">
        <v>70.0</v>
      </c>
      <c r="E8525" s="52" t="s">
        <v>25</v>
      </c>
      <c r="F8525" s="52" t="s">
        <v>26</v>
      </c>
      <c r="G8525" s="54"/>
    </row>
    <row r="8526">
      <c r="A8526" s="49">
        <v>45110.80036954861</v>
      </c>
      <c r="B8526" s="50">
        <v>45110.925345949</v>
      </c>
      <c r="C8526" s="51">
        <v>0.999</v>
      </c>
      <c r="D8526" s="51">
        <v>70.0</v>
      </c>
      <c r="E8526" s="52" t="s">
        <v>25</v>
      </c>
      <c r="F8526" s="52" t="s">
        <v>26</v>
      </c>
      <c r="G8526" s="54"/>
    </row>
    <row r="8527">
      <c r="A8527" s="49">
        <v>45110.81078431713</v>
      </c>
      <c r="B8527" s="50">
        <v>45110.9357672685</v>
      </c>
      <c r="C8527" s="51">
        <v>0.999</v>
      </c>
      <c r="D8527" s="51">
        <v>71.0</v>
      </c>
      <c r="E8527" s="52" t="s">
        <v>25</v>
      </c>
      <c r="F8527" s="52" t="s">
        <v>26</v>
      </c>
      <c r="G8527" s="54"/>
    </row>
    <row r="8528">
      <c r="A8528" s="49">
        <v>45110.82122686342</v>
      </c>
      <c r="B8528" s="50">
        <v>45110.9462001273</v>
      </c>
      <c r="C8528" s="51">
        <v>0.999</v>
      </c>
      <c r="D8528" s="51">
        <v>71.0</v>
      </c>
      <c r="E8528" s="52" t="s">
        <v>25</v>
      </c>
      <c r="F8528" s="52" t="s">
        <v>26</v>
      </c>
      <c r="G8528" s="54"/>
    </row>
    <row r="8529">
      <c r="A8529" s="49">
        <v>45110.83164428241</v>
      </c>
      <c r="B8529" s="50">
        <v>45110.9566204976</v>
      </c>
      <c r="C8529" s="51">
        <v>0.999</v>
      </c>
      <c r="D8529" s="51">
        <v>71.0</v>
      </c>
      <c r="E8529" s="52" t="s">
        <v>25</v>
      </c>
      <c r="F8529" s="52" t="s">
        <v>26</v>
      </c>
      <c r="G8529" s="54"/>
    </row>
    <row r="8530">
      <c r="A8530" s="49">
        <v>45110.842063993055</v>
      </c>
      <c r="B8530" s="50">
        <v>45110.9670413541</v>
      </c>
      <c r="C8530" s="51">
        <v>0.999</v>
      </c>
      <c r="D8530" s="51">
        <v>71.0</v>
      </c>
      <c r="E8530" s="52" t="s">
        <v>25</v>
      </c>
      <c r="F8530" s="52" t="s">
        <v>26</v>
      </c>
      <c r="G8530" s="54"/>
    </row>
    <row r="8531">
      <c r="A8531" s="49">
        <v>45110.852490543984</v>
      </c>
      <c r="B8531" s="50">
        <v>45110.9774747106</v>
      </c>
      <c r="C8531" s="51">
        <v>0.999</v>
      </c>
      <c r="D8531" s="51">
        <v>71.0</v>
      </c>
      <c r="E8531" s="52" t="s">
        <v>25</v>
      </c>
      <c r="F8531" s="52" t="s">
        <v>26</v>
      </c>
      <c r="G8531" s="54"/>
    </row>
    <row r="8532">
      <c r="A8532" s="49">
        <v>45110.862919629624</v>
      </c>
      <c r="B8532" s="50">
        <v>45110.9878943981</v>
      </c>
      <c r="C8532" s="51">
        <v>1.0</v>
      </c>
      <c r="D8532" s="51">
        <v>71.0</v>
      </c>
      <c r="E8532" s="52" t="s">
        <v>25</v>
      </c>
      <c r="F8532" s="52" t="s">
        <v>26</v>
      </c>
      <c r="G8532" s="54"/>
    </row>
    <row r="8533">
      <c r="A8533" s="49">
        <v>45110.873337268524</v>
      </c>
      <c r="B8533" s="50">
        <v>45110.9983145023</v>
      </c>
      <c r="C8533" s="51">
        <v>1.0</v>
      </c>
      <c r="D8533" s="51">
        <v>70.0</v>
      </c>
      <c r="E8533" s="52" t="s">
        <v>25</v>
      </c>
      <c r="F8533" s="52" t="s">
        <v>26</v>
      </c>
      <c r="G8533" s="54"/>
    </row>
    <row r="8534">
      <c r="A8534" s="49">
        <v>45110.8837709375</v>
      </c>
      <c r="B8534" s="50">
        <v>45111.0087460416</v>
      </c>
      <c r="C8534" s="51">
        <v>0.999</v>
      </c>
      <c r="D8534" s="51">
        <v>71.0</v>
      </c>
      <c r="E8534" s="52" t="s">
        <v>25</v>
      </c>
      <c r="F8534" s="52" t="s">
        <v>26</v>
      </c>
      <c r="G8534" s="54"/>
    </row>
    <row r="8535">
      <c r="A8535" s="49">
        <v>45110.89419543982</v>
      </c>
      <c r="B8535" s="50">
        <v>45111.0191672569</v>
      </c>
      <c r="C8535" s="51">
        <v>0.999</v>
      </c>
      <c r="D8535" s="51">
        <v>71.0</v>
      </c>
      <c r="E8535" s="52" t="s">
        <v>25</v>
      </c>
      <c r="F8535" s="52" t="s">
        <v>26</v>
      </c>
      <c r="G8535" s="54"/>
    </row>
    <row r="8536">
      <c r="A8536" s="49">
        <v>45110.90461657407</v>
      </c>
      <c r="B8536" s="50">
        <v>45111.029588993</v>
      </c>
      <c r="C8536" s="51">
        <v>0.999</v>
      </c>
      <c r="D8536" s="51">
        <v>71.0</v>
      </c>
      <c r="E8536" s="52" t="s">
        <v>25</v>
      </c>
      <c r="F8536" s="52" t="s">
        <v>26</v>
      </c>
      <c r="G8536" s="54"/>
    </row>
    <row r="8537">
      <c r="A8537" s="49">
        <v>45110.9150565625</v>
      </c>
      <c r="B8537" s="50">
        <v>45111.0400346875</v>
      </c>
      <c r="C8537" s="51">
        <v>0.999</v>
      </c>
      <c r="D8537" s="51">
        <v>71.0</v>
      </c>
      <c r="E8537" s="52" t="s">
        <v>25</v>
      </c>
      <c r="F8537" s="52" t="s">
        <v>26</v>
      </c>
      <c r="G8537" s="54"/>
    </row>
    <row r="8538">
      <c r="A8538" s="49">
        <v>45110.925493981485</v>
      </c>
      <c r="B8538" s="50">
        <v>45111.0504690046</v>
      </c>
      <c r="C8538" s="51">
        <v>0.999</v>
      </c>
      <c r="D8538" s="51">
        <v>71.0</v>
      </c>
      <c r="E8538" s="52" t="s">
        <v>25</v>
      </c>
      <c r="F8538" s="52" t="s">
        <v>26</v>
      </c>
      <c r="G8538" s="54"/>
    </row>
    <row r="8539">
      <c r="A8539" s="49">
        <v>45110.935910995366</v>
      </c>
      <c r="B8539" s="50">
        <v>45111.0608897569</v>
      </c>
      <c r="C8539" s="51">
        <v>0.999</v>
      </c>
      <c r="D8539" s="51">
        <v>71.0</v>
      </c>
      <c r="E8539" s="52" t="s">
        <v>25</v>
      </c>
      <c r="F8539" s="52" t="s">
        <v>26</v>
      </c>
      <c r="G8539" s="54"/>
    </row>
    <row r="8540">
      <c r="A8540" s="49">
        <v>45110.946336284724</v>
      </c>
      <c r="B8540" s="50">
        <v>45111.0713103472</v>
      </c>
      <c r="C8540" s="51">
        <v>0.999</v>
      </c>
      <c r="D8540" s="51">
        <v>71.0</v>
      </c>
      <c r="E8540" s="52" t="s">
        <v>25</v>
      </c>
      <c r="F8540" s="52" t="s">
        <v>26</v>
      </c>
      <c r="G8540" s="54"/>
    </row>
    <row r="8541">
      <c r="A8541" s="49">
        <v>45110.956750868056</v>
      </c>
      <c r="B8541" s="50">
        <v>45111.0817309143</v>
      </c>
      <c r="C8541" s="51">
        <v>1.0</v>
      </c>
      <c r="D8541" s="51">
        <v>71.0</v>
      </c>
      <c r="E8541" s="52" t="s">
        <v>25</v>
      </c>
      <c r="F8541" s="52" t="s">
        <v>26</v>
      </c>
      <c r="G8541" s="54"/>
    </row>
    <row r="8542">
      <c r="A8542" s="49">
        <v>45110.96719015046</v>
      </c>
      <c r="B8542" s="50">
        <v>45111.0921635995</v>
      </c>
      <c r="C8542" s="51">
        <v>0.999</v>
      </c>
      <c r="D8542" s="51">
        <v>71.0</v>
      </c>
      <c r="E8542" s="52" t="s">
        <v>25</v>
      </c>
      <c r="F8542" s="52" t="s">
        <v>26</v>
      </c>
      <c r="G8542" s="54"/>
    </row>
    <row r="8543">
      <c r="A8543" s="49">
        <v>45110.97760721065</v>
      </c>
      <c r="B8543" s="50">
        <v>45111.1025852546</v>
      </c>
      <c r="C8543" s="51">
        <v>0.999</v>
      </c>
      <c r="D8543" s="51">
        <v>71.0</v>
      </c>
      <c r="E8543" s="52" t="s">
        <v>25</v>
      </c>
      <c r="F8543" s="52" t="s">
        <v>26</v>
      </c>
      <c r="G8543" s="54"/>
    </row>
    <row r="8544">
      <c r="A8544" s="49">
        <v>45110.98803206018</v>
      </c>
      <c r="B8544" s="50">
        <v>45111.1130084143</v>
      </c>
      <c r="C8544" s="51">
        <v>0.999</v>
      </c>
      <c r="D8544" s="51">
        <v>71.0</v>
      </c>
      <c r="E8544" s="52" t="s">
        <v>25</v>
      </c>
      <c r="F8544" s="52" t="s">
        <v>26</v>
      </c>
      <c r="G8544" s="54"/>
    </row>
    <row r="8545">
      <c r="A8545" s="49">
        <v>45110.99845359953</v>
      </c>
      <c r="B8545" s="50">
        <v>45111.1234291203</v>
      </c>
      <c r="C8545" s="51">
        <v>1.0</v>
      </c>
      <c r="D8545" s="51">
        <v>71.0</v>
      </c>
      <c r="E8545" s="52" t="s">
        <v>25</v>
      </c>
      <c r="F8545" s="52" t="s">
        <v>26</v>
      </c>
      <c r="G8545" s="54"/>
    </row>
    <row r="8546">
      <c r="A8546" s="49">
        <v>45111.00897429398</v>
      </c>
      <c r="B8546" s="50">
        <v>45111.1338629398</v>
      </c>
      <c r="C8546" s="51">
        <v>1.0</v>
      </c>
      <c r="D8546" s="51">
        <v>71.0</v>
      </c>
      <c r="E8546" s="52" t="s">
        <v>25</v>
      </c>
      <c r="F8546" s="52" t="s">
        <v>26</v>
      </c>
      <c r="G8546" s="54"/>
    </row>
    <row r="8547">
      <c r="A8547" s="49">
        <v>45111.019307002316</v>
      </c>
      <c r="B8547" s="50">
        <v>45111.1442827199</v>
      </c>
      <c r="C8547" s="51">
        <v>1.0</v>
      </c>
      <c r="D8547" s="51">
        <v>71.0</v>
      </c>
      <c r="E8547" s="52" t="s">
        <v>25</v>
      </c>
      <c r="F8547" s="52" t="s">
        <v>26</v>
      </c>
      <c r="G8547" s="54"/>
    </row>
    <row r="8548">
      <c r="A8548" s="49">
        <v>45111.02974337963</v>
      </c>
      <c r="B8548" s="50">
        <v>45111.1547142245</v>
      </c>
      <c r="C8548" s="51">
        <v>1.0</v>
      </c>
      <c r="D8548" s="51">
        <v>71.0</v>
      </c>
      <c r="E8548" s="52" t="s">
        <v>25</v>
      </c>
      <c r="F8548" s="52" t="s">
        <v>26</v>
      </c>
      <c r="G8548" s="54"/>
    </row>
    <row r="8549">
      <c r="A8549" s="49">
        <v>45111.040160000004</v>
      </c>
      <c r="B8549" s="50">
        <v>45111.1651347801</v>
      </c>
      <c r="C8549" s="51">
        <v>0.999</v>
      </c>
      <c r="D8549" s="51">
        <v>71.0</v>
      </c>
      <c r="E8549" s="52" t="s">
        <v>25</v>
      </c>
      <c r="F8549" s="52" t="s">
        <v>26</v>
      </c>
      <c r="G8549" s="54"/>
    </row>
    <row r="8550">
      <c r="A8550" s="49">
        <v>45111.050579421295</v>
      </c>
      <c r="B8550" s="50">
        <v>45111.1755547569</v>
      </c>
      <c r="C8550" s="51">
        <v>0.999</v>
      </c>
      <c r="D8550" s="51">
        <v>71.0</v>
      </c>
      <c r="E8550" s="52" t="s">
        <v>25</v>
      </c>
      <c r="F8550" s="52" t="s">
        <v>26</v>
      </c>
      <c r="G8550" s="54"/>
    </row>
    <row r="8551">
      <c r="A8551" s="49">
        <v>45111.06100033565</v>
      </c>
      <c r="B8551" s="50">
        <v>45111.1859754745</v>
      </c>
      <c r="C8551" s="51">
        <v>0.999</v>
      </c>
      <c r="D8551" s="51">
        <v>71.0</v>
      </c>
      <c r="E8551" s="52" t="s">
        <v>25</v>
      </c>
      <c r="F8551" s="52" t="s">
        <v>26</v>
      </c>
      <c r="G8551" s="54"/>
    </row>
    <row r="8552">
      <c r="A8552" s="49">
        <v>45111.07142232639</v>
      </c>
      <c r="B8552" s="50">
        <v>45111.1963939699</v>
      </c>
      <c r="C8552" s="51">
        <v>0.999</v>
      </c>
      <c r="D8552" s="51">
        <v>71.0</v>
      </c>
      <c r="E8552" s="52" t="s">
        <v>25</v>
      </c>
      <c r="F8552" s="52" t="s">
        <v>26</v>
      </c>
      <c r="G8552" s="54"/>
    </row>
    <row r="8553">
      <c r="A8553" s="49">
        <v>45111.08183186343</v>
      </c>
      <c r="B8553" s="50">
        <v>45111.2068136921</v>
      </c>
      <c r="C8553" s="51">
        <v>1.0</v>
      </c>
      <c r="D8553" s="51">
        <v>71.0</v>
      </c>
      <c r="E8553" s="52" t="s">
        <v>25</v>
      </c>
      <c r="F8553" s="52" t="s">
        <v>26</v>
      </c>
      <c r="G8553" s="54"/>
    </row>
    <row r="8554">
      <c r="A8554" s="49">
        <v>45111.092262962964</v>
      </c>
      <c r="B8554" s="50">
        <v>45111.2172329745</v>
      </c>
      <c r="C8554" s="51">
        <v>0.999</v>
      </c>
      <c r="D8554" s="51">
        <v>71.0</v>
      </c>
      <c r="E8554" s="52" t="s">
        <v>25</v>
      </c>
      <c r="F8554" s="52" t="s">
        <v>26</v>
      </c>
      <c r="G8554" s="54"/>
    </row>
    <row r="8555">
      <c r="A8555" s="49">
        <v>45111.10268700232</v>
      </c>
      <c r="B8555" s="50">
        <v>45111.2276673032</v>
      </c>
      <c r="C8555" s="51">
        <v>0.999</v>
      </c>
      <c r="D8555" s="51">
        <v>71.0</v>
      </c>
      <c r="E8555" s="52" t="s">
        <v>25</v>
      </c>
      <c r="F8555" s="52" t="s">
        <v>26</v>
      </c>
      <c r="G8555" s="54"/>
    </row>
    <row r="8556">
      <c r="A8556" s="49">
        <v>45111.113114594904</v>
      </c>
      <c r="B8556" s="50">
        <v>45111.2380889351</v>
      </c>
      <c r="C8556" s="51">
        <v>0.999</v>
      </c>
      <c r="D8556" s="51">
        <v>71.0</v>
      </c>
      <c r="E8556" s="52" t="s">
        <v>25</v>
      </c>
      <c r="F8556" s="52" t="s">
        <v>26</v>
      </c>
      <c r="G8556" s="54"/>
    </row>
    <row r="8557">
      <c r="A8557" s="49">
        <v>45111.123551550925</v>
      </c>
      <c r="B8557" s="50">
        <v>45111.2485331018</v>
      </c>
      <c r="C8557" s="51">
        <v>1.0</v>
      </c>
      <c r="D8557" s="51">
        <v>71.0</v>
      </c>
      <c r="E8557" s="52" t="s">
        <v>25</v>
      </c>
      <c r="F8557" s="52" t="s">
        <v>26</v>
      </c>
      <c r="G8557" s="54"/>
    </row>
    <row r="8558">
      <c r="A8558" s="49">
        <v>45111.13397043981</v>
      </c>
      <c r="B8558" s="50">
        <v>45111.2589531365</v>
      </c>
      <c r="C8558" s="51">
        <v>0.999</v>
      </c>
      <c r="D8558" s="51">
        <v>71.0</v>
      </c>
      <c r="E8558" s="52" t="s">
        <v>25</v>
      </c>
      <c r="F8558" s="52" t="s">
        <v>26</v>
      </c>
      <c r="G8558" s="54"/>
    </row>
    <row r="8559">
      <c r="A8559" s="49">
        <v>45111.1443915625</v>
      </c>
      <c r="B8559" s="50">
        <v>45111.2693729861</v>
      </c>
      <c r="C8559" s="51">
        <v>0.999</v>
      </c>
      <c r="D8559" s="51">
        <v>71.0</v>
      </c>
      <c r="E8559" s="52" t="s">
        <v>25</v>
      </c>
      <c r="F8559" s="52" t="s">
        <v>26</v>
      </c>
      <c r="G8559" s="54"/>
    </row>
    <row r="8560">
      <c r="A8560" s="49">
        <v>45111.15481438657</v>
      </c>
      <c r="B8560" s="50">
        <v>45111.2797930787</v>
      </c>
      <c r="C8560" s="51">
        <v>1.0</v>
      </c>
      <c r="D8560" s="51">
        <v>71.0</v>
      </c>
      <c r="E8560" s="52" t="s">
        <v>25</v>
      </c>
      <c r="F8560" s="52" t="s">
        <v>26</v>
      </c>
      <c r="G8560" s="54"/>
    </row>
    <row r="8561">
      <c r="A8561" s="49">
        <v>45111.165238472226</v>
      </c>
      <c r="B8561" s="50">
        <v>45111.2902134606</v>
      </c>
      <c r="C8561" s="51">
        <v>0.999</v>
      </c>
      <c r="D8561" s="51">
        <v>71.0</v>
      </c>
      <c r="E8561" s="52" t="s">
        <v>25</v>
      </c>
      <c r="F8561" s="52" t="s">
        <v>26</v>
      </c>
      <c r="G8561" s="54"/>
    </row>
    <row r="8562">
      <c r="A8562" s="49">
        <v>45111.175660312496</v>
      </c>
      <c r="B8562" s="50">
        <v>45111.3006330787</v>
      </c>
      <c r="C8562" s="51">
        <v>0.999</v>
      </c>
      <c r="D8562" s="51">
        <v>71.0</v>
      </c>
      <c r="E8562" s="52" t="s">
        <v>25</v>
      </c>
      <c r="F8562" s="52" t="s">
        <v>26</v>
      </c>
      <c r="G8562" s="54"/>
    </row>
    <row r="8563">
      <c r="A8563" s="49">
        <v>45111.186096944446</v>
      </c>
      <c r="B8563" s="50">
        <v>45111.3110555787</v>
      </c>
      <c r="C8563" s="51">
        <v>1.0</v>
      </c>
      <c r="D8563" s="51">
        <v>71.0</v>
      </c>
      <c r="E8563" s="52" t="s">
        <v>25</v>
      </c>
      <c r="F8563" s="52" t="s">
        <v>26</v>
      </c>
      <c r="G8563" s="54"/>
    </row>
    <row r="8564">
      <c r="A8564" s="49">
        <v>45111.19651197917</v>
      </c>
      <c r="B8564" s="50">
        <v>45111.3214881713</v>
      </c>
      <c r="C8564" s="51">
        <v>0.999</v>
      </c>
      <c r="D8564" s="51">
        <v>71.0</v>
      </c>
      <c r="E8564" s="52" t="s">
        <v>25</v>
      </c>
      <c r="F8564" s="52" t="s">
        <v>26</v>
      </c>
      <c r="G8564" s="54"/>
    </row>
    <row r="8565">
      <c r="A8565" s="49">
        <v>45111.206941331024</v>
      </c>
      <c r="B8565" s="50">
        <v>45111.3319074768</v>
      </c>
      <c r="C8565" s="51">
        <v>0.999</v>
      </c>
      <c r="D8565" s="51">
        <v>71.0</v>
      </c>
      <c r="E8565" s="52" t="s">
        <v>25</v>
      </c>
      <c r="F8565" s="52" t="s">
        <v>26</v>
      </c>
      <c r="G8565" s="54"/>
    </row>
    <row r="8566">
      <c r="A8566" s="49">
        <v>45111.21735232639</v>
      </c>
      <c r="B8566" s="50">
        <v>45111.3423257176</v>
      </c>
      <c r="C8566" s="51">
        <v>0.999</v>
      </c>
      <c r="D8566" s="51">
        <v>71.0</v>
      </c>
      <c r="E8566" s="52" t="s">
        <v>25</v>
      </c>
      <c r="F8566" s="52" t="s">
        <v>26</v>
      </c>
      <c r="G8566" s="54"/>
    </row>
    <row r="8567">
      <c r="A8567" s="49">
        <v>45111.22777570602</v>
      </c>
      <c r="B8567" s="50">
        <v>45111.3527475347</v>
      </c>
      <c r="C8567" s="51">
        <v>0.999</v>
      </c>
      <c r="D8567" s="51">
        <v>71.0</v>
      </c>
      <c r="E8567" s="52" t="s">
        <v>25</v>
      </c>
      <c r="F8567" s="52" t="s">
        <v>26</v>
      </c>
      <c r="G8567" s="54"/>
    </row>
    <row r="8568">
      <c r="A8568" s="49">
        <v>45111.2381953588</v>
      </c>
      <c r="B8568" s="50">
        <v>45111.363169699</v>
      </c>
      <c r="C8568" s="51">
        <v>1.0</v>
      </c>
      <c r="D8568" s="51">
        <v>71.0</v>
      </c>
      <c r="E8568" s="52" t="s">
        <v>25</v>
      </c>
      <c r="F8568" s="52" t="s">
        <v>26</v>
      </c>
      <c r="G8568" s="54"/>
    </row>
    <row r="8569">
      <c r="A8569" s="49">
        <v>45111.25905386574</v>
      </c>
      <c r="B8569" s="50">
        <v>45111.3840104282</v>
      </c>
      <c r="C8569" s="51">
        <v>0.999</v>
      </c>
      <c r="D8569" s="51">
        <v>71.0</v>
      </c>
      <c r="E8569" s="52" t="s">
        <v>25</v>
      </c>
      <c r="F8569" s="52" t="s">
        <v>26</v>
      </c>
      <c r="G8569" s="54"/>
    </row>
    <row r="8570">
      <c r="A8570" s="49">
        <v>45111.269452175926</v>
      </c>
      <c r="B8570" s="50">
        <v>45111.3944303356</v>
      </c>
      <c r="C8570" s="51">
        <v>0.999</v>
      </c>
      <c r="D8570" s="51">
        <v>71.0</v>
      </c>
      <c r="E8570" s="52" t="s">
        <v>25</v>
      </c>
      <c r="F8570" s="52" t="s">
        <v>26</v>
      </c>
      <c r="G8570" s="54"/>
    </row>
    <row r="8571">
      <c r="A8571" s="49">
        <v>45111.279895659725</v>
      </c>
      <c r="B8571" s="50">
        <v>45111.4048748842</v>
      </c>
      <c r="C8571" s="51">
        <v>0.999</v>
      </c>
      <c r="D8571" s="51">
        <v>71.0</v>
      </c>
      <c r="E8571" s="52" t="s">
        <v>25</v>
      </c>
      <c r="F8571" s="52" t="s">
        <v>26</v>
      </c>
      <c r="G8571" s="54"/>
    </row>
    <row r="8572">
      <c r="A8572" s="49">
        <v>45111.29031921296</v>
      </c>
      <c r="B8572" s="50">
        <v>45111.4152941666</v>
      </c>
      <c r="C8572" s="51">
        <v>0.999</v>
      </c>
      <c r="D8572" s="51">
        <v>71.0</v>
      </c>
      <c r="E8572" s="52" t="s">
        <v>25</v>
      </c>
      <c r="F8572" s="52" t="s">
        <v>26</v>
      </c>
      <c r="G8572" s="54"/>
    </row>
    <row r="8573">
      <c r="A8573" s="49">
        <v>45111.30074759259</v>
      </c>
      <c r="B8573" s="50">
        <v>45111.425726574</v>
      </c>
      <c r="C8573" s="51">
        <v>1.0</v>
      </c>
      <c r="D8573" s="51">
        <v>71.0</v>
      </c>
      <c r="E8573" s="52" t="s">
        <v>25</v>
      </c>
      <c r="F8573" s="52" t="s">
        <v>26</v>
      </c>
      <c r="G8573" s="54"/>
    </row>
    <row r="8574">
      <c r="A8574" s="49">
        <v>45111.31117972222</v>
      </c>
      <c r="B8574" s="50">
        <v>45111.4361471296</v>
      </c>
      <c r="C8574" s="51">
        <v>0.999</v>
      </c>
      <c r="D8574" s="51">
        <v>71.0</v>
      </c>
      <c r="E8574" s="52" t="s">
        <v>25</v>
      </c>
      <c r="F8574" s="52" t="s">
        <v>26</v>
      </c>
      <c r="G8574" s="54"/>
    </row>
    <row r="8575">
      <c r="A8575" s="49">
        <v>45111.32159255787</v>
      </c>
      <c r="B8575" s="50">
        <v>45111.4465662384</v>
      </c>
      <c r="C8575" s="51">
        <v>0.999</v>
      </c>
      <c r="D8575" s="51">
        <v>71.0</v>
      </c>
      <c r="E8575" s="52" t="s">
        <v>25</v>
      </c>
      <c r="F8575" s="52" t="s">
        <v>26</v>
      </c>
      <c r="G8575" s="54"/>
    </row>
    <row r="8576">
      <c r="A8576" s="49">
        <v>45111.332017141205</v>
      </c>
      <c r="B8576" s="50">
        <v>45111.4569883564</v>
      </c>
      <c r="C8576" s="51">
        <v>0.999</v>
      </c>
      <c r="D8576" s="51">
        <v>71.0</v>
      </c>
      <c r="E8576" s="52" t="s">
        <v>25</v>
      </c>
      <c r="F8576" s="52" t="s">
        <v>26</v>
      </c>
      <c r="G8576" s="54"/>
    </row>
    <row r="8577">
      <c r="A8577" s="49">
        <v>45111.34243096065</v>
      </c>
      <c r="B8577" s="50">
        <v>45111.4674068865</v>
      </c>
      <c r="C8577" s="51">
        <v>0.999</v>
      </c>
      <c r="D8577" s="51">
        <v>71.0</v>
      </c>
      <c r="E8577" s="52" t="s">
        <v>25</v>
      </c>
      <c r="F8577" s="52" t="s">
        <v>26</v>
      </c>
      <c r="G8577" s="54"/>
    </row>
    <row r="8578">
      <c r="A8578" s="49">
        <v>45111.352849456016</v>
      </c>
      <c r="B8578" s="50">
        <v>45111.4778286458</v>
      </c>
      <c r="C8578" s="51">
        <v>0.999</v>
      </c>
      <c r="D8578" s="51">
        <v>71.0</v>
      </c>
      <c r="E8578" s="52" t="s">
        <v>25</v>
      </c>
      <c r="F8578" s="52" t="s">
        <v>26</v>
      </c>
      <c r="G8578" s="54"/>
    </row>
    <row r="8579">
      <c r="A8579" s="49">
        <v>45111.36329620371</v>
      </c>
      <c r="B8579" s="50">
        <v>45111.4882730555</v>
      </c>
      <c r="C8579" s="51">
        <v>0.999</v>
      </c>
      <c r="D8579" s="51">
        <v>71.0</v>
      </c>
      <c r="E8579" s="52" t="s">
        <v>25</v>
      </c>
      <c r="F8579" s="52" t="s">
        <v>26</v>
      </c>
      <c r="G8579" s="54"/>
    </row>
    <row r="8580">
      <c r="A8580" s="49">
        <v>45111.373724432866</v>
      </c>
      <c r="B8580" s="50">
        <v>45111.4986959027</v>
      </c>
      <c r="C8580" s="51">
        <v>0.999</v>
      </c>
      <c r="D8580" s="51">
        <v>71.0</v>
      </c>
      <c r="E8580" s="52" t="s">
        <v>25</v>
      </c>
      <c r="F8580" s="52" t="s">
        <v>26</v>
      </c>
      <c r="G8580" s="54"/>
    </row>
    <row r="8581">
      <c r="A8581" s="49">
        <v>45111.38416162037</v>
      </c>
      <c r="B8581" s="50">
        <v>45111.509140787</v>
      </c>
      <c r="C8581" s="51">
        <v>0.999</v>
      </c>
      <c r="D8581" s="51">
        <v>71.0</v>
      </c>
      <c r="E8581" s="52" t="s">
        <v>25</v>
      </c>
      <c r="F8581" s="52" t="s">
        <v>26</v>
      </c>
      <c r="G8581" s="54"/>
    </row>
    <row r="8582">
      <c r="A8582" s="49">
        <v>45111.39460315972</v>
      </c>
      <c r="B8582" s="50">
        <v>45111.5195728588</v>
      </c>
      <c r="C8582" s="51">
        <v>0.999</v>
      </c>
      <c r="D8582" s="51">
        <v>71.0</v>
      </c>
      <c r="E8582" s="52" t="s">
        <v>25</v>
      </c>
      <c r="F8582" s="52" t="s">
        <v>26</v>
      </c>
      <c r="G8582" s="54"/>
    </row>
    <row r="8583">
      <c r="A8583" s="49">
        <v>45111.40502202546</v>
      </c>
      <c r="B8583" s="50">
        <v>45111.5299922916</v>
      </c>
      <c r="C8583" s="51">
        <v>0.999</v>
      </c>
      <c r="D8583" s="51">
        <v>71.0</v>
      </c>
      <c r="E8583" s="52" t="s">
        <v>25</v>
      </c>
      <c r="F8583" s="52" t="s">
        <v>26</v>
      </c>
      <c r="G8583" s="54"/>
    </row>
    <row r="8584">
      <c r="A8584" s="49">
        <v>45111.41543364583</v>
      </c>
      <c r="B8584" s="50">
        <v>45111.5404134606</v>
      </c>
      <c r="C8584" s="51">
        <v>0.999</v>
      </c>
      <c r="D8584" s="51">
        <v>71.0</v>
      </c>
      <c r="E8584" s="52" t="s">
        <v>25</v>
      </c>
      <c r="F8584" s="52" t="s">
        <v>26</v>
      </c>
      <c r="G8584" s="54"/>
    </row>
    <row r="8585">
      <c r="A8585" s="49">
        <v>45111.425879305556</v>
      </c>
      <c r="B8585" s="50">
        <v>45111.5508563425</v>
      </c>
      <c r="C8585" s="51">
        <v>0.999</v>
      </c>
      <c r="D8585" s="51">
        <v>71.0</v>
      </c>
      <c r="E8585" s="52" t="s">
        <v>25</v>
      </c>
      <c r="F8585" s="52" t="s">
        <v>26</v>
      </c>
      <c r="G8585" s="54"/>
    </row>
    <row r="8586">
      <c r="A8586" s="49">
        <v>45111.43630690972</v>
      </c>
      <c r="B8586" s="50">
        <v>45111.5612776041</v>
      </c>
      <c r="C8586" s="51">
        <v>0.999</v>
      </c>
      <c r="D8586" s="51">
        <v>71.0</v>
      </c>
      <c r="E8586" s="52" t="s">
        <v>25</v>
      </c>
      <c r="F8586" s="52" t="s">
        <v>26</v>
      </c>
      <c r="G8586" s="54"/>
    </row>
    <row r="8587">
      <c r="A8587" s="49">
        <v>45111.44672424768</v>
      </c>
      <c r="B8587" s="50">
        <v>45111.5716973842</v>
      </c>
      <c r="C8587" s="51">
        <v>0.999</v>
      </c>
      <c r="D8587" s="51">
        <v>71.0</v>
      </c>
      <c r="E8587" s="52" t="s">
        <v>25</v>
      </c>
      <c r="F8587" s="52" t="s">
        <v>26</v>
      </c>
      <c r="G8587" s="54"/>
    </row>
    <row r="8588">
      <c r="A8588" s="49">
        <v>45111.45713414352</v>
      </c>
      <c r="B8588" s="50">
        <v>45111.5821167129</v>
      </c>
      <c r="C8588" s="51">
        <v>0.999</v>
      </c>
      <c r="D8588" s="51">
        <v>71.0</v>
      </c>
      <c r="E8588" s="52" t="s">
        <v>25</v>
      </c>
      <c r="F8588" s="52" t="s">
        <v>26</v>
      </c>
      <c r="G8588" s="54"/>
    </row>
    <row r="8589">
      <c r="A8589" s="49">
        <v>45111.46755652778</v>
      </c>
      <c r="B8589" s="50">
        <v>45111.5925382407</v>
      </c>
      <c r="C8589" s="51">
        <v>0.999</v>
      </c>
      <c r="D8589" s="51">
        <v>71.0</v>
      </c>
      <c r="E8589" s="52" t="s">
        <v>25</v>
      </c>
      <c r="F8589" s="52" t="s">
        <v>26</v>
      </c>
      <c r="G8589" s="54"/>
    </row>
    <row r="8590">
      <c r="A8590" s="49">
        <v>45111.477983379635</v>
      </c>
      <c r="B8590" s="50">
        <v>45111.6029585416</v>
      </c>
      <c r="C8590" s="51">
        <v>0.999</v>
      </c>
      <c r="D8590" s="51">
        <v>71.0</v>
      </c>
      <c r="E8590" s="52" t="s">
        <v>25</v>
      </c>
      <c r="F8590" s="52" t="s">
        <v>26</v>
      </c>
      <c r="G8590" s="54"/>
    </row>
    <row r="8591">
      <c r="A8591" s="49">
        <v>45111.48840905093</v>
      </c>
      <c r="B8591" s="50">
        <v>45111.6133796643</v>
      </c>
      <c r="C8591" s="51">
        <v>0.999</v>
      </c>
      <c r="D8591" s="51">
        <v>71.0</v>
      </c>
      <c r="E8591" s="52" t="s">
        <v>25</v>
      </c>
      <c r="F8591" s="52" t="s">
        <v>26</v>
      </c>
      <c r="G8591" s="54"/>
    </row>
    <row r="8592">
      <c r="A8592" s="49">
        <v>45111.49882528935</v>
      </c>
      <c r="B8592" s="50">
        <v>45111.6238002083</v>
      </c>
      <c r="C8592" s="51">
        <v>0.999</v>
      </c>
      <c r="D8592" s="51">
        <v>71.0</v>
      </c>
      <c r="E8592" s="52" t="s">
        <v>25</v>
      </c>
      <c r="F8592" s="52" t="s">
        <v>26</v>
      </c>
      <c r="G8592" s="54"/>
    </row>
    <row r="8593">
      <c r="A8593" s="49">
        <v>45111.509256053236</v>
      </c>
      <c r="B8593" s="50">
        <v>45111.6342330902</v>
      </c>
      <c r="C8593" s="51">
        <v>0.999</v>
      </c>
      <c r="D8593" s="51">
        <v>71.0</v>
      </c>
      <c r="E8593" s="52" t="s">
        <v>25</v>
      </c>
      <c r="F8593" s="52" t="s">
        <v>26</v>
      </c>
      <c r="G8593" s="54"/>
    </row>
    <row r="8594">
      <c r="A8594" s="49">
        <v>45111.51967662037</v>
      </c>
      <c r="B8594" s="50">
        <v>45111.6446529976</v>
      </c>
      <c r="C8594" s="51">
        <v>0.999</v>
      </c>
      <c r="D8594" s="51">
        <v>71.0</v>
      </c>
      <c r="E8594" s="52" t="s">
        <v>25</v>
      </c>
      <c r="F8594" s="52" t="s">
        <v>26</v>
      </c>
      <c r="G8594" s="54"/>
    </row>
    <row r="8595">
      <c r="A8595" s="49">
        <v>45111.53012900463</v>
      </c>
      <c r="B8595" s="50">
        <v>45111.6551098842</v>
      </c>
      <c r="C8595" s="51">
        <v>0.999</v>
      </c>
      <c r="D8595" s="51">
        <v>71.0</v>
      </c>
      <c r="E8595" s="52" t="s">
        <v>25</v>
      </c>
      <c r="F8595" s="52" t="s">
        <v>26</v>
      </c>
      <c r="G8595" s="54"/>
    </row>
    <row r="8596">
      <c r="A8596" s="49">
        <v>45111.54054990741</v>
      </c>
      <c r="B8596" s="50">
        <v>45111.6655313773</v>
      </c>
      <c r="C8596" s="51">
        <v>0.999</v>
      </c>
      <c r="D8596" s="51">
        <v>71.0</v>
      </c>
      <c r="E8596" s="52" t="s">
        <v>25</v>
      </c>
      <c r="F8596" s="52" t="s">
        <v>26</v>
      </c>
      <c r="G8596" s="54"/>
    </row>
    <row r="8597">
      <c r="A8597" s="49">
        <v>45111.55098170139</v>
      </c>
      <c r="B8597" s="50">
        <v>45111.6759529976</v>
      </c>
      <c r="C8597" s="51">
        <v>0.999</v>
      </c>
      <c r="D8597" s="51">
        <v>71.0</v>
      </c>
      <c r="E8597" s="52" t="s">
        <v>25</v>
      </c>
      <c r="F8597" s="52" t="s">
        <v>26</v>
      </c>
      <c r="G8597" s="54"/>
    </row>
    <row r="8598">
      <c r="A8598" s="49">
        <v>45111.56140365741</v>
      </c>
      <c r="B8598" s="50">
        <v>45111.6863745949</v>
      </c>
      <c r="C8598" s="51">
        <v>0.999</v>
      </c>
      <c r="D8598" s="51">
        <v>71.0</v>
      </c>
      <c r="E8598" s="52" t="s">
        <v>25</v>
      </c>
      <c r="F8598" s="52" t="s">
        <v>26</v>
      </c>
      <c r="G8598" s="54"/>
    </row>
    <row r="8599">
      <c r="A8599" s="49">
        <v>45111.57182494213</v>
      </c>
      <c r="B8599" s="50">
        <v>45111.6967953356</v>
      </c>
      <c r="C8599" s="51">
        <v>0.999</v>
      </c>
      <c r="D8599" s="51">
        <v>71.0</v>
      </c>
      <c r="E8599" s="52" t="s">
        <v>25</v>
      </c>
      <c r="F8599" s="52" t="s">
        <v>26</v>
      </c>
      <c r="G8599" s="54"/>
    </row>
    <row r="8600">
      <c r="A8600" s="49">
        <v>45111.582279305556</v>
      </c>
      <c r="B8600" s="50">
        <v>45111.7072513425</v>
      </c>
      <c r="C8600" s="51">
        <v>0.999</v>
      </c>
      <c r="D8600" s="51">
        <v>71.0</v>
      </c>
      <c r="E8600" s="52" t="s">
        <v>25</v>
      </c>
      <c r="F8600" s="52" t="s">
        <v>26</v>
      </c>
      <c r="G8600" s="54"/>
    </row>
    <row r="8601">
      <c r="A8601" s="49">
        <v>45111.592705613424</v>
      </c>
      <c r="B8601" s="50">
        <v>45111.7176826504</v>
      </c>
      <c r="C8601" s="51">
        <v>0.999</v>
      </c>
      <c r="D8601" s="51">
        <v>71.0</v>
      </c>
      <c r="E8601" s="52" t="s">
        <v>25</v>
      </c>
      <c r="F8601" s="52" t="s">
        <v>26</v>
      </c>
      <c r="G8601" s="54"/>
    </row>
    <row r="8602">
      <c r="A8602" s="49">
        <v>45111.60313011574</v>
      </c>
      <c r="B8602" s="50">
        <v>45111.7281033217</v>
      </c>
      <c r="C8602" s="51">
        <v>0.999</v>
      </c>
      <c r="D8602" s="51">
        <v>71.0</v>
      </c>
      <c r="E8602" s="52" t="s">
        <v>25</v>
      </c>
      <c r="F8602" s="52" t="s">
        <v>26</v>
      </c>
      <c r="G8602" s="54"/>
    </row>
    <row r="8603">
      <c r="A8603" s="49">
        <v>45111.61354472222</v>
      </c>
      <c r="B8603" s="50">
        <v>45111.7385240046</v>
      </c>
      <c r="C8603" s="51">
        <v>0.999</v>
      </c>
      <c r="D8603" s="51">
        <v>71.0</v>
      </c>
      <c r="E8603" s="52" t="s">
        <v>25</v>
      </c>
      <c r="F8603" s="52" t="s">
        <v>26</v>
      </c>
      <c r="G8603" s="54"/>
    </row>
    <row r="8604">
      <c r="A8604" s="49">
        <v>45111.623971064815</v>
      </c>
      <c r="B8604" s="50">
        <v>45111.7489448842</v>
      </c>
      <c r="C8604" s="51">
        <v>0.999</v>
      </c>
      <c r="D8604" s="51">
        <v>71.0</v>
      </c>
      <c r="E8604" s="52" t="s">
        <v>25</v>
      </c>
      <c r="F8604" s="52" t="s">
        <v>26</v>
      </c>
      <c r="G8604" s="54"/>
    </row>
    <row r="8605">
      <c r="A8605" s="49">
        <v>45111.63438664352</v>
      </c>
      <c r="B8605" s="50">
        <v>45111.759367118</v>
      </c>
      <c r="C8605" s="51">
        <v>0.999</v>
      </c>
      <c r="D8605" s="51">
        <v>71.0</v>
      </c>
      <c r="E8605" s="52" t="s">
        <v>25</v>
      </c>
      <c r="F8605" s="52" t="s">
        <v>26</v>
      </c>
      <c r="G8605" s="54"/>
    </row>
    <row r="8606">
      <c r="A8606" s="49">
        <v>45111.644813425926</v>
      </c>
      <c r="B8606" s="50">
        <v>45111.7697888426</v>
      </c>
      <c r="C8606" s="51">
        <v>0.999</v>
      </c>
      <c r="D8606" s="51">
        <v>71.0</v>
      </c>
      <c r="E8606" s="52" t="s">
        <v>25</v>
      </c>
      <c r="F8606" s="52" t="s">
        <v>26</v>
      </c>
      <c r="G8606" s="54"/>
    </row>
    <row r="8607">
      <c r="A8607" s="49">
        <v>45111.6552381713</v>
      </c>
      <c r="B8607" s="50">
        <v>45111.7802098842</v>
      </c>
      <c r="C8607" s="51">
        <v>0.999</v>
      </c>
      <c r="D8607" s="51">
        <v>71.0</v>
      </c>
      <c r="E8607" s="52" t="s">
        <v>25</v>
      </c>
      <c r="F8607" s="52" t="s">
        <v>26</v>
      </c>
      <c r="G8607" s="54"/>
    </row>
    <row r="8608">
      <c r="A8608" s="49">
        <v>45111.66565353009</v>
      </c>
      <c r="B8608" s="50">
        <v>45111.7906317939</v>
      </c>
      <c r="C8608" s="51">
        <v>0.999</v>
      </c>
      <c r="D8608" s="51">
        <v>71.0</v>
      </c>
      <c r="E8608" s="52" t="s">
        <v>25</v>
      </c>
      <c r="F8608" s="52" t="s">
        <v>26</v>
      </c>
      <c r="G8608" s="54"/>
    </row>
    <row r="8609">
      <c r="A8609" s="49">
        <v>45111.67608233796</v>
      </c>
      <c r="B8609" s="50">
        <v>45111.8010534375</v>
      </c>
      <c r="C8609" s="51">
        <v>0.999</v>
      </c>
      <c r="D8609" s="51">
        <v>71.0</v>
      </c>
      <c r="E8609" s="52" t="s">
        <v>25</v>
      </c>
      <c r="F8609" s="52" t="s">
        <v>26</v>
      </c>
      <c r="G8609" s="54"/>
    </row>
    <row r="8610">
      <c r="A8610" s="49">
        <v>45111.68650444444</v>
      </c>
      <c r="B8610" s="50">
        <v>45111.8114736111</v>
      </c>
      <c r="C8610" s="51">
        <v>0.999</v>
      </c>
      <c r="D8610" s="51">
        <v>71.0</v>
      </c>
      <c r="E8610" s="52" t="s">
        <v>25</v>
      </c>
      <c r="F8610" s="52" t="s">
        <v>26</v>
      </c>
      <c r="G8610" s="54"/>
    </row>
    <row r="8611">
      <c r="A8611" s="49">
        <v>45111.69691655092</v>
      </c>
      <c r="B8611" s="50">
        <v>45111.8218964351</v>
      </c>
      <c r="C8611" s="51">
        <v>0.999</v>
      </c>
      <c r="D8611" s="51">
        <v>71.0</v>
      </c>
      <c r="E8611" s="52" t="s">
        <v>25</v>
      </c>
      <c r="F8611" s="52" t="s">
        <v>26</v>
      </c>
      <c r="G8611" s="54"/>
    </row>
    <row r="8612">
      <c r="A8612" s="49">
        <v>45111.707352233796</v>
      </c>
      <c r="B8612" s="50">
        <v>45111.8323156481</v>
      </c>
      <c r="C8612" s="51">
        <v>0.999</v>
      </c>
      <c r="D8612" s="51">
        <v>71.0</v>
      </c>
      <c r="E8612" s="52" t="s">
        <v>25</v>
      </c>
      <c r="F8612" s="52" t="s">
        <v>26</v>
      </c>
      <c r="G8612" s="54"/>
    </row>
    <row r="8613">
      <c r="A8613" s="49">
        <v>45111.71775989584</v>
      </c>
      <c r="B8613" s="50">
        <v>45111.8427376041</v>
      </c>
      <c r="C8613" s="51">
        <v>0.999</v>
      </c>
      <c r="D8613" s="51">
        <v>71.0</v>
      </c>
      <c r="E8613" s="52" t="s">
        <v>25</v>
      </c>
      <c r="F8613" s="52" t="s">
        <v>26</v>
      </c>
      <c r="G8613" s="54"/>
    </row>
    <row r="8614">
      <c r="A8614" s="49">
        <v>45111.728185115746</v>
      </c>
      <c r="B8614" s="50">
        <v>45111.8531598379</v>
      </c>
      <c r="C8614" s="51">
        <v>0.999</v>
      </c>
      <c r="D8614" s="51">
        <v>71.0</v>
      </c>
      <c r="E8614" s="52" t="s">
        <v>25</v>
      </c>
      <c r="F8614" s="52" t="s">
        <v>26</v>
      </c>
      <c r="G8614" s="54"/>
    </row>
    <row r="8615">
      <c r="A8615" s="49">
        <v>45111.73859994213</v>
      </c>
      <c r="B8615" s="50">
        <v>45111.8635807175</v>
      </c>
      <c r="C8615" s="51">
        <v>0.999</v>
      </c>
      <c r="D8615" s="51">
        <v>71.0</v>
      </c>
      <c r="E8615" s="52" t="s">
        <v>25</v>
      </c>
      <c r="F8615" s="52" t="s">
        <v>26</v>
      </c>
      <c r="G8615" s="54"/>
    </row>
    <row r="8616">
      <c r="A8616" s="49">
        <v>45111.74903209491</v>
      </c>
      <c r="B8616" s="50">
        <v>45111.8740034722</v>
      </c>
      <c r="C8616" s="51">
        <v>0.999</v>
      </c>
      <c r="D8616" s="51">
        <v>71.0</v>
      </c>
      <c r="E8616" s="52" t="s">
        <v>25</v>
      </c>
      <c r="F8616" s="52" t="s">
        <v>26</v>
      </c>
      <c r="G8616" s="54"/>
    </row>
    <row r="8617">
      <c r="A8617" s="49">
        <v>45111.75945304398</v>
      </c>
      <c r="B8617" s="50">
        <v>45111.8844264583</v>
      </c>
      <c r="C8617" s="51">
        <v>0.999</v>
      </c>
      <c r="D8617" s="51">
        <v>71.0</v>
      </c>
      <c r="E8617" s="52" t="s">
        <v>25</v>
      </c>
      <c r="F8617" s="52" t="s">
        <v>26</v>
      </c>
      <c r="G8617" s="54"/>
    </row>
    <row r="8618">
      <c r="A8618" s="49">
        <v>45111.76987561343</v>
      </c>
      <c r="B8618" s="50">
        <v>45111.8948487037</v>
      </c>
      <c r="C8618" s="51">
        <v>0.999</v>
      </c>
      <c r="D8618" s="51">
        <v>71.0</v>
      </c>
      <c r="E8618" s="52" t="s">
        <v>25</v>
      </c>
      <c r="F8618" s="52" t="s">
        <v>26</v>
      </c>
      <c r="G8618" s="54"/>
    </row>
    <row r="8619">
      <c r="A8619" s="49">
        <v>45111.78029775463</v>
      </c>
      <c r="B8619" s="50">
        <v>45111.9052693055</v>
      </c>
      <c r="C8619" s="51">
        <v>0.999</v>
      </c>
      <c r="D8619" s="51">
        <v>71.0</v>
      </c>
      <c r="E8619" s="52" t="s">
        <v>25</v>
      </c>
      <c r="F8619" s="52" t="s">
        <v>26</v>
      </c>
      <c r="G8619" s="54"/>
    </row>
    <row r="8620">
      <c r="A8620" s="49">
        <v>45111.79071825232</v>
      </c>
      <c r="B8620" s="50">
        <v>45111.9156895254</v>
      </c>
      <c r="C8620" s="51">
        <v>0.999</v>
      </c>
      <c r="D8620" s="51">
        <v>71.0</v>
      </c>
      <c r="E8620" s="52" t="s">
        <v>25</v>
      </c>
      <c r="F8620" s="52" t="s">
        <v>26</v>
      </c>
      <c r="G8620" s="54"/>
    </row>
    <row r="8621">
      <c r="A8621" s="49">
        <v>45111.80113445602</v>
      </c>
      <c r="B8621" s="50">
        <v>45111.926109618</v>
      </c>
      <c r="C8621" s="51">
        <v>0.999</v>
      </c>
      <c r="D8621" s="51">
        <v>71.0</v>
      </c>
      <c r="E8621" s="52" t="s">
        <v>25</v>
      </c>
      <c r="F8621" s="52" t="s">
        <v>26</v>
      </c>
      <c r="G8621" s="54"/>
    </row>
    <row r="8622">
      <c r="A8622" s="49">
        <v>45111.811556678236</v>
      </c>
      <c r="B8622" s="50">
        <v>45111.9365308333</v>
      </c>
      <c r="C8622" s="51">
        <v>0.999</v>
      </c>
      <c r="D8622" s="51">
        <v>71.0</v>
      </c>
      <c r="E8622" s="52" t="s">
        <v>25</v>
      </c>
      <c r="F8622" s="52" t="s">
        <v>26</v>
      </c>
      <c r="G8622" s="54"/>
    </row>
    <row r="8623">
      <c r="A8623" s="49">
        <v>45111.821979768516</v>
      </c>
      <c r="B8623" s="50">
        <v>45111.9469520254</v>
      </c>
      <c r="C8623" s="51">
        <v>0.999</v>
      </c>
      <c r="D8623" s="51">
        <v>71.0</v>
      </c>
      <c r="E8623" s="52" t="s">
        <v>25</v>
      </c>
      <c r="F8623" s="52" t="s">
        <v>26</v>
      </c>
      <c r="G8623" s="54"/>
    </row>
    <row r="8624">
      <c r="A8624" s="49">
        <v>45111.83241020833</v>
      </c>
      <c r="B8624" s="50">
        <v>45111.9573855555</v>
      </c>
      <c r="C8624" s="51">
        <v>0.999</v>
      </c>
      <c r="D8624" s="51">
        <v>71.0</v>
      </c>
      <c r="E8624" s="52" t="s">
        <v>25</v>
      </c>
      <c r="F8624" s="52" t="s">
        <v>26</v>
      </c>
      <c r="G8624" s="54"/>
    </row>
    <row r="8625">
      <c r="A8625" s="49">
        <v>45111.84282859953</v>
      </c>
      <c r="B8625" s="50">
        <v>45111.9678050694</v>
      </c>
      <c r="C8625" s="51">
        <v>0.999</v>
      </c>
      <c r="D8625" s="51">
        <v>71.0</v>
      </c>
      <c r="E8625" s="52" t="s">
        <v>25</v>
      </c>
      <c r="F8625" s="52" t="s">
        <v>26</v>
      </c>
      <c r="G8625" s="54"/>
    </row>
    <row r="8626">
      <c r="A8626" s="49">
        <v>45111.8532552199</v>
      </c>
      <c r="B8626" s="50">
        <v>45111.9782261111</v>
      </c>
      <c r="C8626" s="51">
        <v>0.999</v>
      </c>
      <c r="D8626" s="51">
        <v>71.0</v>
      </c>
      <c r="E8626" s="52" t="s">
        <v>25</v>
      </c>
      <c r="F8626" s="52" t="s">
        <v>26</v>
      </c>
      <c r="G8626" s="54"/>
    </row>
    <row r="8627">
      <c r="A8627" s="49">
        <v>45111.86366988426</v>
      </c>
      <c r="B8627" s="50">
        <v>45111.9886462963</v>
      </c>
      <c r="C8627" s="51">
        <v>0.999</v>
      </c>
      <c r="D8627" s="51">
        <v>71.0</v>
      </c>
      <c r="E8627" s="52" t="s">
        <v>25</v>
      </c>
      <c r="F8627" s="52" t="s">
        <v>26</v>
      </c>
      <c r="G8627" s="54"/>
    </row>
    <row r="8628">
      <c r="A8628" s="49">
        <v>45111.874098541666</v>
      </c>
      <c r="B8628" s="50">
        <v>45111.9990655671</v>
      </c>
      <c r="C8628" s="51">
        <v>0.999</v>
      </c>
      <c r="D8628" s="51">
        <v>71.0</v>
      </c>
      <c r="E8628" s="52" t="s">
        <v>25</v>
      </c>
      <c r="F8628" s="52" t="s">
        <v>26</v>
      </c>
      <c r="G8628" s="54"/>
    </row>
    <row r="8629">
      <c r="A8629" s="49">
        <v>45111.884514317135</v>
      </c>
      <c r="B8629" s="50">
        <v>45112.0094848495</v>
      </c>
      <c r="C8629" s="51">
        <v>0.999</v>
      </c>
      <c r="D8629" s="51">
        <v>71.0</v>
      </c>
      <c r="E8629" s="52" t="s">
        <v>25</v>
      </c>
      <c r="F8629" s="52" t="s">
        <v>26</v>
      </c>
      <c r="G8629" s="54"/>
    </row>
    <row r="8630">
      <c r="A8630" s="49">
        <v>45111.89492810185</v>
      </c>
      <c r="B8630" s="50">
        <v>45112.0199055671</v>
      </c>
      <c r="C8630" s="51">
        <v>0.999</v>
      </c>
      <c r="D8630" s="51">
        <v>71.0</v>
      </c>
      <c r="E8630" s="52" t="s">
        <v>25</v>
      </c>
      <c r="F8630" s="52" t="s">
        <v>26</v>
      </c>
      <c r="G8630" s="54"/>
    </row>
    <row r="8631">
      <c r="A8631" s="49">
        <v>45111.90535392361</v>
      </c>
      <c r="B8631" s="50">
        <v>45112.0303248495</v>
      </c>
      <c r="C8631" s="51">
        <v>0.999</v>
      </c>
      <c r="D8631" s="51">
        <v>71.0</v>
      </c>
      <c r="E8631" s="52" t="s">
        <v>25</v>
      </c>
      <c r="F8631" s="52" t="s">
        <v>26</v>
      </c>
      <c r="G8631" s="54"/>
    </row>
    <row r="8632">
      <c r="A8632" s="49">
        <v>45111.91577523148</v>
      </c>
      <c r="B8632" s="50">
        <v>45112.0407472916</v>
      </c>
      <c r="C8632" s="51">
        <v>0.999</v>
      </c>
      <c r="D8632" s="51">
        <v>71.0</v>
      </c>
      <c r="E8632" s="52" t="s">
        <v>25</v>
      </c>
      <c r="F8632" s="52" t="s">
        <v>26</v>
      </c>
      <c r="G8632" s="54"/>
    </row>
    <row r="8633">
      <c r="A8633" s="49">
        <v>45111.92619085648</v>
      </c>
      <c r="B8633" s="50">
        <v>45112.0511674305</v>
      </c>
      <c r="C8633" s="51">
        <v>0.999</v>
      </c>
      <c r="D8633" s="51">
        <v>71.0</v>
      </c>
      <c r="E8633" s="52" t="s">
        <v>25</v>
      </c>
      <c r="F8633" s="52" t="s">
        <v>26</v>
      </c>
      <c r="G8633" s="54"/>
    </row>
    <row r="8634">
      <c r="A8634" s="49">
        <v>45111.93662105324</v>
      </c>
      <c r="B8634" s="50">
        <v>45112.0615879282</v>
      </c>
      <c r="C8634" s="51">
        <v>0.999</v>
      </c>
      <c r="D8634" s="51">
        <v>71.0</v>
      </c>
      <c r="E8634" s="52" t="s">
        <v>25</v>
      </c>
      <c r="F8634" s="52" t="s">
        <v>26</v>
      </c>
      <c r="G8634" s="54"/>
    </row>
    <row r="8635">
      <c r="A8635" s="49">
        <v>45111.94703445602</v>
      </c>
      <c r="B8635" s="50">
        <v>45112.0720074537</v>
      </c>
      <c r="C8635" s="51">
        <v>0.999</v>
      </c>
      <c r="D8635" s="51">
        <v>71.0</v>
      </c>
      <c r="E8635" s="52" t="s">
        <v>25</v>
      </c>
      <c r="F8635" s="52" t="s">
        <v>26</v>
      </c>
      <c r="G8635" s="54"/>
    </row>
    <row r="8636">
      <c r="A8636" s="49">
        <v>45111.95745806713</v>
      </c>
      <c r="B8636" s="50">
        <v>45112.0824284027</v>
      </c>
      <c r="C8636" s="51">
        <v>0.999</v>
      </c>
      <c r="D8636" s="51">
        <v>71.0</v>
      </c>
      <c r="E8636" s="52" t="s">
        <v>25</v>
      </c>
      <c r="F8636" s="52" t="s">
        <v>26</v>
      </c>
      <c r="G8636" s="54"/>
    </row>
    <row r="8637">
      <c r="A8637" s="49">
        <v>45111.967875462964</v>
      </c>
      <c r="B8637" s="50">
        <v>45112.0928486689</v>
      </c>
      <c r="C8637" s="51">
        <v>0.999</v>
      </c>
      <c r="D8637" s="51">
        <v>71.0</v>
      </c>
      <c r="E8637" s="52" t="s">
        <v>25</v>
      </c>
      <c r="F8637" s="52" t="s">
        <v>26</v>
      </c>
      <c r="G8637" s="54"/>
    </row>
    <row r="8638">
      <c r="A8638" s="49">
        <v>45111.97829028935</v>
      </c>
      <c r="B8638" s="50">
        <v>45112.1032701388</v>
      </c>
      <c r="C8638" s="51">
        <v>0.999</v>
      </c>
      <c r="D8638" s="51">
        <v>71.0</v>
      </c>
      <c r="E8638" s="52" t="s">
        <v>25</v>
      </c>
      <c r="F8638" s="52" t="s">
        <v>26</v>
      </c>
      <c r="G8638" s="54"/>
    </row>
    <row r="8639">
      <c r="A8639" s="49">
        <v>45111.98872378472</v>
      </c>
      <c r="B8639" s="50">
        <v>45112.1136926504</v>
      </c>
      <c r="C8639" s="51">
        <v>1.0</v>
      </c>
      <c r="D8639" s="51">
        <v>71.0</v>
      </c>
      <c r="E8639" s="52" t="s">
        <v>25</v>
      </c>
      <c r="F8639" s="52" t="s">
        <v>26</v>
      </c>
      <c r="G8639" s="54"/>
    </row>
    <row r="8640">
      <c r="A8640" s="49">
        <v>45111.99913561343</v>
      </c>
      <c r="B8640" s="50">
        <v>45112.1241162731</v>
      </c>
      <c r="C8640" s="51">
        <v>0.999</v>
      </c>
      <c r="D8640" s="51">
        <v>71.0</v>
      </c>
      <c r="E8640" s="52" t="s">
        <v>25</v>
      </c>
      <c r="F8640" s="52" t="s">
        <v>26</v>
      </c>
      <c r="G8640" s="54"/>
    </row>
    <row r="8641">
      <c r="A8641" s="49">
        <v>45112.00956209491</v>
      </c>
      <c r="B8641" s="50">
        <v>45112.1345383449</v>
      </c>
      <c r="C8641" s="51">
        <v>1.0</v>
      </c>
      <c r="D8641" s="51">
        <v>71.0</v>
      </c>
      <c r="E8641" s="52" t="s">
        <v>25</v>
      </c>
      <c r="F8641" s="52" t="s">
        <v>26</v>
      </c>
      <c r="G8641" s="54"/>
    </row>
    <row r="8642">
      <c r="A8642" s="49">
        <v>45112.02000063658</v>
      </c>
      <c r="B8642" s="50">
        <v>45112.1449710185</v>
      </c>
      <c r="C8642" s="51">
        <v>0.999</v>
      </c>
      <c r="D8642" s="51">
        <v>71.0</v>
      </c>
      <c r="E8642" s="52" t="s">
        <v>25</v>
      </c>
      <c r="F8642" s="52" t="s">
        <v>26</v>
      </c>
      <c r="G8642" s="54"/>
    </row>
    <row r="8643">
      <c r="A8643" s="49">
        <v>45112.03076025463</v>
      </c>
      <c r="B8643" s="50">
        <v>45112.155405868</v>
      </c>
      <c r="C8643" s="51">
        <v>0.999</v>
      </c>
      <c r="D8643" s="51">
        <v>71.0</v>
      </c>
      <c r="E8643" s="52" t="s">
        <v>25</v>
      </c>
      <c r="F8643" s="52" t="s">
        <v>26</v>
      </c>
      <c r="G8643" s="54"/>
    </row>
    <row r="8644">
      <c r="A8644" s="49">
        <v>45112.040856875</v>
      </c>
      <c r="B8644" s="50">
        <v>45112.1658283333</v>
      </c>
      <c r="C8644" s="51">
        <v>0.999</v>
      </c>
      <c r="D8644" s="51">
        <v>71.0</v>
      </c>
      <c r="E8644" s="52" t="s">
        <v>25</v>
      </c>
      <c r="F8644" s="52" t="s">
        <v>26</v>
      </c>
      <c r="G8644" s="54"/>
    </row>
    <row r="8645">
      <c r="A8645" s="49">
        <v>45112.051288946765</v>
      </c>
      <c r="B8645" s="50">
        <v>45112.1762506713</v>
      </c>
      <c r="C8645" s="51">
        <v>0.999</v>
      </c>
      <c r="D8645" s="51">
        <v>71.0</v>
      </c>
      <c r="E8645" s="52" t="s">
        <v>25</v>
      </c>
      <c r="F8645" s="52" t="s">
        <v>26</v>
      </c>
      <c r="G8645" s="54"/>
    </row>
    <row r="8646">
      <c r="A8646" s="49">
        <v>45112.0616996412</v>
      </c>
      <c r="B8646" s="50">
        <v>45112.1866719907</v>
      </c>
      <c r="C8646" s="51">
        <v>0.999</v>
      </c>
      <c r="D8646" s="51">
        <v>71.0</v>
      </c>
      <c r="E8646" s="52" t="s">
        <v>25</v>
      </c>
      <c r="F8646" s="52" t="s">
        <v>26</v>
      </c>
      <c r="G8646" s="54"/>
    </row>
    <row r="8647">
      <c r="A8647" s="49">
        <v>45112.07212408565</v>
      </c>
      <c r="B8647" s="50">
        <v>45112.1970926157</v>
      </c>
      <c r="C8647" s="51">
        <v>0.999</v>
      </c>
      <c r="D8647" s="51">
        <v>71.0</v>
      </c>
      <c r="E8647" s="52" t="s">
        <v>25</v>
      </c>
      <c r="F8647" s="52" t="s">
        <v>26</v>
      </c>
      <c r="G8647" s="54"/>
    </row>
    <row r="8648">
      <c r="A8648" s="49">
        <v>45112.08253594907</v>
      </c>
      <c r="B8648" s="50">
        <v>45112.2075130555</v>
      </c>
      <c r="C8648" s="51">
        <v>0.999</v>
      </c>
      <c r="D8648" s="51">
        <v>71.0</v>
      </c>
      <c r="E8648" s="52" t="s">
        <v>25</v>
      </c>
      <c r="F8648" s="52" t="s">
        <v>26</v>
      </c>
      <c r="G8648" s="54"/>
    </row>
    <row r="8649">
      <c r="A8649" s="49">
        <v>45112.09295770833</v>
      </c>
      <c r="B8649" s="50">
        <v>45112.217933206</v>
      </c>
      <c r="C8649" s="51">
        <v>0.999</v>
      </c>
      <c r="D8649" s="51">
        <v>71.0</v>
      </c>
      <c r="E8649" s="52" t="s">
        <v>25</v>
      </c>
      <c r="F8649" s="52" t="s">
        <v>26</v>
      </c>
      <c r="G8649" s="54"/>
    </row>
    <row r="8650">
      <c r="A8650" s="49">
        <v>45112.103394351856</v>
      </c>
      <c r="B8650" s="50">
        <v>45112.2283647916</v>
      </c>
      <c r="C8650" s="51">
        <v>0.999</v>
      </c>
      <c r="D8650" s="51">
        <v>71.0</v>
      </c>
      <c r="E8650" s="52" t="s">
        <v>25</v>
      </c>
      <c r="F8650" s="52" t="s">
        <v>26</v>
      </c>
      <c r="G8650" s="54"/>
    </row>
    <row r="8651">
      <c r="A8651" s="49">
        <v>45112.11382142361</v>
      </c>
      <c r="B8651" s="50">
        <v>45112.2387979398</v>
      </c>
      <c r="C8651" s="51">
        <v>0.999</v>
      </c>
      <c r="D8651" s="51">
        <v>71.0</v>
      </c>
      <c r="E8651" s="52" t="s">
        <v>25</v>
      </c>
      <c r="F8651" s="52" t="s">
        <v>26</v>
      </c>
      <c r="G8651" s="54"/>
    </row>
    <row r="8652">
      <c r="A8652" s="49">
        <v>45112.12426921296</v>
      </c>
      <c r="B8652" s="50">
        <v>45112.2492408912</v>
      </c>
      <c r="C8652" s="51">
        <v>0.999</v>
      </c>
      <c r="D8652" s="51">
        <v>71.0</v>
      </c>
      <c r="E8652" s="52" t="s">
        <v>25</v>
      </c>
      <c r="F8652" s="52" t="s">
        <v>26</v>
      </c>
      <c r="G8652" s="54"/>
    </row>
    <row r="8653">
      <c r="A8653" s="49">
        <v>45112.13469615741</v>
      </c>
      <c r="B8653" s="50">
        <v>45112.2596613773</v>
      </c>
      <c r="C8653" s="51">
        <v>0.999</v>
      </c>
      <c r="D8653" s="51">
        <v>71.0</v>
      </c>
      <c r="E8653" s="52" t="s">
        <v>25</v>
      </c>
      <c r="F8653" s="52" t="s">
        <v>26</v>
      </c>
      <c r="G8653" s="54"/>
    </row>
    <row r="8654">
      <c r="A8654" s="49">
        <v>45112.14510840278</v>
      </c>
      <c r="B8654" s="50">
        <v>45112.27008103</v>
      </c>
      <c r="C8654" s="51">
        <v>0.999</v>
      </c>
      <c r="D8654" s="51">
        <v>71.0</v>
      </c>
      <c r="E8654" s="52" t="s">
        <v>25</v>
      </c>
      <c r="F8654" s="52" t="s">
        <v>26</v>
      </c>
      <c r="G8654" s="54"/>
    </row>
    <row r="8655">
      <c r="A8655" s="49">
        <v>45112.155535868056</v>
      </c>
      <c r="B8655" s="50">
        <v>45112.2805031134</v>
      </c>
      <c r="C8655" s="51">
        <v>0.999</v>
      </c>
      <c r="D8655" s="51">
        <v>71.0</v>
      </c>
      <c r="E8655" s="52" t="s">
        <v>25</v>
      </c>
      <c r="F8655" s="52" t="s">
        <v>26</v>
      </c>
      <c r="G8655" s="54"/>
    </row>
    <row r="8656">
      <c r="A8656" s="49">
        <v>45112.165959502316</v>
      </c>
      <c r="B8656" s="50">
        <v>45112.2909256365</v>
      </c>
      <c r="C8656" s="51">
        <v>0.999</v>
      </c>
      <c r="D8656" s="51">
        <v>71.0</v>
      </c>
      <c r="E8656" s="52" t="s">
        <v>25</v>
      </c>
      <c r="F8656" s="52" t="s">
        <v>26</v>
      </c>
      <c r="G8656" s="54"/>
    </row>
    <row r="8657">
      <c r="A8657" s="49">
        <v>45112.17638172454</v>
      </c>
      <c r="B8657" s="50">
        <v>45112.3013582291</v>
      </c>
      <c r="C8657" s="51">
        <v>0.999</v>
      </c>
      <c r="D8657" s="51">
        <v>71.0</v>
      </c>
      <c r="E8657" s="52" t="s">
        <v>25</v>
      </c>
      <c r="F8657" s="52" t="s">
        <v>26</v>
      </c>
      <c r="G8657" s="54"/>
    </row>
    <row r="8658">
      <c r="A8658" s="49">
        <v>45112.18681299769</v>
      </c>
      <c r="B8658" s="50">
        <v>45112.3117779745</v>
      </c>
      <c r="C8658" s="51">
        <v>0.999</v>
      </c>
      <c r="D8658" s="51">
        <v>71.0</v>
      </c>
      <c r="E8658" s="52" t="s">
        <v>25</v>
      </c>
      <c r="F8658" s="52" t="s">
        <v>26</v>
      </c>
      <c r="G8658" s="54"/>
    </row>
    <row r="8659">
      <c r="A8659" s="49">
        <v>45112.19723424768</v>
      </c>
      <c r="B8659" s="50">
        <v>45112.322199375</v>
      </c>
      <c r="C8659" s="51">
        <v>0.999</v>
      </c>
      <c r="D8659" s="51">
        <v>71.0</v>
      </c>
      <c r="E8659" s="52" t="s">
        <v>25</v>
      </c>
      <c r="F8659" s="52" t="s">
        <v>26</v>
      </c>
      <c r="G8659" s="54"/>
    </row>
    <row r="8660">
      <c r="A8660" s="49">
        <v>45112.20765386574</v>
      </c>
      <c r="B8660" s="50">
        <v>45112.3326223379</v>
      </c>
      <c r="C8660" s="51">
        <v>0.999</v>
      </c>
      <c r="D8660" s="51">
        <v>71.0</v>
      </c>
      <c r="E8660" s="52" t="s">
        <v>25</v>
      </c>
      <c r="F8660" s="52" t="s">
        <v>26</v>
      </c>
      <c r="G8660" s="54"/>
    </row>
    <row r="8661">
      <c r="A8661" s="49">
        <v>45112.218069849536</v>
      </c>
      <c r="B8661" s="50">
        <v>45112.343042199</v>
      </c>
      <c r="C8661" s="51">
        <v>0.999</v>
      </c>
      <c r="D8661" s="51">
        <v>71.0</v>
      </c>
      <c r="E8661" s="52" t="s">
        <v>25</v>
      </c>
      <c r="F8661" s="52" t="s">
        <v>26</v>
      </c>
      <c r="G8661" s="54"/>
    </row>
    <row r="8662">
      <c r="A8662" s="49">
        <v>45112.2284941088</v>
      </c>
      <c r="B8662" s="50">
        <v>45112.3534618402</v>
      </c>
      <c r="C8662" s="51">
        <v>0.999</v>
      </c>
      <c r="D8662" s="51">
        <v>71.0</v>
      </c>
      <c r="E8662" s="52" t="s">
        <v>25</v>
      </c>
      <c r="F8662" s="52" t="s">
        <v>26</v>
      </c>
      <c r="G8662" s="54"/>
    </row>
    <row r="8663">
      <c r="A8663" s="49">
        <v>45112.23890848379</v>
      </c>
      <c r="B8663" s="50">
        <v>45112.3638808912</v>
      </c>
      <c r="C8663" s="51">
        <v>0.999</v>
      </c>
      <c r="D8663" s="51">
        <v>71.0</v>
      </c>
      <c r="E8663" s="52" t="s">
        <v>25</v>
      </c>
      <c r="F8663" s="52" t="s">
        <v>26</v>
      </c>
      <c r="G8663" s="54"/>
    </row>
    <row r="8664">
      <c r="A8664" s="49">
        <v>45112.24932765047</v>
      </c>
      <c r="B8664" s="50">
        <v>45112.3743032986</v>
      </c>
      <c r="C8664" s="51">
        <v>0.999</v>
      </c>
      <c r="D8664" s="51">
        <v>71.0</v>
      </c>
      <c r="E8664" s="52" t="s">
        <v>25</v>
      </c>
      <c r="F8664" s="52" t="s">
        <v>26</v>
      </c>
      <c r="G8664" s="54"/>
    </row>
    <row r="8665">
      <c r="A8665" s="49">
        <v>45112.25975802084</v>
      </c>
      <c r="B8665" s="50">
        <v>45112.3847265046</v>
      </c>
      <c r="C8665" s="51">
        <v>0.999</v>
      </c>
      <c r="D8665" s="51">
        <v>71.0</v>
      </c>
      <c r="E8665" s="52" t="s">
        <v>25</v>
      </c>
      <c r="F8665" s="52" t="s">
        <v>26</v>
      </c>
      <c r="G8665" s="54"/>
    </row>
    <row r="8666">
      <c r="A8666" s="49">
        <v>45112.2701872801</v>
      </c>
      <c r="B8666" s="50">
        <v>45112.3951574074</v>
      </c>
      <c r="C8666" s="51">
        <v>0.999</v>
      </c>
      <c r="D8666" s="51">
        <v>71.0</v>
      </c>
      <c r="E8666" s="52" t="s">
        <v>25</v>
      </c>
      <c r="F8666" s="52" t="s">
        <v>26</v>
      </c>
      <c r="G8666" s="54"/>
    </row>
    <row r="8667">
      <c r="A8667" s="49">
        <v>45112.28060357639</v>
      </c>
      <c r="B8667" s="50">
        <v>45112.4055801504</v>
      </c>
      <c r="C8667" s="51">
        <v>0.999</v>
      </c>
      <c r="D8667" s="51">
        <v>71.0</v>
      </c>
      <c r="E8667" s="52" t="s">
        <v>25</v>
      </c>
      <c r="F8667" s="52" t="s">
        <v>26</v>
      </c>
      <c r="G8667" s="54"/>
    </row>
    <row r="8668">
      <c r="A8668" s="49">
        <v>45112.29102982639</v>
      </c>
      <c r="B8668" s="50">
        <v>45112.4160008564</v>
      </c>
      <c r="C8668" s="51">
        <v>0.999</v>
      </c>
      <c r="D8668" s="51">
        <v>71.0</v>
      </c>
      <c r="E8668" s="52" t="s">
        <v>25</v>
      </c>
      <c r="F8668" s="52" t="s">
        <v>26</v>
      </c>
      <c r="G8668" s="54"/>
    </row>
    <row r="8669">
      <c r="A8669" s="49">
        <v>45112.30144869213</v>
      </c>
      <c r="B8669" s="50">
        <v>45112.4264234259</v>
      </c>
      <c r="C8669" s="51">
        <v>0.999</v>
      </c>
      <c r="D8669" s="51">
        <v>71.0</v>
      </c>
      <c r="E8669" s="52" t="s">
        <v>25</v>
      </c>
      <c r="F8669" s="52" t="s">
        <v>26</v>
      </c>
      <c r="G8669" s="54"/>
    </row>
    <row r="8670">
      <c r="A8670" s="49">
        <v>45112.31187575232</v>
      </c>
      <c r="B8670" s="50">
        <v>45112.4368448842</v>
      </c>
      <c r="C8670" s="51">
        <v>0.999</v>
      </c>
      <c r="D8670" s="51">
        <v>71.0</v>
      </c>
      <c r="E8670" s="52" t="s">
        <v>25</v>
      </c>
      <c r="F8670" s="52" t="s">
        <v>26</v>
      </c>
      <c r="G8670" s="54"/>
    </row>
    <row r="8671">
      <c r="A8671" s="49">
        <v>45112.32230105324</v>
      </c>
      <c r="B8671" s="50">
        <v>45112.4472667129</v>
      </c>
      <c r="C8671" s="51">
        <v>0.999</v>
      </c>
      <c r="D8671" s="51">
        <v>71.0</v>
      </c>
      <c r="E8671" s="52" t="s">
        <v>25</v>
      </c>
      <c r="F8671" s="52" t="s">
        <v>26</v>
      </c>
      <c r="G8671" s="54"/>
    </row>
    <row r="8672">
      <c r="A8672" s="49">
        <v>45112.33273130787</v>
      </c>
      <c r="B8672" s="50">
        <v>45112.4576981018</v>
      </c>
      <c r="C8672" s="51">
        <v>0.999</v>
      </c>
      <c r="D8672" s="51">
        <v>71.0</v>
      </c>
      <c r="E8672" s="52" t="s">
        <v>25</v>
      </c>
      <c r="F8672" s="52" t="s">
        <v>26</v>
      </c>
      <c r="G8672" s="54"/>
    </row>
    <row r="8673">
      <c r="A8673" s="49">
        <v>45112.34315115741</v>
      </c>
      <c r="B8673" s="50">
        <v>45112.4681194791</v>
      </c>
      <c r="C8673" s="51">
        <v>0.999</v>
      </c>
      <c r="D8673" s="51">
        <v>71.0</v>
      </c>
      <c r="E8673" s="52" t="s">
        <v>25</v>
      </c>
      <c r="F8673" s="52" t="s">
        <v>26</v>
      </c>
      <c r="G8673" s="54"/>
    </row>
    <row r="8674">
      <c r="A8674" s="49">
        <v>45112.35358420139</v>
      </c>
      <c r="B8674" s="50">
        <v>45112.4785544907</v>
      </c>
      <c r="C8674" s="51">
        <v>0.999</v>
      </c>
      <c r="D8674" s="51">
        <v>71.0</v>
      </c>
      <c r="E8674" s="52" t="s">
        <v>25</v>
      </c>
      <c r="F8674" s="52" t="s">
        <v>26</v>
      </c>
      <c r="G8674" s="54"/>
    </row>
    <row r="8675">
      <c r="A8675" s="49">
        <v>45112.36399951389</v>
      </c>
      <c r="B8675" s="50">
        <v>45112.4889751041</v>
      </c>
      <c r="C8675" s="51">
        <v>0.999</v>
      </c>
      <c r="D8675" s="51">
        <v>71.0</v>
      </c>
      <c r="E8675" s="52" t="s">
        <v>25</v>
      </c>
      <c r="F8675" s="52" t="s">
        <v>26</v>
      </c>
      <c r="G8675" s="54"/>
    </row>
    <row r="8676">
      <c r="A8676" s="49">
        <v>45112.374422002315</v>
      </c>
      <c r="B8676" s="50">
        <v>45112.4993954745</v>
      </c>
      <c r="C8676" s="51">
        <v>0.999</v>
      </c>
      <c r="D8676" s="51">
        <v>71.0</v>
      </c>
      <c r="E8676" s="52" t="s">
        <v>25</v>
      </c>
      <c r="F8676" s="52" t="s">
        <v>26</v>
      </c>
      <c r="G8676" s="54"/>
    </row>
    <row r="8677">
      <c r="A8677" s="49">
        <v>45112.38486258102</v>
      </c>
      <c r="B8677" s="50">
        <v>45112.5098289467</v>
      </c>
      <c r="C8677" s="51">
        <v>0.999</v>
      </c>
      <c r="D8677" s="51">
        <v>71.0</v>
      </c>
      <c r="E8677" s="52" t="s">
        <v>25</v>
      </c>
      <c r="F8677" s="52" t="s">
        <v>26</v>
      </c>
      <c r="G8677" s="54"/>
    </row>
    <row r="8678">
      <c r="A8678" s="49">
        <v>45112.39528748843</v>
      </c>
      <c r="B8678" s="50">
        <v>45112.5202506828</v>
      </c>
      <c r="C8678" s="51">
        <v>0.999</v>
      </c>
      <c r="D8678" s="51">
        <v>71.0</v>
      </c>
      <c r="E8678" s="52" t="s">
        <v>25</v>
      </c>
      <c r="F8678" s="52" t="s">
        <v>26</v>
      </c>
      <c r="G8678" s="54"/>
    </row>
    <row r="8679">
      <c r="A8679" s="49">
        <v>45112.405705833335</v>
      </c>
      <c r="B8679" s="50">
        <v>45112.5306722222</v>
      </c>
      <c r="C8679" s="51">
        <v>0.999</v>
      </c>
      <c r="D8679" s="51">
        <v>71.0</v>
      </c>
      <c r="E8679" s="52" t="s">
        <v>25</v>
      </c>
      <c r="F8679" s="52" t="s">
        <v>26</v>
      </c>
      <c r="G8679" s="54"/>
    </row>
    <row r="8680">
      <c r="A8680" s="49">
        <v>45112.41612706018</v>
      </c>
      <c r="B8680" s="50">
        <v>45112.5410954629</v>
      </c>
      <c r="C8680" s="51">
        <v>0.999</v>
      </c>
      <c r="D8680" s="51">
        <v>71.0</v>
      </c>
      <c r="E8680" s="52" t="s">
        <v>25</v>
      </c>
      <c r="F8680" s="52" t="s">
        <v>26</v>
      </c>
      <c r="G8680" s="54"/>
    </row>
    <row r="8681">
      <c r="A8681" s="49">
        <v>45112.42657123842</v>
      </c>
      <c r="B8681" s="50">
        <v>45112.5515276273</v>
      </c>
      <c r="C8681" s="51">
        <v>0.999</v>
      </c>
      <c r="D8681" s="51">
        <v>71.0</v>
      </c>
      <c r="E8681" s="52" t="s">
        <v>25</v>
      </c>
      <c r="F8681" s="52" t="s">
        <v>26</v>
      </c>
      <c r="G8681" s="54"/>
    </row>
    <row r="8682">
      <c r="A8682" s="49">
        <v>45112.43699526621</v>
      </c>
      <c r="B8682" s="50">
        <v>45112.5619712963</v>
      </c>
      <c r="C8682" s="51">
        <v>0.999</v>
      </c>
      <c r="D8682" s="51">
        <v>71.0</v>
      </c>
      <c r="E8682" s="52" t="s">
        <v>25</v>
      </c>
      <c r="F8682" s="52" t="s">
        <v>26</v>
      </c>
      <c r="G8682" s="54"/>
    </row>
    <row r="8683">
      <c r="A8683" s="49">
        <v>45112.447426666666</v>
      </c>
      <c r="B8683" s="50">
        <v>45112.572391331</v>
      </c>
      <c r="C8683" s="51">
        <v>0.999</v>
      </c>
      <c r="D8683" s="51">
        <v>71.0</v>
      </c>
      <c r="E8683" s="52" t="s">
        <v>25</v>
      </c>
      <c r="F8683" s="52" t="s">
        <v>26</v>
      </c>
      <c r="G8683" s="54"/>
    </row>
    <row r="8684">
      <c r="A8684" s="49">
        <v>45112.457850879626</v>
      </c>
      <c r="B8684" s="50">
        <v>45112.5828231365</v>
      </c>
      <c r="C8684" s="51">
        <v>0.999</v>
      </c>
      <c r="D8684" s="51">
        <v>71.0</v>
      </c>
      <c r="E8684" s="52" t="s">
        <v>25</v>
      </c>
      <c r="F8684" s="52" t="s">
        <v>26</v>
      </c>
      <c r="G8684" s="54"/>
    </row>
    <row r="8685">
      <c r="A8685" s="49">
        <v>45112.46828059028</v>
      </c>
      <c r="B8685" s="50">
        <v>45112.5932457175</v>
      </c>
      <c r="C8685" s="51">
        <v>0.999</v>
      </c>
      <c r="D8685" s="51">
        <v>71.0</v>
      </c>
      <c r="E8685" s="52" t="s">
        <v>25</v>
      </c>
      <c r="F8685" s="52" t="s">
        <v>26</v>
      </c>
      <c r="G8685" s="54"/>
    </row>
    <row r="8686">
      <c r="A8686" s="49">
        <v>45112.47869847222</v>
      </c>
      <c r="B8686" s="50">
        <v>45112.6036666319</v>
      </c>
      <c r="C8686" s="51">
        <v>0.999</v>
      </c>
      <c r="D8686" s="51">
        <v>71.0</v>
      </c>
      <c r="E8686" s="52" t="s">
        <v>25</v>
      </c>
      <c r="F8686" s="52" t="s">
        <v>26</v>
      </c>
      <c r="G8686" s="54"/>
    </row>
    <row r="8687">
      <c r="A8687" s="49">
        <v>45112.48911962963</v>
      </c>
      <c r="B8687" s="50">
        <v>45112.6140876041</v>
      </c>
      <c r="C8687" s="51">
        <v>0.999</v>
      </c>
      <c r="D8687" s="51">
        <v>71.0</v>
      </c>
      <c r="E8687" s="52" t="s">
        <v>25</v>
      </c>
      <c r="F8687" s="52" t="s">
        <v>26</v>
      </c>
      <c r="G8687" s="54"/>
    </row>
    <row r="8688">
      <c r="A8688" s="49">
        <v>45112.49954542824</v>
      </c>
      <c r="B8688" s="50">
        <v>45112.6245192708</v>
      </c>
      <c r="C8688" s="51">
        <v>0.999</v>
      </c>
      <c r="D8688" s="51">
        <v>71.0</v>
      </c>
      <c r="E8688" s="52" t="s">
        <v>25</v>
      </c>
      <c r="F8688" s="52" t="s">
        <v>26</v>
      </c>
      <c r="G8688" s="54"/>
    </row>
    <row r="8689">
      <c r="A8689" s="49">
        <v>45112.509965219906</v>
      </c>
      <c r="B8689" s="50">
        <v>45112.6349410185</v>
      </c>
      <c r="C8689" s="51">
        <v>0.999</v>
      </c>
      <c r="D8689" s="51">
        <v>71.0</v>
      </c>
      <c r="E8689" s="52" t="s">
        <v>25</v>
      </c>
      <c r="F8689" s="52" t="s">
        <v>26</v>
      </c>
      <c r="G8689" s="54"/>
    </row>
    <row r="8690">
      <c r="A8690" s="49">
        <v>45112.520385763884</v>
      </c>
      <c r="B8690" s="50">
        <v>45112.6453617245</v>
      </c>
      <c r="C8690" s="51">
        <v>0.999</v>
      </c>
      <c r="D8690" s="51">
        <v>71.0</v>
      </c>
      <c r="E8690" s="52" t="s">
        <v>25</v>
      </c>
      <c r="F8690" s="52" t="s">
        <v>26</v>
      </c>
      <c r="G8690" s="54"/>
    </row>
    <row r="8691">
      <c r="A8691" s="49">
        <v>45112.530804884256</v>
      </c>
      <c r="B8691" s="50">
        <v>45112.6557832523</v>
      </c>
      <c r="C8691" s="51">
        <v>0.999</v>
      </c>
      <c r="D8691" s="51">
        <v>71.0</v>
      </c>
      <c r="E8691" s="52" t="s">
        <v>25</v>
      </c>
      <c r="F8691" s="52" t="s">
        <v>26</v>
      </c>
      <c r="G8691" s="54"/>
    </row>
    <row r="8692">
      <c r="A8692" s="49">
        <v>45112.54122513889</v>
      </c>
      <c r="B8692" s="50">
        <v>45112.6662023032</v>
      </c>
      <c r="C8692" s="51">
        <v>0.999</v>
      </c>
      <c r="D8692" s="51">
        <v>71.0</v>
      </c>
      <c r="E8692" s="52" t="s">
        <v>25</v>
      </c>
      <c r="F8692" s="52" t="s">
        <v>26</v>
      </c>
      <c r="G8692" s="54"/>
    </row>
    <row r="8693">
      <c r="A8693" s="49">
        <v>45112.55164466435</v>
      </c>
      <c r="B8693" s="50">
        <v>45112.6766227314</v>
      </c>
      <c r="C8693" s="51">
        <v>0.999</v>
      </c>
      <c r="D8693" s="51">
        <v>71.0</v>
      </c>
      <c r="E8693" s="52" t="s">
        <v>25</v>
      </c>
      <c r="F8693" s="52" t="s">
        <v>26</v>
      </c>
      <c r="G8693" s="54"/>
    </row>
    <row r="8694">
      <c r="A8694" s="49">
        <v>45112.56206644676</v>
      </c>
      <c r="B8694" s="50">
        <v>45112.6870431597</v>
      </c>
      <c r="C8694" s="51">
        <v>0.999</v>
      </c>
      <c r="D8694" s="51">
        <v>71.0</v>
      </c>
      <c r="E8694" s="52" t="s">
        <v>25</v>
      </c>
      <c r="F8694" s="52" t="s">
        <v>26</v>
      </c>
      <c r="G8694" s="54"/>
    </row>
    <row r="8695">
      <c r="A8695" s="49">
        <v>45112.572493506945</v>
      </c>
      <c r="B8695" s="50">
        <v>45112.697463912</v>
      </c>
      <c r="C8695" s="51">
        <v>0.999</v>
      </c>
      <c r="D8695" s="51">
        <v>71.0</v>
      </c>
      <c r="E8695" s="52" t="s">
        <v>25</v>
      </c>
      <c r="F8695" s="52" t="s">
        <v>26</v>
      </c>
      <c r="G8695" s="54"/>
    </row>
    <row r="8696">
      <c r="A8696" s="49">
        <v>45112.58291162037</v>
      </c>
      <c r="B8696" s="50">
        <v>45112.7078845949</v>
      </c>
      <c r="C8696" s="51">
        <v>0.999</v>
      </c>
      <c r="D8696" s="51">
        <v>71.0</v>
      </c>
      <c r="E8696" s="52" t="s">
        <v>25</v>
      </c>
      <c r="F8696" s="52" t="s">
        <v>26</v>
      </c>
      <c r="G8696" s="54"/>
    </row>
    <row r="8697">
      <c r="A8697" s="49">
        <v>45112.593334861114</v>
      </c>
      <c r="B8697" s="50">
        <v>45112.7183063194</v>
      </c>
      <c r="C8697" s="51">
        <v>0.999</v>
      </c>
      <c r="D8697" s="51">
        <v>71.0</v>
      </c>
      <c r="E8697" s="52" t="s">
        <v>25</v>
      </c>
      <c r="F8697" s="52" t="s">
        <v>26</v>
      </c>
      <c r="G8697" s="54"/>
    </row>
    <row r="8698">
      <c r="A8698" s="49">
        <v>45112.60377137731</v>
      </c>
      <c r="B8698" s="50">
        <v>45112.7287408333</v>
      </c>
      <c r="C8698" s="51">
        <v>0.999</v>
      </c>
      <c r="D8698" s="51">
        <v>71.0</v>
      </c>
      <c r="E8698" s="52" t="s">
        <v>25</v>
      </c>
      <c r="F8698" s="52" t="s">
        <v>26</v>
      </c>
      <c r="G8698" s="54"/>
    </row>
    <row r="8699">
      <c r="A8699" s="49">
        <v>45112.614192291665</v>
      </c>
      <c r="B8699" s="50">
        <v>45112.7391615277</v>
      </c>
      <c r="C8699" s="51">
        <v>0.999</v>
      </c>
      <c r="D8699" s="51">
        <v>71.0</v>
      </c>
      <c r="E8699" s="52" t="s">
        <v>25</v>
      </c>
      <c r="F8699" s="52" t="s">
        <v>26</v>
      </c>
      <c r="G8699" s="54"/>
    </row>
    <row r="8700">
      <c r="A8700" s="49">
        <v>45112.62462217592</v>
      </c>
      <c r="B8700" s="50">
        <v>45112.7495947685</v>
      </c>
      <c r="C8700" s="51">
        <v>0.999</v>
      </c>
      <c r="D8700" s="51">
        <v>71.0</v>
      </c>
      <c r="E8700" s="52" t="s">
        <v>25</v>
      </c>
      <c r="F8700" s="52" t="s">
        <v>26</v>
      </c>
      <c r="G8700" s="54"/>
    </row>
    <row r="8701">
      <c r="A8701" s="49">
        <v>45112.635048842596</v>
      </c>
      <c r="B8701" s="50">
        <v>45112.7600180208</v>
      </c>
      <c r="C8701" s="51">
        <v>0.999</v>
      </c>
      <c r="D8701" s="51">
        <v>71.0</v>
      </c>
      <c r="E8701" s="52" t="s">
        <v>25</v>
      </c>
      <c r="F8701" s="52" t="s">
        <v>26</v>
      </c>
      <c r="G8701" s="54"/>
    </row>
    <row r="8702">
      <c r="A8702" s="49">
        <v>45112.64547458333</v>
      </c>
      <c r="B8702" s="50">
        <v>45112.7704499537</v>
      </c>
      <c r="C8702" s="51">
        <v>0.999</v>
      </c>
      <c r="D8702" s="51">
        <v>71.0</v>
      </c>
      <c r="E8702" s="52" t="s">
        <v>25</v>
      </c>
      <c r="F8702" s="52" t="s">
        <v>26</v>
      </c>
      <c r="G8702" s="54"/>
    </row>
    <row r="8703">
      <c r="A8703" s="49">
        <v>45112.655902094906</v>
      </c>
      <c r="B8703" s="50">
        <v>45112.7808704513</v>
      </c>
      <c r="C8703" s="51">
        <v>0.999</v>
      </c>
      <c r="D8703" s="51">
        <v>71.0</v>
      </c>
      <c r="E8703" s="52" t="s">
        <v>25</v>
      </c>
      <c r="F8703" s="52" t="s">
        <v>26</v>
      </c>
      <c r="G8703" s="54"/>
    </row>
    <row r="8704">
      <c r="A8704" s="49">
        <v>45112.66631943287</v>
      </c>
      <c r="B8704" s="50">
        <v>45112.7912907638</v>
      </c>
      <c r="C8704" s="51">
        <v>0.999</v>
      </c>
      <c r="D8704" s="51">
        <v>71.0</v>
      </c>
      <c r="E8704" s="52" t="s">
        <v>25</v>
      </c>
      <c r="F8704" s="52" t="s">
        <v>26</v>
      </c>
      <c r="G8704" s="54"/>
    </row>
    <row r="8705">
      <c r="A8705" s="49">
        <v>45112.67674285879</v>
      </c>
      <c r="B8705" s="50">
        <v>45112.8017140046</v>
      </c>
      <c r="C8705" s="51">
        <v>0.999</v>
      </c>
      <c r="D8705" s="51">
        <v>71.0</v>
      </c>
      <c r="E8705" s="52" t="s">
        <v>25</v>
      </c>
      <c r="F8705" s="52" t="s">
        <v>26</v>
      </c>
      <c r="G8705" s="54"/>
    </row>
    <row r="8706">
      <c r="A8706" s="49">
        <v>45112.6871759375</v>
      </c>
      <c r="B8706" s="50">
        <v>45112.8121470833</v>
      </c>
      <c r="C8706" s="51">
        <v>0.999</v>
      </c>
      <c r="D8706" s="51">
        <v>71.0</v>
      </c>
      <c r="E8706" s="52" t="s">
        <v>25</v>
      </c>
      <c r="F8706" s="52" t="s">
        <v>26</v>
      </c>
      <c r="G8706" s="54"/>
    </row>
    <row r="8707">
      <c r="A8707" s="49">
        <v>45112.69760804398</v>
      </c>
      <c r="B8707" s="50">
        <v>45112.8225788194</v>
      </c>
      <c r="C8707" s="51">
        <v>0.999</v>
      </c>
      <c r="D8707" s="51">
        <v>71.0</v>
      </c>
      <c r="E8707" s="52" t="s">
        <v>25</v>
      </c>
      <c r="F8707" s="52" t="s">
        <v>26</v>
      </c>
      <c r="G8707" s="54"/>
    </row>
    <row r="8708">
      <c r="A8708" s="49">
        <v>45112.70802532407</v>
      </c>
      <c r="B8708" s="50">
        <v>45112.8330010995</v>
      </c>
      <c r="C8708" s="51">
        <v>0.999</v>
      </c>
      <c r="D8708" s="51">
        <v>71.0</v>
      </c>
      <c r="E8708" s="52" t="s">
        <v>25</v>
      </c>
      <c r="F8708" s="52" t="s">
        <v>26</v>
      </c>
      <c r="G8708" s="54"/>
    </row>
    <row r="8709">
      <c r="A8709" s="49">
        <v>45112.71844748843</v>
      </c>
      <c r="B8709" s="50">
        <v>45112.8434208564</v>
      </c>
      <c r="C8709" s="51">
        <v>0.999</v>
      </c>
      <c r="D8709" s="51">
        <v>71.0</v>
      </c>
      <c r="E8709" s="52" t="s">
        <v>25</v>
      </c>
      <c r="F8709" s="52" t="s">
        <v>26</v>
      </c>
      <c r="G8709" s="54"/>
    </row>
    <row r="8710">
      <c r="A8710" s="49">
        <v>45112.72888037037</v>
      </c>
      <c r="B8710" s="50">
        <v>45112.853855</v>
      </c>
      <c r="C8710" s="51">
        <v>0.999</v>
      </c>
      <c r="D8710" s="51">
        <v>71.0</v>
      </c>
      <c r="E8710" s="52" t="s">
        <v>25</v>
      </c>
      <c r="F8710" s="52" t="s">
        <v>26</v>
      </c>
      <c r="G8710" s="54"/>
    </row>
    <row r="8711">
      <c r="A8711" s="49">
        <v>45112.73931616898</v>
      </c>
      <c r="B8711" s="50">
        <v>45112.8642889004</v>
      </c>
      <c r="C8711" s="51">
        <v>0.999</v>
      </c>
      <c r="D8711" s="51">
        <v>71.0</v>
      </c>
      <c r="E8711" s="52" t="s">
        <v>25</v>
      </c>
      <c r="F8711" s="52" t="s">
        <v>26</v>
      </c>
      <c r="G8711" s="54"/>
    </row>
    <row r="8712">
      <c r="A8712" s="49">
        <v>45112.74973134259</v>
      </c>
      <c r="B8712" s="50">
        <v>45112.8747101157</v>
      </c>
      <c r="C8712" s="51">
        <v>0.999</v>
      </c>
      <c r="D8712" s="51">
        <v>71.0</v>
      </c>
      <c r="E8712" s="52" t="s">
        <v>25</v>
      </c>
      <c r="F8712" s="52" t="s">
        <v>26</v>
      </c>
      <c r="G8712" s="54"/>
    </row>
    <row r="8713">
      <c r="A8713" s="49">
        <v>45112.76016261574</v>
      </c>
      <c r="B8713" s="50">
        <v>45112.8851303356</v>
      </c>
      <c r="C8713" s="51">
        <v>0.999</v>
      </c>
      <c r="D8713" s="51">
        <v>71.0</v>
      </c>
      <c r="E8713" s="52" t="s">
        <v>25</v>
      </c>
      <c r="F8713" s="52" t="s">
        <v>26</v>
      </c>
      <c r="G8713" s="54"/>
    </row>
    <row r="8714">
      <c r="A8714" s="49">
        <v>45112.770575625</v>
      </c>
      <c r="B8714" s="50">
        <v>45112.8955508449</v>
      </c>
      <c r="C8714" s="51">
        <v>0.999</v>
      </c>
      <c r="D8714" s="51">
        <v>71.0</v>
      </c>
      <c r="E8714" s="52" t="s">
        <v>25</v>
      </c>
      <c r="F8714" s="52" t="s">
        <v>26</v>
      </c>
      <c r="G8714" s="54"/>
    </row>
    <row r="8715">
      <c r="A8715" s="49">
        <v>45112.78101954861</v>
      </c>
      <c r="B8715" s="50">
        <v>45112.9059857638</v>
      </c>
      <c r="C8715" s="51">
        <v>0.999</v>
      </c>
      <c r="D8715" s="51">
        <v>71.0</v>
      </c>
      <c r="E8715" s="52" t="s">
        <v>25</v>
      </c>
      <c r="F8715" s="52" t="s">
        <v>26</v>
      </c>
      <c r="G8715" s="54"/>
    </row>
    <row r="8716">
      <c r="A8716" s="49">
        <v>45112.791444456016</v>
      </c>
      <c r="B8716" s="50">
        <v>45112.9164196296</v>
      </c>
      <c r="C8716" s="51">
        <v>0.999</v>
      </c>
      <c r="D8716" s="51">
        <v>71.0</v>
      </c>
      <c r="E8716" s="52" t="s">
        <v>25</v>
      </c>
      <c r="F8716" s="52" t="s">
        <v>26</v>
      </c>
      <c r="G8716" s="54"/>
    </row>
    <row r="8717">
      <c r="A8717" s="49">
        <v>45112.80187070602</v>
      </c>
      <c r="B8717" s="50">
        <v>45112.9268403588</v>
      </c>
      <c r="C8717" s="51">
        <v>0.999</v>
      </c>
      <c r="D8717" s="51">
        <v>71.0</v>
      </c>
      <c r="E8717" s="52" t="s">
        <v>25</v>
      </c>
      <c r="F8717" s="52" t="s">
        <v>26</v>
      </c>
      <c r="G8717" s="54"/>
    </row>
    <row r="8718">
      <c r="A8718" s="49">
        <v>45112.81228503472</v>
      </c>
      <c r="B8718" s="50">
        <v>45112.9372614467</v>
      </c>
      <c r="C8718" s="51">
        <v>0.999</v>
      </c>
      <c r="D8718" s="51">
        <v>71.0</v>
      </c>
      <c r="E8718" s="52" t="s">
        <v>25</v>
      </c>
      <c r="F8718" s="52" t="s">
        <v>26</v>
      </c>
      <c r="G8718" s="54"/>
    </row>
    <row r="8719">
      <c r="A8719" s="49">
        <v>45112.82272350695</v>
      </c>
      <c r="B8719" s="50">
        <v>45112.9476946875</v>
      </c>
      <c r="C8719" s="51">
        <v>0.999</v>
      </c>
      <c r="D8719" s="51">
        <v>71.0</v>
      </c>
      <c r="E8719" s="52" t="s">
        <v>25</v>
      </c>
      <c r="F8719" s="52" t="s">
        <v>26</v>
      </c>
      <c r="G8719" s="54"/>
    </row>
    <row r="8720">
      <c r="A8720" s="49">
        <v>45112.83314149306</v>
      </c>
      <c r="B8720" s="50">
        <v>45112.9581151736</v>
      </c>
      <c r="C8720" s="51">
        <v>0.999</v>
      </c>
      <c r="D8720" s="51">
        <v>71.0</v>
      </c>
      <c r="E8720" s="52" t="s">
        <v>25</v>
      </c>
      <c r="F8720" s="52" t="s">
        <v>26</v>
      </c>
      <c r="G8720" s="54"/>
    </row>
    <row r="8721">
      <c r="A8721" s="49">
        <v>45112.843561284724</v>
      </c>
      <c r="B8721" s="50">
        <v>45112.9685365509</v>
      </c>
      <c r="C8721" s="51">
        <v>0.999</v>
      </c>
      <c r="D8721" s="51">
        <v>71.0</v>
      </c>
      <c r="E8721" s="52" t="s">
        <v>25</v>
      </c>
      <c r="F8721" s="52" t="s">
        <v>26</v>
      </c>
      <c r="G8721" s="54"/>
    </row>
    <row r="8722">
      <c r="A8722" s="49">
        <v>45112.853986319446</v>
      </c>
      <c r="B8722" s="50">
        <v>45112.9789577083</v>
      </c>
      <c r="C8722" s="51">
        <v>0.999</v>
      </c>
      <c r="D8722" s="51">
        <v>71.0</v>
      </c>
      <c r="E8722" s="52" t="s">
        <v>25</v>
      </c>
      <c r="F8722" s="52" t="s">
        <v>26</v>
      </c>
      <c r="G8722" s="54"/>
    </row>
    <row r="8723">
      <c r="A8723" s="49">
        <v>45112.864407905094</v>
      </c>
      <c r="B8723" s="50">
        <v>45112.9893901967</v>
      </c>
      <c r="C8723" s="51">
        <v>0.999</v>
      </c>
      <c r="D8723" s="51">
        <v>71.0</v>
      </c>
      <c r="E8723" s="52" t="s">
        <v>25</v>
      </c>
      <c r="F8723" s="52" t="s">
        <v>26</v>
      </c>
      <c r="G8723" s="54"/>
    </row>
    <row r="8724">
      <c r="A8724" s="49">
        <v>45112.87482563657</v>
      </c>
      <c r="B8724" s="50">
        <v>45112.9998099537</v>
      </c>
      <c r="C8724" s="51">
        <v>0.999</v>
      </c>
      <c r="D8724" s="51">
        <v>71.0</v>
      </c>
      <c r="E8724" s="52" t="s">
        <v>25</v>
      </c>
      <c r="F8724" s="52" t="s">
        <v>26</v>
      </c>
      <c r="G8724" s="54"/>
    </row>
    <row r="8725">
      <c r="A8725" s="49">
        <v>45112.88525791667</v>
      </c>
      <c r="B8725" s="50">
        <v>45113.0102329398</v>
      </c>
      <c r="C8725" s="51">
        <v>0.999</v>
      </c>
      <c r="D8725" s="51">
        <v>71.0</v>
      </c>
      <c r="E8725" s="52" t="s">
        <v>25</v>
      </c>
      <c r="F8725" s="52" t="s">
        <v>26</v>
      </c>
      <c r="G8725" s="54"/>
    </row>
    <row r="8726">
      <c r="A8726" s="49">
        <v>45112.8956791088</v>
      </c>
      <c r="B8726" s="50">
        <v>45113.0206540625</v>
      </c>
      <c r="C8726" s="51">
        <v>0.999</v>
      </c>
      <c r="D8726" s="51">
        <v>71.0</v>
      </c>
      <c r="E8726" s="52" t="s">
        <v>25</v>
      </c>
      <c r="F8726" s="52" t="s">
        <v>26</v>
      </c>
      <c r="G8726" s="54"/>
    </row>
    <row r="8727">
      <c r="A8727" s="49">
        <v>45112.90609733797</v>
      </c>
      <c r="B8727" s="50">
        <v>45113.0310757638</v>
      </c>
      <c r="C8727" s="51">
        <v>0.999</v>
      </c>
      <c r="D8727" s="51">
        <v>71.0</v>
      </c>
      <c r="E8727" s="52" t="s">
        <v>25</v>
      </c>
      <c r="F8727" s="52" t="s">
        <v>26</v>
      </c>
      <c r="G8727" s="54"/>
    </row>
    <row r="8728">
      <c r="A8728" s="49">
        <v>45112.916519791666</v>
      </c>
      <c r="B8728" s="50">
        <v>45113.0414965162</v>
      </c>
      <c r="C8728" s="51">
        <v>0.999</v>
      </c>
      <c r="D8728" s="51">
        <v>71.0</v>
      </c>
      <c r="E8728" s="52" t="s">
        <v>25</v>
      </c>
      <c r="F8728" s="52" t="s">
        <v>26</v>
      </c>
      <c r="G8728" s="54"/>
    </row>
    <row r="8729">
      <c r="A8729" s="49">
        <v>45112.92694282407</v>
      </c>
      <c r="B8729" s="50">
        <v>45113.0519183217</v>
      </c>
      <c r="C8729" s="51">
        <v>0.999</v>
      </c>
      <c r="D8729" s="51">
        <v>71.0</v>
      </c>
      <c r="E8729" s="52" t="s">
        <v>25</v>
      </c>
      <c r="F8729" s="52" t="s">
        <v>26</v>
      </c>
      <c r="G8729" s="54"/>
    </row>
    <row r="8730">
      <c r="A8730" s="49">
        <v>45112.93736681713</v>
      </c>
      <c r="B8730" s="50">
        <v>45113.0623399074</v>
      </c>
      <c r="C8730" s="51">
        <v>0.999</v>
      </c>
      <c r="D8730" s="51">
        <v>71.0</v>
      </c>
      <c r="E8730" s="52" t="s">
        <v>25</v>
      </c>
      <c r="F8730" s="52" t="s">
        <v>26</v>
      </c>
      <c r="G8730" s="54"/>
    </row>
    <row r="8731">
      <c r="A8731" s="49">
        <v>45112.947783344905</v>
      </c>
      <c r="B8731" s="50">
        <v>45113.0727601851</v>
      </c>
      <c r="C8731" s="51">
        <v>0.999</v>
      </c>
      <c r="D8731" s="51">
        <v>71.0</v>
      </c>
      <c r="E8731" s="52" t="s">
        <v>25</v>
      </c>
      <c r="F8731" s="52" t="s">
        <v>26</v>
      </c>
      <c r="G8731" s="54"/>
    </row>
    <row r="8732">
      <c r="A8732" s="49">
        <v>45112.958206400464</v>
      </c>
      <c r="B8732" s="50">
        <v>45113.0831807175</v>
      </c>
      <c r="C8732" s="51">
        <v>0.999</v>
      </c>
      <c r="D8732" s="51">
        <v>71.0</v>
      </c>
      <c r="E8732" s="52" t="s">
        <v>25</v>
      </c>
      <c r="F8732" s="52" t="s">
        <v>26</v>
      </c>
      <c r="G8732" s="54"/>
    </row>
    <row r="8733">
      <c r="A8733" s="49">
        <v>45112.96863084491</v>
      </c>
      <c r="B8733" s="50">
        <v>45113.0936012731</v>
      </c>
      <c r="C8733" s="51">
        <v>0.999</v>
      </c>
      <c r="D8733" s="51">
        <v>71.0</v>
      </c>
      <c r="E8733" s="52" t="s">
        <v>25</v>
      </c>
      <c r="F8733" s="52" t="s">
        <v>26</v>
      </c>
      <c r="G8733" s="54"/>
    </row>
    <row r="8734">
      <c r="A8734" s="49">
        <v>45112.97905079861</v>
      </c>
      <c r="B8734" s="50">
        <v>45113.1040215856</v>
      </c>
      <c r="C8734" s="51">
        <v>0.999</v>
      </c>
      <c r="D8734" s="51">
        <v>71.0</v>
      </c>
      <c r="E8734" s="52" t="s">
        <v>25</v>
      </c>
      <c r="F8734" s="52" t="s">
        <v>26</v>
      </c>
      <c r="G8734" s="54"/>
    </row>
    <row r="8735">
      <c r="A8735" s="49">
        <v>45112.98947060185</v>
      </c>
      <c r="B8735" s="50">
        <v>45113.1144434953</v>
      </c>
      <c r="C8735" s="51">
        <v>0.999</v>
      </c>
      <c r="D8735" s="51">
        <v>71.0</v>
      </c>
      <c r="E8735" s="52" t="s">
        <v>25</v>
      </c>
      <c r="F8735" s="52" t="s">
        <v>26</v>
      </c>
      <c r="G8735" s="54"/>
    </row>
    <row r="8736">
      <c r="A8736" s="49">
        <v>45112.999901574076</v>
      </c>
      <c r="B8736" s="50">
        <v>45113.1248655671</v>
      </c>
      <c r="C8736" s="51">
        <v>0.999</v>
      </c>
      <c r="D8736" s="51">
        <v>71.0</v>
      </c>
      <c r="E8736" s="52" t="s">
        <v>25</v>
      </c>
      <c r="F8736" s="52" t="s">
        <v>26</v>
      </c>
      <c r="G8736" s="54"/>
    </row>
    <row r="8737">
      <c r="A8737" s="49">
        <v>45113.01031557871</v>
      </c>
      <c r="B8737" s="50">
        <v>45113.1352869097</v>
      </c>
      <c r="C8737" s="51">
        <v>0.999</v>
      </c>
      <c r="D8737" s="51">
        <v>71.0</v>
      </c>
      <c r="E8737" s="52" t="s">
        <v>25</v>
      </c>
      <c r="F8737" s="52" t="s">
        <v>26</v>
      </c>
      <c r="G8737" s="54"/>
    </row>
    <row r="8738">
      <c r="A8738" s="49">
        <v>45113.02073258102</v>
      </c>
      <c r="B8738" s="50">
        <v>45113.145708287</v>
      </c>
      <c r="C8738" s="51">
        <v>0.999</v>
      </c>
      <c r="D8738" s="51">
        <v>71.0</v>
      </c>
      <c r="E8738" s="52" t="s">
        <v>25</v>
      </c>
      <c r="F8738" s="52" t="s">
        <v>26</v>
      </c>
      <c r="G8738" s="54"/>
    </row>
    <row r="8739">
      <c r="A8739" s="49">
        <v>45113.03114998843</v>
      </c>
      <c r="B8739" s="50">
        <v>45113.1561291666</v>
      </c>
      <c r="C8739" s="51">
        <v>0.999</v>
      </c>
      <c r="D8739" s="51">
        <v>71.0</v>
      </c>
      <c r="E8739" s="52" t="s">
        <v>25</v>
      </c>
      <c r="F8739" s="52" t="s">
        <v>26</v>
      </c>
      <c r="G8739" s="54"/>
    </row>
    <row r="8740">
      <c r="A8740" s="49">
        <v>45113.04157430556</v>
      </c>
      <c r="B8740" s="50">
        <v>45113.1665495486</v>
      </c>
      <c r="C8740" s="51">
        <v>0.999</v>
      </c>
      <c r="D8740" s="51">
        <v>71.0</v>
      </c>
      <c r="E8740" s="52" t="s">
        <v>25</v>
      </c>
      <c r="F8740" s="52" t="s">
        <v>26</v>
      </c>
      <c r="G8740" s="54"/>
    </row>
    <row r="8741">
      <c r="A8741" s="49">
        <v>45113.051995428235</v>
      </c>
      <c r="B8741" s="50">
        <v>45113.1769711921</v>
      </c>
      <c r="C8741" s="51">
        <v>0.999</v>
      </c>
      <c r="D8741" s="51">
        <v>71.0</v>
      </c>
      <c r="E8741" s="52" t="s">
        <v>25</v>
      </c>
      <c r="F8741" s="52" t="s">
        <v>26</v>
      </c>
      <c r="G8741" s="54"/>
    </row>
    <row r="8742">
      <c r="A8742" s="49">
        <v>45113.06240969907</v>
      </c>
      <c r="B8742" s="50">
        <v>45113.1873915162</v>
      </c>
      <c r="C8742" s="51">
        <v>0.999</v>
      </c>
      <c r="D8742" s="51">
        <v>71.0</v>
      </c>
      <c r="E8742" s="52" t="s">
        <v>25</v>
      </c>
      <c r="F8742" s="52" t="s">
        <v>26</v>
      </c>
      <c r="G8742" s="54"/>
    </row>
    <row r="8743">
      <c r="A8743" s="49">
        <v>45113.07283752315</v>
      </c>
      <c r="B8743" s="50">
        <v>45113.1978123958</v>
      </c>
      <c r="C8743" s="51">
        <v>0.999</v>
      </c>
      <c r="D8743" s="51">
        <v>71.0</v>
      </c>
      <c r="E8743" s="52" t="s">
        <v>25</v>
      </c>
      <c r="F8743" s="52" t="s">
        <v>26</v>
      </c>
      <c r="G8743" s="54"/>
    </row>
    <row r="8744">
      <c r="A8744" s="49">
        <v>45113.08325458333</v>
      </c>
      <c r="B8744" s="50">
        <v>45113.2082338194</v>
      </c>
      <c r="C8744" s="51">
        <v>0.999</v>
      </c>
      <c r="D8744" s="51">
        <v>71.0</v>
      </c>
      <c r="E8744" s="52" t="s">
        <v>25</v>
      </c>
      <c r="F8744" s="52" t="s">
        <v>26</v>
      </c>
      <c r="G8744" s="54"/>
    </row>
    <row r="8745">
      <c r="A8745" s="49">
        <v>45113.093682314815</v>
      </c>
      <c r="B8745" s="50">
        <v>45113.2186537615</v>
      </c>
      <c r="C8745" s="51">
        <v>0.999</v>
      </c>
      <c r="D8745" s="51">
        <v>71.0</v>
      </c>
      <c r="E8745" s="52" t="s">
        <v>25</v>
      </c>
      <c r="F8745" s="52" t="s">
        <v>26</v>
      </c>
      <c r="G8745" s="54"/>
    </row>
    <row r="8746">
      <c r="A8746" s="49">
        <v>45113.10411956019</v>
      </c>
      <c r="B8746" s="50">
        <v>45113.2290959606</v>
      </c>
      <c r="C8746" s="51">
        <v>0.999</v>
      </c>
      <c r="D8746" s="51">
        <v>71.0</v>
      </c>
      <c r="E8746" s="52" t="s">
        <v>25</v>
      </c>
      <c r="F8746" s="52" t="s">
        <v>26</v>
      </c>
      <c r="G8746" s="54"/>
    </row>
    <row r="8747">
      <c r="A8747" s="49">
        <v>45113.114553541665</v>
      </c>
      <c r="B8747" s="50">
        <v>45113.2395170023</v>
      </c>
      <c r="C8747" s="51">
        <v>0.999</v>
      </c>
      <c r="D8747" s="51">
        <v>71.0</v>
      </c>
      <c r="E8747" s="52" t="s">
        <v>25</v>
      </c>
      <c r="F8747" s="52" t="s">
        <v>26</v>
      </c>
      <c r="G8747" s="54"/>
    </row>
    <row r="8748">
      <c r="A8748" s="49">
        <v>45113.1249604051</v>
      </c>
      <c r="B8748" s="50">
        <v>45113.2499386342</v>
      </c>
      <c r="C8748" s="51">
        <v>0.999</v>
      </c>
      <c r="D8748" s="51">
        <v>71.0</v>
      </c>
      <c r="E8748" s="52" t="s">
        <v>25</v>
      </c>
      <c r="F8748" s="52" t="s">
        <v>26</v>
      </c>
      <c r="G8748" s="54"/>
    </row>
    <row r="8749">
      <c r="A8749" s="49">
        <v>45113.13539938658</v>
      </c>
      <c r="B8749" s="50">
        <v>45113.2603705208</v>
      </c>
      <c r="C8749" s="51">
        <v>0.999</v>
      </c>
      <c r="D8749" s="51">
        <v>71.0</v>
      </c>
      <c r="E8749" s="52" t="s">
        <v>25</v>
      </c>
      <c r="F8749" s="52" t="s">
        <v>26</v>
      </c>
      <c r="G8749" s="54"/>
    </row>
    <row r="8750">
      <c r="A8750" s="49">
        <v>45113.145816018514</v>
      </c>
      <c r="B8750" s="50">
        <v>45113.2707915972</v>
      </c>
      <c r="C8750" s="51">
        <v>0.999</v>
      </c>
      <c r="D8750" s="51">
        <v>71.0</v>
      </c>
      <c r="E8750" s="52" t="s">
        <v>25</v>
      </c>
      <c r="F8750" s="52" t="s">
        <v>26</v>
      </c>
      <c r="G8750" s="54"/>
    </row>
    <row r="8751">
      <c r="A8751" s="49">
        <v>45113.156258877316</v>
      </c>
      <c r="B8751" s="50">
        <v>45113.2812344907</v>
      </c>
      <c r="C8751" s="51">
        <v>0.999</v>
      </c>
      <c r="D8751" s="51">
        <v>71.0</v>
      </c>
      <c r="E8751" s="52" t="s">
        <v>25</v>
      </c>
      <c r="F8751" s="52" t="s">
        <v>26</v>
      </c>
      <c r="G8751" s="54"/>
    </row>
    <row r="8752">
      <c r="A8752" s="49">
        <v>45113.166683460644</v>
      </c>
      <c r="B8752" s="50">
        <v>45113.2916569213</v>
      </c>
      <c r="C8752" s="51">
        <v>0.999</v>
      </c>
      <c r="D8752" s="51">
        <v>71.0</v>
      </c>
      <c r="E8752" s="52" t="s">
        <v>25</v>
      </c>
      <c r="F8752" s="52" t="s">
        <v>26</v>
      </c>
      <c r="G8752" s="54"/>
    </row>
    <row r="8753">
      <c r="A8753" s="49">
        <v>45113.17709885417</v>
      </c>
      <c r="B8753" s="50">
        <v>45113.302077118</v>
      </c>
      <c r="C8753" s="51">
        <v>0.999</v>
      </c>
      <c r="D8753" s="51">
        <v>71.0</v>
      </c>
      <c r="E8753" s="52" t="s">
        <v>25</v>
      </c>
      <c r="F8753" s="52" t="s">
        <v>26</v>
      </c>
      <c r="G8753" s="54"/>
    </row>
    <row r="8754">
      <c r="A8754" s="49">
        <v>45113.18752535879</v>
      </c>
      <c r="B8754" s="50">
        <v>45113.3124979861</v>
      </c>
      <c r="C8754" s="51">
        <v>0.999</v>
      </c>
      <c r="D8754" s="51">
        <v>71.0</v>
      </c>
      <c r="E8754" s="52" t="s">
        <v>25</v>
      </c>
      <c r="F8754" s="52" t="s">
        <v>26</v>
      </c>
      <c r="G8754" s="54"/>
    </row>
    <row r="8755">
      <c r="A8755" s="49">
        <v>45113.197945520835</v>
      </c>
      <c r="B8755" s="50">
        <v>45113.3229192013</v>
      </c>
      <c r="C8755" s="51">
        <v>0.999</v>
      </c>
      <c r="D8755" s="51">
        <v>71.0</v>
      </c>
      <c r="E8755" s="52" t="s">
        <v>25</v>
      </c>
      <c r="F8755" s="52" t="s">
        <v>26</v>
      </c>
      <c r="G8755" s="54"/>
    </row>
    <row r="8756">
      <c r="A8756" s="49">
        <v>45113.20837613426</v>
      </c>
      <c r="B8756" s="50">
        <v>45113.3333512152</v>
      </c>
      <c r="C8756" s="51">
        <v>0.999</v>
      </c>
      <c r="D8756" s="51">
        <v>71.0</v>
      </c>
      <c r="E8756" s="52" t="s">
        <v>25</v>
      </c>
      <c r="F8756" s="52" t="s">
        <v>26</v>
      </c>
      <c r="G8756" s="54"/>
    </row>
    <row r="8757">
      <c r="A8757" s="49">
        <v>45113.218799131944</v>
      </c>
      <c r="B8757" s="50">
        <v>45113.3437733449</v>
      </c>
      <c r="C8757" s="51">
        <v>0.999</v>
      </c>
      <c r="D8757" s="51">
        <v>71.0</v>
      </c>
      <c r="E8757" s="52" t="s">
        <v>25</v>
      </c>
      <c r="F8757" s="52" t="s">
        <v>26</v>
      </c>
      <c r="G8757" s="54"/>
    </row>
    <row r="8758">
      <c r="A8758" s="49">
        <v>45113.229219155095</v>
      </c>
      <c r="B8758" s="50">
        <v>45113.3541948495</v>
      </c>
      <c r="C8758" s="51">
        <v>0.999</v>
      </c>
      <c r="D8758" s="51">
        <v>71.0</v>
      </c>
      <c r="E8758" s="52" t="s">
        <v>25</v>
      </c>
      <c r="F8758" s="52" t="s">
        <v>26</v>
      </c>
      <c r="G8758" s="54"/>
    </row>
    <row r="8759">
      <c r="A8759" s="49">
        <v>45113.23963283565</v>
      </c>
      <c r="B8759" s="50">
        <v>45113.3646163888</v>
      </c>
      <c r="C8759" s="51">
        <v>0.999</v>
      </c>
      <c r="D8759" s="51">
        <v>71.0</v>
      </c>
      <c r="E8759" s="52" t="s">
        <v>25</v>
      </c>
      <c r="F8759" s="52" t="s">
        <v>26</v>
      </c>
      <c r="G8759" s="54"/>
    </row>
    <row r="8760">
      <c r="A8760" s="49">
        <v>45113.250064085645</v>
      </c>
      <c r="B8760" s="50">
        <v>45113.3750387731</v>
      </c>
      <c r="C8760" s="51">
        <v>0.999</v>
      </c>
      <c r="D8760" s="51">
        <v>71.0</v>
      </c>
      <c r="E8760" s="52" t="s">
        <v>25</v>
      </c>
      <c r="F8760" s="52" t="s">
        <v>26</v>
      </c>
      <c r="G8760" s="54"/>
    </row>
    <row r="8761">
      <c r="A8761" s="49">
        <v>45113.26048136574</v>
      </c>
      <c r="B8761" s="50">
        <v>45113.3854584143</v>
      </c>
      <c r="C8761" s="51">
        <v>0.999</v>
      </c>
      <c r="D8761" s="51">
        <v>71.0</v>
      </c>
      <c r="E8761" s="52" t="s">
        <v>25</v>
      </c>
      <c r="F8761" s="52" t="s">
        <v>26</v>
      </c>
      <c r="G8761" s="54"/>
    </row>
    <row r="8762">
      <c r="A8762" s="49">
        <v>45113.27095491898</v>
      </c>
      <c r="B8762" s="50">
        <v>45113.3959245601</v>
      </c>
      <c r="C8762" s="51">
        <v>0.999</v>
      </c>
      <c r="D8762" s="51">
        <v>71.0</v>
      </c>
      <c r="E8762" s="52" t="s">
        <v>25</v>
      </c>
      <c r="F8762" s="52" t="s">
        <v>26</v>
      </c>
      <c r="G8762" s="54"/>
    </row>
    <row r="8763">
      <c r="A8763" s="49">
        <v>45113.281381990746</v>
      </c>
      <c r="B8763" s="50">
        <v>45113.4063595949</v>
      </c>
      <c r="C8763" s="51">
        <v>0.999</v>
      </c>
      <c r="D8763" s="51">
        <v>71.0</v>
      </c>
      <c r="E8763" s="52" t="s">
        <v>25</v>
      </c>
      <c r="F8763" s="52" t="s">
        <v>26</v>
      </c>
      <c r="G8763" s="54"/>
    </row>
    <row r="8764">
      <c r="A8764" s="49">
        <v>45113.29183354166</v>
      </c>
      <c r="B8764" s="50">
        <v>45113.4168049768</v>
      </c>
      <c r="C8764" s="51">
        <v>0.999</v>
      </c>
      <c r="D8764" s="51">
        <v>71.0</v>
      </c>
      <c r="E8764" s="52" t="s">
        <v>25</v>
      </c>
      <c r="F8764" s="52" t="s">
        <v>26</v>
      </c>
      <c r="G8764" s="54"/>
    </row>
    <row r="8765">
      <c r="A8765" s="49">
        <v>45113.30226195602</v>
      </c>
      <c r="B8765" s="50">
        <v>45113.4272382175</v>
      </c>
      <c r="C8765" s="51">
        <v>0.999</v>
      </c>
      <c r="D8765" s="51">
        <v>71.0</v>
      </c>
      <c r="E8765" s="52" t="s">
        <v>25</v>
      </c>
      <c r="F8765" s="52" t="s">
        <v>26</v>
      </c>
      <c r="G8765" s="54"/>
    </row>
    <row r="8766">
      <c r="A8766" s="49">
        <v>45113.31268959491</v>
      </c>
      <c r="B8766" s="50">
        <v>45113.4376598842</v>
      </c>
      <c r="C8766" s="51">
        <v>0.999</v>
      </c>
      <c r="D8766" s="51">
        <v>71.0</v>
      </c>
      <c r="E8766" s="52" t="s">
        <v>25</v>
      </c>
      <c r="F8766" s="52" t="s">
        <v>26</v>
      </c>
      <c r="G8766" s="54"/>
    </row>
    <row r="8767">
      <c r="A8767" s="49">
        <v>45113.32311135417</v>
      </c>
      <c r="B8767" s="50">
        <v>45113.4480813078</v>
      </c>
      <c r="C8767" s="51">
        <v>0.999</v>
      </c>
      <c r="D8767" s="51">
        <v>71.0</v>
      </c>
      <c r="E8767" s="52" t="s">
        <v>25</v>
      </c>
      <c r="F8767" s="52" t="s">
        <v>26</v>
      </c>
      <c r="G8767" s="54"/>
    </row>
    <row r="8768">
      <c r="A8768" s="49">
        <v>45113.33352605324</v>
      </c>
      <c r="B8768" s="50">
        <v>45113.4585033217</v>
      </c>
      <c r="C8768" s="51">
        <v>0.999</v>
      </c>
      <c r="D8768" s="51">
        <v>71.0</v>
      </c>
      <c r="E8768" s="52" t="s">
        <v>25</v>
      </c>
      <c r="F8768" s="52" t="s">
        <v>26</v>
      </c>
      <c r="G8768" s="54"/>
    </row>
    <row r="8769">
      <c r="A8769" s="49">
        <v>45113.34397769676</v>
      </c>
      <c r="B8769" s="50">
        <v>45113.468946956</v>
      </c>
      <c r="C8769" s="51">
        <v>0.999</v>
      </c>
      <c r="D8769" s="51">
        <v>71.0</v>
      </c>
      <c r="E8769" s="52" t="s">
        <v>25</v>
      </c>
      <c r="F8769" s="52" t="s">
        <v>26</v>
      </c>
      <c r="G8769" s="54"/>
    </row>
    <row r="8770">
      <c r="A8770" s="49">
        <v>45113.354524317125</v>
      </c>
      <c r="B8770" s="50">
        <v>45113.4793658333</v>
      </c>
      <c r="C8770" s="51">
        <v>0.999</v>
      </c>
      <c r="D8770" s="51">
        <v>71.0</v>
      </c>
      <c r="E8770" s="52" t="s">
        <v>25</v>
      </c>
      <c r="F8770" s="52" t="s">
        <v>26</v>
      </c>
      <c r="G8770" s="54"/>
    </row>
    <row r="8771">
      <c r="A8771" s="49">
        <v>45113.36481209491</v>
      </c>
      <c r="B8771" s="50">
        <v>45113.4897862268</v>
      </c>
      <c r="C8771" s="51">
        <v>0.999</v>
      </c>
      <c r="D8771" s="51">
        <v>71.0</v>
      </c>
      <c r="E8771" s="52" t="s">
        <v>25</v>
      </c>
      <c r="F8771" s="52" t="s">
        <v>26</v>
      </c>
      <c r="G8771" s="54"/>
    </row>
    <row r="8772">
      <c r="A8772" s="49">
        <v>45113.37523052083</v>
      </c>
      <c r="B8772" s="50">
        <v>45113.5002083912</v>
      </c>
      <c r="C8772" s="51">
        <v>0.999</v>
      </c>
      <c r="D8772" s="51">
        <v>71.0</v>
      </c>
      <c r="E8772" s="52" t="s">
        <v>25</v>
      </c>
      <c r="F8772" s="52" t="s">
        <v>26</v>
      </c>
      <c r="G8772" s="54"/>
    </row>
    <row r="8773">
      <c r="A8773" s="49">
        <v>45113.38565858796</v>
      </c>
      <c r="B8773" s="50">
        <v>45113.5106283217</v>
      </c>
      <c r="C8773" s="51">
        <v>0.999</v>
      </c>
      <c r="D8773" s="51">
        <v>71.0</v>
      </c>
      <c r="E8773" s="52" t="s">
        <v>25</v>
      </c>
      <c r="F8773" s="52" t="s">
        <v>26</v>
      </c>
      <c r="G8773" s="54"/>
    </row>
    <row r="8774">
      <c r="A8774" s="49">
        <v>45113.39607122685</v>
      </c>
      <c r="B8774" s="50">
        <v>45113.5210478009</v>
      </c>
      <c r="C8774" s="51">
        <v>0.999</v>
      </c>
      <c r="D8774" s="51">
        <v>71.0</v>
      </c>
      <c r="E8774" s="52" t="s">
        <v>25</v>
      </c>
      <c r="F8774" s="52" t="s">
        <v>26</v>
      </c>
      <c r="G8774" s="54"/>
    </row>
    <row r="8775">
      <c r="A8775" s="49">
        <v>45113.40649570602</v>
      </c>
      <c r="B8775" s="50">
        <v>45113.5314673958</v>
      </c>
      <c r="C8775" s="51">
        <v>0.999</v>
      </c>
      <c r="D8775" s="51">
        <v>71.0</v>
      </c>
      <c r="E8775" s="52" t="s">
        <v>25</v>
      </c>
      <c r="F8775" s="52" t="s">
        <v>26</v>
      </c>
      <c r="G8775" s="54"/>
    </row>
    <row r="8776">
      <c r="A8776" s="49">
        <v>45113.41691431713</v>
      </c>
      <c r="B8776" s="50">
        <v>45113.5418878935</v>
      </c>
      <c r="C8776" s="51">
        <v>0.999</v>
      </c>
      <c r="D8776" s="51">
        <v>71.0</v>
      </c>
      <c r="E8776" s="52" t="s">
        <v>25</v>
      </c>
      <c r="F8776" s="52" t="s">
        <v>26</v>
      </c>
      <c r="G8776" s="54"/>
    </row>
    <row r="8777">
      <c r="A8777" s="49">
        <v>45113.42734357639</v>
      </c>
      <c r="B8777" s="50">
        <v>45113.5523188541</v>
      </c>
      <c r="C8777" s="51">
        <v>0.999</v>
      </c>
      <c r="D8777" s="51">
        <v>71.0</v>
      </c>
      <c r="E8777" s="52" t="s">
        <v>25</v>
      </c>
      <c r="F8777" s="52" t="s">
        <v>26</v>
      </c>
      <c r="G8777" s="54"/>
    </row>
    <row r="8778">
      <c r="A8778" s="49">
        <v>45113.43776493055</v>
      </c>
      <c r="B8778" s="50">
        <v>45113.5627391898</v>
      </c>
      <c r="C8778" s="51">
        <v>0.999</v>
      </c>
      <c r="D8778" s="51">
        <v>71.0</v>
      </c>
      <c r="E8778" s="52" t="s">
        <v>25</v>
      </c>
      <c r="F8778" s="52" t="s">
        <v>26</v>
      </c>
      <c r="G8778" s="54"/>
    </row>
    <row r="8779">
      <c r="A8779" s="49">
        <v>45113.44818574074</v>
      </c>
      <c r="B8779" s="50">
        <v>45113.5731586226</v>
      </c>
      <c r="C8779" s="51">
        <v>0.999</v>
      </c>
      <c r="D8779" s="51">
        <v>71.0</v>
      </c>
      <c r="E8779" s="52" t="s">
        <v>25</v>
      </c>
      <c r="F8779" s="52" t="s">
        <v>26</v>
      </c>
      <c r="G8779" s="54"/>
    </row>
    <row r="8780">
      <c r="A8780" s="49">
        <v>45113.45860738426</v>
      </c>
      <c r="B8780" s="50">
        <v>45113.5835801389</v>
      </c>
      <c r="C8780" s="51">
        <v>0.999</v>
      </c>
      <c r="D8780" s="51">
        <v>71.0</v>
      </c>
      <c r="E8780" s="52" t="s">
        <v>25</v>
      </c>
      <c r="F8780" s="52" t="s">
        <v>26</v>
      </c>
      <c r="G8780" s="54"/>
    </row>
    <row r="8781">
      <c r="A8781" s="49">
        <v>45113.46903626157</v>
      </c>
      <c r="B8781" s="50">
        <v>45113.5940129282</v>
      </c>
      <c r="C8781" s="51">
        <v>0.999</v>
      </c>
      <c r="D8781" s="51">
        <v>71.0</v>
      </c>
      <c r="E8781" s="52" t="s">
        <v>25</v>
      </c>
      <c r="F8781" s="52" t="s">
        <v>26</v>
      </c>
      <c r="G8781" s="54"/>
    </row>
    <row r="8782">
      <c r="A8782" s="49">
        <v>45113.47947280093</v>
      </c>
      <c r="B8782" s="50">
        <v>45113.6044459259</v>
      </c>
      <c r="C8782" s="51">
        <v>0.999</v>
      </c>
      <c r="D8782" s="51">
        <v>71.0</v>
      </c>
      <c r="E8782" s="52" t="s">
        <v>25</v>
      </c>
      <c r="F8782" s="52" t="s">
        <v>26</v>
      </c>
      <c r="G8782" s="54"/>
    </row>
    <row r="8783">
      <c r="A8783" s="49">
        <v>45113.48989642361</v>
      </c>
      <c r="B8783" s="50">
        <v>45113.6148675115</v>
      </c>
      <c r="C8783" s="51">
        <v>0.999</v>
      </c>
      <c r="D8783" s="51">
        <v>71.0</v>
      </c>
      <c r="E8783" s="52" t="s">
        <v>25</v>
      </c>
      <c r="F8783" s="52" t="s">
        <v>26</v>
      </c>
      <c r="G8783" s="54"/>
    </row>
    <row r="8784">
      <c r="A8784" s="49">
        <v>45113.50032842593</v>
      </c>
      <c r="B8784" s="50">
        <v>45113.6252879513</v>
      </c>
      <c r="C8784" s="51">
        <v>0.999</v>
      </c>
      <c r="D8784" s="51">
        <v>71.0</v>
      </c>
      <c r="E8784" s="52" t="s">
        <v>25</v>
      </c>
      <c r="F8784" s="52" t="s">
        <v>26</v>
      </c>
      <c r="G8784" s="54"/>
    </row>
    <row r="8785">
      <c r="A8785" s="49">
        <v>45113.51073185186</v>
      </c>
      <c r="B8785" s="50">
        <v>45113.6357082754</v>
      </c>
      <c r="C8785" s="51">
        <v>0.999</v>
      </c>
      <c r="D8785" s="51">
        <v>71.0</v>
      </c>
      <c r="E8785" s="52" t="s">
        <v>25</v>
      </c>
      <c r="F8785" s="52" t="s">
        <v>26</v>
      </c>
      <c r="G8785" s="54"/>
    </row>
    <row r="8786">
      <c r="A8786" s="49">
        <v>45113.521150416665</v>
      </c>
      <c r="B8786" s="50">
        <v>45113.6461311574</v>
      </c>
      <c r="C8786" s="51">
        <v>0.999</v>
      </c>
      <c r="D8786" s="51">
        <v>71.0</v>
      </c>
      <c r="E8786" s="52" t="s">
        <v>25</v>
      </c>
      <c r="F8786" s="52" t="s">
        <v>26</v>
      </c>
      <c r="G8786" s="54"/>
    </row>
    <row r="8787">
      <c r="A8787" s="49">
        <v>45113.531569583334</v>
      </c>
      <c r="B8787" s="50">
        <v>45113.6565523495</v>
      </c>
      <c r="C8787" s="51">
        <v>0.999</v>
      </c>
      <c r="D8787" s="51">
        <v>71.0</v>
      </c>
      <c r="E8787" s="52" t="s">
        <v>25</v>
      </c>
      <c r="F8787" s="52" t="s">
        <v>26</v>
      </c>
      <c r="G8787" s="54"/>
    </row>
    <row r="8788">
      <c r="A8788" s="49">
        <v>45113.54201579861</v>
      </c>
      <c r="B8788" s="50">
        <v>45113.6669860069</v>
      </c>
      <c r="C8788" s="51">
        <v>0.999</v>
      </c>
      <c r="D8788" s="51">
        <v>71.0</v>
      </c>
      <c r="E8788" s="52" t="s">
        <v>25</v>
      </c>
      <c r="F8788" s="52" t="s">
        <v>26</v>
      </c>
      <c r="G8788" s="54"/>
    </row>
    <row r="8789">
      <c r="A8789" s="49">
        <v>45113.552433969904</v>
      </c>
      <c r="B8789" s="50">
        <v>45113.6774052777</v>
      </c>
      <c r="C8789" s="51">
        <v>0.999</v>
      </c>
      <c r="D8789" s="51">
        <v>71.0</v>
      </c>
      <c r="E8789" s="52" t="s">
        <v>25</v>
      </c>
      <c r="F8789" s="52" t="s">
        <v>26</v>
      </c>
      <c r="G8789" s="54"/>
    </row>
    <row r="8790">
      <c r="A8790" s="49">
        <v>45113.562851678245</v>
      </c>
      <c r="B8790" s="50">
        <v>45113.6878275578</v>
      </c>
      <c r="C8790" s="51">
        <v>0.999</v>
      </c>
      <c r="D8790" s="51">
        <v>71.0</v>
      </c>
      <c r="E8790" s="52" t="s">
        <v>25</v>
      </c>
      <c r="F8790" s="52" t="s">
        <v>26</v>
      </c>
      <c r="G8790" s="54"/>
    </row>
    <row r="8791">
      <c r="A8791" s="49">
        <v>45113.57326858796</v>
      </c>
      <c r="B8791" s="50">
        <v>45113.6982478703</v>
      </c>
      <c r="C8791" s="51">
        <v>0.999</v>
      </c>
      <c r="D8791" s="51">
        <v>71.0</v>
      </c>
      <c r="E8791" s="52" t="s">
        <v>25</v>
      </c>
      <c r="F8791" s="52" t="s">
        <v>26</v>
      </c>
      <c r="G8791" s="54"/>
    </row>
    <row r="8792">
      <c r="A8792" s="49">
        <v>45113.58370363426</v>
      </c>
      <c r="B8792" s="50">
        <v>45113.7086824305</v>
      </c>
      <c r="C8792" s="51">
        <v>0.999</v>
      </c>
      <c r="D8792" s="51">
        <v>71.0</v>
      </c>
      <c r="E8792" s="52" t="s">
        <v>25</v>
      </c>
      <c r="F8792" s="52" t="s">
        <v>26</v>
      </c>
      <c r="G8792" s="54"/>
    </row>
    <row r="8793">
      <c r="A8793" s="49">
        <v>45113.59414295139</v>
      </c>
      <c r="B8793" s="50">
        <v>45113.7191156597</v>
      </c>
      <c r="C8793" s="51">
        <v>0.999</v>
      </c>
      <c r="D8793" s="51">
        <v>71.0</v>
      </c>
      <c r="E8793" s="52" t="s">
        <v>25</v>
      </c>
      <c r="F8793" s="52" t="s">
        <v>26</v>
      </c>
      <c r="G8793" s="54"/>
    </row>
    <row r="8794">
      <c r="A8794" s="49">
        <v>45113.60455560185</v>
      </c>
      <c r="B8794" s="50">
        <v>45113.7295347916</v>
      </c>
      <c r="C8794" s="51">
        <v>0.999</v>
      </c>
      <c r="D8794" s="51">
        <v>71.0</v>
      </c>
      <c r="E8794" s="52" t="s">
        <v>25</v>
      </c>
      <c r="F8794" s="52" t="s">
        <v>26</v>
      </c>
      <c r="G8794" s="54"/>
    </row>
    <row r="8795">
      <c r="A8795" s="49">
        <v>45113.61498450232</v>
      </c>
      <c r="B8795" s="50">
        <v>45113.7399561574</v>
      </c>
      <c r="C8795" s="51">
        <v>0.999</v>
      </c>
      <c r="D8795" s="51">
        <v>71.0</v>
      </c>
      <c r="E8795" s="52" t="s">
        <v>25</v>
      </c>
      <c r="F8795" s="52" t="s">
        <v>26</v>
      </c>
      <c r="G8795" s="54"/>
    </row>
    <row r="8796">
      <c r="A8796" s="49">
        <v>45113.625394629635</v>
      </c>
      <c r="B8796" s="50">
        <v>45113.7503765277</v>
      </c>
      <c r="C8796" s="51">
        <v>0.999</v>
      </c>
      <c r="D8796" s="51">
        <v>71.0</v>
      </c>
      <c r="E8796" s="52" t="s">
        <v>25</v>
      </c>
      <c r="F8796" s="52" t="s">
        <v>26</v>
      </c>
      <c r="G8796" s="54"/>
    </row>
    <row r="8797">
      <c r="A8797" s="49">
        <v>45113.63582034722</v>
      </c>
      <c r="B8797" s="50">
        <v>45113.7607984606</v>
      </c>
      <c r="C8797" s="51">
        <v>0.999</v>
      </c>
      <c r="D8797" s="51">
        <v>71.0</v>
      </c>
      <c r="E8797" s="52" t="s">
        <v>25</v>
      </c>
      <c r="F8797" s="52" t="s">
        <v>26</v>
      </c>
      <c r="G8797" s="54"/>
    </row>
    <row r="8798">
      <c r="A8798" s="49">
        <v>45113.64624006944</v>
      </c>
      <c r="B8798" s="50">
        <v>45113.7712205324</v>
      </c>
      <c r="C8798" s="51">
        <v>0.999</v>
      </c>
      <c r="D8798" s="51">
        <v>71.0</v>
      </c>
      <c r="E8798" s="52" t="s">
        <v>25</v>
      </c>
      <c r="F8798" s="52" t="s">
        <v>26</v>
      </c>
      <c r="G8798" s="54"/>
    </row>
    <row r="8799">
      <c r="A8799" s="49">
        <v>45113.65665862268</v>
      </c>
      <c r="B8799" s="50">
        <v>45113.781642037</v>
      </c>
      <c r="C8799" s="51">
        <v>0.999</v>
      </c>
      <c r="D8799" s="51">
        <v>71.0</v>
      </c>
      <c r="E8799" s="52" t="s">
        <v>25</v>
      </c>
      <c r="F8799" s="52" t="s">
        <v>26</v>
      </c>
      <c r="G8799" s="54"/>
    </row>
    <row r="8800">
      <c r="A8800" s="49">
        <v>45113.66708702546</v>
      </c>
      <c r="B8800" s="50">
        <v>45113.7920638773</v>
      </c>
      <c r="C8800" s="51">
        <v>0.999</v>
      </c>
      <c r="D8800" s="51">
        <v>71.0</v>
      </c>
      <c r="E8800" s="52" t="s">
        <v>25</v>
      </c>
      <c r="F8800" s="52" t="s">
        <v>26</v>
      </c>
      <c r="G8800" s="54"/>
    </row>
    <row r="8801">
      <c r="A8801" s="49">
        <v>45113.67751599537</v>
      </c>
      <c r="B8801" s="50">
        <v>45113.8024975231</v>
      </c>
      <c r="C8801" s="51">
        <v>0.999</v>
      </c>
      <c r="D8801" s="51">
        <v>71.0</v>
      </c>
      <c r="E8801" s="52" t="s">
        <v>25</v>
      </c>
      <c r="F8801" s="52" t="s">
        <v>26</v>
      </c>
      <c r="G8801" s="54"/>
    </row>
    <row r="8802">
      <c r="A8802" s="49">
        <v>45113.68794309028</v>
      </c>
      <c r="B8802" s="50">
        <v>45113.8129192939</v>
      </c>
      <c r="C8802" s="51">
        <v>0.999</v>
      </c>
      <c r="D8802" s="51">
        <v>70.0</v>
      </c>
      <c r="E8802" s="52" t="s">
        <v>25</v>
      </c>
      <c r="F8802" s="52" t="s">
        <v>26</v>
      </c>
      <c r="G8802" s="54"/>
    </row>
    <row r="8803">
      <c r="A8803" s="49">
        <v>45113.698371342594</v>
      </c>
      <c r="B8803" s="50">
        <v>45113.8233509027</v>
      </c>
      <c r="C8803" s="51">
        <v>0.999</v>
      </c>
      <c r="D8803" s="51">
        <v>70.0</v>
      </c>
      <c r="E8803" s="52" t="s">
        <v>25</v>
      </c>
      <c r="F8803" s="52" t="s">
        <v>26</v>
      </c>
      <c r="G8803" s="54"/>
    </row>
    <row r="8804">
      <c r="A8804" s="49">
        <v>45113.708798935186</v>
      </c>
      <c r="B8804" s="50">
        <v>45113.8337712384</v>
      </c>
      <c r="C8804" s="51">
        <v>0.999</v>
      </c>
      <c r="D8804" s="51">
        <v>71.0</v>
      </c>
      <c r="E8804" s="52" t="s">
        <v>25</v>
      </c>
      <c r="F8804" s="52" t="s">
        <v>26</v>
      </c>
      <c r="G8804" s="54"/>
    </row>
    <row r="8805">
      <c r="A8805" s="49">
        <v>45113.719224560184</v>
      </c>
      <c r="B8805" s="50">
        <v>45113.8441910995</v>
      </c>
      <c r="C8805" s="51">
        <v>0.999</v>
      </c>
      <c r="D8805" s="51">
        <v>71.0</v>
      </c>
      <c r="E8805" s="52" t="s">
        <v>25</v>
      </c>
      <c r="F8805" s="52" t="s">
        <v>26</v>
      </c>
      <c r="G8805" s="54"/>
    </row>
    <row r="8806">
      <c r="A8806" s="49">
        <v>45113.72963796296</v>
      </c>
      <c r="B8806" s="50">
        <v>45113.8546121296</v>
      </c>
      <c r="C8806" s="51">
        <v>0.999</v>
      </c>
      <c r="D8806" s="51">
        <v>70.0</v>
      </c>
      <c r="E8806" s="52" t="s">
        <v>25</v>
      </c>
      <c r="F8806" s="52" t="s">
        <v>26</v>
      </c>
      <c r="G8806" s="54"/>
    </row>
    <row r="8807">
      <c r="A8807" s="49">
        <v>45113.74006055556</v>
      </c>
      <c r="B8807" s="50">
        <v>45113.8650331134</v>
      </c>
      <c r="C8807" s="51">
        <v>0.999</v>
      </c>
      <c r="D8807" s="51">
        <v>70.0</v>
      </c>
      <c r="E8807" s="52" t="s">
        <v>25</v>
      </c>
      <c r="F8807" s="52" t="s">
        <v>26</v>
      </c>
      <c r="G8807" s="54"/>
    </row>
    <row r="8808">
      <c r="A8808" s="49">
        <v>45113.7504825463</v>
      </c>
      <c r="B8808" s="50">
        <v>45113.8754655324</v>
      </c>
      <c r="C8808" s="51">
        <v>0.999</v>
      </c>
      <c r="D8808" s="51">
        <v>70.0</v>
      </c>
      <c r="E8808" s="52" t="s">
        <v>25</v>
      </c>
      <c r="F8808" s="52" t="s">
        <v>26</v>
      </c>
      <c r="G8808" s="54"/>
    </row>
    <row r="8809">
      <c r="A8809" s="49">
        <v>45113.76091512731</v>
      </c>
      <c r="B8809" s="50">
        <v>45113.885887905</v>
      </c>
      <c r="C8809" s="51">
        <v>0.999</v>
      </c>
      <c r="D8809" s="51">
        <v>70.0</v>
      </c>
      <c r="E8809" s="52" t="s">
        <v>25</v>
      </c>
      <c r="F8809" s="52" t="s">
        <v>26</v>
      </c>
      <c r="G8809" s="54"/>
    </row>
    <row r="8810">
      <c r="A8810" s="49">
        <v>45113.7713375</v>
      </c>
      <c r="B8810" s="50">
        <v>45113.8963096527</v>
      </c>
      <c r="C8810" s="51">
        <v>0.999</v>
      </c>
      <c r="D8810" s="51">
        <v>71.0</v>
      </c>
      <c r="E8810" s="52" t="s">
        <v>25</v>
      </c>
      <c r="F8810" s="52" t="s">
        <v>26</v>
      </c>
      <c r="G8810" s="54"/>
    </row>
    <row r="8811">
      <c r="A8811" s="49">
        <v>45113.78177109954</v>
      </c>
      <c r="B8811" s="50">
        <v>45113.906743287</v>
      </c>
      <c r="C8811" s="51">
        <v>0.999</v>
      </c>
      <c r="D8811" s="51">
        <v>70.0</v>
      </c>
      <c r="E8811" s="52" t="s">
        <v>25</v>
      </c>
      <c r="F8811" s="52" t="s">
        <v>26</v>
      </c>
      <c r="G8811" s="54"/>
    </row>
    <row r="8812">
      <c r="A8812" s="49">
        <v>45113.79219309028</v>
      </c>
      <c r="B8812" s="50">
        <v>45113.9171633449</v>
      </c>
      <c r="C8812" s="51">
        <v>0.999</v>
      </c>
      <c r="D8812" s="51">
        <v>70.0</v>
      </c>
      <c r="E8812" s="52" t="s">
        <v>25</v>
      </c>
      <c r="F8812" s="52" t="s">
        <v>26</v>
      </c>
      <c r="G8812" s="54"/>
    </row>
    <row r="8813">
      <c r="A8813" s="49">
        <v>45113.802616574074</v>
      </c>
      <c r="B8813" s="50">
        <v>45113.9275966551</v>
      </c>
      <c r="C8813" s="51">
        <v>0.999</v>
      </c>
      <c r="D8813" s="51">
        <v>70.0</v>
      </c>
      <c r="E8813" s="52" t="s">
        <v>25</v>
      </c>
      <c r="F8813" s="52" t="s">
        <v>26</v>
      </c>
      <c r="G8813" s="54"/>
    </row>
    <row r="8814">
      <c r="A8814" s="49">
        <v>45113.813042939815</v>
      </c>
      <c r="B8814" s="50">
        <v>45113.9380163888</v>
      </c>
      <c r="C8814" s="51">
        <v>0.999</v>
      </c>
      <c r="D8814" s="51">
        <v>71.0</v>
      </c>
      <c r="E8814" s="52" t="s">
        <v>25</v>
      </c>
      <c r="F8814" s="52" t="s">
        <v>26</v>
      </c>
      <c r="G8814" s="54"/>
    </row>
    <row r="8815">
      <c r="A8815" s="49">
        <v>45113.82346366898</v>
      </c>
      <c r="B8815" s="50">
        <v>45113.9484358449</v>
      </c>
      <c r="C8815" s="51">
        <v>0.999</v>
      </c>
      <c r="D8815" s="51">
        <v>71.0</v>
      </c>
      <c r="E8815" s="52" t="s">
        <v>25</v>
      </c>
      <c r="F8815" s="52" t="s">
        <v>26</v>
      </c>
      <c r="G8815" s="54"/>
    </row>
    <row r="8816">
      <c r="A8816" s="49">
        <v>45113.833881875005</v>
      </c>
      <c r="B8816" s="50">
        <v>45113.9588566435</v>
      </c>
      <c r="C8816" s="51">
        <v>0.999</v>
      </c>
      <c r="D8816" s="51">
        <v>71.0</v>
      </c>
      <c r="E8816" s="52" t="s">
        <v>25</v>
      </c>
      <c r="F8816" s="52" t="s">
        <v>26</v>
      </c>
      <c r="G8816" s="54"/>
    </row>
    <row r="8817">
      <c r="A8817" s="49">
        <v>45113.844305439816</v>
      </c>
      <c r="B8817" s="50">
        <v>45113.9692788078</v>
      </c>
      <c r="C8817" s="51">
        <v>0.999</v>
      </c>
      <c r="D8817" s="51">
        <v>71.0</v>
      </c>
      <c r="E8817" s="52" t="s">
        <v>25</v>
      </c>
      <c r="F8817" s="52" t="s">
        <v>26</v>
      </c>
      <c r="G8817" s="54"/>
    </row>
    <row r="8818">
      <c r="A8818" s="49">
        <v>45113.85472628472</v>
      </c>
      <c r="B8818" s="50">
        <v>45113.9796984837</v>
      </c>
      <c r="C8818" s="51">
        <v>0.999</v>
      </c>
      <c r="D8818" s="51">
        <v>70.0</v>
      </c>
      <c r="E8818" s="52" t="s">
        <v>25</v>
      </c>
      <c r="F8818" s="52" t="s">
        <v>26</v>
      </c>
      <c r="G8818" s="54"/>
    </row>
    <row r="8819">
      <c r="A8819" s="49">
        <v>45113.86515371528</v>
      </c>
      <c r="B8819" s="50">
        <v>45113.9901312731</v>
      </c>
      <c r="C8819" s="51">
        <v>0.999</v>
      </c>
      <c r="D8819" s="51">
        <v>71.0</v>
      </c>
      <c r="E8819" s="52" t="s">
        <v>25</v>
      </c>
      <c r="F8819" s="52" t="s">
        <v>26</v>
      </c>
      <c r="G8819" s="54"/>
    </row>
    <row r="8820">
      <c r="A8820" s="49">
        <v>45113.875582002314</v>
      </c>
      <c r="B8820" s="50">
        <v>45114.0005656134</v>
      </c>
      <c r="C8820" s="51">
        <v>0.999</v>
      </c>
      <c r="D8820" s="51">
        <v>71.0</v>
      </c>
      <c r="E8820" s="52" t="s">
        <v>25</v>
      </c>
      <c r="F8820" s="52" t="s">
        <v>26</v>
      </c>
      <c r="G8820" s="54"/>
    </row>
    <row r="8821">
      <c r="A8821" s="49">
        <v>45113.886004618056</v>
      </c>
      <c r="B8821" s="50">
        <v>45114.0109869213</v>
      </c>
      <c r="C8821" s="51">
        <v>0.999</v>
      </c>
      <c r="D8821" s="51">
        <v>70.0</v>
      </c>
      <c r="E8821" s="52" t="s">
        <v>25</v>
      </c>
      <c r="F8821" s="52" t="s">
        <v>26</v>
      </c>
      <c r="G8821" s="54"/>
    </row>
    <row r="8822">
      <c r="A8822" s="49">
        <v>45113.89643396991</v>
      </c>
      <c r="B8822" s="50">
        <v>45114.0214069444</v>
      </c>
      <c r="C8822" s="51">
        <v>0.999</v>
      </c>
      <c r="D8822" s="51">
        <v>71.0</v>
      </c>
      <c r="E8822" s="52" t="s">
        <v>25</v>
      </c>
      <c r="F8822" s="52" t="s">
        <v>26</v>
      </c>
      <c r="G8822" s="54"/>
    </row>
    <row r="8823">
      <c r="A8823" s="49">
        <v>45113.90685018519</v>
      </c>
      <c r="B8823" s="50">
        <v>45114.031828287</v>
      </c>
      <c r="C8823" s="51">
        <v>0.999</v>
      </c>
      <c r="D8823" s="51">
        <v>71.0</v>
      </c>
      <c r="E8823" s="52" t="s">
        <v>25</v>
      </c>
      <c r="F8823" s="52" t="s">
        <v>26</v>
      </c>
      <c r="G8823" s="54"/>
    </row>
    <row r="8824">
      <c r="A8824" s="49">
        <v>45113.91728050926</v>
      </c>
      <c r="B8824" s="50">
        <v>45114.0422607986</v>
      </c>
      <c r="C8824" s="51">
        <v>0.999</v>
      </c>
      <c r="D8824" s="51">
        <v>71.0</v>
      </c>
      <c r="E8824" s="52" t="s">
        <v>25</v>
      </c>
      <c r="F8824" s="52" t="s">
        <v>26</v>
      </c>
      <c r="G8824" s="54"/>
    </row>
    <row r="8825">
      <c r="A8825" s="49">
        <v>45113.92770078704</v>
      </c>
      <c r="B8825" s="50">
        <v>45114.0526826851</v>
      </c>
      <c r="C8825" s="51">
        <v>0.999</v>
      </c>
      <c r="D8825" s="51">
        <v>71.0</v>
      </c>
      <c r="E8825" s="52" t="s">
        <v>25</v>
      </c>
      <c r="F8825" s="52" t="s">
        <v>26</v>
      </c>
      <c r="G8825" s="54"/>
    </row>
    <row r="8826">
      <c r="A8826" s="49">
        <v>45113.93813084491</v>
      </c>
      <c r="B8826" s="50">
        <v>45114.0631048726</v>
      </c>
      <c r="C8826" s="51">
        <v>0.999</v>
      </c>
      <c r="D8826" s="51">
        <v>71.0</v>
      </c>
      <c r="E8826" s="52" t="s">
        <v>25</v>
      </c>
      <c r="F8826" s="52" t="s">
        <v>26</v>
      </c>
      <c r="G8826" s="54"/>
    </row>
    <row r="8827">
      <c r="A8827" s="49">
        <v>45113.94855064814</v>
      </c>
      <c r="B8827" s="50">
        <v>45114.0735264351</v>
      </c>
      <c r="C8827" s="51">
        <v>0.999</v>
      </c>
      <c r="D8827" s="51">
        <v>71.0</v>
      </c>
      <c r="E8827" s="52" t="s">
        <v>25</v>
      </c>
      <c r="F8827" s="52" t="s">
        <v>26</v>
      </c>
      <c r="G8827" s="54"/>
    </row>
    <row r="8828">
      <c r="A8828" s="49">
        <v>45113.958971921296</v>
      </c>
      <c r="B8828" s="50">
        <v>45114.0839467013</v>
      </c>
      <c r="C8828" s="51">
        <v>0.999</v>
      </c>
      <c r="D8828" s="51">
        <v>70.0</v>
      </c>
      <c r="E8828" s="52" t="s">
        <v>25</v>
      </c>
      <c r="F8828" s="52" t="s">
        <v>26</v>
      </c>
      <c r="G8828" s="54"/>
    </row>
    <row r="8829">
      <c r="A8829" s="49">
        <v>45113.96942820602</v>
      </c>
      <c r="B8829" s="50">
        <v>45114.0944026851</v>
      </c>
      <c r="C8829" s="51">
        <v>0.999</v>
      </c>
      <c r="D8829" s="51">
        <v>71.0</v>
      </c>
      <c r="E8829" s="52" t="s">
        <v>25</v>
      </c>
      <c r="F8829" s="52" t="s">
        <v>26</v>
      </c>
      <c r="G8829" s="54"/>
    </row>
    <row r="8830">
      <c r="A8830" s="49">
        <v>45113.97985112268</v>
      </c>
      <c r="B8830" s="50">
        <v>45114.1048236921</v>
      </c>
      <c r="C8830" s="51">
        <v>0.999</v>
      </c>
      <c r="D8830" s="51">
        <v>71.0</v>
      </c>
      <c r="E8830" s="52" t="s">
        <v>25</v>
      </c>
      <c r="F8830" s="52" t="s">
        <v>26</v>
      </c>
      <c r="G8830" s="54"/>
    </row>
    <row r="8831">
      <c r="A8831" s="49">
        <v>45113.99027372686</v>
      </c>
      <c r="B8831" s="50">
        <v>45114.1152456365</v>
      </c>
      <c r="C8831" s="51">
        <v>0.999</v>
      </c>
      <c r="D8831" s="51">
        <v>71.0</v>
      </c>
      <c r="E8831" s="52" t="s">
        <v>25</v>
      </c>
      <c r="F8831" s="52" t="s">
        <v>26</v>
      </c>
      <c r="G8831" s="54"/>
    </row>
    <row r="8832">
      <c r="A8832" s="49">
        <v>45114.00070013889</v>
      </c>
      <c r="B8832" s="50">
        <v>45114.1256784722</v>
      </c>
      <c r="C8832" s="51">
        <v>0.999</v>
      </c>
      <c r="D8832" s="51">
        <v>71.0</v>
      </c>
      <c r="E8832" s="52" t="s">
        <v>25</v>
      </c>
      <c r="F8832" s="52" t="s">
        <v>26</v>
      </c>
      <c r="G8832" s="54"/>
    </row>
    <row r="8833">
      <c r="A8833" s="49">
        <v>45114.01114105324</v>
      </c>
      <c r="B8833" s="50">
        <v>45114.1361127199</v>
      </c>
      <c r="C8833" s="51">
        <v>0.999</v>
      </c>
      <c r="D8833" s="51">
        <v>71.0</v>
      </c>
      <c r="E8833" s="52" t="s">
        <v>25</v>
      </c>
      <c r="F8833" s="52" t="s">
        <v>26</v>
      </c>
      <c r="G8833" s="54"/>
    </row>
    <row r="8834">
      <c r="A8834" s="49">
        <v>45114.02159443287</v>
      </c>
      <c r="B8834" s="50">
        <v>45114.1465673611</v>
      </c>
      <c r="C8834" s="51">
        <v>0.999</v>
      </c>
      <c r="D8834" s="51">
        <v>71.0</v>
      </c>
      <c r="E8834" s="52" t="s">
        <v>25</v>
      </c>
      <c r="F8834" s="52" t="s">
        <v>26</v>
      </c>
      <c r="G8834" s="54"/>
    </row>
    <row r="8835">
      <c r="A8835" s="49">
        <v>45114.03201494213</v>
      </c>
      <c r="B8835" s="50">
        <v>45114.1569881249</v>
      </c>
      <c r="C8835" s="51">
        <v>0.999</v>
      </c>
      <c r="D8835" s="51">
        <v>71.0</v>
      </c>
      <c r="E8835" s="52" t="s">
        <v>25</v>
      </c>
      <c r="F8835" s="52" t="s">
        <v>26</v>
      </c>
      <c r="G8835" s="54"/>
    </row>
    <row r="8836">
      <c r="A8836" s="49">
        <v>45114.04243246528</v>
      </c>
      <c r="B8836" s="50">
        <v>45114.1674081944</v>
      </c>
      <c r="C8836" s="51">
        <v>0.999</v>
      </c>
      <c r="D8836" s="51">
        <v>71.0</v>
      </c>
      <c r="E8836" s="52" t="s">
        <v>25</v>
      </c>
      <c r="F8836" s="52" t="s">
        <v>26</v>
      </c>
      <c r="G8836" s="54"/>
    </row>
    <row r="8837">
      <c r="A8837" s="49">
        <v>45114.05285467593</v>
      </c>
      <c r="B8837" s="50">
        <v>45114.1778298032</v>
      </c>
      <c r="C8837" s="51">
        <v>0.999</v>
      </c>
      <c r="D8837" s="51">
        <v>71.0</v>
      </c>
      <c r="E8837" s="52" t="s">
        <v>25</v>
      </c>
      <c r="F8837" s="52" t="s">
        <v>26</v>
      </c>
      <c r="G8837" s="54"/>
    </row>
    <row r="8838">
      <c r="A8838" s="49">
        <v>45114.06327997685</v>
      </c>
      <c r="B8838" s="50">
        <v>45114.1882501736</v>
      </c>
      <c r="C8838" s="51">
        <v>0.999</v>
      </c>
      <c r="D8838" s="51">
        <v>71.0</v>
      </c>
      <c r="E8838" s="52" t="s">
        <v>25</v>
      </c>
      <c r="F8838" s="52" t="s">
        <v>26</v>
      </c>
      <c r="G8838" s="54"/>
    </row>
    <row r="8839">
      <c r="A8839" s="49">
        <v>45114.07370771991</v>
      </c>
      <c r="B8839" s="50">
        <v>45114.1986837384</v>
      </c>
      <c r="C8839" s="51">
        <v>0.999</v>
      </c>
      <c r="D8839" s="51">
        <v>71.0</v>
      </c>
      <c r="E8839" s="52" t="s">
        <v>25</v>
      </c>
      <c r="F8839" s="52" t="s">
        <v>26</v>
      </c>
      <c r="G8839" s="54"/>
    </row>
    <row r="8840">
      <c r="A8840" s="49">
        <v>45114.084125497684</v>
      </c>
      <c r="B8840" s="50">
        <v>45114.209106493</v>
      </c>
      <c r="C8840" s="51">
        <v>0.999</v>
      </c>
      <c r="D8840" s="51">
        <v>71.0</v>
      </c>
      <c r="E8840" s="52" t="s">
        <v>25</v>
      </c>
      <c r="F8840" s="52" t="s">
        <v>26</v>
      </c>
      <c r="G8840" s="54"/>
    </row>
    <row r="8841">
      <c r="A8841" s="49">
        <v>45114.094556006945</v>
      </c>
      <c r="B8841" s="50">
        <v>45114.219527199</v>
      </c>
      <c r="C8841" s="51">
        <v>0.999</v>
      </c>
      <c r="D8841" s="51">
        <v>71.0</v>
      </c>
      <c r="E8841" s="52" t="s">
        <v>25</v>
      </c>
      <c r="F8841" s="52" t="s">
        <v>26</v>
      </c>
      <c r="G8841" s="54"/>
    </row>
    <row r="8842">
      <c r="A8842" s="49">
        <v>45114.104968784726</v>
      </c>
      <c r="B8842" s="50">
        <v>45114.2299493287</v>
      </c>
      <c r="C8842" s="51">
        <v>0.999</v>
      </c>
      <c r="D8842" s="51">
        <v>71.0</v>
      </c>
      <c r="E8842" s="52" t="s">
        <v>25</v>
      </c>
      <c r="F8842" s="52" t="s">
        <v>26</v>
      </c>
      <c r="G8842" s="54"/>
    </row>
    <row r="8843">
      <c r="A8843" s="49">
        <v>45114.115391168976</v>
      </c>
      <c r="B8843" s="50">
        <v>45114.2403710648</v>
      </c>
      <c r="C8843" s="51">
        <v>0.999</v>
      </c>
      <c r="D8843" s="51">
        <v>71.0</v>
      </c>
      <c r="E8843" s="52" t="s">
        <v>25</v>
      </c>
      <c r="F8843" s="52" t="s">
        <v>26</v>
      </c>
      <c r="G8843" s="54"/>
    </row>
    <row r="8844">
      <c r="A8844" s="49">
        <v>45114.12583186342</v>
      </c>
      <c r="B8844" s="50">
        <v>45114.2508036458</v>
      </c>
      <c r="C8844" s="51">
        <v>0.999</v>
      </c>
      <c r="D8844" s="51">
        <v>71.0</v>
      </c>
      <c r="E8844" s="52" t="s">
        <v>25</v>
      </c>
      <c r="F8844" s="52" t="s">
        <v>26</v>
      </c>
      <c r="G8844" s="54"/>
    </row>
    <row r="8845">
      <c r="A8845" s="49">
        <v>45114.13625408565</v>
      </c>
      <c r="B8845" s="50">
        <v>45114.261224375</v>
      </c>
      <c r="C8845" s="51">
        <v>0.999</v>
      </c>
      <c r="D8845" s="51">
        <v>71.0</v>
      </c>
      <c r="E8845" s="52" t="s">
        <v>25</v>
      </c>
      <c r="F8845" s="52" t="s">
        <v>26</v>
      </c>
      <c r="G8845" s="54"/>
    </row>
    <row r="8846">
      <c r="A8846" s="49">
        <v>45114.146678668985</v>
      </c>
      <c r="B8846" s="50">
        <v>45114.2716592708</v>
      </c>
      <c r="C8846" s="51">
        <v>0.999</v>
      </c>
      <c r="D8846" s="51">
        <v>71.0</v>
      </c>
      <c r="E8846" s="52" t="s">
        <v>25</v>
      </c>
      <c r="F8846" s="52" t="s">
        <v>26</v>
      </c>
      <c r="G8846" s="54"/>
    </row>
    <row r="8847">
      <c r="A8847" s="49">
        <v>45114.15711128472</v>
      </c>
      <c r="B8847" s="50">
        <v>45114.28207978</v>
      </c>
      <c r="C8847" s="51">
        <v>0.999</v>
      </c>
      <c r="D8847" s="51">
        <v>71.0</v>
      </c>
      <c r="E8847" s="52" t="s">
        <v>25</v>
      </c>
      <c r="F8847" s="52" t="s">
        <v>26</v>
      </c>
      <c r="G8847" s="54"/>
    </row>
    <row r="8848">
      <c r="A8848" s="49">
        <v>45114.167520902774</v>
      </c>
      <c r="B8848" s="50">
        <v>45114.292500081</v>
      </c>
      <c r="C8848" s="51">
        <v>0.999</v>
      </c>
      <c r="D8848" s="51">
        <v>71.0</v>
      </c>
      <c r="E8848" s="52" t="s">
        <v>25</v>
      </c>
      <c r="F8848" s="52" t="s">
        <v>26</v>
      </c>
      <c r="G8848" s="54"/>
    </row>
    <row r="8849">
      <c r="A8849" s="49">
        <v>45114.17795806713</v>
      </c>
      <c r="B8849" s="50">
        <v>45114.3029323958</v>
      </c>
      <c r="C8849" s="51">
        <v>0.999</v>
      </c>
      <c r="D8849" s="51">
        <v>71.0</v>
      </c>
      <c r="E8849" s="52" t="s">
        <v>25</v>
      </c>
      <c r="F8849" s="52" t="s">
        <v>26</v>
      </c>
      <c r="G8849" s="54"/>
    </row>
    <row r="8850">
      <c r="A8850" s="49">
        <v>45114.18837311343</v>
      </c>
      <c r="B8850" s="50">
        <v>45114.3133538078</v>
      </c>
      <c r="C8850" s="51">
        <v>0.999</v>
      </c>
      <c r="D8850" s="51">
        <v>71.0</v>
      </c>
      <c r="E8850" s="52" t="s">
        <v>25</v>
      </c>
      <c r="F8850" s="52" t="s">
        <v>26</v>
      </c>
      <c r="G8850" s="54"/>
    </row>
    <row r="8851">
      <c r="A8851" s="49">
        <v>45114.19881290509</v>
      </c>
      <c r="B8851" s="50">
        <v>45114.3237879976</v>
      </c>
      <c r="C8851" s="51">
        <v>0.999</v>
      </c>
      <c r="D8851" s="51">
        <v>71.0</v>
      </c>
      <c r="E8851" s="52" t="s">
        <v>25</v>
      </c>
      <c r="F8851" s="52" t="s">
        <v>26</v>
      </c>
      <c r="G8851" s="54"/>
    </row>
    <row r="8852">
      <c r="A8852" s="49">
        <v>45114.209236423616</v>
      </c>
      <c r="B8852" s="50">
        <v>45114.3342093402</v>
      </c>
      <c r="C8852" s="51">
        <v>0.999</v>
      </c>
      <c r="D8852" s="51">
        <v>71.0</v>
      </c>
      <c r="E8852" s="52" t="s">
        <v>25</v>
      </c>
      <c r="F8852" s="52" t="s">
        <v>26</v>
      </c>
      <c r="G8852" s="54"/>
    </row>
    <row r="8853">
      <c r="A8853" s="49">
        <v>45114.21965452546</v>
      </c>
      <c r="B8853" s="50">
        <v>45114.3446311111</v>
      </c>
      <c r="C8853" s="51">
        <v>0.999</v>
      </c>
      <c r="D8853" s="51">
        <v>71.0</v>
      </c>
      <c r="E8853" s="52" t="s">
        <v>25</v>
      </c>
      <c r="F8853" s="52" t="s">
        <v>26</v>
      </c>
      <c r="G8853" s="54"/>
    </row>
    <row r="8854">
      <c r="A8854" s="49">
        <v>45114.23007366898</v>
      </c>
      <c r="B8854" s="50">
        <v>45114.3550520949</v>
      </c>
      <c r="C8854" s="51">
        <v>0.999</v>
      </c>
      <c r="D8854" s="51">
        <v>71.0</v>
      </c>
      <c r="E8854" s="52" t="s">
        <v>25</v>
      </c>
      <c r="F8854" s="52" t="s">
        <v>26</v>
      </c>
      <c r="G8854" s="54"/>
    </row>
    <row r="8855">
      <c r="A8855" s="49">
        <v>45114.2405070949</v>
      </c>
      <c r="B8855" s="50">
        <v>45114.3654851157</v>
      </c>
      <c r="C8855" s="51">
        <v>0.999</v>
      </c>
      <c r="D8855" s="51">
        <v>71.0</v>
      </c>
      <c r="E8855" s="52" t="s">
        <v>25</v>
      </c>
      <c r="F8855" s="52" t="s">
        <v>26</v>
      </c>
      <c r="G8855" s="54"/>
    </row>
    <row r="8856">
      <c r="A8856" s="49">
        <v>45114.25093115741</v>
      </c>
      <c r="B8856" s="50">
        <v>45114.3759067013</v>
      </c>
      <c r="C8856" s="51">
        <v>0.999</v>
      </c>
      <c r="D8856" s="51">
        <v>71.0</v>
      </c>
      <c r="E8856" s="52" t="s">
        <v>25</v>
      </c>
      <c r="F8856" s="52" t="s">
        <v>26</v>
      </c>
      <c r="G8856" s="54"/>
    </row>
    <row r="8857">
      <c r="A8857" s="49">
        <v>45114.261343680555</v>
      </c>
      <c r="B8857" s="50">
        <v>45114.3863274652</v>
      </c>
      <c r="C8857" s="51">
        <v>0.999</v>
      </c>
      <c r="D8857" s="51">
        <v>71.0</v>
      </c>
      <c r="E8857" s="52" t="s">
        <v>25</v>
      </c>
      <c r="F8857" s="52" t="s">
        <v>26</v>
      </c>
      <c r="G8857" s="54"/>
    </row>
    <row r="8858">
      <c r="A8858" s="49">
        <v>45114.27177346065</v>
      </c>
      <c r="B8858" s="50">
        <v>45114.3967479166</v>
      </c>
      <c r="C8858" s="51">
        <v>0.999</v>
      </c>
      <c r="D8858" s="51">
        <v>71.0</v>
      </c>
      <c r="E8858" s="52" t="s">
        <v>25</v>
      </c>
      <c r="F8858" s="52" t="s">
        <v>26</v>
      </c>
      <c r="G8858" s="54"/>
    </row>
    <row r="8859">
      <c r="A8859" s="49">
        <v>45114.28219540509</v>
      </c>
      <c r="B8859" s="50">
        <v>45114.4071695023</v>
      </c>
      <c r="C8859" s="51">
        <v>0.999</v>
      </c>
      <c r="D8859" s="51">
        <v>71.0</v>
      </c>
      <c r="E8859" s="52" t="s">
        <v>25</v>
      </c>
      <c r="F8859" s="52" t="s">
        <v>26</v>
      </c>
      <c r="G8859" s="54"/>
    </row>
    <row r="8860">
      <c r="A8860" s="49">
        <v>45114.292615300925</v>
      </c>
      <c r="B8860" s="50">
        <v>45114.4175893981</v>
      </c>
      <c r="C8860" s="51">
        <v>0.999</v>
      </c>
      <c r="D8860" s="51">
        <v>71.0</v>
      </c>
      <c r="E8860" s="52" t="s">
        <v>25</v>
      </c>
      <c r="F8860" s="52" t="s">
        <v>26</v>
      </c>
      <c r="G8860" s="54"/>
    </row>
    <row r="8861">
      <c r="A8861" s="49">
        <v>45114.30303733796</v>
      </c>
      <c r="B8861" s="50">
        <v>45114.4280116666</v>
      </c>
      <c r="C8861" s="51">
        <v>0.999</v>
      </c>
      <c r="D8861" s="51">
        <v>71.0</v>
      </c>
      <c r="E8861" s="52" t="s">
        <v>25</v>
      </c>
      <c r="F8861" s="52" t="s">
        <v>26</v>
      </c>
      <c r="G8861" s="54"/>
    </row>
    <row r="8862">
      <c r="A8862" s="49">
        <v>45114.3134574537</v>
      </c>
      <c r="B8862" s="50">
        <v>45114.4384310532</v>
      </c>
      <c r="C8862" s="51">
        <v>0.999</v>
      </c>
      <c r="D8862" s="51">
        <v>71.0</v>
      </c>
      <c r="E8862" s="52" t="s">
        <v>25</v>
      </c>
      <c r="F8862" s="52" t="s">
        <v>26</v>
      </c>
      <c r="G8862" s="54"/>
    </row>
    <row r="8863">
      <c r="A8863" s="49">
        <v>45114.32387299769</v>
      </c>
      <c r="B8863" s="50">
        <v>45114.4488536805</v>
      </c>
      <c r="C8863" s="51">
        <v>0.999</v>
      </c>
      <c r="D8863" s="51">
        <v>71.0</v>
      </c>
      <c r="E8863" s="52" t="s">
        <v>25</v>
      </c>
      <c r="F8863" s="52" t="s">
        <v>26</v>
      </c>
      <c r="G8863" s="54"/>
    </row>
    <row r="8864">
      <c r="A8864" s="49">
        <v>45114.3343024537</v>
      </c>
      <c r="B8864" s="50">
        <v>45114.4592740625</v>
      </c>
      <c r="C8864" s="51">
        <v>0.999</v>
      </c>
      <c r="D8864" s="51">
        <v>71.0</v>
      </c>
      <c r="E8864" s="52" t="s">
        <v>25</v>
      </c>
      <c r="F8864" s="52" t="s">
        <v>26</v>
      </c>
      <c r="G8864" s="54"/>
    </row>
    <row r="8865">
      <c r="A8865" s="49">
        <v>45114.34472314815</v>
      </c>
      <c r="B8865" s="50">
        <v>45114.4696949652</v>
      </c>
      <c r="C8865" s="51">
        <v>0.999</v>
      </c>
      <c r="D8865" s="51">
        <v>71.0</v>
      </c>
      <c r="E8865" s="52" t="s">
        <v>25</v>
      </c>
      <c r="F8865" s="52" t="s">
        <v>26</v>
      </c>
      <c r="G8865" s="54"/>
    </row>
    <row r="8866">
      <c r="A8866" s="49">
        <v>45114.35514271991</v>
      </c>
      <c r="B8866" s="50">
        <v>45114.4801169212</v>
      </c>
      <c r="C8866" s="51">
        <v>0.999</v>
      </c>
      <c r="D8866" s="51">
        <v>71.0</v>
      </c>
      <c r="E8866" s="52" t="s">
        <v>25</v>
      </c>
      <c r="F8866" s="52" t="s">
        <v>26</v>
      </c>
      <c r="G8866" s="54"/>
    </row>
    <row r="8867">
      <c r="A8867" s="49">
        <v>45114.36556805555</v>
      </c>
      <c r="B8867" s="50">
        <v>45114.4905378703</v>
      </c>
      <c r="C8867" s="51">
        <v>0.999</v>
      </c>
      <c r="D8867" s="51">
        <v>71.0</v>
      </c>
      <c r="E8867" s="52" t="s">
        <v>25</v>
      </c>
      <c r="F8867" s="52" t="s">
        <v>26</v>
      </c>
      <c r="G8867" s="54"/>
    </row>
    <row r="8868">
      <c r="A8868" s="49">
        <v>45114.37598473379</v>
      </c>
      <c r="B8868" s="50">
        <v>45114.5009589699</v>
      </c>
      <c r="C8868" s="51">
        <v>0.999</v>
      </c>
      <c r="D8868" s="51">
        <v>71.0</v>
      </c>
      <c r="E8868" s="52" t="s">
        <v>25</v>
      </c>
      <c r="F8868" s="52" t="s">
        <v>26</v>
      </c>
      <c r="G8868" s="54"/>
    </row>
    <row r="8869">
      <c r="A8869" s="49">
        <v>45114.3864025</v>
      </c>
      <c r="B8869" s="50">
        <v>45114.5113806597</v>
      </c>
      <c r="C8869" s="51">
        <v>0.999</v>
      </c>
      <c r="D8869" s="51">
        <v>71.0</v>
      </c>
      <c r="E8869" s="52" t="s">
        <v>25</v>
      </c>
      <c r="F8869" s="52" t="s">
        <v>26</v>
      </c>
      <c r="G8869" s="54"/>
    </row>
    <row r="8870">
      <c r="A8870" s="49">
        <v>45114.39681913194</v>
      </c>
      <c r="B8870" s="50">
        <v>45114.5218009953</v>
      </c>
      <c r="C8870" s="51">
        <v>0.999</v>
      </c>
      <c r="D8870" s="51">
        <v>71.0</v>
      </c>
      <c r="E8870" s="52" t="s">
        <v>25</v>
      </c>
      <c r="F8870" s="52" t="s">
        <v>26</v>
      </c>
      <c r="G8870" s="54"/>
    </row>
    <row r="8871">
      <c r="A8871" s="49">
        <v>45114.40724884259</v>
      </c>
      <c r="B8871" s="50">
        <v>45114.5322218865</v>
      </c>
      <c r="C8871" s="51">
        <v>0.999</v>
      </c>
      <c r="D8871" s="51">
        <v>71.0</v>
      </c>
      <c r="E8871" s="52" t="s">
        <v>25</v>
      </c>
      <c r="F8871" s="52" t="s">
        <v>26</v>
      </c>
      <c r="G8871" s="54"/>
    </row>
    <row r="8872">
      <c r="A8872" s="49">
        <v>45114.41766553241</v>
      </c>
      <c r="B8872" s="50">
        <v>45114.5426420138</v>
      </c>
      <c r="C8872" s="51">
        <v>0.999</v>
      </c>
      <c r="D8872" s="51">
        <v>71.0</v>
      </c>
      <c r="E8872" s="52" t="s">
        <v>25</v>
      </c>
      <c r="F8872" s="52" t="s">
        <v>26</v>
      </c>
      <c r="G8872" s="54"/>
    </row>
    <row r="8873">
      <c r="A8873" s="49">
        <v>45114.428082962964</v>
      </c>
      <c r="B8873" s="50">
        <v>45114.5530630555</v>
      </c>
      <c r="C8873" s="51">
        <v>0.999</v>
      </c>
      <c r="D8873" s="51">
        <v>71.0</v>
      </c>
      <c r="E8873" s="52" t="s">
        <v>25</v>
      </c>
      <c r="F8873" s="52" t="s">
        <v>26</v>
      </c>
      <c r="G8873" s="54"/>
    </row>
    <row r="8874">
      <c r="A8874" s="49">
        <v>45114.43850936343</v>
      </c>
      <c r="B8874" s="50">
        <v>45114.5634842592</v>
      </c>
      <c r="C8874" s="51">
        <v>0.999</v>
      </c>
      <c r="D8874" s="51">
        <v>71.0</v>
      </c>
      <c r="E8874" s="52" t="s">
        <v>25</v>
      </c>
      <c r="F8874" s="52" t="s">
        <v>26</v>
      </c>
      <c r="G8874" s="54"/>
    </row>
    <row r="8875">
      <c r="A8875" s="49">
        <v>45114.44892318287</v>
      </c>
      <c r="B8875" s="50">
        <v>45114.5739059606</v>
      </c>
      <c r="C8875" s="51">
        <v>0.999</v>
      </c>
      <c r="D8875" s="51">
        <v>71.0</v>
      </c>
      <c r="E8875" s="52" t="s">
        <v>25</v>
      </c>
      <c r="F8875" s="52" t="s">
        <v>26</v>
      </c>
      <c r="G8875" s="54"/>
    </row>
    <row r="8876">
      <c r="A8876" s="49">
        <v>45114.459353252314</v>
      </c>
      <c r="B8876" s="50">
        <v>45114.5843267939</v>
      </c>
      <c r="C8876" s="51">
        <v>0.999</v>
      </c>
      <c r="D8876" s="51">
        <v>71.0</v>
      </c>
      <c r="E8876" s="52" t="s">
        <v>25</v>
      </c>
      <c r="F8876" s="52" t="s">
        <v>26</v>
      </c>
      <c r="G8876" s="54"/>
    </row>
    <row r="8877">
      <c r="A8877" s="49">
        <v>45114.46979689815</v>
      </c>
      <c r="B8877" s="50">
        <v>45114.5947706828</v>
      </c>
      <c r="C8877" s="51">
        <v>0.999</v>
      </c>
      <c r="D8877" s="51">
        <v>71.0</v>
      </c>
      <c r="E8877" s="52" t="s">
        <v>25</v>
      </c>
      <c r="F8877" s="52" t="s">
        <v>26</v>
      </c>
      <c r="G8877" s="54"/>
    </row>
    <row r="8878">
      <c r="A8878" s="49">
        <v>45114.48022666667</v>
      </c>
      <c r="B8878" s="50">
        <v>45114.6051928472</v>
      </c>
      <c r="C8878" s="51">
        <v>0.999</v>
      </c>
      <c r="D8878" s="51">
        <v>71.0</v>
      </c>
      <c r="E8878" s="52" t="s">
        <v>25</v>
      </c>
      <c r="F8878" s="52" t="s">
        <v>26</v>
      </c>
      <c r="G8878" s="54"/>
    </row>
    <row r="8879">
      <c r="A8879" s="49">
        <v>45114.490640868054</v>
      </c>
      <c r="B8879" s="50">
        <v>45114.6156137152</v>
      </c>
      <c r="C8879" s="51">
        <v>0.999</v>
      </c>
      <c r="D8879" s="51">
        <v>71.0</v>
      </c>
      <c r="E8879" s="52" t="s">
        <v>25</v>
      </c>
      <c r="F8879" s="52" t="s">
        <v>26</v>
      </c>
      <c r="G8879" s="54"/>
    </row>
    <row r="8880">
      <c r="A8880" s="49">
        <v>45114.50107047454</v>
      </c>
      <c r="B8880" s="50">
        <v>45114.6260446875</v>
      </c>
      <c r="C8880" s="51">
        <v>0.999</v>
      </c>
      <c r="D8880" s="51">
        <v>71.0</v>
      </c>
      <c r="E8880" s="52" t="s">
        <v>25</v>
      </c>
      <c r="F8880" s="52" t="s">
        <v>26</v>
      </c>
      <c r="G8880" s="54"/>
    </row>
    <row r="8881">
      <c r="A8881" s="49">
        <v>45114.51148585648</v>
      </c>
      <c r="B8881" s="50">
        <v>45114.6364656828</v>
      </c>
      <c r="C8881" s="51">
        <v>0.999</v>
      </c>
      <c r="D8881" s="51">
        <v>71.0</v>
      </c>
      <c r="E8881" s="52" t="s">
        <v>25</v>
      </c>
      <c r="F8881" s="52" t="s">
        <v>26</v>
      </c>
      <c r="G8881" s="54"/>
    </row>
    <row r="8882">
      <c r="A8882" s="49">
        <v>45114.52191240741</v>
      </c>
      <c r="B8882" s="50">
        <v>45114.6468872569</v>
      </c>
      <c r="C8882" s="51">
        <v>0.999</v>
      </c>
      <c r="D8882" s="51">
        <v>71.0</v>
      </c>
      <c r="E8882" s="52" t="s">
        <v>25</v>
      </c>
      <c r="F8882" s="52" t="s">
        <v>26</v>
      </c>
      <c r="G8882" s="54"/>
    </row>
    <row r="8883">
      <c r="A8883" s="49">
        <v>45114.53232935185</v>
      </c>
      <c r="B8883" s="50">
        <v>45114.6573089351</v>
      </c>
      <c r="C8883" s="51">
        <v>0.999</v>
      </c>
      <c r="D8883" s="51">
        <v>71.0</v>
      </c>
      <c r="E8883" s="52" t="s">
        <v>25</v>
      </c>
      <c r="F8883" s="52" t="s">
        <v>26</v>
      </c>
      <c r="G8883" s="54"/>
    </row>
    <row r="8884">
      <c r="A8884" s="49">
        <v>45114.5427491088</v>
      </c>
      <c r="B8884" s="50">
        <v>45114.6677315972</v>
      </c>
      <c r="C8884" s="51">
        <v>0.999</v>
      </c>
      <c r="D8884" s="51">
        <v>71.0</v>
      </c>
      <c r="E8884" s="52" t="s">
        <v>25</v>
      </c>
      <c r="F8884" s="52" t="s">
        <v>26</v>
      </c>
      <c r="G8884" s="54"/>
    </row>
    <row r="8885">
      <c r="A8885" s="49">
        <v>45114.553177511574</v>
      </c>
      <c r="B8885" s="50">
        <v>45114.678153368</v>
      </c>
      <c r="C8885" s="51">
        <v>0.999</v>
      </c>
      <c r="D8885" s="51">
        <v>71.0</v>
      </c>
      <c r="E8885" s="52" t="s">
        <v>25</v>
      </c>
      <c r="F8885" s="52" t="s">
        <v>26</v>
      </c>
      <c r="G8885" s="54"/>
    </row>
    <row r="8886">
      <c r="A8886" s="49">
        <v>45114.56359980324</v>
      </c>
      <c r="B8886" s="50">
        <v>45114.6885743634</v>
      </c>
      <c r="C8886" s="51">
        <v>0.999</v>
      </c>
      <c r="D8886" s="51">
        <v>71.0</v>
      </c>
      <c r="E8886" s="52" t="s">
        <v>25</v>
      </c>
      <c r="F8886" s="52" t="s">
        <v>26</v>
      </c>
      <c r="G8886" s="54"/>
    </row>
    <row r="8887">
      <c r="A8887" s="49">
        <v>45114.574022175926</v>
      </c>
      <c r="B8887" s="50">
        <v>45114.6989953703</v>
      </c>
      <c r="C8887" s="51">
        <v>0.999</v>
      </c>
      <c r="D8887" s="51">
        <v>71.0</v>
      </c>
      <c r="E8887" s="52" t="s">
        <v>25</v>
      </c>
      <c r="F8887" s="52" t="s">
        <v>26</v>
      </c>
      <c r="G8887" s="54"/>
    </row>
    <row r="8888">
      <c r="A8888" s="49">
        <v>45114.584446504625</v>
      </c>
      <c r="B8888" s="50">
        <v>45114.7094157523</v>
      </c>
      <c r="C8888" s="51">
        <v>0.999</v>
      </c>
      <c r="D8888" s="51">
        <v>71.0</v>
      </c>
      <c r="E8888" s="52" t="s">
        <v>25</v>
      </c>
      <c r="F8888" s="52" t="s">
        <v>26</v>
      </c>
      <c r="G8888" s="54"/>
    </row>
    <row r="8889">
      <c r="A8889" s="49">
        <v>45114.594861192134</v>
      </c>
      <c r="B8889" s="50">
        <v>45114.7198377777</v>
      </c>
      <c r="C8889" s="51">
        <v>0.999</v>
      </c>
      <c r="D8889" s="51">
        <v>71.0</v>
      </c>
      <c r="E8889" s="52" t="s">
        <v>25</v>
      </c>
      <c r="F8889" s="52" t="s">
        <v>26</v>
      </c>
      <c r="G8889" s="54"/>
    </row>
    <row r="8890">
      <c r="A8890" s="49">
        <v>45114.605282743054</v>
      </c>
      <c r="B8890" s="50">
        <v>45114.7302596296</v>
      </c>
      <c r="C8890" s="51">
        <v>0.999</v>
      </c>
      <c r="D8890" s="51">
        <v>70.0</v>
      </c>
      <c r="E8890" s="52" t="s">
        <v>25</v>
      </c>
      <c r="F8890" s="52" t="s">
        <v>26</v>
      </c>
      <c r="G8890" s="54"/>
    </row>
    <row r="8891">
      <c r="A8891" s="49">
        <v>45114.61571059028</v>
      </c>
      <c r="B8891" s="50">
        <v>45114.7406917708</v>
      </c>
      <c r="C8891" s="51">
        <v>0.999</v>
      </c>
      <c r="D8891" s="51">
        <v>71.0</v>
      </c>
      <c r="E8891" s="52" t="s">
        <v>25</v>
      </c>
      <c r="F8891" s="52" t="s">
        <v>26</v>
      </c>
      <c r="G8891" s="54"/>
    </row>
    <row r="8892">
      <c r="A8892" s="49">
        <v>45114.62613246527</v>
      </c>
      <c r="B8892" s="50">
        <v>45114.7511135069</v>
      </c>
      <c r="C8892" s="51">
        <v>0.999</v>
      </c>
      <c r="D8892" s="51">
        <v>70.0</v>
      </c>
      <c r="E8892" s="52" t="s">
        <v>25</v>
      </c>
      <c r="F8892" s="52" t="s">
        <v>26</v>
      </c>
      <c r="G8892" s="54"/>
    </row>
    <row r="8893">
      <c r="A8893" s="49">
        <v>45114.63656119213</v>
      </c>
      <c r="B8893" s="50">
        <v>45114.7615341435</v>
      </c>
      <c r="C8893" s="51">
        <v>0.999</v>
      </c>
      <c r="D8893" s="51">
        <v>70.0</v>
      </c>
      <c r="E8893" s="52" t="s">
        <v>25</v>
      </c>
      <c r="F8893" s="52" t="s">
        <v>26</v>
      </c>
      <c r="G8893" s="54"/>
    </row>
    <row r="8894">
      <c r="A8894" s="49">
        <v>45114.64698153935</v>
      </c>
      <c r="B8894" s="50">
        <v>45114.7719569444</v>
      </c>
      <c r="C8894" s="51">
        <v>0.999</v>
      </c>
      <c r="D8894" s="51">
        <v>70.0</v>
      </c>
      <c r="E8894" s="52" t="s">
        <v>25</v>
      </c>
      <c r="F8894" s="52" t="s">
        <v>26</v>
      </c>
      <c r="G8894" s="54"/>
    </row>
    <row r="8895">
      <c r="A8895" s="49">
        <v>45114.65739787037</v>
      </c>
      <c r="B8895" s="50">
        <v>45114.7823782986</v>
      </c>
      <c r="C8895" s="51">
        <v>0.999</v>
      </c>
      <c r="D8895" s="51">
        <v>70.0</v>
      </c>
      <c r="E8895" s="52" t="s">
        <v>25</v>
      </c>
      <c r="F8895" s="52" t="s">
        <v>26</v>
      </c>
      <c r="G8895" s="54"/>
    </row>
    <row r="8896">
      <c r="A8896" s="49">
        <v>45114.66782163194</v>
      </c>
      <c r="B8896" s="50">
        <v>45114.7927990162</v>
      </c>
      <c r="C8896" s="51">
        <v>0.999</v>
      </c>
      <c r="D8896" s="51">
        <v>70.0</v>
      </c>
      <c r="E8896" s="52" t="s">
        <v>25</v>
      </c>
      <c r="F8896" s="52" t="s">
        <v>26</v>
      </c>
      <c r="G8896" s="54"/>
    </row>
    <row r="8897">
      <c r="A8897" s="49">
        <v>45114.67825890046</v>
      </c>
      <c r="B8897" s="50">
        <v>45114.8032324537</v>
      </c>
      <c r="C8897" s="51">
        <v>0.999</v>
      </c>
      <c r="D8897" s="51">
        <v>70.0</v>
      </c>
      <c r="E8897" s="52" t="s">
        <v>25</v>
      </c>
      <c r="F8897" s="52" t="s">
        <v>26</v>
      </c>
      <c r="G8897" s="54"/>
    </row>
    <row r="8898">
      <c r="A8898" s="49">
        <v>45114.688675150464</v>
      </c>
      <c r="B8898" s="50">
        <v>45114.8136542824</v>
      </c>
      <c r="C8898" s="51">
        <v>0.999</v>
      </c>
      <c r="D8898" s="51">
        <v>70.0</v>
      </c>
      <c r="E8898" s="52" t="s">
        <v>25</v>
      </c>
      <c r="F8898" s="52" t="s">
        <v>26</v>
      </c>
      <c r="G8898" s="54"/>
    </row>
    <row r="8899">
      <c r="A8899" s="49">
        <v>45114.69909601852</v>
      </c>
      <c r="B8899" s="50">
        <v>45114.8240761921</v>
      </c>
      <c r="C8899" s="51">
        <v>0.999</v>
      </c>
      <c r="D8899" s="51">
        <v>70.0</v>
      </c>
      <c r="E8899" s="52" t="s">
        <v>25</v>
      </c>
      <c r="F8899" s="52" t="s">
        <v>26</v>
      </c>
      <c r="G8899" s="54"/>
    </row>
    <row r="8900">
      <c r="A8900" s="49">
        <v>45114.70953403936</v>
      </c>
      <c r="B8900" s="50">
        <v>45114.8345097222</v>
      </c>
      <c r="C8900" s="51">
        <v>0.999</v>
      </c>
      <c r="D8900" s="51">
        <v>70.0</v>
      </c>
      <c r="E8900" s="52" t="s">
        <v>25</v>
      </c>
      <c r="F8900" s="52" t="s">
        <v>26</v>
      </c>
      <c r="G8900" s="54"/>
    </row>
    <row r="8901">
      <c r="A8901" s="49">
        <v>45114.71994826389</v>
      </c>
      <c r="B8901" s="50">
        <v>45114.8449323148</v>
      </c>
      <c r="C8901" s="51">
        <v>0.999</v>
      </c>
      <c r="D8901" s="51">
        <v>70.0</v>
      </c>
      <c r="E8901" s="52" t="s">
        <v>25</v>
      </c>
      <c r="F8901" s="52" t="s">
        <v>26</v>
      </c>
      <c r="G8901" s="54"/>
    </row>
    <row r="8902">
      <c r="A8902" s="49">
        <v>45114.73037506944</v>
      </c>
      <c r="B8902" s="50">
        <v>45114.8553527546</v>
      </c>
      <c r="C8902" s="51">
        <v>0.999</v>
      </c>
      <c r="D8902" s="51">
        <v>71.0</v>
      </c>
      <c r="E8902" s="52" t="s">
        <v>25</v>
      </c>
      <c r="F8902" s="52" t="s">
        <v>26</v>
      </c>
      <c r="G8902" s="54"/>
    </row>
    <row r="8903">
      <c r="A8903" s="49">
        <v>45114.74080300926</v>
      </c>
      <c r="B8903" s="50">
        <v>45114.8657747916</v>
      </c>
      <c r="C8903" s="51">
        <v>0.999</v>
      </c>
      <c r="D8903" s="51">
        <v>70.0</v>
      </c>
      <c r="E8903" s="52" t="s">
        <v>25</v>
      </c>
      <c r="F8903" s="52" t="s">
        <v>26</v>
      </c>
      <c r="G8903" s="54"/>
    </row>
    <row r="8904">
      <c r="A8904" s="49">
        <v>45114.75121741898</v>
      </c>
      <c r="B8904" s="50">
        <v>45114.8761960416</v>
      </c>
      <c r="C8904" s="51">
        <v>0.999</v>
      </c>
      <c r="D8904" s="51">
        <v>70.0</v>
      </c>
      <c r="E8904" s="52" t="s">
        <v>25</v>
      </c>
      <c r="F8904" s="52" t="s">
        <v>26</v>
      </c>
      <c r="G8904" s="54"/>
    </row>
    <row r="8905">
      <c r="A8905" s="49">
        <v>45114.7616383912</v>
      </c>
      <c r="B8905" s="50">
        <v>45114.8866168518</v>
      </c>
      <c r="C8905" s="51">
        <v>0.999</v>
      </c>
      <c r="D8905" s="51">
        <v>70.0</v>
      </c>
      <c r="E8905" s="52" t="s">
        <v>25</v>
      </c>
      <c r="F8905" s="52" t="s">
        <v>26</v>
      </c>
      <c r="G8905" s="54"/>
    </row>
    <row r="8906">
      <c r="A8906" s="49">
        <v>45114.772067812504</v>
      </c>
      <c r="B8906" s="50">
        <v>45114.8970501041</v>
      </c>
      <c r="C8906" s="51">
        <v>0.999</v>
      </c>
      <c r="D8906" s="51">
        <v>70.0</v>
      </c>
      <c r="E8906" s="52" t="s">
        <v>25</v>
      </c>
      <c r="F8906" s="52" t="s">
        <v>26</v>
      </c>
      <c r="G8906" s="54"/>
    </row>
    <row r="8907">
      <c r="A8907" s="49">
        <v>45114.78249543982</v>
      </c>
      <c r="B8907" s="50">
        <v>45114.9074714467</v>
      </c>
      <c r="C8907" s="51">
        <v>0.999</v>
      </c>
      <c r="D8907" s="51">
        <v>70.0</v>
      </c>
      <c r="E8907" s="52" t="s">
        <v>25</v>
      </c>
      <c r="F8907" s="52" t="s">
        <v>26</v>
      </c>
      <c r="G8907" s="54"/>
    </row>
    <row r="8908">
      <c r="A8908" s="49">
        <v>45114.79291307871</v>
      </c>
      <c r="B8908" s="50">
        <v>45114.9178924652</v>
      </c>
      <c r="C8908" s="51">
        <v>0.999</v>
      </c>
      <c r="D8908" s="51">
        <v>70.0</v>
      </c>
      <c r="E8908" s="52" t="s">
        <v>25</v>
      </c>
      <c r="F8908" s="52" t="s">
        <v>26</v>
      </c>
      <c r="G8908" s="54"/>
    </row>
    <row r="8909">
      <c r="A8909" s="49">
        <v>45114.8033315625</v>
      </c>
      <c r="B8909" s="50">
        <v>45114.9283127199</v>
      </c>
      <c r="C8909" s="51">
        <v>0.999</v>
      </c>
      <c r="D8909" s="51">
        <v>70.0</v>
      </c>
      <c r="E8909" s="52" t="s">
        <v>25</v>
      </c>
      <c r="F8909" s="52" t="s">
        <v>26</v>
      </c>
      <c r="G8909" s="54"/>
    </row>
    <row r="8910">
      <c r="A8910" s="49">
        <v>45114.81375120371</v>
      </c>
      <c r="B8910" s="50">
        <v>45114.9387332291</v>
      </c>
      <c r="C8910" s="51">
        <v>0.999</v>
      </c>
      <c r="D8910" s="51">
        <v>70.0</v>
      </c>
      <c r="E8910" s="52" t="s">
        <v>25</v>
      </c>
      <c r="F8910" s="52" t="s">
        <v>26</v>
      </c>
      <c r="G8910" s="54"/>
    </row>
    <row r="8911">
      <c r="A8911" s="49">
        <v>45114.82418927083</v>
      </c>
      <c r="B8911" s="50">
        <v>45114.9491656134</v>
      </c>
      <c r="C8911" s="51">
        <v>0.999</v>
      </c>
      <c r="D8911" s="51">
        <v>70.0</v>
      </c>
      <c r="E8911" s="52" t="s">
        <v>25</v>
      </c>
      <c r="F8911" s="52" t="s">
        <v>26</v>
      </c>
      <c r="G8911" s="54"/>
    </row>
    <row r="8912">
      <c r="A8912" s="49">
        <v>45114.83460775463</v>
      </c>
      <c r="B8912" s="50">
        <v>45114.9595858217</v>
      </c>
      <c r="C8912" s="51">
        <v>0.999</v>
      </c>
      <c r="D8912" s="51">
        <v>70.0</v>
      </c>
      <c r="E8912" s="52" t="s">
        <v>25</v>
      </c>
      <c r="F8912" s="52" t="s">
        <v>26</v>
      </c>
      <c r="G8912" s="54"/>
    </row>
    <row r="8913">
      <c r="A8913" s="49">
        <v>45114.84502828703</v>
      </c>
      <c r="B8913" s="50">
        <v>45114.9700061805</v>
      </c>
      <c r="C8913" s="51">
        <v>0.999</v>
      </c>
      <c r="D8913" s="51">
        <v>70.0</v>
      </c>
      <c r="E8913" s="52" t="s">
        <v>25</v>
      </c>
      <c r="F8913" s="52" t="s">
        <v>26</v>
      </c>
      <c r="G8913" s="54"/>
    </row>
    <row r="8914">
      <c r="A8914" s="49">
        <v>45114.85544775463</v>
      </c>
      <c r="B8914" s="50">
        <v>45114.9804264351</v>
      </c>
      <c r="C8914" s="51">
        <v>0.999</v>
      </c>
      <c r="D8914" s="51">
        <v>70.0</v>
      </c>
      <c r="E8914" s="52" t="s">
        <v>25</v>
      </c>
      <c r="F8914" s="52" t="s">
        <v>26</v>
      </c>
      <c r="G8914" s="54"/>
    </row>
    <row r="8915">
      <c r="A8915" s="49">
        <v>45114.86587826389</v>
      </c>
      <c r="B8915" s="50">
        <v>45114.9908582175</v>
      </c>
      <c r="C8915" s="51">
        <v>0.999</v>
      </c>
      <c r="D8915" s="51">
        <v>71.0</v>
      </c>
      <c r="E8915" s="52" t="s">
        <v>25</v>
      </c>
      <c r="F8915" s="52" t="s">
        <v>26</v>
      </c>
      <c r="G8915" s="54"/>
    </row>
    <row r="8916">
      <c r="A8916" s="49">
        <v>45114.87632938658</v>
      </c>
      <c r="B8916" s="50">
        <v>45115.0013035301</v>
      </c>
      <c r="C8916" s="51">
        <v>0.999</v>
      </c>
      <c r="D8916" s="51">
        <v>70.0</v>
      </c>
      <c r="E8916" s="52" t="s">
        <v>25</v>
      </c>
      <c r="F8916" s="52" t="s">
        <v>26</v>
      </c>
      <c r="G8916" s="54"/>
    </row>
    <row r="8917">
      <c r="A8917" s="49">
        <v>45114.886743842595</v>
      </c>
      <c r="B8917" s="50">
        <v>45115.0117253588</v>
      </c>
      <c r="C8917" s="51">
        <v>0.999</v>
      </c>
      <c r="D8917" s="51">
        <v>70.0</v>
      </c>
      <c r="E8917" s="52" t="s">
        <v>25</v>
      </c>
      <c r="F8917" s="52" t="s">
        <v>26</v>
      </c>
      <c r="G8917" s="54"/>
    </row>
    <row r="8918">
      <c r="A8918" s="49">
        <v>45114.89715935185</v>
      </c>
      <c r="B8918" s="50">
        <v>45115.0221454513</v>
      </c>
      <c r="C8918" s="51">
        <v>0.999</v>
      </c>
      <c r="D8918" s="51">
        <v>70.0</v>
      </c>
      <c r="E8918" s="52" t="s">
        <v>25</v>
      </c>
      <c r="F8918" s="52" t="s">
        <v>26</v>
      </c>
      <c r="G8918" s="54"/>
    </row>
    <row r="8919">
      <c r="A8919" s="49">
        <v>45114.90758958334</v>
      </c>
      <c r="B8919" s="50">
        <v>45115.0325671874</v>
      </c>
      <c r="C8919" s="51">
        <v>0.999</v>
      </c>
      <c r="D8919" s="51">
        <v>71.0</v>
      </c>
      <c r="E8919" s="52" t="s">
        <v>25</v>
      </c>
      <c r="F8919" s="52" t="s">
        <v>26</v>
      </c>
      <c r="G8919" s="54"/>
    </row>
    <row r="8920">
      <c r="A8920" s="49">
        <v>45114.918007939814</v>
      </c>
      <c r="B8920" s="50">
        <v>45115.0429890625</v>
      </c>
      <c r="C8920" s="51">
        <v>0.999</v>
      </c>
      <c r="D8920" s="51">
        <v>70.0</v>
      </c>
      <c r="E8920" s="52" t="s">
        <v>25</v>
      </c>
      <c r="F8920" s="52" t="s">
        <v>26</v>
      </c>
      <c r="G8920" s="54"/>
    </row>
    <row r="8921">
      <c r="A8921" s="49">
        <v>45114.928435381946</v>
      </c>
      <c r="B8921" s="50">
        <v>45115.0534123495</v>
      </c>
      <c r="C8921" s="51">
        <v>0.999</v>
      </c>
      <c r="D8921" s="51">
        <v>71.0</v>
      </c>
      <c r="E8921" s="52" t="s">
        <v>25</v>
      </c>
      <c r="F8921" s="52" t="s">
        <v>26</v>
      </c>
      <c r="G8921" s="54"/>
    </row>
    <row r="8922">
      <c r="A8922" s="49">
        <v>45114.938876678236</v>
      </c>
      <c r="B8922" s="50">
        <v>45115.0638562037</v>
      </c>
      <c r="C8922" s="51">
        <v>0.999</v>
      </c>
      <c r="D8922" s="51">
        <v>70.0</v>
      </c>
      <c r="E8922" s="52" t="s">
        <v>25</v>
      </c>
      <c r="F8922" s="52" t="s">
        <v>26</v>
      </c>
      <c r="G8922" s="54"/>
    </row>
    <row r="8923">
      <c r="A8923" s="49">
        <v>45114.94929341435</v>
      </c>
      <c r="B8923" s="50">
        <v>45115.0742752893</v>
      </c>
      <c r="C8923" s="51">
        <v>0.999</v>
      </c>
      <c r="D8923" s="51">
        <v>71.0</v>
      </c>
      <c r="E8923" s="52" t="s">
        <v>25</v>
      </c>
      <c r="F8923" s="52" t="s">
        <v>26</v>
      </c>
      <c r="G8923" s="54"/>
    </row>
    <row r="8924">
      <c r="A8924" s="49">
        <v>45114.95972101852</v>
      </c>
      <c r="B8924" s="50">
        <v>45115.0846971875</v>
      </c>
      <c r="C8924" s="51">
        <v>0.999</v>
      </c>
      <c r="D8924" s="51">
        <v>71.0</v>
      </c>
      <c r="E8924" s="52" t="s">
        <v>25</v>
      </c>
      <c r="F8924" s="52" t="s">
        <v>26</v>
      </c>
      <c r="G8924" s="54"/>
    </row>
    <row r="8925">
      <c r="A8925" s="49">
        <v>45114.97016747685</v>
      </c>
      <c r="B8925" s="50">
        <v>45115.0951420949</v>
      </c>
      <c r="C8925" s="51">
        <v>0.999</v>
      </c>
      <c r="D8925" s="51">
        <v>71.0</v>
      </c>
      <c r="E8925" s="52" t="s">
        <v>25</v>
      </c>
      <c r="F8925" s="52" t="s">
        <v>26</v>
      </c>
      <c r="G8925" s="54"/>
    </row>
    <row r="8926">
      <c r="A8926" s="49">
        <v>45114.980589722225</v>
      </c>
      <c r="B8926" s="50">
        <v>45115.1055636574</v>
      </c>
      <c r="C8926" s="51">
        <v>0.999</v>
      </c>
      <c r="D8926" s="51">
        <v>70.0</v>
      </c>
      <c r="E8926" s="52" t="s">
        <v>25</v>
      </c>
      <c r="F8926" s="52" t="s">
        <v>26</v>
      </c>
      <c r="G8926" s="54"/>
    </row>
    <row r="8927">
      <c r="A8927" s="49">
        <v>45114.99102435185</v>
      </c>
      <c r="B8927" s="50">
        <v>45115.1159962152</v>
      </c>
      <c r="C8927" s="51">
        <v>0.999</v>
      </c>
      <c r="D8927" s="51">
        <v>71.0</v>
      </c>
      <c r="E8927" s="52" t="s">
        <v>25</v>
      </c>
      <c r="F8927" s="52" t="s">
        <v>26</v>
      </c>
      <c r="G8927" s="54"/>
    </row>
    <row r="8928">
      <c r="A8928" s="49">
        <v>45115.00144068287</v>
      </c>
      <c r="B8928" s="50">
        <v>45115.1264162384</v>
      </c>
      <c r="C8928" s="51">
        <v>0.999</v>
      </c>
      <c r="D8928" s="51">
        <v>71.0</v>
      </c>
      <c r="E8928" s="52" t="s">
        <v>25</v>
      </c>
      <c r="F8928" s="52" t="s">
        <v>26</v>
      </c>
      <c r="G8928" s="54"/>
    </row>
    <row r="8929">
      <c r="A8929" s="49">
        <v>45115.01187126157</v>
      </c>
      <c r="B8929" s="50">
        <v>45115.1368479629</v>
      </c>
      <c r="C8929" s="51">
        <v>0.999</v>
      </c>
      <c r="D8929" s="51">
        <v>71.0</v>
      </c>
      <c r="E8929" s="52" t="s">
        <v>25</v>
      </c>
      <c r="F8929" s="52" t="s">
        <v>26</v>
      </c>
      <c r="G8929" s="54"/>
    </row>
    <row r="8930">
      <c r="A8930" s="49">
        <v>45115.022292071764</v>
      </c>
      <c r="B8930" s="50">
        <v>45115.1472686458</v>
      </c>
      <c r="C8930" s="51">
        <v>0.999</v>
      </c>
      <c r="D8930" s="51">
        <v>70.0</v>
      </c>
      <c r="E8930" s="52" t="s">
        <v>25</v>
      </c>
      <c r="F8930" s="52" t="s">
        <v>26</v>
      </c>
      <c r="G8930" s="54"/>
    </row>
    <row r="8931">
      <c r="A8931" s="49">
        <v>45115.03270523148</v>
      </c>
      <c r="B8931" s="50">
        <v>45115.1576878009</v>
      </c>
      <c r="C8931" s="51">
        <v>0.999</v>
      </c>
      <c r="D8931" s="51">
        <v>71.0</v>
      </c>
      <c r="E8931" s="52" t="s">
        <v>25</v>
      </c>
      <c r="F8931" s="52" t="s">
        <v>26</v>
      </c>
      <c r="G8931" s="54"/>
    </row>
    <row r="8932">
      <c r="A8932" s="49">
        <v>45115.04313314815</v>
      </c>
      <c r="B8932" s="50">
        <v>45115.1681108333</v>
      </c>
      <c r="C8932" s="51">
        <v>0.999</v>
      </c>
      <c r="D8932" s="51">
        <v>71.0</v>
      </c>
      <c r="E8932" s="52" t="s">
        <v>25</v>
      </c>
      <c r="F8932" s="52" t="s">
        <v>26</v>
      </c>
      <c r="G8932" s="54"/>
    </row>
    <row r="8933">
      <c r="A8933" s="49">
        <v>45115.05357135416</v>
      </c>
      <c r="B8933" s="50">
        <v>45115.1785441666</v>
      </c>
      <c r="C8933" s="51">
        <v>0.999</v>
      </c>
      <c r="D8933" s="51">
        <v>71.0</v>
      </c>
      <c r="E8933" s="52" t="s">
        <v>25</v>
      </c>
      <c r="F8933" s="52" t="s">
        <v>26</v>
      </c>
      <c r="G8933" s="54"/>
    </row>
    <row r="8934">
      <c r="A8934" s="49">
        <v>45115.06398319444</v>
      </c>
      <c r="B8934" s="50">
        <v>45115.1889658564</v>
      </c>
      <c r="C8934" s="51">
        <v>0.999</v>
      </c>
      <c r="D8934" s="51">
        <v>71.0</v>
      </c>
      <c r="E8934" s="52" t="s">
        <v>25</v>
      </c>
      <c r="F8934" s="52" t="s">
        <v>26</v>
      </c>
      <c r="G8934" s="54"/>
    </row>
    <row r="8935">
      <c r="A8935" s="49">
        <v>45115.07441210648</v>
      </c>
      <c r="B8935" s="50">
        <v>45115.1993873611</v>
      </c>
      <c r="C8935" s="51">
        <v>0.999</v>
      </c>
      <c r="D8935" s="51">
        <v>70.0</v>
      </c>
      <c r="E8935" s="52" t="s">
        <v>25</v>
      </c>
      <c r="F8935" s="52" t="s">
        <v>26</v>
      </c>
      <c r="G8935" s="54"/>
    </row>
    <row r="8936">
      <c r="A8936" s="49">
        <v>45115.08483099537</v>
      </c>
      <c r="B8936" s="50">
        <v>45115.2098058449</v>
      </c>
      <c r="C8936" s="51">
        <v>0.999</v>
      </c>
      <c r="D8936" s="51">
        <v>71.0</v>
      </c>
      <c r="E8936" s="52" t="s">
        <v>25</v>
      </c>
      <c r="F8936" s="52" t="s">
        <v>26</v>
      </c>
      <c r="G8936" s="54"/>
    </row>
    <row r="8937">
      <c r="A8937" s="49">
        <v>45115.095262083334</v>
      </c>
      <c r="B8937" s="50">
        <v>45115.22023875</v>
      </c>
      <c r="C8937" s="51">
        <v>0.999</v>
      </c>
      <c r="D8937" s="51">
        <v>71.0</v>
      </c>
      <c r="E8937" s="52" t="s">
        <v>25</v>
      </c>
      <c r="F8937" s="52" t="s">
        <v>26</v>
      </c>
      <c r="G8937" s="54"/>
    </row>
    <row r="8938">
      <c r="A8938" s="49">
        <v>45115.10568115741</v>
      </c>
      <c r="B8938" s="50">
        <v>45115.2306593171</v>
      </c>
      <c r="C8938" s="51">
        <v>0.999</v>
      </c>
      <c r="D8938" s="51">
        <v>71.0</v>
      </c>
      <c r="E8938" s="52" t="s">
        <v>25</v>
      </c>
      <c r="F8938" s="52" t="s">
        <v>26</v>
      </c>
      <c r="G8938" s="54"/>
    </row>
    <row r="8939">
      <c r="A8939" s="49">
        <v>45115.116105567125</v>
      </c>
      <c r="B8939" s="50">
        <v>45115.2410805092</v>
      </c>
      <c r="C8939" s="51">
        <v>0.999</v>
      </c>
      <c r="D8939" s="51">
        <v>70.0</v>
      </c>
      <c r="E8939" s="52" t="s">
        <v>25</v>
      </c>
      <c r="F8939" s="52" t="s">
        <v>26</v>
      </c>
      <c r="G8939" s="54"/>
    </row>
    <row r="8940">
      <c r="A8940" s="49">
        <v>45115.12655193287</v>
      </c>
      <c r="B8940" s="50">
        <v>45115.251536331</v>
      </c>
      <c r="C8940" s="51">
        <v>0.999</v>
      </c>
      <c r="D8940" s="51">
        <v>70.0</v>
      </c>
      <c r="E8940" s="52" t="s">
        <v>25</v>
      </c>
      <c r="F8940" s="52" t="s">
        <v>26</v>
      </c>
      <c r="G8940" s="54"/>
    </row>
    <row r="8941">
      <c r="A8941" s="49">
        <v>45115.13697670139</v>
      </c>
      <c r="B8941" s="50">
        <v>45115.2619588657</v>
      </c>
      <c r="C8941" s="51">
        <v>0.999</v>
      </c>
      <c r="D8941" s="51">
        <v>71.0</v>
      </c>
      <c r="E8941" s="52" t="s">
        <v>25</v>
      </c>
      <c r="F8941" s="52" t="s">
        <v>26</v>
      </c>
      <c r="G8941" s="54"/>
    </row>
    <row r="8942">
      <c r="A8942" s="49">
        <v>45115.14740486111</v>
      </c>
      <c r="B8942" s="50">
        <v>45115.2723801736</v>
      </c>
      <c r="C8942" s="51">
        <v>0.999</v>
      </c>
      <c r="D8942" s="51">
        <v>71.0</v>
      </c>
      <c r="E8942" s="52" t="s">
        <v>25</v>
      </c>
      <c r="F8942" s="52" t="s">
        <v>26</v>
      </c>
      <c r="G8942" s="54"/>
    </row>
    <row r="8943">
      <c r="A8943" s="49">
        <v>45115.1578228125</v>
      </c>
      <c r="B8943" s="50">
        <v>45115.2828006481</v>
      </c>
      <c r="C8943" s="51">
        <v>0.999</v>
      </c>
      <c r="D8943" s="51">
        <v>71.0</v>
      </c>
      <c r="E8943" s="52" t="s">
        <v>25</v>
      </c>
      <c r="F8943" s="52" t="s">
        <v>26</v>
      </c>
      <c r="G8943" s="54"/>
    </row>
    <row r="8944">
      <c r="A8944" s="49">
        <v>45115.168245243054</v>
      </c>
      <c r="B8944" s="50">
        <v>45115.2932212152</v>
      </c>
      <c r="C8944" s="51">
        <v>0.999</v>
      </c>
      <c r="D8944" s="51">
        <v>71.0</v>
      </c>
      <c r="E8944" s="52" t="s">
        <v>25</v>
      </c>
      <c r="F8944" s="52" t="s">
        <v>26</v>
      </c>
      <c r="G8944" s="54"/>
    </row>
    <row r="8945">
      <c r="A8945" s="49">
        <v>45115.17866711806</v>
      </c>
      <c r="B8945" s="50">
        <v>45115.303642118</v>
      </c>
      <c r="C8945" s="51">
        <v>0.999</v>
      </c>
      <c r="D8945" s="51">
        <v>71.0</v>
      </c>
      <c r="E8945" s="52" t="s">
        <v>25</v>
      </c>
      <c r="F8945" s="52" t="s">
        <v>26</v>
      </c>
      <c r="G8945" s="54"/>
    </row>
    <row r="8946">
      <c r="A8946" s="49">
        <v>45115.189084212965</v>
      </c>
      <c r="B8946" s="50">
        <v>45115.314061655</v>
      </c>
      <c r="C8946" s="51">
        <v>0.999</v>
      </c>
      <c r="D8946" s="51">
        <v>71.0</v>
      </c>
      <c r="E8946" s="52" t="s">
        <v>25</v>
      </c>
      <c r="F8946" s="52" t="s">
        <v>26</v>
      </c>
      <c r="G8946" s="54"/>
    </row>
    <row r="8947">
      <c r="A8947" s="49">
        <v>45115.19950944444</v>
      </c>
      <c r="B8947" s="50">
        <v>45115.3244836921</v>
      </c>
      <c r="C8947" s="51">
        <v>0.999</v>
      </c>
      <c r="D8947" s="51">
        <v>71.0</v>
      </c>
      <c r="E8947" s="52" t="s">
        <v>25</v>
      </c>
      <c r="F8947" s="52" t="s">
        <v>26</v>
      </c>
      <c r="G8947" s="54"/>
    </row>
    <row r="8948">
      <c r="A8948" s="49">
        <v>45115.20992451389</v>
      </c>
      <c r="B8948" s="50">
        <v>45115.3349038773</v>
      </c>
      <c r="C8948" s="51">
        <v>0.999</v>
      </c>
      <c r="D8948" s="51">
        <v>71.0</v>
      </c>
      <c r="E8948" s="52" t="s">
        <v>25</v>
      </c>
      <c r="F8948" s="52" t="s">
        <v>26</v>
      </c>
      <c r="G8948" s="54"/>
    </row>
    <row r="8949">
      <c r="A8949" s="49">
        <v>45115.22035081018</v>
      </c>
      <c r="B8949" s="50">
        <v>45115.3453237847</v>
      </c>
      <c r="C8949" s="51">
        <v>0.999</v>
      </c>
      <c r="D8949" s="51">
        <v>71.0</v>
      </c>
      <c r="E8949" s="52" t="s">
        <v>25</v>
      </c>
      <c r="F8949" s="52" t="s">
        <v>26</v>
      </c>
      <c r="G8949" s="54"/>
    </row>
    <row r="8950">
      <c r="A8950" s="49">
        <v>45115.23082769676</v>
      </c>
      <c r="B8950" s="50">
        <v>45115.3557443402</v>
      </c>
      <c r="C8950" s="51">
        <v>0.999</v>
      </c>
      <c r="D8950" s="51">
        <v>71.0</v>
      </c>
      <c r="E8950" s="52" t="s">
        <v>25</v>
      </c>
      <c r="F8950" s="52" t="s">
        <v>26</v>
      </c>
      <c r="G8950" s="54"/>
    </row>
    <row r="8951">
      <c r="A8951" s="49">
        <v>45115.24119863426</v>
      </c>
      <c r="B8951" s="50">
        <v>45115.3661677662</v>
      </c>
      <c r="C8951" s="51">
        <v>0.999</v>
      </c>
      <c r="D8951" s="51">
        <v>71.0</v>
      </c>
      <c r="E8951" s="52" t="s">
        <v>25</v>
      </c>
      <c r="F8951" s="52" t="s">
        <v>26</v>
      </c>
      <c r="G8951" s="54"/>
    </row>
    <row r="8952">
      <c r="A8952" s="49">
        <v>45115.25163663195</v>
      </c>
      <c r="B8952" s="50">
        <v>45115.3766004398</v>
      </c>
      <c r="C8952" s="51">
        <v>0.999</v>
      </c>
      <c r="D8952" s="51">
        <v>70.0</v>
      </c>
      <c r="E8952" s="52" t="s">
        <v>25</v>
      </c>
      <c r="F8952" s="52" t="s">
        <v>26</v>
      </c>
      <c r="G8952" s="54"/>
    </row>
    <row r="8953">
      <c r="A8953" s="49">
        <v>45115.26205572917</v>
      </c>
      <c r="B8953" s="50">
        <v>45115.3870223842</v>
      </c>
      <c r="C8953" s="51">
        <v>0.999</v>
      </c>
      <c r="D8953" s="51">
        <v>71.0</v>
      </c>
      <c r="E8953" s="52" t="s">
        <v>25</v>
      </c>
      <c r="F8953" s="52" t="s">
        <v>26</v>
      </c>
      <c r="G8953" s="54"/>
    </row>
    <row r="8954">
      <c r="A8954" s="49">
        <v>45115.272478425926</v>
      </c>
      <c r="B8954" s="50">
        <v>45115.3974444097</v>
      </c>
      <c r="C8954" s="51">
        <v>0.999</v>
      </c>
      <c r="D8954" s="51">
        <v>70.0</v>
      </c>
      <c r="E8954" s="52" t="s">
        <v>25</v>
      </c>
      <c r="F8954" s="52" t="s">
        <v>26</v>
      </c>
      <c r="G8954" s="54"/>
    </row>
    <row r="8955">
      <c r="A8955" s="49">
        <v>45115.282909988426</v>
      </c>
      <c r="B8955" s="50">
        <v>45115.4078652314</v>
      </c>
      <c r="C8955" s="51">
        <v>0.999</v>
      </c>
      <c r="D8955" s="51">
        <v>70.0</v>
      </c>
      <c r="E8955" s="52" t="s">
        <v>25</v>
      </c>
      <c r="F8955" s="52" t="s">
        <v>26</v>
      </c>
      <c r="G8955" s="54"/>
    </row>
    <row r="8956">
      <c r="A8956" s="49">
        <v>45115.29334412037</v>
      </c>
      <c r="B8956" s="50">
        <v>45115.4182982523</v>
      </c>
      <c r="C8956" s="51">
        <v>0.999</v>
      </c>
      <c r="D8956" s="51">
        <v>70.0</v>
      </c>
      <c r="E8956" s="52" t="s">
        <v>25</v>
      </c>
      <c r="F8956" s="52" t="s">
        <v>26</v>
      </c>
      <c r="G8956" s="54"/>
    </row>
    <row r="8957">
      <c r="A8957" s="49">
        <v>45115.30375998843</v>
      </c>
      <c r="B8957" s="50">
        <v>45115.4287296296</v>
      </c>
      <c r="C8957" s="51">
        <v>0.999</v>
      </c>
      <c r="D8957" s="51">
        <v>70.0</v>
      </c>
      <c r="E8957" s="52" t="s">
        <v>25</v>
      </c>
      <c r="F8957" s="52" t="s">
        <v>26</v>
      </c>
      <c r="G8957" s="54"/>
    </row>
    <row r="8958">
      <c r="A8958" s="49">
        <v>45115.31417755787</v>
      </c>
      <c r="B8958" s="50">
        <v>45115.4391512152</v>
      </c>
      <c r="C8958" s="51">
        <v>0.999</v>
      </c>
      <c r="D8958" s="51">
        <v>71.0</v>
      </c>
      <c r="E8958" s="52" t="s">
        <v>25</v>
      </c>
      <c r="F8958" s="52" t="s">
        <v>26</v>
      </c>
      <c r="G8958" s="54"/>
    </row>
    <row r="8959">
      <c r="A8959" s="49">
        <v>45115.32463665509</v>
      </c>
      <c r="B8959" s="50">
        <v>45115.4495836805</v>
      </c>
      <c r="C8959" s="51">
        <v>0.999</v>
      </c>
      <c r="D8959" s="51">
        <v>71.0</v>
      </c>
      <c r="E8959" s="52" t="s">
        <v>25</v>
      </c>
      <c r="F8959" s="52" t="s">
        <v>26</v>
      </c>
      <c r="G8959" s="54"/>
    </row>
    <row r="8960">
      <c r="A8960" s="49">
        <v>45115.33506157408</v>
      </c>
      <c r="B8960" s="50">
        <v>45115.4600287384</v>
      </c>
      <c r="C8960" s="51">
        <v>0.999</v>
      </c>
      <c r="D8960" s="51">
        <v>71.0</v>
      </c>
      <c r="E8960" s="52" t="s">
        <v>25</v>
      </c>
      <c r="F8960" s="52" t="s">
        <v>26</v>
      </c>
      <c r="G8960" s="54"/>
    </row>
    <row r="8961">
      <c r="A8961" s="49">
        <v>45115.34548040509</v>
      </c>
      <c r="B8961" s="50">
        <v>45115.4704511458</v>
      </c>
      <c r="C8961" s="51">
        <v>0.999</v>
      </c>
      <c r="D8961" s="51">
        <v>70.0</v>
      </c>
      <c r="E8961" s="52" t="s">
        <v>25</v>
      </c>
      <c r="F8961" s="52" t="s">
        <v>26</v>
      </c>
      <c r="G8961" s="54"/>
    </row>
    <row r="8962">
      <c r="A8962" s="49">
        <v>45115.3559075463</v>
      </c>
      <c r="B8962" s="50">
        <v>45115.4808711458</v>
      </c>
      <c r="C8962" s="51">
        <v>0.999</v>
      </c>
      <c r="D8962" s="51">
        <v>70.0</v>
      </c>
      <c r="E8962" s="52" t="s">
        <v>25</v>
      </c>
      <c r="F8962" s="52" t="s">
        <v>26</v>
      </c>
      <c r="G8962" s="54"/>
    </row>
    <row r="8963">
      <c r="A8963" s="49">
        <v>45115.36639418981</v>
      </c>
      <c r="B8963" s="50">
        <v>45115.491350243</v>
      </c>
      <c r="C8963" s="51">
        <v>0.999</v>
      </c>
      <c r="D8963" s="51">
        <v>71.0</v>
      </c>
      <c r="E8963" s="52" t="s">
        <v>25</v>
      </c>
      <c r="F8963" s="52" t="s">
        <v>26</v>
      </c>
      <c r="G8963" s="54"/>
    </row>
    <row r="8964">
      <c r="A8964" s="49">
        <v>45115.3768394213</v>
      </c>
      <c r="B8964" s="50">
        <v>45115.5017831481</v>
      </c>
      <c r="C8964" s="51">
        <v>0.999</v>
      </c>
      <c r="D8964" s="51">
        <v>71.0</v>
      </c>
      <c r="E8964" s="52" t="s">
        <v>25</v>
      </c>
      <c r="F8964" s="52" t="s">
        <v>26</v>
      </c>
      <c r="G8964" s="54"/>
    </row>
    <row r="8965">
      <c r="A8965" s="49">
        <v>45115.38724008102</v>
      </c>
      <c r="B8965" s="50">
        <v>45115.5122037037</v>
      </c>
      <c r="C8965" s="51">
        <v>0.999</v>
      </c>
      <c r="D8965" s="51">
        <v>71.0</v>
      </c>
      <c r="E8965" s="52" t="s">
        <v>25</v>
      </c>
      <c r="F8965" s="52" t="s">
        <v>26</v>
      </c>
      <c r="G8965" s="54"/>
    </row>
    <row r="8966">
      <c r="A8966" s="49">
        <v>45115.39768180555</v>
      </c>
      <c r="B8966" s="50">
        <v>45115.5226248032</v>
      </c>
      <c r="C8966" s="51">
        <v>0.999</v>
      </c>
      <c r="D8966" s="51">
        <v>70.0</v>
      </c>
      <c r="E8966" s="52" t="s">
        <v>25</v>
      </c>
      <c r="F8966" s="52" t="s">
        <v>26</v>
      </c>
      <c r="G8966" s="54"/>
    </row>
    <row r="8967">
      <c r="A8967" s="49">
        <v>45115.40810326389</v>
      </c>
      <c r="B8967" s="50">
        <v>45115.5330479513</v>
      </c>
      <c r="C8967" s="51">
        <v>0.999</v>
      </c>
      <c r="D8967" s="51">
        <v>70.0</v>
      </c>
      <c r="E8967" s="52" t="s">
        <v>25</v>
      </c>
      <c r="F8967" s="52" t="s">
        <v>26</v>
      </c>
      <c r="G8967" s="54"/>
    </row>
    <row r="8968">
      <c r="A8968" s="49">
        <v>45115.418529166665</v>
      </c>
      <c r="B8968" s="50">
        <v>45115.5434675231</v>
      </c>
      <c r="C8968" s="51">
        <v>0.999</v>
      </c>
      <c r="D8968" s="51">
        <v>70.0</v>
      </c>
      <c r="E8968" s="52" t="s">
        <v>25</v>
      </c>
      <c r="F8968" s="52" t="s">
        <v>26</v>
      </c>
      <c r="G8968" s="54"/>
    </row>
    <row r="8969">
      <c r="A8969" s="49">
        <v>45115.42893292824</v>
      </c>
      <c r="B8969" s="50">
        <v>45115.5538873726</v>
      </c>
      <c r="C8969" s="51">
        <v>0.999</v>
      </c>
      <c r="D8969" s="51">
        <v>70.0</v>
      </c>
      <c r="E8969" s="52" t="s">
        <v>25</v>
      </c>
      <c r="F8969" s="52" t="s">
        <v>26</v>
      </c>
      <c r="G8969" s="54"/>
    </row>
    <row r="8970">
      <c r="A8970" s="49">
        <v>45115.439340682875</v>
      </c>
      <c r="B8970" s="50">
        <v>45115.5643081713</v>
      </c>
      <c r="C8970" s="51">
        <v>0.999</v>
      </c>
      <c r="D8970" s="51">
        <v>70.0</v>
      </c>
      <c r="E8970" s="52" t="s">
        <v>25</v>
      </c>
      <c r="F8970" s="52" t="s">
        <v>26</v>
      </c>
      <c r="G8970" s="54"/>
    </row>
    <row r="8971">
      <c r="A8971" s="49">
        <v>45115.449773622684</v>
      </c>
      <c r="B8971" s="50">
        <v>45115.5747305092</v>
      </c>
      <c r="C8971" s="51">
        <v>0.999</v>
      </c>
      <c r="D8971" s="51">
        <v>70.0</v>
      </c>
      <c r="E8971" s="52" t="s">
        <v>25</v>
      </c>
      <c r="F8971" s="52" t="s">
        <v>26</v>
      </c>
      <c r="G8971" s="54"/>
    </row>
    <row r="8972">
      <c r="A8972" s="49">
        <v>45115.46021091435</v>
      </c>
      <c r="B8972" s="50">
        <v>45115.585152824</v>
      </c>
      <c r="C8972" s="51">
        <v>0.999</v>
      </c>
      <c r="D8972" s="51">
        <v>70.0</v>
      </c>
      <c r="E8972" s="52" t="s">
        <v>25</v>
      </c>
      <c r="F8972" s="52" t="s">
        <v>26</v>
      </c>
      <c r="G8972" s="54"/>
    </row>
    <row r="8973">
      <c r="A8973" s="49">
        <v>45115.47060392361</v>
      </c>
      <c r="B8973" s="50">
        <v>45115.5955724421</v>
      </c>
      <c r="C8973" s="51">
        <v>0.999</v>
      </c>
      <c r="D8973" s="51">
        <v>70.0</v>
      </c>
      <c r="E8973" s="52" t="s">
        <v>25</v>
      </c>
      <c r="F8973" s="52" t="s">
        <v>26</v>
      </c>
      <c r="G8973" s="54"/>
    </row>
    <row r="8974">
      <c r="A8974" s="49">
        <v>45115.48104189815</v>
      </c>
      <c r="B8974" s="50">
        <v>45115.6060039236</v>
      </c>
      <c r="C8974" s="51">
        <v>0.999</v>
      </c>
      <c r="D8974" s="51">
        <v>70.0</v>
      </c>
      <c r="E8974" s="52" t="s">
        <v>25</v>
      </c>
      <c r="F8974" s="52" t="s">
        <v>26</v>
      </c>
      <c r="G8974" s="54"/>
    </row>
    <row r="8975">
      <c r="A8975" s="49">
        <v>45115.49145869213</v>
      </c>
      <c r="B8975" s="50">
        <v>45115.616423831</v>
      </c>
      <c r="C8975" s="51">
        <v>0.999</v>
      </c>
      <c r="D8975" s="51">
        <v>70.0</v>
      </c>
      <c r="E8975" s="52" t="s">
        <v>25</v>
      </c>
      <c r="F8975" s="52" t="s">
        <v>26</v>
      </c>
      <c r="G8975" s="54"/>
    </row>
    <row r="8976">
      <c r="A8976" s="49">
        <v>45115.501891238426</v>
      </c>
      <c r="B8976" s="50">
        <v>45115.6268447338</v>
      </c>
      <c r="C8976" s="51">
        <v>0.999</v>
      </c>
      <c r="D8976" s="51">
        <v>70.0</v>
      </c>
      <c r="E8976" s="52" t="s">
        <v>25</v>
      </c>
      <c r="F8976" s="52" t="s">
        <v>26</v>
      </c>
      <c r="G8976" s="54"/>
    </row>
    <row r="8977">
      <c r="A8977" s="49">
        <v>45115.5122987963</v>
      </c>
      <c r="B8977" s="50">
        <v>45115.637265</v>
      </c>
      <c r="C8977" s="51">
        <v>0.999</v>
      </c>
      <c r="D8977" s="51">
        <v>70.0</v>
      </c>
      <c r="E8977" s="52" t="s">
        <v>25</v>
      </c>
      <c r="F8977" s="52" t="s">
        <v>26</v>
      </c>
      <c r="G8977" s="54"/>
    </row>
    <row r="8978">
      <c r="A8978" s="49">
        <v>45115.52272565972</v>
      </c>
      <c r="B8978" s="50">
        <v>45115.6476858217</v>
      </c>
      <c r="C8978" s="51">
        <v>0.999</v>
      </c>
      <c r="D8978" s="51">
        <v>70.0</v>
      </c>
      <c r="E8978" s="52" t="s">
        <v>25</v>
      </c>
      <c r="F8978" s="52" t="s">
        <v>26</v>
      </c>
      <c r="G8978" s="54"/>
    </row>
    <row r="8979">
      <c r="A8979" s="49">
        <v>45115.53314810185</v>
      </c>
      <c r="B8979" s="50">
        <v>45115.658109074</v>
      </c>
      <c r="C8979" s="51">
        <v>0.999</v>
      </c>
      <c r="D8979" s="51">
        <v>70.0</v>
      </c>
      <c r="E8979" s="52" t="s">
        <v>25</v>
      </c>
      <c r="F8979" s="52" t="s">
        <v>26</v>
      </c>
      <c r="G8979" s="54"/>
    </row>
    <row r="8980">
      <c r="A8980" s="49">
        <v>45115.54357204861</v>
      </c>
      <c r="B8980" s="50">
        <v>45115.6685311574</v>
      </c>
      <c r="C8980" s="51">
        <v>0.999</v>
      </c>
      <c r="D8980" s="51">
        <v>70.0</v>
      </c>
      <c r="E8980" s="52" t="s">
        <v>25</v>
      </c>
      <c r="F8980" s="52" t="s">
        <v>26</v>
      </c>
      <c r="G8980" s="54"/>
    </row>
    <row r="8981">
      <c r="A8981" s="49">
        <v>45115.553996030096</v>
      </c>
      <c r="B8981" s="50">
        <v>45115.678964456</v>
      </c>
      <c r="C8981" s="51">
        <v>0.999</v>
      </c>
      <c r="D8981" s="51">
        <v>70.0</v>
      </c>
      <c r="E8981" s="52" t="s">
        <v>25</v>
      </c>
      <c r="F8981" s="52" t="s">
        <v>26</v>
      </c>
      <c r="G8981" s="54"/>
    </row>
    <row r="8982">
      <c r="A8982" s="49">
        <v>45115.564432326384</v>
      </c>
      <c r="B8982" s="50">
        <v>45115.6893865162</v>
      </c>
      <c r="C8982" s="51">
        <v>0.999</v>
      </c>
      <c r="D8982" s="51">
        <v>70.0</v>
      </c>
      <c r="E8982" s="52" t="s">
        <v>25</v>
      </c>
      <c r="F8982" s="52" t="s">
        <v>26</v>
      </c>
      <c r="G8982" s="54"/>
    </row>
    <row r="8983">
      <c r="A8983" s="49">
        <v>45115.57486445602</v>
      </c>
      <c r="B8983" s="50">
        <v>45115.6998077083</v>
      </c>
      <c r="C8983" s="51">
        <v>0.999</v>
      </c>
      <c r="D8983" s="51">
        <v>70.0</v>
      </c>
      <c r="E8983" s="52" t="s">
        <v>25</v>
      </c>
      <c r="F8983" s="52" t="s">
        <v>26</v>
      </c>
      <c r="G8983" s="54"/>
    </row>
    <row r="8984">
      <c r="A8984" s="49">
        <v>45115.58526391204</v>
      </c>
      <c r="B8984" s="50">
        <v>45115.7102292824</v>
      </c>
      <c r="C8984" s="51">
        <v>0.999</v>
      </c>
      <c r="D8984" s="51">
        <v>70.0</v>
      </c>
      <c r="E8984" s="52" t="s">
        <v>25</v>
      </c>
      <c r="F8984" s="52" t="s">
        <v>26</v>
      </c>
      <c r="G8984" s="54"/>
    </row>
    <row r="8985">
      <c r="A8985" s="49">
        <v>45115.59571098379</v>
      </c>
      <c r="B8985" s="50">
        <v>45115.7206740393</v>
      </c>
      <c r="C8985" s="51">
        <v>0.999</v>
      </c>
      <c r="D8985" s="51">
        <v>70.0</v>
      </c>
      <c r="E8985" s="52" t="s">
        <v>25</v>
      </c>
      <c r="F8985" s="52" t="s">
        <v>26</v>
      </c>
      <c r="G8985" s="54"/>
    </row>
    <row r="8986">
      <c r="A8986" s="49">
        <v>45115.60614030092</v>
      </c>
      <c r="B8986" s="50">
        <v>45115.7310951967</v>
      </c>
      <c r="C8986" s="51">
        <v>0.999</v>
      </c>
      <c r="D8986" s="51">
        <v>70.0</v>
      </c>
      <c r="E8986" s="52" t="s">
        <v>25</v>
      </c>
      <c r="F8986" s="52" t="s">
        <v>26</v>
      </c>
      <c r="G8986" s="54"/>
    </row>
    <row r="8987">
      <c r="A8987" s="49">
        <v>45115.61655202546</v>
      </c>
      <c r="B8987" s="50">
        <v>45115.7415158912</v>
      </c>
      <c r="C8987" s="51">
        <v>1.0</v>
      </c>
      <c r="D8987" s="51">
        <v>70.0</v>
      </c>
      <c r="E8987" s="52" t="s">
        <v>25</v>
      </c>
      <c r="F8987" s="52" t="s">
        <v>26</v>
      </c>
      <c r="G8987" s="54"/>
    </row>
    <row r="8988">
      <c r="A8988" s="49">
        <v>45115.62696958333</v>
      </c>
      <c r="B8988" s="50">
        <v>45115.7519365625</v>
      </c>
      <c r="C8988" s="51">
        <v>0.999</v>
      </c>
      <c r="D8988" s="51">
        <v>70.0</v>
      </c>
      <c r="E8988" s="52" t="s">
        <v>25</v>
      </c>
      <c r="F8988" s="52" t="s">
        <v>26</v>
      </c>
      <c r="G8988" s="54"/>
    </row>
    <row r="8989">
      <c r="A8989" s="49">
        <v>45115.637398680556</v>
      </c>
      <c r="B8989" s="50">
        <v>45115.7623573842</v>
      </c>
      <c r="C8989" s="51">
        <v>0.999</v>
      </c>
      <c r="D8989" s="51">
        <v>70.0</v>
      </c>
      <c r="E8989" s="52" t="s">
        <v>25</v>
      </c>
      <c r="F8989" s="52" t="s">
        <v>26</v>
      </c>
      <c r="G8989" s="54"/>
    </row>
    <row r="8990">
      <c r="A8990" s="49">
        <v>45115.6478287037</v>
      </c>
      <c r="B8990" s="50">
        <v>45115.7727910416</v>
      </c>
      <c r="C8990" s="51">
        <v>0.999</v>
      </c>
      <c r="D8990" s="51">
        <v>70.0</v>
      </c>
      <c r="E8990" s="52" t="s">
        <v>25</v>
      </c>
      <c r="F8990" s="52" t="s">
        <v>26</v>
      </c>
      <c r="G8990" s="54"/>
    </row>
    <row r="8991">
      <c r="A8991" s="49">
        <v>45115.658250810186</v>
      </c>
      <c r="B8991" s="50">
        <v>45115.7832206944</v>
      </c>
      <c r="C8991" s="51">
        <v>0.999</v>
      </c>
      <c r="D8991" s="51">
        <v>70.0</v>
      </c>
      <c r="E8991" s="52" t="s">
        <v>25</v>
      </c>
      <c r="F8991" s="52" t="s">
        <v>26</v>
      </c>
      <c r="G8991" s="54"/>
    </row>
    <row r="8992">
      <c r="A8992" s="49">
        <v>45115.66868928241</v>
      </c>
      <c r="B8992" s="50">
        <v>45115.7936529282</v>
      </c>
      <c r="C8992" s="51">
        <v>0.999</v>
      </c>
      <c r="D8992" s="51">
        <v>70.0</v>
      </c>
      <c r="E8992" s="52" t="s">
        <v>25</v>
      </c>
      <c r="F8992" s="52" t="s">
        <v>26</v>
      </c>
      <c r="G8992" s="54"/>
    </row>
    <row r="8993">
      <c r="A8993" s="49">
        <v>45115.6791289699</v>
      </c>
      <c r="B8993" s="50">
        <v>45115.8040859722</v>
      </c>
      <c r="C8993" s="51">
        <v>0.999</v>
      </c>
      <c r="D8993" s="51">
        <v>70.0</v>
      </c>
      <c r="E8993" s="52" t="s">
        <v>25</v>
      </c>
      <c r="F8993" s="52" t="s">
        <v>26</v>
      </c>
      <c r="G8993" s="54"/>
    </row>
    <row r="8994">
      <c r="A8994" s="49">
        <v>45115.68954520833</v>
      </c>
      <c r="B8994" s="50">
        <v>45115.8145080555</v>
      </c>
      <c r="C8994" s="51">
        <v>0.999</v>
      </c>
      <c r="D8994" s="51">
        <v>70.0</v>
      </c>
      <c r="E8994" s="52" t="s">
        <v>25</v>
      </c>
      <c r="F8994" s="52" t="s">
        <v>26</v>
      </c>
      <c r="G8994" s="54"/>
    </row>
    <row r="8995">
      <c r="A8995" s="49">
        <v>45115.699956365745</v>
      </c>
      <c r="B8995" s="50">
        <v>45115.8249297222</v>
      </c>
      <c r="C8995" s="51">
        <v>0.999</v>
      </c>
      <c r="D8995" s="51">
        <v>70.0</v>
      </c>
      <c r="E8995" s="52" t="s">
        <v>25</v>
      </c>
      <c r="F8995" s="52" t="s">
        <v>26</v>
      </c>
      <c r="G8995" s="54"/>
    </row>
    <row r="8996">
      <c r="A8996" s="49">
        <v>45115.71038481481</v>
      </c>
      <c r="B8996" s="50">
        <v>45115.8353624305</v>
      </c>
      <c r="C8996" s="51">
        <v>0.999</v>
      </c>
      <c r="D8996" s="51">
        <v>70.0</v>
      </c>
      <c r="E8996" s="52" t="s">
        <v>25</v>
      </c>
      <c r="F8996" s="52" t="s">
        <v>26</v>
      </c>
      <c r="G8996" s="54"/>
    </row>
    <row r="8997">
      <c r="A8997" s="49">
        <v>45115.72080643519</v>
      </c>
      <c r="B8997" s="50">
        <v>45115.8457845023</v>
      </c>
      <c r="C8997" s="51">
        <v>0.999</v>
      </c>
      <c r="D8997" s="51">
        <v>70.0</v>
      </c>
      <c r="E8997" s="52" t="s">
        <v>25</v>
      </c>
      <c r="F8997" s="52" t="s">
        <v>26</v>
      </c>
      <c r="G8997" s="54"/>
    </row>
    <row r="8998">
      <c r="A8998" s="49">
        <v>45115.73124126157</v>
      </c>
      <c r="B8998" s="50">
        <v>45115.8562173032</v>
      </c>
      <c r="C8998" s="51">
        <v>0.999</v>
      </c>
      <c r="D8998" s="51">
        <v>70.0</v>
      </c>
      <c r="E8998" s="52" t="s">
        <v>25</v>
      </c>
      <c r="F8998" s="52" t="s">
        <v>26</v>
      </c>
      <c r="G8998" s="54"/>
    </row>
    <row r="8999">
      <c r="A8999" s="49">
        <v>45115.74165953704</v>
      </c>
      <c r="B8999" s="50">
        <v>45115.8666397106</v>
      </c>
      <c r="C8999" s="51">
        <v>0.999</v>
      </c>
      <c r="D8999" s="51">
        <v>70.0</v>
      </c>
      <c r="E8999" s="52" t="s">
        <v>25</v>
      </c>
      <c r="F8999" s="52" t="s">
        <v>26</v>
      </c>
      <c r="G8999" s="54"/>
    </row>
    <row r="9000">
      <c r="A9000" s="49">
        <v>45115.75208571759</v>
      </c>
      <c r="B9000" s="50">
        <v>45115.8770609606</v>
      </c>
      <c r="C9000" s="51">
        <v>0.999</v>
      </c>
      <c r="D9000" s="51">
        <v>70.0</v>
      </c>
      <c r="E9000" s="52" t="s">
        <v>25</v>
      </c>
      <c r="F9000" s="52" t="s">
        <v>26</v>
      </c>
      <c r="G9000" s="54"/>
    </row>
    <row r="9001">
      <c r="A9001" s="49">
        <v>45115.76251983797</v>
      </c>
      <c r="B9001" s="50">
        <v>45115.887492581</v>
      </c>
      <c r="C9001" s="51">
        <v>0.999</v>
      </c>
      <c r="D9001" s="51">
        <v>70.0</v>
      </c>
      <c r="E9001" s="52" t="s">
        <v>25</v>
      </c>
      <c r="F9001" s="52" t="s">
        <v>26</v>
      </c>
      <c r="G9001" s="54"/>
    </row>
    <row r="9002">
      <c r="A9002" s="49">
        <v>45115.77296043982</v>
      </c>
      <c r="B9002" s="50">
        <v>45115.8979262152</v>
      </c>
      <c r="C9002" s="51">
        <v>0.999</v>
      </c>
      <c r="D9002" s="51">
        <v>70.0</v>
      </c>
      <c r="E9002" s="52" t="s">
        <v>25</v>
      </c>
      <c r="F9002" s="52" t="s">
        <v>26</v>
      </c>
      <c r="G9002" s="54"/>
    </row>
    <row r="9003">
      <c r="A9003" s="49">
        <v>45115.78336638889</v>
      </c>
      <c r="B9003" s="50">
        <v>45115.90834625</v>
      </c>
      <c r="C9003" s="51">
        <v>0.999</v>
      </c>
      <c r="D9003" s="51">
        <v>70.0</v>
      </c>
      <c r="E9003" s="52" t="s">
        <v>25</v>
      </c>
      <c r="F9003" s="52" t="s">
        <v>26</v>
      </c>
      <c r="G9003" s="54"/>
    </row>
    <row r="9004">
      <c r="A9004" s="49">
        <v>45115.79379733796</v>
      </c>
      <c r="B9004" s="50">
        <v>45115.9187657523</v>
      </c>
      <c r="C9004" s="51">
        <v>0.999</v>
      </c>
      <c r="D9004" s="51">
        <v>70.0</v>
      </c>
      <c r="E9004" s="52" t="s">
        <v>25</v>
      </c>
      <c r="F9004" s="52" t="s">
        <v>26</v>
      </c>
      <c r="G9004" s="54"/>
    </row>
    <row r="9005">
      <c r="A9005" s="49">
        <v>45115.80422638889</v>
      </c>
      <c r="B9005" s="50">
        <v>45115.9291999305</v>
      </c>
      <c r="C9005" s="51">
        <v>0.999</v>
      </c>
      <c r="D9005" s="51">
        <v>70.0</v>
      </c>
      <c r="E9005" s="52" t="s">
        <v>25</v>
      </c>
      <c r="F9005" s="52" t="s">
        <v>26</v>
      </c>
      <c r="G9005" s="54"/>
    </row>
    <row r="9006">
      <c r="A9006" s="49">
        <v>45115.814652719906</v>
      </c>
      <c r="B9006" s="50">
        <v>45115.9396218981</v>
      </c>
      <c r="C9006" s="51">
        <v>0.999</v>
      </c>
      <c r="D9006" s="51">
        <v>70.0</v>
      </c>
      <c r="E9006" s="52" t="s">
        <v>25</v>
      </c>
      <c r="F9006" s="52" t="s">
        <v>26</v>
      </c>
      <c r="G9006" s="54"/>
    </row>
    <row r="9007">
      <c r="A9007" s="49">
        <v>45115.82507212963</v>
      </c>
      <c r="B9007" s="50">
        <v>45115.9500413078</v>
      </c>
      <c r="C9007" s="51">
        <v>0.999</v>
      </c>
      <c r="D9007" s="51">
        <v>70.0</v>
      </c>
      <c r="E9007" s="52" t="s">
        <v>25</v>
      </c>
      <c r="F9007" s="52" t="s">
        <v>26</v>
      </c>
      <c r="G9007" s="54"/>
    </row>
    <row r="9008">
      <c r="A9008" s="49">
        <v>45115.83548951389</v>
      </c>
      <c r="B9008" s="50">
        <v>45115.9604610416</v>
      </c>
      <c r="C9008" s="51">
        <v>0.999</v>
      </c>
      <c r="D9008" s="51">
        <v>70.0</v>
      </c>
      <c r="E9008" s="52" t="s">
        <v>25</v>
      </c>
      <c r="F9008" s="52" t="s">
        <v>26</v>
      </c>
      <c r="G9008" s="54"/>
    </row>
    <row r="9009">
      <c r="A9009" s="49">
        <v>45115.845926319445</v>
      </c>
      <c r="B9009" s="50">
        <v>45115.9708932407</v>
      </c>
      <c r="C9009" s="51">
        <v>0.999</v>
      </c>
      <c r="D9009" s="51">
        <v>70.0</v>
      </c>
      <c r="E9009" s="52" t="s">
        <v>25</v>
      </c>
      <c r="F9009" s="52" t="s">
        <v>26</v>
      </c>
      <c r="G9009" s="54"/>
    </row>
    <row r="9010">
      <c r="A9010" s="49">
        <v>45115.85635677083</v>
      </c>
      <c r="B9010" s="50">
        <v>45115.9813256713</v>
      </c>
      <c r="C9010" s="51">
        <v>0.999</v>
      </c>
      <c r="D9010" s="51">
        <v>70.0</v>
      </c>
      <c r="E9010" s="52" t="s">
        <v>25</v>
      </c>
      <c r="F9010" s="52" t="s">
        <v>26</v>
      </c>
      <c r="G9010" s="54"/>
    </row>
    <row r="9011">
      <c r="A9011" s="49">
        <v>45115.86678532408</v>
      </c>
      <c r="B9011" s="50">
        <v>45115.9917582291</v>
      </c>
      <c r="C9011" s="51">
        <v>0.999</v>
      </c>
      <c r="D9011" s="51">
        <v>70.0</v>
      </c>
      <c r="E9011" s="52" t="s">
        <v>25</v>
      </c>
      <c r="F9011" s="52" t="s">
        <v>26</v>
      </c>
      <c r="G9011" s="54"/>
    </row>
    <row r="9012">
      <c r="A9012" s="49">
        <v>45115.87722267361</v>
      </c>
      <c r="B9012" s="50">
        <v>45116.0021901851</v>
      </c>
      <c r="C9012" s="51">
        <v>0.999</v>
      </c>
      <c r="D9012" s="51">
        <v>70.0</v>
      </c>
      <c r="E9012" s="52" t="s">
        <v>25</v>
      </c>
      <c r="F9012" s="52" t="s">
        <v>26</v>
      </c>
      <c r="G9012" s="54"/>
    </row>
    <row r="9013">
      <c r="A9013" s="49">
        <v>45115.887645532406</v>
      </c>
      <c r="B9013" s="50">
        <v>45116.012623912</v>
      </c>
      <c r="C9013" s="51">
        <v>0.999</v>
      </c>
      <c r="D9013" s="51">
        <v>70.0</v>
      </c>
      <c r="E9013" s="52" t="s">
        <v>25</v>
      </c>
      <c r="F9013" s="52" t="s">
        <v>26</v>
      </c>
      <c r="G9013" s="54"/>
    </row>
    <row r="9014">
      <c r="A9014" s="49">
        <v>45115.89807144676</v>
      </c>
      <c r="B9014" s="50">
        <v>45116.0230453356</v>
      </c>
      <c r="C9014" s="51">
        <v>0.999</v>
      </c>
      <c r="D9014" s="51">
        <v>70.0</v>
      </c>
      <c r="E9014" s="52" t="s">
        <v>25</v>
      </c>
      <c r="F9014" s="52" t="s">
        <v>26</v>
      </c>
      <c r="G9014" s="54"/>
    </row>
    <row r="9015">
      <c r="A9015" s="49">
        <v>45115.90849592593</v>
      </c>
      <c r="B9015" s="50">
        <v>45116.0334665046</v>
      </c>
      <c r="C9015" s="51">
        <v>0.999</v>
      </c>
      <c r="D9015" s="51">
        <v>70.0</v>
      </c>
      <c r="E9015" s="52" t="s">
        <v>25</v>
      </c>
      <c r="F9015" s="52" t="s">
        <v>26</v>
      </c>
      <c r="G9015" s="54"/>
    </row>
    <row r="9016">
      <c r="A9016" s="49">
        <v>45115.91890752315</v>
      </c>
      <c r="B9016" s="50">
        <v>45116.0438870949</v>
      </c>
      <c r="C9016" s="51">
        <v>0.999</v>
      </c>
      <c r="D9016" s="51">
        <v>70.0</v>
      </c>
      <c r="E9016" s="52" t="s">
        <v>25</v>
      </c>
      <c r="F9016" s="52" t="s">
        <v>26</v>
      </c>
      <c r="G9016" s="54"/>
    </row>
    <row r="9017">
      <c r="A9017" s="49">
        <v>45115.92933378472</v>
      </c>
      <c r="B9017" s="50">
        <v>45116.0543078125</v>
      </c>
      <c r="C9017" s="51">
        <v>0.999</v>
      </c>
      <c r="D9017" s="51">
        <v>70.0</v>
      </c>
      <c r="E9017" s="52" t="s">
        <v>25</v>
      </c>
      <c r="F9017" s="52" t="s">
        <v>26</v>
      </c>
      <c r="G9017" s="54"/>
    </row>
    <row r="9018">
      <c r="A9018" s="49">
        <v>45115.93975550926</v>
      </c>
      <c r="B9018" s="50">
        <v>45116.0647290277</v>
      </c>
      <c r="C9018" s="51">
        <v>0.999</v>
      </c>
      <c r="D9018" s="51">
        <v>70.0</v>
      </c>
      <c r="E9018" s="52" t="s">
        <v>25</v>
      </c>
      <c r="F9018" s="52" t="s">
        <v>26</v>
      </c>
      <c r="G9018" s="54"/>
    </row>
    <row r="9019">
      <c r="A9019" s="49">
        <v>45115.95017144676</v>
      </c>
      <c r="B9019" s="50">
        <v>45116.0751497222</v>
      </c>
      <c r="C9019" s="51">
        <v>0.999</v>
      </c>
      <c r="D9019" s="51">
        <v>70.0</v>
      </c>
      <c r="E9019" s="52" t="s">
        <v>25</v>
      </c>
      <c r="F9019" s="52" t="s">
        <v>26</v>
      </c>
      <c r="G9019" s="54"/>
    </row>
    <row r="9020">
      <c r="A9020" s="49">
        <v>45115.96059351852</v>
      </c>
      <c r="B9020" s="50">
        <v>45116.0855719213</v>
      </c>
      <c r="C9020" s="51">
        <v>0.999</v>
      </c>
      <c r="D9020" s="51">
        <v>70.0</v>
      </c>
      <c r="E9020" s="52" t="s">
        <v>25</v>
      </c>
      <c r="F9020" s="52" t="s">
        <v>26</v>
      </c>
      <c r="G9020" s="54"/>
    </row>
    <row r="9021">
      <c r="A9021" s="49">
        <v>45115.97103002315</v>
      </c>
      <c r="B9021" s="50">
        <v>45116.0960051504</v>
      </c>
      <c r="C9021" s="51">
        <v>0.999</v>
      </c>
      <c r="D9021" s="51">
        <v>70.0</v>
      </c>
      <c r="E9021" s="52" t="s">
        <v>25</v>
      </c>
      <c r="F9021" s="52" t="s">
        <v>26</v>
      </c>
      <c r="G9021" s="54"/>
    </row>
    <row r="9022">
      <c r="A9022" s="49">
        <v>45115.98145247685</v>
      </c>
      <c r="B9022" s="50">
        <v>45116.106425949</v>
      </c>
      <c r="C9022" s="51">
        <v>0.999</v>
      </c>
      <c r="D9022" s="51">
        <v>70.0</v>
      </c>
      <c r="E9022" s="52" t="s">
        <v>25</v>
      </c>
      <c r="F9022" s="52" t="s">
        <v>26</v>
      </c>
      <c r="G9022" s="54"/>
    </row>
    <row r="9023">
      <c r="A9023" s="49">
        <v>45115.9918741088</v>
      </c>
      <c r="B9023" s="50">
        <v>45116.1168454282</v>
      </c>
      <c r="C9023" s="51">
        <v>0.999</v>
      </c>
      <c r="D9023" s="51">
        <v>70.0</v>
      </c>
      <c r="E9023" s="52" t="s">
        <v>25</v>
      </c>
      <c r="F9023" s="52" t="s">
        <v>26</v>
      </c>
      <c r="G9023" s="54"/>
    </row>
    <row r="9024">
      <c r="A9024" s="49">
        <v>45116.00230194445</v>
      </c>
      <c r="B9024" s="50">
        <v>45116.1272683449</v>
      </c>
      <c r="C9024" s="51">
        <v>0.999</v>
      </c>
      <c r="D9024" s="51">
        <v>70.0</v>
      </c>
      <c r="E9024" s="52" t="s">
        <v>25</v>
      </c>
      <c r="F9024" s="52" t="s">
        <v>26</v>
      </c>
      <c r="G9024" s="54"/>
    </row>
    <row r="9025">
      <c r="A9025" s="49">
        <v>45116.01274304398</v>
      </c>
      <c r="B9025" s="50">
        <v>45116.1377126157</v>
      </c>
      <c r="C9025" s="51">
        <v>0.999</v>
      </c>
      <c r="D9025" s="51">
        <v>70.0</v>
      </c>
      <c r="E9025" s="52" t="s">
        <v>25</v>
      </c>
      <c r="F9025" s="52" t="s">
        <v>26</v>
      </c>
      <c r="G9025" s="54"/>
    </row>
    <row r="9026">
      <c r="A9026" s="49">
        <v>45116.02318870371</v>
      </c>
      <c r="B9026" s="50">
        <v>45116.1481577083</v>
      </c>
      <c r="C9026" s="51">
        <v>0.999</v>
      </c>
      <c r="D9026" s="51">
        <v>70.0</v>
      </c>
      <c r="E9026" s="52" t="s">
        <v>25</v>
      </c>
      <c r="F9026" s="52" t="s">
        <v>26</v>
      </c>
      <c r="G9026" s="54"/>
    </row>
    <row r="9027">
      <c r="A9027" s="49">
        <v>45116.03360733796</v>
      </c>
      <c r="B9027" s="50">
        <v>45116.158580949</v>
      </c>
      <c r="C9027" s="51">
        <v>0.999</v>
      </c>
      <c r="D9027" s="51">
        <v>70.0</v>
      </c>
      <c r="E9027" s="52" t="s">
        <v>25</v>
      </c>
      <c r="F9027" s="52" t="s">
        <v>26</v>
      </c>
      <c r="G9027" s="54"/>
    </row>
    <row r="9028">
      <c r="A9028" s="49">
        <v>45116.04403225695</v>
      </c>
      <c r="B9028" s="50">
        <v>45116.1690010995</v>
      </c>
      <c r="C9028" s="51">
        <v>0.999</v>
      </c>
      <c r="D9028" s="51">
        <v>70.0</v>
      </c>
      <c r="E9028" s="52" t="s">
        <v>25</v>
      </c>
      <c r="F9028" s="52" t="s">
        <v>26</v>
      </c>
      <c r="G9028" s="54"/>
    </row>
    <row r="9029">
      <c r="A9029" s="49">
        <v>45116.05445215278</v>
      </c>
      <c r="B9029" s="50">
        <v>45116.1794235995</v>
      </c>
      <c r="C9029" s="51">
        <v>0.999</v>
      </c>
      <c r="D9029" s="51">
        <v>70.0</v>
      </c>
      <c r="E9029" s="52" t="s">
        <v>25</v>
      </c>
      <c r="F9029" s="52" t="s">
        <v>26</v>
      </c>
      <c r="G9029" s="54"/>
    </row>
    <row r="9030">
      <c r="A9030" s="49">
        <v>45116.06487138889</v>
      </c>
      <c r="B9030" s="50">
        <v>45116.1898433217</v>
      </c>
      <c r="C9030" s="51">
        <v>0.999</v>
      </c>
      <c r="D9030" s="51">
        <v>70.0</v>
      </c>
      <c r="E9030" s="52" t="s">
        <v>25</v>
      </c>
      <c r="F9030" s="52" t="s">
        <v>26</v>
      </c>
      <c r="G9030" s="54"/>
    </row>
    <row r="9031">
      <c r="A9031" s="49">
        <v>45116.07529512732</v>
      </c>
      <c r="B9031" s="50">
        <v>45116.2002641088</v>
      </c>
      <c r="C9031" s="51">
        <v>0.999</v>
      </c>
      <c r="D9031" s="51">
        <v>70.0</v>
      </c>
      <c r="E9031" s="52" t="s">
        <v>25</v>
      </c>
      <c r="F9031" s="52" t="s">
        <v>26</v>
      </c>
      <c r="G9031" s="54"/>
    </row>
    <row r="9032">
      <c r="A9032" s="49">
        <v>45116.085709039355</v>
      </c>
      <c r="B9032" s="50">
        <v>45116.2106843981</v>
      </c>
      <c r="C9032" s="51">
        <v>0.999</v>
      </c>
      <c r="D9032" s="51">
        <v>70.0</v>
      </c>
      <c r="E9032" s="52" t="s">
        <v>25</v>
      </c>
      <c r="F9032" s="52" t="s">
        <v>26</v>
      </c>
      <c r="G9032" s="54"/>
    </row>
    <row r="9033">
      <c r="A9033" s="49">
        <v>45116.09612876158</v>
      </c>
      <c r="B9033" s="50">
        <v>45116.221105868</v>
      </c>
      <c r="C9033" s="51">
        <v>0.999</v>
      </c>
      <c r="D9033" s="51">
        <v>70.0</v>
      </c>
      <c r="E9033" s="52" t="s">
        <v>25</v>
      </c>
      <c r="F9033" s="52" t="s">
        <v>26</v>
      </c>
      <c r="G9033" s="54"/>
    </row>
    <row r="9034">
      <c r="A9034" s="49">
        <v>45116.106549502314</v>
      </c>
      <c r="B9034" s="50">
        <v>45116.2315296412</v>
      </c>
      <c r="C9034" s="51">
        <v>0.999</v>
      </c>
      <c r="D9034" s="51">
        <v>70.0</v>
      </c>
      <c r="E9034" s="52" t="s">
        <v>25</v>
      </c>
      <c r="F9034" s="52" t="s">
        <v>26</v>
      </c>
      <c r="G9034" s="54"/>
    </row>
    <row r="9035">
      <c r="A9035" s="49">
        <v>45116.11699394676</v>
      </c>
      <c r="B9035" s="50">
        <v>45116.2419619212</v>
      </c>
      <c r="C9035" s="51">
        <v>0.999</v>
      </c>
      <c r="D9035" s="51">
        <v>70.0</v>
      </c>
      <c r="E9035" s="52" t="s">
        <v>25</v>
      </c>
      <c r="F9035" s="52" t="s">
        <v>26</v>
      </c>
      <c r="G9035" s="54"/>
    </row>
    <row r="9036">
      <c r="A9036" s="49">
        <v>45116.12741047454</v>
      </c>
      <c r="B9036" s="50">
        <v>45116.252381875</v>
      </c>
      <c r="C9036" s="51">
        <v>0.999</v>
      </c>
      <c r="D9036" s="51">
        <v>70.0</v>
      </c>
      <c r="E9036" s="52" t="s">
        <v>25</v>
      </c>
      <c r="F9036" s="52" t="s">
        <v>26</v>
      </c>
      <c r="G9036" s="54"/>
    </row>
    <row r="9037">
      <c r="A9037" s="49">
        <v>45116.13782563657</v>
      </c>
      <c r="B9037" s="50">
        <v>45116.2628013425</v>
      </c>
      <c r="C9037" s="51">
        <v>0.999</v>
      </c>
      <c r="D9037" s="51">
        <v>70.0</v>
      </c>
      <c r="E9037" s="52" t="s">
        <v>25</v>
      </c>
      <c r="F9037" s="52" t="s">
        <v>26</v>
      </c>
      <c r="G9037" s="54"/>
    </row>
    <row r="9038">
      <c r="A9038" s="49">
        <v>45116.1482781713</v>
      </c>
      <c r="B9038" s="50">
        <v>45116.2732469213</v>
      </c>
      <c r="C9038" s="51">
        <v>0.999</v>
      </c>
      <c r="D9038" s="51">
        <v>70.0</v>
      </c>
      <c r="E9038" s="52" t="s">
        <v>25</v>
      </c>
      <c r="F9038" s="52" t="s">
        <v>26</v>
      </c>
      <c r="G9038" s="54"/>
    </row>
    <row r="9039">
      <c r="A9039" s="49">
        <v>45116.15869056713</v>
      </c>
      <c r="B9039" s="50">
        <v>45116.2836668634</v>
      </c>
      <c r="C9039" s="51">
        <v>0.999</v>
      </c>
      <c r="D9039" s="51">
        <v>70.0</v>
      </c>
      <c r="E9039" s="52" t="s">
        <v>25</v>
      </c>
      <c r="F9039" s="52" t="s">
        <v>26</v>
      </c>
      <c r="G9039" s="54"/>
    </row>
    <row r="9040">
      <c r="A9040" s="49">
        <v>45116.16911912037</v>
      </c>
      <c r="B9040" s="50">
        <v>45116.2940891319</v>
      </c>
      <c r="C9040" s="51">
        <v>0.999</v>
      </c>
      <c r="D9040" s="51">
        <v>71.0</v>
      </c>
      <c r="E9040" s="52" t="s">
        <v>25</v>
      </c>
      <c r="F9040" s="52" t="s">
        <v>26</v>
      </c>
      <c r="G9040" s="54"/>
    </row>
    <row r="9041">
      <c r="A9041" s="49">
        <v>45116.17953337963</v>
      </c>
      <c r="B9041" s="50">
        <v>45116.3045122338</v>
      </c>
      <c r="C9041" s="51">
        <v>0.999</v>
      </c>
      <c r="D9041" s="51">
        <v>70.0</v>
      </c>
      <c r="E9041" s="52" t="s">
        <v>25</v>
      </c>
      <c r="F9041" s="52" t="s">
        <v>26</v>
      </c>
      <c r="G9041" s="54"/>
    </row>
    <row r="9042">
      <c r="A9042" s="49">
        <v>45116.18996577546</v>
      </c>
      <c r="B9042" s="50">
        <v>45116.3149351157</v>
      </c>
      <c r="C9042" s="51">
        <v>0.999</v>
      </c>
      <c r="D9042" s="51">
        <v>70.0</v>
      </c>
      <c r="E9042" s="52" t="s">
        <v>25</v>
      </c>
      <c r="F9042" s="52" t="s">
        <v>26</v>
      </c>
      <c r="G9042" s="54"/>
    </row>
    <row r="9043">
      <c r="A9043" s="49">
        <v>45116.20037994213</v>
      </c>
      <c r="B9043" s="50">
        <v>45116.325354537</v>
      </c>
      <c r="C9043" s="51">
        <v>0.999</v>
      </c>
      <c r="D9043" s="51">
        <v>70.0</v>
      </c>
      <c r="E9043" s="52" t="s">
        <v>25</v>
      </c>
      <c r="F9043" s="52" t="s">
        <v>26</v>
      </c>
      <c r="G9043" s="54"/>
    </row>
    <row r="9044">
      <c r="A9044" s="49">
        <v>45116.21081967592</v>
      </c>
      <c r="B9044" s="50">
        <v>45116.3357987152</v>
      </c>
      <c r="C9044" s="51">
        <v>0.999</v>
      </c>
      <c r="D9044" s="51">
        <v>70.0</v>
      </c>
      <c r="E9044" s="52" t="s">
        <v>25</v>
      </c>
      <c r="F9044" s="52" t="s">
        <v>26</v>
      </c>
      <c r="G9044" s="54"/>
    </row>
    <row r="9045">
      <c r="A9045" s="49">
        <v>45116.221248773145</v>
      </c>
      <c r="B9045" s="50">
        <v>45116.3462196296</v>
      </c>
      <c r="C9045" s="51">
        <v>0.999</v>
      </c>
      <c r="D9045" s="51">
        <v>70.0</v>
      </c>
      <c r="E9045" s="52" t="s">
        <v>25</v>
      </c>
      <c r="F9045" s="52" t="s">
        <v>26</v>
      </c>
      <c r="G9045" s="54"/>
    </row>
    <row r="9046">
      <c r="A9046" s="49">
        <v>45116.231670532405</v>
      </c>
      <c r="B9046" s="50">
        <v>45116.3566409027</v>
      </c>
      <c r="C9046" s="51">
        <v>0.999</v>
      </c>
      <c r="D9046" s="51">
        <v>70.0</v>
      </c>
      <c r="E9046" s="52" t="s">
        <v>25</v>
      </c>
      <c r="F9046" s="52" t="s">
        <v>26</v>
      </c>
      <c r="G9046" s="54"/>
    </row>
    <row r="9047">
      <c r="A9047" s="49">
        <v>45116.24208578704</v>
      </c>
      <c r="B9047" s="50">
        <v>45116.3670622569</v>
      </c>
      <c r="C9047" s="51">
        <v>0.999</v>
      </c>
      <c r="D9047" s="51">
        <v>70.0</v>
      </c>
      <c r="E9047" s="52" t="s">
        <v>25</v>
      </c>
      <c r="F9047" s="52" t="s">
        <v>26</v>
      </c>
      <c r="G9047" s="54"/>
    </row>
    <row r="9048">
      <c r="A9048" s="49">
        <v>45116.2525150463</v>
      </c>
      <c r="B9048" s="50">
        <v>45116.377482662</v>
      </c>
      <c r="C9048" s="51">
        <v>0.999</v>
      </c>
      <c r="D9048" s="51">
        <v>70.0</v>
      </c>
      <c r="E9048" s="52" t="s">
        <v>25</v>
      </c>
      <c r="F9048" s="52" t="s">
        <v>26</v>
      </c>
      <c r="G9048" s="54"/>
    </row>
    <row r="9049">
      <c r="A9049" s="49">
        <v>45116.26293340277</v>
      </c>
      <c r="B9049" s="50">
        <v>45116.3879045949</v>
      </c>
      <c r="C9049" s="51">
        <v>0.999</v>
      </c>
      <c r="D9049" s="51">
        <v>71.0</v>
      </c>
      <c r="E9049" s="52" t="s">
        <v>25</v>
      </c>
      <c r="F9049" s="52" t="s">
        <v>26</v>
      </c>
      <c r="G9049" s="54"/>
    </row>
    <row r="9050">
      <c r="A9050" s="49">
        <v>45116.273352743054</v>
      </c>
      <c r="B9050" s="50">
        <v>45116.398323831</v>
      </c>
      <c r="C9050" s="51">
        <v>0.999</v>
      </c>
      <c r="D9050" s="51">
        <v>71.0</v>
      </c>
      <c r="E9050" s="52" t="s">
        <v>25</v>
      </c>
      <c r="F9050" s="52" t="s">
        <v>26</v>
      </c>
      <c r="G9050" s="54"/>
    </row>
    <row r="9051">
      <c r="A9051" s="49">
        <v>45116.28377704861</v>
      </c>
      <c r="B9051" s="50">
        <v>45116.4087573263</v>
      </c>
      <c r="C9051" s="51">
        <v>0.999</v>
      </c>
      <c r="D9051" s="51">
        <v>70.0</v>
      </c>
      <c r="E9051" s="52" t="s">
        <v>25</v>
      </c>
      <c r="F9051" s="52" t="s">
        <v>26</v>
      </c>
      <c r="G9051" s="54"/>
    </row>
    <row r="9052">
      <c r="A9052" s="49">
        <v>45116.29421057871</v>
      </c>
      <c r="B9052" s="50">
        <v>45116.4191778703</v>
      </c>
      <c r="C9052" s="51">
        <v>0.999</v>
      </c>
      <c r="D9052" s="51">
        <v>70.0</v>
      </c>
      <c r="E9052" s="52" t="s">
        <v>25</v>
      </c>
      <c r="F9052" s="52" t="s">
        <v>26</v>
      </c>
      <c r="G9052" s="54"/>
    </row>
    <row r="9053">
      <c r="A9053" s="49">
        <v>45116.30462483796</v>
      </c>
      <c r="B9053" s="50">
        <v>45116.4295995486</v>
      </c>
      <c r="C9053" s="51">
        <v>0.999</v>
      </c>
      <c r="D9053" s="51">
        <v>70.0</v>
      </c>
      <c r="E9053" s="52" t="s">
        <v>25</v>
      </c>
      <c r="F9053" s="52" t="s">
        <v>26</v>
      </c>
      <c r="G9053" s="54"/>
    </row>
    <row r="9054">
      <c r="A9054" s="49">
        <v>45116.31504396991</v>
      </c>
      <c r="B9054" s="50">
        <v>45116.4400223379</v>
      </c>
      <c r="C9054" s="51">
        <v>0.999</v>
      </c>
      <c r="D9054" s="51">
        <v>70.0</v>
      </c>
      <c r="E9054" s="52" t="s">
        <v>25</v>
      </c>
      <c r="F9054" s="52" t="s">
        <v>26</v>
      </c>
      <c r="G9054" s="54"/>
    </row>
    <row r="9055">
      <c r="A9055" s="49">
        <v>45116.32547055556</v>
      </c>
      <c r="B9055" s="50">
        <v>45116.4504421643</v>
      </c>
      <c r="C9055" s="51">
        <v>0.999</v>
      </c>
      <c r="D9055" s="51">
        <v>70.0</v>
      </c>
      <c r="E9055" s="52" t="s">
        <v>25</v>
      </c>
      <c r="F9055" s="52" t="s">
        <v>26</v>
      </c>
      <c r="G9055" s="54"/>
    </row>
    <row r="9056">
      <c r="A9056" s="49">
        <v>45116.33589459491</v>
      </c>
      <c r="B9056" s="50">
        <v>45116.4608627314</v>
      </c>
      <c r="C9056" s="51">
        <v>0.999</v>
      </c>
      <c r="D9056" s="51">
        <v>71.0</v>
      </c>
      <c r="E9056" s="52" t="s">
        <v>25</v>
      </c>
      <c r="F9056" s="52" t="s">
        <v>26</v>
      </c>
      <c r="G9056" s="54"/>
    </row>
    <row r="9057">
      <c r="A9057" s="49">
        <v>45116.346307581014</v>
      </c>
      <c r="B9057" s="50">
        <v>45116.4712839583</v>
      </c>
      <c r="C9057" s="51">
        <v>0.999</v>
      </c>
      <c r="D9057" s="51">
        <v>70.0</v>
      </c>
      <c r="E9057" s="52" t="s">
        <v>25</v>
      </c>
      <c r="F9057" s="52" t="s">
        <v>26</v>
      </c>
      <c r="G9057" s="54"/>
    </row>
    <row r="9058">
      <c r="A9058" s="49">
        <v>45116.356733078705</v>
      </c>
      <c r="B9058" s="50">
        <v>45116.481705868</v>
      </c>
      <c r="C9058" s="51">
        <v>0.999</v>
      </c>
      <c r="D9058" s="51">
        <v>70.0</v>
      </c>
      <c r="E9058" s="52" t="s">
        <v>25</v>
      </c>
      <c r="F9058" s="52" t="s">
        <v>26</v>
      </c>
      <c r="G9058" s="54"/>
    </row>
    <row r="9059">
      <c r="A9059" s="49">
        <v>45116.36714771991</v>
      </c>
      <c r="B9059" s="50">
        <v>45116.4921259837</v>
      </c>
      <c r="C9059" s="51">
        <v>0.999</v>
      </c>
      <c r="D9059" s="51">
        <v>70.0</v>
      </c>
      <c r="E9059" s="52" t="s">
        <v>25</v>
      </c>
      <c r="F9059" s="52" t="s">
        <v>26</v>
      </c>
      <c r="G9059" s="54"/>
    </row>
    <row r="9060">
      <c r="A9060" s="49">
        <v>45116.37757640047</v>
      </c>
      <c r="B9060" s="50">
        <v>45116.5025479629</v>
      </c>
      <c r="C9060" s="51">
        <v>0.999</v>
      </c>
      <c r="D9060" s="51">
        <v>70.0</v>
      </c>
      <c r="E9060" s="52" t="s">
        <v>25</v>
      </c>
      <c r="F9060" s="52" t="s">
        <v>26</v>
      </c>
      <c r="G9060" s="54"/>
    </row>
    <row r="9061">
      <c r="A9061" s="49">
        <v>45116.3880006713</v>
      </c>
      <c r="B9061" s="50">
        <v>45116.5129673842</v>
      </c>
      <c r="C9061" s="51">
        <v>0.999</v>
      </c>
      <c r="D9061" s="51">
        <v>70.0</v>
      </c>
      <c r="E9061" s="52" t="s">
        <v>25</v>
      </c>
      <c r="F9061" s="52" t="s">
        <v>26</v>
      </c>
      <c r="G9061" s="54"/>
    </row>
    <row r="9062">
      <c r="A9062" s="49">
        <v>45116.39841581018</v>
      </c>
      <c r="B9062" s="50">
        <v>45116.5233875115</v>
      </c>
      <c r="C9062" s="51">
        <v>0.999</v>
      </c>
      <c r="D9062" s="51">
        <v>70.0</v>
      </c>
      <c r="E9062" s="52" t="s">
        <v>25</v>
      </c>
      <c r="F9062" s="52" t="s">
        <v>26</v>
      </c>
      <c r="G9062" s="54"/>
    </row>
    <row r="9063">
      <c r="A9063" s="49">
        <v>45116.40884081018</v>
      </c>
      <c r="B9063" s="50">
        <v>45116.5338086805</v>
      </c>
      <c r="C9063" s="51">
        <v>0.999</v>
      </c>
      <c r="D9063" s="51">
        <v>70.0</v>
      </c>
      <c r="E9063" s="52" t="s">
        <v>25</v>
      </c>
      <c r="F9063" s="52" t="s">
        <v>26</v>
      </c>
      <c r="G9063" s="54"/>
    </row>
    <row r="9064">
      <c r="A9064" s="49">
        <v>45116.41926480324</v>
      </c>
      <c r="B9064" s="50">
        <v>45116.54423875</v>
      </c>
      <c r="C9064" s="51">
        <v>0.999</v>
      </c>
      <c r="D9064" s="51">
        <v>70.0</v>
      </c>
      <c r="E9064" s="52" t="s">
        <v>25</v>
      </c>
      <c r="F9064" s="52" t="s">
        <v>26</v>
      </c>
      <c r="G9064" s="54"/>
    </row>
    <row r="9065">
      <c r="A9065" s="49">
        <v>45116.42970359954</v>
      </c>
      <c r="B9065" s="50">
        <v>45116.5546714236</v>
      </c>
      <c r="C9065" s="51">
        <v>0.999</v>
      </c>
      <c r="D9065" s="51">
        <v>70.0</v>
      </c>
      <c r="E9065" s="52" t="s">
        <v>25</v>
      </c>
      <c r="F9065" s="52" t="s">
        <v>26</v>
      </c>
      <c r="G9065" s="54"/>
    </row>
    <row r="9066">
      <c r="A9066" s="49">
        <v>45116.440119363426</v>
      </c>
      <c r="B9066" s="50">
        <v>45116.5650914699</v>
      </c>
      <c r="C9066" s="51">
        <v>0.999</v>
      </c>
      <c r="D9066" s="51">
        <v>70.0</v>
      </c>
      <c r="E9066" s="52" t="s">
        <v>25</v>
      </c>
      <c r="F9066" s="52" t="s">
        <v>26</v>
      </c>
      <c r="G9066" s="54"/>
    </row>
    <row r="9067">
      <c r="A9067" s="49">
        <v>45116.45053545139</v>
      </c>
      <c r="B9067" s="50">
        <v>45116.5755125115</v>
      </c>
      <c r="C9067" s="51">
        <v>0.999</v>
      </c>
      <c r="D9067" s="51">
        <v>70.0</v>
      </c>
      <c r="E9067" s="52" t="s">
        <v>25</v>
      </c>
      <c r="F9067" s="52" t="s">
        <v>26</v>
      </c>
      <c r="G9067" s="54"/>
    </row>
    <row r="9068">
      <c r="A9068" s="49">
        <v>45116.458834386576</v>
      </c>
      <c r="B9068" s="50">
        <v>45116.5837456828</v>
      </c>
      <c r="C9068" s="51">
        <v>0.999</v>
      </c>
      <c r="D9068" s="51">
        <v>70.0</v>
      </c>
      <c r="E9068" s="52" t="s">
        <v>25</v>
      </c>
      <c r="F9068" s="52" t="s">
        <v>26</v>
      </c>
      <c r="G9068" s="54"/>
    </row>
    <row r="9069">
      <c r="A9069" s="49">
        <v>45116.46925381944</v>
      </c>
      <c r="B9069" s="50">
        <v>45116.5941681365</v>
      </c>
      <c r="C9069" s="51">
        <v>0.999</v>
      </c>
      <c r="D9069" s="51">
        <v>70.0</v>
      </c>
      <c r="E9069" s="52" t="s">
        <v>25</v>
      </c>
      <c r="F9069" s="52" t="s">
        <v>26</v>
      </c>
      <c r="G9069" s="54"/>
    </row>
    <row r="9070">
      <c r="A9070" s="49">
        <v>45116.47968380787</v>
      </c>
      <c r="B9070" s="50">
        <v>45116.6046010648</v>
      </c>
      <c r="C9070" s="51">
        <v>0.999</v>
      </c>
      <c r="D9070" s="51">
        <v>70.0</v>
      </c>
      <c r="E9070" s="52" t="s">
        <v>25</v>
      </c>
      <c r="F9070" s="52" t="s">
        <v>26</v>
      </c>
      <c r="G9070" s="54"/>
    </row>
    <row r="9071">
      <c r="A9071" s="49">
        <v>45116.49010589121</v>
      </c>
      <c r="B9071" s="50">
        <v>45116.6150433796</v>
      </c>
      <c r="C9071" s="51">
        <v>0.999</v>
      </c>
      <c r="D9071" s="51">
        <v>70.0</v>
      </c>
      <c r="E9071" s="52" t="s">
        <v>25</v>
      </c>
      <c r="F9071" s="52" t="s">
        <v>26</v>
      </c>
      <c r="G9071" s="54"/>
    </row>
    <row r="9072">
      <c r="A9072" s="49">
        <v>45116.500527083335</v>
      </c>
      <c r="B9072" s="50">
        <v>45116.6254643518</v>
      </c>
      <c r="C9072" s="51">
        <v>0.999</v>
      </c>
      <c r="D9072" s="51">
        <v>70.0</v>
      </c>
      <c r="E9072" s="52" t="s">
        <v>25</v>
      </c>
      <c r="F9072" s="52" t="s">
        <v>26</v>
      </c>
      <c r="G9072" s="54"/>
    </row>
    <row r="9073">
      <c r="A9073" s="49">
        <v>45116.51096346065</v>
      </c>
      <c r="B9073" s="50">
        <v>45116.6358862037</v>
      </c>
      <c r="C9073" s="51">
        <v>0.999</v>
      </c>
      <c r="D9073" s="51">
        <v>70.0</v>
      </c>
      <c r="E9073" s="52" t="s">
        <v>25</v>
      </c>
      <c r="F9073" s="52" t="s">
        <v>26</v>
      </c>
      <c r="G9073" s="54"/>
    </row>
    <row r="9074">
      <c r="A9074" s="49">
        <v>45116.52138090278</v>
      </c>
      <c r="B9074" s="50">
        <v>45116.6463071875</v>
      </c>
      <c r="C9074" s="51">
        <v>0.999</v>
      </c>
      <c r="D9074" s="51">
        <v>70.0</v>
      </c>
      <c r="E9074" s="52" t="s">
        <v>25</v>
      </c>
      <c r="F9074" s="52" t="s">
        <v>26</v>
      </c>
      <c r="G9074" s="54"/>
    </row>
    <row r="9075">
      <c r="A9075" s="49">
        <v>45116.5318175</v>
      </c>
      <c r="B9075" s="50">
        <v>45116.6567626851</v>
      </c>
      <c r="C9075" s="51">
        <v>0.999</v>
      </c>
      <c r="D9075" s="51">
        <v>70.0</v>
      </c>
      <c r="E9075" s="52" t="s">
        <v>25</v>
      </c>
      <c r="F9075" s="52" t="s">
        <v>26</v>
      </c>
      <c r="G9075" s="54"/>
    </row>
    <row r="9076">
      <c r="A9076" s="49">
        <v>45116.54224488426</v>
      </c>
      <c r="B9076" s="50">
        <v>45116.6671830324</v>
      </c>
      <c r="C9076" s="51">
        <v>0.999</v>
      </c>
      <c r="D9076" s="51">
        <v>70.0</v>
      </c>
      <c r="E9076" s="52" t="s">
        <v>25</v>
      </c>
      <c r="F9076" s="52" t="s">
        <v>26</v>
      </c>
      <c r="G9076" s="54"/>
    </row>
    <row r="9077">
      <c r="A9077" s="49">
        <v>45116.55266611111</v>
      </c>
      <c r="B9077" s="50">
        <v>45116.6776027893</v>
      </c>
      <c r="C9077" s="51">
        <v>0.999</v>
      </c>
      <c r="D9077" s="51">
        <v>70.0</v>
      </c>
      <c r="E9077" s="52" t="s">
        <v>25</v>
      </c>
      <c r="F9077" s="52" t="s">
        <v>26</v>
      </c>
      <c r="G9077" s="54"/>
    </row>
    <row r="9078">
      <c r="A9078" s="49">
        <v>45116.56308734954</v>
      </c>
      <c r="B9078" s="50">
        <v>45116.6880233449</v>
      </c>
      <c r="C9078" s="51">
        <v>0.999</v>
      </c>
      <c r="D9078" s="51">
        <v>70.0</v>
      </c>
      <c r="E9078" s="52" t="s">
        <v>25</v>
      </c>
      <c r="F9078" s="52" t="s">
        <v>26</v>
      </c>
      <c r="G9078" s="54"/>
    </row>
    <row r="9079">
      <c r="A9079" s="49">
        <v>45116.573527175926</v>
      </c>
      <c r="B9079" s="50">
        <v>45116.6984564004</v>
      </c>
      <c r="C9079" s="51">
        <v>0.999</v>
      </c>
      <c r="D9079" s="51">
        <v>70.0</v>
      </c>
      <c r="E9079" s="52" t="s">
        <v>25</v>
      </c>
      <c r="F9079" s="52" t="s">
        <v>26</v>
      </c>
      <c r="G9079" s="54"/>
    </row>
    <row r="9080">
      <c r="A9080" s="49">
        <v>45116.58394696759</v>
      </c>
      <c r="B9080" s="50">
        <v>45116.7088901388</v>
      </c>
      <c r="C9080" s="51">
        <v>0.999</v>
      </c>
      <c r="D9080" s="51">
        <v>70.0</v>
      </c>
      <c r="E9080" s="52" t="s">
        <v>25</v>
      </c>
      <c r="F9080" s="52" t="s">
        <v>26</v>
      </c>
      <c r="G9080" s="54"/>
    </row>
    <row r="9081">
      <c r="A9081" s="49">
        <v>45116.59437481481</v>
      </c>
      <c r="B9081" s="50">
        <v>45116.7193462615</v>
      </c>
      <c r="C9081" s="51">
        <v>0.999</v>
      </c>
      <c r="D9081" s="51">
        <v>70.0</v>
      </c>
      <c r="E9081" s="52" t="s">
        <v>25</v>
      </c>
      <c r="F9081" s="52" t="s">
        <v>26</v>
      </c>
      <c r="G9081" s="54"/>
    </row>
    <row r="9082">
      <c r="A9082" s="49">
        <v>45116.604794756946</v>
      </c>
      <c r="B9082" s="50">
        <v>45116.7297688541</v>
      </c>
      <c r="C9082" s="51">
        <v>0.999</v>
      </c>
      <c r="D9082" s="51">
        <v>70.0</v>
      </c>
      <c r="E9082" s="52" t="s">
        <v>25</v>
      </c>
      <c r="F9082" s="52" t="s">
        <v>26</v>
      </c>
      <c r="G9082" s="54"/>
    </row>
    <row r="9083">
      <c r="A9083" s="49">
        <v>45116.61521481481</v>
      </c>
      <c r="B9083" s="50">
        <v>45116.7401903587</v>
      </c>
      <c r="C9083" s="51">
        <v>0.999</v>
      </c>
      <c r="D9083" s="51">
        <v>70.0</v>
      </c>
      <c r="E9083" s="52" t="s">
        <v>25</v>
      </c>
      <c r="F9083" s="52" t="s">
        <v>26</v>
      </c>
      <c r="G9083" s="54"/>
    </row>
    <row r="9084">
      <c r="A9084" s="49">
        <v>45116.62563775463</v>
      </c>
      <c r="B9084" s="50">
        <v>45116.7506115625</v>
      </c>
      <c r="C9084" s="51">
        <v>0.999</v>
      </c>
      <c r="D9084" s="51">
        <v>70.0</v>
      </c>
      <c r="E9084" s="52" t="s">
        <v>25</v>
      </c>
      <c r="F9084" s="52" t="s">
        <v>26</v>
      </c>
      <c r="G9084" s="54"/>
    </row>
    <row r="9085">
      <c r="A9085" s="49">
        <v>45116.63606510416</v>
      </c>
      <c r="B9085" s="50">
        <v>45116.7610325</v>
      </c>
      <c r="C9085" s="51">
        <v>0.999</v>
      </c>
      <c r="D9085" s="51">
        <v>70.0</v>
      </c>
      <c r="E9085" s="52" t="s">
        <v>25</v>
      </c>
      <c r="F9085" s="52" t="s">
        <v>26</v>
      </c>
      <c r="G9085" s="54"/>
    </row>
    <row r="9086">
      <c r="A9086" s="49">
        <v>45116.64648819444</v>
      </c>
      <c r="B9086" s="50">
        <v>45116.7714531018</v>
      </c>
      <c r="C9086" s="51">
        <v>0.999</v>
      </c>
      <c r="D9086" s="51">
        <v>70.0</v>
      </c>
      <c r="E9086" s="52" t="s">
        <v>25</v>
      </c>
      <c r="F9086" s="52" t="s">
        <v>26</v>
      </c>
      <c r="G9086" s="54"/>
    </row>
    <row r="9087">
      <c r="A9087" s="49">
        <v>45116.656917361106</v>
      </c>
      <c r="B9087" s="50">
        <v>45116.7818864351</v>
      </c>
      <c r="C9087" s="51">
        <v>0.999</v>
      </c>
      <c r="D9087" s="51">
        <v>70.0</v>
      </c>
      <c r="E9087" s="52" t="s">
        <v>25</v>
      </c>
      <c r="F9087" s="52" t="s">
        <v>26</v>
      </c>
      <c r="G9087" s="54"/>
    </row>
    <row r="9088">
      <c r="A9088" s="49">
        <v>45116.66733810185</v>
      </c>
      <c r="B9088" s="50">
        <v>45116.7923075578</v>
      </c>
      <c r="C9088" s="51">
        <v>0.999</v>
      </c>
      <c r="D9088" s="51">
        <v>70.0</v>
      </c>
      <c r="E9088" s="52" t="s">
        <v>25</v>
      </c>
      <c r="F9088" s="52" t="s">
        <v>26</v>
      </c>
      <c r="G9088" s="54"/>
    </row>
    <row r="9089">
      <c r="A9089" s="49">
        <v>45116.677756377314</v>
      </c>
      <c r="B9089" s="50">
        <v>45116.8027272569</v>
      </c>
      <c r="C9089" s="51">
        <v>0.999</v>
      </c>
      <c r="D9089" s="51">
        <v>70.0</v>
      </c>
      <c r="E9089" s="52" t="s">
        <v>25</v>
      </c>
      <c r="F9089" s="52" t="s">
        <v>26</v>
      </c>
      <c r="G9089" s="54"/>
    </row>
    <row r="9090">
      <c r="A9090" s="49">
        <v>45116.68818262732</v>
      </c>
      <c r="B9090" s="50">
        <v>45116.8131584027</v>
      </c>
      <c r="C9090" s="51">
        <v>0.999</v>
      </c>
      <c r="D9090" s="51">
        <v>70.0</v>
      </c>
      <c r="E9090" s="52" t="s">
        <v>25</v>
      </c>
      <c r="F9090" s="52" t="s">
        <v>26</v>
      </c>
      <c r="G9090" s="54"/>
    </row>
    <row r="9091">
      <c r="A9091" s="49">
        <v>45116.6986325</v>
      </c>
      <c r="B9091" s="50">
        <v>45116.8236016898</v>
      </c>
      <c r="C9091" s="51">
        <v>0.999</v>
      </c>
      <c r="D9091" s="51">
        <v>70.0</v>
      </c>
      <c r="E9091" s="52" t="s">
        <v>25</v>
      </c>
      <c r="F9091" s="52" t="s">
        <v>26</v>
      </c>
      <c r="G9091" s="54"/>
    </row>
    <row r="9092">
      <c r="A9092" s="49">
        <v>45116.70905188657</v>
      </c>
      <c r="B9092" s="50">
        <v>45116.8340231713</v>
      </c>
      <c r="C9092" s="51">
        <v>0.999</v>
      </c>
      <c r="D9092" s="51">
        <v>70.0</v>
      </c>
      <c r="E9092" s="52" t="s">
        <v>25</v>
      </c>
      <c r="F9092" s="52" t="s">
        <v>26</v>
      </c>
      <c r="G9092" s="54"/>
    </row>
    <row r="9093">
      <c r="A9093" s="49">
        <v>45116.719480810185</v>
      </c>
      <c r="B9093" s="50">
        <v>45116.8444558101</v>
      </c>
      <c r="C9093" s="51">
        <v>0.999</v>
      </c>
      <c r="D9093" s="51">
        <v>70.0</v>
      </c>
      <c r="E9093" s="52" t="s">
        <v>25</v>
      </c>
      <c r="F9093" s="52" t="s">
        <v>26</v>
      </c>
      <c r="G9093" s="54"/>
    </row>
    <row r="9094">
      <c r="A9094" s="49">
        <v>45116.72990607639</v>
      </c>
      <c r="B9094" s="50">
        <v>45116.85487625</v>
      </c>
      <c r="C9094" s="51">
        <v>0.999</v>
      </c>
      <c r="D9094" s="51">
        <v>70.0</v>
      </c>
      <c r="E9094" s="52" t="s">
        <v>25</v>
      </c>
      <c r="F9094" s="52" t="s">
        <v>26</v>
      </c>
      <c r="G9094" s="54"/>
    </row>
    <row r="9095">
      <c r="A9095" s="49">
        <v>45116.740336435185</v>
      </c>
      <c r="B9095" s="50">
        <v>45116.8652971412</v>
      </c>
      <c r="C9095" s="51">
        <v>0.999</v>
      </c>
      <c r="D9095" s="51">
        <v>70.0</v>
      </c>
      <c r="E9095" s="52" t="s">
        <v>25</v>
      </c>
      <c r="F9095" s="52" t="s">
        <v>26</v>
      </c>
      <c r="G9095" s="54"/>
    </row>
    <row r="9096">
      <c r="A9096" s="49">
        <v>45116.750769942126</v>
      </c>
      <c r="B9096" s="50">
        <v>45116.8757170949</v>
      </c>
      <c r="C9096" s="51">
        <v>0.999</v>
      </c>
      <c r="D9096" s="51">
        <v>70.0</v>
      </c>
      <c r="E9096" s="52" t="s">
        <v>25</v>
      </c>
      <c r="F9096" s="52" t="s">
        <v>26</v>
      </c>
      <c r="G9096" s="54"/>
    </row>
    <row r="9097">
      <c r="A9097" s="49">
        <v>45116.76119413195</v>
      </c>
      <c r="B9097" s="50">
        <v>45116.8861495833</v>
      </c>
      <c r="C9097" s="51">
        <v>0.999</v>
      </c>
      <c r="D9097" s="51">
        <v>70.0</v>
      </c>
      <c r="E9097" s="52" t="s">
        <v>25</v>
      </c>
      <c r="F9097" s="52" t="s">
        <v>26</v>
      </c>
      <c r="G9097" s="54"/>
    </row>
    <row r="9098">
      <c r="A9098" s="49">
        <v>45116.7716159375</v>
      </c>
      <c r="B9098" s="50">
        <v>45116.8965837268</v>
      </c>
      <c r="C9098" s="51">
        <v>0.999</v>
      </c>
      <c r="D9098" s="51">
        <v>70.0</v>
      </c>
      <c r="E9098" s="52" t="s">
        <v>25</v>
      </c>
      <c r="F9098" s="52" t="s">
        <v>26</v>
      </c>
      <c r="G9098" s="54"/>
    </row>
    <row r="9099">
      <c r="A9099" s="49">
        <v>45116.78203381944</v>
      </c>
      <c r="B9099" s="50">
        <v>45116.9070046296</v>
      </c>
      <c r="C9099" s="51">
        <v>0.999</v>
      </c>
      <c r="D9099" s="51">
        <v>70.0</v>
      </c>
      <c r="E9099" s="52" t="s">
        <v>25</v>
      </c>
      <c r="F9099" s="52" t="s">
        <v>26</v>
      </c>
      <c r="G9099" s="54"/>
    </row>
    <row r="9100">
      <c r="A9100" s="49">
        <v>45116.79246465278</v>
      </c>
      <c r="B9100" s="50">
        <v>45116.917436956</v>
      </c>
      <c r="C9100" s="51">
        <v>0.999</v>
      </c>
      <c r="D9100" s="51">
        <v>70.0</v>
      </c>
      <c r="E9100" s="52" t="s">
        <v>25</v>
      </c>
      <c r="F9100" s="52" t="s">
        <v>26</v>
      </c>
      <c r="G9100" s="54"/>
    </row>
    <row r="9101">
      <c r="A9101" s="49">
        <v>45116.80288512731</v>
      </c>
      <c r="B9101" s="50">
        <v>45116.9278575231</v>
      </c>
      <c r="C9101" s="51">
        <v>0.999</v>
      </c>
      <c r="D9101" s="51">
        <v>70.0</v>
      </c>
      <c r="E9101" s="52" t="s">
        <v>25</v>
      </c>
      <c r="F9101" s="52" t="s">
        <v>26</v>
      </c>
      <c r="G9101" s="54"/>
    </row>
    <row r="9102">
      <c r="A9102" s="49">
        <v>45116.813306701384</v>
      </c>
      <c r="B9102" s="50">
        <v>45116.9382785648</v>
      </c>
      <c r="C9102" s="51">
        <v>0.999</v>
      </c>
      <c r="D9102" s="51">
        <v>70.0</v>
      </c>
      <c r="E9102" s="52" t="s">
        <v>25</v>
      </c>
      <c r="F9102" s="52" t="s">
        <v>26</v>
      </c>
      <c r="G9102" s="54"/>
    </row>
    <row r="9103">
      <c r="A9103" s="49">
        <v>45116.82373293981</v>
      </c>
      <c r="B9103" s="50">
        <v>45116.9487114814</v>
      </c>
      <c r="C9103" s="51">
        <v>0.999</v>
      </c>
      <c r="D9103" s="51">
        <v>70.0</v>
      </c>
      <c r="E9103" s="52" t="s">
        <v>25</v>
      </c>
      <c r="F9103" s="52" t="s">
        <v>26</v>
      </c>
      <c r="G9103" s="54"/>
    </row>
    <row r="9104">
      <c r="A9104" s="49">
        <v>45116.83416162037</v>
      </c>
      <c r="B9104" s="50">
        <v>45116.9591325347</v>
      </c>
      <c r="C9104" s="51">
        <v>0.999</v>
      </c>
      <c r="D9104" s="51">
        <v>70.0</v>
      </c>
      <c r="E9104" s="52" t="s">
        <v>25</v>
      </c>
      <c r="F9104" s="52" t="s">
        <v>26</v>
      </c>
      <c r="G9104" s="54"/>
    </row>
    <row r="9105">
      <c r="A9105" s="49">
        <v>45116.84457797454</v>
      </c>
      <c r="B9105" s="50">
        <v>45116.9695541666</v>
      </c>
      <c r="C9105" s="51">
        <v>0.999</v>
      </c>
      <c r="D9105" s="51">
        <v>70.0</v>
      </c>
      <c r="E9105" s="52" t="s">
        <v>25</v>
      </c>
      <c r="F9105" s="52" t="s">
        <v>26</v>
      </c>
      <c r="G9105" s="54"/>
    </row>
    <row r="9106">
      <c r="A9106" s="49">
        <v>45116.85500458333</v>
      </c>
      <c r="B9106" s="50">
        <v>45116.9799762847</v>
      </c>
      <c r="C9106" s="51">
        <v>0.999</v>
      </c>
      <c r="D9106" s="51">
        <v>70.0</v>
      </c>
      <c r="E9106" s="52" t="s">
        <v>25</v>
      </c>
      <c r="F9106" s="52" t="s">
        <v>26</v>
      </c>
      <c r="G9106" s="54"/>
    </row>
    <row r="9107">
      <c r="A9107" s="49">
        <v>45116.86543092593</v>
      </c>
      <c r="B9107" s="50">
        <v>45116.9903971064</v>
      </c>
      <c r="C9107" s="51">
        <v>0.999</v>
      </c>
      <c r="D9107" s="51">
        <v>70.0</v>
      </c>
      <c r="E9107" s="52" t="s">
        <v>25</v>
      </c>
      <c r="F9107" s="52" t="s">
        <v>26</v>
      </c>
      <c r="G9107" s="54"/>
    </row>
    <row r="9108">
      <c r="A9108" s="49">
        <v>45116.87584925926</v>
      </c>
      <c r="B9108" s="50">
        <v>45117.0008163541</v>
      </c>
      <c r="C9108" s="51">
        <v>0.999</v>
      </c>
      <c r="D9108" s="51">
        <v>70.0</v>
      </c>
      <c r="E9108" s="52" t="s">
        <v>25</v>
      </c>
      <c r="F9108" s="52" t="s">
        <v>26</v>
      </c>
      <c r="G9108" s="54"/>
    </row>
    <row r="9109">
      <c r="A9109" s="49">
        <v>45116.88627379629</v>
      </c>
      <c r="B9109" s="50">
        <v>45117.0112384143</v>
      </c>
      <c r="C9109" s="51">
        <v>0.999</v>
      </c>
      <c r="D9109" s="51">
        <v>70.0</v>
      </c>
      <c r="E9109" s="52" t="s">
        <v>25</v>
      </c>
      <c r="F9109" s="52" t="s">
        <v>26</v>
      </c>
      <c r="G9109" s="54"/>
    </row>
    <row r="9110">
      <c r="A9110" s="49">
        <v>45116.896714849536</v>
      </c>
      <c r="B9110" s="50">
        <v>45117.0216605902</v>
      </c>
      <c r="C9110" s="51">
        <v>0.999</v>
      </c>
      <c r="D9110" s="51">
        <v>70.0</v>
      </c>
      <c r="E9110" s="52" t="s">
        <v>25</v>
      </c>
      <c r="F9110" s="52" t="s">
        <v>26</v>
      </c>
      <c r="G9110" s="54"/>
    </row>
    <row r="9111">
      <c r="A9111" s="49">
        <v>45116.90713417824</v>
      </c>
      <c r="B9111" s="50">
        <v>45117.0320826388</v>
      </c>
      <c r="C9111" s="51">
        <v>0.999</v>
      </c>
      <c r="D9111" s="51">
        <v>70.0</v>
      </c>
      <c r="E9111" s="52" t="s">
        <v>25</v>
      </c>
      <c r="F9111" s="52" t="s">
        <v>26</v>
      </c>
      <c r="G9111" s="54"/>
    </row>
    <row r="9112">
      <c r="A9112" s="49">
        <v>45116.91756004629</v>
      </c>
      <c r="B9112" s="50">
        <v>45117.0425043865</v>
      </c>
      <c r="C9112" s="51">
        <v>0.999</v>
      </c>
      <c r="D9112" s="51">
        <v>70.0</v>
      </c>
      <c r="E9112" s="52" t="s">
        <v>25</v>
      </c>
      <c r="F9112" s="52" t="s">
        <v>26</v>
      </c>
      <c r="G9112" s="54"/>
    </row>
    <row r="9113">
      <c r="A9113" s="49">
        <v>45116.92797662037</v>
      </c>
      <c r="B9113" s="50">
        <v>45117.0529392708</v>
      </c>
      <c r="C9113" s="51">
        <v>0.999</v>
      </c>
      <c r="D9113" s="51">
        <v>70.0</v>
      </c>
      <c r="E9113" s="52" t="s">
        <v>25</v>
      </c>
      <c r="F9113" s="52" t="s">
        <v>26</v>
      </c>
      <c r="G9113" s="54"/>
    </row>
    <row r="9114">
      <c r="A9114" s="49">
        <v>45116.938395868056</v>
      </c>
      <c r="B9114" s="50">
        <v>45117.0633606713</v>
      </c>
      <c r="C9114" s="51">
        <v>0.999</v>
      </c>
      <c r="D9114" s="51">
        <v>70.0</v>
      </c>
      <c r="E9114" s="52" t="s">
        <v>25</v>
      </c>
      <c r="F9114" s="52" t="s">
        <v>26</v>
      </c>
      <c r="G9114" s="54"/>
    </row>
    <row r="9115">
      <c r="A9115" s="49">
        <v>45116.948850625005</v>
      </c>
      <c r="B9115" s="50">
        <v>45117.0737830787</v>
      </c>
      <c r="C9115" s="51">
        <v>0.999</v>
      </c>
      <c r="D9115" s="51">
        <v>70.0</v>
      </c>
      <c r="E9115" s="52" t="s">
        <v>25</v>
      </c>
      <c r="F9115" s="52" t="s">
        <v>26</v>
      </c>
      <c r="G9115" s="54"/>
    </row>
    <row r="9116">
      <c r="A9116" s="49">
        <v>45116.959286921294</v>
      </c>
      <c r="B9116" s="50">
        <v>45117.084204456</v>
      </c>
      <c r="C9116" s="51">
        <v>0.999</v>
      </c>
      <c r="D9116" s="51">
        <v>70.0</v>
      </c>
      <c r="E9116" s="52" t="s">
        <v>25</v>
      </c>
      <c r="F9116" s="52" t="s">
        <v>26</v>
      </c>
      <c r="G9116" s="54"/>
    </row>
    <row r="9117">
      <c r="A9117" s="49">
        <v>45116.96970148148</v>
      </c>
      <c r="B9117" s="50">
        <v>45117.0946386111</v>
      </c>
      <c r="C9117" s="51">
        <v>0.999</v>
      </c>
      <c r="D9117" s="51">
        <v>70.0</v>
      </c>
      <c r="E9117" s="52" t="s">
        <v>25</v>
      </c>
      <c r="F9117" s="52" t="s">
        <v>26</v>
      </c>
      <c r="G9117" s="54"/>
    </row>
    <row r="9118">
      <c r="A9118" s="49">
        <v>45116.98013391204</v>
      </c>
      <c r="B9118" s="50">
        <v>45117.1050585995</v>
      </c>
      <c r="C9118" s="51">
        <v>0.999</v>
      </c>
      <c r="D9118" s="51">
        <v>70.0</v>
      </c>
      <c r="E9118" s="52" t="s">
        <v>25</v>
      </c>
      <c r="F9118" s="52" t="s">
        <v>26</v>
      </c>
      <c r="G9118" s="54"/>
    </row>
    <row r="9119">
      <c r="A9119" s="49">
        <v>45116.99056611111</v>
      </c>
      <c r="B9119" s="50">
        <v>45117.1154820717</v>
      </c>
      <c r="C9119" s="51">
        <v>0.999</v>
      </c>
      <c r="D9119" s="51">
        <v>70.0</v>
      </c>
      <c r="E9119" s="52" t="s">
        <v>25</v>
      </c>
      <c r="F9119" s="52" t="s">
        <v>26</v>
      </c>
      <c r="G9119" s="54"/>
    </row>
    <row r="9120">
      <c r="A9120" s="49">
        <v>45117.00092883102</v>
      </c>
      <c r="B9120" s="50">
        <v>45117.1259025115</v>
      </c>
      <c r="C9120" s="51">
        <v>0.999</v>
      </c>
      <c r="D9120" s="51">
        <v>70.0</v>
      </c>
      <c r="E9120" s="52" t="s">
        <v>25</v>
      </c>
      <c r="F9120" s="52" t="s">
        <v>26</v>
      </c>
      <c r="G9120" s="54"/>
    </row>
    <row r="9121">
      <c r="A9121" s="49">
        <v>45117.01135188657</v>
      </c>
      <c r="B9121" s="50">
        <v>45117.1363238078</v>
      </c>
      <c r="C9121" s="51">
        <v>0.999</v>
      </c>
      <c r="D9121" s="51">
        <v>70.0</v>
      </c>
      <c r="E9121" s="52" t="s">
        <v>25</v>
      </c>
      <c r="F9121" s="52" t="s">
        <v>26</v>
      </c>
      <c r="G9121" s="54"/>
    </row>
    <row r="9122">
      <c r="A9122" s="49">
        <v>45117.02178672454</v>
      </c>
      <c r="B9122" s="50">
        <v>45117.1467571759</v>
      </c>
      <c r="C9122" s="51">
        <v>0.999</v>
      </c>
      <c r="D9122" s="51">
        <v>70.0</v>
      </c>
      <c r="E9122" s="52" t="s">
        <v>25</v>
      </c>
      <c r="F9122" s="52" t="s">
        <v>26</v>
      </c>
      <c r="G9122" s="54"/>
    </row>
    <row r="9123">
      <c r="A9123" s="49">
        <v>45117.03220421296</v>
      </c>
      <c r="B9123" s="50">
        <v>45117.1571770138</v>
      </c>
      <c r="C9123" s="51">
        <v>0.999</v>
      </c>
      <c r="D9123" s="51">
        <v>70.0</v>
      </c>
      <c r="E9123" s="52" t="s">
        <v>25</v>
      </c>
      <c r="F9123" s="52" t="s">
        <v>26</v>
      </c>
      <c r="G9123" s="54"/>
    </row>
    <row r="9124">
      <c r="A9124" s="49">
        <v>45117.04263045139</v>
      </c>
      <c r="B9124" s="50">
        <v>45117.1675978472</v>
      </c>
      <c r="C9124" s="51">
        <v>0.999</v>
      </c>
      <c r="D9124" s="51">
        <v>70.0</v>
      </c>
      <c r="E9124" s="52" t="s">
        <v>25</v>
      </c>
      <c r="F9124" s="52" t="s">
        <v>26</v>
      </c>
      <c r="G9124" s="54"/>
    </row>
    <row r="9125">
      <c r="A9125" s="49">
        <v>45117.0531246412</v>
      </c>
      <c r="B9125" s="50">
        <v>45117.1780302199</v>
      </c>
      <c r="C9125" s="51">
        <v>0.999</v>
      </c>
      <c r="D9125" s="51">
        <v>70.0</v>
      </c>
      <c r="E9125" s="52" t="s">
        <v>25</v>
      </c>
      <c r="F9125" s="52" t="s">
        <v>26</v>
      </c>
      <c r="G9125" s="54"/>
    </row>
    <row r="9126">
      <c r="A9126" s="49">
        <v>45117.063535625</v>
      </c>
      <c r="B9126" s="50">
        <v>45117.1884500578</v>
      </c>
      <c r="C9126" s="51">
        <v>0.999</v>
      </c>
      <c r="D9126" s="51">
        <v>70.0</v>
      </c>
      <c r="E9126" s="52" t="s">
        <v>25</v>
      </c>
      <c r="F9126" s="52" t="s">
        <v>26</v>
      </c>
      <c r="G9126" s="54"/>
    </row>
    <row r="9127">
      <c r="A9127" s="49">
        <v>45117.07390074074</v>
      </c>
      <c r="B9127" s="50">
        <v>45117.1988709027</v>
      </c>
      <c r="C9127" s="51">
        <v>0.999</v>
      </c>
      <c r="D9127" s="51">
        <v>70.0</v>
      </c>
      <c r="E9127" s="52" t="s">
        <v>25</v>
      </c>
      <c r="F9127" s="52" t="s">
        <v>26</v>
      </c>
      <c r="G9127" s="54"/>
    </row>
    <row r="9128">
      <c r="A9128" s="49">
        <v>45117.08439549769</v>
      </c>
      <c r="B9128" s="50">
        <v>45117.2093284027</v>
      </c>
      <c r="C9128" s="51">
        <v>0.999</v>
      </c>
      <c r="D9128" s="51">
        <v>70.0</v>
      </c>
      <c r="E9128" s="52" t="s">
        <v>25</v>
      </c>
      <c r="F9128" s="52" t="s">
        <v>26</v>
      </c>
      <c r="G9128" s="54"/>
    </row>
    <row r="9129">
      <c r="A9129" s="49">
        <v>45117.094811469906</v>
      </c>
      <c r="B9129" s="50">
        <v>45117.2197717013</v>
      </c>
      <c r="C9129" s="51">
        <v>0.999</v>
      </c>
      <c r="D9129" s="51">
        <v>70.0</v>
      </c>
      <c r="E9129" s="52" t="s">
        <v>25</v>
      </c>
      <c r="F9129" s="52" t="s">
        <v>26</v>
      </c>
      <c r="G9129" s="54"/>
    </row>
    <row r="9130">
      <c r="A9130" s="49">
        <v>45117.105280324075</v>
      </c>
      <c r="B9130" s="50">
        <v>45117.230193287</v>
      </c>
      <c r="C9130" s="51">
        <v>0.999</v>
      </c>
      <c r="D9130" s="51">
        <v>70.0</v>
      </c>
      <c r="E9130" s="52" t="s">
        <v>25</v>
      </c>
      <c r="F9130" s="52" t="s">
        <v>26</v>
      </c>
      <c r="G9130" s="54"/>
    </row>
    <row r="9131">
      <c r="A9131" s="49">
        <v>45117.11567484954</v>
      </c>
      <c r="B9131" s="50">
        <v>45117.2406255902</v>
      </c>
      <c r="C9131" s="51">
        <v>0.999</v>
      </c>
      <c r="D9131" s="51">
        <v>70.0</v>
      </c>
      <c r="E9131" s="52" t="s">
        <v>25</v>
      </c>
      <c r="F9131" s="52" t="s">
        <v>26</v>
      </c>
      <c r="G9131" s="54"/>
    </row>
    <row r="9132">
      <c r="A9132" s="49">
        <v>45117.12611892361</v>
      </c>
      <c r="B9132" s="50">
        <v>45117.2510594328</v>
      </c>
      <c r="C9132" s="51">
        <v>0.999</v>
      </c>
      <c r="D9132" s="51">
        <v>70.0</v>
      </c>
      <c r="E9132" s="52" t="s">
        <v>25</v>
      </c>
      <c r="F9132" s="52" t="s">
        <v>26</v>
      </c>
      <c r="G9132" s="54"/>
    </row>
    <row r="9133">
      <c r="A9133" s="49">
        <v>45117.13653787037</v>
      </c>
      <c r="B9133" s="50">
        <v>45117.2614814351</v>
      </c>
      <c r="C9133" s="51">
        <v>0.999</v>
      </c>
      <c r="D9133" s="51">
        <v>70.0</v>
      </c>
      <c r="E9133" s="52" t="s">
        <v>25</v>
      </c>
      <c r="F9133" s="52" t="s">
        <v>26</v>
      </c>
      <c r="G9133" s="54"/>
    </row>
    <row r="9134">
      <c r="A9134" s="49">
        <v>45117.1469603125</v>
      </c>
      <c r="B9134" s="50">
        <v>45117.2719157754</v>
      </c>
      <c r="C9134" s="51">
        <v>0.999</v>
      </c>
      <c r="D9134" s="51">
        <v>70.0</v>
      </c>
      <c r="E9134" s="52" t="s">
        <v>25</v>
      </c>
      <c r="F9134" s="52" t="s">
        <v>26</v>
      </c>
      <c r="G9134" s="54"/>
    </row>
    <row r="9135">
      <c r="A9135" s="49">
        <v>45117.15738290509</v>
      </c>
      <c r="B9135" s="50">
        <v>45117.2823383217</v>
      </c>
      <c r="C9135" s="51">
        <v>0.999</v>
      </c>
      <c r="D9135" s="51">
        <v>70.0</v>
      </c>
      <c r="E9135" s="52" t="s">
        <v>25</v>
      </c>
      <c r="F9135" s="52" t="s">
        <v>26</v>
      </c>
      <c r="G9135" s="54"/>
    </row>
    <row r="9136">
      <c r="A9136" s="49">
        <v>45117.167803275464</v>
      </c>
      <c r="B9136" s="50">
        <v>45117.2927713773</v>
      </c>
      <c r="C9136" s="51">
        <v>0.999</v>
      </c>
      <c r="D9136" s="51">
        <v>70.0</v>
      </c>
      <c r="E9136" s="52" t="s">
        <v>25</v>
      </c>
      <c r="F9136" s="52" t="s">
        <v>26</v>
      </c>
      <c r="G9136" s="54"/>
    </row>
    <row r="9137">
      <c r="A9137" s="49">
        <v>45117.178219444446</v>
      </c>
      <c r="B9137" s="50">
        <v>45117.3031919444</v>
      </c>
      <c r="C9137" s="51">
        <v>0.999</v>
      </c>
      <c r="D9137" s="51">
        <v>70.0</v>
      </c>
      <c r="E9137" s="52" t="s">
        <v>25</v>
      </c>
      <c r="F9137" s="52" t="s">
        <v>26</v>
      </c>
      <c r="G9137" s="54"/>
    </row>
    <row r="9138">
      <c r="A9138" s="49">
        <v>45117.188640486114</v>
      </c>
      <c r="B9138" s="50">
        <v>45117.3136136111</v>
      </c>
      <c r="C9138" s="51">
        <v>0.999</v>
      </c>
      <c r="D9138" s="51">
        <v>70.0</v>
      </c>
      <c r="E9138" s="52" t="s">
        <v>25</v>
      </c>
      <c r="F9138" s="52" t="s">
        <v>26</v>
      </c>
      <c r="G9138" s="54"/>
    </row>
    <row r="9139">
      <c r="A9139" s="49">
        <v>45117.199067152775</v>
      </c>
      <c r="B9139" s="50">
        <v>45117.3240347338</v>
      </c>
      <c r="C9139" s="51">
        <v>0.999</v>
      </c>
      <c r="D9139" s="51">
        <v>70.0</v>
      </c>
      <c r="E9139" s="52" t="s">
        <v>25</v>
      </c>
      <c r="F9139" s="52" t="s">
        <v>26</v>
      </c>
      <c r="G9139" s="54"/>
    </row>
    <row r="9140">
      <c r="A9140" s="49">
        <v>45117.20950846065</v>
      </c>
      <c r="B9140" s="50">
        <v>45117.3344807291</v>
      </c>
      <c r="C9140" s="51">
        <v>0.999</v>
      </c>
      <c r="D9140" s="51">
        <v>70.0</v>
      </c>
      <c r="E9140" s="52" t="s">
        <v>25</v>
      </c>
      <c r="F9140" s="52" t="s">
        <v>26</v>
      </c>
      <c r="G9140" s="54"/>
    </row>
    <row r="9141">
      <c r="A9141" s="49">
        <v>45117.219929687504</v>
      </c>
      <c r="B9141" s="50">
        <v>45117.3449023611</v>
      </c>
      <c r="C9141" s="51">
        <v>0.999</v>
      </c>
      <c r="D9141" s="51">
        <v>70.0</v>
      </c>
      <c r="E9141" s="52" t="s">
        <v>25</v>
      </c>
      <c r="F9141" s="52" t="s">
        <v>26</v>
      </c>
      <c r="G9141" s="54"/>
    </row>
    <row r="9142">
      <c r="A9142" s="49">
        <v>45117.2303619213</v>
      </c>
      <c r="B9142" s="50">
        <v>45117.3553235069</v>
      </c>
      <c r="C9142" s="51">
        <v>0.999</v>
      </c>
      <c r="D9142" s="51">
        <v>70.0</v>
      </c>
      <c r="E9142" s="52" t="s">
        <v>25</v>
      </c>
      <c r="F9142" s="52" t="s">
        <v>26</v>
      </c>
      <c r="G9142" s="54"/>
    </row>
    <row r="9143">
      <c r="A9143" s="49">
        <v>45117.24076912037</v>
      </c>
      <c r="B9143" s="50">
        <v>45117.3657446875</v>
      </c>
      <c r="C9143" s="51">
        <v>0.999</v>
      </c>
      <c r="D9143" s="51">
        <v>70.0</v>
      </c>
      <c r="E9143" s="52" t="s">
        <v>25</v>
      </c>
      <c r="F9143" s="52" t="s">
        <v>26</v>
      </c>
      <c r="G9143" s="54"/>
    </row>
    <row r="9144">
      <c r="A9144" s="49">
        <v>45117.25120883102</v>
      </c>
      <c r="B9144" s="50">
        <v>45117.3761640509</v>
      </c>
      <c r="C9144" s="51">
        <v>0.999</v>
      </c>
      <c r="D9144" s="51">
        <v>70.0</v>
      </c>
      <c r="E9144" s="52" t="s">
        <v>25</v>
      </c>
      <c r="F9144" s="52" t="s">
        <v>26</v>
      </c>
      <c r="G9144" s="54"/>
    </row>
    <row r="9145">
      <c r="A9145" s="49">
        <v>45117.26173039352</v>
      </c>
      <c r="B9145" s="50">
        <v>45117.3865839236</v>
      </c>
      <c r="C9145" s="51">
        <v>0.999</v>
      </c>
      <c r="D9145" s="51">
        <v>70.0</v>
      </c>
      <c r="E9145" s="52" t="s">
        <v>25</v>
      </c>
      <c r="F9145" s="52" t="s">
        <v>26</v>
      </c>
      <c r="G9145" s="54"/>
    </row>
    <row r="9146">
      <c r="A9146" s="49">
        <v>45117.272031030094</v>
      </c>
      <c r="B9146" s="50">
        <v>45117.3970054513</v>
      </c>
      <c r="C9146" s="51">
        <v>0.999</v>
      </c>
      <c r="D9146" s="51">
        <v>70.0</v>
      </c>
      <c r="E9146" s="52" t="s">
        <v>25</v>
      </c>
      <c r="F9146" s="52" t="s">
        <v>26</v>
      </c>
      <c r="G9146" s="54"/>
    </row>
    <row r="9147">
      <c r="A9147" s="49">
        <v>45117.282455057866</v>
      </c>
      <c r="B9147" s="50">
        <v>45117.4074285532</v>
      </c>
      <c r="C9147" s="51">
        <v>0.999</v>
      </c>
      <c r="D9147" s="51">
        <v>70.0</v>
      </c>
      <c r="E9147" s="52" t="s">
        <v>25</v>
      </c>
      <c r="F9147" s="52" t="s">
        <v>26</v>
      </c>
      <c r="G9147" s="54"/>
    </row>
    <row r="9148">
      <c r="A9148" s="49">
        <v>45117.292885567134</v>
      </c>
      <c r="B9148" s="50">
        <v>45117.4178512615</v>
      </c>
      <c r="C9148" s="51">
        <v>0.999</v>
      </c>
      <c r="D9148" s="51">
        <v>70.0</v>
      </c>
      <c r="E9148" s="52" t="s">
        <v>25</v>
      </c>
      <c r="F9148" s="52" t="s">
        <v>26</v>
      </c>
      <c r="G9148" s="54"/>
    </row>
    <row r="9149">
      <c r="A9149" s="49">
        <v>45117.303300486106</v>
      </c>
      <c r="B9149" s="50">
        <v>45117.4282722106</v>
      </c>
      <c r="C9149" s="51">
        <v>0.999</v>
      </c>
      <c r="D9149" s="51">
        <v>70.0</v>
      </c>
      <c r="E9149" s="52" t="s">
        <v>25</v>
      </c>
      <c r="F9149" s="52" t="s">
        <v>26</v>
      </c>
      <c r="G9149" s="54"/>
    </row>
    <row r="9150">
      <c r="A9150" s="49">
        <v>45117.31372583333</v>
      </c>
      <c r="B9150" s="50">
        <v>45117.4386933912</v>
      </c>
      <c r="C9150" s="51">
        <v>0.999</v>
      </c>
      <c r="D9150" s="51">
        <v>70.0</v>
      </c>
      <c r="E9150" s="52" t="s">
        <v>25</v>
      </c>
      <c r="F9150" s="52" t="s">
        <v>26</v>
      </c>
      <c r="G9150" s="54"/>
    </row>
    <row r="9151">
      <c r="A9151" s="49">
        <v>45117.324143923615</v>
      </c>
      <c r="B9151" s="50">
        <v>45117.4491157754</v>
      </c>
      <c r="C9151" s="51">
        <v>0.999</v>
      </c>
      <c r="D9151" s="51">
        <v>70.0</v>
      </c>
      <c r="E9151" s="52" t="s">
        <v>25</v>
      </c>
      <c r="F9151" s="52" t="s">
        <v>26</v>
      </c>
      <c r="G9151" s="54"/>
    </row>
    <row r="9152">
      <c r="A9152" s="49">
        <v>45117.334575347224</v>
      </c>
      <c r="B9152" s="50">
        <v>45117.4595370254</v>
      </c>
      <c r="C9152" s="51">
        <v>0.999</v>
      </c>
      <c r="D9152" s="51">
        <v>70.0</v>
      </c>
      <c r="E9152" s="52" t="s">
        <v>25</v>
      </c>
      <c r="F9152" s="52" t="s">
        <v>26</v>
      </c>
      <c r="G9152" s="54"/>
    </row>
    <row r="9153">
      <c r="A9153" s="49">
        <v>45117.345027442134</v>
      </c>
      <c r="B9153" s="50">
        <v>45117.4699584722</v>
      </c>
      <c r="C9153" s="51">
        <v>0.999</v>
      </c>
      <c r="D9153" s="51">
        <v>70.0</v>
      </c>
      <c r="E9153" s="52" t="s">
        <v>25</v>
      </c>
      <c r="F9153" s="52" t="s">
        <v>26</v>
      </c>
      <c r="G9153" s="54"/>
    </row>
    <row r="9154">
      <c r="A9154" s="49">
        <v>45117.35543314814</v>
      </c>
      <c r="B9154" s="50">
        <v>45117.4803918287</v>
      </c>
      <c r="C9154" s="51">
        <v>0.999</v>
      </c>
      <c r="D9154" s="51">
        <v>70.0</v>
      </c>
      <c r="E9154" s="52" t="s">
        <v>25</v>
      </c>
      <c r="F9154" s="52" t="s">
        <v>26</v>
      </c>
      <c r="G9154" s="54"/>
    </row>
    <row r="9155">
      <c r="A9155" s="49">
        <v>45117.36585714121</v>
      </c>
      <c r="B9155" s="50">
        <v>45117.4908112615</v>
      </c>
      <c r="C9155" s="51">
        <v>0.999</v>
      </c>
      <c r="D9155" s="51">
        <v>70.0</v>
      </c>
      <c r="E9155" s="52" t="s">
        <v>25</v>
      </c>
      <c r="F9155" s="52" t="s">
        <v>26</v>
      </c>
      <c r="G9155" s="54"/>
    </row>
    <row r="9156">
      <c r="A9156" s="49">
        <v>45117.37627390046</v>
      </c>
      <c r="B9156" s="50">
        <v>45117.5012310532</v>
      </c>
      <c r="C9156" s="51">
        <v>0.999</v>
      </c>
      <c r="D9156" s="51">
        <v>70.0</v>
      </c>
      <c r="E9156" s="52" t="s">
        <v>25</v>
      </c>
      <c r="F9156" s="52" t="s">
        <v>26</v>
      </c>
      <c r="G9156" s="54"/>
    </row>
    <row r="9157">
      <c r="A9157" s="49">
        <v>45117.3867346412</v>
      </c>
      <c r="B9157" s="50">
        <v>45117.5116519097</v>
      </c>
      <c r="C9157" s="51">
        <v>0.999</v>
      </c>
      <c r="D9157" s="51">
        <v>70.0</v>
      </c>
      <c r="E9157" s="52" t="s">
        <v>25</v>
      </c>
      <c r="F9157" s="52" t="s">
        <v>26</v>
      </c>
      <c r="G9157" s="54"/>
    </row>
    <row r="9158">
      <c r="A9158" s="49">
        <v>45117.39714976852</v>
      </c>
      <c r="B9158" s="50">
        <v>45117.5220719791</v>
      </c>
      <c r="C9158" s="51">
        <v>0.999</v>
      </c>
      <c r="D9158" s="51">
        <v>70.0</v>
      </c>
      <c r="E9158" s="52" t="s">
        <v>25</v>
      </c>
      <c r="F9158" s="52" t="s">
        <v>26</v>
      </c>
      <c r="G9158" s="54"/>
    </row>
    <row r="9159">
      <c r="A9159" s="49">
        <v>45117.407591192125</v>
      </c>
      <c r="B9159" s="50">
        <v>45117.5325052546</v>
      </c>
      <c r="C9159" s="51">
        <v>0.999</v>
      </c>
      <c r="D9159" s="51">
        <v>70.0</v>
      </c>
      <c r="E9159" s="52" t="s">
        <v>25</v>
      </c>
      <c r="F9159" s="52" t="s">
        <v>26</v>
      </c>
      <c r="G9159" s="54"/>
    </row>
    <row r="9160">
      <c r="A9160" s="49">
        <v>45117.418004374995</v>
      </c>
      <c r="B9160" s="50">
        <v>45117.542925868</v>
      </c>
      <c r="C9160" s="51">
        <v>0.999</v>
      </c>
      <c r="D9160" s="51">
        <v>70.0</v>
      </c>
      <c r="E9160" s="52" t="s">
        <v>25</v>
      </c>
      <c r="F9160" s="52" t="s">
        <v>26</v>
      </c>
      <c r="G9160" s="54"/>
    </row>
    <row r="9161">
      <c r="A9161" s="49">
        <v>45117.42843034722</v>
      </c>
      <c r="B9161" s="50">
        <v>45117.5533477546</v>
      </c>
      <c r="C9161" s="51">
        <v>0.999</v>
      </c>
      <c r="D9161" s="51">
        <v>70.0</v>
      </c>
      <c r="E9161" s="52" t="s">
        <v>25</v>
      </c>
      <c r="F9161" s="52" t="s">
        <v>26</v>
      </c>
      <c r="G9161" s="54"/>
    </row>
    <row r="9162">
      <c r="A9162" s="49">
        <v>45117.438848935184</v>
      </c>
      <c r="B9162" s="50">
        <v>45117.5637681018</v>
      </c>
      <c r="C9162" s="51">
        <v>0.999</v>
      </c>
      <c r="D9162" s="51">
        <v>70.0</v>
      </c>
      <c r="E9162" s="52" t="s">
        <v>25</v>
      </c>
      <c r="F9162" s="52" t="s">
        <v>26</v>
      </c>
      <c r="G9162" s="54"/>
    </row>
    <row r="9163">
      <c r="A9163" s="49">
        <v>45117.449265601856</v>
      </c>
      <c r="B9163" s="50">
        <v>45117.5741888773</v>
      </c>
      <c r="C9163" s="51">
        <v>0.999</v>
      </c>
      <c r="D9163" s="51">
        <v>70.0</v>
      </c>
      <c r="E9163" s="52" t="s">
        <v>25</v>
      </c>
      <c r="F9163" s="52" t="s">
        <v>26</v>
      </c>
      <c r="G9163" s="54"/>
    </row>
    <row r="9164">
      <c r="A9164" s="49">
        <v>45117.45970273148</v>
      </c>
      <c r="B9164" s="50">
        <v>45117.584621412</v>
      </c>
      <c r="C9164" s="51">
        <v>0.999</v>
      </c>
      <c r="D9164" s="51">
        <v>70.0</v>
      </c>
      <c r="E9164" s="52" t="s">
        <v>25</v>
      </c>
      <c r="F9164" s="52" t="s">
        <v>26</v>
      </c>
      <c r="G9164" s="54"/>
    </row>
    <row r="9165">
      <c r="A9165" s="49">
        <v>45117.47012431713</v>
      </c>
      <c r="B9165" s="50">
        <v>45117.5950419907</v>
      </c>
      <c r="C9165" s="51">
        <v>0.999</v>
      </c>
      <c r="D9165" s="51">
        <v>70.0</v>
      </c>
      <c r="E9165" s="52" t="s">
        <v>25</v>
      </c>
      <c r="F9165" s="52" t="s">
        <v>26</v>
      </c>
      <c r="G9165" s="54"/>
    </row>
    <row r="9166">
      <c r="A9166" s="49">
        <v>45117.48054185185</v>
      </c>
      <c r="B9166" s="50">
        <v>45117.6054645833</v>
      </c>
      <c r="C9166" s="51">
        <v>0.999</v>
      </c>
      <c r="D9166" s="51">
        <v>70.0</v>
      </c>
      <c r="E9166" s="52" t="s">
        <v>25</v>
      </c>
      <c r="F9166" s="52" t="s">
        <v>26</v>
      </c>
      <c r="G9166" s="54"/>
    </row>
    <row r="9167">
      <c r="A9167" s="49">
        <v>45117.49096597222</v>
      </c>
      <c r="B9167" s="50">
        <v>45117.6158953472</v>
      </c>
      <c r="C9167" s="51">
        <v>0.999</v>
      </c>
      <c r="D9167" s="51">
        <v>70.0</v>
      </c>
      <c r="E9167" s="52" t="s">
        <v>25</v>
      </c>
      <c r="F9167" s="52" t="s">
        <v>26</v>
      </c>
      <c r="G9167" s="54"/>
    </row>
    <row r="9168">
      <c r="A9168" s="49">
        <v>45117.5013909375</v>
      </c>
      <c r="B9168" s="50">
        <v>45117.6263157986</v>
      </c>
      <c r="C9168" s="51">
        <v>0.999</v>
      </c>
      <c r="D9168" s="51">
        <v>70.0</v>
      </c>
      <c r="E9168" s="52" t="s">
        <v>25</v>
      </c>
      <c r="F9168" s="52" t="s">
        <v>26</v>
      </c>
      <c r="G9168" s="54"/>
    </row>
    <row r="9169">
      <c r="A9169" s="49">
        <v>45117.51181135417</v>
      </c>
      <c r="B9169" s="50">
        <v>45117.6367380324</v>
      </c>
      <c r="C9169" s="51">
        <v>0.999</v>
      </c>
      <c r="D9169" s="51">
        <v>70.0</v>
      </c>
      <c r="E9169" s="52" t="s">
        <v>25</v>
      </c>
      <c r="F9169" s="52" t="s">
        <v>26</v>
      </c>
      <c r="G9169" s="54"/>
    </row>
    <row r="9170">
      <c r="A9170" s="49">
        <v>45117.522229525464</v>
      </c>
      <c r="B9170" s="50">
        <v>45117.6471698263</v>
      </c>
      <c r="C9170" s="51">
        <v>0.999</v>
      </c>
      <c r="D9170" s="51">
        <v>70.0</v>
      </c>
      <c r="E9170" s="52" t="s">
        <v>25</v>
      </c>
      <c r="F9170" s="52" t="s">
        <v>26</v>
      </c>
      <c r="G9170" s="54"/>
    </row>
    <row r="9171">
      <c r="A9171" s="49">
        <v>45117.53264423611</v>
      </c>
      <c r="B9171" s="50">
        <v>45117.6575916666</v>
      </c>
      <c r="C9171" s="51">
        <v>0.999</v>
      </c>
      <c r="D9171" s="51">
        <v>70.0</v>
      </c>
      <c r="E9171" s="52" t="s">
        <v>25</v>
      </c>
      <c r="F9171" s="52" t="s">
        <v>26</v>
      </c>
      <c r="G9171" s="54"/>
    </row>
    <row r="9172">
      <c r="A9172" s="49">
        <v>45117.54307341435</v>
      </c>
      <c r="B9172" s="50">
        <v>45117.6680110995</v>
      </c>
      <c r="C9172" s="51">
        <v>0.999</v>
      </c>
      <c r="D9172" s="51">
        <v>70.0</v>
      </c>
      <c r="E9172" s="52" t="s">
        <v>25</v>
      </c>
      <c r="F9172" s="52" t="s">
        <v>26</v>
      </c>
      <c r="G9172" s="54"/>
    </row>
    <row r="9173">
      <c r="A9173" s="49">
        <v>45117.55349960648</v>
      </c>
      <c r="B9173" s="50">
        <v>45117.678430787</v>
      </c>
      <c r="C9173" s="51">
        <v>0.999</v>
      </c>
      <c r="D9173" s="51">
        <v>70.0</v>
      </c>
      <c r="E9173" s="52" t="s">
        <v>25</v>
      </c>
      <c r="F9173" s="52" t="s">
        <v>26</v>
      </c>
      <c r="G9173" s="54"/>
    </row>
    <row r="9174">
      <c r="A9174" s="49">
        <v>45117.56392707176</v>
      </c>
      <c r="B9174" s="50">
        <v>45117.6888628125</v>
      </c>
      <c r="C9174" s="51">
        <v>0.999</v>
      </c>
      <c r="D9174" s="51">
        <v>70.0</v>
      </c>
      <c r="E9174" s="52" t="s">
        <v>25</v>
      </c>
      <c r="F9174" s="52" t="s">
        <v>26</v>
      </c>
      <c r="G9174" s="54"/>
    </row>
    <row r="9175">
      <c r="A9175" s="49">
        <v>45117.57436087963</v>
      </c>
      <c r="B9175" s="50">
        <v>45117.6993056713</v>
      </c>
      <c r="C9175" s="51">
        <v>0.999</v>
      </c>
      <c r="D9175" s="51">
        <v>70.0</v>
      </c>
      <c r="E9175" s="52" t="s">
        <v>25</v>
      </c>
      <c r="F9175" s="52" t="s">
        <v>26</v>
      </c>
      <c r="G9175" s="54"/>
    </row>
    <row r="9176">
      <c r="A9176" s="49">
        <v>45117.58480774306</v>
      </c>
      <c r="B9176" s="50">
        <v>45117.709727037</v>
      </c>
      <c r="C9176" s="51">
        <v>0.999</v>
      </c>
      <c r="D9176" s="51">
        <v>70.0</v>
      </c>
      <c r="E9176" s="52" t="s">
        <v>25</v>
      </c>
      <c r="F9176" s="52" t="s">
        <v>26</v>
      </c>
      <c r="G9176" s="54"/>
    </row>
    <row r="9177">
      <c r="A9177" s="49">
        <v>45117.5952277662</v>
      </c>
      <c r="B9177" s="50">
        <v>45117.7201492824</v>
      </c>
      <c r="C9177" s="51">
        <v>0.999</v>
      </c>
      <c r="D9177" s="51">
        <v>70.0</v>
      </c>
      <c r="E9177" s="52" t="s">
        <v>25</v>
      </c>
      <c r="F9177" s="52" t="s">
        <v>26</v>
      </c>
      <c r="G9177" s="54"/>
    </row>
    <row r="9178">
      <c r="A9178" s="49">
        <v>45117.61608637731</v>
      </c>
      <c r="B9178" s="50">
        <v>45117.7410144907</v>
      </c>
      <c r="C9178" s="51">
        <v>0.999</v>
      </c>
      <c r="D9178" s="51">
        <v>70.0</v>
      </c>
      <c r="E9178" s="52" t="s">
        <v>25</v>
      </c>
      <c r="F9178" s="52" t="s">
        <v>26</v>
      </c>
      <c r="G9178" s="54"/>
    </row>
    <row r="9179">
      <c r="A9179" s="49">
        <v>45117.626511423616</v>
      </c>
      <c r="B9179" s="50">
        <v>45117.7514347685</v>
      </c>
      <c r="C9179" s="51">
        <v>0.999</v>
      </c>
      <c r="D9179" s="51">
        <v>70.0</v>
      </c>
      <c r="E9179" s="52" t="s">
        <v>25</v>
      </c>
      <c r="F9179" s="52" t="s">
        <v>26</v>
      </c>
      <c r="G9179" s="54"/>
    </row>
    <row r="9180">
      <c r="A9180" s="49">
        <v>45117.63688863426</v>
      </c>
      <c r="B9180" s="50">
        <v>45117.7618565856</v>
      </c>
      <c r="C9180" s="51">
        <v>0.999</v>
      </c>
      <c r="D9180" s="51">
        <v>70.0</v>
      </c>
      <c r="E9180" s="52" t="s">
        <v>25</v>
      </c>
      <c r="F9180" s="52" t="s">
        <v>26</v>
      </c>
      <c r="G9180" s="54"/>
    </row>
    <row r="9181">
      <c r="A9181" s="49">
        <v>45117.64737688657</v>
      </c>
      <c r="B9181" s="50">
        <v>45117.7722871064</v>
      </c>
      <c r="C9181" s="51">
        <v>0.999</v>
      </c>
      <c r="D9181" s="51">
        <v>70.0</v>
      </c>
      <c r="E9181" s="52" t="s">
        <v>25</v>
      </c>
      <c r="F9181" s="52" t="s">
        <v>26</v>
      </c>
      <c r="G9181" s="54"/>
    </row>
    <row r="9182">
      <c r="A9182" s="49">
        <v>45117.657729259256</v>
      </c>
      <c r="B9182" s="50">
        <v>45117.7827078703</v>
      </c>
      <c r="C9182" s="51">
        <v>0.999</v>
      </c>
      <c r="D9182" s="51">
        <v>70.0</v>
      </c>
      <c r="E9182" s="52" t="s">
        <v>25</v>
      </c>
      <c r="F9182" s="52" t="s">
        <v>26</v>
      </c>
      <c r="G9182" s="54"/>
    </row>
    <row r="9183">
      <c r="A9183" s="49">
        <v>45117.6681531713</v>
      </c>
      <c r="B9183" s="50">
        <v>45117.7931304282</v>
      </c>
      <c r="C9183" s="51">
        <v>0.999</v>
      </c>
      <c r="D9183" s="51">
        <v>70.0</v>
      </c>
      <c r="E9183" s="52" t="s">
        <v>25</v>
      </c>
      <c r="F9183" s="52" t="s">
        <v>26</v>
      </c>
      <c r="G9183" s="54"/>
    </row>
    <row r="9184">
      <c r="A9184" s="49">
        <v>45117.67865707176</v>
      </c>
      <c r="B9184" s="50">
        <v>45117.803575405</v>
      </c>
      <c r="C9184" s="51">
        <v>0.999</v>
      </c>
      <c r="D9184" s="51">
        <v>70.0</v>
      </c>
      <c r="E9184" s="52" t="s">
        <v>25</v>
      </c>
      <c r="F9184" s="52" t="s">
        <v>26</v>
      </c>
      <c r="G9184" s="54"/>
    </row>
    <row r="9185">
      <c r="A9185" s="49">
        <v>45117.68908553241</v>
      </c>
      <c r="B9185" s="50">
        <v>45117.813998206</v>
      </c>
      <c r="C9185" s="51">
        <v>0.999</v>
      </c>
      <c r="D9185" s="51">
        <v>70.0</v>
      </c>
      <c r="E9185" s="52" t="s">
        <v>25</v>
      </c>
      <c r="F9185" s="52" t="s">
        <v>26</v>
      </c>
      <c r="G9185" s="54"/>
    </row>
    <row r="9186">
      <c r="A9186" s="49">
        <v>45117.699511377316</v>
      </c>
      <c r="B9186" s="50">
        <v>45117.8244304513</v>
      </c>
      <c r="C9186" s="51">
        <v>0.999</v>
      </c>
      <c r="D9186" s="51">
        <v>70.0</v>
      </c>
      <c r="E9186" s="52" t="s">
        <v>25</v>
      </c>
      <c r="F9186" s="52" t="s">
        <v>26</v>
      </c>
      <c r="G9186" s="54"/>
    </row>
    <row r="9187">
      <c r="A9187" s="49">
        <v>45117.70993216435</v>
      </c>
      <c r="B9187" s="50">
        <v>45117.8348509027</v>
      </c>
      <c r="C9187" s="51">
        <v>0.999</v>
      </c>
      <c r="D9187" s="51">
        <v>70.0</v>
      </c>
      <c r="E9187" s="52" t="s">
        <v>25</v>
      </c>
      <c r="F9187" s="52" t="s">
        <v>26</v>
      </c>
      <c r="G9187" s="54"/>
    </row>
    <row r="9188">
      <c r="A9188" s="49">
        <v>45117.72029733796</v>
      </c>
      <c r="B9188" s="50">
        <v>45117.845272581</v>
      </c>
      <c r="C9188" s="51">
        <v>0.999</v>
      </c>
      <c r="D9188" s="51">
        <v>70.0</v>
      </c>
      <c r="E9188" s="52" t="s">
        <v>25</v>
      </c>
      <c r="F9188" s="52" t="s">
        <v>26</v>
      </c>
      <c r="G9188" s="54"/>
    </row>
    <row r="9189">
      <c r="A9189" s="49">
        <v>45117.730724085646</v>
      </c>
      <c r="B9189" s="50">
        <v>45117.8556945833</v>
      </c>
      <c r="C9189" s="51">
        <v>0.999</v>
      </c>
      <c r="D9189" s="51">
        <v>70.0</v>
      </c>
      <c r="E9189" s="52" t="s">
        <v>25</v>
      </c>
      <c r="F9189" s="52" t="s">
        <v>26</v>
      </c>
      <c r="G9189" s="54"/>
    </row>
    <row r="9190">
      <c r="A9190" s="49">
        <v>45117.74114239583</v>
      </c>
      <c r="B9190" s="50">
        <v>45117.8661154976</v>
      </c>
      <c r="C9190" s="51">
        <v>0.999</v>
      </c>
      <c r="D9190" s="51">
        <v>70.0</v>
      </c>
      <c r="E9190" s="52" t="s">
        <v>25</v>
      </c>
      <c r="F9190" s="52" t="s">
        <v>26</v>
      </c>
      <c r="G9190" s="54"/>
    </row>
    <row r="9191">
      <c r="A9191" s="49">
        <v>45117.751566747684</v>
      </c>
      <c r="B9191" s="50">
        <v>45117.8765370717</v>
      </c>
      <c r="C9191" s="51">
        <v>0.999</v>
      </c>
      <c r="D9191" s="51">
        <v>70.0</v>
      </c>
      <c r="E9191" s="52" t="s">
        <v>25</v>
      </c>
      <c r="F9191" s="52" t="s">
        <v>26</v>
      </c>
      <c r="G9191" s="54"/>
    </row>
    <row r="9192">
      <c r="A9192" s="49">
        <v>45117.76199596065</v>
      </c>
      <c r="B9192" s="50">
        <v>45117.8869588657</v>
      </c>
      <c r="C9192" s="51">
        <v>0.999</v>
      </c>
      <c r="D9192" s="51">
        <v>70.0</v>
      </c>
      <c r="E9192" s="52" t="s">
        <v>25</v>
      </c>
      <c r="F9192" s="52" t="s">
        <v>26</v>
      </c>
      <c r="G9192" s="54"/>
    </row>
    <row r="9193">
      <c r="A9193" s="49">
        <v>45117.77240122685</v>
      </c>
      <c r="B9193" s="50">
        <v>45117.8973807407</v>
      </c>
      <c r="C9193" s="51">
        <v>0.999</v>
      </c>
      <c r="D9193" s="51">
        <v>70.0</v>
      </c>
      <c r="E9193" s="52" t="s">
        <v>25</v>
      </c>
      <c r="F9193" s="52" t="s">
        <v>26</v>
      </c>
      <c r="G9193" s="54"/>
    </row>
    <row r="9194">
      <c r="A9194" s="49">
        <v>45117.782822685185</v>
      </c>
      <c r="B9194" s="50">
        <v>45117.9077992939</v>
      </c>
      <c r="C9194" s="51">
        <v>0.999</v>
      </c>
      <c r="D9194" s="51">
        <v>70.0</v>
      </c>
      <c r="E9194" s="52" t="s">
        <v>25</v>
      </c>
      <c r="F9194" s="52" t="s">
        <v>26</v>
      </c>
      <c r="G9194" s="54"/>
    </row>
    <row r="9195">
      <c r="A9195" s="49">
        <v>45117.793250347226</v>
      </c>
      <c r="B9195" s="50">
        <v>45117.91821978</v>
      </c>
      <c r="C9195" s="51">
        <v>0.999</v>
      </c>
      <c r="D9195" s="51">
        <v>70.0</v>
      </c>
      <c r="E9195" s="52" t="s">
        <v>25</v>
      </c>
      <c r="F9195" s="52" t="s">
        <v>26</v>
      </c>
      <c r="G9195" s="54"/>
    </row>
    <row r="9196">
      <c r="A9196" s="49">
        <v>45117.80367328704</v>
      </c>
      <c r="B9196" s="50">
        <v>45117.92864</v>
      </c>
      <c r="C9196" s="51">
        <v>0.999</v>
      </c>
      <c r="D9196" s="51">
        <v>70.0</v>
      </c>
      <c r="E9196" s="52" t="s">
        <v>25</v>
      </c>
      <c r="F9196" s="52" t="s">
        <v>26</v>
      </c>
      <c r="G9196" s="54"/>
    </row>
    <row r="9197">
      <c r="A9197" s="49">
        <v>45117.81408078704</v>
      </c>
      <c r="B9197" s="50">
        <v>45117.9390606713</v>
      </c>
      <c r="C9197" s="51">
        <v>0.999</v>
      </c>
      <c r="D9197" s="51">
        <v>70.0</v>
      </c>
      <c r="E9197" s="52" t="s">
        <v>25</v>
      </c>
      <c r="F9197" s="52" t="s">
        <v>26</v>
      </c>
      <c r="G9197" s="54"/>
    </row>
    <row r="9198">
      <c r="A9198" s="49">
        <v>45117.824506770834</v>
      </c>
      <c r="B9198" s="50">
        <v>45117.949480949</v>
      </c>
      <c r="C9198" s="51">
        <v>0.999</v>
      </c>
      <c r="D9198" s="51">
        <v>70.0</v>
      </c>
      <c r="E9198" s="52" t="s">
        <v>25</v>
      </c>
      <c r="F9198" s="52" t="s">
        <v>26</v>
      </c>
      <c r="G9198" s="54"/>
    </row>
    <row r="9199">
      <c r="A9199" s="49">
        <v>45117.83494377315</v>
      </c>
      <c r="B9199" s="50">
        <v>45117.9599127199</v>
      </c>
      <c r="C9199" s="51">
        <v>0.999</v>
      </c>
      <c r="D9199" s="51">
        <v>70.0</v>
      </c>
      <c r="E9199" s="52" t="s">
        <v>25</v>
      </c>
      <c r="F9199" s="52" t="s">
        <v>26</v>
      </c>
      <c r="G9199" s="54"/>
    </row>
    <row r="9200">
      <c r="A9200" s="49">
        <v>45117.84536644676</v>
      </c>
      <c r="B9200" s="50">
        <v>45117.9703330787</v>
      </c>
      <c r="C9200" s="51">
        <v>0.999</v>
      </c>
      <c r="D9200" s="51">
        <v>70.0</v>
      </c>
      <c r="E9200" s="52" t="s">
        <v>25</v>
      </c>
      <c r="F9200" s="52" t="s">
        <v>26</v>
      </c>
      <c r="G9200" s="54"/>
    </row>
    <row r="9201">
      <c r="A9201" s="49">
        <v>45117.85577625</v>
      </c>
      <c r="B9201" s="50">
        <v>45117.9807550231</v>
      </c>
      <c r="C9201" s="51">
        <v>0.999</v>
      </c>
      <c r="D9201" s="51">
        <v>70.0</v>
      </c>
      <c r="E9201" s="52" t="s">
        <v>25</v>
      </c>
      <c r="F9201" s="52" t="s">
        <v>26</v>
      </c>
      <c r="G9201" s="54"/>
    </row>
    <row r="9202">
      <c r="A9202" s="49">
        <v>45117.86621479166</v>
      </c>
      <c r="B9202" s="50">
        <v>45117.9911880787</v>
      </c>
      <c r="C9202" s="51">
        <v>0.999</v>
      </c>
      <c r="D9202" s="51">
        <v>70.0</v>
      </c>
      <c r="E9202" s="52" t="s">
        <v>25</v>
      </c>
      <c r="F9202" s="52" t="s">
        <v>26</v>
      </c>
      <c r="G9202" s="54"/>
    </row>
    <row r="9203">
      <c r="A9203" s="49">
        <v>45117.8766365162</v>
      </c>
      <c r="B9203" s="50">
        <v>45118.0016090972</v>
      </c>
      <c r="C9203" s="51">
        <v>0.999</v>
      </c>
      <c r="D9203" s="51">
        <v>70.0</v>
      </c>
      <c r="E9203" s="52" t="s">
        <v>25</v>
      </c>
      <c r="F9203" s="52" t="s">
        <v>26</v>
      </c>
      <c r="G9203" s="54"/>
    </row>
    <row r="9204">
      <c r="A9204" s="49">
        <v>45117.88713513889</v>
      </c>
      <c r="B9204" s="50">
        <v>45118.012053449</v>
      </c>
      <c r="C9204" s="51">
        <v>0.999</v>
      </c>
      <c r="D9204" s="51">
        <v>70.0</v>
      </c>
      <c r="E9204" s="52" t="s">
        <v>25</v>
      </c>
      <c r="F9204" s="52" t="s">
        <v>26</v>
      </c>
      <c r="G9204" s="54"/>
    </row>
    <row r="9205">
      <c r="A9205" s="49">
        <v>45117.89756385417</v>
      </c>
      <c r="B9205" s="50">
        <v>45118.0224870138</v>
      </c>
      <c r="C9205" s="51">
        <v>0.999</v>
      </c>
      <c r="D9205" s="51">
        <v>70.0</v>
      </c>
      <c r="E9205" s="52" t="s">
        <v>25</v>
      </c>
      <c r="F9205" s="52" t="s">
        <v>26</v>
      </c>
      <c r="G9205" s="54"/>
    </row>
    <row r="9206">
      <c r="A9206" s="49">
        <v>45117.907979745374</v>
      </c>
      <c r="B9206" s="50">
        <v>45118.0329084259</v>
      </c>
      <c r="C9206" s="51">
        <v>0.999</v>
      </c>
      <c r="D9206" s="51">
        <v>70.0</v>
      </c>
      <c r="E9206" s="52" t="s">
        <v>25</v>
      </c>
      <c r="F9206" s="52" t="s">
        <v>26</v>
      </c>
      <c r="G9206" s="54"/>
    </row>
    <row r="9207">
      <c r="A9207" s="49">
        <v>45117.918415231485</v>
      </c>
      <c r="B9207" s="50">
        <v>45118.0433396296</v>
      </c>
      <c r="C9207" s="51">
        <v>0.999</v>
      </c>
      <c r="D9207" s="51">
        <v>70.0</v>
      </c>
      <c r="E9207" s="52" t="s">
        <v>25</v>
      </c>
      <c r="F9207" s="52" t="s">
        <v>26</v>
      </c>
      <c r="G9207" s="54"/>
    </row>
    <row r="9208">
      <c r="A9208" s="49">
        <v>45117.92883456018</v>
      </c>
      <c r="B9208" s="50">
        <v>45118.0537606365</v>
      </c>
      <c r="C9208" s="51">
        <v>0.999</v>
      </c>
      <c r="D9208" s="51">
        <v>70.0</v>
      </c>
      <c r="E9208" s="52" t="s">
        <v>25</v>
      </c>
      <c r="F9208" s="52" t="s">
        <v>26</v>
      </c>
      <c r="G9208" s="54"/>
    </row>
    <row r="9209">
      <c r="A9209" s="49">
        <v>45117.93925768518</v>
      </c>
      <c r="B9209" s="50">
        <v>45118.0641927314</v>
      </c>
      <c r="C9209" s="51">
        <v>0.999</v>
      </c>
      <c r="D9209" s="51">
        <v>70.0</v>
      </c>
      <c r="E9209" s="52" t="s">
        <v>25</v>
      </c>
      <c r="F9209" s="52" t="s">
        <v>26</v>
      </c>
      <c r="G9209" s="54"/>
    </row>
    <row r="9210">
      <c r="A9210" s="49">
        <v>45117.949688946755</v>
      </c>
      <c r="B9210" s="50">
        <v>45118.0746144097</v>
      </c>
      <c r="C9210" s="51">
        <v>0.999</v>
      </c>
      <c r="D9210" s="51">
        <v>70.0</v>
      </c>
      <c r="E9210" s="52" t="s">
        <v>25</v>
      </c>
      <c r="F9210" s="52" t="s">
        <v>26</v>
      </c>
      <c r="G9210" s="54"/>
    </row>
    <row r="9211">
      <c r="A9211" s="49">
        <v>45117.96012458333</v>
      </c>
      <c r="B9211" s="50">
        <v>45118.0850354976</v>
      </c>
      <c r="C9211" s="51">
        <v>0.999</v>
      </c>
      <c r="D9211" s="51">
        <v>70.0</v>
      </c>
      <c r="E9211" s="52" t="s">
        <v>25</v>
      </c>
      <c r="F9211" s="52" t="s">
        <v>26</v>
      </c>
      <c r="G9211" s="54"/>
    </row>
    <row r="9212">
      <c r="A9212" s="49">
        <v>45117.97047920139</v>
      </c>
      <c r="B9212" s="50">
        <v>45118.0954575463</v>
      </c>
      <c r="C9212" s="51">
        <v>0.999</v>
      </c>
      <c r="D9212" s="51">
        <v>70.0</v>
      </c>
      <c r="E9212" s="52" t="s">
        <v>25</v>
      </c>
      <c r="F9212" s="52" t="s">
        <v>26</v>
      </c>
      <c r="G9212" s="54"/>
    </row>
    <row r="9213">
      <c r="A9213" s="49">
        <v>45117.9809762963</v>
      </c>
      <c r="B9213" s="50">
        <v>45118.1059127314</v>
      </c>
      <c r="C9213" s="51">
        <v>0.999</v>
      </c>
      <c r="D9213" s="51">
        <v>70.0</v>
      </c>
      <c r="E9213" s="52" t="s">
        <v>25</v>
      </c>
      <c r="F9213" s="52" t="s">
        <v>26</v>
      </c>
      <c r="G9213" s="54"/>
    </row>
    <row r="9214">
      <c r="A9214" s="49">
        <v>45117.99141269676</v>
      </c>
      <c r="B9214" s="50">
        <v>45118.1163343287</v>
      </c>
      <c r="C9214" s="51">
        <v>0.999</v>
      </c>
      <c r="D9214" s="51">
        <v>70.0</v>
      </c>
      <c r="E9214" s="52" t="s">
        <v>25</v>
      </c>
      <c r="F9214" s="52" t="s">
        <v>26</v>
      </c>
      <c r="G9214" s="54"/>
    </row>
    <row r="9215">
      <c r="A9215" s="49">
        <v>45118.00182910879</v>
      </c>
      <c r="B9215" s="50">
        <v>45118.126765625</v>
      </c>
      <c r="C9215" s="51">
        <v>0.999</v>
      </c>
      <c r="D9215" s="51">
        <v>70.0</v>
      </c>
      <c r="E9215" s="52" t="s">
        <v>25</v>
      </c>
      <c r="F9215" s="52" t="s">
        <v>26</v>
      </c>
      <c r="G9215" s="54"/>
    </row>
    <row r="9216">
      <c r="A9216" s="49">
        <v>45118.01226025463</v>
      </c>
      <c r="B9216" s="50">
        <v>45118.1371864236</v>
      </c>
      <c r="C9216" s="51">
        <v>0.999</v>
      </c>
      <c r="D9216" s="51">
        <v>70.0</v>
      </c>
      <c r="E9216" s="52" t="s">
        <v>25</v>
      </c>
      <c r="F9216" s="52" t="s">
        <v>26</v>
      </c>
      <c r="G9216" s="54"/>
    </row>
    <row r="9217">
      <c r="A9217" s="49">
        <v>45118.022694189815</v>
      </c>
      <c r="B9217" s="50">
        <v>45118.147609699</v>
      </c>
      <c r="C9217" s="51">
        <v>0.999</v>
      </c>
      <c r="D9217" s="51">
        <v>70.0</v>
      </c>
      <c r="E9217" s="52" t="s">
        <v>25</v>
      </c>
      <c r="F9217" s="52" t="s">
        <v>26</v>
      </c>
      <c r="G9217" s="54"/>
    </row>
    <row r="9218">
      <c r="A9218" s="49">
        <v>45118.03310325231</v>
      </c>
      <c r="B9218" s="50">
        <v>45118.1580314583</v>
      </c>
      <c r="C9218" s="51">
        <v>0.999</v>
      </c>
      <c r="D9218" s="51">
        <v>70.0</v>
      </c>
      <c r="E9218" s="52" t="s">
        <v>25</v>
      </c>
      <c r="F9218" s="52" t="s">
        <v>26</v>
      </c>
      <c r="G9218" s="54"/>
    </row>
    <row r="9219">
      <c r="A9219" s="49">
        <v>45118.04352577546</v>
      </c>
      <c r="B9219" s="50">
        <v>45118.1684517476</v>
      </c>
      <c r="C9219" s="51">
        <v>0.999</v>
      </c>
      <c r="D9219" s="51">
        <v>70.0</v>
      </c>
      <c r="E9219" s="52" t="s">
        <v>25</v>
      </c>
      <c r="F9219" s="52" t="s">
        <v>26</v>
      </c>
      <c r="G9219" s="54"/>
    </row>
    <row r="9220">
      <c r="A9220" s="49">
        <v>45118.053961805555</v>
      </c>
      <c r="B9220" s="50">
        <v>45118.1788710069</v>
      </c>
      <c r="C9220" s="51">
        <v>0.999</v>
      </c>
      <c r="D9220" s="51">
        <v>70.0</v>
      </c>
      <c r="E9220" s="52" t="s">
        <v>25</v>
      </c>
      <c r="F9220" s="52" t="s">
        <v>26</v>
      </c>
      <c r="G9220" s="54"/>
    </row>
    <row r="9221">
      <c r="A9221" s="49">
        <v>45118.06431584491</v>
      </c>
      <c r="B9221" s="50">
        <v>45118.1892908912</v>
      </c>
      <c r="C9221" s="51">
        <v>0.999</v>
      </c>
      <c r="D9221" s="51">
        <v>70.0</v>
      </c>
      <c r="E9221" s="52" t="s">
        <v>25</v>
      </c>
      <c r="F9221" s="52" t="s">
        <v>26</v>
      </c>
      <c r="G9221" s="54"/>
    </row>
    <row r="9222">
      <c r="A9222" s="49">
        <v>45118.07479989583</v>
      </c>
      <c r="B9222" s="50">
        <v>45118.1997126388</v>
      </c>
      <c r="C9222" s="51">
        <v>0.999</v>
      </c>
      <c r="D9222" s="51">
        <v>70.0</v>
      </c>
      <c r="E9222" s="52" t="s">
        <v>25</v>
      </c>
      <c r="F9222" s="52" t="s">
        <v>26</v>
      </c>
      <c r="G9222" s="54"/>
    </row>
    <row r="9223">
      <c r="A9223" s="49">
        <v>45118.08523009259</v>
      </c>
      <c r="B9223" s="50">
        <v>45118.2101438194</v>
      </c>
      <c r="C9223" s="51">
        <v>0.999</v>
      </c>
      <c r="D9223" s="51">
        <v>70.0</v>
      </c>
      <c r="E9223" s="52" t="s">
        <v>25</v>
      </c>
      <c r="F9223" s="52" t="s">
        <v>26</v>
      </c>
      <c r="G9223" s="54"/>
    </row>
    <row r="9224">
      <c r="A9224" s="49">
        <v>45118.095652442134</v>
      </c>
      <c r="B9224" s="50">
        <v>45118.2205645601</v>
      </c>
      <c r="C9224" s="51">
        <v>0.999</v>
      </c>
      <c r="D9224" s="51">
        <v>70.0</v>
      </c>
      <c r="E9224" s="52" t="s">
        <v>25</v>
      </c>
      <c r="F9224" s="52" t="s">
        <v>26</v>
      </c>
      <c r="G9224" s="54"/>
    </row>
    <row r="9225">
      <c r="A9225" s="49">
        <v>45118.1060712037</v>
      </c>
      <c r="B9225" s="50">
        <v>45118.2309861574</v>
      </c>
      <c r="C9225" s="51">
        <v>0.999</v>
      </c>
      <c r="D9225" s="51">
        <v>70.0</v>
      </c>
      <c r="E9225" s="52" t="s">
        <v>25</v>
      </c>
      <c r="F9225" s="52" t="s">
        <v>26</v>
      </c>
      <c r="G9225" s="54"/>
    </row>
    <row r="9226">
      <c r="A9226" s="49">
        <v>45118.11648956018</v>
      </c>
      <c r="B9226" s="50">
        <v>45118.2414309953</v>
      </c>
      <c r="C9226" s="51">
        <v>0.999</v>
      </c>
      <c r="D9226" s="51">
        <v>70.0</v>
      </c>
      <c r="E9226" s="52" t="s">
        <v>25</v>
      </c>
      <c r="F9226" s="52" t="s">
        <v>26</v>
      </c>
      <c r="G9226" s="54"/>
    </row>
    <row r="9227">
      <c r="A9227" s="49">
        <v>45118.12690861111</v>
      </c>
      <c r="B9227" s="50">
        <v>45118.251863912</v>
      </c>
      <c r="C9227" s="51">
        <v>0.999</v>
      </c>
      <c r="D9227" s="51">
        <v>70.0</v>
      </c>
      <c r="E9227" s="52" t="s">
        <v>25</v>
      </c>
      <c r="F9227" s="52" t="s">
        <v>26</v>
      </c>
      <c r="G9227" s="54"/>
    </row>
    <row r="9228">
      <c r="A9228" s="49">
        <v>45118.13732689815</v>
      </c>
      <c r="B9228" s="50">
        <v>45118.2622960879</v>
      </c>
      <c r="C9228" s="51">
        <v>0.999</v>
      </c>
      <c r="D9228" s="51">
        <v>70.0</v>
      </c>
      <c r="E9228" s="52" t="s">
        <v>25</v>
      </c>
      <c r="F9228" s="52" t="s">
        <v>26</v>
      </c>
      <c r="G9228" s="54"/>
    </row>
    <row r="9229">
      <c r="A9229" s="49">
        <v>45118.14775446759</v>
      </c>
      <c r="B9229" s="50">
        <v>45118.2727287731</v>
      </c>
      <c r="C9229" s="51">
        <v>0.999</v>
      </c>
      <c r="D9229" s="51">
        <v>70.0</v>
      </c>
      <c r="E9229" s="52" t="s">
        <v>25</v>
      </c>
      <c r="F9229" s="52" t="s">
        <v>26</v>
      </c>
      <c r="G9229" s="54"/>
    </row>
    <row r="9230">
      <c r="A9230" s="49">
        <v>45118.15819857639</v>
      </c>
      <c r="B9230" s="50">
        <v>45118.283148912</v>
      </c>
      <c r="C9230" s="51">
        <v>0.999</v>
      </c>
      <c r="D9230" s="51">
        <v>70.0</v>
      </c>
      <c r="E9230" s="52" t="s">
        <v>25</v>
      </c>
      <c r="F9230" s="52" t="s">
        <v>26</v>
      </c>
      <c r="G9230" s="54"/>
    </row>
    <row r="9231">
      <c r="A9231" s="49">
        <v>45118.16862791667</v>
      </c>
      <c r="B9231" s="50">
        <v>45118.2935690856</v>
      </c>
      <c r="C9231" s="51">
        <v>0.999</v>
      </c>
      <c r="D9231" s="51">
        <v>70.0</v>
      </c>
      <c r="E9231" s="52" t="s">
        <v>25</v>
      </c>
      <c r="F9231" s="52" t="s">
        <v>26</v>
      </c>
      <c r="G9231" s="54"/>
    </row>
    <row r="9232">
      <c r="A9232" s="49">
        <v>45118.17903974537</v>
      </c>
      <c r="B9232" s="50">
        <v>45118.3039898842</v>
      </c>
      <c r="C9232" s="51">
        <v>0.999</v>
      </c>
      <c r="D9232" s="51">
        <v>70.0</v>
      </c>
      <c r="E9232" s="52" t="s">
        <v>25</v>
      </c>
      <c r="F9232" s="52" t="s">
        <v>26</v>
      </c>
      <c r="G9232" s="54"/>
    </row>
    <row r="9233">
      <c r="A9233" s="49">
        <v>45118.18946233796</v>
      </c>
      <c r="B9233" s="50">
        <v>45118.3144211226</v>
      </c>
      <c r="C9233" s="51">
        <v>0.999</v>
      </c>
      <c r="D9233" s="51">
        <v>70.0</v>
      </c>
      <c r="E9233" s="52" t="s">
        <v>25</v>
      </c>
      <c r="F9233" s="52" t="s">
        <v>26</v>
      </c>
      <c r="G9233" s="54"/>
    </row>
    <row r="9234">
      <c r="A9234" s="49">
        <v>45118.19990150463</v>
      </c>
      <c r="B9234" s="50">
        <v>45118.3248435301</v>
      </c>
      <c r="C9234" s="51">
        <v>0.999</v>
      </c>
      <c r="D9234" s="51">
        <v>70.0</v>
      </c>
      <c r="E9234" s="52" t="s">
        <v>25</v>
      </c>
      <c r="F9234" s="52" t="s">
        <v>26</v>
      </c>
      <c r="G9234" s="54"/>
    </row>
    <row r="9235">
      <c r="A9235" s="49">
        <v>45118.21031859954</v>
      </c>
      <c r="B9235" s="50">
        <v>45118.3352643865</v>
      </c>
      <c r="C9235" s="51">
        <v>0.999</v>
      </c>
      <c r="D9235" s="51">
        <v>70.0</v>
      </c>
      <c r="E9235" s="52" t="s">
        <v>25</v>
      </c>
      <c r="F9235" s="52" t="s">
        <v>26</v>
      </c>
      <c r="G9235" s="54"/>
    </row>
    <row r="9236">
      <c r="A9236" s="49">
        <v>45118.220736840274</v>
      </c>
      <c r="B9236" s="50">
        <v>45118.3456851388</v>
      </c>
      <c r="C9236" s="51">
        <v>0.999</v>
      </c>
      <c r="D9236" s="51">
        <v>70.0</v>
      </c>
      <c r="E9236" s="52" t="s">
        <v>25</v>
      </c>
      <c r="F9236" s="52" t="s">
        <v>26</v>
      </c>
      <c r="G9236" s="54"/>
    </row>
    <row r="9237">
      <c r="A9237" s="49">
        <v>45118.2311662963</v>
      </c>
      <c r="B9237" s="50">
        <v>45118.3561170717</v>
      </c>
      <c r="C9237" s="51">
        <v>0.999</v>
      </c>
      <c r="D9237" s="51">
        <v>70.0</v>
      </c>
      <c r="E9237" s="52" t="s">
        <v>25</v>
      </c>
      <c r="F9237" s="52" t="s">
        <v>26</v>
      </c>
      <c r="G9237" s="54"/>
    </row>
    <row r="9238">
      <c r="A9238" s="49">
        <v>45118.24158614583</v>
      </c>
      <c r="B9238" s="50">
        <v>45118.3665376736</v>
      </c>
      <c r="C9238" s="51">
        <v>0.999</v>
      </c>
      <c r="D9238" s="51">
        <v>70.0</v>
      </c>
      <c r="E9238" s="52" t="s">
        <v>25</v>
      </c>
      <c r="F9238" s="52" t="s">
        <v>26</v>
      </c>
      <c r="G9238" s="54"/>
    </row>
    <row r="9239">
      <c r="A9239" s="49">
        <v>45118.25201428241</v>
      </c>
      <c r="B9239" s="50">
        <v>45118.3769595254</v>
      </c>
      <c r="C9239" s="51">
        <v>0.999</v>
      </c>
      <c r="D9239" s="51">
        <v>70.0</v>
      </c>
      <c r="E9239" s="52" t="s">
        <v>25</v>
      </c>
      <c r="F9239" s="52" t="s">
        <v>26</v>
      </c>
      <c r="G9239" s="54"/>
    </row>
    <row r="9240">
      <c r="A9240" s="49">
        <v>45118.26243744213</v>
      </c>
      <c r="B9240" s="50">
        <v>45118.3873817824</v>
      </c>
      <c r="C9240" s="51">
        <v>0.999</v>
      </c>
      <c r="D9240" s="51">
        <v>70.0</v>
      </c>
      <c r="E9240" s="52" t="s">
        <v>25</v>
      </c>
      <c r="F9240" s="52" t="s">
        <v>26</v>
      </c>
      <c r="G9240" s="54"/>
    </row>
    <row r="9241">
      <c r="A9241" s="49">
        <v>45118.27285876157</v>
      </c>
      <c r="B9241" s="50">
        <v>45118.3978020139</v>
      </c>
      <c r="C9241" s="51">
        <v>0.999</v>
      </c>
      <c r="D9241" s="51">
        <v>70.0</v>
      </c>
      <c r="E9241" s="52" t="s">
        <v>25</v>
      </c>
      <c r="F9241" s="52" t="s">
        <v>26</v>
      </c>
      <c r="G9241" s="54"/>
    </row>
    <row r="9242">
      <c r="A9242" s="49">
        <v>45118.28328434028</v>
      </c>
      <c r="B9242" s="50">
        <v>45118.408231875</v>
      </c>
      <c r="C9242" s="51">
        <v>0.999</v>
      </c>
      <c r="D9242" s="51">
        <v>70.0</v>
      </c>
      <c r="E9242" s="52" t="s">
        <v>25</v>
      </c>
      <c r="F9242" s="52" t="s">
        <v>26</v>
      </c>
      <c r="G9242" s="54"/>
    </row>
    <row r="9243">
      <c r="A9243" s="49">
        <v>45118.293746655094</v>
      </c>
      <c r="B9243" s="50">
        <v>45118.4186658796</v>
      </c>
      <c r="C9243" s="51">
        <v>0.999</v>
      </c>
      <c r="D9243" s="51">
        <v>70.0</v>
      </c>
      <c r="E9243" s="52" t="s">
        <v>25</v>
      </c>
      <c r="F9243" s="52" t="s">
        <v>26</v>
      </c>
      <c r="G9243" s="54"/>
    </row>
    <row r="9244">
      <c r="A9244" s="49">
        <v>45118.30417712963</v>
      </c>
      <c r="B9244" s="50">
        <v>45118.4290966898</v>
      </c>
      <c r="C9244" s="51">
        <v>0.999</v>
      </c>
      <c r="D9244" s="51">
        <v>70.0</v>
      </c>
      <c r="E9244" s="52" t="s">
        <v>25</v>
      </c>
      <c r="F9244" s="52" t="s">
        <v>26</v>
      </c>
      <c r="G9244" s="54"/>
    </row>
    <row r="9245">
      <c r="A9245" s="49">
        <v>45118.314605127314</v>
      </c>
      <c r="B9245" s="50">
        <v>45118.43951728</v>
      </c>
      <c r="C9245" s="51">
        <v>0.999</v>
      </c>
      <c r="D9245" s="51">
        <v>70.0</v>
      </c>
      <c r="E9245" s="52" t="s">
        <v>25</v>
      </c>
      <c r="F9245" s="52" t="s">
        <v>26</v>
      </c>
      <c r="G9245" s="54"/>
    </row>
    <row r="9246">
      <c r="A9246" s="49">
        <v>45118.32502667824</v>
      </c>
      <c r="B9246" s="50">
        <v>45118.4499383564</v>
      </c>
      <c r="C9246" s="51">
        <v>0.999</v>
      </c>
      <c r="D9246" s="51">
        <v>70.0</v>
      </c>
      <c r="E9246" s="52" t="s">
        <v>25</v>
      </c>
      <c r="F9246" s="52" t="s">
        <v>26</v>
      </c>
      <c r="G9246" s="54"/>
    </row>
    <row r="9247">
      <c r="A9247" s="49">
        <v>45118.33538584491</v>
      </c>
      <c r="B9247" s="50">
        <v>45118.4603578125</v>
      </c>
      <c r="C9247" s="51">
        <v>0.999</v>
      </c>
      <c r="D9247" s="51">
        <v>70.0</v>
      </c>
      <c r="E9247" s="52" t="s">
        <v>25</v>
      </c>
      <c r="F9247" s="52" t="s">
        <v>26</v>
      </c>
      <c r="G9247" s="54"/>
    </row>
    <row r="9248">
      <c r="A9248" s="49">
        <v>45118.34602186343</v>
      </c>
      <c r="B9248" s="50">
        <v>45118.4707913773</v>
      </c>
      <c r="C9248" s="51">
        <v>0.999</v>
      </c>
      <c r="D9248" s="51">
        <v>70.0</v>
      </c>
      <c r="E9248" s="52" t="s">
        <v>25</v>
      </c>
      <c r="F9248" s="52" t="s">
        <v>26</v>
      </c>
      <c r="G9248" s="54"/>
    </row>
    <row r="9249">
      <c r="A9249" s="49">
        <v>45118.356303402776</v>
      </c>
      <c r="B9249" s="50">
        <v>45118.4812117476</v>
      </c>
      <c r="C9249" s="51">
        <v>0.999</v>
      </c>
      <c r="D9249" s="51">
        <v>70.0</v>
      </c>
      <c r="E9249" s="52" t="s">
        <v>25</v>
      </c>
      <c r="F9249" s="52" t="s">
        <v>26</v>
      </c>
      <c r="G9249" s="54"/>
    </row>
    <row r="9250">
      <c r="A9250" s="49">
        <v>45118.36672877315</v>
      </c>
      <c r="B9250" s="50">
        <v>45118.4916446296</v>
      </c>
      <c r="C9250" s="51">
        <v>0.999</v>
      </c>
      <c r="D9250" s="51">
        <v>70.0</v>
      </c>
      <c r="E9250" s="52" t="s">
        <v>25</v>
      </c>
      <c r="F9250" s="52" t="s">
        <v>26</v>
      </c>
      <c r="G9250" s="54"/>
    </row>
    <row r="9251">
      <c r="A9251" s="49">
        <v>45118.377150162036</v>
      </c>
      <c r="B9251" s="50">
        <v>45118.5020888888</v>
      </c>
      <c r="C9251" s="51">
        <v>0.999</v>
      </c>
      <c r="D9251" s="51">
        <v>70.0</v>
      </c>
      <c r="E9251" s="52" t="s">
        <v>25</v>
      </c>
      <c r="F9251" s="52" t="s">
        <v>26</v>
      </c>
      <c r="G9251" s="54"/>
    </row>
    <row r="9252">
      <c r="A9252" s="49">
        <v>45118.38755212963</v>
      </c>
      <c r="B9252" s="50">
        <v>45118.5125110764</v>
      </c>
      <c r="C9252" s="51">
        <v>0.999</v>
      </c>
      <c r="D9252" s="51">
        <v>70.0</v>
      </c>
      <c r="E9252" s="52" t="s">
        <v>25</v>
      </c>
      <c r="F9252" s="52" t="s">
        <v>26</v>
      </c>
      <c r="G9252" s="54"/>
    </row>
    <row r="9253">
      <c r="A9253" s="49">
        <v>45118.39798490741</v>
      </c>
      <c r="B9253" s="50">
        <v>45118.5229332291</v>
      </c>
      <c r="C9253" s="51">
        <v>0.999</v>
      </c>
      <c r="D9253" s="51">
        <v>70.0</v>
      </c>
      <c r="E9253" s="52" t="s">
        <v>25</v>
      </c>
      <c r="F9253" s="52" t="s">
        <v>26</v>
      </c>
      <c r="G9253" s="54"/>
    </row>
    <row r="9254">
      <c r="A9254" s="49">
        <v>45118.408407256946</v>
      </c>
      <c r="B9254" s="50">
        <v>45118.533353449</v>
      </c>
      <c r="C9254" s="51">
        <v>0.999</v>
      </c>
      <c r="D9254" s="51">
        <v>70.0</v>
      </c>
      <c r="E9254" s="52" t="s">
        <v>25</v>
      </c>
      <c r="F9254" s="52" t="s">
        <v>26</v>
      </c>
      <c r="G9254" s="54"/>
    </row>
    <row r="9255">
      <c r="A9255" s="49">
        <v>45118.41882600695</v>
      </c>
      <c r="B9255" s="50">
        <v>45118.543785706</v>
      </c>
      <c r="C9255" s="51">
        <v>0.999</v>
      </c>
      <c r="D9255" s="51">
        <v>70.0</v>
      </c>
      <c r="E9255" s="52" t="s">
        <v>25</v>
      </c>
      <c r="F9255" s="52" t="s">
        <v>26</v>
      </c>
      <c r="G9255" s="54"/>
    </row>
    <row r="9256">
      <c r="A9256" s="49">
        <v>45118.42925246528</v>
      </c>
      <c r="B9256" s="50">
        <v>45118.5542058564</v>
      </c>
      <c r="C9256" s="51">
        <v>0.999</v>
      </c>
      <c r="D9256" s="51">
        <v>70.0</v>
      </c>
      <c r="E9256" s="52" t="s">
        <v>25</v>
      </c>
      <c r="F9256" s="52" t="s">
        <v>26</v>
      </c>
      <c r="G9256" s="54"/>
    </row>
    <row r="9257">
      <c r="A9257" s="49">
        <v>45118.43967940973</v>
      </c>
      <c r="B9257" s="50">
        <v>45118.5646267129</v>
      </c>
      <c r="C9257" s="51">
        <v>0.999</v>
      </c>
      <c r="D9257" s="51">
        <v>70.0</v>
      </c>
      <c r="E9257" s="52" t="s">
        <v>25</v>
      </c>
      <c r="F9257" s="52" t="s">
        <v>26</v>
      </c>
      <c r="G9257" s="54"/>
    </row>
    <row r="9258">
      <c r="A9258" s="49">
        <v>45118.45009783565</v>
      </c>
      <c r="B9258" s="50">
        <v>45118.5750483217</v>
      </c>
      <c r="C9258" s="51">
        <v>0.999</v>
      </c>
      <c r="D9258" s="51">
        <v>70.0</v>
      </c>
      <c r="E9258" s="52" t="s">
        <v>25</v>
      </c>
      <c r="F9258" s="52" t="s">
        <v>26</v>
      </c>
      <c r="G9258" s="54"/>
    </row>
    <row r="9259">
      <c r="A9259" s="49">
        <v>45118.46054159722</v>
      </c>
      <c r="B9259" s="50">
        <v>45118.5854805902</v>
      </c>
      <c r="C9259" s="51">
        <v>0.999</v>
      </c>
      <c r="D9259" s="51">
        <v>70.0</v>
      </c>
      <c r="E9259" s="52" t="s">
        <v>25</v>
      </c>
      <c r="F9259" s="52" t="s">
        <v>26</v>
      </c>
      <c r="G9259" s="54"/>
    </row>
    <row r="9260">
      <c r="A9260" s="49">
        <v>45118.47095502315</v>
      </c>
      <c r="B9260" s="50">
        <v>45118.5959017013</v>
      </c>
      <c r="C9260" s="51">
        <v>0.999</v>
      </c>
      <c r="D9260" s="51">
        <v>70.0</v>
      </c>
      <c r="E9260" s="52" t="s">
        <v>25</v>
      </c>
      <c r="F9260" s="52" t="s">
        <v>26</v>
      </c>
      <c r="G9260" s="54"/>
    </row>
    <row r="9261">
      <c r="A9261" s="49">
        <v>45118.4813819213</v>
      </c>
      <c r="B9261" s="50">
        <v>45118.6063240277</v>
      </c>
      <c r="C9261" s="51">
        <v>0.999</v>
      </c>
      <c r="D9261" s="51">
        <v>70.0</v>
      </c>
      <c r="E9261" s="52" t="s">
        <v>25</v>
      </c>
      <c r="F9261" s="52" t="s">
        <v>26</v>
      </c>
      <c r="G9261" s="54"/>
    </row>
    <row r="9262">
      <c r="A9262" s="49">
        <v>45118.491807928236</v>
      </c>
      <c r="B9262" s="50">
        <v>45118.6167445601</v>
      </c>
      <c r="C9262" s="51">
        <v>0.999</v>
      </c>
      <c r="D9262" s="51">
        <v>70.0</v>
      </c>
      <c r="E9262" s="52" t="s">
        <v>25</v>
      </c>
      <c r="F9262" s="52" t="s">
        <v>26</v>
      </c>
      <c r="G9262" s="54"/>
    </row>
    <row r="9263">
      <c r="A9263" s="49">
        <v>45118.50225020833</v>
      </c>
      <c r="B9263" s="50">
        <v>45118.6271648379</v>
      </c>
      <c r="C9263" s="51">
        <v>0.999</v>
      </c>
      <c r="D9263" s="51">
        <v>70.0</v>
      </c>
      <c r="E9263" s="52" t="s">
        <v>25</v>
      </c>
      <c r="F9263" s="52" t="s">
        <v>26</v>
      </c>
      <c r="G9263" s="54"/>
    </row>
    <row r="9264">
      <c r="A9264" s="49">
        <v>45118.512668344905</v>
      </c>
      <c r="B9264" s="50">
        <v>45118.6375966088</v>
      </c>
      <c r="C9264" s="51">
        <v>0.999</v>
      </c>
      <c r="D9264" s="51">
        <v>70.0</v>
      </c>
      <c r="E9264" s="52" t="s">
        <v>25</v>
      </c>
      <c r="F9264" s="52" t="s">
        <v>26</v>
      </c>
      <c r="G9264" s="54"/>
    </row>
    <row r="9265">
      <c r="A9265" s="49">
        <v>45118.52309635417</v>
      </c>
      <c r="B9265" s="50">
        <v>45118.6480277662</v>
      </c>
      <c r="C9265" s="51">
        <v>0.999</v>
      </c>
      <c r="D9265" s="51">
        <v>70.0</v>
      </c>
      <c r="E9265" s="52" t="s">
        <v>25</v>
      </c>
      <c r="F9265" s="52" t="s">
        <v>26</v>
      </c>
      <c r="G9265" s="54"/>
    </row>
    <row r="9266">
      <c r="A9266" s="49">
        <v>45118.53354289352</v>
      </c>
      <c r="B9266" s="50">
        <v>45118.6584727199</v>
      </c>
      <c r="C9266" s="51">
        <v>0.999</v>
      </c>
      <c r="D9266" s="51">
        <v>70.0</v>
      </c>
      <c r="E9266" s="52" t="s">
        <v>25</v>
      </c>
      <c r="F9266" s="52" t="s">
        <v>26</v>
      </c>
      <c r="G9266" s="54"/>
    </row>
    <row r="9267">
      <c r="A9267" s="49">
        <v>45118.54395236111</v>
      </c>
      <c r="B9267" s="50">
        <v>45118.6688951041</v>
      </c>
      <c r="C9267" s="51">
        <v>0.999</v>
      </c>
      <c r="D9267" s="51">
        <v>70.0</v>
      </c>
      <c r="E9267" s="52" t="s">
        <v>25</v>
      </c>
      <c r="F9267" s="52" t="s">
        <v>26</v>
      </c>
      <c r="G9267" s="54"/>
    </row>
    <row r="9268">
      <c r="A9268" s="49">
        <v>45118.554379270834</v>
      </c>
      <c r="B9268" s="50">
        <v>45118.6793178935</v>
      </c>
      <c r="C9268" s="51">
        <v>0.999</v>
      </c>
      <c r="D9268" s="51">
        <v>70.0</v>
      </c>
      <c r="E9268" s="52" t="s">
        <v>25</v>
      </c>
      <c r="F9268" s="52" t="s">
        <v>26</v>
      </c>
      <c r="G9268" s="54"/>
    </row>
    <row r="9269">
      <c r="A9269" s="49">
        <v>45118.564791944445</v>
      </c>
      <c r="B9269" s="50">
        <v>45118.6897385879</v>
      </c>
      <c r="C9269" s="51">
        <v>0.999</v>
      </c>
      <c r="D9269" s="51">
        <v>70.0</v>
      </c>
      <c r="E9269" s="52" t="s">
        <v>25</v>
      </c>
      <c r="F9269" s="52" t="s">
        <v>26</v>
      </c>
      <c r="G9269" s="54"/>
    </row>
    <row r="9270">
      <c r="A9270" s="49">
        <v>45118.57522107639</v>
      </c>
      <c r="B9270" s="50">
        <v>45118.7001587037</v>
      </c>
      <c r="C9270" s="51">
        <v>0.999</v>
      </c>
      <c r="D9270" s="51">
        <v>70.0</v>
      </c>
      <c r="E9270" s="52" t="s">
        <v>25</v>
      </c>
      <c r="F9270" s="52" t="s">
        <v>26</v>
      </c>
      <c r="G9270" s="54"/>
    </row>
    <row r="9271">
      <c r="A9271" s="49">
        <v>45118.58566662037</v>
      </c>
      <c r="B9271" s="50">
        <v>45118.7105779745</v>
      </c>
      <c r="C9271" s="51">
        <v>0.999</v>
      </c>
      <c r="D9271" s="51">
        <v>70.0</v>
      </c>
      <c r="E9271" s="52" t="s">
        <v>25</v>
      </c>
      <c r="F9271" s="52" t="s">
        <v>26</v>
      </c>
      <c r="G9271" s="54"/>
    </row>
    <row r="9272">
      <c r="A9272" s="49">
        <v>45118.59610784722</v>
      </c>
      <c r="B9272" s="50">
        <v>45118.7210108912</v>
      </c>
      <c r="C9272" s="51">
        <v>0.999</v>
      </c>
      <c r="D9272" s="51">
        <v>70.0</v>
      </c>
      <c r="E9272" s="52" t="s">
        <v>25</v>
      </c>
      <c r="F9272" s="52" t="s">
        <v>26</v>
      </c>
      <c r="G9272" s="54"/>
    </row>
    <row r="9273">
      <c r="A9273" s="49">
        <v>45118.60651291667</v>
      </c>
      <c r="B9273" s="50">
        <v>45118.731444074</v>
      </c>
      <c r="C9273" s="51">
        <v>0.999</v>
      </c>
      <c r="D9273" s="51">
        <v>70.0</v>
      </c>
      <c r="E9273" s="52" t="s">
        <v>25</v>
      </c>
      <c r="F9273" s="52" t="s">
        <v>26</v>
      </c>
      <c r="G9273" s="54"/>
    </row>
    <row r="9274">
      <c r="A9274" s="49">
        <v>45118.61695304398</v>
      </c>
      <c r="B9274" s="50">
        <v>45118.7418653819</v>
      </c>
      <c r="C9274" s="51">
        <v>0.999</v>
      </c>
      <c r="D9274" s="51">
        <v>70.0</v>
      </c>
      <c r="E9274" s="52" t="s">
        <v>25</v>
      </c>
      <c r="F9274" s="52" t="s">
        <v>26</v>
      </c>
      <c r="G9274" s="54"/>
    </row>
    <row r="9275">
      <c r="A9275" s="49">
        <v>45118.62731847222</v>
      </c>
      <c r="B9275" s="50">
        <v>45118.7522868055</v>
      </c>
      <c r="C9275" s="51">
        <v>0.999</v>
      </c>
      <c r="D9275" s="51">
        <v>70.0</v>
      </c>
      <c r="E9275" s="52" t="s">
        <v>25</v>
      </c>
      <c r="F9275" s="52" t="s">
        <v>26</v>
      </c>
      <c r="G9275" s="54"/>
    </row>
    <row r="9276">
      <c r="A9276" s="49">
        <v>45118.63776182871</v>
      </c>
      <c r="B9276" s="50">
        <v>45118.7627303009</v>
      </c>
      <c r="C9276" s="51">
        <v>0.999</v>
      </c>
      <c r="D9276" s="51">
        <v>70.0</v>
      </c>
      <c r="E9276" s="52" t="s">
        <v>25</v>
      </c>
      <c r="F9276" s="52" t="s">
        <v>26</v>
      </c>
      <c r="G9276" s="54"/>
    </row>
    <row r="9277">
      <c r="A9277" s="49">
        <v>45118.64817439815</v>
      </c>
      <c r="B9277" s="50">
        <v>45118.7731513426</v>
      </c>
      <c r="C9277" s="51">
        <v>0.999</v>
      </c>
      <c r="D9277" s="51">
        <v>70.0</v>
      </c>
      <c r="E9277" s="52" t="s">
        <v>25</v>
      </c>
      <c r="F9277" s="52" t="s">
        <v>26</v>
      </c>
      <c r="G9277" s="54"/>
    </row>
    <row r="9278">
      <c r="A9278" s="49">
        <v>45118.658615416665</v>
      </c>
      <c r="B9278" s="50">
        <v>45118.7835830902</v>
      </c>
      <c r="C9278" s="51">
        <v>0.999</v>
      </c>
      <c r="D9278" s="51">
        <v>70.0</v>
      </c>
      <c r="E9278" s="52" t="s">
        <v>25</v>
      </c>
      <c r="F9278" s="52" t="s">
        <v>26</v>
      </c>
      <c r="G9278" s="54"/>
    </row>
    <row r="9279">
      <c r="A9279" s="49">
        <v>45118.66902262731</v>
      </c>
      <c r="B9279" s="50">
        <v>45118.7940023842</v>
      </c>
      <c r="C9279" s="51">
        <v>0.999</v>
      </c>
      <c r="D9279" s="51">
        <v>70.0</v>
      </c>
      <c r="E9279" s="52" t="s">
        <v>25</v>
      </c>
      <c r="F9279" s="52" t="s">
        <v>26</v>
      </c>
      <c r="G9279" s="54"/>
    </row>
    <row r="9280">
      <c r="A9280" s="49">
        <v>45118.67945247685</v>
      </c>
      <c r="B9280" s="50">
        <v>45118.8044230324</v>
      </c>
      <c r="C9280" s="51">
        <v>0.999</v>
      </c>
      <c r="D9280" s="51">
        <v>70.0</v>
      </c>
      <c r="E9280" s="52" t="s">
        <v>25</v>
      </c>
      <c r="F9280" s="52" t="s">
        <v>26</v>
      </c>
      <c r="G9280" s="54"/>
    </row>
    <row r="9281">
      <c r="A9281" s="49">
        <v>45118.689882499995</v>
      </c>
      <c r="B9281" s="50">
        <v>45118.8148550578</v>
      </c>
      <c r="C9281" s="51">
        <v>0.999</v>
      </c>
      <c r="D9281" s="51">
        <v>70.0</v>
      </c>
      <c r="E9281" s="52" t="s">
        <v>25</v>
      </c>
      <c r="F9281" s="52" t="s">
        <v>26</v>
      </c>
      <c r="G9281" s="54"/>
    </row>
    <row r="9282">
      <c r="A9282" s="49">
        <v>45118.70029822917</v>
      </c>
      <c r="B9282" s="50">
        <v>45118.8252761458</v>
      </c>
      <c r="C9282" s="51">
        <v>0.999</v>
      </c>
      <c r="D9282" s="51">
        <v>70.0</v>
      </c>
      <c r="E9282" s="52" t="s">
        <v>25</v>
      </c>
      <c r="F9282" s="52" t="s">
        <v>26</v>
      </c>
      <c r="G9282" s="54"/>
    </row>
    <row r="9283">
      <c r="A9283" s="49">
        <v>45118.71072739583</v>
      </c>
      <c r="B9283" s="50">
        <v>45118.83569625</v>
      </c>
      <c r="C9283" s="51">
        <v>0.999</v>
      </c>
      <c r="D9283" s="51">
        <v>70.0</v>
      </c>
      <c r="E9283" s="52" t="s">
        <v>25</v>
      </c>
      <c r="F9283" s="52" t="s">
        <v>26</v>
      </c>
      <c r="G9283" s="54"/>
    </row>
    <row r="9284">
      <c r="A9284" s="49">
        <v>45118.72113846065</v>
      </c>
      <c r="B9284" s="50">
        <v>45118.846117662</v>
      </c>
      <c r="C9284" s="51">
        <v>0.999</v>
      </c>
      <c r="D9284" s="51">
        <v>70.0</v>
      </c>
      <c r="E9284" s="52" t="s">
        <v>25</v>
      </c>
      <c r="F9284" s="52" t="s">
        <v>26</v>
      </c>
      <c r="G9284" s="54"/>
    </row>
    <row r="9285">
      <c r="A9285" s="49">
        <v>45118.73156616898</v>
      </c>
      <c r="B9285" s="50">
        <v>45118.8565380787</v>
      </c>
      <c r="C9285" s="51">
        <v>0.999</v>
      </c>
      <c r="D9285" s="51">
        <v>70.0</v>
      </c>
      <c r="E9285" s="52" t="s">
        <v>25</v>
      </c>
      <c r="F9285" s="52" t="s">
        <v>26</v>
      </c>
      <c r="G9285" s="54"/>
    </row>
    <row r="9286">
      <c r="A9286" s="49">
        <v>45118.7419903588</v>
      </c>
      <c r="B9286" s="50">
        <v>45118.8669585532</v>
      </c>
      <c r="C9286" s="51">
        <v>0.999</v>
      </c>
      <c r="D9286" s="51">
        <v>70.0</v>
      </c>
      <c r="E9286" s="52" t="s">
        <v>25</v>
      </c>
      <c r="F9286" s="52" t="s">
        <v>26</v>
      </c>
      <c r="G9286" s="54"/>
    </row>
    <row r="9287">
      <c r="A9287" s="49">
        <v>45118.752413912036</v>
      </c>
      <c r="B9287" s="50">
        <v>45118.8773917824</v>
      </c>
      <c r="C9287" s="51">
        <v>0.999</v>
      </c>
      <c r="D9287" s="51">
        <v>70.0</v>
      </c>
      <c r="E9287" s="52" t="s">
        <v>25</v>
      </c>
      <c r="F9287" s="52" t="s">
        <v>26</v>
      </c>
      <c r="G9287" s="54"/>
    </row>
    <row r="9288">
      <c r="A9288" s="49">
        <v>45118.76284251157</v>
      </c>
      <c r="B9288" s="50">
        <v>45118.8878111689</v>
      </c>
      <c r="C9288" s="51">
        <v>0.999</v>
      </c>
      <c r="D9288" s="51">
        <v>70.0</v>
      </c>
      <c r="E9288" s="52" t="s">
        <v>25</v>
      </c>
      <c r="F9288" s="52" t="s">
        <v>26</v>
      </c>
      <c r="G9288" s="54"/>
    </row>
    <row r="9289">
      <c r="A9289" s="49">
        <v>45118.77325679398</v>
      </c>
      <c r="B9289" s="50">
        <v>45118.8982310648</v>
      </c>
      <c r="C9289" s="51">
        <v>0.999</v>
      </c>
      <c r="D9289" s="51">
        <v>70.0</v>
      </c>
      <c r="E9289" s="52" t="s">
        <v>25</v>
      </c>
      <c r="F9289" s="52" t="s">
        <v>26</v>
      </c>
      <c r="G9289" s="54"/>
    </row>
    <row r="9290">
      <c r="A9290" s="49">
        <v>45118.783690972225</v>
      </c>
      <c r="B9290" s="50">
        <v>45118.908651412</v>
      </c>
      <c r="C9290" s="51">
        <v>0.999</v>
      </c>
      <c r="D9290" s="51">
        <v>70.0</v>
      </c>
      <c r="E9290" s="52" t="s">
        <v>25</v>
      </c>
      <c r="F9290" s="52" t="s">
        <v>26</v>
      </c>
      <c r="G9290" s="54"/>
    </row>
    <row r="9291">
      <c r="A9291" s="49">
        <v>45118.79410194444</v>
      </c>
      <c r="B9291" s="50">
        <v>45118.9190699999</v>
      </c>
      <c r="C9291" s="51">
        <v>0.999</v>
      </c>
      <c r="D9291" s="51">
        <v>70.0</v>
      </c>
      <c r="E9291" s="52" t="s">
        <v>25</v>
      </c>
      <c r="F9291" s="52" t="s">
        <v>26</v>
      </c>
      <c r="G9291" s="54"/>
    </row>
    <row r="9292">
      <c r="A9292" s="49">
        <v>45118.80451652777</v>
      </c>
      <c r="B9292" s="50">
        <v>45118.9294928009</v>
      </c>
      <c r="C9292" s="51">
        <v>0.999</v>
      </c>
      <c r="D9292" s="51">
        <v>70.0</v>
      </c>
      <c r="E9292" s="52" t="s">
        <v>25</v>
      </c>
      <c r="F9292" s="52" t="s">
        <v>26</v>
      </c>
      <c r="G9292" s="54"/>
    </row>
    <row r="9293">
      <c r="A9293" s="49">
        <v>45118.814948125</v>
      </c>
      <c r="B9293" s="50">
        <v>45118.9399127662</v>
      </c>
      <c r="C9293" s="51">
        <v>0.999</v>
      </c>
      <c r="D9293" s="51">
        <v>70.0</v>
      </c>
      <c r="E9293" s="52" t="s">
        <v>25</v>
      </c>
      <c r="F9293" s="52" t="s">
        <v>26</v>
      </c>
      <c r="G9293" s="54"/>
    </row>
    <row r="9294">
      <c r="A9294" s="49">
        <v>45118.825363993055</v>
      </c>
      <c r="B9294" s="50">
        <v>45118.9503340046</v>
      </c>
      <c r="C9294" s="51">
        <v>0.999</v>
      </c>
      <c r="D9294" s="51">
        <v>70.0</v>
      </c>
      <c r="E9294" s="52" t="s">
        <v>25</v>
      </c>
      <c r="F9294" s="52" t="s">
        <v>26</v>
      </c>
      <c r="G9294" s="54"/>
    </row>
    <row r="9295">
      <c r="A9295" s="49">
        <v>45118.835804664355</v>
      </c>
      <c r="B9295" s="50">
        <v>45118.9607774189</v>
      </c>
      <c r="C9295" s="51">
        <v>0.999</v>
      </c>
      <c r="D9295" s="51">
        <v>70.0</v>
      </c>
      <c r="E9295" s="52" t="s">
        <v>25</v>
      </c>
      <c r="F9295" s="52" t="s">
        <v>26</v>
      </c>
      <c r="G9295" s="54"/>
    </row>
    <row r="9296">
      <c r="A9296" s="49">
        <v>45118.84622828704</v>
      </c>
      <c r="B9296" s="50">
        <v>45118.971199618</v>
      </c>
      <c r="C9296" s="51">
        <v>0.999</v>
      </c>
      <c r="D9296" s="51">
        <v>70.0</v>
      </c>
      <c r="E9296" s="52" t="s">
        <v>25</v>
      </c>
      <c r="F9296" s="52" t="s">
        <v>26</v>
      </c>
      <c r="G9296" s="54"/>
    </row>
    <row r="9297">
      <c r="A9297" s="49">
        <v>45118.856643680556</v>
      </c>
      <c r="B9297" s="50">
        <v>45118.9816219328</v>
      </c>
      <c r="C9297" s="51">
        <v>0.999</v>
      </c>
      <c r="D9297" s="51">
        <v>70.0</v>
      </c>
      <c r="E9297" s="52" t="s">
        <v>25</v>
      </c>
      <c r="F9297" s="52" t="s">
        <v>26</v>
      </c>
      <c r="G9297" s="54"/>
    </row>
    <row r="9298">
      <c r="A9298" s="49">
        <v>45118.86708082176</v>
      </c>
      <c r="B9298" s="50">
        <v>45118.9920426273</v>
      </c>
      <c r="C9298" s="51">
        <v>0.999</v>
      </c>
      <c r="D9298" s="51">
        <v>70.0</v>
      </c>
      <c r="E9298" s="52" t="s">
        <v>25</v>
      </c>
      <c r="F9298" s="52" t="s">
        <v>26</v>
      </c>
      <c r="G9298" s="54"/>
    </row>
    <row r="9299">
      <c r="A9299" s="49">
        <v>45118.87749550926</v>
      </c>
      <c r="B9299" s="50">
        <v>45119.0024653009</v>
      </c>
      <c r="C9299" s="51">
        <v>0.999</v>
      </c>
      <c r="D9299" s="51">
        <v>70.0</v>
      </c>
      <c r="E9299" s="52" t="s">
        <v>25</v>
      </c>
      <c r="F9299" s="52" t="s">
        <v>26</v>
      </c>
      <c r="G9299" s="54"/>
    </row>
    <row r="9300">
      <c r="A9300" s="49">
        <v>45118.88791875</v>
      </c>
      <c r="B9300" s="50">
        <v>45119.0128868518</v>
      </c>
      <c r="C9300" s="51">
        <v>0.999</v>
      </c>
      <c r="D9300" s="51">
        <v>70.0</v>
      </c>
      <c r="E9300" s="52" t="s">
        <v>25</v>
      </c>
      <c r="F9300" s="52" t="s">
        <v>26</v>
      </c>
      <c r="G9300" s="54"/>
    </row>
    <row r="9301">
      <c r="A9301" s="49">
        <v>45118.89835836805</v>
      </c>
      <c r="B9301" s="50">
        <v>45119.0233305787</v>
      </c>
      <c r="C9301" s="51">
        <v>0.999</v>
      </c>
      <c r="D9301" s="51">
        <v>70.0</v>
      </c>
      <c r="E9301" s="52" t="s">
        <v>25</v>
      </c>
      <c r="F9301" s="52" t="s">
        <v>26</v>
      </c>
      <c r="G9301" s="54"/>
    </row>
    <row r="9302">
      <c r="A9302" s="49">
        <v>45118.9087840625</v>
      </c>
      <c r="B9302" s="50">
        <v>45119.0337640277</v>
      </c>
      <c r="C9302" s="51">
        <v>0.999</v>
      </c>
      <c r="D9302" s="51">
        <v>70.0</v>
      </c>
      <c r="E9302" s="52" t="s">
        <v>25</v>
      </c>
      <c r="F9302" s="52" t="s">
        <v>26</v>
      </c>
      <c r="G9302" s="54"/>
    </row>
    <row r="9303">
      <c r="A9303" s="49">
        <v>45118.91922611111</v>
      </c>
      <c r="B9303" s="50">
        <v>45119.0441952083</v>
      </c>
      <c r="C9303" s="51">
        <v>0.999</v>
      </c>
      <c r="D9303" s="51">
        <v>70.0</v>
      </c>
      <c r="E9303" s="52" t="s">
        <v>25</v>
      </c>
      <c r="F9303" s="52" t="s">
        <v>26</v>
      </c>
      <c r="G9303" s="54"/>
    </row>
    <row r="9304">
      <c r="A9304" s="49">
        <v>45118.92964484954</v>
      </c>
      <c r="B9304" s="50">
        <v>45119.0546183449</v>
      </c>
      <c r="C9304" s="51">
        <v>0.999</v>
      </c>
      <c r="D9304" s="51">
        <v>70.0</v>
      </c>
      <c r="E9304" s="52" t="s">
        <v>25</v>
      </c>
      <c r="F9304" s="52" t="s">
        <v>26</v>
      </c>
      <c r="G9304" s="54"/>
    </row>
    <row r="9305">
      <c r="A9305" s="49">
        <v>45118.940068634256</v>
      </c>
      <c r="B9305" s="50">
        <v>45119.0650392939</v>
      </c>
      <c r="C9305" s="51">
        <v>0.999</v>
      </c>
      <c r="D9305" s="51">
        <v>70.0</v>
      </c>
      <c r="E9305" s="52" t="s">
        <v>25</v>
      </c>
      <c r="F9305" s="52" t="s">
        <v>26</v>
      </c>
      <c r="G9305" s="54"/>
    </row>
    <row r="9306">
      <c r="A9306" s="49">
        <v>45118.950480775464</v>
      </c>
      <c r="B9306" s="50">
        <v>45119.0754607291</v>
      </c>
      <c r="C9306" s="51">
        <v>0.999</v>
      </c>
      <c r="D9306" s="51">
        <v>70.0</v>
      </c>
      <c r="E9306" s="52" t="s">
        <v>25</v>
      </c>
      <c r="F9306" s="52" t="s">
        <v>26</v>
      </c>
      <c r="G9306" s="54"/>
    </row>
    <row r="9307">
      <c r="A9307" s="49">
        <v>45118.960919791665</v>
      </c>
      <c r="B9307" s="50">
        <v>45119.0858827777</v>
      </c>
      <c r="C9307" s="51">
        <v>0.999</v>
      </c>
      <c r="D9307" s="51">
        <v>70.0</v>
      </c>
      <c r="E9307" s="52" t="s">
        <v>25</v>
      </c>
      <c r="F9307" s="52" t="s">
        <v>26</v>
      </c>
      <c r="G9307" s="54"/>
    </row>
    <row r="9308">
      <c r="A9308" s="49">
        <v>45118.971324722224</v>
      </c>
      <c r="B9308" s="50">
        <v>45119.0963029629</v>
      </c>
      <c r="C9308" s="51">
        <v>0.999</v>
      </c>
      <c r="D9308" s="51">
        <v>70.0</v>
      </c>
      <c r="E9308" s="52" t="s">
        <v>25</v>
      </c>
      <c r="F9308" s="52" t="s">
        <v>26</v>
      </c>
      <c r="G9308" s="54"/>
    </row>
    <row r="9309">
      <c r="A9309" s="49">
        <v>45118.98175208333</v>
      </c>
      <c r="B9309" s="50">
        <v>45119.1067227546</v>
      </c>
      <c r="C9309" s="51">
        <v>0.999</v>
      </c>
      <c r="D9309" s="51">
        <v>70.0</v>
      </c>
      <c r="E9309" s="52" t="s">
        <v>25</v>
      </c>
      <c r="F9309" s="52" t="s">
        <v>26</v>
      </c>
      <c r="G9309" s="54"/>
    </row>
    <row r="9310">
      <c r="A9310" s="49">
        <v>45118.992170833335</v>
      </c>
      <c r="B9310" s="50">
        <v>45119.1171431828</v>
      </c>
      <c r="C9310" s="51">
        <v>0.999</v>
      </c>
      <c r="D9310" s="51">
        <v>70.0</v>
      </c>
      <c r="E9310" s="52" t="s">
        <v>25</v>
      </c>
      <c r="F9310" s="52" t="s">
        <v>26</v>
      </c>
      <c r="G9310" s="54"/>
    </row>
    <row r="9311">
      <c r="A9311" s="49">
        <v>45119.00258775463</v>
      </c>
      <c r="B9311" s="50">
        <v>45119.1275640625</v>
      </c>
      <c r="C9311" s="51">
        <v>0.999</v>
      </c>
      <c r="D9311" s="51">
        <v>70.0</v>
      </c>
      <c r="E9311" s="52" t="s">
        <v>25</v>
      </c>
      <c r="F9311" s="52" t="s">
        <v>26</v>
      </c>
      <c r="G9311" s="54"/>
    </row>
    <row r="9312">
      <c r="A9312" s="49">
        <v>45119.0130230787</v>
      </c>
      <c r="B9312" s="50">
        <v>45119.1379848726</v>
      </c>
      <c r="C9312" s="51">
        <v>0.999</v>
      </c>
      <c r="D9312" s="51">
        <v>70.0</v>
      </c>
      <c r="E9312" s="52" t="s">
        <v>25</v>
      </c>
      <c r="F9312" s="52" t="s">
        <v>26</v>
      </c>
      <c r="G9312" s="54"/>
    </row>
    <row r="9313">
      <c r="A9313" s="49">
        <v>45119.023432256945</v>
      </c>
      <c r="B9313" s="50">
        <v>45119.1484038425</v>
      </c>
      <c r="C9313" s="51">
        <v>0.999</v>
      </c>
      <c r="D9313" s="51">
        <v>70.0</v>
      </c>
      <c r="E9313" s="52" t="s">
        <v>25</v>
      </c>
      <c r="F9313" s="52" t="s">
        <v>26</v>
      </c>
      <c r="G9313" s="54"/>
    </row>
    <row r="9314">
      <c r="A9314" s="49">
        <v>45119.033854733796</v>
      </c>
      <c r="B9314" s="50">
        <v>45119.1588259259</v>
      </c>
      <c r="C9314" s="51">
        <v>0.999</v>
      </c>
      <c r="D9314" s="51">
        <v>70.0</v>
      </c>
      <c r="E9314" s="52" t="s">
        <v>25</v>
      </c>
      <c r="F9314" s="52" t="s">
        <v>26</v>
      </c>
      <c r="G9314" s="54"/>
    </row>
    <row r="9315">
      <c r="A9315" s="49">
        <v>45119.04427864583</v>
      </c>
      <c r="B9315" s="50">
        <v>45119.1692463078</v>
      </c>
      <c r="C9315" s="51">
        <v>0.999</v>
      </c>
      <c r="D9315" s="51">
        <v>70.0</v>
      </c>
      <c r="E9315" s="52" t="s">
        <v>25</v>
      </c>
      <c r="F9315" s="52" t="s">
        <v>26</v>
      </c>
      <c r="G9315" s="54"/>
    </row>
    <row r="9316">
      <c r="A9316" s="49">
        <v>45119.05469164352</v>
      </c>
      <c r="B9316" s="50">
        <v>45119.1796664351</v>
      </c>
      <c r="C9316" s="51">
        <v>0.999</v>
      </c>
      <c r="D9316" s="51">
        <v>70.0</v>
      </c>
      <c r="E9316" s="52" t="s">
        <v>25</v>
      </c>
      <c r="F9316" s="52" t="s">
        <v>26</v>
      </c>
      <c r="G9316" s="54"/>
    </row>
    <row r="9317">
      <c r="A9317" s="49">
        <v>45119.06512351852</v>
      </c>
      <c r="B9317" s="50">
        <v>45119.190085868</v>
      </c>
      <c r="C9317" s="51">
        <v>0.999</v>
      </c>
      <c r="D9317" s="51">
        <v>70.0</v>
      </c>
      <c r="E9317" s="52" t="s">
        <v>25</v>
      </c>
      <c r="F9317" s="52" t="s">
        <v>26</v>
      </c>
      <c r="G9317" s="54"/>
    </row>
    <row r="9318">
      <c r="A9318" s="49">
        <v>45119.07555871528</v>
      </c>
      <c r="B9318" s="50">
        <v>45119.2005305439</v>
      </c>
      <c r="C9318" s="51">
        <v>0.999</v>
      </c>
      <c r="D9318" s="51">
        <v>70.0</v>
      </c>
      <c r="E9318" s="52" t="s">
        <v>25</v>
      </c>
      <c r="F9318" s="52" t="s">
        <v>26</v>
      </c>
      <c r="G9318" s="54"/>
    </row>
    <row r="9319">
      <c r="A9319" s="49">
        <v>45119.08598827546</v>
      </c>
      <c r="B9319" s="50">
        <v>45119.210952824</v>
      </c>
      <c r="C9319" s="51">
        <v>0.999</v>
      </c>
      <c r="D9319" s="51">
        <v>70.0</v>
      </c>
      <c r="E9319" s="52" t="s">
        <v>25</v>
      </c>
      <c r="F9319" s="52" t="s">
        <v>26</v>
      </c>
      <c r="G9319" s="54"/>
    </row>
    <row r="9320">
      <c r="A9320" s="49">
        <v>45119.096401469906</v>
      </c>
      <c r="B9320" s="50">
        <v>45119.2213734606</v>
      </c>
      <c r="C9320" s="51">
        <v>0.999</v>
      </c>
      <c r="D9320" s="51">
        <v>70.0</v>
      </c>
      <c r="E9320" s="52" t="s">
        <v>25</v>
      </c>
      <c r="F9320" s="52" t="s">
        <v>26</v>
      </c>
      <c r="G9320" s="54"/>
    </row>
    <row r="9321">
      <c r="A9321" s="49">
        <v>45119.1068241551</v>
      </c>
      <c r="B9321" s="50">
        <v>45119.2317940277</v>
      </c>
      <c r="C9321" s="51">
        <v>0.999</v>
      </c>
      <c r="D9321" s="51">
        <v>70.0</v>
      </c>
      <c r="E9321" s="52" t="s">
        <v>25</v>
      </c>
      <c r="F9321" s="52" t="s">
        <v>26</v>
      </c>
      <c r="G9321" s="54"/>
    </row>
    <row r="9322">
      <c r="A9322" s="49">
        <v>45119.1172484375</v>
      </c>
      <c r="B9322" s="50">
        <v>45119.2422168171</v>
      </c>
      <c r="C9322" s="51">
        <v>0.999</v>
      </c>
      <c r="D9322" s="51">
        <v>70.0</v>
      </c>
      <c r="E9322" s="52" t="s">
        <v>25</v>
      </c>
      <c r="F9322" s="52" t="s">
        <v>26</v>
      </c>
      <c r="G9322" s="54"/>
    </row>
    <row r="9323">
      <c r="A9323" s="49">
        <v>45119.12766766203</v>
      </c>
      <c r="B9323" s="50">
        <v>45119.2526360416</v>
      </c>
      <c r="C9323" s="51">
        <v>0.999</v>
      </c>
      <c r="D9323" s="51">
        <v>70.0</v>
      </c>
      <c r="E9323" s="52" t="s">
        <v>25</v>
      </c>
      <c r="F9323" s="52" t="s">
        <v>26</v>
      </c>
      <c r="G9323" s="54"/>
    </row>
    <row r="9324">
      <c r="A9324" s="49">
        <v>45119.13809091435</v>
      </c>
      <c r="B9324" s="50">
        <v>45119.2630570023</v>
      </c>
      <c r="C9324" s="51">
        <v>0.999</v>
      </c>
      <c r="D9324" s="51">
        <v>70.0</v>
      </c>
      <c r="E9324" s="52" t="s">
        <v>25</v>
      </c>
      <c r="F9324" s="52" t="s">
        <v>26</v>
      </c>
      <c r="G9324" s="54"/>
    </row>
    <row r="9325">
      <c r="A9325" s="49">
        <v>45119.14851315972</v>
      </c>
      <c r="B9325" s="50">
        <v>45119.2734904629</v>
      </c>
      <c r="C9325" s="51">
        <v>0.999</v>
      </c>
      <c r="D9325" s="51">
        <v>70.0</v>
      </c>
      <c r="E9325" s="52" t="s">
        <v>25</v>
      </c>
      <c r="F9325" s="52" t="s">
        <v>26</v>
      </c>
      <c r="G9325" s="54"/>
    </row>
    <row r="9326">
      <c r="A9326" s="49">
        <v>45119.15895033565</v>
      </c>
      <c r="B9326" s="50">
        <v>45119.2839226967</v>
      </c>
      <c r="C9326" s="51">
        <v>0.999</v>
      </c>
      <c r="D9326" s="51">
        <v>70.0</v>
      </c>
      <c r="E9326" s="52" t="s">
        <v>25</v>
      </c>
      <c r="F9326" s="52" t="s">
        <v>26</v>
      </c>
      <c r="G9326" s="54"/>
    </row>
    <row r="9327">
      <c r="A9327" s="49">
        <v>45119.16936842592</v>
      </c>
      <c r="B9327" s="50">
        <v>45119.2943461342</v>
      </c>
      <c r="C9327" s="51">
        <v>0.999</v>
      </c>
      <c r="D9327" s="51">
        <v>70.0</v>
      </c>
      <c r="E9327" s="52" t="s">
        <v>25</v>
      </c>
      <c r="F9327" s="52" t="s">
        <v>26</v>
      </c>
      <c r="G9327" s="54"/>
    </row>
    <row r="9328">
      <c r="A9328" s="49">
        <v>45119.17979480324</v>
      </c>
      <c r="B9328" s="50">
        <v>45119.3047678472</v>
      </c>
      <c r="C9328" s="51">
        <v>0.999</v>
      </c>
      <c r="D9328" s="51">
        <v>70.0</v>
      </c>
      <c r="E9328" s="52" t="s">
        <v>25</v>
      </c>
      <c r="F9328" s="52" t="s">
        <v>26</v>
      </c>
      <c r="G9328" s="54"/>
    </row>
    <row r="9329">
      <c r="A9329" s="49">
        <v>45119.190237187504</v>
      </c>
      <c r="B9329" s="50">
        <v>45119.3152129976</v>
      </c>
      <c r="C9329" s="51">
        <v>0.999</v>
      </c>
      <c r="D9329" s="51">
        <v>70.0</v>
      </c>
      <c r="E9329" s="52" t="s">
        <v>25</v>
      </c>
      <c r="F9329" s="52" t="s">
        <v>26</v>
      </c>
      <c r="G9329" s="54"/>
    </row>
    <row r="9330">
      <c r="A9330" s="49">
        <v>45119.20066800926</v>
      </c>
      <c r="B9330" s="50">
        <v>45119.3256348842</v>
      </c>
      <c r="C9330" s="51">
        <v>0.999</v>
      </c>
      <c r="D9330" s="51">
        <v>70.0</v>
      </c>
      <c r="E9330" s="52" t="s">
        <v>25</v>
      </c>
      <c r="F9330" s="52" t="s">
        <v>26</v>
      </c>
      <c r="G9330" s="54"/>
    </row>
    <row r="9331">
      <c r="A9331" s="49">
        <v>45119.21109030093</v>
      </c>
      <c r="B9331" s="50">
        <v>45119.3360556712</v>
      </c>
      <c r="C9331" s="51">
        <v>0.999</v>
      </c>
      <c r="D9331" s="51">
        <v>70.0</v>
      </c>
      <c r="E9331" s="52" t="s">
        <v>25</v>
      </c>
      <c r="F9331" s="52" t="s">
        <v>26</v>
      </c>
      <c r="G9331" s="54"/>
    </row>
    <row r="9332">
      <c r="A9332" s="49">
        <v>45119.22151402778</v>
      </c>
      <c r="B9332" s="50">
        <v>45119.3464776851</v>
      </c>
      <c r="C9332" s="51">
        <v>0.999</v>
      </c>
      <c r="D9332" s="51">
        <v>70.0</v>
      </c>
      <c r="E9332" s="52" t="s">
        <v>25</v>
      </c>
      <c r="F9332" s="52" t="s">
        <v>26</v>
      </c>
      <c r="G9332" s="54"/>
    </row>
    <row r="9333">
      <c r="A9333" s="49">
        <v>45119.23194943287</v>
      </c>
      <c r="B9333" s="50">
        <v>45119.3568982754</v>
      </c>
      <c r="C9333" s="51">
        <v>0.999</v>
      </c>
      <c r="D9333" s="51">
        <v>70.0</v>
      </c>
      <c r="E9333" s="52" t="s">
        <v>25</v>
      </c>
      <c r="F9333" s="52" t="s">
        <v>26</v>
      </c>
      <c r="G9333" s="54"/>
    </row>
    <row r="9334">
      <c r="A9334" s="49">
        <v>45119.24235211806</v>
      </c>
      <c r="B9334" s="50">
        <v>45119.3673204861</v>
      </c>
      <c r="C9334" s="51">
        <v>0.999</v>
      </c>
      <c r="D9334" s="51">
        <v>70.0</v>
      </c>
      <c r="E9334" s="52" t="s">
        <v>25</v>
      </c>
      <c r="F9334" s="52" t="s">
        <v>26</v>
      </c>
      <c r="G9334" s="54"/>
    </row>
    <row r="9335">
      <c r="A9335" s="49">
        <v>45119.25281928241</v>
      </c>
      <c r="B9335" s="50">
        <v>45119.3777532291</v>
      </c>
      <c r="C9335" s="51">
        <v>0.999</v>
      </c>
      <c r="D9335" s="51">
        <v>70.0</v>
      </c>
      <c r="E9335" s="52" t="s">
        <v>25</v>
      </c>
      <c r="F9335" s="52" t="s">
        <v>26</v>
      </c>
      <c r="G9335" s="54"/>
    </row>
    <row r="9336">
      <c r="A9336" s="49">
        <v>45119.263216782405</v>
      </c>
      <c r="B9336" s="50">
        <v>45119.3881882754</v>
      </c>
      <c r="C9336" s="51">
        <v>0.999</v>
      </c>
      <c r="D9336" s="51">
        <v>70.0</v>
      </c>
      <c r="E9336" s="52" t="s">
        <v>25</v>
      </c>
      <c r="F9336" s="52" t="s">
        <v>26</v>
      </c>
      <c r="G9336" s="54"/>
    </row>
    <row r="9337">
      <c r="A9337" s="49">
        <v>45119.27365422454</v>
      </c>
      <c r="B9337" s="50">
        <v>45119.3986103703</v>
      </c>
      <c r="C9337" s="51">
        <v>0.999</v>
      </c>
      <c r="D9337" s="51">
        <v>70.0</v>
      </c>
      <c r="E9337" s="52" t="s">
        <v>25</v>
      </c>
      <c r="F9337" s="52" t="s">
        <v>26</v>
      </c>
      <c r="G9337" s="54"/>
    </row>
    <row r="9338">
      <c r="A9338" s="49">
        <v>45119.28408670139</v>
      </c>
      <c r="B9338" s="50">
        <v>45119.4090426157</v>
      </c>
      <c r="C9338" s="51">
        <v>0.999</v>
      </c>
      <c r="D9338" s="51">
        <v>70.0</v>
      </c>
      <c r="E9338" s="52" t="s">
        <v>25</v>
      </c>
      <c r="F9338" s="52" t="s">
        <v>26</v>
      </c>
      <c r="G9338" s="54"/>
    </row>
    <row r="9339">
      <c r="A9339" s="49">
        <v>45119.294535243054</v>
      </c>
      <c r="B9339" s="50">
        <v>45119.4194746296</v>
      </c>
      <c r="C9339" s="51">
        <v>0.999</v>
      </c>
      <c r="D9339" s="51">
        <v>70.0</v>
      </c>
      <c r="E9339" s="52" t="s">
        <v>25</v>
      </c>
      <c r="F9339" s="52" t="s">
        <v>26</v>
      </c>
      <c r="G9339" s="54"/>
    </row>
    <row r="9340">
      <c r="A9340" s="49">
        <v>45119.30492299769</v>
      </c>
      <c r="B9340" s="50">
        <v>45119.42989375</v>
      </c>
      <c r="C9340" s="51">
        <v>0.999</v>
      </c>
      <c r="D9340" s="51">
        <v>70.0</v>
      </c>
      <c r="E9340" s="52" t="s">
        <v>25</v>
      </c>
      <c r="F9340" s="52" t="s">
        <v>26</v>
      </c>
      <c r="G9340" s="54"/>
    </row>
    <row r="9341">
      <c r="A9341" s="49">
        <v>45119.31543101852</v>
      </c>
      <c r="B9341" s="50">
        <v>45119.4403372569</v>
      </c>
      <c r="C9341" s="51">
        <v>0.999</v>
      </c>
      <c r="D9341" s="51">
        <v>70.0</v>
      </c>
      <c r="E9341" s="52" t="s">
        <v>25</v>
      </c>
      <c r="F9341" s="52" t="s">
        <v>26</v>
      </c>
      <c r="G9341" s="54"/>
    </row>
    <row r="9342">
      <c r="A9342" s="49">
        <v>45119.325790937495</v>
      </c>
      <c r="B9342" s="50">
        <v>45119.4507571527</v>
      </c>
      <c r="C9342" s="51">
        <v>0.999</v>
      </c>
      <c r="D9342" s="51">
        <v>70.0</v>
      </c>
      <c r="E9342" s="52" t="s">
        <v>25</v>
      </c>
      <c r="F9342" s="52" t="s">
        <v>26</v>
      </c>
      <c r="G9342" s="54"/>
    </row>
    <row r="9343">
      <c r="A9343" s="49">
        <v>45119.33620439815</v>
      </c>
      <c r="B9343" s="50">
        <v>45119.4611789236</v>
      </c>
      <c r="C9343" s="51">
        <v>0.999</v>
      </c>
      <c r="D9343" s="51">
        <v>70.0</v>
      </c>
      <c r="E9343" s="52" t="s">
        <v>25</v>
      </c>
      <c r="F9343" s="52" t="s">
        <v>26</v>
      </c>
      <c r="G9343" s="54"/>
    </row>
    <row r="9344">
      <c r="A9344" s="49">
        <v>45119.346702951385</v>
      </c>
      <c r="B9344" s="50">
        <v>45119.4716109606</v>
      </c>
      <c r="C9344" s="51">
        <v>0.999</v>
      </c>
      <c r="D9344" s="51">
        <v>70.0</v>
      </c>
      <c r="E9344" s="52" t="s">
        <v>25</v>
      </c>
      <c r="F9344" s="52" t="s">
        <v>26</v>
      </c>
      <c r="G9344" s="54"/>
    </row>
    <row r="9345">
      <c r="A9345" s="49">
        <v>45119.357061840274</v>
      </c>
      <c r="B9345" s="50">
        <v>45119.4820334375</v>
      </c>
      <c r="C9345" s="51">
        <v>0.999</v>
      </c>
      <c r="D9345" s="51">
        <v>70.0</v>
      </c>
      <c r="E9345" s="52" t="s">
        <v>25</v>
      </c>
      <c r="F9345" s="52" t="s">
        <v>26</v>
      </c>
      <c r="G9345" s="54"/>
    </row>
    <row r="9346">
      <c r="A9346" s="49">
        <v>45119.36755340278</v>
      </c>
      <c r="B9346" s="50">
        <v>45119.4924664583</v>
      </c>
      <c r="C9346" s="51">
        <v>0.999</v>
      </c>
      <c r="D9346" s="51">
        <v>70.0</v>
      </c>
      <c r="E9346" s="52" t="s">
        <v>25</v>
      </c>
      <c r="F9346" s="52" t="s">
        <v>26</v>
      </c>
      <c r="G9346" s="54"/>
    </row>
    <row r="9347">
      <c r="A9347" s="49">
        <v>45119.37796868055</v>
      </c>
      <c r="B9347" s="50">
        <v>45119.5028866898</v>
      </c>
      <c r="C9347" s="51">
        <v>0.999</v>
      </c>
      <c r="D9347" s="51">
        <v>70.0</v>
      </c>
      <c r="E9347" s="52" t="s">
        <v>25</v>
      </c>
      <c r="F9347" s="52" t="s">
        <v>26</v>
      </c>
      <c r="G9347" s="54"/>
    </row>
    <row r="9348">
      <c r="A9348" s="49">
        <v>45119.3883942824</v>
      </c>
      <c r="B9348" s="50">
        <v>45119.5133073379</v>
      </c>
      <c r="C9348" s="51">
        <v>0.999</v>
      </c>
      <c r="D9348" s="51">
        <v>70.0</v>
      </c>
      <c r="E9348" s="52" t="s">
        <v>25</v>
      </c>
      <c r="F9348" s="52" t="s">
        <v>26</v>
      </c>
      <c r="G9348" s="54"/>
    </row>
    <row r="9349">
      <c r="A9349" s="49">
        <v>45119.39882768519</v>
      </c>
      <c r="B9349" s="50">
        <v>45119.5237301041</v>
      </c>
      <c r="C9349" s="51">
        <v>0.999</v>
      </c>
      <c r="D9349" s="51">
        <v>70.0</v>
      </c>
      <c r="E9349" s="52" t="s">
        <v>25</v>
      </c>
      <c r="F9349" s="52" t="s">
        <v>26</v>
      </c>
      <c r="G9349" s="54"/>
    </row>
    <row r="9350">
      <c r="A9350" s="49">
        <v>45119.40923366898</v>
      </c>
      <c r="B9350" s="50">
        <v>45119.5341496875</v>
      </c>
      <c r="C9350" s="51">
        <v>0.999</v>
      </c>
      <c r="D9350" s="51">
        <v>70.0</v>
      </c>
      <c r="E9350" s="52" t="s">
        <v>25</v>
      </c>
      <c r="F9350" s="52" t="s">
        <v>26</v>
      </c>
      <c r="G9350" s="54"/>
    </row>
    <row r="9351">
      <c r="A9351" s="49">
        <v>45119.41968072917</v>
      </c>
      <c r="B9351" s="50">
        <v>45119.5445829629</v>
      </c>
      <c r="C9351" s="51">
        <v>0.999</v>
      </c>
      <c r="D9351" s="51">
        <v>70.0</v>
      </c>
      <c r="E9351" s="52" t="s">
        <v>25</v>
      </c>
      <c r="F9351" s="52" t="s">
        <v>26</v>
      </c>
      <c r="G9351" s="54"/>
    </row>
    <row r="9352">
      <c r="A9352" s="49">
        <v>45119.43009177083</v>
      </c>
      <c r="B9352" s="50">
        <v>45119.5550046643</v>
      </c>
      <c r="C9352" s="51">
        <v>0.999</v>
      </c>
      <c r="D9352" s="51">
        <v>70.0</v>
      </c>
      <c r="E9352" s="52" t="s">
        <v>25</v>
      </c>
      <c r="F9352" s="52" t="s">
        <v>26</v>
      </c>
      <c r="G9352" s="54"/>
    </row>
    <row r="9353">
      <c r="A9353" s="49">
        <v>45119.44052971065</v>
      </c>
      <c r="B9353" s="50">
        <v>45119.5654370138</v>
      </c>
      <c r="C9353" s="51">
        <v>0.999</v>
      </c>
      <c r="D9353" s="51">
        <v>70.0</v>
      </c>
      <c r="E9353" s="52" t="s">
        <v>25</v>
      </c>
      <c r="F9353" s="52" t="s">
        <v>26</v>
      </c>
      <c r="G9353" s="54"/>
    </row>
    <row r="9354">
      <c r="A9354" s="49">
        <v>45119.45088587963</v>
      </c>
      <c r="B9354" s="50">
        <v>45119.5758560416</v>
      </c>
      <c r="C9354" s="51">
        <v>0.999</v>
      </c>
      <c r="D9354" s="51">
        <v>70.0</v>
      </c>
      <c r="E9354" s="52" t="s">
        <v>25</v>
      </c>
      <c r="F9354" s="52" t="s">
        <v>26</v>
      </c>
      <c r="G9354" s="54"/>
    </row>
    <row r="9355">
      <c r="A9355" s="49">
        <v>45119.461369756944</v>
      </c>
      <c r="B9355" s="50">
        <v>45119.5862772801</v>
      </c>
      <c r="C9355" s="51">
        <v>0.999</v>
      </c>
      <c r="D9355" s="51">
        <v>70.0</v>
      </c>
      <c r="E9355" s="52" t="s">
        <v>25</v>
      </c>
      <c r="F9355" s="52" t="s">
        <v>26</v>
      </c>
      <c r="G9355" s="54"/>
    </row>
    <row r="9356">
      <c r="A9356" s="49">
        <v>45119.471786724534</v>
      </c>
      <c r="B9356" s="50">
        <v>45119.5966973379</v>
      </c>
      <c r="C9356" s="51">
        <v>0.999</v>
      </c>
      <c r="D9356" s="51">
        <v>70.0</v>
      </c>
      <c r="E9356" s="52" t="s">
        <v>25</v>
      </c>
      <c r="F9356" s="52" t="s">
        <v>26</v>
      </c>
      <c r="G9356" s="54"/>
    </row>
    <row r="9357">
      <c r="A9357" s="49">
        <v>45119.482144988426</v>
      </c>
      <c r="B9357" s="50">
        <v>45119.6071185879</v>
      </c>
      <c r="C9357" s="51">
        <v>0.999</v>
      </c>
      <c r="D9357" s="51">
        <v>70.0</v>
      </c>
      <c r="E9357" s="52" t="s">
        <v>25</v>
      </c>
      <c r="F9357" s="52" t="s">
        <v>26</v>
      </c>
      <c r="G9357" s="54"/>
    </row>
    <row r="9358">
      <c r="A9358" s="49">
        <v>45119.49263353009</v>
      </c>
      <c r="B9358" s="50">
        <v>45119.6175394444</v>
      </c>
      <c r="C9358" s="51">
        <v>0.999</v>
      </c>
      <c r="D9358" s="51">
        <v>70.0</v>
      </c>
      <c r="E9358" s="52" t="s">
        <v>25</v>
      </c>
      <c r="F9358" s="52" t="s">
        <v>26</v>
      </c>
      <c r="G9358" s="54"/>
    </row>
    <row r="9359">
      <c r="A9359" s="49">
        <v>45119.50300081019</v>
      </c>
      <c r="B9359" s="50">
        <v>45119.6279726504</v>
      </c>
      <c r="C9359" s="51">
        <v>0.999</v>
      </c>
      <c r="D9359" s="51">
        <v>70.0</v>
      </c>
      <c r="E9359" s="52" t="s">
        <v>25</v>
      </c>
      <c r="F9359" s="52" t="s">
        <v>26</v>
      </c>
      <c r="G9359" s="54"/>
    </row>
    <row r="9360">
      <c r="A9360" s="49">
        <v>45119.51348380787</v>
      </c>
      <c r="B9360" s="50">
        <v>45119.6383934838</v>
      </c>
      <c r="C9360" s="51">
        <v>0.999</v>
      </c>
      <c r="D9360" s="51">
        <v>70.0</v>
      </c>
      <c r="E9360" s="52" t="s">
        <v>25</v>
      </c>
      <c r="F9360" s="52" t="s">
        <v>26</v>
      </c>
      <c r="G9360" s="54"/>
    </row>
    <row r="9361">
      <c r="A9361" s="49">
        <v>45119.52390369213</v>
      </c>
      <c r="B9361" s="50">
        <v>45119.6488133912</v>
      </c>
      <c r="C9361" s="51">
        <v>0.999</v>
      </c>
      <c r="D9361" s="51">
        <v>70.0</v>
      </c>
      <c r="E9361" s="52" t="s">
        <v>25</v>
      </c>
      <c r="F9361" s="52" t="s">
        <v>26</v>
      </c>
      <c r="G9361" s="54"/>
    </row>
    <row r="9362">
      <c r="A9362" s="49">
        <v>45119.5342602662</v>
      </c>
      <c r="B9362" s="50">
        <v>45119.6592354976</v>
      </c>
      <c r="C9362" s="51">
        <v>0.999</v>
      </c>
      <c r="D9362" s="51">
        <v>70.0</v>
      </c>
      <c r="E9362" s="52" t="s">
        <v>25</v>
      </c>
      <c r="F9362" s="52" t="s">
        <v>26</v>
      </c>
      <c r="G9362" s="54"/>
    </row>
    <row r="9363">
      <c r="A9363" s="49">
        <v>45119.54474428241</v>
      </c>
      <c r="B9363" s="50">
        <v>45119.6696671412</v>
      </c>
      <c r="C9363" s="51">
        <v>0.999</v>
      </c>
      <c r="D9363" s="51">
        <v>70.0</v>
      </c>
      <c r="E9363" s="52" t="s">
        <v>25</v>
      </c>
      <c r="F9363" s="52" t="s">
        <v>26</v>
      </c>
      <c r="G9363" s="54"/>
    </row>
    <row r="9364">
      <c r="A9364" s="49">
        <v>45119.555180625</v>
      </c>
      <c r="B9364" s="50">
        <v>45119.6800863194</v>
      </c>
      <c r="C9364" s="51">
        <v>0.999</v>
      </c>
      <c r="D9364" s="51">
        <v>70.0</v>
      </c>
      <c r="E9364" s="52" t="s">
        <v>25</v>
      </c>
      <c r="F9364" s="52" t="s">
        <v>26</v>
      </c>
      <c r="G9364" s="54"/>
    </row>
    <row r="9365">
      <c r="A9365" s="49">
        <v>45119.565594699074</v>
      </c>
      <c r="B9365" s="50">
        <v>45119.6905197916</v>
      </c>
      <c r="C9365" s="51">
        <v>0.999</v>
      </c>
      <c r="D9365" s="51">
        <v>70.0</v>
      </c>
      <c r="E9365" s="52" t="s">
        <v>25</v>
      </c>
      <c r="F9365" s="52" t="s">
        <v>26</v>
      </c>
      <c r="G9365" s="54"/>
    </row>
    <row r="9366">
      <c r="A9366" s="49">
        <v>45119.57601454861</v>
      </c>
      <c r="B9366" s="50">
        <v>45119.7009407176</v>
      </c>
      <c r="C9366" s="51">
        <v>0.999</v>
      </c>
      <c r="D9366" s="51">
        <v>70.0</v>
      </c>
      <c r="E9366" s="52" t="s">
        <v>25</v>
      </c>
      <c r="F9366" s="52" t="s">
        <v>26</v>
      </c>
      <c r="G9366" s="54"/>
    </row>
    <row r="9367">
      <c r="A9367" s="49">
        <v>45119.586436122685</v>
      </c>
      <c r="B9367" s="50">
        <v>45119.7113596412</v>
      </c>
      <c r="C9367" s="51">
        <v>0.999</v>
      </c>
      <c r="D9367" s="51">
        <v>70.0</v>
      </c>
      <c r="E9367" s="52" t="s">
        <v>25</v>
      </c>
      <c r="F9367" s="52" t="s">
        <v>26</v>
      </c>
      <c r="G9367" s="54"/>
    </row>
    <row r="9368">
      <c r="A9368" s="49">
        <v>45119.59686074074</v>
      </c>
      <c r="B9368" s="50">
        <v>45119.7217919791</v>
      </c>
      <c r="C9368" s="51">
        <v>0.999</v>
      </c>
      <c r="D9368" s="51">
        <v>70.0</v>
      </c>
      <c r="E9368" s="52" t="s">
        <v>25</v>
      </c>
      <c r="F9368" s="52" t="s">
        <v>26</v>
      </c>
      <c r="G9368" s="54"/>
    </row>
    <row r="9369">
      <c r="A9369" s="49">
        <v>45119.60729627315</v>
      </c>
      <c r="B9369" s="50">
        <v>45119.7322134953</v>
      </c>
      <c r="C9369" s="51">
        <v>0.999</v>
      </c>
      <c r="D9369" s="51">
        <v>70.0</v>
      </c>
      <c r="E9369" s="52" t="s">
        <v>25</v>
      </c>
      <c r="F9369" s="52" t="s">
        <v>26</v>
      </c>
      <c r="G9369" s="54"/>
    </row>
    <row r="9370">
      <c r="A9370" s="49">
        <v>45119.6176559375</v>
      </c>
      <c r="B9370" s="50">
        <v>45119.7426331365</v>
      </c>
      <c r="C9370" s="51">
        <v>0.999</v>
      </c>
      <c r="D9370" s="51">
        <v>70.0</v>
      </c>
      <c r="E9370" s="52" t="s">
        <v>25</v>
      </c>
      <c r="F9370" s="52" t="s">
        <v>26</v>
      </c>
      <c r="G9370" s="54"/>
    </row>
    <row r="9371">
      <c r="A9371" s="49">
        <v>45119.62808958333</v>
      </c>
      <c r="B9371" s="50">
        <v>45119.7530554166</v>
      </c>
      <c r="C9371" s="51">
        <v>0.999</v>
      </c>
      <c r="D9371" s="51">
        <v>70.0</v>
      </c>
      <c r="E9371" s="52" t="s">
        <v>25</v>
      </c>
      <c r="F9371" s="52" t="s">
        <v>26</v>
      </c>
      <c r="G9371" s="54"/>
    </row>
    <row r="9372">
      <c r="A9372" s="49">
        <v>45119.63850453704</v>
      </c>
      <c r="B9372" s="50">
        <v>45119.7634764236</v>
      </c>
      <c r="C9372" s="51">
        <v>0.999</v>
      </c>
      <c r="D9372" s="51">
        <v>70.0</v>
      </c>
      <c r="E9372" s="52" t="s">
        <v>25</v>
      </c>
      <c r="F9372" s="52" t="s">
        <v>26</v>
      </c>
      <c r="G9372" s="54"/>
    </row>
    <row r="9373">
      <c r="A9373" s="49">
        <v>45119.64892273148</v>
      </c>
      <c r="B9373" s="50">
        <v>45119.7738977893</v>
      </c>
      <c r="C9373" s="51">
        <v>0.999</v>
      </c>
      <c r="D9373" s="51">
        <v>70.0</v>
      </c>
      <c r="E9373" s="52" t="s">
        <v>25</v>
      </c>
      <c r="F9373" s="52" t="s">
        <v>26</v>
      </c>
      <c r="G9373" s="54"/>
    </row>
    <row r="9374">
      <c r="A9374" s="49">
        <v>45119.65934103009</v>
      </c>
      <c r="B9374" s="50">
        <v>45119.784319375</v>
      </c>
      <c r="C9374" s="51">
        <v>0.999</v>
      </c>
      <c r="D9374" s="51">
        <v>70.0</v>
      </c>
      <c r="E9374" s="52" t="s">
        <v>25</v>
      </c>
      <c r="F9374" s="52" t="s">
        <v>26</v>
      </c>
      <c r="G9374" s="54"/>
    </row>
    <row r="9375">
      <c r="A9375" s="49">
        <v>45119.66977443287</v>
      </c>
      <c r="B9375" s="50">
        <v>45119.7947411921</v>
      </c>
      <c r="C9375" s="51">
        <v>0.999</v>
      </c>
      <c r="D9375" s="51">
        <v>70.0</v>
      </c>
      <c r="E9375" s="52" t="s">
        <v>25</v>
      </c>
      <c r="F9375" s="52" t="s">
        <v>26</v>
      </c>
      <c r="G9375" s="54"/>
    </row>
    <row r="9376">
      <c r="A9376" s="49">
        <v>45119.6801978588</v>
      </c>
      <c r="B9376" s="50">
        <v>45119.8051635763</v>
      </c>
      <c r="C9376" s="51">
        <v>0.999</v>
      </c>
      <c r="D9376" s="51">
        <v>70.0</v>
      </c>
      <c r="E9376" s="52" t="s">
        <v>25</v>
      </c>
      <c r="F9376" s="52" t="s">
        <v>26</v>
      </c>
      <c r="G9376" s="54"/>
    </row>
    <row r="9377">
      <c r="A9377" s="49">
        <v>45119.69061172454</v>
      </c>
      <c r="B9377" s="50">
        <v>45119.8155824189</v>
      </c>
      <c r="C9377" s="51">
        <v>0.999</v>
      </c>
      <c r="D9377" s="51">
        <v>70.0</v>
      </c>
      <c r="E9377" s="52" t="s">
        <v>25</v>
      </c>
      <c r="F9377" s="52" t="s">
        <v>26</v>
      </c>
      <c r="G9377" s="54"/>
    </row>
    <row r="9378">
      <c r="A9378" s="49">
        <v>45119.701035578706</v>
      </c>
      <c r="B9378" s="50">
        <v>45119.8260047338</v>
      </c>
      <c r="C9378" s="51">
        <v>0.999</v>
      </c>
      <c r="D9378" s="51">
        <v>70.0</v>
      </c>
      <c r="E9378" s="52" t="s">
        <v>25</v>
      </c>
      <c r="F9378" s="52" t="s">
        <v>26</v>
      </c>
      <c r="G9378" s="54"/>
    </row>
    <row r="9379">
      <c r="A9379" s="49">
        <v>45119.7114566088</v>
      </c>
      <c r="B9379" s="50">
        <v>45119.8364267476</v>
      </c>
      <c r="C9379" s="51">
        <v>0.999</v>
      </c>
      <c r="D9379" s="51">
        <v>70.0</v>
      </c>
      <c r="E9379" s="52" t="s">
        <v>25</v>
      </c>
      <c r="F9379" s="52" t="s">
        <v>26</v>
      </c>
      <c r="G9379" s="54"/>
    </row>
    <row r="9380">
      <c r="A9380" s="49">
        <v>45119.721870208334</v>
      </c>
      <c r="B9380" s="50">
        <v>45119.8468472222</v>
      </c>
      <c r="C9380" s="51">
        <v>0.999</v>
      </c>
      <c r="D9380" s="51">
        <v>70.0</v>
      </c>
      <c r="E9380" s="52" t="s">
        <v>25</v>
      </c>
      <c r="F9380" s="52" t="s">
        <v>26</v>
      </c>
      <c r="G9380" s="54"/>
    </row>
    <row r="9381">
      <c r="A9381" s="49">
        <v>45119.73229752315</v>
      </c>
      <c r="B9381" s="50">
        <v>45119.8572685763</v>
      </c>
      <c r="C9381" s="51">
        <v>0.999</v>
      </c>
      <c r="D9381" s="51">
        <v>70.0</v>
      </c>
      <c r="E9381" s="52" t="s">
        <v>25</v>
      </c>
      <c r="F9381" s="52" t="s">
        <v>26</v>
      </c>
      <c r="G9381" s="54"/>
    </row>
    <row r="9382">
      <c r="A9382" s="49">
        <v>45119.742727951394</v>
      </c>
      <c r="B9382" s="50">
        <v>45119.8677018402</v>
      </c>
      <c r="C9382" s="51">
        <v>0.999</v>
      </c>
      <c r="D9382" s="51">
        <v>70.0</v>
      </c>
      <c r="E9382" s="52" t="s">
        <v>25</v>
      </c>
      <c r="F9382" s="52" t="s">
        <v>26</v>
      </c>
      <c r="G9382" s="54"/>
    </row>
    <row r="9383">
      <c r="A9383" s="49">
        <v>45119.75315215278</v>
      </c>
      <c r="B9383" s="50">
        <v>45119.8781236342</v>
      </c>
      <c r="C9383" s="51">
        <v>0.999</v>
      </c>
      <c r="D9383" s="51">
        <v>70.0</v>
      </c>
      <c r="E9383" s="52" t="s">
        <v>25</v>
      </c>
      <c r="F9383" s="52" t="s">
        <v>26</v>
      </c>
      <c r="G9383" s="54"/>
    </row>
    <row r="9384">
      <c r="A9384" s="49">
        <v>45119.76356831018</v>
      </c>
      <c r="B9384" s="50">
        <v>45119.8885449652</v>
      </c>
      <c r="C9384" s="51">
        <v>0.999</v>
      </c>
      <c r="D9384" s="51">
        <v>70.0</v>
      </c>
      <c r="E9384" s="52" t="s">
        <v>25</v>
      </c>
      <c r="F9384" s="52" t="s">
        <v>26</v>
      </c>
      <c r="G9384" s="54"/>
    </row>
    <row r="9385">
      <c r="A9385" s="49">
        <v>45119.773997048615</v>
      </c>
      <c r="B9385" s="50">
        <v>45119.8989659143</v>
      </c>
      <c r="C9385" s="51">
        <v>0.999</v>
      </c>
      <c r="D9385" s="51">
        <v>70.0</v>
      </c>
      <c r="E9385" s="52" t="s">
        <v>25</v>
      </c>
      <c r="F9385" s="52" t="s">
        <v>26</v>
      </c>
      <c r="G9385" s="54"/>
    </row>
    <row r="9386">
      <c r="A9386" s="49">
        <v>45119.784412928246</v>
      </c>
      <c r="B9386" s="50">
        <v>45119.9093884722</v>
      </c>
      <c r="C9386" s="51">
        <v>0.999</v>
      </c>
      <c r="D9386" s="51">
        <v>70.0</v>
      </c>
      <c r="E9386" s="52" t="s">
        <v>25</v>
      </c>
      <c r="F9386" s="52" t="s">
        <v>26</v>
      </c>
      <c r="G9386" s="54"/>
    </row>
    <row r="9387">
      <c r="A9387" s="49">
        <v>45119.794838472226</v>
      </c>
      <c r="B9387" s="50">
        <v>45119.9198103703</v>
      </c>
      <c r="C9387" s="51">
        <v>0.999</v>
      </c>
      <c r="D9387" s="51">
        <v>70.0</v>
      </c>
      <c r="E9387" s="52" t="s">
        <v>25</v>
      </c>
      <c r="F9387" s="52" t="s">
        <v>26</v>
      </c>
      <c r="G9387" s="54"/>
    </row>
    <row r="9388">
      <c r="A9388" s="49">
        <v>45119.80525775463</v>
      </c>
      <c r="B9388" s="50">
        <v>45119.9302308449</v>
      </c>
      <c r="C9388" s="51">
        <v>0.999</v>
      </c>
      <c r="D9388" s="51">
        <v>70.0</v>
      </c>
      <c r="E9388" s="52" t="s">
        <v>25</v>
      </c>
      <c r="F9388" s="52" t="s">
        <v>26</v>
      </c>
      <c r="G9388" s="54"/>
    </row>
    <row r="9389">
      <c r="A9389" s="49">
        <v>45119.81567689815</v>
      </c>
      <c r="B9389" s="50">
        <v>45119.9406536574</v>
      </c>
      <c r="C9389" s="51">
        <v>0.999</v>
      </c>
      <c r="D9389" s="51">
        <v>70.0</v>
      </c>
      <c r="E9389" s="52" t="s">
        <v>25</v>
      </c>
      <c r="F9389" s="52" t="s">
        <v>26</v>
      </c>
      <c r="G9389" s="54"/>
    </row>
    <row r="9390">
      <c r="A9390" s="49">
        <v>45119.826100590275</v>
      </c>
      <c r="B9390" s="50">
        <v>45119.9510747338</v>
      </c>
      <c r="C9390" s="51">
        <v>0.999</v>
      </c>
      <c r="D9390" s="51">
        <v>70.0</v>
      </c>
      <c r="E9390" s="52" t="s">
        <v>25</v>
      </c>
      <c r="F9390" s="52" t="s">
        <v>26</v>
      </c>
      <c r="G9390" s="54"/>
    </row>
    <row r="9391">
      <c r="A9391" s="49">
        <v>45119.83652424769</v>
      </c>
      <c r="B9391" s="50">
        <v>45119.9614962963</v>
      </c>
      <c r="C9391" s="51">
        <v>0.999</v>
      </c>
      <c r="D9391" s="51">
        <v>70.0</v>
      </c>
      <c r="E9391" s="52" t="s">
        <v>25</v>
      </c>
      <c r="F9391" s="52" t="s">
        <v>26</v>
      </c>
      <c r="G9391" s="54"/>
    </row>
    <row r="9392">
      <c r="A9392" s="49">
        <v>45119.84695196759</v>
      </c>
      <c r="B9392" s="50">
        <v>45119.9719294097</v>
      </c>
      <c r="C9392" s="51">
        <v>0.999</v>
      </c>
      <c r="D9392" s="51">
        <v>70.0</v>
      </c>
      <c r="E9392" s="52" t="s">
        <v>25</v>
      </c>
      <c r="F9392" s="52" t="s">
        <v>26</v>
      </c>
      <c r="G9392" s="54"/>
    </row>
    <row r="9393">
      <c r="A9393" s="49">
        <v>45119.857371273145</v>
      </c>
      <c r="B9393" s="50">
        <v>45119.9823495833</v>
      </c>
      <c r="C9393" s="51">
        <v>0.999</v>
      </c>
      <c r="D9393" s="51">
        <v>70.0</v>
      </c>
      <c r="E9393" s="52" t="s">
        <v>25</v>
      </c>
      <c r="F9393" s="52" t="s">
        <v>26</v>
      </c>
      <c r="G9393" s="54"/>
    </row>
    <row r="9394">
      <c r="A9394" s="49">
        <v>45119.86779446759</v>
      </c>
      <c r="B9394" s="50">
        <v>45119.9927727777</v>
      </c>
      <c r="C9394" s="51">
        <v>0.999</v>
      </c>
      <c r="D9394" s="51">
        <v>70.0</v>
      </c>
      <c r="E9394" s="52" t="s">
        <v>25</v>
      </c>
      <c r="F9394" s="52" t="s">
        <v>26</v>
      </c>
      <c r="G9394" s="54"/>
    </row>
    <row r="9395">
      <c r="A9395" s="49">
        <v>45119.878232372685</v>
      </c>
      <c r="B9395" s="50">
        <v>45120.0032050694</v>
      </c>
      <c r="C9395" s="51">
        <v>0.999</v>
      </c>
      <c r="D9395" s="51">
        <v>70.0</v>
      </c>
      <c r="E9395" s="52" t="s">
        <v>25</v>
      </c>
      <c r="F9395" s="52" t="s">
        <v>26</v>
      </c>
      <c r="G9395" s="54"/>
    </row>
    <row r="9396">
      <c r="A9396" s="49">
        <v>45119.88867461805</v>
      </c>
      <c r="B9396" s="50">
        <v>45120.0136394097</v>
      </c>
      <c r="C9396" s="51">
        <v>0.999</v>
      </c>
      <c r="D9396" s="51">
        <v>70.0</v>
      </c>
      <c r="E9396" s="52" t="s">
        <v>25</v>
      </c>
      <c r="F9396" s="52" t="s">
        <v>26</v>
      </c>
      <c r="G9396" s="54"/>
    </row>
    <row r="9397">
      <c r="A9397" s="49">
        <v>45119.899089004626</v>
      </c>
      <c r="B9397" s="50">
        <v>45120.0240592245</v>
      </c>
      <c r="C9397" s="51">
        <v>0.999</v>
      </c>
      <c r="D9397" s="51">
        <v>70.0</v>
      </c>
      <c r="E9397" s="52" t="s">
        <v>25</v>
      </c>
      <c r="F9397" s="52" t="s">
        <v>26</v>
      </c>
      <c r="G9397" s="54"/>
    </row>
    <row r="9398">
      <c r="A9398" s="49">
        <v>45119.90950559027</v>
      </c>
      <c r="B9398" s="50">
        <v>45120.0344779976</v>
      </c>
      <c r="C9398" s="51">
        <v>0.999</v>
      </c>
      <c r="D9398" s="51">
        <v>70.0</v>
      </c>
      <c r="E9398" s="52" t="s">
        <v>25</v>
      </c>
      <c r="F9398" s="52" t="s">
        <v>26</v>
      </c>
      <c r="G9398" s="54"/>
    </row>
    <row r="9399">
      <c r="A9399" s="49">
        <v>45119.919926284725</v>
      </c>
      <c r="B9399" s="50">
        <v>45120.0448986921</v>
      </c>
      <c r="C9399" s="51">
        <v>0.999</v>
      </c>
      <c r="D9399" s="51">
        <v>70.0</v>
      </c>
      <c r="E9399" s="52" t="s">
        <v>25</v>
      </c>
      <c r="F9399" s="52" t="s">
        <v>26</v>
      </c>
      <c r="G9399" s="54"/>
    </row>
    <row r="9400">
      <c r="A9400" s="49">
        <v>45119.930350104165</v>
      </c>
      <c r="B9400" s="50">
        <v>45120.0553184606</v>
      </c>
      <c r="C9400" s="51">
        <v>0.999</v>
      </c>
      <c r="D9400" s="51">
        <v>70.0</v>
      </c>
      <c r="E9400" s="52" t="s">
        <v>25</v>
      </c>
      <c r="F9400" s="52" t="s">
        <v>26</v>
      </c>
      <c r="G9400" s="54"/>
    </row>
    <row r="9401">
      <c r="A9401" s="49">
        <v>45119.94077465278</v>
      </c>
      <c r="B9401" s="50">
        <v>45120.0657522222</v>
      </c>
      <c r="C9401" s="51">
        <v>0.999</v>
      </c>
      <c r="D9401" s="51">
        <v>70.0</v>
      </c>
      <c r="E9401" s="52" t="s">
        <v>25</v>
      </c>
      <c r="F9401" s="52" t="s">
        <v>26</v>
      </c>
      <c r="G9401" s="54"/>
    </row>
    <row r="9402">
      <c r="A9402" s="49">
        <v>45119.95119476852</v>
      </c>
      <c r="B9402" s="50">
        <v>45120.0761710185</v>
      </c>
      <c r="C9402" s="51">
        <v>0.999</v>
      </c>
      <c r="D9402" s="51">
        <v>70.0</v>
      </c>
      <c r="E9402" s="52" t="s">
        <v>25</v>
      </c>
      <c r="F9402" s="52" t="s">
        <v>26</v>
      </c>
      <c r="G9402" s="54"/>
    </row>
    <row r="9403">
      <c r="A9403" s="49">
        <v>45119.961676631945</v>
      </c>
      <c r="B9403" s="50">
        <v>45120.0865918055</v>
      </c>
      <c r="C9403" s="51">
        <v>0.999</v>
      </c>
      <c r="D9403" s="51">
        <v>70.0</v>
      </c>
      <c r="E9403" s="52" t="s">
        <v>25</v>
      </c>
      <c r="F9403" s="52" t="s">
        <v>26</v>
      </c>
      <c r="G9403" s="54"/>
    </row>
    <row r="9404">
      <c r="A9404" s="49">
        <v>45119.97203729166</v>
      </c>
      <c r="B9404" s="50">
        <v>45120.0970112268</v>
      </c>
      <c r="C9404" s="51">
        <v>0.999</v>
      </c>
      <c r="D9404" s="51">
        <v>70.0</v>
      </c>
      <c r="E9404" s="52" t="s">
        <v>25</v>
      </c>
      <c r="F9404" s="52" t="s">
        <v>26</v>
      </c>
      <c r="G9404" s="54"/>
    </row>
    <row r="9405">
      <c r="A9405" s="49">
        <v>45119.98252954861</v>
      </c>
      <c r="B9405" s="50">
        <v>45120.1074688194</v>
      </c>
      <c r="C9405" s="51">
        <v>0.999</v>
      </c>
      <c r="D9405" s="51">
        <v>70.0</v>
      </c>
      <c r="E9405" s="52" t="s">
        <v>25</v>
      </c>
      <c r="F9405" s="52" t="s">
        <v>26</v>
      </c>
      <c r="G9405" s="54"/>
    </row>
    <row r="9406">
      <c r="A9406" s="49">
        <v>45119.99294414352</v>
      </c>
      <c r="B9406" s="50">
        <v>45120.1179022338</v>
      </c>
      <c r="C9406" s="51">
        <v>0.999</v>
      </c>
      <c r="D9406" s="51">
        <v>70.0</v>
      </c>
      <c r="E9406" s="52" t="s">
        <v>25</v>
      </c>
      <c r="F9406" s="52" t="s">
        <v>26</v>
      </c>
      <c r="G9406" s="54"/>
    </row>
    <row r="9407">
      <c r="A9407" s="49">
        <v>45120.0036342824</v>
      </c>
      <c r="B9407" s="50">
        <v>45120.1283243634</v>
      </c>
      <c r="C9407" s="51">
        <v>0.999</v>
      </c>
      <c r="D9407" s="51">
        <v>70.0</v>
      </c>
      <c r="E9407" s="52" t="s">
        <v>25</v>
      </c>
      <c r="F9407" s="52" t="s">
        <v>26</v>
      </c>
      <c r="G9407" s="54"/>
    </row>
    <row r="9408">
      <c r="A9408" s="49">
        <v>45120.01380385416</v>
      </c>
      <c r="B9408" s="50">
        <v>45120.1387453819</v>
      </c>
      <c r="C9408" s="51">
        <v>0.999</v>
      </c>
      <c r="D9408" s="51">
        <v>70.0</v>
      </c>
      <c r="E9408" s="52" t="s">
        <v>25</v>
      </c>
      <c r="F9408" s="52" t="s">
        <v>26</v>
      </c>
      <c r="G9408" s="54"/>
    </row>
    <row r="9409">
      <c r="A9409" s="49">
        <v>45120.02423738426</v>
      </c>
      <c r="B9409" s="50">
        <v>45120.1491663657</v>
      </c>
      <c r="C9409" s="51">
        <v>0.999</v>
      </c>
      <c r="D9409" s="51">
        <v>70.0</v>
      </c>
      <c r="E9409" s="52" t="s">
        <v>25</v>
      </c>
      <c r="F9409" s="52" t="s">
        <v>26</v>
      </c>
      <c r="G9409" s="54"/>
    </row>
    <row r="9410">
      <c r="A9410" s="49">
        <v>45120.03464591435</v>
      </c>
      <c r="B9410" s="50">
        <v>45120.159587824</v>
      </c>
      <c r="C9410" s="51">
        <v>0.999</v>
      </c>
      <c r="D9410" s="51">
        <v>70.0</v>
      </c>
      <c r="E9410" s="52" t="s">
        <v>25</v>
      </c>
      <c r="F9410" s="52" t="s">
        <v>26</v>
      </c>
      <c r="G9410" s="54"/>
    </row>
    <row r="9411">
      <c r="A9411" s="49">
        <v>45120.045071678236</v>
      </c>
      <c r="B9411" s="50">
        <v>45120.1700093171</v>
      </c>
      <c r="C9411" s="51">
        <v>0.999</v>
      </c>
      <c r="D9411" s="51">
        <v>70.0</v>
      </c>
      <c r="E9411" s="52" t="s">
        <v>25</v>
      </c>
      <c r="F9411" s="52" t="s">
        <v>26</v>
      </c>
      <c r="G9411" s="54"/>
    </row>
    <row r="9412">
      <c r="A9412" s="49">
        <v>45120.055495416666</v>
      </c>
      <c r="B9412" s="50">
        <v>45120.1804423379</v>
      </c>
      <c r="C9412" s="51">
        <v>0.999</v>
      </c>
      <c r="D9412" s="51">
        <v>70.0</v>
      </c>
      <c r="E9412" s="52" t="s">
        <v>25</v>
      </c>
      <c r="F9412" s="52" t="s">
        <v>26</v>
      </c>
      <c r="G9412" s="54"/>
    </row>
    <row r="9413">
      <c r="A9413" s="49">
        <v>45120.06592565972</v>
      </c>
      <c r="B9413" s="50">
        <v>45120.1908758564</v>
      </c>
      <c r="C9413" s="51">
        <v>0.999</v>
      </c>
      <c r="D9413" s="51">
        <v>70.0</v>
      </c>
      <c r="E9413" s="52" t="s">
        <v>25</v>
      </c>
      <c r="F9413" s="52" t="s">
        <v>26</v>
      </c>
      <c r="G9413" s="54"/>
    </row>
    <row r="9414">
      <c r="A9414" s="49">
        <v>45120.07634528935</v>
      </c>
      <c r="B9414" s="50">
        <v>45120.2012969907</v>
      </c>
      <c r="C9414" s="51">
        <v>0.999</v>
      </c>
      <c r="D9414" s="51">
        <v>70.0</v>
      </c>
      <c r="E9414" s="52" t="s">
        <v>25</v>
      </c>
      <c r="F9414" s="52" t="s">
        <v>26</v>
      </c>
      <c r="G9414" s="54"/>
    </row>
    <row r="9415">
      <c r="A9415" s="49">
        <v>45120.08677634259</v>
      </c>
      <c r="B9415" s="50">
        <v>45120.21171978</v>
      </c>
      <c r="C9415" s="51">
        <v>0.999</v>
      </c>
      <c r="D9415" s="51">
        <v>70.0</v>
      </c>
      <c r="E9415" s="52" t="s">
        <v>25</v>
      </c>
      <c r="F9415" s="52" t="s">
        <v>26</v>
      </c>
      <c r="G9415" s="54"/>
    </row>
    <row r="9416">
      <c r="A9416" s="49">
        <v>45120.097186666666</v>
      </c>
      <c r="B9416" s="50">
        <v>45120.2221411342</v>
      </c>
      <c r="C9416" s="51">
        <v>0.999</v>
      </c>
      <c r="D9416" s="51">
        <v>70.0</v>
      </c>
      <c r="E9416" s="52" t="s">
        <v>25</v>
      </c>
      <c r="F9416" s="52" t="s">
        <v>26</v>
      </c>
      <c r="G9416" s="54"/>
    </row>
    <row r="9417">
      <c r="A9417" s="49">
        <v>45120.10761327547</v>
      </c>
      <c r="B9417" s="50">
        <v>45120.2325612731</v>
      </c>
      <c r="C9417" s="51">
        <v>0.999</v>
      </c>
      <c r="D9417" s="51">
        <v>70.0</v>
      </c>
      <c r="E9417" s="52" t="s">
        <v>25</v>
      </c>
      <c r="F9417" s="52" t="s">
        <v>26</v>
      </c>
      <c r="G9417" s="54"/>
    </row>
    <row r="9418">
      <c r="A9418" s="49">
        <v>45120.11803513889</v>
      </c>
      <c r="B9418" s="50">
        <v>45120.2429821296</v>
      </c>
      <c r="C9418" s="51">
        <v>0.999</v>
      </c>
      <c r="D9418" s="51">
        <v>70.0</v>
      </c>
      <c r="E9418" s="52" t="s">
        <v>25</v>
      </c>
      <c r="F9418" s="52" t="s">
        <v>26</v>
      </c>
      <c r="G9418" s="54"/>
    </row>
    <row r="9419">
      <c r="A9419" s="49">
        <v>45120.12846479166</v>
      </c>
      <c r="B9419" s="50">
        <v>45120.2534144328</v>
      </c>
      <c r="C9419" s="51">
        <v>0.999</v>
      </c>
      <c r="D9419" s="51">
        <v>70.0</v>
      </c>
      <c r="E9419" s="52" t="s">
        <v>25</v>
      </c>
      <c r="F9419" s="52" t="s">
        <v>26</v>
      </c>
      <c r="G9419" s="54"/>
    </row>
    <row r="9420">
      <c r="A9420" s="49">
        <v>45120.13888722222</v>
      </c>
      <c r="B9420" s="50">
        <v>45120.2638350463</v>
      </c>
      <c r="C9420" s="51">
        <v>0.999</v>
      </c>
      <c r="D9420" s="51">
        <v>70.0</v>
      </c>
      <c r="E9420" s="52" t="s">
        <v>25</v>
      </c>
      <c r="F9420" s="52" t="s">
        <v>26</v>
      </c>
      <c r="G9420" s="54"/>
    </row>
    <row r="9421">
      <c r="A9421" s="49">
        <v>45120.149308101856</v>
      </c>
      <c r="B9421" s="50">
        <v>45120.2742687847</v>
      </c>
      <c r="C9421" s="51">
        <v>0.999</v>
      </c>
      <c r="D9421" s="51">
        <v>70.0</v>
      </c>
      <c r="E9421" s="52" t="s">
        <v>25</v>
      </c>
      <c r="F9421" s="52" t="s">
        <v>26</v>
      </c>
      <c r="G9421" s="54"/>
    </row>
    <row r="9422">
      <c r="A9422" s="49">
        <v>45120.15974412037</v>
      </c>
      <c r="B9422" s="50">
        <v>45120.2846905208</v>
      </c>
      <c r="C9422" s="51">
        <v>0.999</v>
      </c>
      <c r="D9422" s="51">
        <v>70.0</v>
      </c>
      <c r="E9422" s="52" t="s">
        <v>25</v>
      </c>
      <c r="F9422" s="52" t="s">
        <v>26</v>
      </c>
      <c r="G9422" s="54"/>
    </row>
    <row r="9423">
      <c r="A9423" s="49">
        <v>45120.17016232639</v>
      </c>
      <c r="B9423" s="50">
        <v>45120.2951120601</v>
      </c>
      <c r="C9423" s="51">
        <v>0.999</v>
      </c>
      <c r="D9423" s="51">
        <v>70.0</v>
      </c>
      <c r="E9423" s="52" t="s">
        <v>25</v>
      </c>
      <c r="F9423" s="52" t="s">
        <v>26</v>
      </c>
      <c r="G9423" s="54"/>
    </row>
    <row r="9424">
      <c r="A9424" s="49">
        <v>45120.180589386575</v>
      </c>
      <c r="B9424" s="50">
        <v>45120.3055334606</v>
      </c>
      <c r="C9424" s="51">
        <v>0.999</v>
      </c>
      <c r="D9424" s="51">
        <v>70.0</v>
      </c>
      <c r="E9424" s="52" t="s">
        <v>25</v>
      </c>
      <c r="F9424" s="52" t="s">
        <v>26</v>
      </c>
      <c r="G9424" s="54"/>
    </row>
    <row r="9425">
      <c r="A9425" s="49">
        <v>45120.191011250005</v>
      </c>
      <c r="B9425" s="50">
        <v>45120.3159552662</v>
      </c>
      <c r="C9425" s="51">
        <v>0.999</v>
      </c>
      <c r="D9425" s="51">
        <v>70.0</v>
      </c>
      <c r="E9425" s="52" t="s">
        <v>25</v>
      </c>
      <c r="F9425" s="52" t="s">
        <v>26</v>
      </c>
      <c r="G9425" s="54"/>
    </row>
    <row r="9426">
      <c r="A9426" s="49">
        <v>45120.20143065973</v>
      </c>
      <c r="B9426" s="50">
        <v>45120.3263768981</v>
      </c>
      <c r="C9426" s="51">
        <v>0.999</v>
      </c>
      <c r="D9426" s="51">
        <v>70.0</v>
      </c>
      <c r="E9426" s="52" t="s">
        <v>25</v>
      </c>
      <c r="F9426" s="52" t="s">
        <v>26</v>
      </c>
      <c r="G9426" s="54"/>
    </row>
    <row r="9427">
      <c r="A9427" s="49">
        <v>45120.211845115744</v>
      </c>
      <c r="B9427" s="50">
        <v>45120.3368094676</v>
      </c>
      <c r="C9427" s="51">
        <v>0.999</v>
      </c>
      <c r="D9427" s="51">
        <v>70.0</v>
      </c>
      <c r="E9427" s="52" t="s">
        <v>25</v>
      </c>
      <c r="F9427" s="52" t="s">
        <v>26</v>
      </c>
      <c r="G9427" s="54"/>
    </row>
    <row r="9428">
      <c r="A9428" s="49">
        <v>45120.22228181713</v>
      </c>
      <c r="B9428" s="50">
        <v>45120.3472425694</v>
      </c>
      <c r="C9428" s="51">
        <v>0.999</v>
      </c>
      <c r="D9428" s="51">
        <v>70.0</v>
      </c>
      <c r="E9428" s="52" t="s">
        <v>25</v>
      </c>
      <c r="F9428" s="52" t="s">
        <v>26</v>
      </c>
      <c r="G9428" s="54"/>
    </row>
    <row r="9429">
      <c r="A9429" s="49">
        <v>45120.23270728009</v>
      </c>
      <c r="B9429" s="50">
        <v>45120.35766375</v>
      </c>
      <c r="C9429" s="51">
        <v>0.999</v>
      </c>
      <c r="D9429" s="51">
        <v>70.0</v>
      </c>
      <c r="E9429" s="52" t="s">
        <v>25</v>
      </c>
      <c r="F9429" s="52" t="s">
        <v>26</v>
      </c>
      <c r="G9429" s="54"/>
    </row>
    <row r="9430">
      <c r="A9430" s="49">
        <v>45120.24315275463</v>
      </c>
      <c r="B9430" s="50">
        <v>45120.3680849074</v>
      </c>
      <c r="C9430" s="51">
        <v>0.999</v>
      </c>
      <c r="D9430" s="51">
        <v>70.0</v>
      </c>
      <c r="E9430" s="52" t="s">
        <v>25</v>
      </c>
      <c r="F9430" s="52" t="s">
        <v>26</v>
      </c>
      <c r="G9430" s="54"/>
    </row>
    <row r="9431">
      <c r="A9431" s="49">
        <v>45120.25360545139</v>
      </c>
      <c r="B9431" s="50">
        <v>45120.3785170254</v>
      </c>
      <c r="C9431" s="51">
        <v>0.999</v>
      </c>
      <c r="D9431" s="51">
        <v>70.0</v>
      </c>
      <c r="E9431" s="52" t="s">
        <v>25</v>
      </c>
      <c r="F9431" s="52" t="s">
        <v>26</v>
      </c>
      <c r="G9431" s="54"/>
    </row>
    <row r="9432">
      <c r="A9432" s="49">
        <v>45120.2640265625</v>
      </c>
      <c r="B9432" s="50">
        <v>45120.3889500694</v>
      </c>
      <c r="C9432" s="51">
        <v>0.999</v>
      </c>
      <c r="D9432" s="51">
        <v>70.0</v>
      </c>
      <c r="E9432" s="52" t="s">
        <v>25</v>
      </c>
      <c r="F9432" s="52" t="s">
        <v>26</v>
      </c>
      <c r="G9432" s="54"/>
    </row>
    <row r="9433">
      <c r="A9433" s="49">
        <v>45120.274459594904</v>
      </c>
      <c r="B9433" s="50">
        <v>45120.3993827662</v>
      </c>
      <c r="C9433" s="51">
        <v>0.999</v>
      </c>
      <c r="D9433" s="51">
        <v>70.0</v>
      </c>
      <c r="E9433" s="52" t="s">
        <v>25</v>
      </c>
      <c r="F9433" s="52" t="s">
        <v>26</v>
      </c>
      <c r="G9433" s="54"/>
    </row>
    <row r="9434">
      <c r="A9434" s="49">
        <v>45120.28488215277</v>
      </c>
      <c r="B9434" s="50">
        <v>45120.409815949</v>
      </c>
      <c r="C9434" s="51">
        <v>0.999</v>
      </c>
      <c r="D9434" s="51">
        <v>70.0</v>
      </c>
      <c r="E9434" s="52" t="s">
        <v>25</v>
      </c>
      <c r="F9434" s="52" t="s">
        <v>26</v>
      </c>
      <c r="G9434" s="54"/>
    </row>
    <row r="9435">
      <c r="A9435" s="49">
        <v>45120.295305625</v>
      </c>
      <c r="B9435" s="50">
        <v>45120.4202478356</v>
      </c>
      <c r="C9435" s="51">
        <v>0.999</v>
      </c>
      <c r="D9435" s="51">
        <v>70.0</v>
      </c>
      <c r="E9435" s="52" t="s">
        <v>25</v>
      </c>
      <c r="F9435" s="52" t="s">
        <v>26</v>
      </c>
      <c r="G9435" s="54"/>
    </row>
    <row r="9436">
      <c r="A9436" s="49">
        <v>45120.305723310186</v>
      </c>
      <c r="B9436" s="50">
        <v>45120.4306684838</v>
      </c>
      <c r="C9436" s="51">
        <v>0.999</v>
      </c>
      <c r="D9436" s="51">
        <v>70.0</v>
      </c>
      <c r="E9436" s="52" t="s">
        <v>25</v>
      </c>
      <c r="F9436" s="52" t="s">
        <v>26</v>
      </c>
      <c r="G9436" s="54"/>
    </row>
    <row r="9437">
      <c r="A9437" s="49">
        <v>45120.31614513889</v>
      </c>
      <c r="B9437" s="50">
        <v>45120.4410891782</v>
      </c>
      <c r="C9437" s="51">
        <v>0.999</v>
      </c>
      <c r="D9437" s="51">
        <v>70.0</v>
      </c>
      <c r="E9437" s="52" t="s">
        <v>25</v>
      </c>
      <c r="F9437" s="52" t="s">
        <v>26</v>
      </c>
      <c r="G9437" s="54"/>
    </row>
    <row r="9438">
      <c r="A9438" s="49">
        <v>45120.32656453704</v>
      </c>
      <c r="B9438" s="50">
        <v>45120.4515089583</v>
      </c>
      <c r="C9438" s="51">
        <v>0.998</v>
      </c>
      <c r="D9438" s="51">
        <v>70.0</v>
      </c>
      <c r="E9438" s="52" t="s">
        <v>25</v>
      </c>
      <c r="F9438" s="52" t="s">
        <v>26</v>
      </c>
      <c r="G9438" s="54"/>
    </row>
    <row r="9439">
      <c r="A9439" s="49">
        <v>45120.336985925926</v>
      </c>
      <c r="B9439" s="50">
        <v>45120.4619409953</v>
      </c>
      <c r="C9439" s="51">
        <v>0.999</v>
      </c>
      <c r="D9439" s="51">
        <v>70.0</v>
      </c>
      <c r="E9439" s="52" t="s">
        <v>25</v>
      </c>
      <c r="F9439" s="52" t="s">
        <v>26</v>
      </c>
      <c r="G9439" s="54"/>
    </row>
    <row r="9440">
      <c r="A9440" s="49">
        <v>45120.34740101852</v>
      </c>
      <c r="B9440" s="50">
        <v>45120.472373993</v>
      </c>
      <c r="C9440" s="51">
        <v>0.999</v>
      </c>
      <c r="D9440" s="51">
        <v>70.0</v>
      </c>
      <c r="E9440" s="52" t="s">
        <v>25</v>
      </c>
      <c r="F9440" s="52" t="s">
        <v>26</v>
      </c>
      <c r="G9440" s="54"/>
    </row>
    <row r="9441">
      <c r="A9441" s="49">
        <v>45120.357819791665</v>
      </c>
      <c r="B9441" s="50">
        <v>45120.4827955208</v>
      </c>
      <c r="C9441" s="51">
        <v>0.999</v>
      </c>
      <c r="D9441" s="51">
        <v>70.0</v>
      </c>
      <c r="E9441" s="52" t="s">
        <v>25</v>
      </c>
      <c r="F9441" s="52" t="s">
        <v>26</v>
      </c>
      <c r="G9441" s="54"/>
    </row>
    <row r="9442">
      <c r="A9442" s="49">
        <v>45120.368252291664</v>
      </c>
      <c r="B9442" s="50">
        <v>45120.4932179166</v>
      </c>
      <c r="C9442" s="51">
        <v>0.999</v>
      </c>
      <c r="D9442" s="51">
        <v>70.0</v>
      </c>
      <c r="E9442" s="52" t="s">
        <v>25</v>
      </c>
      <c r="F9442" s="52" t="s">
        <v>26</v>
      </c>
      <c r="G9442" s="54"/>
    </row>
    <row r="9443">
      <c r="A9443" s="49">
        <v>45120.37867091435</v>
      </c>
      <c r="B9443" s="50">
        <v>45120.5036388541</v>
      </c>
      <c r="C9443" s="51">
        <v>0.999</v>
      </c>
      <c r="D9443" s="51">
        <v>70.0</v>
      </c>
      <c r="E9443" s="52" t="s">
        <v>25</v>
      </c>
      <c r="F9443" s="52" t="s">
        <v>26</v>
      </c>
      <c r="G9443" s="54"/>
    </row>
    <row r="9444">
      <c r="A9444" s="49">
        <v>45120.38908936342</v>
      </c>
      <c r="B9444" s="50">
        <v>45120.5140605902</v>
      </c>
      <c r="C9444" s="51">
        <v>0.999</v>
      </c>
      <c r="D9444" s="51">
        <v>70.0</v>
      </c>
      <c r="E9444" s="52" t="s">
        <v>25</v>
      </c>
      <c r="F9444" s="52" t="s">
        <v>26</v>
      </c>
      <c r="G9444" s="54"/>
    </row>
    <row r="9445">
      <c r="A9445" s="49">
        <v>45120.39952680556</v>
      </c>
      <c r="B9445" s="50">
        <v>45120.5244947222</v>
      </c>
      <c r="C9445" s="51">
        <v>0.999</v>
      </c>
      <c r="D9445" s="51">
        <v>70.0</v>
      </c>
      <c r="E9445" s="52" t="s">
        <v>25</v>
      </c>
      <c r="F9445" s="52" t="s">
        <v>26</v>
      </c>
      <c r="G9445" s="54"/>
    </row>
    <row r="9446">
      <c r="A9446" s="49">
        <v>45120.409950243054</v>
      </c>
      <c r="B9446" s="50">
        <v>45120.5349161342</v>
      </c>
      <c r="C9446" s="51">
        <v>0.999</v>
      </c>
      <c r="D9446" s="51">
        <v>70.0</v>
      </c>
      <c r="E9446" s="52" t="s">
        <v>25</v>
      </c>
      <c r="F9446" s="52" t="s">
        <v>26</v>
      </c>
      <c r="G9446" s="54"/>
    </row>
    <row r="9447">
      <c r="A9447" s="49">
        <v>45120.420360648146</v>
      </c>
      <c r="B9447" s="50">
        <v>45120.5453368287</v>
      </c>
      <c r="C9447" s="51">
        <v>0.999</v>
      </c>
      <c r="D9447" s="51">
        <v>70.0</v>
      </c>
      <c r="E9447" s="52" t="s">
        <v>25</v>
      </c>
      <c r="F9447" s="52" t="s">
        <v>26</v>
      </c>
      <c r="G9447" s="54"/>
    </row>
    <row r="9448">
      <c r="A9448" s="49">
        <v>45120.430801932875</v>
      </c>
      <c r="B9448" s="50">
        <v>45120.5557694097</v>
      </c>
      <c r="C9448" s="51">
        <v>0.999</v>
      </c>
      <c r="D9448" s="51">
        <v>70.0</v>
      </c>
      <c r="E9448" s="52" t="s">
        <v>25</v>
      </c>
      <c r="F9448" s="52" t="s">
        <v>26</v>
      </c>
      <c r="G9448" s="54"/>
    </row>
    <row r="9449">
      <c r="A9449" s="49">
        <v>45120.441232997684</v>
      </c>
      <c r="B9449" s="50">
        <v>45120.5662025231</v>
      </c>
      <c r="C9449" s="51">
        <v>0.999</v>
      </c>
      <c r="D9449" s="51">
        <v>70.0</v>
      </c>
      <c r="E9449" s="52" t="s">
        <v>25</v>
      </c>
      <c r="F9449" s="52" t="s">
        <v>26</v>
      </c>
      <c r="G9449" s="54"/>
    </row>
    <row r="9450">
      <c r="A9450" s="49">
        <v>45120.451655439814</v>
      </c>
      <c r="B9450" s="50">
        <v>45120.5766217939</v>
      </c>
      <c r="C9450" s="51">
        <v>0.999</v>
      </c>
      <c r="D9450" s="51">
        <v>70.0</v>
      </c>
      <c r="E9450" s="52" t="s">
        <v>25</v>
      </c>
      <c r="F9450" s="52" t="s">
        <v>26</v>
      </c>
      <c r="G9450" s="54"/>
    </row>
    <row r="9451">
      <c r="A9451" s="49">
        <v>45120.46207913195</v>
      </c>
      <c r="B9451" s="50">
        <v>45120.5870411805</v>
      </c>
      <c r="C9451" s="51">
        <v>0.999</v>
      </c>
      <c r="D9451" s="51">
        <v>70.0</v>
      </c>
      <c r="E9451" s="52" t="s">
        <v>25</v>
      </c>
      <c r="F9451" s="52" t="s">
        <v>26</v>
      </c>
      <c r="G9451" s="54"/>
    </row>
    <row r="9452">
      <c r="A9452" s="49">
        <v>45120.472507638886</v>
      </c>
      <c r="B9452" s="50">
        <v>45120.5974748263</v>
      </c>
      <c r="C9452" s="51">
        <v>0.999</v>
      </c>
      <c r="D9452" s="51">
        <v>70.0</v>
      </c>
      <c r="E9452" s="52" t="s">
        <v>25</v>
      </c>
      <c r="F9452" s="52" t="s">
        <v>26</v>
      </c>
      <c r="G9452" s="54"/>
    </row>
    <row r="9453">
      <c r="A9453" s="49">
        <v>45120.48292710648</v>
      </c>
      <c r="B9453" s="50">
        <v>45120.607896493</v>
      </c>
      <c r="C9453" s="51">
        <v>0.999</v>
      </c>
      <c r="D9453" s="51">
        <v>70.0</v>
      </c>
      <c r="E9453" s="52" t="s">
        <v>25</v>
      </c>
      <c r="F9453" s="52" t="s">
        <v>26</v>
      </c>
      <c r="G9453" s="54"/>
    </row>
    <row r="9454">
      <c r="A9454" s="49">
        <v>45120.49334885417</v>
      </c>
      <c r="B9454" s="50">
        <v>45120.6183181018</v>
      </c>
      <c r="C9454" s="51">
        <v>0.999</v>
      </c>
      <c r="D9454" s="51">
        <v>70.0</v>
      </c>
      <c r="E9454" s="52" t="s">
        <v>25</v>
      </c>
      <c r="F9454" s="52" t="s">
        <v>26</v>
      </c>
      <c r="G9454" s="54"/>
    </row>
    <row r="9455">
      <c r="A9455" s="49">
        <v>45120.503772337965</v>
      </c>
      <c r="B9455" s="50">
        <v>45120.628738368</v>
      </c>
      <c r="C9455" s="51">
        <v>0.999</v>
      </c>
      <c r="D9455" s="51">
        <v>70.0</v>
      </c>
      <c r="E9455" s="52" t="s">
        <v>25</v>
      </c>
      <c r="F9455" s="52" t="s">
        <v>26</v>
      </c>
      <c r="G9455" s="54"/>
    </row>
    <row r="9456">
      <c r="A9456" s="49">
        <v>45120.51419273148</v>
      </c>
      <c r="B9456" s="50">
        <v>45120.6391598726</v>
      </c>
      <c r="C9456" s="51">
        <v>0.999</v>
      </c>
      <c r="D9456" s="51">
        <v>70.0</v>
      </c>
      <c r="E9456" s="52" t="s">
        <v>25</v>
      </c>
      <c r="F9456" s="52" t="s">
        <v>26</v>
      </c>
      <c r="G9456" s="54"/>
    </row>
    <row r="9457">
      <c r="A9457" s="49">
        <v>45120.52460423611</v>
      </c>
      <c r="B9457" s="50">
        <v>45120.649580625</v>
      </c>
      <c r="C9457" s="51">
        <v>0.999</v>
      </c>
      <c r="D9457" s="51">
        <v>70.0</v>
      </c>
      <c r="E9457" s="52" t="s">
        <v>25</v>
      </c>
      <c r="F9457" s="52" t="s">
        <v>26</v>
      </c>
      <c r="G9457" s="54"/>
    </row>
    <row r="9458">
      <c r="A9458" s="49">
        <v>45120.53504383102</v>
      </c>
      <c r="B9458" s="50">
        <v>45120.6600142245</v>
      </c>
      <c r="C9458" s="51">
        <v>0.999</v>
      </c>
      <c r="D9458" s="51">
        <v>70.0</v>
      </c>
      <c r="E9458" s="52" t="s">
        <v>25</v>
      </c>
      <c r="F9458" s="52" t="s">
        <v>26</v>
      </c>
      <c r="G9458" s="54"/>
    </row>
    <row r="9459">
      <c r="A9459" s="49">
        <v>45120.545464537034</v>
      </c>
      <c r="B9459" s="50">
        <v>45120.6704345138</v>
      </c>
      <c r="C9459" s="51">
        <v>0.999</v>
      </c>
      <c r="D9459" s="51">
        <v>70.0</v>
      </c>
      <c r="E9459" s="52" t="s">
        <v>25</v>
      </c>
      <c r="F9459" s="52" t="s">
        <v>26</v>
      </c>
      <c r="G9459" s="54"/>
    </row>
    <row r="9460">
      <c r="A9460" s="49">
        <v>45120.55588909722</v>
      </c>
      <c r="B9460" s="50">
        <v>45120.6808570833</v>
      </c>
      <c r="C9460" s="51">
        <v>0.999</v>
      </c>
      <c r="D9460" s="51">
        <v>70.0</v>
      </c>
      <c r="E9460" s="52" t="s">
        <v>25</v>
      </c>
      <c r="F9460" s="52" t="s">
        <v>26</v>
      </c>
      <c r="G9460" s="54"/>
    </row>
    <row r="9461">
      <c r="A9461" s="49">
        <v>45120.56630719907</v>
      </c>
      <c r="B9461" s="50">
        <v>45120.6912786921</v>
      </c>
      <c r="C9461" s="51">
        <v>0.999</v>
      </c>
      <c r="D9461" s="51">
        <v>70.0</v>
      </c>
      <c r="E9461" s="52" t="s">
        <v>25</v>
      </c>
      <c r="F9461" s="52" t="s">
        <v>26</v>
      </c>
      <c r="G9461" s="54"/>
    </row>
    <row r="9462">
      <c r="A9462" s="49">
        <v>45120.576750312495</v>
      </c>
      <c r="B9462" s="50">
        <v>45120.7017235879</v>
      </c>
      <c r="C9462" s="51">
        <v>0.999</v>
      </c>
      <c r="D9462" s="51">
        <v>70.0</v>
      </c>
      <c r="E9462" s="52" t="s">
        <v>25</v>
      </c>
      <c r="F9462" s="52" t="s">
        <v>26</v>
      </c>
      <c r="G9462" s="54"/>
    </row>
    <row r="9463">
      <c r="A9463" s="49">
        <v>45120.587172534724</v>
      </c>
      <c r="B9463" s="50">
        <v>45120.7121438657</v>
      </c>
      <c r="C9463" s="51">
        <v>0.999</v>
      </c>
      <c r="D9463" s="51">
        <v>70.0</v>
      </c>
      <c r="E9463" s="52" t="s">
        <v>25</v>
      </c>
      <c r="F9463" s="52" t="s">
        <v>26</v>
      </c>
      <c r="G9463" s="54"/>
    </row>
    <row r="9464">
      <c r="A9464" s="49">
        <v>45120.597591921294</v>
      </c>
      <c r="B9464" s="50">
        <v>45120.7225654861</v>
      </c>
      <c r="C9464" s="51">
        <v>0.999</v>
      </c>
      <c r="D9464" s="51">
        <v>70.0</v>
      </c>
      <c r="E9464" s="52" t="s">
        <v>25</v>
      </c>
      <c r="F9464" s="52" t="s">
        <v>26</v>
      </c>
      <c r="G9464" s="54"/>
    </row>
    <row r="9465">
      <c r="A9465" s="49">
        <v>45120.6080300926</v>
      </c>
      <c r="B9465" s="50">
        <v>45120.7330091088</v>
      </c>
      <c r="C9465" s="51">
        <v>0.999</v>
      </c>
      <c r="D9465" s="51">
        <v>70.0</v>
      </c>
      <c r="E9465" s="52" t="s">
        <v>25</v>
      </c>
      <c r="F9465" s="52" t="s">
        <v>26</v>
      </c>
      <c r="G9465" s="54"/>
    </row>
    <row r="9466">
      <c r="A9466" s="49">
        <v>45120.61845829861</v>
      </c>
      <c r="B9466" s="50">
        <v>45120.7434286689</v>
      </c>
      <c r="C9466" s="51">
        <v>0.999</v>
      </c>
      <c r="D9466" s="51">
        <v>70.0</v>
      </c>
      <c r="E9466" s="52" t="s">
        <v>25</v>
      </c>
      <c r="F9466" s="52" t="s">
        <v>26</v>
      </c>
      <c r="G9466" s="54"/>
    </row>
    <row r="9467">
      <c r="A9467" s="49">
        <v>45120.62887267361</v>
      </c>
      <c r="B9467" s="50">
        <v>45120.7538493171</v>
      </c>
      <c r="C9467" s="51">
        <v>0.999</v>
      </c>
      <c r="D9467" s="51">
        <v>70.0</v>
      </c>
      <c r="E9467" s="52" t="s">
        <v>25</v>
      </c>
      <c r="F9467" s="52" t="s">
        <v>26</v>
      </c>
      <c r="G9467" s="54"/>
    </row>
    <row r="9468">
      <c r="A9468" s="49">
        <v>45120.639295127316</v>
      </c>
      <c r="B9468" s="50">
        <v>45120.7642704745</v>
      </c>
      <c r="C9468" s="51">
        <v>0.999</v>
      </c>
      <c r="D9468" s="51">
        <v>70.0</v>
      </c>
      <c r="E9468" s="52" t="s">
        <v>25</v>
      </c>
      <c r="F9468" s="52" t="s">
        <v>26</v>
      </c>
      <c r="G9468" s="54"/>
    </row>
    <row r="9469">
      <c r="A9469" s="49">
        <v>45120.64973376157</v>
      </c>
      <c r="B9469" s="50">
        <v>45120.774702581</v>
      </c>
      <c r="C9469" s="51">
        <v>0.999</v>
      </c>
      <c r="D9469" s="51">
        <v>70.0</v>
      </c>
      <c r="E9469" s="52" t="s">
        <v>25</v>
      </c>
      <c r="F9469" s="52" t="s">
        <v>26</v>
      </c>
      <c r="G9469" s="54"/>
    </row>
    <row r="9470">
      <c r="A9470" s="49">
        <v>45120.66015679398</v>
      </c>
      <c r="B9470" s="50">
        <v>45120.7851234259</v>
      </c>
      <c r="C9470" s="51">
        <v>0.999</v>
      </c>
      <c r="D9470" s="51">
        <v>70.0</v>
      </c>
      <c r="E9470" s="52" t="s">
        <v>25</v>
      </c>
      <c r="F9470" s="52" t="s">
        <v>26</v>
      </c>
      <c r="G9470" s="54"/>
    </row>
    <row r="9471">
      <c r="A9471" s="49">
        <v>45120.670571400464</v>
      </c>
      <c r="B9471" s="50">
        <v>45120.7955440972</v>
      </c>
      <c r="C9471" s="51">
        <v>0.999</v>
      </c>
      <c r="D9471" s="51">
        <v>70.0</v>
      </c>
      <c r="E9471" s="52" t="s">
        <v>25</v>
      </c>
      <c r="F9471" s="52" t="s">
        <v>26</v>
      </c>
      <c r="G9471" s="54"/>
    </row>
    <row r="9472">
      <c r="A9472" s="49">
        <v>45120.68098783564</v>
      </c>
      <c r="B9472" s="50">
        <v>45120.8059661342</v>
      </c>
      <c r="C9472" s="51">
        <v>0.999</v>
      </c>
      <c r="D9472" s="51">
        <v>70.0</v>
      </c>
      <c r="E9472" s="52" t="s">
        <v>25</v>
      </c>
      <c r="F9472" s="52" t="s">
        <v>26</v>
      </c>
      <c r="G9472" s="54"/>
    </row>
    <row r="9473">
      <c r="A9473" s="49">
        <v>45120.69141796297</v>
      </c>
      <c r="B9473" s="50">
        <v>45120.816386956</v>
      </c>
      <c r="C9473" s="51">
        <v>0.999</v>
      </c>
      <c r="D9473" s="51">
        <v>70.0</v>
      </c>
      <c r="E9473" s="52" t="s">
        <v>25</v>
      </c>
      <c r="F9473" s="52" t="s">
        <v>26</v>
      </c>
      <c r="G9473" s="54"/>
    </row>
    <row r="9474">
      <c r="A9474" s="49">
        <v>45120.70183607639</v>
      </c>
      <c r="B9474" s="50">
        <v>45120.8268091319</v>
      </c>
      <c r="C9474" s="51">
        <v>0.999</v>
      </c>
      <c r="D9474" s="51">
        <v>70.0</v>
      </c>
      <c r="E9474" s="52" t="s">
        <v>25</v>
      </c>
      <c r="F9474" s="52" t="s">
        <v>26</v>
      </c>
      <c r="G9474" s="54"/>
    </row>
    <row r="9475">
      <c r="A9475" s="49">
        <v>45120.712254247686</v>
      </c>
      <c r="B9475" s="50">
        <v>45120.8372313078</v>
      </c>
      <c r="C9475" s="51">
        <v>0.999</v>
      </c>
      <c r="D9475" s="51">
        <v>70.0</v>
      </c>
      <c r="E9475" s="52" t="s">
        <v>25</v>
      </c>
      <c r="F9475" s="52" t="s">
        <v>26</v>
      </c>
      <c r="G9475" s="54"/>
    </row>
    <row r="9476">
      <c r="A9476" s="49">
        <v>45120.72270358796</v>
      </c>
      <c r="B9476" s="50">
        <v>45120.8476752662</v>
      </c>
      <c r="C9476" s="51">
        <v>0.999</v>
      </c>
      <c r="D9476" s="51">
        <v>70.0</v>
      </c>
      <c r="E9476" s="52" t="s">
        <v>25</v>
      </c>
      <c r="F9476" s="52" t="s">
        <v>26</v>
      </c>
      <c r="G9476" s="54"/>
    </row>
    <row r="9477">
      <c r="A9477" s="49">
        <v>45120.733121666664</v>
      </c>
      <c r="B9477" s="50">
        <v>45120.8580969907</v>
      </c>
      <c r="C9477" s="51">
        <v>0.999</v>
      </c>
      <c r="D9477" s="51">
        <v>70.0</v>
      </c>
      <c r="E9477" s="52" t="s">
        <v>25</v>
      </c>
      <c r="F9477" s="52" t="s">
        <v>26</v>
      </c>
      <c r="G9477" s="54"/>
    </row>
    <row r="9478">
      <c r="A9478" s="49">
        <v>45120.74353715278</v>
      </c>
      <c r="B9478" s="50">
        <v>45120.8685173495</v>
      </c>
      <c r="C9478" s="51">
        <v>0.999</v>
      </c>
      <c r="D9478" s="51">
        <v>70.0</v>
      </c>
      <c r="E9478" s="52" t="s">
        <v>25</v>
      </c>
      <c r="F9478" s="52" t="s">
        <v>26</v>
      </c>
      <c r="G9478" s="54"/>
    </row>
    <row r="9479">
      <c r="A9479" s="49">
        <v>45120.75397818287</v>
      </c>
      <c r="B9479" s="50">
        <v>45120.8789513657</v>
      </c>
      <c r="C9479" s="51">
        <v>0.999</v>
      </c>
      <c r="D9479" s="51">
        <v>70.0</v>
      </c>
      <c r="E9479" s="52" t="s">
        <v>25</v>
      </c>
      <c r="F9479" s="52" t="s">
        <v>26</v>
      </c>
      <c r="G9479" s="54"/>
    </row>
    <row r="9480">
      <c r="A9480" s="49">
        <v>45120.764396631945</v>
      </c>
      <c r="B9480" s="50">
        <v>45120.8893719907</v>
      </c>
      <c r="C9480" s="51">
        <v>0.999</v>
      </c>
      <c r="D9480" s="51">
        <v>70.0</v>
      </c>
      <c r="E9480" s="52" t="s">
        <v>25</v>
      </c>
      <c r="F9480" s="52" t="s">
        <v>26</v>
      </c>
      <c r="G9480" s="54"/>
    </row>
    <row r="9481">
      <c r="A9481" s="49">
        <v>45120.774812986114</v>
      </c>
      <c r="B9481" s="50">
        <v>45120.8997932407</v>
      </c>
      <c r="C9481" s="51">
        <v>0.999</v>
      </c>
      <c r="D9481" s="51">
        <v>70.0</v>
      </c>
      <c r="E9481" s="52" t="s">
        <v>25</v>
      </c>
      <c r="F9481" s="52" t="s">
        <v>26</v>
      </c>
      <c r="G9481" s="54"/>
    </row>
    <row r="9482">
      <c r="A9482" s="49">
        <v>45120.785268391206</v>
      </c>
      <c r="B9482" s="50">
        <v>45120.910236655</v>
      </c>
      <c r="C9482" s="51">
        <v>0.999</v>
      </c>
      <c r="D9482" s="51">
        <v>70.0</v>
      </c>
      <c r="E9482" s="52" t="s">
        <v>25</v>
      </c>
      <c r="F9482" s="52" t="s">
        <v>26</v>
      </c>
      <c r="G9482" s="54"/>
    </row>
    <row r="9483">
      <c r="A9483" s="49">
        <v>45120.79568476852</v>
      </c>
      <c r="B9483" s="50">
        <v>45120.9206585764</v>
      </c>
      <c r="C9483" s="51">
        <v>0.999</v>
      </c>
      <c r="D9483" s="51">
        <v>70.0</v>
      </c>
      <c r="E9483" s="52" t="s">
        <v>25</v>
      </c>
      <c r="F9483" s="52" t="s">
        <v>26</v>
      </c>
      <c r="G9483" s="54"/>
    </row>
    <row r="9484">
      <c r="A9484" s="49">
        <v>45120.80610623842</v>
      </c>
      <c r="B9484" s="50">
        <v>45120.9310806365</v>
      </c>
      <c r="C9484" s="51">
        <v>0.999</v>
      </c>
      <c r="D9484" s="51">
        <v>70.0</v>
      </c>
      <c r="E9484" s="52" t="s">
        <v>25</v>
      </c>
      <c r="F9484" s="52" t="s">
        <v>26</v>
      </c>
      <c r="G9484" s="54"/>
    </row>
    <row r="9485">
      <c r="A9485" s="49">
        <v>45120.81653315973</v>
      </c>
      <c r="B9485" s="50">
        <v>45120.941502743</v>
      </c>
      <c r="C9485" s="51">
        <v>0.999</v>
      </c>
      <c r="D9485" s="51">
        <v>70.0</v>
      </c>
      <c r="E9485" s="52" t="s">
        <v>25</v>
      </c>
      <c r="F9485" s="52" t="s">
        <v>26</v>
      </c>
      <c r="G9485" s="54"/>
    </row>
    <row r="9486">
      <c r="A9486" s="49">
        <v>45120.82696446759</v>
      </c>
      <c r="B9486" s="50">
        <v>45120.9519361689</v>
      </c>
      <c r="C9486" s="51">
        <v>0.999</v>
      </c>
      <c r="D9486" s="51">
        <v>70.0</v>
      </c>
      <c r="E9486" s="52" t="s">
        <v>25</v>
      </c>
      <c r="F9486" s="52" t="s">
        <v>26</v>
      </c>
      <c r="G9486" s="54"/>
    </row>
    <row r="9487">
      <c r="A9487" s="49">
        <v>45120.83738277778</v>
      </c>
      <c r="B9487" s="50">
        <v>45120.962357581</v>
      </c>
      <c r="C9487" s="51">
        <v>0.999</v>
      </c>
      <c r="D9487" s="51">
        <v>70.0</v>
      </c>
      <c r="E9487" s="52" t="s">
        <v>25</v>
      </c>
      <c r="F9487" s="52" t="s">
        <v>26</v>
      </c>
      <c r="G9487" s="54"/>
    </row>
    <row r="9488">
      <c r="A9488" s="49">
        <v>45120.84783018519</v>
      </c>
      <c r="B9488" s="50">
        <v>45120.9727777893</v>
      </c>
      <c r="C9488" s="51">
        <v>0.999</v>
      </c>
      <c r="D9488" s="51">
        <v>70.0</v>
      </c>
      <c r="E9488" s="52" t="s">
        <v>25</v>
      </c>
      <c r="F9488" s="52" t="s">
        <v>26</v>
      </c>
      <c r="G9488" s="54"/>
    </row>
    <row r="9489">
      <c r="A9489" s="49">
        <v>45120.85822283565</v>
      </c>
      <c r="B9489" s="50">
        <v>45120.9832000347</v>
      </c>
      <c r="C9489" s="51">
        <v>0.999</v>
      </c>
      <c r="D9489" s="51">
        <v>70.0</v>
      </c>
      <c r="E9489" s="52" t="s">
        <v>25</v>
      </c>
      <c r="F9489" s="52" t="s">
        <v>26</v>
      </c>
      <c r="G9489" s="54"/>
    </row>
    <row r="9490">
      <c r="A9490" s="49">
        <v>45120.868651296296</v>
      </c>
      <c r="B9490" s="50">
        <v>45120.9936214004</v>
      </c>
      <c r="C9490" s="51">
        <v>0.999</v>
      </c>
      <c r="D9490" s="51">
        <v>70.0</v>
      </c>
      <c r="E9490" s="52" t="s">
        <v>25</v>
      </c>
      <c r="F9490" s="52" t="s">
        <v>26</v>
      </c>
      <c r="G9490" s="54"/>
    </row>
    <row r="9491">
      <c r="A9491" s="49">
        <v>45120.879069386574</v>
      </c>
      <c r="B9491" s="50">
        <v>45121.0040413541</v>
      </c>
      <c r="C9491" s="51">
        <v>0.999</v>
      </c>
      <c r="D9491" s="51">
        <v>70.0</v>
      </c>
      <c r="E9491" s="52" t="s">
        <v>25</v>
      </c>
      <c r="F9491" s="52" t="s">
        <v>26</v>
      </c>
      <c r="G9491" s="54"/>
    </row>
    <row r="9492">
      <c r="A9492" s="49">
        <v>45120.88948696759</v>
      </c>
      <c r="B9492" s="50">
        <v>45121.0144600231</v>
      </c>
      <c r="C9492" s="51">
        <v>0.999</v>
      </c>
      <c r="D9492" s="51">
        <v>70.0</v>
      </c>
      <c r="E9492" s="52" t="s">
        <v>25</v>
      </c>
      <c r="F9492" s="52" t="s">
        <v>26</v>
      </c>
      <c r="G9492" s="54"/>
    </row>
    <row r="9493">
      <c r="A9493" s="49">
        <v>45120.89991582176</v>
      </c>
      <c r="B9493" s="50">
        <v>45121.0248932176</v>
      </c>
      <c r="C9493" s="51">
        <v>0.999</v>
      </c>
      <c r="D9493" s="51">
        <v>70.0</v>
      </c>
      <c r="E9493" s="52" t="s">
        <v>25</v>
      </c>
      <c r="F9493" s="52" t="s">
        <v>26</v>
      </c>
      <c r="G9493" s="54"/>
    </row>
    <row r="9494">
      <c r="A9494" s="49">
        <v>45120.91035600695</v>
      </c>
      <c r="B9494" s="50">
        <v>45121.0353245717</v>
      </c>
      <c r="C9494" s="51">
        <v>0.999</v>
      </c>
      <c r="D9494" s="51">
        <v>70.0</v>
      </c>
      <c r="E9494" s="52" t="s">
        <v>25</v>
      </c>
      <c r="F9494" s="52" t="s">
        <v>26</v>
      </c>
      <c r="G9494" s="54"/>
    </row>
    <row r="9495">
      <c r="A9495" s="49">
        <v>45120.92076525463</v>
      </c>
      <c r="B9495" s="50">
        <v>45121.0457470486</v>
      </c>
      <c r="C9495" s="51">
        <v>0.999</v>
      </c>
      <c r="D9495" s="51">
        <v>70.0</v>
      </c>
      <c r="E9495" s="52" t="s">
        <v>25</v>
      </c>
      <c r="F9495" s="52" t="s">
        <v>26</v>
      </c>
      <c r="G9495" s="54"/>
    </row>
    <row r="9496">
      <c r="A9496" s="49">
        <v>45120.931205393514</v>
      </c>
      <c r="B9496" s="50">
        <v>45121.0561687963</v>
      </c>
      <c r="C9496" s="51">
        <v>0.999</v>
      </c>
      <c r="D9496" s="51">
        <v>70.0</v>
      </c>
      <c r="E9496" s="52" t="s">
        <v>25</v>
      </c>
      <c r="F9496" s="52" t="s">
        <v>26</v>
      </c>
      <c r="G9496" s="54"/>
    </row>
    <row r="9497">
      <c r="A9497" s="49">
        <v>45120.941615601856</v>
      </c>
      <c r="B9497" s="50">
        <v>45121.0665899421</v>
      </c>
      <c r="C9497" s="51">
        <v>0.999</v>
      </c>
      <c r="D9497" s="51">
        <v>70.0</v>
      </c>
      <c r="E9497" s="52" t="s">
        <v>25</v>
      </c>
      <c r="F9497" s="52" t="s">
        <v>26</v>
      </c>
      <c r="G9497" s="54"/>
    </row>
    <row r="9498">
      <c r="A9498" s="49">
        <v>45120.95205116898</v>
      </c>
      <c r="B9498" s="50">
        <v>45121.0770225231</v>
      </c>
      <c r="C9498" s="51">
        <v>0.999</v>
      </c>
      <c r="D9498" s="51">
        <v>70.0</v>
      </c>
      <c r="E9498" s="52" t="s">
        <v>25</v>
      </c>
      <c r="F9498" s="52" t="s">
        <v>26</v>
      </c>
      <c r="G9498" s="54"/>
    </row>
    <row r="9499">
      <c r="A9499" s="49">
        <v>45120.96246229167</v>
      </c>
      <c r="B9499" s="50">
        <v>45121.0874428125</v>
      </c>
      <c r="C9499" s="51">
        <v>0.999</v>
      </c>
      <c r="D9499" s="51">
        <v>70.0</v>
      </c>
      <c r="E9499" s="52" t="s">
        <v>25</v>
      </c>
      <c r="F9499" s="52" t="s">
        <v>26</v>
      </c>
      <c r="G9499" s="54"/>
    </row>
    <row r="9500">
      <c r="A9500" s="49">
        <v>45120.97289358796</v>
      </c>
      <c r="B9500" s="50">
        <v>45121.0978643634</v>
      </c>
      <c r="C9500" s="51">
        <v>0.999</v>
      </c>
      <c r="D9500" s="51">
        <v>70.0</v>
      </c>
      <c r="E9500" s="52" t="s">
        <v>25</v>
      </c>
      <c r="F9500" s="52" t="s">
        <v>26</v>
      </c>
      <c r="G9500" s="54"/>
    </row>
    <row r="9501">
      <c r="A9501" s="49">
        <v>45120.98330607639</v>
      </c>
      <c r="B9501" s="50">
        <v>45121.1082846643</v>
      </c>
      <c r="C9501" s="51">
        <v>0.999</v>
      </c>
      <c r="D9501" s="51">
        <v>70.0</v>
      </c>
      <c r="E9501" s="52" t="s">
        <v>25</v>
      </c>
      <c r="F9501" s="52" t="s">
        <v>26</v>
      </c>
      <c r="G9501" s="54"/>
    </row>
    <row r="9502">
      <c r="A9502" s="49">
        <v>45120.99373663194</v>
      </c>
      <c r="B9502" s="50">
        <v>45121.1187047106</v>
      </c>
      <c r="C9502" s="51">
        <v>0.999</v>
      </c>
      <c r="D9502" s="51">
        <v>70.0</v>
      </c>
      <c r="E9502" s="52" t="s">
        <v>25</v>
      </c>
      <c r="F9502" s="52" t="s">
        <v>26</v>
      </c>
      <c r="G9502" s="54"/>
    </row>
    <row r="9503">
      <c r="A9503" s="49">
        <v>45121.004166666666</v>
      </c>
      <c r="B9503" s="50">
        <v>45121.1291260301</v>
      </c>
      <c r="C9503" s="51">
        <v>0.999</v>
      </c>
      <c r="D9503" s="51">
        <v>70.0</v>
      </c>
      <c r="E9503" s="52" t="s">
        <v>25</v>
      </c>
      <c r="F9503" s="52" t="s">
        <v>26</v>
      </c>
      <c r="G9503" s="54"/>
    </row>
    <row r="9504">
      <c r="A9504" s="49">
        <v>45121.014595636574</v>
      </c>
      <c r="B9504" s="50">
        <v>45121.1395455787</v>
      </c>
      <c r="C9504" s="51">
        <v>0.999</v>
      </c>
      <c r="D9504" s="51">
        <v>70.0</v>
      </c>
      <c r="E9504" s="52" t="s">
        <v>25</v>
      </c>
      <c r="F9504" s="52" t="s">
        <v>26</v>
      </c>
      <c r="G9504" s="54"/>
    </row>
    <row r="9505">
      <c r="A9505" s="49">
        <v>45121.02500887732</v>
      </c>
      <c r="B9505" s="50">
        <v>45121.1499679513</v>
      </c>
      <c r="C9505" s="51">
        <v>0.999</v>
      </c>
      <c r="D9505" s="51">
        <v>70.0</v>
      </c>
      <c r="E9505" s="52" t="s">
        <v>25</v>
      </c>
      <c r="F9505" s="52" t="s">
        <v>26</v>
      </c>
      <c r="G9505" s="54"/>
    </row>
    <row r="9506">
      <c r="A9506" s="49">
        <v>45121.03544489584</v>
      </c>
      <c r="B9506" s="50">
        <v>45121.1604130902</v>
      </c>
      <c r="C9506" s="51">
        <v>0.999</v>
      </c>
      <c r="D9506" s="51">
        <v>70.0</v>
      </c>
      <c r="E9506" s="52" t="s">
        <v>25</v>
      </c>
      <c r="F9506" s="52" t="s">
        <v>26</v>
      </c>
      <c r="G9506" s="54"/>
    </row>
    <row r="9507">
      <c r="A9507" s="49">
        <v>45121.045878125005</v>
      </c>
      <c r="B9507" s="50">
        <v>45121.1708346643</v>
      </c>
      <c r="C9507" s="51">
        <v>0.999</v>
      </c>
      <c r="D9507" s="51">
        <v>70.0</v>
      </c>
      <c r="E9507" s="52" t="s">
        <v>25</v>
      </c>
      <c r="F9507" s="52" t="s">
        <v>26</v>
      </c>
      <c r="G9507" s="54"/>
    </row>
    <row r="9508">
      <c r="A9508" s="49">
        <v>45121.05630074074</v>
      </c>
      <c r="B9508" s="50">
        <v>45121.1812561805</v>
      </c>
      <c r="C9508" s="51">
        <v>0.999</v>
      </c>
      <c r="D9508" s="51">
        <v>70.0</v>
      </c>
      <c r="E9508" s="52" t="s">
        <v>25</v>
      </c>
      <c r="F9508" s="52" t="s">
        <v>26</v>
      </c>
      <c r="G9508" s="54"/>
    </row>
    <row r="9509">
      <c r="A9509" s="49">
        <v>45121.06671969907</v>
      </c>
      <c r="B9509" s="50">
        <v>45121.1916784027</v>
      </c>
      <c r="C9509" s="51">
        <v>0.999</v>
      </c>
      <c r="D9509" s="51">
        <v>70.0</v>
      </c>
      <c r="E9509" s="52" t="s">
        <v>25</v>
      </c>
      <c r="F9509" s="52" t="s">
        <v>26</v>
      </c>
      <c r="G9509" s="54"/>
    </row>
    <row r="9510">
      <c r="A9510" s="49">
        <v>45121.07715349537</v>
      </c>
      <c r="B9510" s="50">
        <v>45121.2021000694</v>
      </c>
      <c r="C9510" s="51">
        <v>0.999</v>
      </c>
      <c r="D9510" s="51">
        <v>71.0</v>
      </c>
      <c r="E9510" s="52" t="s">
        <v>25</v>
      </c>
      <c r="F9510" s="52" t="s">
        <v>26</v>
      </c>
      <c r="G9510" s="54"/>
    </row>
    <row r="9511">
      <c r="A9511" s="49">
        <v>45121.087564155096</v>
      </c>
      <c r="B9511" s="50">
        <v>45121.2125203703</v>
      </c>
      <c r="C9511" s="51">
        <v>0.999</v>
      </c>
      <c r="D9511" s="51">
        <v>70.0</v>
      </c>
      <c r="E9511" s="52" t="s">
        <v>25</v>
      </c>
      <c r="F9511" s="52" t="s">
        <v>26</v>
      </c>
      <c r="G9511" s="54"/>
    </row>
    <row r="9512">
      <c r="A9512" s="49">
        <v>45121.09798746528</v>
      </c>
      <c r="B9512" s="50">
        <v>45121.2229422453</v>
      </c>
      <c r="C9512" s="51">
        <v>0.999</v>
      </c>
      <c r="D9512" s="51">
        <v>71.0</v>
      </c>
      <c r="E9512" s="52" t="s">
        <v>25</v>
      </c>
      <c r="F9512" s="52" t="s">
        <v>26</v>
      </c>
      <c r="G9512" s="54"/>
    </row>
    <row r="9513">
      <c r="A9513" s="49">
        <v>45121.10840186343</v>
      </c>
      <c r="B9513" s="50">
        <v>45121.2333640046</v>
      </c>
      <c r="C9513" s="51">
        <v>0.999</v>
      </c>
      <c r="D9513" s="51">
        <v>70.0</v>
      </c>
      <c r="E9513" s="52" t="s">
        <v>25</v>
      </c>
      <c r="F9513" s="52" t="s">
        <v>26</v>
      </c>
      <c r="G9513" s="54"/>
    </row>
    <row r="9514">
      <c r="A9514" s="49">
        <v>45121.118831898144</v>
      </c>
      <c r="B9514" s="50">
        <v>45121.2437826736</v>
      </c>
      <c r="C9514" s="51">
        <v>0.999</v>
      </c>
      <c r="D9514" s="51">
        <v>71.0</v>
      </c>
      <c r="E9514" s="52" t="s">
        <v>25</v>
      </c>
      <c r="F9514" s="52" t="s">
        <v>26</v>
      </c>
      <c r="G9514" s="54"/>
    </row>
    <row r="9515">
      <c r="A9515" s="49">
        <v>45121.12926240741</v>
      </c>
      <c r="B9515" s="50">
        <v>45121.254203206</v>
      </c>
      <c r="C9515" s="51">
        <v>0.999</v>
      </c>
      <c r="D9515" s="51">
        <v>71.0</v>
      </c>
      <c r="E9515" s="52" t="s">
        <v>25</v>
      </c>
      <c r="F9515" s="52" t="s">
        <v>26</v>
      </c>
      <c r="G9515" s="54"/>
    </row>
    <row r="9516">
      <c r="A9516" s="49">
        <v>45121.13967834491</v>
      </c>
      <c r="B9516" s="50">
        <v>45121.2646248726</v>
      </c>
      <c r="C9516" s="51">
        <v>0.999</v>
      </c>
      <c r="D9516" s="51">
        <v>70.0</v>
      </c>
      <c r="E9516" s="52" t="s">
        <v>25</v>
      </c>
      <c r="F9516" s="52" t="s">
        <v>26</v>
      </c>
      <c r="G9516" s="54"/>
    </row>
    <row r="9517">
      <c r="A9517" s="49">
        <v>45121.150117881945</v>
      </c>
      <c r="B9517" s="50">
        <v>45121.2750475347</v>
      </c>
      <c r="C9517" s="51">
        <v>0.999</v>
      </c>
      <c r="D9517" s="51">
        <v>70.0</v>
      </c>
      <c r="E9517" s="52" t="s">
        <v>25</v>
      </c>
      <c r="F9517" s="52" t="s">
        <v>26</v>
      </c>
      <c r="G9517" s="54"/>
    </row>
    <row r="9518">
      <c r="A9518" s="49">
        <v>45121.16053451389</v>
      </c>
      <c r="B9518" s="50">
        <v>45121.2854684606</v>
      </c>
      <c r="C9518" s="51">
        <v>0.999</v>
      </c>
      <c r="D9518" s="51">
        <v>71.0</v>
      </c>
      <c r="E9518" s="52" t="s">
        <v>25</v>
      </c>
      <c r="F9518" s="52" t="s">
        <v>26</v>
      </c>
      <c r="G9518" s="54"/>
    </row>
    <row r="9519">
      <c r="A9519" s="49">
        <v>45121.170972141204</v>
      </c>
      <c r="B9519" s="50">
        <v>45121.2959375347</v>
      </c>
      <c r="C9519" s="51">
        <v>0.999</v>
      </c>
      <c r="D9519" s="51">
        <v>71.0</v>
      </c>
      <c r="E9519" s="52" t="s">
        <v>25</v>
      </c>
      <c r="F9519" s="52" t="s">
        <v>26</v>
      </c>
      <c r="G9519" s="54"/>
    </row>
    <row r="9520">
      <c r="A9520" s="49">
        <v>45121.18140087963</v>
      </c>
      <c r="B9520" s="50">
        <v>45121.3063581944</v>
      </c>
      <c r="C9520" s="51">
        <v>0.999</v>
      </c>
      <c r="D9520" s="51">
        <v>71.0</v>
      </c>
      <c r="E9520" s="52" t="s">
        <v>25</v>
      </c>
      <c r="F9520" s="52" t="s">
        <v>26</v>
      </c>
      <c r="G9520" s="54"/>
    </row>
    <row r="9521">
      <c r="A9521" s="49">
        <v>45121.19183065972</v>
      </c>
      <c r="B9521" s="50">
        <v>45121.316792037</v>
      </c>
      <c r="C9521" s="51">
        <v>0.999</v>
      </c>
      <c r="D9521" s="51">
        <v>71.0</v>
      </c>
      <c r="E9521" s="52" t="s">
        <v>25</v>
      </c>
      <c r="F9521" s="52" t="s">
        <v>26</v>
      </c>
      <c r="G9521" s="54"/>
    </row>
    <row r="9522">
      <c r="A9522" s="49">
        <v>45121.20224246528</v>
      </c>
      <c r="B9522" s="50">
        <v>45121.32721125</v>
      </c>
      <c r="C9522" s="51">
        <v>0.999</v>
      </c>
      <c r="D9522" s="51">
        <v>70.0</v>
      </c>
      <c r="E9522" s="52" t="s">
        <v>25</v>
      </c>
      <c r="F9522" s="52" t="s">
        <v>26</v>
      </c>
      <c r="G9522" s="54"/>
    </row>
    <row r="9523">
      <c r="A9523" s="49">
        <v>45121.21265857639</v>
      </c>
      <c r="B9523" s="50">
        <v>45121.3376335763</v>
      </c>
      <c r="C9523" s="51">
        <v>0.999</v>
      </c>
      <c r="D9523" s="51">
        <v>71.0</v>
      </c>
      <c r="E9523" s="52" t="s">
        <v>25</v>
      </c>
      <c r="F9523" s="52" t="s">
        <v>26</v>
      </c>
      <c r="G9523" s="54"/>
    </row>
    <row r="9524">
      <c r="A9524" s="49">
        <v>45121.22309486111</v>
      </c>
      <c r="B9524" s="50">
        <v>45121.3480666551</v>
      </c>
      <c r="C9524" s="51">
        <v>0.999</v>
      </c>
      <c r="D9524" s="51">
        <v>71.0</v>
      </c>
      <c r="E9524" s="52" t="s">
        <v>25</v>
      </c>
      <c r="F9524" s="52" t="s">
        <v>26</v>
      </c>
      <c r="G9524" s="54"/>
    </row>
    <row r="9525">
      <c r="A9525" s="49">
        <v>45121.23352952546</v>
      </c>
      <c r="B9525" s="50">
        <v>45121.3584990277</v>
      </c>
      <c r="C9525" s="51">
        <v>0.999</v>
      </c>
      <c r="D9525" s="51">
        <v>71.0</v>
      </c>
      <c r="E9525" s="52" t="s">
        <v>25</v>
      </c>
      <c r="F9525" s="52" t="s">
        <v>26</v>
      </c>
      <c r="G9525" s="54"/>
    </row>
    <row r="9526">
      <c r="A9526" s="49">
        <v>45121.24394760416</v>
      </c>
      <c r="B9526" s="50">
        <v>45121.3689187615</v>
      </c>
      <c r="C9526" s="51">
        <v>0.999</v>
      </c>
      <c r="D9526" s="51">
        <v>70.0</v>
      </c>
      <c r="E9526" s="52" t="s">
        <v>25</v>
      </c>
      <c r="F9526" s="52" t="s">
        <v>26</v>
      </c>
      <c r="G9526" s="54"/>
    </row>
    <row r="9527">
      <c r="A9527" s="49">
        <v>45121.25437414352</v>
      </c>
      <c r="B9527" s="50">
        <v>45121.3793377546</v>
      </c>
      <c r="C9527" s="51">
        <v>0.999</v>
      </c>
      <c r="D9527" s="51">
        <v>70.0</v>
      </c>
      <c r="E9527" s="52" t="s">
        <v>25</v>
      </c>
      <c r="F9527" s="52" t="s">
        <v>26</v>
      </c>
      <c r="G9527" s="54"/>
    </row>
    <row r="9528">
      <c r="A9528" s="49">
        <v>45121.26481429398</v>
      </c>
      <c r="B9528" s="50">
        <v>45121.3897589467</v>
      </c>
      <c r="C9528" s="51">
        <v>0.999</v>
      </c>
      <c r="D9528" s="51">
        <v>71.0</v>
      </c>
      <c r="E9528" s="52" t="s">
        <v>25</v>
      </c>
      <c r="F9528" s="52" t="s">
        <v>26</v>
      </c>
      <c r="G9528" s="54"/>
    </row>
    <row r="9529">
      <c r="A9529" s="49">
        <v>45121.275253009255</v>
      </c>
      <c r="B9529" s="50">
        <v>45121.4001785185</v>
      </c>
      <c r="C9529" s="51">
        <v>0.999</v>
      </c>
      <c r="D9529" s="51">
        <v>71.0</v>
      </c>
      <c r="E9529" s="52" t="s">
        <v>25</v>
      </c>
      <c r="F9529" s="52" t="s">
        <v>26</v>
      </c>
      <c r="G9529" s="54"/>
    </row>
    <row r="9530">
      <c r="A9530" s="49">
        <v>45121.28566865741</v>
      </c>
      <c r="B9530" s="50">
        <v>45121.4106102199</v>
      </c>
      <c r="C9530" s="51">
        <v>0.999</v>
      </c>
      <c r="D9530" s="51">
        <v>71.0</v>
      </c>
      <c r="E9530" s="52" t="s">
        <v>25</v>
      </c>
      <c r="F9530" s="52" t="s">
        <v>26</v>
      </c>
      <c r="G9530" s="54"/>
    </row>
    <row r="9531">
      <c r="A9531" s="49">
        <v>45121.2960897338</v>
      </c>
      <c r="B9531" s="50">
        <v>45121.4210310763</v>
      </c>
      <c r="C9531" s="51">
        <v>0.999</v>
      </c>
      <c r="D9531" s="51">
        <v>71.0</v>
      </c>
      <c r="E9531" s="52" t="s">
        <v>25</v>
      </c>
      <c r="F9531" s="52" t="s">
        <v>26</v>
      </c>
      <c r="G9531" s="54"/>
    </row>
    <row r="9532">
      <c r="A9532" s="49">
        <v>45121.30651165509</v>
      </c>
      <c r="B9532" s="50">
        <v>45121.4314515046</v>
      </c>
      <c r="C9532" s="51">
        <v>0.999</v>
      </c>
      <c r="D9532" s="51">
        <v>71.0</v>
      </c>
      <c r="E9532" s="52" t="s">
        <v>25</v>
      </c>
      <c r="F9532" s="52" t="s">
        <v>26</v>
      </c>
      <c r="G9532" s="54"/>
    </row>
    <row r="9533">
      <c r="A9533" s="49">
        <v>45121.316930636574</v>
      </c>
      <c r="B9533" s="50">
        <v>45121.4418721064</v>
      </c>
      <c r="C9533" s="51">
        <v>0.999</v>
      </c>
      <c r="D9533" s="51">
        <v>71.0</v>
      </c>
      <c r="E9533" s="52" t="s">
        <v>25</v>
      </c>
      <c r="F9533" s="52" t="s">
        <v>26</v>
      </c>
      <c r="G9533" s="54"/>
    </row>
    <row r="9534">
      <c r="A9534" s="49">
        <v>45121.327355960646</v>
      </c>
      <c r="B9534" s="50">
        <v>45121.4522942824</v>
      </c>
      <c r="C9534" s="51">
        <v>0.999</v>
      </c>
      <c r="D9534" s="51">
        <v>71.0</v>
      </c>
      <c r="E9534" s="52" t="s">
        <v>25</v>
      </c>
      <c r="F9534" s="52" t="s">
        <v>26</v>
      </c>
      <c r="G9534" s="54"/>
    </row>
    <row r="9535">
      <c r="A9535" s="49">
        <v>45121.33778033565</v>
      </c>
      <c r="B9535" s="50">
        <v>45121.4627270023</v>
      </c>
      <c r="C9535" s="51">
        <v>0.999</v>
      </c>
      <c r="D9535" s="51">
        <v>71.0</v>
      </c>
      <c r="E9535" s="52" t="s">
        <v>25</v>
      </c>
      <c r="F9535" s="52" t="s">
        <v>26</v>
      </c>
      <c r="G9535" s="54"/>
    </row>
    <row r="9536">
      <c r="A9536" s="49">
        <v>45121.34820045139</v>
      </c>
      <c r="B9536" s="50">
        <v>45121.4731720833</v>
      </c>
      <c r="C9536" s="51">
        <v>0.999</v>
      </c>
      <c r="D9536" s="51">
        <v>71.0</v>
      </c>
      <c r="E9536" s="52" t="s">
        <v>25</v>
      </c>
      <c r="F9536" s="52" t="s">
        <v>26</v>
      </c>
      <c r="G9536" s="54"/>
    </row>
    <row r="9537">
      <c r="A9537" s="49">
        <v>45121.35861821759</v>
      </c>
      <c r="B9537" s="50">
        <v>45121.4835911458</v>
      </c>
      <c r="C9537" s="51">
        <v>0.999</v>
      </c>
      <c r="D9537" s="51">
        <v>71.0</v>
      </c>
      <c r="E9537" s="52" t="s">
        <v>25</v>
      </c>
      <c r="F9537" s="52" t="s">
        <v>26</v>
      </c>
      <c r="G9537" s="54"/>
    </row>
    <row r="9538">
      <c r="A9538" s="49">
        <v>45121.36904462963</v>
      </c>
      <c r="B9538" s="50">
        <v>45121.494010324</v>
      </c>
      <c r="C9538" s="51">
        <v>0.999</v>
      </c>
      <c r="D9538" s="51">
        <v>71.0</v>
      </c>
      <c r="E9538" s="52" t="s">
        <v>25</v>
      </c>
      <c r="F9538" s="52" t="s">
        <v>26</v>
      </c>
      <c r="G9538" s="54"/>
    </row>
    <row r="9539">
      <c r="A9539" s="49">
        <v>45121.379462268524</v>
      </c>
      <c r="B9539" s="50">
        <v>45121.5044306713</v>
      </c>
      <c r="C9539" s="51">
        <v>0.999</v>
      </c>
      <c r="D9539" s="51">
        <v>71.0</v>
      </c>
      <c r="E9539" s="52" t="s">
        <v>25</v>
      </c>
      <c r="F9539" s="52" t="s">
        <v>26</v>
      </c>
      <c r="G9539" s="54"/>
    </row>
    <row r="9540">
      <c r="A9540" s="49">
        <v>45121.389899664355</v>
      </c>
      <c r="B9540" s="50">
        <v>45121.5148522106</v>
      </c>
      <c r="C9540" s="51">
        <v>0.999</v>
      </c>
      <c r="D9540" s="51">
        <v>71.0</v>
      </c>
      <c r="E9540" s="52" t="s">
        <v>25</v>
      </c>
      <c r="F9540" s="52" t="s">
        <v>26</v>
      </c>
      <c r="G9540" s="54"/>
    </row>
    <row r="9541">
      <c r="A9541" s="49">
        <v>45121.40030302083</v>
      </c>
      <c r="B9541" s="50">
        <v>45121.5252733449</v>
      </c>
      <c r="C9541" s="51">
        <v>0.999</v>
      </c>
      <c r="D9541" s="51">
        <v>71.0</v>
      </c>
      <c r="E9541" s="52" t="s">
        <v>25</v>
      </c>
      <c r="F9541" s="52" t="s">
        <v>26</v>
      </c>
      <c r="G9541" s="54"/>
    </row>
    <row r="9542">
      <c r="A9542" s="49">
        <v>45121.4107255787</v>
      </c>
      <c r="B9542" s="50">
        <v>45121.5356938541</v>
      </c>
      <c r="C9542" s="51">
        <v>0.999</v>
      </c>
      <c r="D9542" s="51">
        <v>71.0</v>
      </c>
      <c r="E9542" s="52" t="s">
        <v>25</v>
      </c>
      <c r="F9542" s="52" t="s">
        <v>26</v>
      </c>
      <c r="G9542" s="54"/>
    </row>
    <row r="9543">
      <c r="A9543" s="49">
        <v>45121.42114155093</v>
      </c>
      <c r="B9543" s="50">
        <v>45121.5461164699</v>
      </c>
      <c r="C9543" s="51">
        <v>0.999</v>
      </c>
      <c r="D9543" s="51">
        <v>71.0</v>
      </c>
      <c r="E9543" s="52" t="s">
        <v>25</v>
      </c>
      <c r="F9543" s="52" t="s">
        <v>26</v>
      </c>
      <c r="G9543" s="54"/>
    </row>
    <row r="9544">
      <c r="A9544" s="49">
        <v>45121.43156138889</v>
      </c>
      <c r="B9544" s="50">
        <v>45121.5565375578</v>
      </c>
      <c r="C9544" s="51">
        <v>0.999</v>
      </c>
      <c r="D9544" s="51">
        <v>71.0</v>
      </c>
      <c r="E9544" s="52" t="s">
        <v>25</v>
      </c>
      <c r="F9544" s="52" t="s">
        <v>26</v>
      </c>
      <c r="G9544" s="54"/>
    </row>
    <row r="9545">
      <c r="A9545" s="49">
        <v>45121.44198138889</v>
      </c>
      <c r="B9545" s="50">
        <v>45121.5669578935</v>
      </c>
      <c r="C9545" s="51">
        <v>0.999</v>
      </c>
      <c r="D9545" s="51">
        <v>71.0</v>
      </c>
      <c r="E9545" s="52" t="s">
        <v>25</v>
      </c>
      <c r="F9545" s="52" t="s">
        <v>26</v>
      </c>
      <c r="G9545" s="54"/>
    </row>
    <row r="9546">
      <c r="A9546" s="49">
        <v>45121.45240840278</v>
      </c>
      <c r="B9546" s="50">
        <v>45121.5773787963</v>
      </c>
      <c r="C9546" s="51">
        <v>0.999</v>
      </c>
      <c r="D9546" s="51">
        <v>71.0</v>
      </c>
      <c r="E9546" s="52" t="s">
        <v>25</v>
      </c>
      <c r="F9546" s="52" t="s">
        <v>26</v>
      </c>
      <c r="G9546" s="54"/>
    </row>
    <row r="9547">
      <c r="A9547" s="49">
        <v>45121.462828206015</v>
      </c>
      <c r="B9547" s="50">
        <v>45121.5877991203</v>
      </c>
      <c r="C9547" s="51">
        <v>0.999</v>
      </c>
      <c r="D9547" s="51">
        <v>71.0</v>
      </c>
      <c r="E9547" s="52" t="s">
        <v>25</v>
      </c>
      <c r="F9547" s="52" t="s">
        <v>26</v>
      </c>
      <c r="G9547" s="54"/>
    </row>
    <row r="9548">
      <c r="A9548" s="49">
        <v>45121.473259085644</v>
      </c>
      <c r="B9548" s="50">
        <v>45121.5982292824</v>
      </c>
      <c r="C9548" s="51">
        <v>0.999</v>
      </c>
      <c r="D9548" s="51">
        <v>71.0</v>
      </c>
      <c r="E9548" s="52" t="s">
        <v>25</v>
      </c>
      <c r="F9548" s="52" t="s">
        <v>26</v>
      </c>
      <c r="G9548" s="54"/>
    </row>
    <row r="9549">
      <c r="A9549" s="49">
        <v>45121.48368451389</v>
      </c>
      <c r="B9549" s="50">
        <v>45121.6086509259</v>
      </c>
      <c r="C9549" s="51">
        <v>0.999</v>
      </c>
      <c r="D9549" s="51">
        <v>71.0</v>
      </c>
      <c r="E9549" s="52" t="s">
        <v>25</v>
      </c>
      <c r="F9549" s="52" t="s">
        <v>26</v>
      </c>
      <c r="G9549" s="54"/>
    </row>
    <row r="9550">
      <c r="A9550" s="49">
        <v>45121.494097835646</v>
      </c>
      <c r="B9550" s="50">
        <v>45121.6190698263</v>
      </c>
      <c r="C9550" s="51">
        <v>0.999</v>
      </c>
      <c r="D9550" s="51">
        <v>71.0</v>
      </c>
      <c r="E9550" s="52" t="s">
        <v>25</v>
      </c>
      <c r="F9550" s="52" t="s">
        <v>26</v>
      </c>
      <c r="G9550" s="54"/>
    </row>
    <row r="9551">
      <c r="A9551" s="49">
        <v>45121.50451653935</v>
      </c>
      <c r="B9551" s="50">
        <v>45121.6294905324</v>
      </c>
      <c r="C9551" s="51">
        <v>0.999</v>
      </c>
      <c r="D9551" s="51">
        <v>71.0</v>
      </c>
      <c r="E9551" s="52" t="s">
        <v>25</v>
      </c>
      <c r="F9551" s="52" t="s">
        <v>26</v>
      </c>
      <c r="G9551" s="54"/>
    </row>
    <row r="9552">
      <c r="A9552" s="49">
        <v>45121.51494412037</v>
      </c>
      <c r="B9552" s="50">
        <v>45121.6399101157</v>
      </c>
      <c r="C9552" s="51">
        <v>0.999</v>
      </c>
      <c r="D9552" s="51">
        <v>71.0</v>
      </c>
      <c r="E9552" s="52" t="s">
        <v>25</v>
      </c>
      <c r="F9552" s="52" t="s">
        <v>26</v>
      </c>
      <c r="G9552" s="54"/>
    </row>
    <row r="9553">
      <c r="A9553" s="49">
        <v>45121.52537278935</v>
      </c>
      <c r="B9553" s="50">
        <v>45121.6503313194</v>
      </c>
      <c r="C9553" s="51">
        <v>0.999</v>
      </c>
      <c r="D9553" s="51">
        <v>71.0</v>
      </c>
      <c r="E9553" s="52" t="s">
        <v>25</v>
      </c>
      <c r="F9553" s="52" t="s">
        <v>26</v>
      </c>
      <c r="G9553" s="54"/>
    </row>
    <row r="9554">
      <c r="A9554" s="49">
        <v>45121.5358130324</v>
      </c>
      <c r="B9554" s="50">
        <v>45121.6607861689</v>
      </c>
      <c r="C9554" s="51">
        <v>0.999</v>
      </c>
      <c r="D9554" s="51">
        <v>71.0</v>
      </c>
      <c r="E9554" s="52" t="s">
        <v>25</v>
      </c>
      <c r="F9554" s="52" t="s">
        <v>26</v>
      </c>
      <c r="G9554" s="54"/>
    </row>
    <row r="9555">
      <c r="A9555" s="49">
        <v>45121.54623982639</v>
      </c>
      <c r="B9555" s="50">
        <v>45121.6712075</v>
      </c>
      <c r="C9555" s="51">
        <v>0.999</v>
      </c>
      <c r="D9555" s="51">
        <v>70.0</v>
      </c>
      <c r="E9555" s="52" t="s">
        <v>25</v>
      </c>
      <c r="F9555" s="52" t="s">
        <v>26</v>
      </c>
      <c r="G9555" s="54"/>
    </row>
    <row r="9556">
      <c r="A9556" s="49">
        <v>45121.55666811342</v>
      </c>
      <c r="B9556" s="50">
        <v>45121.6816281828</v>
      </c>
      <c r="C9556" s="51">
        <v>0.999</v>
      </c>
      <c r="D9556" s="51">
        <v>70.0</v>
      </c>
      <c r="E9556" s="52" t="s">
        <v>25</v>
      </c>
      <c r="F9556" s="52" t="s">
        <v>26</v>
      </c>
      <c r="G9556" s="54"/>
    </row>
    <row r="9557">
      <c r="A9557" s="49">
        <v>45121.56708766204</v>
      </c>
      <c r="B9557" s="50">
        <v>45121.6920606828</v>
      </c>
      <c r="C9557" s="51">
        <v>0.999</v>
      </c>
      <c r="D9557" s="51">
        <v>70.0</v>
      </c>
      <c r="E9557" s="52" t="s">
        <v>25</v>
      </c>
      <c r="F9557" s="52" t="s">
        <v>26</v>
      </c>
      <c r="G9557" s="54"/>
    </row>
    <row r="9558">
      <c r="A9558" s="49">
        <v>45121.57751625</v>
      </c>
      <c r="B9558" s="50">
        <v>45121.7024811342</v>
      </c>
      <c r="C9558" s="51">
        <v>0.999</v>
      </c>
      <c r="D9558" s="51">
        <v>70.0</v>
      </c>
      <c r="E9558" s="52" t="s">
        <v>25</v>
      </c>
      <c r="F9558" s="52" t="s">
        <v>26</v>
      </c>
      <c r="G9558" s="54"/>
    </row>
    <row r="9559">
      <c r="A9559" s="49">
        <v>45121.58792922454</v>
      </c>
      <c r="B9559" s="50">
        <v>45121.7129032638</v>
      </c>
      <c r="C9559" s="51">
        <v>0.999</v>
      </c>
      <c r="D9559" s="51">
        <v>71.0</v>
      </c>
      <c r="E9559" s="52" t="s">
        <v>25</v>
      </c>
      <c r="F9559" s="52" t="s">
        <v>26</v>
      </c>
      <c r="G9559" s="54"/>
    </row>
    <row r="9560">
      <c r="A9560" s="49">
        <v>45121.59834709491</v>
      </c>
      <c r="B9560" s="50">
        <v>45121.7233251157</v>
      </c>
      <c r="C9560" s="51">
        <v>0.999</v>
      </c>
      <c r="D9560" s="51">
        <v>70.0</v>
      </c>
      <c r="E9560" s="52" t="s">
        <v>25</v>
      </c>
      <c r="F9560" s="52" t="s">
        <v>26</v>
      </c>
      <c r="G9560" s="54"/>
    </row>
    <row r="9561">
      <c r="A9561" s="49">
        <v>45121.608775879635</v>
      </c>
      <c r="B9561" s="50">
        <v>45121.7337465856</v>
      </c>
      <c r="C9561" s="51">
        <v>0.999</v>
      </c>
      <c r="D9561" s="51">
        <v>70.0</v>
      </c>
      <c r="E9561" s="52" t="s">
        <v>25</v>
      </c>
      <c r="F9561" s="52" t="s">
        <v>26</v>
      </c>
      <c r="G9561" s="54"/>
    </row>
    <row r="9562">
      <c r="A9562" s="49">
        <v>45121.61919619213</v>
      </c>
      <c r="B9562" s="50">
        <v>45121.744166875</v>
      </c>
      <c r="C9562" s="51">
        <v>0.999</v>
      </c>
      <c r="D9562" s="51">
        <v>70.0</v>
      </c>
      <c r="E9562" s="52" t="s">
        <v>25</v>
      </c>
      <c r="F9562" s="52" t="s">
        <v>26</v>
      </c>
      <c r="G9562" s="54"/>
    </row>
    <row r="9563">
      <c r="A9563" s="49">
        <v>45121.62962894676</v>
      </c>
      <c r="B9563" s="50">
        <v>45121.7545993865</v>
      </c>
      <c r="C9563" s="51">
        <v>0.999</v>
      </c>
      <c r="D9563" s="51">
        <v>70.0</v>
      </c>
      <c r="E9563" s="52" t="s">
        <v>25</v>
      </c>
      <c r="F9563" s="52" t="s">
        <v>26</v>
      </c>
      <c r="G9563" s="54"/>
    </row>
    <row r="9564">
      <c r="A9564" s="49">
        <v>45121.64004438657</v>
      </c>
      <c r="B9564" s="50">
        <v>45121.7650215277</v>
      </c>
      <c r="C9564" s="51">
        <v>0.999</v>
      </c>
      <c r="D9564" s="51">
        <v>70.0</v>
      </c>
      <c r="E9564" s="52" t="s">
        <v>25</v>
      </c>
      <c r="F9564" s="52" t="s">
        <v>26</v>
      </c>
      <c r="G9564" s="54"/>
    </row>
    <row r="9565">
      <c r="A9565" s="49">
        <v>45121.650465196755</v>
      </c>
      <c r="B9565" s="50">
        <v>45121.7754422801</v>
      </c>
      <c r="C9565" s="51">
        <v>0.999</v>
      </c>
      <c r="D9565" s="51">
        <v>70.0</v>
      </c>
      <c r="E9565" s="52" t="s">
        <v>25</v>
      </c>
      <c r="F9565" s="52" t="s">
        <v>26</v>
      </c>
      <c r="G9565" s="54"/>
    </row>
    <row r="9566">
      <c r="A9566" s="49">
        <v>45121.6608844213</v>
      </c>
      <c r="B9566" s="50">
        <v>45121.7858640277</v>
      </c>
      <c r="C9566" s="51">
        <v>0.999</v>
      </c>
      <c r="D9566" s="51">
        <v>70.0</v>
      </c>
      <c r="E9566" s="52" t="s">
        <v>25</v>
      </c>
      <c r="F9566" s="52" t="s">
        <v>26</v>
      </c>
      <c r="G9566" s="54"/>
    </row>
    <row r="9567">
      <c r="A9567" s="49">
        <v>45121.6713075</v>
      </c>
      <c r="B9567" s="50">
        <v>45121.7962853703</v>
      </c>
      <c r="C9567" s="51">
        <v>0.999</v>
      </c>
      <c r="D9567" s="51">
        <v>70.0</v>
      </c>
      <c r="E9567" s="52" t="s">
        <v>25</v>
      </c>
      <c r="F9567" s="52" t="s">
        <v>26</v>
      </c>
      <c r="G9567" s="54"/>
    </row>
    <row r="9568">
      <c r="A9568" s="49">
        <v>45121.6817271412</v>
      </c>
      <c r="B9568" s="50">
        <v>45121.806705081</v>
      </c>
      <c r="C9568" s="51">
        <v>0.999</v>
      </c>
      <c r="D9568" s="51">
        <v>70.0</v>
      </c>
      <c r="E9568" s="52" t="s">
        <v>25</v>
      </c>
      <c r="F9568" s="52" t="s">
        <v>26</v>
      </c>
      <c r="G9568" s="54"/>
    </row>
    <row r="9569">
      <c r="A9569" s="49">
        <v>45121.6921612963</v>
      </c>
      <c r="B9569" s="50">
        <v>45121.8171383217</v>
      </c>
      <c r="C9569" s="51">
        <v>0.999</v>
      </c>
      <c r="D9569" s="51">
        <v>70.0</v>
      </c>
      <c r="E9569" s="52" t="s">
        <v>25</v>
      </c>
      <c r="F9569" s="52" t="s">
        <v>26</v>
      </c>
      <c r="G9569" s="54"/>
    </row>
    <row r="9570">
      <c r="A9570" s="49">
        <v>45121.70264609954</v>
      </c>
      <c r="B9570" s="50">
        <v>45121.8276187384</v>
      </c>
      <c r="C9570" s="51">
        <v>0.999</v>
      </c>
      <c r="D9570" s="51">
        <v>70.0</v>
      </c>
      <c r="E9570" s="52" t="s">
        <v>25</v>
      </c>
      <c r="F9570" s="52" t="s">
        <v>26</v>
      </c>
      <c r="G9570" s="54"/>
    </row>
    <row r="9571">
      <c r="A9571" s="49">
        <v>45121.71306876157</v>
      </c>
      <c r="B9571" s="50">
        <v>45121.8380406944</v>
      </c>
      <c r="C9571" s="51">
        <v>0.999</v>
      </c>
      <c r="D9571" s="51">
        <v>70.0</v>
      </c>
      <c r="E9571" s="52" t="s">
        <v>25</v>
      </c>
      <c r="F9571" s="52" t="s">
        <v>26</v>
      </c>
      <c r="G9571" s="54"/>
    </row>
    <row r="9572">
      <c r="A9572" s="49">
        <v>45121.72349783564</v>
      </c>
      <c r="B9572" s="50">
        <v>45121.8484633217</v>
      </c>
      <c r="C9572" s="51">
        <v>0.999</v>
      </c>
      <c r="D9572" s="51">
        <v>70.0</v>
      </c>
      <c r="E9572" s="52" t="s">
        <v>25</v>
      </c>
      <c r="F9572" s="52" t="s">
        <v>26</v>
      </c>
      <c r="G9572" s="54"/>
    </row>
    <row r="9573">
      <c r="A9573" s="49">
        <v>45121.73390935185</v>
      </c>
      <c r="B9573" s="50">
        <v>45121.8588845254</v>
      </c>
      <c r="C9573" s="51">
        <v>0.999</v>
      </c>
      <c r="D9573" s="51">
        <v>70.0</v>
      </c>
      <c r="E9573" s="52" t="s">
        <v>25</v>
      </c>
      <c r="F9573" s="52" t="s">
        <v>26</v>
      </c>
      <c r="G9573" s="54"/>
    </row>
    <row r="9574">
      <c r="A9574" s="49">
        <v>45121.74433920139</v>
      </c>
      <c r="B9574" s="50">
        <v>45121.8693080555</v>
      </c>
      <c r="C9574" s="51">
        <v>0.999</v>
      </c>
      <c r="D9574" s="51">
        <v>70.0</v>
      </c>
      <c r="E9574" s="52" t="s">
        <v>25</v>
      </c>
      <c r="F9574" s="52" t="s">
        <v>26</v>
      </c>
      <c r="G9574" s="54"/>
    </row>
    <row r="9575">
      <c r="A9575" s="49">
        <v>45121.75477025463</v>
      </c>
      <c r="B9575" s="50">
        <v>45121.8797411342</v>
      </c>
      <c r="C9575" s="51">
        <v>0.999</v>
      </c>
      <c r="D9575" s="51">
        <v>70.0</v>
      </c>
      <c r="E9575" s="52" t="s">
        <v>25</v>
      </c>
      <c r="F9575" s="52" t="s">
        <v>26</v>
      </c>
      <c r="G9575" s="54"/>
    </row>
    <row r="9576">
      <c r="A9576" s="49">
        <v>45121.765195555556</v>
      </c>
      <c r="B9576" s="50">
        <v>45121.8901628819</v>
      </c>
      <c r="C9576" s="51">
        <v>0.999</v>
      </c>
      <c r="D9576" s="51">
        <v>70.0</v>
      </c>
      <c r="E9576" s="52" t="s">
        <v>25</v>
      </c>
      <c r="F9576" s="52" t="s">
        <v>26</v>
      </c>
      <c r="G9576" s="54"/>
    </row>
    <row r="9577">
      <c r="A9577" s="49">
        <v>45121.775615694445</v>
      </c>
      <c r="B9577" s="50">
        <v>45121.9005842824</v>
      </c>
      <c r="C9577" s="51">
        <v>0.999</v>
      </c>
      <c r="D9577" s="51">
        <v>70.0</v>
      </c>
      <c r="E9577" s="52" t="s">
        <v>25</v>
      </c>
      <c r="F9577" s="52" t="s">
        <v>26</v>
      </c>
      <c r="G9577" s="54"/>
    </row>
    <row r="9578">
      <c r="A9578" s="49">
        <v>45121.78602638889</v>
      </c>
      <c r="B9578" s="50">
        <v>45121.9110051504</v>
      </c>
      <c r="C9578" s="51">
        <v>0.999</v>
      </c>
      <c r="D9578" s="51">
        <v>70.0</v>
      </c>
      <c r="E9578" s="52" t="s">
        <v>25</v>
      </c>
      <c r="F9578" s="52" t="s">
        <v>26</v>
      </c>
      <c r="G9578" s="54"/>
    </row>
    <row r="9579">
      <c r="A9579" s="49">
        <v>45121.79648416667</v>
      </c>
      <c r="B9579" s="50">
        <v>45121.9214490162</v>
      </c>
      <c r="C9579" s="51">
        <v>0.999</v>
      </c>
      <c r="D9579" s="51">
        <v>70.0</v>
      </c>
      <c r="E9579" s="52" t="s">
        <v>25</v>
      </c>
      <c r="F9579" s="52" t="s">
        <v>26</v>
      </c>
      <c r="G9579" s="54"/>
    </row>
    <row r="9580">
      <c r="A9580" s="49">
        <v>45121.80692180556</v>
      </c>
      <c r="B9580" s="50">
        <v>45121.9318934606</v>
      </c>
      <c r="C9580" s="51">
        <v>0.999</v>
      </c>
      <c r="D9580" s="51">
        <v>70.0</v>
      </c>
      <c r="E9580" s="52" t="s">
        <v>25</v>
      </c>
      <c r="F9580" s="52" t="s">
        <v>26</v>
      </c>
      <c r="G9580" s="54"/>
    </row>
    <row r="9581">
      <c r="A9581" s="49">
        <v>45121.81734659722</v>
      </c>
      <c r="B9581" s="50">
        <v>45121.9423153587</v>
      </c>
      <c r="C9581" s="51">
        <v>0.999</v>
      </c>
      <c r="D9581" s="51">
        <v>70.0</v>
      </c>
      <c r="E9581" s="52" t="s">
        <v>25</v>
      </c>
      <c r="F9581" s="52" t="s">
        <v>26</v>
      </c>
      <c r="G9581" s="54"/>
    </row>
    <row r="9582">
      <c r="A9582" s="49">
        <v>45121.82776571759</v>
      </c>
      <c r="B9582" s="50">
        <v>45121.9527357986</v>
      </c>
      <c r="C9582" s="51">
        <v>0.999</v>
      </c>
      <c r="D9582" s="51">
        <v>70.0</v>
      </c>
      <c r="E9582" s="52" t="s">
        <v>25</v>
      </c>
      <c r="F9582" s="52" t="s">
        <v>26</v>
      </c>
      <c r="G9582" s="54"/>
    </row>
    <row r="9583">
      <c r="A9583" s="49">
        <v>45121.83817829861</v>
      </c>
      <c r="B9583" s="50">
        <v>45121.9631562847</v>
      </c>
      <c r="C9583" s="51">
        <v>0.999</v>
      </c>
      <c r="D9583" s="51">
        <v>70.0</v>
      </c>
      <c r="E9583" s="52" t="s">
        <v>25</v>
      </c>
      <c r="F9583" s="52" t="s">
        <v>26</v>
      </c>
      <c r="G9583" s="54"/>
    </row>
    <row r="9584">
      <c r="A9584" s="49">
        <v>45121.848617048614</v>
      </c>
      <c r="B9584" s="50">
        <v>45121.9735892824</v>
      </c>
      <c r="C9584" s="51">
        <v>0.999</v>
      </c>
      <c r="D9584" s="51">
        <v>70.0</v>
      </c>
      <c r="E9584" s="52" t="s">
        <v>25</v>
      </c>
      <c r="F9584" s="52" t="s">
        <v>26</v>
      </c>
      <c r="G9584" s="54"/>
    </row>
    <row r="9585">
      <c r="A9585" s="49">
        <v>45121.85903818287</v>
      </c>
      <c r="B9585" s="50">
        <v>45121.98401125</v>
      </c>
      <c r="C9585" s="51">
        <v>0.999</v>
      </c>
      <c r="D9585" s="51">
        <v>70.0</v>
      </c>
      <c r="E9585" s="52" t="s">
        <v>25</v>
      </c>
      <c r="F9585" s="52" t="s">
        <v>26</v>
      </c>
      <c r="G9585" s="54"/>
    </row>
    <row r="9586">
      <c r="A9586" s="49">
        <v>45121.869454432876</v>
      </c>
      <c r="B9586" s="50">
        <v>45121.9944319097</v>
      </c>
      <c r="C9586" s="51">
        <v>0.999</v>
      </c>
      <c r="D9586" s="51">
        <v>70.0</v>
      </c>
      <c r="E9586" s="52" t="s">
        <v>25</v>
      </c>
      <c r="F9586" s="52" t="s">
        <v>26</v>
      </c>
      <c r="G9586" s="54"/>
    </row>
    <row r="9587">
      <c r="A9587" s="49">
        <v>45121.879893668985</v>
      </c>
      <c r="B9587" s="50">
        <v>45122.0048634027</v>
      </c>
      <c r="C9587" s="51">
        <v>0.999</v>
      </c>
      <c r="D9587" s="51">
        <v>70.0</v>
      </c>
      <c r="E9587" s="52" t="s">
        <v>25</v>
      </c>
      <c r="F9587" s="52" t="s">
        <v>26</v>
      </c>
      <c r="G9587" s="54"/>
    </row>
    <row r="9588">
      <c r="A9588" s="49">
        <v>45121.890314351855</v>
      </c>
      <c r="B9588" s="50">
        <v>45122.0152842245</v>
      </c>
      <c r="C9588" s="51">
        <v>0.999</v>
      </c>
      <c r="D9588" s="51">
        <v>71.0</v>
      </c>
      <c r="E9588" s="52" t="s">
        <v>25</v>
      </c>
      <c r="F9588" s="52" t="s">
        <v>26</v>
      </c>
      <c r="G9588" s="54"/>
    </row>
    <row r="9589">
      <c r="A9589" s="49">
        <v>45121.90072903935</v>
      </c>
      <c r="B9589" s="50">
        <v>45122.0257049074</v>
      </c>
      <c r="C9589" s="51">
        <v>0.999</v>
      </c>
      <c r="D9589" s="51">
        <v>70.0</v>
      </c>
      <c r="E9589" s="52" t="s">
        <v>25</v>
      </c>
      <c r="F9589" s="52" t="s">
        <v>26</v>
      </c>
      <c r="G9589" s="54"/>
    </row>
    <row r="9590">
      <c r="A9590" s="49">
        <v>45121.9111553125</v>
      </c>
      <c r="B9590" s="50">
        <v>45122.0361261342</v>
      </c>
      <c r="C9590" s="51">
        <v>0.998</v>
      </c>
      <c r="D9590" s="51">
        <v>71.0</v>
      </c>
      <c r="E9590" s="52" t="s">
        <v>25</v>
      </c>
      <c r="F9590" s="52" t="s">
        <v>26</v>
      </c>
      <c r="G9590" s="54"/>
    </row>
    <row r="9591">
      <c r="A9591" s="49">
        <v>45121.92157612268</v>
      </c>
      <c r="B9591" s="50">
        <v>45122.0465469444</v>
      </c>
      <c r="C9591" s="51">
        <v>0.999</v>
      </c>
      <c r="D9591" s="51">
        <v>71.0</v>
      </c>
      <c r="E9591" s="52" t="s">
        <v>25</v>
      </c>
      <c r="F9591" s="52" t="s">
        <v>26</v>
      </c>
      <c r="G9591" s="54"/>
    </row>
    <row r="9592">
      <c r="A9592" s="49">
        <v>45121.93199703704</v>
      </c>
      <c r="B9592" s="50">
        <v>45122.0569676504</v>
      </c>
      <c r="C9592" s="51">
        <v>0.999</v>
      </c>
      <c r="D9592" s="51">
        <v>70.0</v>
      </c>
      <c r="E9592" s="52" t="s">
        <v>25</v>
      </c>
      <c r="F9592" s="52" t="s">
        <v>26</v>
      </c>
      <c r="G9592" s="54"/>
    </row>
    <row r="9593">
      <c r="A9593" s="49">
        <v>45121.942419513885</v>
      </c>
      <c r="B9593" s="50">
        <v>45122.0673887963</v>
      </c>
      <c r="C9593" s="51">
        <v>0.999</v>
      </c>
      <c r="D9593" s="51">
        <v>71.0</v>
      </c>
      <c r="E9593" s="52" t="s">
        <v>25</v>
      </c>
      <c r="F9593" s="52" t="s">
        <v>26</v>
      </c>
      <c r="G9593" s="54"/>
    </row>
    <row r="9594">
      <c r="A9594" s="49">
        <v>45121.95283649306</v>
      </c>
      <c r="B9594" s="50">
        <v>45122.0778079513</v>
      </c>
      <c r="C9594" s="51">
        <v>0.999</v>
      </c>
      <c r="D9594" s="51">
        <v>70.0</v>
      </c>
      <c r="E9594" s="52" t="s">
        <v>25</v>
      </c>
      <c r="F9594" s="52" t="s">
        <v>26</v>
      </c>
      <c r="G9594" s="54"/>
    </row>
    <row r="9595">
      <c r="A9595" s="49">
        <v>45121.963256863426</v>
      </c>
      <c r="B9595" s="50">
        <v>45122.0882296759</v>
      </c>
      <c r="C9595" s="51">
        <v>0.999</v>
      </c>
      <c r="D9595" s="51">
        <v>70.0</v>
      </c>
      <c r="E9595" s="52" t="s">
        <v>25</v>
      </c>
      <c r="F9595" s="52" t="s">
        <v>26</v>
      </c>
      <c r="G9595" s="54"/>
    </row>
    <row r="9596">
      <c r="A9596" s="49">
        <v>45121.97367357639</v>
      </c>
      <c r="B9596" s="50">
        <v>45122.0986514699</v>
      </c>
      <c r="C9596" s="51">
        <v>0.999</v>
      </c>
      <c r="D9596" s="51">
        <v>70.0</v>
      </c>
      <c r="E9596" s="52" t="s">
        <v>25</v>
      </c>
      <c r="F9596" s="52" t="s">
        <v>26</v>
      </c>
      <c r="G9596" s="54"/>
    </row>
    <row r="9597">
      <c r="A9597" s="49">
        <v>45121.98410313658</v>
      </c>
      <c r="B9597" s="50">
        <v>45122.1090721875</v>
      </c>
      <c r="C9597" s="51">
        <v>0.999</v>
      </c>
      <c r="D9597" s="51">
        <v>71.0</v>
      </c>
      <c r="E9597" s="52" t="s">
        <v>25</v>
      </c>
      <c r="F9597" s="52" t="s">
        <v>26</v>
      </c>
      <c r="G9597" s="54"/>
    </row>
    <row r="9598">
      <c r="A9598" s="49">
        <v>45121.99452075231</v>
      </c>
      <c r="B9598" s="50">
        <v>45122.119491956</v>
      </c>
      <c r="C9598" s="51">
        <v>0.999</v>
      </c>
      <c r="D9598" s="51">
        <v>71.0</v>
      </c>
      <c r="E9598" s="52" t="s">
        <v>25</v>
      </c>
      <c r="F9598" s="52" t="s">
        <v>26</v>
      </c>
      <c r="G9598" s="54"/>
    </row>
    <row r="9599">
      <c r="A9599" s="49">
        <v>45122.004936990736</v>
      </c>
      <c r="B9599" s="50">
        <v>45122.1299119907</v>
      </c>
      <c r="C9599" s="51">
        <v>0.999</v>
      </c>
      <c r="D9599" s="51">
        <v>70.0</v>
      </c>
      <c r="E9599" s="52" t="s">
        <v>25</v>
      </c>
      <c r="F9599" s="52" t="s">
        <v>26</v>
      </c>
      <c r="G9599" s="54"/>
    </row>
    <row r="9600">
      <c r="A9600" s="49">
        <v>45122.015370671295</v>
      </c>
      <c r="B9600" s="50">
        <v>45122.1403435069</v>
      </c>
      <c r="C9600" s="51">
        <v>0.999</v>
      </c>
      <c r="D9600" s="51">
        <v>71.0</v>
      </c>
      <c r="E9600" s="52" t="s">
        <v>25</v>
      </c>
      <c r="F9600" s="52" t="s">
        <v>26</v>
      </c>
      <c r="G9600" s="54"/>
    </row>
    <row r="9601">
      <c r="A9601" s="49">
        <v>45122.02579565972</v>
      </c>
      <c r="B9601" s="50">
        <v>45122.1507630555</v>
      </c>
      <c r="C9601" s="51">
        <v>0.999</v>
      </c>
      <c r="D9601" s="51">
        <v>71.0</v>
      </c>
      <c r="E9601" s="52" t="s">
        <v>25</v>
      </c>
      <c r="F9601" s="52" t="s">
        <v>26</v>
      </c>
      <c r="G9601" s="54"/>
    </row>
    <row r="9602">
      <c r="A9602" s="49">
        <v>45122.03620515046</v>
      </c>
      <c r="B9602" s="50">
        <v>45122.1611840162</v>
      </c>
      <c r="C9602" s="51">
        <v>0.999</v>
      </c>
      <c r="D9602" s="51">
        <v>71.0</v>
      </c>
      <c r="E9602" s="52" t="s">
        <v>25</v>
      </c>
      <c r="F9602" s="52" t="s">
        <v>26</v>
      </c>
      <c r="G9602" s="54"/>
    </row>
    <row r="9603">
      <c r="A9603" s="49">
        <v>45122.04663482639</v>
      </c>
      <c r="B9603" s="50">
        <v>45122.171605081</v>
      </c>
      <c r="C9603" s="51">
        <v>0.999</v>
      </c>
      <c r="D9603" s="51">
        <v>71.0</v>
      </c>
      <c r="E9603" s="52" t="s">
        <v>25</v>
      </c>
      <c r="F9603" s="52" t="s">
        <v>26</v>
      </c>
      <c r="G9603" s="54"/>
    </row>
    <row r="9604">
      <c r="A9604" s="49">
        <v>45122.05705824074</v>
      </c>
      <c r="B9604" s="50">
        <v>45122.1820368287</v>
      </c>
      <c r="C9604" s="51">
        <v>0.999</v>
      </c>
      <c r="D9604" s="51">
        <v>71.0</v>
      </c>
      <c r="E9604" s="52" t="s">
        <v>25</v>
      </c>
      <c r="F9604" s="52" t="s">
        <v>26</v>
      </c>
      <c r="G9604" s="54"/>
    </row>
    <row r="9605">
      <c r="A9605" s="49">
        <v>45122.06748309028</v>
      </c>
      <c r="B9605" s="50">
        <v>45122.1924568981</v>
      </c>
      <c r="C9605" s="51">
        <v>0.999</v>
      </c>
      <c r="D9605" s="51">
        <v>71.0</v>
      </c>
      <c r="E9605" s="52" t="s">
        <v>25</v>
      </c>
      <c r="F9605" s="52" t="s">
        <v>26</v>
      </c>
      <c r="G9605" s="54"/>
    </row>
    <row r="9606">
      <c r="A9606" s="49">
        <v>45122.07791258102</v>
      </c>
      <c r="B9606" s="50">
        <v>45122.2028777662</v>
      </c>
      <c r="C9606" s="51">
        <v>0.999</v>
      </c>
      <c r="D9606" s="51">
        <v>71.0</v>
      </c>
      <c r="E9606" s="52" t="s">
        <v>25</v>
      </c>
      <c r="F9606" s="52" t="s">
        <v>26</v>
      </c>
      <c r="G9606" s="54"/>
    </row>
    <row r="9607">
      <c r="A9607" s="49">
        <v>45122.088324826385</v>
      </c>
      <c r="B9607" s="50">
        <v>45122.2132988194</v>
      </c>
      <c r="C9607" s="51">
        <v>0.999</v>
      </c>
      <c r="D9607" s="51">
        <v>71.0</v>
      </c>
      <c r="E9607" s="52" t="s">
        <v>25</v>
      </c>
      <c r="F9607" s="52" t="s">
        <v>26</v>
      </c>
      <c r="G9607" s="54"/>
    </row>
    <row r="9608">
      <c r="A9608" s="49">
        <v>45122.09874901621</v>
      </c>
      <c r="B9608" s="50">
        <v>45122.2237197453</v>
      </c>
      <c r="C9608" s="51">
        <v>0.999</v>
      </c>
      <c r="D9608" s="51">
        <v>71.0</v>
      </c>
      <c r="E9608" s="52" t="s">
        <v>25</v>
      </c>
      <c r="F9608" s="52" t="s">
        <v>26</v>
      </c>
      <c r="G9608" s="54"/>
    </row>
    <row r="9609">
      <c r="A9609" s="49">
        <v>45122.10917214121</v>
      </c>
      <c r="B9609" s="50">
        <v>45122.2341409606</v>
      </c>
      <c r="C9609" s="51">
        <v>0.999</v>
      </c>
      <c r="D9609" s="51">
        <v>71.0</v>
      </c>
      <c r="E9609" s="52" t="s">
        <v>25</v>
      </c>
      <c r="F9609" s="52" t="s">
        <v>26</v>
      </c>
      <c r="G9609" s="54"/>
    </row>
    <row r="9610">
      <c r="A9610" s="49">
        <v>45122.11958731481</v>
      </c>
      <c r="B9610" s="50">
        <v>45122.2445624189</v>
      </c>
      <c r="C9610" s="51">
        <v>0.999</v>
      </c>
      <c r="D9610" s="51">
        <v>71.0</v>
      </c>
      <c r="E9610" s="52" t="s">
        <v>25</v>
      </c>
      <c r="F9610" s="52" t="s">
        <v>26</v>
      </c>
      <c r="G9610" s="54"/>
    </row>
    <row r="9611">
      <c r="A9611" s="49">
        <v>45122.130023125</v>
      </c>
      <c r="B9611" s="50">
        <v>45122.2549956944</v>
      </c>
      <c r="C9611" s="51">
        <v>0.999</v>
      </c>
      <c r="D9611" s="51">
        <v>71.0</v>
      </c>
      <c r="E9611" s="52" t="s">
        <v>25</v>
      </c>
      <c r="F9611" s="52" t="s">
        <v>26</v>
      </c>
      <c r="G9611" s="54"/>
    </row>
    <row r="9612">
      <c r="A9612" s="49">
        <v>45122.14044363426</v>
      </c>
      <c r="B9612" s="50">
        <v>45122.2654172338</v>
      </c>
      <c r="C9612" s="51">
        <v>0.999</v>
      </c>
      <c r="D9612" s="51">
        <v>70.0</v>
      </c>
      <c r="E9612" s="52" t="s">
        <v>25</v>
      </c>
      <c r="F9612" s="52" t="s">
        <v>26</v>
      </c>
      <c r="G9612" s="54"/>
    </row>
    <row r="9613">
      <c r="A9613" s="49">
        <v>45122.15087766203</v>
      </c>
      <c r="B9613" s="50">
        <v>45122.2758492245</v>
      </c>
      <c r="C9613" s="51">
        <v>0.999</v>
      </c>
      <c r="D9613" s="51">
        <v>71.0</v>
      </c>
      <c r="E9613" s="52" t="s">
        <v>25</v>
      </c>
      <c r="F9613" s="52" t="s">
        <v>26</v>
      </c>
      <c r="G9613" s="54"/>
    </row>
    <row r="9614">
      <c r="A9614" s="49">
        <v>45122.161294074074</v>
      </c>
      <c r="B9614" s="50">
        <v>45122.2862713541</v>
      </c>
      <c r="C9614" s="51">
        <v>0.999</v>
      </c>
      <c r="D9614" s="51">
        <v>71.0</v>
      </c>
      <c r="E9614" s="52" t="s">
        <v>25</v>
      </c>
      <c r="F9614" s="52" t="s">
        <v>26</v>
      </c>
      <c r="G9614" s="54"/>
    </row>
    <row r="9615">
      <c r="A9615" s="49">
        <v>45122.171712152776</v>
      </c>
      <c r="B9615" s="50">
        <v>45122.2966932407</v>
      </c>
      <c r="C9615" s="51">
        <v>0.999</v>
      </c>
      <c r="D9615" s="51">
        <v>71.0</v>
      </c>
      <c r="E9615" s="52" t="s">
        <v>25</v>
      </c>
      <c r="F9615" s="52" t="s">
        <v>26</v>
      </c>
      <c r="G9615" s="54"/>
    </row>
    <row r="9616">
      <c r="A9616" s="49">
        <v>45122.18214121528</v>
      </c>
      <c r="B9616" s="50">
        <v>45122.3071143402</v>
      </c>
      <c r="C9616" s="51">
        <v>0.999</v>
      </c>
      <c r="D9616" s="51">
        <v>71.0</v>
      </c>
      <c r="E9616" s="52" t="s">
        <v>25</v>
      </c>
      <c r="F9616" s="52" t="s">
        <v>26</v>
      </c>
      <c r="G9616" s="54"/>
    </row>
    <row r="9617">
      <c r="A9617" s="49">
        <v>45122.19256553241</v>
      </c>
      <c r="B9617" s="50">
        <v>45122.317535787</v>
      </c>
      <c r="C9617" s="51">
        <v>0.999</v>
      </c>
      <c r="D9617" s="51">
        <v>71.0</v>
      </c>
      <c r="E9617" s="52" t="s">
        <v>25</v>
      </c>
      <c r="F9617" s="52" t="s">
        <v>26</v>
      </c>
      <c r="G9617" s="54"/>
    </row>
    <row r="9618">
      <c r="A9618" s="49">
        <v>45122.203007627315</v>
      </c>
      <c r="B9618" s="50">
        <v>45122.3279818287</v>
      </c>
      <c r="C9618" s="51">
        <v>0.999</v>
      </c>
      <c r="D9618" s="51">
        <v>71.0</v>
      </c>
      <c r="E9618" s="52" t="s">
        <v>25</v>
      </c>
      <c r="F9618" s="52" t="s">
        <v>26</v>
      </c>
      <c r="G9618" s="54"/>
    </row>
    <row r="9619">
      <c r="A9619" s="49">
        <v>45122.213440277774</v>
      </c>
      <c r="B9619" s="50">
        <v>45122.3384145949</v>
      </c>
      <c r="C9619" s="51">
        <v>0.999</v>
      </c>
      <c r="D9619" s="51">
        <v>70.0</v>
      </c>
      <c r="E9619" s="52" t="s">
        <v>25</v>
      </c>
      <c r="F9619" s="52" t="s">
        <v>26</v>
      </c>
      <c r="G9619" s="54"/>
    </row>
    <row r="9620">
      <c r="A9620" s="49">
        <v>45122.223863113424</v>
      </c>
      <c r="B9620" s="50">
        <v>45122.3488338194</v>
      </c>
      <c r="C9620" s="51">
        <v>0.999</v>
      </c>
      <c r="D9620" s="51">
        <v>71.0</v>
      </c>
      <c r="E9620" s="52" t="s">
        <v>25</v>
      </c>
      <c r="F9620" s="52" t="s">
        <v>26</v>
      </c>
      <c r="G9620" s="54"/>
    </row>
    <row r="9621">
      <c r="A9621" s="49">
        <v>45122.23428701389</v>
      </c>
      <c r="B9621" s="50">
        <v>45122.3592538078</v>
      </c>
      <c r="C9621" s="51">
        <v>0.999</v>
      </c>
      <c r="D9621" s="51">
        <v>71.0</v>
      </c>
      <c r="E9621" s="52" t="s">
        <v>25</v>
      </c>
      <c r="F9621" s="52" t="s">
        <v>26</v>
      </c>
      <c r="G9621" s="54"/>
    </row>
    <row r="9622">
      <c r="A9622" s="49">
        <v>45122.244706157406</v>
      </c>
      <c r="B9622" s="50">
        <v>45122.3696862384</v>
      </c>
      <c r="C9622" s="51">
        <v>0.999</v>
      </c>
      <c r="D9622" s="51">
        <v>71.0</v>
      </c>
      <c r="E9622" s="52" t="s">
        <v>25</v>
      </c>
      <c r="F9622" s="52" t="s">
        <v>26</v>
      </c>
      <c r="G9622" s="54"/>
    </row>
    <row r="9623">
      <c r="A9623" s="49">
        <v>45122.25513159722</v>
      </c>
      <c r="B9623" s="50">
        <v>45122.3801064004</v>
      </c>
      <c r="C9623" s="51">
        <v>0.999</v>
      </c>
      <c r="D9623" s="51">
        <v>71.0</v>
      </c>
      <c r="E9623" s="52" t="s">
        <v>25</v>
      </c>
      <c r="F9623" s="52" t="s">
        <v>26</v>
      </c>
      <c r="G9623" s="54"/>
    </row>
    <row r="9624">
      <c r="A9624" s="49">
        <v>45122.26555269676</v>
      </c>
      <c r="B9624" s="50">
        <v>45122.3905264467</v>
      </c>
      <c r="C9624" s="51">
        <v>0.999</v>
      </c>
      <c r="D9624" s="51">
        <v>71.0</v>
      </c>
      <c r="E9624" s="52" t="s">
        <v>25</v>
      </c>
      <c r="F9624" s="52" t="s">
        <v>26</v>
      </c>
      <c r="G9624" s="54"/>
    </row>
    <row r="9625">
      <c r="A9625" s="49">
        <v>45122.275980543985</v>
      </c>
      <c r="B9625" s="50">
        <v>45122.4009468518</v>
      </c>
      <c r="C9625" s="51">
        <v>0.998</v>
      </c>
      <c r="D9625" s="51">
        <v>71.0</v>
      </c>
      <c r="E9625" s="52" t="s">
        <v>25</v>
      </c>
      <c r="F9625" s="52" t="s">
        <v>26</v>
      </c>
      <c r="G9625" s="54"/>
    </row>
    <row r="9626">
      <c r="A9626" s="49">
        <v>45122.28639677083</v>
      </c>
      <c r="B9626" s="50">
        <v>45122.4113687268</v>
      </c>
      <c r="C9626" s="51">
        <v>0.999</v>
      </c>
      <c r="D9626" s="51">
        <v>71.0</v>
      </c>
      <c r="E9626" s="52" t="s">
        <v>25</v>
      </c>
      <c r="F9626" s="52" t="s">
        <v>26</v>
      </c>
      <c r="G9626" s="54"/>
    </row>
    <row r="9627">
      <c r="A9627" s="49">
        <v>45122.29681932871</v>
      </c>
      <c r="B9627" s="50">
        <v>45122.4217987847</v>
      </c>
      <c r="C9627" s="51">
        <v>0.999</v>
      </c>
      <c r="D9627" s="51">
        <v>71.0</v>
      </c>
      <c r="E9627" s="52" t="s">
        <v>25</v>
      </c>
      <c r="F9627" s="52" t="s">
        <v>26</v>
      </c>
      <c r="G9627" s="54"/>
    </row>
    <row r="9628">
      <c r="A9628" s="49">
        <v>45122.30724894676</v>
      </c>
      <c r="B9628" s="50">
        <v>45122.4322205787</v>
      </c>
      <c r="C9628" s="51">
        <v>0.999</v>
      </c>
      <c r="D9628" s="51">
        <v>71.0</v>
      </c>
      <c r="E9628" s="52" t="s">
        <v>25</v>
      </c>
      <c r="F9628" s="52" t="s">
        <v>26</v>
      </c>
      <c r="G9628" s="54"/>
    </row>
    <row r="9629">
      <c r="A9629" s="49">
        <v>45122.31768491898</v>
      </c>
      <c r="B9629" s="50">
        <v>45122.4426557638</v>
      </c>
      <c r="C9629" s="51">
        <v>0.999</v>
      </c>
      <c r="D9629" s="51">
        <v>71.0</v>
      </c>
      <c r="E9629" s="52" t="s">
        <v>25</v>
      </c>
      <c r="F9629" s="52" t="s">
        <v>26</v>
      </c>
      <c r="G9629" s="54"/>
    </row>
    <row r="9630">
      <c r="A9630" s="49">
        <v>45122.32810144676</v>
      </c>
      <c r="B9630" s="50">
        <v>45122.4530757291</v>
      </c>
      <c r="C9630" s="51">
        <v>0.999</v>
      </c>
      <c r="D9630" s="51">
        <v>71.0</v>
      </c>
      <c r="E9630" s="52" t="s">
        <v>25</v>
      </c>
      <c r="F9630" s="52" t="s">
        <v>26</v>
      </c>
      <c r="G9630" s="54"/>
    </row>
    <row r="9631">
      <c r="A9631" s="49">
        <v>45122.33852980324</v>
      </c>
      <c r="B9631" s="50">
        <v>45122.4634972453</v>
      </c>
      <c r="C9631" s="51">
        <v>0.999</v>
      </c>
      <c r="D9631" s="51">
        <v>71.0</v>
      </c>
      <c r="E9631" s="52" t="s">
        <v>25</v>
      </c>
      <c r="F9631" s="52" t="s">
        <v>26</v>
      </c>
      <c r="G9631" s="54"/>
    </row>
    <row r="9632">
      <c r="A9632" s="49">
        <v>45122.34896030092</v>
      </c>
      <c r="B9632" s="50">
        <v>45122.4739307754</v>
      </c>
      <c r="C9632" s="51">
        <v>0.999</v>
      </c>
      <c r="D9632" s="51">
        <v>71.0</v>
      </c>
      <c r="E9632" s="52" t="s">
        <v>25</v>
      </c>
      <c r="F9632" s="52" t="s">
        <v>26</v>
      </c>
      <c r="G9632" s="54"/>
    </row>
    <row r="9633">
      <c r="A9633" s="49">
        <v>45122.359398113425</v>
      </c>
      <c r="B9633" s="50">
        <v>45122.4843630324</v>
      </c>
      <c r="C9633" s="51">
        <v>0.999</v>
      </c>
      <c r="D9633" s="51">
        <v>71.0</v>
      </c>
      <c r="E9633" s="52" t="s">
        <v>25</v>
      </c>
      <c r="F9633" s="52" t="s">
        <v>26</v>
      </c>
      <c r="G9633" s="54"/>
    </row>
    <row r="9634">
      <c r="A9634" s="49">
        <v>45122.3698171875</v>
      </c>
      <c r="B9634" s="50">
        <v>45122.494785405</v>
      </c>
      <c r="C9634" s="51">
        <v>0.999</v>
      </c>
      <c r="D9634" s="51">
        <v>71.0</v>
      </c>
      <c r="E9634" s="52" t="s">
        <v>25</v>
      </c>
      <c r="F9634" s="52" t="s">
        <v>26</v>
      </c>
      <c r="G9634" s="54"/>
    </row>
    <row r="9635">
      <c r="A9635" s="49">
        <v>45122.38024138889</v>
      </c>
      <c r="B9635" s="50">
        <v>45122.5052068865</v>
      </c>
      <c r="C9635" s="51">
        <v>0.999</v>
      </c>
      <c r="D9635" s="51">
        <v>71.0</v>
      </c>
      <c r="E9635" s="52" t="s">
        <v>25</v>
      </c>
      <c r="F9635" s="52" t="s">
        <v>26</v>
      </c>
      <c r="G9635" s="54"/>
    </row>
    <row r="9636">
      <c r="A9636" s="49">
        <v>45122.39066616898</v>
      </c>
      <c r="B9636" s="50">
        <v>45122.5156372453</v>
      </c>
      <c r="C9636" s="51">
        <v>0.999</v>
      </c>
      <c r="D9636" s="51">
        <v>71.0</v>
      </c>
      <c r="E9636" s="52" t="s">
        <v>25</v>
      </c>
      <c r="F9636" s="52" t="s">
        <v>26</v>
      </c>
      <c r="G9636" s="54"/>
    </row>
    <row r="9637">
      <c r="A9637" s="49">
        <v>45122.401091064814</v>
      </c>
      <c r="B9637" s="50">
        <v>45122.5260578588</v>
      </c>
      <c r="C9637" s="51">
        <v>0.999</v>
      </c>
      <c r="D9637" s="51">
        <v>71.0</v>
      </c>
      <c r="E9637" s="52" t="s">
        <v>25</v>
      </c>
      <c r="F9637" s="52" t="s">
        <v>26</v>
      </c>
      <c r="G9637" s="54"/>
    </row>
    <row r="9638">
      <c r="A9638" s="49">
        <v>45122.4115203125</v>
      </c>
      <c r="B9638" s="50">
        <v>45122.5364919328</v>
      </c>
      <c r="C9638" s="51">
        <v>0.999</v>
      </c>
      <c r="D9638" s="51">
        <v>71.0</v>
      </c>
      <c r="E9638" s="52" t="s">
        <v>25</v>
      </c>
      <c r="F9638" s="52" t="s">
        <v>26</v>
      </c>
      <c r="G9638" s="54"/>
    </row>
    <row r="9639">
      <c r="A9639" s="49">
        <v>45122.42194828704</v>
      </c>
      <c r="B9639" s="50">
        <v>45122.5469243518</v>
      </c>
      <c r="C9639" s="51">
        <v>0.999</v>
      </c>
      <c r="D9639" s="51">
        <v>71.0</v>
      </c>
      <c r="E9639" s="52" t="s">
        <v>25</v>
      </c>
      <c r="F9639" s="52" t="s">
        <v>26</v>
      </c>
      <c r="G9639" s="54"/>
    </row>
    <row r="9640">
      <c r="A9640" s="49">
        <v>45122.43237925926</v>
      </c>
      <c r="B9640" s="50">
        <v>45122.5573460763</v>
      </c>
      <c r="C9640" s="51">
        <v>0.999</v>
      </c>
      <c r="D9640" s="51">
        <v>71.0</v>
      </c>
      <c r="E9640" s="52" t="s">
        <v>25</v>
      </c>
      <c r="F9640" s="52" t="s">
        <v>26</v>
      </c>
      <c r="G9640" s="54"/>
    </row>
    <row r="9641">
      <c r="A9641" s="49">
        <v>45122.44279642361</v>
      </c>
      <c r="B9641" s="50">
        <v>45122.5677650231</v>
      </c>
      <c r="C9641" s="51">
        <v>0.999</v>
      </c>
      <c r="D9641" s="51">
        <v>71.0</v>
      </c>
      <c r="E9641" s="52" t="s">
        <v>25</v>
      </c>
      <c r="F9641" s="52" t="s">
        <v>26</v>
      </c>
      <c r="G9641" s="54"/>
    </row>
    <row r="9642">
      <c r="A9642" s="49">
        <v>45122.45320631945</v>
      </c>
      <c r="B9642" s="50">
        <v>45122.5781872338</v>
      </c>
      <c r="C9642" s="51">
        <v>0.999</v>
      </c>
      <c r="D9642" s="51">
        <v>71.0</v>
      </c>
      <c r="E9642" s="52" t="s">
        <v>25</v>
      </c>
      <c r="F9642" s="52" t="s">
        <v>26</v>
      </c>
      <c r="G9642" s="54"/>
    </row>
    <row r="9643">
      <c r="A9643" s="49">
        <v>45122.46364346065</v>
      </c>
      <c r="B9643" s="50">
        <v>45122.5886061111</v>
      </c>
      <c r="C9643" s="51">
        <v>0.999</v>
      </c>
      <c r="D9643" s="51">
        <v>71.0</v>
      </c>
      <c r="E9643" s="52" t="s">
        <v>25</v>
      </c>
      <c r="F9643" s="52" t="s">
        <v>26</v>
      </c>
      <c r="G9643" s="54"/>
    </row>
    <row r="9644">
      <c r="A9644" s="49">
        <v>45122.47405625</v>
      </c>
      <c r="B9644" s="50">
        <v>45122.5990276967</v>
      </c>
      <c r="C9644" s="51">
        <v>0.999</v>
      </c>
      <c r="D9644" s="51">
        <v>71.0</v>
      </c>
      <c r="E9644" s="52" t="s">
        <v>25</v>
      </c>
      <c r="F9644" s="52" t="s">
        <v>26</v>
      </c>
      <c r="G9644" s="54"/>
    </row>
    <row r="9645">
      <c r="A9645" s="49">
        <v>45122.48447127314</v>
      </c>
      <c r="B9645" s="50">
        <v>45122.6094472801</v>
      </c>
      <c r="C9645" s="51">
        <v>0.999</v>
      </c>
      <c r="D9645" s="51">
        <v>71.0</v>
      </c>
      <c r="E9645" s="52" t="s">
        <v>25</v>
      </c>
      <c r="F9645" s="52" t="s">
        <v>26</v>
      </c>
      <c r="G9645" s="54"/>
    </row>
    <row r="9646">
      <c r="A9646" s="49">
        <v>45122.4948987963</v>
      </c>
      <c r="B9646" s="50">
        <v>45122.6198697569</v>
      </c>
      <c r="C9646" s="51">
        <v>0.999</v>
      </c>
      <c r="D9646" s="51">
        <v>71.0</v>
      </c>
      <c r="E9646" s="52" t="s">
        <v>25</v>
      </c>
      <c r="F9646" s="52" t="s">
        <v>26</v>
      </c>
      <c r="G9646" s="54"/>
    </row>
    <row r="9647">
      <c r="A9647" s="49">
        <v>45122.505321296296</v>
      </c>
      <c r="B9647" s="50">
        <v>45122.6302903472</v>
      </c>
      <c r="C9647" s="51">
        <v>0.999</v>
      </c>
      <c r="D9647" s="51">
        <v>71.0</v>
      </c>
      <c r="E9647" s="52" t="s">
        <v>25</v>
      </c>
      <c r="F9647" s="52" t="s">
        <v>26</v>
      </c>
      <c r="G9647" s="54"/>
    </row>
    <row r="9648">
      <c r="A9648" s="49">
        <v>45122.515743298616</v>
      </c>
      <c r="B9648" s="50">
        <v>45122.6407109838</v>
      </c>
      <c r="C9648" s="51">
        <v>0.999</v>
      </c>
      <c r="D9648" s="51">
        <v>71.0</v>
      </c>
      <c r="E9648" s="52" t="s">
        <v>25</v>
      </c>
      <c r="F9648" s="52" t="s">
        <v>26</v>
      </c>
      <c r="G9648" s="54"/>
    </row>
    <row r="9649">
      <c r="A9649" s="49">
        <v>45122.52616743055</v>
      </c>
      <c r="B9649" s="50">
        <v>45122.65114375</v>
      </c>
      <c r="C9649" s="51">
        <v>0.999</v>
      </c>
      <c r="D9649" s="51">
        <v>71.0</v>
      </c>
      <c r="E9649" s="52" t="s">
        <v>25</v>
      </c>
      <c r="F9649" s="52" t="s">
        <v>26</v>
      </c>
      <c r="G9649" s="54"/>
    </row>
    <row r="9650">
      <c r="A9650" s="49">
        <v>45122.5365953125</v>
      </c>
      <c r="B9650" s="50">
        <v>45122.661566574</v>
      </c>
      <c r="C9650" s="51">
        <v>0.999</v>
      </c>
      <c r="D9650" s="51">
        <v>71.0</v>
      </c>
      <c r="E9650" s="52" t="s">
        <v>25</v>
      </c>
      <c r="F9650" s="52" t="s">
        <v>26</v>
      </c>
      <c r="G9650" s="54"/>
    </row>
    <row r="9651">
      <c r="A9651" s="49">
        <v>45122.547016111115</v>
      </c>
      <c r="B9651" s="50">
        <v>45122.6719869791</v>
      </c>
      <c r="C9651" s="51">
        <v>0.999</v>
      </c>
      <c r="D9651" s="51">
        <v>70.0</v>
      </c>
      <c r="E9651" s="52" t="s">
        <v>25</v>
      </c>
      <c r="F9651" s="52" t="s">
        <v>26</v>
      </c>
      <c r="G9651" s="54"/>
    </row>
    <row r="9652">
      <c r="A9652" s="49">
        <v>45122.557427210646</v>
      </c>
      <c r="B9652" s="50">
        <v>45122.6824079861</v>
      </c>
      <c r="C9652" s="51">
        <v>0.999</v>
      </c>
      <c r="D9652" s="51">
        <v>70.0</v>
      </c>
      <c r="E9652" s="52" t="s">
        <v>25</v>
      </c>
      <c r="F9652" s="52" t="s">
        <v>26</v>
      </c>
      <c r="G9652" s="54"/>
    </row>
    <row r="9653">
      <c r="A9653" s="49">
        <v>45122.56785831018</v>
      </c>
      <c r="B9653" s="50">
        <v>45122.6928312847</v>
      </c>
      <c r="C9653" s="51">
        <v>0.999</v>
      </c>
      <c r="D9653" s="51">
        <v>70.0</v>
      </c>
      <c r="E9653" s="52" t="s">
        <v>25</v>
      </c>
      <c r="F9653" s="52" t="s">
        <v>26</v>
      </c>
      <c r="G9653" s="54"/>
    </row>
    <row r="9654">
      <c r="A9654" s="49">
        <v>45122.57828383102</v>
      </c>
      <c r="B9654" s="50">
        <v>45122.7032529861</v>
      </c>
      <c r="C9654" s="51">
        <v>0.999</v>
      </c>
      <c r="D9654" s="51">
        <v>70.0</v>
      </c>
      <c r="E9654" s="52" t="s">
        <v>25</v>
      </c>
      <c r="F9654" s="52" t="s">
        <v>26</v>
      </c>
      <c r="G9654" s="54"/>
    </row>
    <row r="9655">
      <c r="A9655" s="49">
        <v>45122.5887024074</v>
      </c>
      <c r="B9655" s="50">
        <v>45122.7136736111</v>
      </c>
      <c r="C9655" s="51">
        <v>0.999</v>
      </c>
      <c r="D9655" s="51">
        <v>70.0</v>
      </c>
      <c r="E9655" s="52" t="s">
        <v>25</v>
      </c>
      <c r="F9655" s="52" t="s">
        <v>26</v>
      </c>
      <c r="G9655" s="54"/>
    </row>
    <row r="9656">
      <c r="A9656" s="49">
        <v>45122.59911866898</v>
      </c>
      <c r="B9656" s="50">
        <v>45122.7240955439</v>
      </c>
      <c r="C9656" s="51">
        <v>0.999</v>
      </c>
      <c r="D9656" s="51">
        <v>70.0</v>
      </c>
      <c r="E9656" s="52" t="s">
        <v>25</v>
      </c>
      <c r="F9656" s="52" t="s">
        <v>26</v>
      </c>
      <c r="G9656" s="54"/>
    </row>
    <row r="9657">
      <c r="A9657" s="49">
        <v>45122.60954489584</v>
      </c>
      <c r="B9657" s="50">
        <v>45122.7345166898</v>
      </c>
      <c r="C9657" s="51">
        <v>0.999</v>
      </c>
      <c r="D9657" s="51">
        <v>70.0</v>
      </c>
      <c r="E9657" s="52" t="s">
        <v>25</v>
      </c>
      <c r="F9657" s="52" t="s">
        <v>26</v>
      </c>
      <c r="G9657" s="54"/>
    </row>
    <row r="9658">
      <c r="A9658" s="49">
        <v>45122.61996427084</v>
      </c>
      <c r="B9658" s="50">
        <v>45122.7449370254</v>
      </c>
      <c r="C9658" s="51">
        <v>0.999</v>
      </c>
      <c r="D9658" s="51">
        <v>70.0</v>
      </c>
      <c r="E9658" s="52" t="s">
        <v>25</v>
      </c>
      <c r="F9658" s="52" t="s">
        <v>26</v>
      </c>
      <c r="G9658" s="54"/>
    </row>
    <row r="9659">
      <c r="A9659" s="49">
        <v>45122.63039143519</v>
      </c>
      <c r="B9659" s="50">
        <v>45122.7553683912</v>
      </c>
      <c r="C9659" s="51">
        <v>0.999</v>
      </c>
      <c r="D9659" s="51">
        <v>70.0</v>
      </c>
      <c r="E9659" s="52" t="s">
        <v>25</v>
      </c>
      <c r="F9659" s="52" t="s">
        <v>26</v>
      </c>
      <c r="G9659" s="54"/>
    </row>
    <row r="9660">
      <c r="A9660" s="49">
        <v>45122.640822650465</v>
      </c>
      <c r="B9660" s="50">
        <v>45122.7657899652</v>
      </c>
      <c r="C9660" s="51">
        <v>0.999</v>
      </c>
      <c r="D9660" s="51">
        <v>70.0</v>
      </c>
      <c r="E9660" s="52" t="s">
        <v>25</v>
      </c>
      <c r="F9660" s="52" t="s">
        <v>26</v>
      </c>
      <c r="G9660" s="54"/>
    </row>
    <row r="9661">
      <c r="A9661" s="49">
        <v>45122.651247534726</v>
      </c>
      <c r="B9661" s="50">
        <v>45122.7762237152</v>
      </c>
      <c r="C9661" s="51">
        <v>0.999</v>
      </c>
      <c r="D9661" s="51">
        <v>70.0</v>
      </c>
      <c r="E9661" s="52" t="s">
        <v>25</v>
      </c>
      <c r="F9661" s="52" t="s">
        <v>26</v>
      </c>
      <c r="G9661" s="54"/>
    </row>
    <row r="9662">
      <c r="A9662" s="49">
        <v>45122.661681805555</v>
      </c>
      <c r="B9662" s="50">
        <v>45122.7866468865</v>
      </c>
      <c r="C9662" s="51">
        <v>0.999</v>
      </c>
      <c r="D9662" s="51">
        <v>70.0</v>
      </c>
      <c r="E9662" s="52" t="s">
        <v>25</v>
      </c>
      <c r="F9662" s="52" t="s">
        <v>26</v>
      </c>
      <c r="G9662" s="54"/>
    </row>
    <row r="9663">
      <c r="A9663" s="49">
        <v>45122.67210596065</v>
      </c>
      <c r="B9663" s="50">
        <v>45122.797080243</v>
      </c>
      <c r="C9663" s="51">
        <v>0.999</v>
      </c>
      <c r="D9663" s="51">
        <v>70.0</v>
      </c>
      <c r="E9663" s="52" t="s">
        <v>25</v>
      </c>
      <c r="F9663" s="52" t="s">
        <v>26</v>
      </c>
      <c r="G9663" s="54"/>
    </row>
    <row r="9664">
      <c r="A9664" s="49">
        <v>45122.68252850695</v>
      </c>
      <c r="B9664" s="50">
        <v>45122.8075018402</v>
      </c>
      <c r="C9664" s="51">
        <v>0.999</v>
      </c>
      <c r="D9664" s="51">
        <v>70.0</v>
      </c>
      <c r="E9664" s="52" t="s">
        <v>25</v>
      </c>
      <c r="F9664" s="52" t="s">
        <v>26</v>
      </c>
      <c r="G9664" s="54"/>
    </row>
    <row r="9665">
      <c r="A9665" s="49">
        <v>45122.692950613426</v>
      </c>
      <c r="B9665" s="50">
        <v>45122.8179226273</v>
      </c>
      <c r="C9665" s="51">
        <v>0.999</v>
      </c>
      <c r="D9665" s="51">
        <v>70.0</v>
      </c>
      <c r="E9665" s="52" t="s">
        <v>25</v>
      </c>
      <c r="F9665" s="52" t="s">
        <v>26</v>
      </c>
      <c r="G9665" s="54"/>
    </row>
    <row r="9666">
      <c r="A9666" s="49">
        <v>45122.70337640046</v>
      </c>
      <c r="B9666" s="50">
        <v>45122.8283542361</v>
      </c>
      <c r="C9666" s="51">
        <v>0.999</v>
      </c>
      <c r="D9666" s="51">
        <v>70.0</v>
      </c>
      <c r="E9666" s="52" t="s">
        <v>25</v>
      </c>
      <c r="F9666" s="52" t="s">
        <v>26</v>
      </c>
      <c r="G9666" s="54"/>
    </row>
    <row r="9667">
      <c r="A9667" s="49">
        <v>45122.71380121528</v>
      </c>
      <c r="B9667" s="50">
        <v>45122.838774155</v>
      </c>
      <c r="C9667" s="51">
        <v>0.999</v>
      </c>
      <c r="D9667" s="51">
        <v>70.0</v>
      </c>
      <c r="E9667" s="52" t="s">
        <v>25</v>
      </c>
      <c r="F9667" s="52" t="s">
        <v>26</v>
      </c>
      <c r="G9667" s="54"/>
    </row>
    <row r="9668">
      <c r="A9668" s="49">
        <v>45122.72424606481</v>
      </c>
      <c r="B9668" s="50">
        <v>45122.849218449</v>
      </c>
      <c r="C9668" s="51">
        <v>0.999</v>
      </c>
      <c r="D9668" s="51">
        <v>70.0</v>
      </c>
      <c r="E9668" s="52" t="s">
        <v>25</v>
      </c>
      <c r="F9668" s="52" t="s">
        <v>26</v>
      </c>
      <c r="G9668" s="54"/>
    </row>
    <row r="9669">
      <c r="A9669" s="49">
        <v>45122.73466901621</v>
      </c>
      <c r="B9669" s="50">
        <v>45122.8596388657</v>
      </c>
      <c r="C9669" s="51">
        <v>0.999</v>
      </c>
      <c r="D9669" s="51">
        <v>70.0</v>
      </c>
      <c r="E9669" s="52" t="s">
        <v>25</v>
      </c>
      <c r="F9669" s="52" t="s">
        <v>26</v>
      </c>
      <c r="G9669" s="54"/>
    </row>
    <row r="9670">
      <c r="A9670" s="49">
        <v>45122.7450813426</v>
      </c>
      <c r="B9670" s="50">
        <v>45122.870058206</v>
      </c>
      <c r="C9670" s="51">
        <v>0.999</v>
      </c>
      <c r="D9670" s="51">
        <v>70.0</v>
      </c>
      <c r="E9670" s="52" t="s">
        <v>25</v>
      </c>
      <c r="F9670" s="52" t="s">
        <v>26</v>
      </c>
      <c r="G9670" s="54"/>
    </row>
    <row r="9671">
      <c r="A9671" s="49">
        <v>45122.75550425926</v>
      </c>
      <c r="B9671" s="50">
        <v>45122.8804807523</v>
      </c>
      <c r="C9671" s="51">
        <v>0.999</v>
      </c>
      <c r="D9671" s="51">
        <v>70.0</v>
      </c>
      <c r="E9671" s="52" t="s">
        <v>25</v>
      </c>
      <c r="F9671" s="52" t="s">
        <v>26</v>
      </c>
      <c r="G9671" s="54"/>
    </row>
    <row r="9672">
      <c r="A9672" s="49">
        <v>45122.76594491898</v>
      </c>
      <c r="B9672" s="50">
        <v>45122.8909027893</v>
      </c>
      <c r="C9672" s="51">
        <v>0.999</v>
      </c>
      <c r="D9672" s="51">
        <v>70.0</v>
      </c>
      <c r="E9672" s="52" t="s">
        <v>25</v>
      </c>
      <c r="F9672" s="52" t="s">
        <v>26</v>
      </c>
      <c r="G9672" s="54"/>
    </row>
    <row r="9673">
      <c r="A9673" s="49">
        <v>45122.77635428241</v>
      </c>
      <c r="B9673" s="50">
        <v>45122.9013250231</v>
      </c>
      <c r="C9673" s="51">
        <v>0.999</v>
      </c>
      <c r="D9673" s="51">
        <v>70.0</v>
      </c>
      <c r="E9673" s="52" t="s">
        <v>25</v>
      </c>
      <c r="F9673" s="52" t="s">
        <v>26</v>
      </c>
      <c r="G9673" s="54"/>
    </row>
    <row r="9674">
      <c r="A9674" s="49">
        <v>45122.78676778935</v>
      </c>
      <c r="B9674" s="50">
        <v>45122.9117455902</v>
      </c>
      <c r="C9674" s="51">
        <v>0.999</v>
      </c>
      <c r="D9674" s="51">
        <v>70.0</v>
      </c>
      <c r="E9674" s="52" t="s">
        <v>25</v>
      </c>
      <c r="F9674" s="52" t="s">
        <v>26</v>
      </c>
      <c r="G9674" s="54"/>
    </row>
    <row r="9675">
      <c r="A9675" s="49">
        <v>45122.79719758102</v>
      </c>
      <c r="B9675" s="50">
        <v>45122.9221778819</v>
      </c>
      <c r="C9675" s="51">
        <v>0.999</v>
      </c>
      <c r="D9675" s="51">
        <v>70.0</v>
      </c>
      <c r="E9675" s="52" t="s">
        <v>25</v>
      </c>
      <c r="F9675" s="52" t="s">
        <v>26</v>
      </c>
      <c r="G9675" s="54"/>
    </row>
    <row r="9676">
      <c r="A9676" s="49">
        <v>45122.80764151621</v>
      </c>
      <c r="B9676" s="50">
        <v>45122.9326102546</v>
      </c>
      <c r="C9676" s="51">
        <v>0.999</v>
      </c>
      <c r="D9676" s="51">
        <v>70.0</v>
      </c>
      <c r="E9676" s="52" t="s">
        <v>25</v>
      </c>
      <c r="F9676" s="52" t="s">
        <v>26</v>
      </c>
      <c r="G9676" s="54"/>
    </row>
    <row r="9677">
      <c r="A9677" s="49">
        <v>45122.818066458334</v>
      </c>
      <c r="B9677" s="50">
        <v>45122.9430308333</v>
      </c>
      <c r="C9677" s="51">
        <v>0.999</v>
      </c>
      <c r="D9677" s="51">
        <v>70.0</v>
      </c>
      <c r="E9677" s="52" t="s">
        <v>25</v>
      </c>
      <c r="F9677" s="52" t="s">
        <v>26</v>
      </c>
      <c r="G9677" s="54"/>
    </row>
    <row r="9678">
      <c r="A9678" s="49">
        <v>45122.82847443287</v>
      </c>
      <c r="B9678" s="50">
        <v>45122.953450868</v>
      </c>
      <c r="C9678" s="51">
        <v>0.999</v>
      </c>
      <c r="D9678" s="51">
        <v>70.0</v>
      </c>
      <c r="E9678" s="52" t="s">
        <v>25</v>
      </c>
      <c r="F9678" s="52" t="s">
        <v>26</v>
      </c>
      <c r="G9678" s="54"/>
    </row>
    <row r="9679">
      <c r="A9679" s="49">
        <v>45122.838893900465</v>
      </c>
      <c r="B9679" s="50">
        <v>45122.9638711458</v>
      </c>
      <c r="C9679" s="51">
        <v>0.999</v>
      </c>
      <c r="D9679" s="51">
        <v>70.0</v>
      </c>
      <c r="E9679" s="52" t="s">
        <v>25</v>
      </c>
      <c r="F9679" s="52" t="s">
        <v>26</v>
      </c>
      <c r="G9679" s="54"/>
    </row>
    <row r="9680">
      <c r="A9680" s="49">
        <v>45122.849324131945</v>
      </c>
      <c r="B9680" s="50">
        <v>45122.9743030787</v>
      </c>
      <c r="C9680" s="51">
        <v>0.999</v>
      </c>
      <c r="D9680" s="51">
        <v>70.0</v>
      </c>
      <c r="E9680" s="52" t="s">
        <v>25</v>
      </c>
      <c r="F9680" s="52" t="s">
        <v>26</v>
      </c>
      <c r="G9680" s="54"/>
    </row>
    <row r="9681">
      <c r="A9681" s="49">
        <v>45122.85975387732</v>
      </c>
      <c r="B9681" s="50">
        <v>45122.984722743</v>
      </c>
      <c r="C9681" s="51">
        <v>0.999</v>
      </c>
      <c r="D9681" s="51">
        <v>70.0</v>
      </c>
      <c r="E9681" s="52" t="s">
        <v>25</v>
      </c>
      <c r="F9681" s="52" t="s">
        <v>26</v>
      </c>
      <c r="G9681" s="54"/>
    </row>
    <row r="9682">
      <c r="A9682" s="49">
        <v>45122.87017177083</v>
      </c>
      <c r="B9682" s="50">
        <v>45122.9951440162</v>
      </c>
      <c r="C9682" s="51">
        <v>0.999</v>
      </c>
      <c r="D9682" s="51">
        <v>70.0</v>
      </c>
      <c r="E9682" s="52" t="s">
        <v>25</v>
      </c>
      <c r="F9682" s="52" t="s">
        <v>26</v>
      </c>
      <c r="G9682" s="54"/>
    </row>
    <row r="9683">
      <c r="A9683" s="49">
        <v>45122.880597048614</v>
      </c>
      <c r="B9683" s="50">
        <v>45123.005567743</v>
      </c>
      <c r="C9683" s="51">
        <v>0.999</v>
      </c>
      <c r="D9683" s="51">
        <v>70.0</v>
      </c>
      <c r="E9683" s="52" t="s">
        <v>25</v>
      </c>
      <c r="F9683" s="52" t="s">
        <v>26</v>
      </c>
      <c r="G9683" s="54"/>
    </row>
    <row r="9684">
      <c r="A9684" s="49">
        <v>45122.89101795139</v>
      </c>
      <c r="B9684" s="50">
        <v>45123.0159876967</v>
      </c>
      <c r="C9684" s="51">
        <v>0.999</v>
      </c>
      <c r="D9684" s="51">
        <v>70.0</v>
      </c>
      <c r="E9684" s="52" t="s">
        <v>25</v>
      </c>
      <c r="F9684" s="52" t="s">
        <v>26</v>
      </c>
      <c r="G9684" s="54"/>
    </row>
    <row r="9685">
      <c r="A9685" s="49">
        <v>45122.901432557876</v>
      </c>
      <c r="B9685" s="50">
        <v>45123.026408831</v>
      </c>
      <c r="C9685" s="51">
        <v>0.999</v>
      </c>
      <c r="D9685" s="51">
        <v>70.0</v>
      </c>
      <c r="E9685" s="52" t="s">
        <v>25</v>
      </c>
      <c r="F9685" s="52" t="s">
        <v>26</v>
      </c>
      <c r="G9685" s="54"/>
    </row>
    <row r="9686">
      <c r="A9686" s="49">
        <v>45122.91186978009</v>
      </c>
      <c r="B9686" s="50">
        <v>45123.0368402199</v>
      </c>
      <c r="C9686" s="51">
        <v>0.999</v>
      </c>
      <c r="D9686" s="51">
        <v>70.0</v>
      </c>
      <c r="E9686" s="52" t="s">
        <v>25</v>
      </c>
      <c r="F9686" s="52" t="s">
        <v>26</v>
      </c>
      <c r="G9686" s="54"/>
    </row>
    <row r="9687">
      <c r="A9687" s="49">
        <v>45122.92228456018</v>
      </c>
      <c r="B9687" s="50">
        <v>45123.0472634143</v>
      </c>
      <c r="C9687" s="51">
        <v>0.999</v>
      </c>
      <c r="D9687" s="51">
        <v>70.0</v>
      </c>
      <c r="E9687" s="52" t="s">
        <v>25</v>
      </c>
      <c r="F9687" s="52" t="s">
        <v>26</v>
      </c>
      <c r="G9687" s="54"/>
    </row>
    <row r="9688">
      <c r="A9688" s="49">
        <v>45122.932722349535</v>
      </c>
      <c r="B9688" s="50">
        <v>45123.0576977893</v>
      </c>
      <c r="C9688" s="51">
        <v>0.999</v>
      </c>
      <c r="D9688" s="51">
        <v>70.0</v>
      </c>
      <c r="E9688" s="52" t="s">
        <v>25</v>
      </c>
      <c r="F9688" s="52" t="s">
        <v>26</v>
      </c>
      <c r="G9688" s="54"/>
    </row>
    <row r="9689">
      <c r="A9689" s="49">
        <v>45122.94314059027</v>
      </c>
      <c r="B9689" s="50">
        <v>45123.068119155</v>
      </c>
      <c r="C9689" s="51">
        <v>0.999</v>
      </c>
      <c r="D9689" s="51">
        <v>70.0</v>
      </c>
      <c r="E9689" s="52" t="s">
        <v>25</v>
      </c>
      <c r="F9689" s="52" t="s">
        <v>26</v>
      </c>
      <c r="G9689" s="54"/>
    </row>
    <row r="9690">
      <c r="A9690" s="49">
        <v>45122.95357070601</v>
      </c>
      <c r="B9690" s="50">
        <v>45123.0785393055</v>
      </c>
      <c r="C9690" s="51">
        <v>0.999</v>
      </c>
      <c r="D9690" s="51">
        <v>70.0</v>
      </c>
      <c r="E9690" s="52" t="s">
        <v>25</v>
      </c>
      <c r="F9690" s="52" t="s">
        <v>26</v>
      </c>
      <c r="G9690" s="54"/>
    </row>
    <row r="9691">
      <c r="A9691" s="49">
        <v>45122.963998969906</v>
      </c>
      <c r="B9691" s="50">
        <v>45123.08897103</v>
      </c>
      <c r="C9691" s="51">
        <v>0.999</v>
      </c>
      <c r="D9691" s="51">
        <v>70.0</v>
      </c>
      <c r="E9691" s="52" t="s">
        <v>25</v>
      </c>
      <c r="F9691" s="52" t="s">
        <v>26</v>
      </c>
      <c r="G9691" s="54"/>
    </row>
    <row r="9692">
      <c r="A9692" s="49">
        <v>45122.974425381944</v>
      </c>
      <c r="B9692" s="50">
        <v>45123.099391655</v>
      </c>
      <c r="C9692" s="51">
        <v>0.999</v>
      </c>
      <c r="D9692" s="51">
        <v>70.0</v>
      </c>
      <c r="E9692" s="52" t="s">
        <v>25</v>
      </c>
      <c r="F9692" s="52" t="s">
        <v>26</v>
      </c>
      <c r="G9692" s="54"/>
    </row>
    <row r="9693">
      <c r="A9693" s="49">
        <v>45122.98484104167</v>
      </c>
      <c r="B9693" s="50">
        <v>45123.1098150231</v>
      </c>
      <c r="C9693" s="51">
        <v>0.999</v>
      </c>
      <c r="D9693" s="51">
        <v>70.0</v>
      </c>
      <c r="E9693" s="52" t="s">
        <v>25</v>
      </c>
      <c r="F9693" s="52" t="s">
        <v>26</v>
      </c>
      <c r="G9693" s="54"/>
    </row>
    <row r="9694">
      <c r="A9694" s="49">
        <v>45122.99525811343</v>
      </c>
      <c r="B9694" s="50">
        <v>45123.1202379629</v>
      </c>
      <c r="C9694" s="51">
        <v>0.999</v>
      </c>
      <c r="D9694" s="51">
        <v>70.0</v>
      </c>
      <c r="E9694" s="52" t="s">
        <v>25</v>
      </c>
      <c r="F9694" s="52" t="s">
        <v>26</v>
      </c>
      <c r="G9694" s="54"/>
    </row>
    <row r="9695">
      <c r="A9695" s="49">
        <v>45123.005696423614</v>
      </c>
      <c r="B9695" s="50">
        <v>45123.1306691666</v>
      </c>
      <c r="C9695" s="51">
        <v>0.999</v>
      </c>
      <c r="D9695" s="51">
        <v>71.0</v>
      </c>
      <c r="E9695" s="52" t="s">
        <v>25</v>
      </c>
      <c r="F9695" s="52" t="s">
        <v>26</v>
      </c>
      <c r="G9695" s="54"/>
    </row>
    <row r="9696">
      <c r="A9696" s="49">
        <v>45123.016114004626</v>
      </c>
      <c r="B9696" s="50">
        <v>45123.1410893402</v>
      </c>
      <c r="C9696" s="51">
        <v>0.999</v>
      </c>
      <c r="D9696" s="51">
        <v>70.0</v>
      </c>
      <c r="E9696" s="52" t="s">
        <v>25</v>
      </c>
      <c r="F9696" s="52" t="s">
        <v>26</v>
      </c>
      <c r="G9696" s="54"/>
    </row>
    <row r="9697">
      <c r="A9697" s="49">
        <v>45123.026553449075</v>
      </c>
      <c r="B9697" s="50">
        <v>45123.1515234953</v>
      </c>
      <c r="C9697" s="51">
        <v>0.999</v>
      </c>
      <c r="D9697" s="51">
        <v>70.0</v>
      </c>
      <c r="E9697" s="52" t="s">
        <v>25</v>
      </c>
      <c r="F9697" s="52" t="s">
        <v>26</v>
      </c>
      <c r="G9697" s="54"/>
    </row>
    <row r="9698">
      <c r="A9698" s="49">
        <v>45123.03698428241</v>
      </c>
      <c r="B9698" s="50">
        <v>45123.1619544675</v>
      </c>
      <c r="C9698" s="51">
        <v>0.999</v>
      </c>
      <c r="D9698" s="51">
        <v>70.0</v>
      </c>
      <c r="E9698" s="52" t="s">
        <v>25</v>
      </c>
      <c r="F9698" s="52" t="s">
        <v>26</v>
      </c>
      <c r="G9698" s="54"/>
    </row>
    <row r="9699">
      <c r="A9699" s="49">
        <v>45123.0474109375</v>
      </c>
      <c r="B9699" s="50">
        <v>45123.1723862847</v>
      </c>
      <c r="C9699" s="51">
        <v>0.998</v>
      </c>
      <c r="D9699" s="51">
        <v>70.0</v>
      </c>
      <c r="E9699" s="52" t="s">
        <v>25</v>
      </c>
      <c r="F9699" s="52" t="s">
        <v>26</v>
      </c>
      <c r="G9699" s="54"/>
    </row>
    <row r="9700">
      <c r="A9700" s="49">
        <v>45123.05782666667</v>
      </c>
      <c r="B9700" s="50">
        <v>45123.1828062847</v>
      </c>
      <c r="C9700" s="51">
        <v>0.999</v>
      </c>
      <c r="D9700" s="51">
        <v>70.0</v>
      </c>
      <c r="E9700" s="52" t="s">
        <v>25</v>
      </c>
      <c r="F9700" s="52" t="s">
        <v>26</v>
      </c>
      <c r="G9700" s="54"/>
    </row>
    <row r="9701">
      <c r="A9701" s="49">
        <v>45123.06825837963</v>
      </c>
      <c r="B9701" s="50">
        <v>45123.1932276157</v>
      </c>
      <c r="C9701" s="51">
        <v>0.999</v>
      </c>
      <c r="D9701" s="51">
        <v>70.0</v>
      </c>
      <c r="E9701" s="52" t="s">
        <v>25</v>
      </c>
      <c r="F9701" s="52" t="s">
        <v>26</v>
      </c>
      <c r="G9701" s="54"/>
    </row>
    <row r="9702">
      <c r="A9702" s="49">
        <v>45123.07867028935</v>
      </c>
      <c r="B9702" s="50">
        <v>45123.2036489467</v>
      </c>
      <c r="C9702" s="51">
        <v>0.999</v>
      </c>
      <c r="D9702" s="51">
        <v>70.0</v>
      </c>
      <c r="E9702" s="52" t="s">
        <v>25</v>
      </c>
      <c r="F9702" s="52" t="s">
        <v>26</v>
      </c>
      <c r="G9702" s="54"/>
    </row>
    <row r="9703">
      <c r="A9703" s="49">
        <v>45123.08910873842</v>
      </c>
      <c r="B9703" s="50">
        <v>45123.2140831828</v>
      </c>
      <c r="C9703" s="51">
        <v>0.999</v>
      </c>
      <c r="D9703" s="51">
        <v>70.0</v>
      </c>
      <c r="E9703" s="52" t="s">
        <v>25</v>
      </c>
      <c r="F9703" s="52" t="s">
        <v>26</v>
      </c>
      <c r="G9703" s="54"/>
    </row>
    <row r="9704">
      <c r="A9704" s="49">
        <v>45123.09952416667</v>
      </c>
      <c r="B9704" s="50">
        <v>45123.2245038078</v>
      </c>
      <c r="C9704" s="51">
        <v>0.999</v>
      </c>
      <c r="D9704" s="51">
        <v>70.0</v>
      </c>
      <c r="E9704" s="52" t="s">
        <v>25</v>
      </c>
      <c r="F9704" s="52" t="s">
        <v>26</v>
      </c>
      <c r="G9704" s="54"/>
    </row>
    <row r="9705">
      <c r="A9705" s="49">
        <v>45123.10995621528</v>
      </c>
      <c r="B9705" s="50">
        <v>45123.2349257291</v>
      </c>
      <c r="C9705" s="51">
        <v>0.999</v>
      </c>
      <c r="D9705" s="51">
        <v>70.0</v>
      </c>
      <c r="E9705" s="52" t="s">
        <v>25</v>
      </c>
      <c r="F9705" s="52" t="s">
        <v>26</v>
      </c>
      <c r="G9705" s="54"/>
    </row>
    <row r="9706">
      <c r="A9706" s="49">
        <v>45123.12037586806</v>
      </c>
      <c r="B9706" s="50">
        <v>45123.2453467708</v>
      </c>
      <c r="C9706" s="51">
        <v>0.999</v>
      </c>
      <c r="D9706" s="51">
        <v>70.0</v>
      </c>
      <c r="E9706" s="52" t="s">
        <v>25</v>
      </c>
      <c r="F9706" s="52" t="s">
        <v>26</v>
      </c>
      <c r="G9706" s="54"/>
    </row>
    <row r="9707">
      <c r="A9707" s="49">
        <v>45123.13079131945</v>
      </c>
      <c r="B9707" s="50">
        <v>45123.2557682523</v>
      </c>
      <c r="C9707" s="51">
        <v>0.999</v>
      </c>
      <c r="D9707" s="51">
        <v>70.0</v>
      </c>
      <c r="E9707" s="52" t="s">
        <v>25</v>
      </c>
      <c r="F9707" s="52" t="s">
        <v>26</v>
      </c>
      <c r="G9707" s="54"/>
    </row>
    <row r="9708">
      <c r="A9708" s="49">
        <v>45123.141218993056</v>
      </c>
      <c r="B9708" s="50">
        <v>45123.2661896296</v>
      </c>
      <c r="C9708" s="51">
        <v>0.999</v>
      </c>
      <c r="D9708" s="51">
        <v>70.0</v>
      </c>
      <c r="E9708" s="52" t="s">
        <v>25</v>
      </c>
      <c r="F9708" s="52" t="s">
        <v>26</v>
      </c>
      <c r="G9708" s="54"/>
    </row>
    <row r="9709">
      <c r="A9709" s="49">
        <v>45123.15164581018</v>
      </c>
      <c r="B9709" s="50">
        <v>45123.2766230092</v>
      </c>
      <c r="C9709" s="51">
        <v>0.999</v>
      </c>
      <c r="D9709" s="51">
        <v>71.0</v>
      </c>
      <c r="E9709" s="52" t="s">
        <v>25</v>
      </c>
      <c r="F9709" s="52" t="s">
        <v>26</v>
      </c>
      <c r="G9709" s="54"/>
    </row>
    <row r="9710">
      <c r="A9710" s="49">
        <v>45123.16206486111</v>
      </c>
      <c r="B9710" s="50">
        <v>45123.2870424884</v>
      </c>
      <c r="C9710" s="51">
        <v>0.999</v>
      </c>
      <c r="D9710" s="51">
        <v>71.0</v>
      </c>
      <c r="E9710" s="52" t="s">
        <v>25</v>
      </c>
      <c r="F9710" s="52" t="s">
        <v>26</v>
      </c>
      <c r="G9710" s="54"/>
    </row>
    <row r="9711">
      <c r="A9711" s="49">
        <v>45123.17249185185</v>
      </c>
      <c r="B9711" s="50">
        <v>45123.2974629513</v>
      </c>
      <c r="C9711" s="51">
        <v>0.999</v>
      </c>
      <c r="D9711" s="51">
        <v>70.0</v>
      </c>
      <c r="E9711" s="52" t="s">
        <v>25</v>
      </c>
      <c r="F9711" s="52" t="s">
        <v>26</v>
      </c>
      <c r="G9711" s="54"/>
    </row>
    <row r="9712">
      <c r="A9712" s="49">
        <v>45123.18292196759</v>
      </c>
      <c r="B9712" s="50">
        <v>45123.3078965393</v>
      </c>
      <c r="C9712" s="51">
        <v>0.999</v>
      </c>
      <c r="D9712" s="51">
        <v>70.0</v>
      </c>
      <c r="E9712" s="52" t="s">
        <v>25</v>
      </c>
      <c r="F9712" s="52" t="s">
        <v>26</v>
      </c>
      <c r="G9712" s="54"/>
    </row>
    <row r="9713">
      <c r="A9713" s="49">
        <v>45123.19336034722</v>
      </c>
      <c r="B9713" s="50">
        <v>45123.3183394213</v>
      </c>
      <c r="C9713" s="51">
        <v>0.999</v>
      </c>
      <c r="D9713" s="51">
        <v>71.0</v>
      </c>
      <c r="E9713" s="52" t="s">
        <v>25</v>
      </c>
      <c r="F9713" s="52" t="s">
        <v>26</v>
      </c>
      <c r="G9713" s="54"/>
    </row>
    <row r="9714">
      <c r="A9714" s="49">
        <v>45123.203815636574</v>
      </c>
      <c r="B9714" s="50">
        <v>45123.3287851041</v>
      </c>
      <c r="C9714" s="51">
        <v>0.999</v>
      </c>
      <c r="D9714" s="51">
        <v>71.0</v>
      </c>
      <c r="E9714" s="52" t="s">
        <v>25</v>
      </c>
      <c r="F9714" s="52" t="s">
        <v>26</v>
      </c>
      <c r="G9714" s="54"/>
    </row>
    <row r="9715">
      <c r="A9715" s="49">
        <v>45123.2142409838</v>
      </c>
      <c r="B9715" s="50">
        <v>45123.3392168865</v>
      </c>
      <c r="C9715" s="51">
        <v>0.999</v>
      </c>
      <c r="D9715" s="51">
        <v>71.0</v>
      </c>
      <c r="E9715" s="52" t="s">
        <v>25</v>
      </c>
      <c r="F9715" s="52" t="s">
        <v>26</v>
      </c>
      <c r="G9715" s="54"/>
    </row>
    <row r="9716">
      <c r="A9716" s="49">
        <v>45123.22466798611</v>
      </c>
      <c r="B9716" s="50">
        <v>45123.3496376967</v>
      </c>
      <c r="C9716" s="51">
        <v>0.999</v>
      </c>
      <c r="D9716" s="51">
        <v>70.0</v>
      </c>
      <c r="E9716" s="52" t="s">
        <v>25</v>
      </c>
      <c r="F9716" s="52" t="s">
        <v>26</v>
      </c>
      <c r="G9716" s="54"/>
    </row>
    <row r="9717">
      <c r="A9717" s="49">
        <v>45123.23508322917</v>
      </c>
      <c r="B9717" s="50">
        <v>45123.3600586805</v>
      </c>
      <c r="C9717" s="51">
        <v>0.999</v>
      </c>
      <c r="D9717" s="51">
        <v>71.0</v>
      </c>
      <c r="E9717" s="52" t="s">
        <v>25</v>
      </c>
      <c r="F9717" s="52" t="s">
        <v>26</v>
      </c>
      <c r="G9717" s="54"/>
    </row>
    <row r="9718">
      <c r="A9718" s="49">
        <v>45123.2455208912</v>
      </c>
      <c r="B9718" s="50">
        <v>45123.3704904745</v>
      </c>
      <c r="C9718" s="51">
        <v>0.999</v>
      </c>
      <c r="D9718" s="51">
        <v>71.0</v>
      </c>
      <c r="E9718" s="52" t="s">
        <v>25</v>
      </c>
      <c r="F9718" s="52" t="s">
        <v>26</v>
      </c>
      <c r="G9718" s="54"/>
    </row>
    <row r="9719">
      <c r="A9719" s="49">
        <v>45123.25593888889</v>
      </c>
      <c r="B9719" s="50">
        <v>45123.38091125</v>
      </c>
      <c r="C9719" s="51">
        <v>0.999</v>
      </c>
      <c r="D9719" s="51">
        <v>71.0</v>
      </c>
      <c r="E9719" s="52" t="s">
        <v>25</v>
      </c>
      <c r="F9719" s="52" t="s">
        <v>26</v>
      </c>
      <c r="G9719" s="54"/>
    </row>
    <row r="9720">
      <c r="A9720" s="49">
        <v>45123.26636620371</v>
      </c>
      <c r="B9720" s="50">
        <v>45123.3913336226</v>
      </c>
      <c r="C9720" s="51">
        <v>0.999</v>
      </c>
      <c r="D9720" s="51">
        <v>70.0</v>
      </c>
      <c r="E9720" s="52" t="s">
        <v>25</v>
      </c>
      <c r="F9720" s="52" t="s">
        <v>26</v>
      </c>
      <c r="G9720" s="54"/>
    </row>
    <row r="9721">
      <c r="A9721" s="49">
        <v>45123.27678206019</v>
      </c>
      <c r="B9721" s="50">
        <v>45123.4017536574</v>
      </c>
      <c r="C9721" s="51">
        <v>0.999</v>
      </c>
      <c r="D9721" s="51">
        <v>71.0</v>
      </c>
      <c r="E9721" s="52" t="s">
        <v>25</v>
      </c>
      <c r="F9721" s="52" t="s">
        <v>26</v>
      </c>
      <c r="G9721" s="54"/>
    </row>
    <row r="9722">
      <c r="A9722" s="49">
        <v>45123.28720153935</v>
      </c>
      <c r="B9722" s="50">
        <v>45123.4121769444</v>
      </c>
      <c r="C9722" s="51">
        <v>0.999</v>
      </c>
      <c r="D9722" s="51">
        <v>71.0</v>
      </c>
      <c r="E9722" s="52" t="s">
        <v>25</v>
      </c>
      <c r="F9722" s="52" t="s">
        <v>26</v>
      </c>
      <c r="G9722" s="54"/>
    </row>
    <row r="9723">
      <c r="A9723" s="49">
        <v>45123.29762471065</v>
      </c>
      <c r="B9723" s="50">
        <v>45123.4225971412</v>
      </c>
      <c r="C9723" s="51">
        <v>0.999</v>
      </c>
      <c r="D9723" s="51">
        <v>71.0</v>
      </c>
      <c r="E9723" s="52" t="s">
        <v>25</v>
      </c>
      <c r="F9723" s="52" t="s">
        <v>26</v>
      </c>
      <c r="G9723" s="54"/>
    </row>
    <row r="9724">
      <c r="A9724" s="49">
        <v>45123.30804539352</v>
      </c>
      <c r="B9724" s="50">
        <v>45123.4330194791</v>
      </c>
      <c r="C9724" s="51">
        <v>0.999</v>
      </c>
      <c r="D9724" s="51">
        <v>71.0</v>
      </c>
      <c r="E9724" s="52" t="s">
        <v>25</v>
      </c>
      <c r="F9724" s="52" t="s">
        <v>26</v>
      </c>
      <c r="G9724" s="54"/>
    </row>
    <row r="9725">
      <c r="A9725" s="49">
        <v>45123.31847619213</v>
      </c>
      <c r="B9725" s="50">
        <v>45123.4434408101</v>
      </c>
      <c r="C9725" s="51">
        <v>0.999</v>
      </c>
      <c r="D9725" s="51">
        <v>71.0</v>
      </c>
      <c r="E9725" s="52" t="s">
        <v>25</v>
      </c>
      <c r="F9725" s="52" t="s">
        <v>26</v>
      </c>
      <c r="G9725" s="54"/>
    </row>
    <row r="9726">
      <c r="A9726" s="49">
        <v>45123.328907083334</v>
      </c>
      <c r="B9726" s="50">
        <v>45123.4538721875</v>
      </c>
      <c r="C9726" s="51">
        <v>0.999</v>
      </c>
      <c r="D9726" s="51">
        <v>71.0</v>
      </c>
      <c r="E9726" s="52" t="s">
        <v>25</v>
      </c>
      <c r="F9726" s="52" t="s">
        <v>26</v>
      </c>
      <c r="G9726" s="54"/>
    </row>
    <row r="9727">
      <c r="A9727" s="49">
        <v>45123.339324155095</v>
      </c>
      <c r="B9727" s="50">
        <v>45123.4642939583</v>
      </c>
      <c r="C9727" s="51">
        <v>0.999</v>
      </c>
      <c r="D9727" s="51">
        <v>71.0</v>
      </c>
      <c r="E9727" s="52" t="s">
        <v>25</v>
      </c>
      <c r="F9727" s="52" t="s">
        <v>26</v>
      </c>
      <c r="G9727" s="54"/>
    </row>
    <row r="9728">
      <c r="A9728" s="49">
        <v>45123.349745706015</v>
      </c>
      <c r="B9728" s="50">
        <v>45123.4747149189</v>
      </c>
      <c r="C9728" s="51">
        <v>0.999</v>
      </c>
      <c r="D9728" s="51">
        <v>71.0</v>
      </c>
      <c r="E9728" s="52" t="s">
        <v>25</v>
      </c>
      <c r="F9728" s="52" t="s">
        <v>26</v>
      </c>
      <c r="G9728" s="54"/>
    </row>
    <row r="9729">
      <c r="A9729" s="49">
        <v>45123.3603543287</v>
      </c>
      <c r="B9729" s="50">
        <v>45123.4851343055</v>
      </c>
      <c r="C9729" s="51">
        <v>0.999</v>
      </c>
      <c r="D9729" s="51">
        <v>71.0</v>
      </c>
      <c r="E9729" s="52" t="s">
        <v>25</v>
      </c>
      <c r="F9729" s="52" t="s">
        <v>26</v>
      </c>
      <c r="G9729" s="54"/>
    </row>
    <row r="9730">
      <c r="A9730" s="49">
        <v>45123.3705828588</v>
      </c>
      <c r="B9730" s="50">
        <v>45123.4955548611</v>
      </c>
      <c r="C9730" s="51">
        <v>0.999</v>
      </c>
      <c r="D9730" s="51">
        <v>71.0</v>
      </c>
      <c r="E9730" s="52" t="s">
        <v>25</v>
      </c>
      <c r="F9730" s="52" t="s">
        <v>26</v>
      </c>
      <c r="G9730" s="54"/>
    </row>
    <row r="9731">
      <c r="A9731" s="49">
        <v>45123.381010474535</v>
      </c>
      <c r="B9731" s="50">
        <v>45123.5059785995</v>
      </c>
      <c r="C9731" s="51">
        <v>0.999</v>
      </c>
      <c r="D9731" s="51">
        <v>71.0</v>
      </c>
      <c r="E9731" s="52" t="s">
        <v>25</v>
      </c>
      <c r="F9731" s="52" t="s">
        <v>26</v>
      </c>
      <c r="G9731" s="54"/>
    </row>
    <row r="9732">
      <c r="A9732" s="49">
        <v>45123.391439259256</v>
      </c>
      <c r="B9732" s="50">
        <v>45123.5164105671</v>
      </c>
      <c r="C9732" s="51">
        <v>0.999</v>
      </c>
      <c r="D9732" s="51">
        <v>71.0</v>
      </c>
      <c r="E9732" s="52" t="s">
        <v>25</v>
      </c>
      <c r="F9732" s="52" t="s">
        <v>26</v>
      </c>
      <c r="G9732" s="54"/>
    </row>
    <row r="9733">
      <c r="A9733" s="49">
        <v>45123.401881342594</v>
      </c>
      <c r="B9733" s="50">
        <v>45123.5268442824</v>
      </c>
      <c r="C9733" s="51">
        <v>0.999</v>
      </c>
      <c r="D9733" s="51">
        <v>71.0</v>
      </c>
      <c r="E9733" s="52" t="s">
        <v>25</v>
      </c>
      <c r="F9733" s="52" t="s">
        <v>26</v>
      </c>
      <c r="G9733" s="54"/>
    </row>
    <row r="9734">
      <c r="A9734" s="49">
        <v>45123.41231053241</v>
      </c>
      <c r="B9734" s="50">
        <v>45123.5372781365</v>
      </c>
      <c r="C9734" s="51">
        <v>0.999</v>
      </c>
      <c r="D9734" s="51">
        <v>71.0</v>
      </c>
      <c r="E9734" s="52" t="s">
        <v>25</v>
      </c>
      <c r="F9734" s="52" t="s">
        <v>26</v>
      </c>
      <c r="G9734" s="54"/>
    </row>
    <row r="9735">
      <c r="A9735" s="49">
        <v>45123.422732604166</v>
      </c>
      <c r="B9735" s="50">
        <v>45123.5477097801</v>
      </c>
      <c r="C9735" s="51">
        <v>0.998</v>
      </c>
      <c r="D9735" s="51">
        <v>70.0</v>
      </c>
      <c r="E9735" s="52" t="s">
        <v>25</v>
      </c>
      <c r="F9735" s="52" t="s">
        <v>26</v>
      </c>
      <c r="G9735" s="54"/>
    </row>
    <row r="9736">
      <c r="A9736" s="49">
        <v>45123.433157754625</v>
      </c>
      <c r="B9736" s="50">
        <v>45123.5581312384</v>
      </c>
      <c r="C9736" s="51">
        <v>0.999</v>
      </c>
      <c r="D9736" s="51">
        <v>71.0</v>
      </c>
      <c r="E9736" s="52" t="s">
        <v>25</v>
      </c>
      <c r="F9736" s="52" t="s">
        <v>26</v>
      </c>
      <c r="G9736" s="54"/>
    </row>
    <row r="9737">
      <c r="A9737" s="49">
        <v>45123.443586284724</v>
      </c>
      <c r="B9737" s="50">
        <v>45123.5685528935</v>
      </c>
      <c r="C9737" s="51">
        <v>0.999</v>
      </c>
      <c r="D9737" s="51">
        <v>71.0</v>
      </c>
      <c r="E9737" s="52" t="s">
        <v>25</v>
      </c>
      <c r="F9737" s="52" t="s">
        <v>26</v>
      </c>
      <c r="G9737" s="54"/>
    </row>
    <row r="9738">
      <c r="A9738" s="49">
        <v>45123.454009050925</v>
      </c>
      <c r="B9738" s="50">
        <v>45123.5789739583</v>
      </c>
      <c r="C9738" s="51">
        <v>0.999</v>
      </c>
      <c r="D9738" s="51">
        <v>71.0</v>
      </c>
      <c r="E9738" s="52" t="s">
        <v>25</v>
      </c>
      <c r="F9738" s="52" t="s">
        <v>26</v>
      </c>
      <c r="G9738" s="54"/>
    </row>
    <row r="9739">
      <c r="A9739" s="49">
        <v>45123.46442596064</v>
      </c>
      <c r="B9739" s="50">
        <v>45123.5894062037</v>
      </c>
      <c r="C9739" s="51">
        <v>0.999</v>
      </c>
      <c r="D9739" s="51">
        <v>71.0</v>
      </c>
      <c r="E9739" s="52" t="s">
        <v>25</v>
      </c>
      <c r="F9739" s="52" t="s">
        <v>26</v>
      </c>
      <c r="G9739" s="54"/>
    </row>
    <row r="9740">
      <c r="A9740" s="49">
        <v>45123.47484949074</v>
      </c>
      <c r="B9740" s="50">
        <v>45123.5998275463</v>
      </c>
      <c r="C9740" s="51">
        <v>0.999</v>
      </c>
      <c r="D9740" s="51">
        <v>71.0</v>
      </c>
      <c r="E9740" s="52" t="s">
        <v>25</v>
      </c>
      <c r="F9740" s="52" t="s">
        <v>26</v>
      </c>
      <c r="G9740" s="54"/>
    </row>
    <row r="9741">
      <c r="A9741" s="49">
        <v>45123.48528114583</v>
      </c>
      <c r="B9741" s="50">
        <v>45123.6102491088</v>
      </c>
      <c r="C9741" s="51">
        <v>0.999</v>
      </c>
      <c r="D9741" s="51">
        <v>71.0</v>
      </c>
      <c r="E9741" s="52" t="s">
        <v>25</v>
      </c>
      <c r="F9741" s="52" t="s">
        <v>26</v>
      </c>
      <c r="G9741" s="54"/>
    </row>
    <row r="9742">
      <c r="A9742" s="49">
        <v>45123.49569649306</v>
      </c>
      <c r="B9742" s="50">
        <v>45123.6206690393</v>
      </c>
      <c r="C9742" s="51">
        <v>0.999</v>
      </c>
      <c r="D9742" s="51">
        <v>71.0</v>
      </c>
      <c r="E9742" s="52" t="s">
        <v>25</v>
      </c>
      <c r="F9742" s="52" t="s">
        <v>26</v>
      </c>
      <c r="G9742" s="54"/>
    </row>
    <row r="9743">
      <c r="A9743" s="49">
        <v>45123.50612853009</v>
      </c>
      <c r="B9743" s="50">
        <v>45123.6311022916</v>
      </c>
      <c r="C9743" s="51">
        <v>0.999</v>
      </c>
      <c r="D9743" s="51">
        <v>71.0</v>
      </c>
      <c r="E9743" s="52" t="s">
        <v>25</v>
      </c>
      <c r="F9743" s="52" t="s">
        <v>26</v>
      </c>
      <c r="G9743" s="54"/>
    </row>
    <row r="9744">
      <c r="A9744" s="49">
        <v>45123.51655864583</v>
      </c>
      <c r="B9744" s="50">
        <v>45123.641523912</v>
      </c>
      <c r="C9744" s="51">
        <v>0.999</v>
      </c>
      <c r="D9744" s="51">
        <v>71.0</v>
      </c>
      <c r="E9744" s="52" t="s">
        <v>25</v>
      </c>
      <c r="F9744" s="52" t="s">
        <v>26</v>
      </c>
      <c r="G9744" s="54"/>
    </row>
    <row r="9745">
      <c r="A9745" s="49">
        <v>45123.52697208333</v>
      </c>
      <c r="B9745" s="50">
        <v>45123.6519459606</v>
      </c>
      <c r="C9745" s="51">
        <v>0.999</v>
      </c>
      <c r="D9745" s="51">
        <v>71.0</v>
      </c>
      <c r="E9745" s="52" t="s">
        <v>25</v>
      </c>
      <c r="F9745" s="52" t="s">
        <v>26</v>
      </c>
      <c r="G9745" s="54"/>
    </row>
    <row r="9746">
      <c r="A9746" s="49">
        <v>45123.53739888889</v>
      </c>
      <c r="B9746" s="50">
        <v>45123.6623670601</v>
      </c>
      <c r="C9746" s="51">
        <v>0.999</v>
      </c>
      <c r="D9746" s="51">
        <v>71.0</v>
      </c>
      <c r="E9746" s="52" t="s">
        <v>25</v>
      </c>
      <c r="F9746" s="52" t="s">
        <v>26</v>
      </c>
      <c r="G9746" s="54"/>
    </row>
    <row r="9747">
      <c r="A9747" s="49">
        <v>45123.54782782408</v>
      </c>
      <c r="B9747" s="50">
        <v>45123.6727995949</v>
      </c>
      <c r="C9747" s="51">
        <v>0.999</v>
      </c>
      <c r="D9747" s="51">
        <v>71.0</v>
      </c>
      <c r="E9747" s="52" t="s">
        <v>25</v>
      </c>
      <c r="F9747" s="52" t="s">
        <v>26</v>
      </c>
      <c r="G9747" s="54"/>
    </row>
    <row r="9748">
      <c r="A9748" s="49">
        <v>45123.55824515046</v>
      </c>
      <c r="B9748" s="50">
        <v>45123.6832198148</v>
      </c>
      <c r="C9748" s="51">
        <v>0.999</v>
      </c>
      <c r="D9748" s="51">
        <v>71.0</v>
      </c>
      <c r="E9748" s="52" t="s">
        <v>25</v>
      </c>
      <c r="F9748" s="52" t="s">
        <v>26</v>
      </c>
      <c r="G9748" s="54"/>
    </row>
    <row r="9749">
      <c r="A9749" s="49">
        <v>45123.568662418984</v>
      </c>
      <c r="B9749" s="50">
        <v>45123.6936405208</v>
      </c>
      <c r="C9749" s="51">
        <v>0.999</v>
      </c>
      <c r="D9749" s="51">
        <v>71.0</v>
      </c>
      <c r="E9749" s="52" t="s">
        <v>25</v>
      </c>
      <c r="F9749" s="52" t="s">
        <v>26</v>
      </c>
      <c r="G9749" s="54"/>
    </row>
    <row r="9750">
      <c r="A9750" s="49">
        <v>45123.57910258102</v>
      </c>
      <c r="B9750" s="50">
        <v>45123.7040730787</v>
      </c>
      <c r="C9750" s="51">
        <v>0.999</v>
      </c>
      <c r="D9750" s="51">
        <v>71.0</v>
      </c>
      <c r="E9750" s="52" t="s">
        <v>25</v>
      </c>
      <c r="F9750" s="52" t="s">
        <v>26</v>
      </c>
      <c r="G9750" s="54"/>
    </row>
    <row r="9751">
      <c r="A9751" s="49">
        <v>45123.58951925926</v>
      </c>
      <c r="B9751" s="50">
        <v>45123.7144948263</v>
      </c>
      <c r="C9751" s="51">
        <v>0.999</v>
      </c>
      <c r="D9751" s="51">
        <v>71.0</v>
      </c>
      <c r="E9751" s="52" t="s">
        <v>25</v>
      </c>
      <c r="F9751" s="52" t="s">
        <v>26</v>
      </c>
      <c r="G9751" s="54"/>
    </row>
    <row r="9752">
      <c r="A9752" s="49">
        <v>45123.599939004635</v>
      </c>
      <c r="B9752" s="50">
        <v>45123.7249151273</v>
      </c>
      <c r="C9752" s="51">
        <v>0.999</v>
      </c>
      <c r="D9752" s="51">
        <v>70.0</v>
      </c>
      <c r="E9752" s="52" t="s">
        <v>25</v>
      </c>
      <c r="F9752" s="52" t="s">
        <v>26</v>
      </c>
      <c r="G9752" s="54"/>
    </row>
    <row r="9753">
      <c r="A9753" s="49">
        <v>45123.61036918982</v>
      </c>
      <c r="B9753" s="50">
        <v>45123.7353372569</v>
      </c>
      <c r="C9753" s="51">
        <v>0.999</v>
      </c>
      <c r="D9753" s="51">
        <v>70.0</v>
      </c>
      <c r="E9753" s="52" t="s">
        <v>25</v>
      </c>
      <c r="F9753" s="52" t="s">
        <v>26</v>
      </c>
      <c r="G9753" s="54"/>
    </row>
    <row r="9754">
      <c r="A9754" s="49">
        <v>45123.62080965278</v>
      </c>
      <c r="B9754" s="50">
        <v>45123.7457813425</v>
      </c>
      <c r="C9754" s="51">
        <v>0.999</v>
      </c>
      <c r="D9754" s="51">
        <v>71.0</v>
      </c>
      <c r="E9754" s="52" t="s">
        <v>25</v>
      </c>
      <c r="F9754" s="52" t="s">
        <v>26</v>
      </c>
      <c r="G9754" s="54"/>
    </row>
    <row r="9755">
      <c r="A9755" s="49">
        <v>45123.63123896991</v>
      </c>
      <c r="B9755" s="50">
        <v>45123.7562126736</v>
      </c>
      <c r="C9755" s="51">
        <v>0.999</v>
      </c>
      <c r="D9755" s="51">
        <v>71.0</v>
      </c>
      <c r="E9755" s="52" t="s">
        <v>25</v>
      </c>
      <c r="F9755" s="52" t="s">
        <v>26</v>
      </c>
      <c r="G9755" s="54"/>
    </row>
    <row r="9756">
      <c r="A9756" s="49">
        <v>45123.641660381945</v>
      </c>
      <c r="B9756" s="50">
        <v>45123.7666335648</v>
      </c>
      <c r="C9756" s="51">
        <v>0.999</v>
      </c>
      <c r="D9756" s="51">
        <v>71.0</v>
      </c>
      <c r="E9756" s="52" t="s">
        <v>25</v>
      </c>
      <c r="F9756" s="52" t="s">
        <v>26</v>
      </c>
      <c r="G9756" s="54"/>
    </row>
    <row r="9757">
      <c r="A9757" s="49">
        <v>45123.652081712964</v>
      </c>
      <c r="B9757" s="50">
        <v>45123.7770531944</v>
      </c>
      <c r="C9757" s="51">
        <v>0.999</v>
      </c>
      <c r="D9757" s="51">
        <v>70.0</v>
      </c>
      <c r="E9757" s="52" t="s">
        <v>25</v>
      </c>
      <c r="F9757" s="52" t="s">
        <v>26</v>
      </c>
      <c r="G9757" s="54"/>
    </row>
    <row r="9758">
      <c r="A9758" s="49">
        <v>45123.66250172454</v>
      </c>
      <c r="B9758" s="50">
        <v>45123.7874729166</v>
      </c>
      <c r="C9758" s="51">
        <v>0.999</v>
      </c>
      <c r="D9758" s="51">
        <v>70.0</v>
      </c>
      <c r="E9758" s="52" t="s">
        <v>25</v>
      </c>
      <c r="F9758" s="52" t="s">
        <v>26</v>
      </c>
      <c r="G9758" s="54"/>
    </row>
    <row r="9759">
      <c r="A9759" s="49">
        <v>45123.67294899306</v>
      </c>
      <c r="B9759" s="50">
        <v>45123.7979297222</v>
      </c>
      <c r="C9759" s="51">
        <v>0.999</v>
      </c>
      <c r="D9759" s="51">
        <v>71.0</v>
      </c>
      <c r="E9759" s="52" t="s">
        <v>25</v>
      </c>
      <c r="F9759" s="52" t="s">
        <v>26</v>
      </c>
      <c r="G9759" s="54"/>
    </row>
    <row r="9760">
      <c r="A9760" s="49">
        <v>45123.68340318287</v>
      </c>
      <c r="B9760" s="50">
        <v>45123.8083734606</v>
      </c>
      <c r="C9760" s="51">
        <v>0.999</v>
      </c>
      <c r="D9760" s="51">
        <v>70.0</v>
      </c>
      <c r="E9760" s="52" t="s">
        <v>25</v>
      </c>
      <c r="F9760" s="52" t="s">
        <v>26</v>
      </c>
      <c r="G9760" s="54"/>
    </row>
    <row r="9761">
      <c r="A9761" s="49">
        <v>45123.69381704861</v>
      </c>
      <c r="B9761" s="50">
        <v>45123.8187950462</v>
      </c>
      <c r="C9761" s="51">
        <v>0.999</v>
      </c>
      <c r="D9761" s="51">
        <v>70.0</v>
      </c>
      <c r="E9761" s="52" t="s">
        <v>25</v>
      </c>
      <c r="F9761" s="52" t="s">
        <v>26</v>
      </c>
      <c r="G9761" s="54"/>
    </row>
    <row r="9762">
      <c r="A9762" s="49">
        <v>45123.70424929398</v>
      </c>
      <c r="B9762" s="50">
        <v>45123.8292165277</v>
      </c>
      <c r="C9762" s="51">
        <v>0.999</v>
      </c>
      <c r="D9762" s="51">
        <v>70.0</v>
      </c>
      <c r="E9762" s="52" t="s">
        <v>25</v>
      </c>
      <c r="F9762" s="52" t="s">
        <v>26</v>
      </c>
      <c r="G9762" s="54"/>
    </row>
    <row r="9763">
      <c r="A9763" s="49">
        <v>45123.71466376157</v>
      </c>
      <c r="B9763" s="50">
        <v>45123.8396368287</v>
      </c>
      <c r="C9763" s="51">
        <v>0.999</v>
      </c>
      <c r="D9763" s="51">
        <v>70.0</v>
      </c>
      <c r="E9763" s="52" t="s">
        <v>25</v>
      </c>
      <c r="F9763" s="52" t="s">
        <v>26</v>
      </c>
      <c r="G9763" s="54"/>
    </row>
    <row r="9764">
      <c r="A9764" s="49">
        <v>45123.725083136575</v>
      </c>
      <c r="B9764" s="50">
        <v>45123.850057743</v>
      </c>
      <c r="C9764" s="51">
        <v>0.999</v>
      </c>
      <c r="D9764" s="51">
        <v>70.0</v>
      </c>
      <c r="E9764" s="52" t="s">
        <v>25</v>
      </c>
      <c r="F9764" s="52" t="s">
        <v>26</v>
      </c>
      <c r="G9764" s="54"/>
    </row>
    <row r="9765">
      <c r="A9765" s="49">
        <v>45123.735524918986</v>
      </c>
      <c r="B9765" s="50">
        <v>45123.860490405</v>
      </c>
      <c r="C9765" s="51">
        <v>0.999</v>
      </c>
      <c r="D9765" s="51">
        <v>70.0</v>
      </c>
      <c r="E9765" s="52" t="s">
        <v>25</v>
      </c>
      <c r="F9765" s="52" t="s">
        <v>26</v>
      </c>
      <c r="G9765" s="54"/>
    </row>
    <row r="9766">
      <c r="A9766" s="49">
        <v>45123.74595429398</v>
      </c>
      <c r="B9766" s="50">
        <v>45123.8709245486</v>
      </c>
      <c r="C9766" s="51">
        <v>0.999</v>
      </c>
      <c r="D9766" s="51">
        <v>70.0</v>
      </c>
      <c r="E9766" s="52" t="s">
        <v>25</v>
      </c>
      <c r="F9766" s="52" t="s">
        <v>26</v>
      </c>
      <c r="G9766" s="54"/>
    </row>
    <row r="9767">
      <c r="A9767" s="49">
        <v>45123.75637795139</v>
      </c>
      <c r="B9767" s="50">
        <v>45123.8813451157</v>
      </c>
      <c r="C9767" s="51">
        <v>0.999</v>
      </c>
      <c r="D9767" s="51">
        <v>70.0</v>
      </c>
      <c r="E9767" s="52" t="s">
        <v>25</v>
      </c>
      <c r="F9767" s="52" t="s">
        <v>26</v>
      </c>
      <c r="G9767" s="54"/>
    </row>
    <row r="9768">
      <c r="A9768" s="49">
        <v>45123.766813877315</v>
      </c>
      <c r="B9768" s="50">
        <v>45123.8917906944</v>
      </c>
      <c r="C9768" s="51">
        <v>0.999</v>
      </c>
      <c r="D9768" s="51">
        <v>71.0</v>
      </c>
      <c r="E9768" s="52" t="s">
        <v>25</v>
      </c>
      <c r="F9768" s="52" t="s">
        <v>26</v>
      </c>
      <c r="G9768" s="54"/>
    </row>
    <row r="9769">
      <c r="A9769" s="49">
        <v>45123.77725449074</v>
      </c>
      <c r="B9769" s="50">
        <v>45123.902224155</v>
      </c>
      <c r="C9769" s="51">
        <v>0.999</v>
      </c>
      <c r="D9769" s="51">
        <v>70.0</v>
      </c>
      <c r="E9769" s="52" t="s">
        <v>25</v>
      </c>
      <c r="F9769" s="52" t="s">
        <v>26</v>
      </c>
      <c r="G9769" s="54"/>
    </row>
    <row r="9770">
      <c r="A9770" s="49">
        <v>45123.787673935185</v>
      </c>
      <c r="B9770" s="50">
        <v>45123.9126447338</v>
      </c>
      <c r="C9770" s="51">
        <v>0.999</v>
      </c>
      <c r="D9770" s="51">
        <v>70.0</v>
      </c>
      <c r="E9770" s="52" t="s">
        <v>25</v>
      </c>
      <c r="F9770" s="52" t="s">
        <v>26</v>
      </c>
      <c r="G9770" s="54"/>
    </row>
    <row r="9771">
      <c r="A9771" s="49">
        <v>45123.798085787035</v>
      </c>
      <c r="B9771" s="50">
        <v>45123.9230653819</v>
      </c>
      <c r="C9771" s="51">
        <v>0.999</v>
      </c>
      <c r="D9771" s="51">
        <v>70.0</v>
      </c>
      <c r="E9771" s="52" t="s">
        <v>25</v>
      </c>
      <c r="F9771" s="52" t="s">
        <v>26</v>
      </c>
      <c r="G9771" s="54"/>
    </row>
    <row r="9772">
      <c r="A9772" s="49">
        <v>45123.80851695602</v>
      </c>
      <c r="B9772" s="50">
        <v>45123.9334883333</v>
      </c>
      <c r="C9772" s="51">
        <v>0.999</v>
      </c>
      <c r="D9772" s="51">
        <v>70.0</v>
      </c>
      <c r="E9772" s="52" t="s">
        <v>25</v>
      </c>
      <c r="F9772" s="52" t="s">
        <v>26</v>
      </c>
      <c r="G9772" s="54"/>
    </row>
    <row r="9773">
      <c r="A9773" s="49">
        <v>45123.818938310185</v>
      </c>
      <c r="B9773" s="50">
        <v>45123.9439099768</v>
      </c>
      <c r="C9773" s="51">
        <v>0.999</v>
      </c>
      <c r="D9773" s="51">
        <v>70.0</v>
      </c>
      <c r="E9773" s="52" t="s">
        <v>25</v>
      </c>
      <c r="F9773" s="52" t="s">
        <v>26</v>
      </c>
      <c r="G9773" s="54"/>
    </row>
    <row r="9774">
      <c r="A9774" s="49">
        <v>45123.82935339121</v>
      </c>
      <c r="B9774" s="50">
        <v>45123.9543295486</v>
      </c>
      <c r="C9774" s="51">
        <v>0.999</v>
      </c>
      <c r="D9774" s="51">
        <v>70.0</v>
      </c>
      <c r="E9774" s="52" t="s">
        <v>25</v>
      </c>
      <c r="F9774" s="52" t="s">
        <v>26</v>
      </c>
      <c r="G9774" s="54"/>
    </row>
    <row r="9775">
      <c r="A9775" s="49">
        <v>45123.83977060185</v>
      </c>
      <c r="B9775" s="50">
        <v>45123.9647519907</v>
      </c>
      <c r="C9775" s="51">
        <v>0.999</v>
      </c>
      <c r="D9775" s="51">
        <v>70.0</v>
      </c>
      <c r="E9775" s="52" t="s">
        <v>25</v>
      </c>
      <c r="F9775" s="52" t="s">
        <v>26</v>
      </c>
      <c r="G9775" s="54"/>
    </row>
    <row r="9776">
      <c r="A9776" s="49">
        <v>45123.85020234954</v>
      </c>
      <c r="B9776" s="50">
        <v>45123.9751723148</v>
      </c>
      <c r="C9776" s="51">
        <v>0.999</v>
      </c>
      <c r="D9776" s="51">
        <v>71.0</v>
      </c>
      <c r="E9776" s="52" t="s">
        <v>25</v>
      </c>
      <c r="F9776" s="52" t="s">
        <v>26</v>
      </c>
      <c r="G9776" s="54"/>
    </row>
    <row r="9777">
      <c r="A9777" s="49">
        <v>45123.8606169213</v>
      </c>
      <c r="B9777" s="50">
        <v>45123.9855935763</v>
      </c>
      <c r="C9777" s="51">
        <v>0.999</v>
      </c>
      <c r="D9777" s="51">
        <v>70.0</v>
      </c>
      <c r="E9777" s="52" t="s">
        <v>25</v>
      </c>
      <c r="F9777" s="52" t="s">
        <v>26</v>
      </c>
      <c r="G9777" s="54"/>
    </row>
    <row r="9778">
      <c r="A9778" s="49">
        <v>45123.871042997685</v>
      </c>
      <c r="B9778" s="50">
        <v>45123.996013912</v>
      </c>
      <c r="C9778" s="51">
        <v>0.999</v>
      </c>
      <c r="D9778" s="51">
        <v>70.0</v>
      </c>
      <c r="E9778" s="52" t="s">
        <v>25</v>
      </c>
      <c r="F9778" s="52" t="s">
        <v>26</v>
      </c>
      <c r="G9778" s="54"/>
    </row>
    <row r="9779">
      <c r="A9779" s="49">
        <v>45123.881459027776</v>
      </c>
      <c r="B9779" s="50">
        <v>45124.0064344791</v>
      </c>
      <c r="C9779" s="51">
        <v>0.999</v>
      </c>
      <c r="D9779" s="51">
        <v>71.0</v>
      </c>
      <c r="E9779" s="52" t="s">
        <v>25</v>
      </c>
      <c r="F9779" s="52" t="s">
        <v>26</v>
      </c>
      <c r="G9779" s="54"/>
    </row>
    <row r="9780">
      <c r="A9780" s="49">
        <v>45123.89189842592</v>
      </c>
      <c r="B9780" s="50">
        <v>45124.0168663078</v>
      </c>
      <c r="C9780" s="51">
        <v>0.999</v>
      </c>
      <c r="D9780" s="51">
        <v>71.0</v>
      </c>
      <c r="E9780" s="52" t="s">
        <v>25</v>
      </c>
      <c r="F9780" s="52" t="s">
        <v>26</v>
      </c>
      <c r="G9780" s="54"/>
    </row>
    <row r="9781">
      <c r="A9781" s="49">
        <v>45123.90231452546</v>
      </c>
      <c r="B9781" s="50">
        <v>45124.0272862615</v>
      </c>
      <c r="C9781" s="51">
        <v>0.999</v>
      </c>
      <c r="D9781" s="51">
        <v>70.0</v>
      </c>
      <c r="E9781" s="52" t="s">
        <v>25</v>
      </c>
      <c r="F9781" s="52" t="s">
        <v>26</v>
      </c>
      <c r="G9781" s="54"/>
    </row>
    <row r="9782">
      <c r="A9782" s="49">
        <v>45123.91273722222</v>
      </c>
      <c r="B9782" s="50">
        <v>45124.0377074305</v>
      </c>
      <c r="C9782" s="51">
        <v>0.999</v>
      </c>
      <c r="D9782" s="51">
        <v>70.0</v>
      </c>
      <c r="E9782" s="52" t="s">
        <v>25</v>
      </c>
      <c r="F9782" s="52" t="s">
        <v>26</v>
      </c>
      <c r="G9782" s="54"/>
    </row>
    <row r="9783">
      <c r="A9783" s="49">
        <v>45123.92315011574</v>
      </c>
      <c r="B9783" s="50">
        <v>45124.0481288541</v>
      </c>
      <c r="C9783" s="51">
        <v>0.999</v>
      </c>
      <c r="D9783" s="51">
        <v>71.0</v>
      </c>
      <c r="E9783" s="52" t="s">
        <v>25</v>
      </c>
      <c r="F9783" s="52" t="s">
        <v>26</v>
      </c>
      <c r="G9783" s="54"/>
    </row>
    <row r="9784">
      <c r="A9784" s="49">
        <v>45123.93360063658</v>
      </c>
      <c r="B9784" s="50">
        <v>45124.0585726041</v>
      </c>
      <c r="C9784" s="51">
        <v>0.999</v>
      </c>
      <c r="D9784" s="51">
        <v>71.0</v>
      </c>
      <c r="E9784" s="52" t="s">
        <v>25</v>
      </c>
      <c r="F9784" s="52" t="s">
        <v>26</v>
      </c>
      <c r="G9784" s="54"/>
    </row>
    <row r="9785">
      <c r="A9785" s="49">
        <v>45123.94402061343</v>
      </c>
      <c r="B9785" s="50">
        <v>45124.0689938773</v>
      </c>
      <c r="C9785" s="51">
        <v>0.999</v>
      </c>
      <c r="D9785" s="51">
        <v>71.0</v>
      </c>
      <c r="E9785" s="52" t="s">
        <v>25</v>
      </c>
      <c r="F9785" s="52" t="s">
        <v>26</v>
      </c>
      <c r="G9785" s="54"/>
    </row>
    <row r="9786">
      <c r="A9786" s="49">
        <v>45123.954441215275</v>
      </c>
      <c r="B9786" s="50">
        <v>45124.0794156597</v>
      </c>
      <c r="C9786" s="51">
        <v>0.999</v>
      </c>
      <c r="D9786" s="51">
        <v>71.0</v>
      </c>
      <c r="E9786" s="52" t="s">
        <v>25</v>
      </c>
      <c r="F9786" s="52" t="s">
        <v>26</v>
      </c>
      <c r="G9786" s="54"/>
    </row>
    <row r="9787">
      <c r="A9787" s="49">
        <v>45123.96485895834</v>
      </c>
      <c r="B9787" s="50">
        <v>45124.0898376736</v>
      </c>
      <c r="C9787" s="51">
        <v>0.999</v>
      </c>
      <c r="D9787" s="51">
        <v>71.0</v>
      </c>
      <c r="E9787" s="52" t="s">
        <v>25</v>
      </c>
      <c r="F9787" s="52" t="s">
        <v>26</v>
      </c>
      <c r="G9787" s="54"/>
    </row>
    <row r="9788">
      <c r="A9788" s="49">
        <v>45123.97530090278</v>
      </c>
      <c r="B9788" s="50">
        <v>45124.1002710995</v>
      </c>
      <c r="C9788" s="51">
        <v>0.999</v>
      </c>
      <c r="D9788" s="51">
        <v>71.0</v>
      </c>
      <c r="E9788" s="52" t="s">
        <v>25</v>
      </c>
      <c r="F9788" s="52" t="s">
        <v>26</v>
      </c>
      <c r="G9788" s="54"/>
    </row>
    <row r="9789">
      <c r="A9789" s="49">
        <v>45123.985727824074</v>
      </c>
      <c r="B9789" s="50">
        <v>45124.1106923032</v>
      </c>
      <c r="C9789" s="51">
        <v>0.999</v>
      </c>
      <c r="D9789" s="51">
        <v>71.0</v>
      </c>
      <c r="E9789" s="52" t="s">
        <v>25</v>
      </c>
      <c r="F9789" s="52" t="s">
        <v>26</v>
      </c>
      <c r="G9789" s="54"/>
    </row>
    <row r="9790">
      <c r="A9790" s="49">
        <v>45123.99614716435</v>
      </c>
      <c r="B9790" s="50">
        <v>45124.1211260301</v>
      </c>
      <c r="C9790" s="51">
        <v>0.999</v>
      </c>
      <c r="D9790" s="51">
        <v>71.0</v>
      </c>
      <c r="E9790" s="52" t="s">
        <v>25</v>
      </c>
      <c r="F9790" s="52" t="s">
        <v>26</v>
      </c>
      <c r="G9790" s="54"/>
    </row>
    <row r="9791">
      <c r="A9791" s="49">
        <v>45124.00657405093</v>
      </c>
      <c r="B9791" s="50">
        <v>45124.1315475578</v>
      </c>
      <c r="C9791" s="51">
        <v>0.999</v>
      </c>
      <c r="D9791" s="51">
        <v>71.0</v>
      </c>
      <c r="E9791" s="52" t="s">
        <v>25</v>
      </c>
      <c r="F9791" s="52" t="s">
        <v>26</v>
      </c>
      <c r="G9791" s="54"/>
    </row>
    <row r="9792">
      <c r="A9792" s="49">
        <v>45124.016992453704</v>
      </c>
      <c r="B9792" s="50">
        <v>45124.1419678703</v>
      </c>
      <c r="C9792" s="51">
        <v>0.999</v>
      </c>
      <c r="D9792" s="51">
        <v>71.0</v>
      </c>
      <c r="E9792" s="52" t="s">
        <v>25</v>
      </c>
      <c r="F9792" s="52" t="s">
        <v>26</v>
      </c>
      <c r="G9792" s="54"/>
    </row>
    <row r="9793">
      <c r="A9793" s="49">
        <v>45124.027413958334</v>
      </c>
      <c r="B9793" s="50">
        <v>45124.1523879976</v>
      </c>
      <c r="C9793" s="51">
        <v>0.998</v>
      </c>
      <c r="D9793" s="51">
        <v>71.0</v>
      </c>
      <c r="E9793" s="52" t="s">
        <v>25</v>
      </c>
      <c r="F9793" s="52" t="s">
        <v>26</v>
      </c>
      <c r="G9793" s="54"/>
    </row>
    <row r="9794">
      <c r="A9794" s="49">
        <v>45124.03783951389</v>
      </c>
      <c r="B9794" s="50">
        <v>45124.1628088541</v>
      </c>
      <c r="C9794" s="51">
        <v>0.999</v>
      </c>
      <c r="D9794" s="51">
        <v>71.0</v>
      </c>
      <c r="E9794" s="52" t="s">
        <v>25</v>
      </c>
      <c r="F9794" s="52" t="s">
        <v>26</v>
      </c>
      <c r="G9794" s="54"/>
    </row>
    <row r="9795">
      <c r="A9795" s="49">
        <v>45124.04827297454</v>
      </c>
      <c r="B9795" s="50">
        <v>45124.1732412962</v>
      </c>
      <c r="C9795" s="51">
        <v>0.999</v>
      </c>
      <c r="D9795" s="51">
        <v>71.0</v>
      </c>
      <c r="E9795" s="52" t="s">
        <v>25</v>
      </c>
      <c r="F9795" s="52" t="s">
        <v>26</v>
      </c>
      <c r="G9795" s="54"/>
    </row>
    <row r="9796">
      <c r="A9796" s="49">
        <v>45124.058712708334</v>
      </c>
      <c r="B9796" s="50">
        <v>45124.1836854051</v>
      </c>
      <c r="C9796" s="51">
        <v>0.999</v>
      </c>
      <c r="D9796" s="51">
        <v>71.0</v>
      </c>
      <c r="E9796" s="52" t="s">
        <v>25</v>
      </c>
      <c r="F9796" s="52" t="s">
        <v>26</v>
      </c>
      <c r="G9796" s="54"/>
    </row>
    <row r="9797">
      <c r="A9797" s="49">
        <v>45124.06912476852</v>
      </c>
      <c r="B9797" s="50">
        <v>45124.1941061458</v>
      </c>
      <c r="C9797" s="51">
        <v>0.999</v>
      </c>
      <c r="D9797" s="51">
        <v>71.0</v>
      </c>
      <c r="E9797" s="52" t="s">
        <v>25</v>
      </c>
      <c r="F9797" s="52" t="s">
        <v>26</v>
      </c>
      <c r="G9797" s="54"/>
    </row>
    <row r="9798">
      <c r="A9798" s="49">
        <v>45124.07955310185</v>
      </c>
      <c r="B9798" s="50">
        <v>45124.204527905</v>
      </c>
      <c r="C9798" s="51">
        <v>0.999</v>
      </c>
      <c r="D9798" s="51">
        <v>71.0</v>
      </c>
      <c r="E9798" s="52" t="s">
        <v>25</v>
      </c>
      <c r="F9798" s="52" t="s">
        <v>26</v>
      </c>
      <c r="G9798" s="54"/>
    </row>
    <row r="9799">
      <c r="A9799" s="49">
        <v>45124.08998603009</v>
      </c>
      <c r="B9799" s="50">
        <v>45124.2149601967</v>
      </c>
      <c r="C9799" s="51">
        <v>0.999</v>
      </c>
      <c r="D9799" s="51">
        <v>71.0</v>
      </c>
      <c r="E9799" s="52" t="s">
        <v>25</v>
      </c>
      <c r="F9799" s="52" t="s">
        <v>26</v>
      </c>
      <c r="G9799" s="54"/>
    </row>
    <row r="9800">
      <c r="A9800" s="49">
        <v>45124.10041547454</v>
      </c>
      <c r="B9800" s="50">
        <v>45124.2253818865</v>
      </c>
      <c r="C9800" s="51">
        <v>0.999</v>
      </c>
      <c r="D9800" s="51">
        <v>71.0</v>
      </c>
      <c r="E9800" s="52" t="s">
        <v>25</v>
      </c>
      <c r="F9800" s="52" t="s">
        <v>26</v>
      </c>
      <c r="G9800" s="54"/>
    </row>
    <row r="9801">
      <c r="A9801" s="49">
        <v>45124.110835300926</v>
      </c>
      <c r="B9801" s="50">
        <v>45124.2358021875</v>
      </c>
      <c r="C9801" s="51">
        <v>0.999</v>
      </c>
      <c r="D9801" s="51">
        <v>71.0</v>
      </c>
      <c r="E9801" s="52" t="s">
        <v>25</v>
      </c>
      <c r="F9801" s="52" t="s">
        <v>26</v>
      </c>
      <c r="G9801" s="54"/>
    </row>
    <row r="9802">
      <c r="A9802" s="49">
        <v>45124.121255509264</v>
      </c>
      <c r="B9802" s="50">
        <v>45124.2462231944</v>
      </c>
      <c r="C9802" s="51">
        <v>0.999</v>
      </c>
      <c r="D9802" s="51">
        <v>71.0</v>
      </c>
      <c r="E9802" s="52" t="s">
        <v>25</v>
      </c>
      <c r="F9802" s="52" t="s">
        <v>26</v>
      </c>
      <c r="G9802" s="54"/>
    </row>
    <row r="9803">
      <c r="A9803" s="49">
        <v>45124.13166712963</v>
      </c>
      <c r="B9803" s="50">
        <v>45124.2566442129</v>
      </c>
      <c r="C9803" s="51">
        <v>0.999</v>
      </c>
      <c r="D9803" s="51">
        <v>71.0</v>
      </c>
      <c r="E9803" s="52" t="s">
        <v>25</v>
      </c>
      <c r="F9803" s="52" t="s">
        <v>26</v>
      </c>
      <c r="G9803" s="54"/>
    </row>
    <row r="9804">
      <c r="A9804" s="49">
        <v>45124.14209811343</v>
      </c>
      <c r="B9804" s="50">
        <v>45124.2670771064</v>
      </c>
      <c r="C9804" s="51">
        <v>0.999</v>
      </c>
      <c r="D9804" s="51">
        <v>71.0</v>
      </c>
      <c r="E9804" s="52" t="s">
        <v>25</v>
      </c>
      <c r="F9804" s="52" t="s">
        <v>26</v>
      </c>
      <c r="G9804" s="54"/>
    </row>
    <row r="9805">
      <c r="A9805" s="49">
        <v>45124.152524351855</v>
      </c>
      <c r="B9805" s="50">
        <v>45124.2774988541</v>
      </c>
      <c r="C9805" s="51">
        <v>0.999</v>
      </c>
      <c r="D9805" s="51">
        <v>71.0</v>
      </c>
      <c r="E9805" s="52" t="s">
        <v>25</v>
      </c>
      <c r="F9805" s="52" t="s">
        <v>26</v>
      </c>
      <c r="G9805" s="54"/>
    </row>
    <row r="9806">
      <c r="A9806" s="49">
        <v>45124.16294978009</v>
      </c>
      <c r="B9806" s="50">
        <v>45124.2879200231</v>
      </c>
      <c r="C9806" s="51">
        <v>0.999</v>
      </c>
      <c r="D9806" s="51">
        <v>71.0</v>
      </c>
      <c r="E9806" s="52" t="s">
        <v>25</v>
      </c>
      <c r="F9806" s="52" t="s">
        <v>26</v>
      </c>
      <c r="G9806" s="54"/>
    </row>
    <row r="9807">
      <c r="A9807" s="49">
        <v>45124.17336927084</v>
      </c>
      <c r="B9807" s="50">
        <v>45124.298338206</v>
      </c>
      <c r="C9807" s="51">
        <v>0.999</v>
      </c>
      <c r="D9807" s="51">
        <v>71.0</v>
      </c>
      <c r="E9807" s="52" t="s">
        <v>25</v>
      </c>
      <c r="F9807" s="52" t="s">
        <v>26</v>
      </c>
      <c r="G9807" s="54"/>
    </row>
    <row r="9808">
      <c r="A9808" s="49">
        <v>45124.183789884264</v>
      </c>
      <c r="B9808" s="50">
        <v>45124.3087587152</v>
      </c>
      <c r="C9808" s="51">
        <v>0.999</v>
      </c>
      <c r="D9808" s="51">
        <v>71.0</v>
      </c>
      <c r="E9808" s="52" t="s">
        <v>25</v>
      </c>
      <c r="F9808" s="52" t="s">
        <v>26</v>
      </c>
      <c r="G9808" s="54"/>
    </row>
    <row r="9809">
      <c r="A9809" s="49">
        <v>45124.19420450232</v>
      </c>
      <c r="B9809" s="50">
        <v>45124.3191814236</v>
      </c>
      <c r="C9809" s="51">
        <v>0.999</v>
      </c>
      <c r="D9809" s="51">
        <v>71.0</v>
      </c>
      <c r="E9809" s="52" t="s">
        <v>25</v>
      </c>
      <c r="F9809" s="52" t="s">
        <v>26</v>
      </c>
      <c r="G9809" s="54"/>
    </row>
    <row r="9810">
      <c r="A9810" s="49">
        <v>45124.20463936342</v>
      </c>
      <c r="B9810" s="50">
        <v>45124.3296048032</v>
      </c>
      <c r="C9810" s="51">
        <v>0.999</v>
      </c>
      <c r="D9810" s="51">
        <v>71.0</v>
      </c>
      <c r="E9810" s="52" t="s">
        <v>25</v>
      </c>
      <c r="F9810" s="52" t="s">
        <v>26</v>
      </c>
      <c r="G9810" s="54"/>
    </row>
    <row r="9811">
      <c r="A9811" s="49">
        <v>45124.215066226854</v>
      </c>
      <c r="B9811" s="50">
        <v>45124.3400366898</v>
      </c>
      <c r="C9811" s="51">
        <v>0.999</v>
      </c>
      <c r="D9811" s="51">
        <v>71.0</v>
      </c>
      <c r="E9811" s="52" t="s">
        <v>25</v>
      </c>
      <c r="F9811" s="52" t="s">
        <v>26</v>
      </c>
      <c r="G9811" s="54"/>
    </row>
    <row r="9812">
      <c r="A9812" s="49">
        <v>45124.22549454861</v>
      </c>
      <c r="B9812" s="50">
        <v>45124.3504593171</v>
      </c>
      <c r="C9812" s="51">
        <v>0.999</v>
      </c>
      <c r="D9812" s="51">
        <v>71.0</v>
      </c>
      <c r="E9812" s="52" t="s">
        <v>25</v>
      </c>
      <c r="F9812" s="52" t="s">
        <v>26</v>
      </c>
      <c r="G9812" s="54"/>
    </row>
    <row r="9813">
      <c r="A9813" s="49">
        <v>45124.23590759259</v>
      </c>
      <c r="B9813" s="50">
        <v>45124.3608792013</v>
      </c>
      <c r="C9813" s="51">
        <v>0.999</v>
      </c>
      <c r="D9813" s="51">
        <v>71.0</v>
      </c>
      <c r="E9813" s="52" t="s">
        <v>25</v>
      </c>
      <c r="F9813" s="52" t="s">
        <v>26</v>
      </c>
      <c r="G9813" s="54"/>
    </row>
    <row r="9814">
      <c r="A9814" s="49">
        <v>45124.24635528935</v>
      </c>
      <c r="B9814" s="50">
        <v>45124.3713233333</v>
      </c>
      <c r="C9814" s="51">
        <v>0.999</v>
      </c>
      <c r="D9814" s="51">
        <v>71.0</v>
      </c>
      <c r="E9814" s="52" t="s">
        <v>25</v>
      </c>
      <c r="F9814" s="52" t="s">
        <v>26</v>
      </c>
      <c r="G9814" s="54"/>
    </row>
    <row r="9815">
      <c r="A9815" s="49">
        <v>45124.256778587966</v>
      </c>
      <c r="B9815" s="50">
        <v>45124.3817441435</v>
      </c>
      <c r="C9815" s="51">
        <v>0.999</v>
      </c>
      <c r="D9815" s="51">
        <v>71.0</v>
      </c>
      <c r="E9815" s="52" t="s">
        <v>25</v>
      </c>
      <c r="F9815" s="52" t="s">
        <v>26</v>
      </c>
      <c r="G9815" s="54"/>
    </row>
    <row r="9816">
      <c r="A9816" s="49">
        <v>45124.267200347225</v>
      </c>
      <c r="B9816" s="50">
        <v>45124.3921656018</v>
      </c>
      <c r="C9816" s="51">
        <v>0.999</v>
      </c>
      <c r="D9816" s="51">
        <v>71.0</v>
      </c>
      <c r="E9816" s="52" t="s">
        <v>25</v>
      </c>
      <c r="F9816" s="52" t="s">
        <v>26</v>
      </c>
      <c r="G9816" s="54"/>
    </row>
    <row r="9817">
      <c r="A9817" s="49">
        <v>45124.27761722222</v>
      </c>
      <c r="B9817" s="50">
        <v>45124.4025864236</v>
      </c>
      <c r="C9817" s="51">
        <v>0.999</v>
      </c>
      <c r="D9817" s="51">
        <v>71.0</v>
      </c>
      <c r="E9817" s="52" t="s">
        <v>25</v>
      </c>
      <c r="F9817" s="52" t="s">
        <v>26</v>
      </c>
      <c r="G9817" s="54"/>
    </row>
    <row r="9818">
      <c r="A9818" s="49">
        <v>45124.2880521412</v>
      </c>
      <c r="B9818" s="50">
        <v>45124.413018912</v>
      </c>
      <c r="C9818" s="51">
        <v>0.999</v>
      </c>
      <c r="D9818" s="51">
        <v>71.0</v>
      </c>
      <c r="E9818" s="52" t="s">
        <v>25</v>
      </c>
      <c r="F9818" s="52" t="s">
        <v>26</v>
      </c>
      <c r="G9818" s="54"/>
    </row>
    <row r="9819">
      <c r="A9819" s="49">
        <v>45124.29847545139</v>
      </c>
      <c r="B9819" s="50">
        <v>45124.4234424999</v>
      </c>
      <c r="C9819" s="51">
        <v>0.999</v>
      </c>
      <c r="D9819" s="51">
        <v>71.0</v>
      </c>
      <c r="E9819" s="52" t="s">
        <v>25</v>
      </c>
      <c r="F9819" s="52" t="s">
        <v>26</v>
      </c>
      <c r="G9819" s="54"/>
    </row>
    <row r="9820">
      <c r="A9820" s="49">
        <v>45124.308887418985</v>
      </c>
      <c r="B9820" s="50">
        <v>45124.4338633101</v>
      </c>
      <c r="C9820" s="51">
        <v>0.999</v>
      </c>
      <c r="D9820" s="51">
        <v>71.0</v>
      </c>
      <c r="E9820" s="52" t="s">
        <v>25</v>
      </c>
      <c r="F9820" s="52" t="s">
        <v>26</v>
      </c>
      <c r="G9820" s="54"/>
    </row>
    <row r="9821">
      <c r="A9821" s="49">
        <v>45124.31932981481</v>
      </c>
      <c r="B9821" s="50">
        <v>45124.4442960532</v>
      </c>
      <c r="C9821" s="51">
        <v>0.999</v>
      </c>
      <c r="D9821" s="51">
        <v>71.0</v>
      </c>
      <c r="E9821" s="52" t="s">
        <v>25</v>
      </c>
      <c r="F9821" s="52" t="s">
        <v>26</v>
      </c>
      <c r="G9821" s="54"/>
    </row>
    <row r="9822">
      <c r="A9822" s="49">
        <v>45124.32976528935</v>
      </c>
      <c r="B9822" s="50">
        <v>45124.4547171527</v>
      </c>
      <c r="C9822" s="51">
        <v>0.999</v>
      </c>
      <c r="D9822" s="51">
        <v>71.0</v>
      </c>
      <c r="E9822" s="52" t="s">
        <v>25</v>
      </c>
      <c r="F9822" s="52" t="s">
        <v>26</v>
      </c>
      <c r="G9822" s="54"/>
    </row>
    <row r="9823">
      <c r="A9823" s="49">
        <v>45124.34016599537</v>
      </c>
      <c r="B9823" s="50">
        <v>45124.4651375</v>
      </c>
      <c r="C9823" s="51">
        <v>0.999</v>
      </c>
      <c r="D9823" s="51">
        <v>71.0</v>
      </c>
      <c r="E9823" s="52" t="s">
        <v>25</v>
      </c>
      <c r="F9823" s="52" t="s">
        <v>26</v>
      </c>
      <c r="G9823" s="54"/>
    </row>
    <row r="9824">
      <c r="A9824" s="49">
        <v>45124.350594965275</v>
      </c>
      <c r="B9824" s="50">
        <v>45124.4755607986</v>
      </c>
      <c r="C9824" s="51">
        <v>0.999</v>
      </c>
      <c r="D9824" s="51">
        <v>71.0</v>
      </c>
      <c r="E9824" s="52" t="s">
        <v>25</v>
      </c>
      <c r="F9824" s="52" t="s">
        <v>26</v>
      </c>
      <c r="G9824" s="54"/>
    </row>
    <row r="9825">
      <c r="A9825" s="49">
        <v>45124.36100431713</v>
      </c>
      <c r="B9825" s="50">
        <v>45124.4859817129</v>
      </c>
      <c r="C9825" s="51">
        <v>0.999</v>
      </c>
      <c r="D9825" s="51">
        <v>71.0</v>
      </c>
      <c r="E9825" s="52" t="s">
        <v>25</v>
      </c>
      <c r="F9825" s="52" t="s">
        <v>26</v>
      </c>
      <c r="G9825" s="54"/>
    </row>
    <row r="9826">
      <c r="A9826" s="49">
        <v>45124.37143010416</v>
      </c>
      <c r="B9826" s="50">
        <v>45124.4964021527</v>
      </c>
      <c r="C9826" s="51">
        <v>0.998</v>
      </c>
      <c r="D9826" s="51">
        <v>71.0</v>
      </c>
      <c r="E9826" s="52" t="s">
        <v>25</v>
      </c>
      <c r="F9826" s="52" t="s">
        <v>26</v>
      </c>
      <c r="G9826" s="54"/>
    </row>
    <row r="9827">
      <c r="A9827" s="49">
        <v>45124.38185130787</v>
      </c>
      <c r="B9827" s="50">
        <v>45124.5068221759</v>
      </c>
      <c r="C9827" s="51">
        <v>0.999</v>
      </c>
      <c r="D9827" s="51">
        <v>71.0</v>
      </c>
      <c r="E9827" s="52" t="s">
        <v>25</v>
      </c>
      <c r="F9827" s="52" t="s">
        <v>26</v>
      </c>
      <c r="G9827" s="54"/>
    </row>
    <row r="9828">
      <c r="A9828" s="49">
        <v>45124.39228167824</v>
      </c>
      <c r="B9828" s="50">
        <v>45124.517254456</v>
      </c>
      <c r="C9828" s="51">
        <v>0.999</v>
      </c>
      <c r="D9828" s="51">
        <v>71.0</v>
      </c>
      <c r="E9828" s="52" t="s">
        <v>25</v>
      </c>
      <c r="F9828" s="52" t="s">
        <v>26</v>
      </c>
      <c r="G9828" s="54"/>
    </row>
    <row r="9829">
      <c r="A9829" s="49">
        <v>45124.40270605324</v>
      </c>
      <c r="B9829" s="50">
        <v>45124.5276774884</v>
      </c>
      <c r="C9829" s="51">
        <v>0.999</v>
      </c>
      <c r="D9829" s="51">
        <v>71.0</v>
      </c>
      <c r="E9829" s="52" t="s">
        <v>25</v>
      </c>
      <c r="F9829" s="52" t="s">
        <v>26</v>
      </c>
      <c r="G9829" s="54"/>
    </row>
    <row r="9830">
      <c r="A9830" s="49">
        <v>45124.41313497685</v>
      </c>
      <c r="B9830" s="50">
        <v>45124.5380979745</v>
      </c>
      <c r="C9830" s="51">
        <v>0.999</v>
      </c>
      <c r="D9830" s="51">
        <v>71.0</v>
      </c>
      <c r="E9830" s="52" t="s">
        <v>25</v>
      </c>
      <c r="F9830" s="52" t="s">
        <v>26</v>
      </c>
      <c r="G9830" s="54"/>
    </row>
    <row r="9831">
      <c r="A9831" s="49">
        <v>45124.4235491088</v>
      </c>
      <c r="B9831" s="50">
        <v>45124.5485180324</v>
      </c>
      <c r="C9831" s="51">
        <v>0.999</v>
      </c>
      <c r="D9831" s="51">
        <v>71.0</v>
      </c>
      <c r="E9831" s="52" t="s">
        <v>25</v>
      </c>
      <c r="F9831" s="52" t="s">
        <v>26</v>
      </c>
      <c r="G9831" s="54"/>
    </row>
    <row r="9832">
      <c r="A9832" s="49">
        <v>45124.43396951389</v>
      </c>
      <c r="B9832" s="50">
        <v>45124.5589397106</v>
      </c>
      <c r="C9832" s="51">
        <v>0.999</v>
      </c>
      <c r="D9832" s="51">
        <v>71.0</v>
      </c>
      <c r="E9832" s="52" t="s">
        <v>25</v>
      </c>
      <c r="F9832" s="52" t="s">
        <v>26</v>
      </c>
      <c r="G9832" s="54"/>
    </row>
    <row r="9833">
      <c r="A9833" s="49">
        <v>45124.44440328704</v>
      </c>
      <c r="B9833" s="50">
        <v>45124.5693701967</v>
      </c>
      <c r="C9833" s="51">
        <v>0.999</v>
      </c>
      <c r="D9833" s="51">
        <v>71.0</v>
      </c>
      <c r="E9833" s="52" t="s">
        <v>25</v>
      </c>
      <c r="F9833" s="52" t="s">
        <v>26</v>
      </c>
      <c r="G9833" s="54"/>
    </row>
    <row r="9834">
      <c r="A9834" s="49">
        <v>45124.454826608795</v>
      </c>
      <c r="B9834" s="50">
        <v>45124.5797925463</v>
      </c>
      <c r="C9834" s="51">
        <v>0.999</v>
      </c>
      <c r="D9834" s="51">
        <v>71.0</v>
      </c>
      <c r="E9834" s="52" t="s">
        <v>25</v>
      </c>
      <c r="F9834" s="52" t="s">
        <v>26</v>
      </c>
      <c r="G9834" s="54"/>
    </row>
    <row r="9835">
      <c r="A9835" s="49">
        <v>45124.46523741898</v>
      </c>
      <c r="B9835" s="50">
        <v>45124.5902142592</v>
      </c>
      <c r="C9835" s="51">
        <v>0.999</v>
      </c>
      <c r="D9835" s="51">
        <v>71.0</v>
      </c>
      <c r="E9835" s="52" t="s">
        <v>25</v>
      </c>
      <c r="F9835" s="52" t="s">
        <v>26</v>
      </c>
      <c r="G9835" s="54"/>
    </row>
    <row r="9836">
      <c r="A9836" s="49">
        <v>45124.47566546296</v>
      </c>
      <c r="B9836" s="50">
        <v>45124.6006361574</v>
      </c>
      <c r="C9836" s="51">
        <v>0.999</v>
      </c>
      <c r="D9836" s="51">
        <v>71.0</v>
      </c>
      <c r="E9836" s="52" t="s">
        <v>25</v>
      </c>
      <c r="F9836" s="52" t="s">
        <v>26</v>
      </c>
      <c r="G9836" s="54"/>
    </row>
    <row r="9837">
      <c r="A9837" s="49">
        <v>45124.48609284722</v>
      </c>
      <c r="B9837" s="50">
        <v>45124.6110676273</v>
      </c>
      <c r="C9837" s="51">
        <v>0.999</v>
      </c>
      <c r="D9837" s="51">
        <v>71.0</v>
      </c>
      <c r="E9837" s="52" t="s">
        <v>25</v>
      </c>
      <c r="F9837" s="52" t="s">
        <v>26</v>
      </c>
      <c r="G9837" s="54"/>
    </row>
    <row r="9838">
      <c r="A9838" s="49">
        <v>45124.49652542824</v>
      </c>
      <c r="B9838" s="50">
        <v>45124.6214906018</v>
      </c>
      <c r="C9838" s="51">
        <v>0.999</v>
      </c>
      <c r="D9838" s="51">
        <v>71.0</v>
      </c>
      <c r="E9838" s="52" t="s">
        <v>25</v>
      </c>
      <c r="F9838" s="52" t="s">
        <v>26</v>
      </c>
      <c r="G9838" s="54"/>
    </row>
    <row r="9839">
      <c r="A9839" s="49">
        <v>45124.50693927083</v>
      </c>
      <c r="B9839" s="50">
        <v>45124.6319130671</v>
      </c>
      <c r="C9839" s="51">
        <v>0.999</v>
      </c>
      <c r="D9839" s="51">
        <v>71.0</v>
      </c>
      <c r="E9839" s="52" t="s">
        <v>25</v>
      </c>
      <c r="F9839" s="52" t="s">
        <v>26</v>
      </c>
      <c r="G9839" s="54"/>
    </row>
    <row r="9840">
      <c r="A9840" s="49">
        <v>45124.51736861111</v>
      </c>
      <c r="B9840" s="50">
        <v>45124.6423331481</v>
      </c>
      <c r="C9840" s="51">
        <v>0.999</v>
      </c>
      <c r="D9840" s="51">
        <v>71.0</v>
      </c>
      <c r="E9840" s="52" t="s">
        <v>25</v>
      </c>
      <c r="F9840" s="52" t="s">
        <v>26</v>
      </c>
      <c r="G9840" s="54"/>
    </row>
    <row r="9841">
      <c r="A9841" s="49">
        <v>45124.52780085648</v>
      </c>
      <c r="B9841" s="50">
        <v>45124.6527670023</v>
      </c>
      <c r="C9841" s="51">
        <v>0.999</v>
      </c>
      <c r="D9841" s="51">
        <v>71.0</v>
      </c>
      <c r="E9841" s="52" t="s">
        <v>25</v>
      </c>
      <c r="F9841" s="52" t="s">
        <v>26</v>
      </c>
      <c r="G9841" s="54"/>
    </row>
    <row r="9842">
      <c r="A9842" s="49">
        <v>45124.53820974537</v>
      </c>
      <c r="B9842" s="50">
        <v>45124.6631875463</v>
      </c>
      <c r="C9842" s="51">
        <v>0.999</v>
      </c>
      <c r="D9842" s="51">
        <v>71.0</v>
      </c>
      <c r="E9842" s="52" t="s">
        <v>25</v>
      </c>
      <c r="F9842" s="52" t="s">
        <v>26</v>
      </c>
      <c r="G9842" s="54"/>
    </row>
    <row r="9843">
      <c r="A9843" s="49">
        <v>45124.54863736111</v>
      </c>
      <c r="B9843" s="50">
        <v>45124.673607037</v>
      </c>
      <c r="C9843" s="51">
        <v>0.999</v>
      </c>
      <c r="D9843" s="51">
        <v>71.0</v>
      </c>
      <c r="E9843" s="52" t="s">
        <v>25</v>
      </c>
      <c r="F9843" s="52" t="s">
        <v>26</v>
      </c>
      <c r="G9843" s="54"/>
    </row>
    <row r="9844">
      <c r="A9844" s="49">
        <v>45124.559055289355</v>
      </c>
      <c r="B9844" s="50">
        <v>45124.6840261805</v>
      </c>
      <c r="C9844" s="51">
        <v>0.999</v>
      </c>
      <c r="D9844" s="51">
        <v>71.0</v>
      </c>
      <c r="E9844" s="52" t="s">
        <v>25</v>
      </c>
      <c r="F9844" s="52" t="s">
        <v>26</v>
      </c>
      <c r="G9844" s="54"/>
    </row>
    <row r="9845">
      <c r="A9845" s="49">
        <v>45124.56947498843</v>
      </c>
      <c r="B9845" s="50">
        <v>45124.6944472453</v>
      </c>
      <c r="C9845" s="51">
        <v>0.999</v>
      </c>
      <c r="D9845" s="51">
        <v>70.0</v>
      </c>
      <c r="E9845" s="52" t="s">
        <v>25</v>
      </c>
      <c r="F9845" s="52" t="s">
        <v>26</v>
      </c>
      <c r="G9845" s="54"/>
    </row>
    <row r="9846">
      <c r="A9846" s="49">
        <v>45124.57990848379</v>
      </c>
      <c r="B9846" s="50">
        <v>45124.7048795138</v>
      </c>
      <c r="C9846" s="51">
        <v>0.999</v>
      </c>
      <c r="D9846" s="51">
        <v>70.0</v>
      </c>
      <c r="E9846" s="52" t="s">
        <v>25</v>
      </c>
      <c r="F9846" s="52" t="s">
        <v>26</v>
      </c>
      <c r="G9846" s="54"/>
    </row>
    <row r="9847">
      <c r="A9847" s="49">
        <v>45124.59033569445</v>
      </c>
      <c r="B9847" s="50">
        <v>45124.7152994907</v>
      </c>
      <c r="C9847" s="51">
        <v>0.999</v>
      </c>
      <c r="D9847" s="51">
        <v>70.0</v>
      </c>
      <c r="E9847" s="52" t="s">
        <v>25</v>
      </c>
      <c r="F9847" s="52" t="s">
        <v>26</v>
      </c>
      <c r="G9847" s="54"/>
    </row>
    <row r="9848">
      <c r="A9848" s="49">
        <v>45124.60075491898</v>
      </c>
      <c r="B9848" s="50">
        <v>45124.7257208449</v>
      </c>
      <c r="C9848" s="51">
        <v>0.999</v>
      </c>
      <c r="D9848" s="51">
        <v>70.0</v>
      </c>
      <c r="E9848" s="52" t="s">
        <v>25</v>
      </c>
      <c r="F9848" s="52" t="s">
        <v>26</v>
      </c>
      <c r="G9848" s="54"/>
    </row>
    <row r="9849">
      <c r="A9849" s="49">
        <v>45124.61119510417</v>
      </c>
      <c r="B9849" s="50">
        <v>45124.7361644907</v>
      </c>
      <c r="C9849" s="51">
        <v>0.999</v>
      </c>
      <c r="D9849" s="51">
        <v>71.0</v>
      </c>
      <c r="E9849" s="52" t="s">
        <v>25</v>
      </c>
      <c r="F9849" s="52" t="s">
        <v>26</v>
      </c>
      <c r="G9849" s="54"/>
    </row>
    <row r="9850">
      <c r="A9850" s="49">
        <v>45124.62161351852</v>
      </c>
      <c r="B9850" s="50">
        <v>45124.7465860069</v>
      </c>
      <c r="C9850" s="51">
        <v>0.999</v>
      </c>
      <c r="D9850" s="51">
        <v>70.0</v>
      </c>
      <c r="E9850" s="52" t="s">
        <v>25</v>
      </c>
      <c r="F9850" s="52" t="s">
        <v>26</v>
      </c>
      <c r="G9850" s="54"/>
    </row>
    <row r="9851">
      <c r="A9851" s="49">
        <v>45124.63207039352</v>
      </c>
      <c r="B9851" s="50">
        <v>45124.7570421412</v>
      </c>
      <c r="C9851" s="51">
        <v>0.999</v>
      </c>
      <c r="D9851" s="51">
        <v>70.0</v>
      </c>
      <c r="E9851" s="52" t="s">
        <v>25</v>
      </c>
      <c r="F9851" s="52" t="s">
        <v>26</v>
      </c>
      <c r="G9851" s="54"/>
    </row>
    <row r="9852">
      <c r="A9852" s="49">
        <v>45124.64248256944</v>
      </c>
      <c r="B9852" s="50">
        <v>45124.7674631134</v>
      </c>
      <c r="C9852" s="51">
        <v>0.999</v>
      </c>
      <c r="D9852" s="51">
        <v>70.0</v>
      </c>
      <c r="E9852" s="52" t="s">
        <v>25</v>
      </c>
      <c r="F9852" s="52" t="s">
        <v>26</v>
      </c>
      <c r="G9852" s="54"/>
    </row>
    <row r="9853">
      <c r="A9853" s="49">
        <v>45124.652940914355</v>
      </c>
      <c r="B9853" s="50">
        <v>45124.7779190856</v>
      </c>
      <c r="C9853" s="51">
        <v>0.999</v>
      </c>
      <c r="D9853" s="51">
        <v>70.0</v>
      </c>
      <c r="E9853" s="52" t="s">
        <v>25</v>
      </c>
      <c r="F9853" s="52" t="s">
        <v>26</v>
      </c>
      <c r="G9853" s="54"/>
    </row>
    <row r="9854">
      <c r="A9854" s="49">
        <v>45124.663362129635</v>
      </c>
      <c r="B9854" s="50">
        <v>45124.78834</v>
      </c>
      <c r="C9854" s="51">
        <v>0.999</v>
      </c>
      <c r="D9854" s="51">
        <v>70.0</v>
      </c>
      <c r="E9854" s="52" t="s">
        <v>25</v>
      </c>
      <c r="F9854" s="52" t="s">
        <v>26</v>
      </c>
      <c r="G9854" s="54"/>
    </row>
    <row r="9855">
      <c r="A9855" s="49">
        <v>45124.67379479167</v>
      </c>
      <c r="B9855" s="50">
        <v>45124.7987725694</v>
      </c>
      <c r="C9855" s="51">
        <v>0.999</v>
      </c>
      <c r="D9855" s="51">
        <v>70.0</v>
      </c>
      <c r="E9855" s="52" t="s">
        <v>25</v>
      </c>
      <c r="F9855" s="52" t="s">
        <v>26</v>
      </c>
      <c r="G9855" s="54"/>
    </row>
    <row r="9856">
      <c r="A9856" s="49">
        <v>45124.68422256944</v>
      </c>
      <c r="B9856" s="50">
        <v>45124.8091940509</v>
      </c>
      <c r="C9856" s="51">
        <v>0.999</v>
      </c>
      <c r="D9856" s="51">
        <v>70.0</v>
      </c>
      <c r="E9856" s="52" t="s">
        <v>25</v>
      </c>
      <c r="F9856" s="52" t="s">
        <v>26</v>
      </c>
      <c r="G9856" s="54"/>
    </row>
    <row r="9857">
      <c r="A9857" s="49">
        <v>45124.694639988425</v>
      </c>
      <c r="B9857" s="50">
        <v>45124.8196156481</v>
      </c>
      <c r="C9857" s="51">
        <v>0.999</v>
      </c>
      <c r="D9857" s="51">
        <v>71.0</v>
      </c>
      <c r="E9857" s="52" t="s">
        <v>25</v>
      </c>
      <c r="F9857" s="52" t="s">
        <v>26</v>
      </c>
      <c r="G9857" s="54"/>
    </row>
    <row r="9858">
      <c r="A9858" s="49">
        <v>45124.7050697338</v>
      </c>
      <c r="B9858" s="50">
        <v>45124.8300385879</v>
      </c>
      <c r="C9858" s="51">
        <v>0.999</v>
      </c>
      <c r="D9858" s="51">
        <v>70.0</v>
      </c>
      <c r="E9858" s="52" t="s">
        <v>25</v>
      </c>
      <c r="F9858" s="52" t="s">
        <v>26</v>
      </c>
      <c r="G9858" s="54"/>
    </row>
    <row r="9859">
      <c r="A9859" s="49">
        <v>45124.715485266206</v>
      </c>
      <c r="B9859" s="50">
        <v>45124.8404604861</v>
      </c>
      <c r="C9859" s="51">
        <v>0.999</v>
      </c>
      <c r="D9859" s="51">
        <v>70.0</v>
      </c>
      <c r="E9859" s="52" t="s">
        <v>25</v>
      </c>
      <c r="F9859" s="52" t="s">
        <v>26</v>
      </c>
      <c r="G9859" s="54"/>
    </row>
    <row r="9860">
      <c r="A9860" s="49">
        <v>45124.72590085648</v>
      </c>
      <c r="B9860" s="50">
        <v>45124.8508804282</v>
      </c>
      <c r="C9860" s="51">
        <v>0.999</v>
      </c>
      <c r="D9860" s="51">
        <v>70.0</v>
      </c>
      <c r="E9860" s="52" t="s">
        <v>25</v>
      </c>
      <c r="F9860" s="52" t="s">
        <v>26</v>
      </c>
      <c r="G9860" s="54"/>
    </row>
    <row r="9861">
      <c r="A9861" s="49">
        <v>45124.736329039355</v>
      </c>
      <c r="B9861" s="50">
        <v>45124.8613024768</v>
      </c>
      <c r="C9861" s="51">
        <v>0.999</v>
      </c>
      <c r="D9861" s="51">
        <v>71.0</v>
      </c>
      <c r="E9861" s="52" t="s">
        <v>25</v>
      </c>
      <c r="F9861" s="52" t="s">
        <v>26</v>
      </c>
      <c r="G9861" s="54"/>
    </row>
    <row r="9862">
      <c r="A9862" s="49">
        <v>45124.746829375</v>
      </c>
      <c r="B9862" s="50">
        <v>45124.8717234953</v>
      </c>
      <c r="C9862" s="51">
        <v>0.999</v>
      </c>
      <c r="D9862" s="51">
        <v>70.0</v>
      </c>
      <c r="E9862" s="52" t="s">
        <v>25</v>
      </c>
      <c r="F9862" s="52" t="s">
        <v>26</v>
      </c>
      <c r="G9862" s="54"/>
    </row>
    <row r="9863">
      <c r="A9863" s="49">
        <v>45124.75717321759</v>
      </c>
      <c r="B9863" s="50">
        <v>45124.8821446527</v>
      </c>
      <c r="C9863" s="51">
        <v>0.999</v>
      </c>
      <c r="D9863" s="51">
        <v>70.0</v>
      </c>
      <c r="E9863" s="52" t="s">
        <v>25</v>
      </c>
      <c r="F9863" s="52" t="s">
        <v>26</v>
      </c>
      <c r="G9863" s="54"/>
    </row>
    <row r="9864">
      <c r="A9864" s="49">
        <v>45124.76760421296</v>
      </c>
      <c r="B9864" s="50">
        <v>45124.8925762731</v>
      </c>
      <c r="C9864" s="51">
        <v>0.999</v>
      </c>
      <c r="D9864" s="51">
        <v>71.0</v>
      </c>
      <c r="E9864" s="52" t="s">
        <v>25</v>
      </c>
      <c r="F9864" s="52" t="s">
        <v>26</v>
      </c>
      <c r="G9864" s="54"/>
    </row>
    <row r="9865">
      <c r="A9865" s="49">
        <v>45124.7780309375</v>
      </c>
      <c r="B9865" s="50">
        <v>45124.9030095254</v>
      </c>
      <c r="C9865" s="51">
        <v>0.999</v>
      </c>
      <c r="D9865" s="51">
        <v>70.0</v>
      </c>
      <c r="E9865" s="52" t="s">
        <v>25</v>
      </c>
      <c r="F9865" s="52" t="s">
        <v>26</v>
      </c>
      <c r="G9865" s="54"/>
    </row>
    <row r="9866">
      <c r="A9866" s="49">
        <v>45124.78845601852</v>
      </c>
      <c r="B9866" s="50">
        <v>45124.91343125</v>
      </c>
      <c r="C9866" s="51">
        <v>0.999</v>
      </c>
      <c r="D9866" s="51">
        <v>71.0</v>
      </c>
      <c r="E9866" s="52" t="s">
        <v>25</v>
      </c>
      <c r="F9866" s="52" t="s">
        <v>26</v>
      </c>
      <c r="G9866" s="54"/>
    </row>
    <row r="9867">
      <c r="A9867" s="49">
        <v>45124.798885833334</v>
      </c>
      <c r="B9867" s="50">
        <v>45124.923852662</v>
      </c>
      <c r="C9867" s="51">
        <v>0.999</v>
      </c>
      <c r="D9867" s="51">
        <v>71.0</v>
      </c>
      <c r="E9867" s="52" t="s">
        <v>25</v>
      </c>
      <c r="F9867" s="52" t="s">
        <v>26</v>
      </c>
      <c r="G9867" s="54"/>
    </row>
    <row r="9868">
      <c r="A9868" s="49">
        <v>45124.809302800924</v>
      </c>
      <c r="B9868" s="50">
        <v>45124.9342718865</v>
      </c>
      <c r="C9868" s="51">
        <v>0.999</v>
      </c>
      <c r="D9868" s="51">
        <v>71.0</v>
      </c>
      <c r="E9868" s="52" t="s">
        <v>25</v>
      </c>
      <c r="F9868" s="52" t="s">
        <v>26</v>
      </c>
      <c r="G9868" s="54"/>
    </row>
    <row r="9869">
      <c r="A9869" s="49">
        <v>45124.81971763889</v>
      </c>
      <c r="B9869" s="50">
        <v>45124.9446937384</v>
      </c>
      <c r="C9869" s="51">
        <v>0.998</v>
      </c>
      <c r="D9869" s="51">
        <v>71.0</v>
      </c>
      <c r="E9869" s="52" t="s">
        <v>25</v>
      </c>
      <c r="F9869" s="52" t="s">
        <v>26</v>
      </c>
      <c r="G9869" s="54"/>
    </row>
    <row r="9870">
      <c r="A9870" s="49">
        <v>45124.830160439815</v>
      </c>
      <c r="B9870" s="50">
        <v>45124.9551376273</v>
      </c>
      <c r="C9870" s="51">
        <v>0.999</v>
      </c>
      <c r="D9870" s="51">
        <v>71.0</v>
      </c>
      <c r="E9870" s="52" t="s">
        <v>25</v>
      </c>
      <c r="F9870" s="52" t="s">
        <v>26</v>
      </c>
      <c r="G9870" s="54"/>
    </row>
    <row r="9871">
      <c r="A9871" s="49">
        <v>45124.84059627315</v>
      </c>
      <c r="B9871" s="50">
        <v>45124.9655575115</v>
      </c>
      <c r="C9871" s="51">
        <v>0.999</v>
      </c>
      <c r="D9871" s="51">
        <v>71.0</v>
      </c>
      <c r="E9871" s="52" t="s">
        <v>25</v>
      </c>
      <c r="F9871" s="52" t="s">
        <v>26</v>
      </c>
      <c r="G9871" s="54"/>
    </row>
    <row r="9872">
      <c r="A9872" s="49">
        <v>45124.851006620374</v>
      </c>
      <c r="B9872" s="50">
        <v>45124.9759775694</v>
      </c>
      <c r="C9872" s="51">
        <v>0.998</v>
      </c>
      <c r="D9872" s="51">
        <v>71.0</v>
      </c>
      <c r="E9872" s="52" t="s">
        <v>25</v>
      </c>
      <c r="F9872" s="52" t="s">
        <v>26</v>
      </c>
      <c r="G9872" s="54"/>
    </row>
    <row r="9873">
      <c r="A9873" s="49">
        <v>45124.86143553241</v>
      </c>
      <c r="B9873" s="50">
        <v>45124.9863993287</v>
      </c>
      <c r="C9873" s="51">
        <v>0.999</v>
      </c>
      <c r="D9873" s="51">
        <v>71.0</v>
      </c>
      <c r="E9873" s="52" t="s">
        <v>25</v>
      </c>
      <c r="F9873" s="52" t="s">
        <v>26</v>
      </c>
      <c r="G9873" s="54"/>
    </row>
    <row r="9874">
      <c r="A9874" s="49">
        <v>45124.871846678245</v>
      </c>
      <c r="B9874" s="50">
        <v>45124.9968191435</v>
      </c>
      <c r="C9874" s="51">
        <v>0.999</v>
      </c>
      <c r="D9874" s="51">
        <v>71.0</v>
      </c>
      <c r="E9874" s="52" t="s">
        <v>25</v>
      </c>
      <c r="F9874" s="52" t="s">
        <v>26</v>
      </c>
      <c r="G9874" s="54"/>
    </row>
    <row r="9875">
      <c r="A9875" s="49">
        <v>45124.88228146991</v>
      </c>
      <c r="B9875" s="50">
        <v>45125.0072530671</v>
      </c>
      <c r="C9875" s="51">
        <v>0.999</v>
      </c>
      <c r="D9875" s="51">
        <v>71.0</v>
      </c>
      <c r="E9875" s="52" t="s">
        <v>25</v>
      </c>
      <c r="F9875" s="52" t="s">
        <v>26</v>
      </c>
      <c r="G9875" s="54"/>
    </row>
    <row r="9876">
      <c r="A9876" s="49">
        <v>45124.892699131946</v>
      </c>
      <c r="B9876" s="50">
        <v>45125.0176760879</v>
      </c>
      <c r="C9876" s="51">
        <v>0.999</v>
      </c>
      <c r="D9876" s="51">
        <v>71.0</v>
      </c>
      <c r="E9876" s="52" t="s">
        <v>25</v>
      </c>
      <c r="F9876" s="52" t="s">
        <v>26</v>
      </c>
      <c r="G9876" s="54"/>
    </row>
    <row r="9877">
      <c r="A9877" s="49">
        <v>45124.90312412037</v>
      </c>
      <c r="B9877" s="50">
        <v>45125.0280964699</v>
      </c>
      <c r="C9877" s="51">
        <v>0.999</v>
      </c>
      <c r="D9877" s="51">
        <v>71.0</v>
      </c>
      <c r="E9877" s="52" t="s">
        <v>25</v>
      </c>
      <c r="F9877" s="52" t="s">
        <v>26</v>
      </c>
      <c r="G9877" s="54"/>
    </row>
    <row r="9878">
      <c r="A9878" s="49">
        <v>45124.91356263889</v>
      </c>
      <c r="B9878" s="50">
        <v>45125.0385290277</v>
      </c>
      <c r="C9878" s="51">
        <v>0.999</v>
      </c>
      <c r="D9878" s="51">
        <v>71.0</v>
      </c>
      <c r="E9878" s="52" t="s">
        <v>25</v>
      </c>
      <c r="F9878" s="52" t="s">
        <v>26</v>
      </c>
      <c r="G9878" s="54"/>
    </row>
    <row r="9879">
      <c r="A9879" s="49">
        <v>45124.92398065972</v>
      </c>
      <c r="B9879" s="50">
        <v>45125.0489512384</v>
      </c>
      <c r="C9879" s="51">
        <v>0.999</v>
      </c>
      <c r="D9879" s="51">
        <v>71.0</v>
      </c>
      <c r="E9879" s="52" t="s">
        <v>25</v>
      </c>
      <c r="F9879" s="52" t="s">
        <v>26</v>
      </c>
      <c r="G9879" s="54"/>
    </row>
    <row r="9880">
      <c r="A9880" s="49">
        <v>45124.93440300926</v>
      </c>
      <c r="B9880" s="50">
        <v>45125.0593715856</v>
      </c>
      <c r="C9880" s="51">
        <v>0.999</v>
      </c>
      <c r="D9880" s="51">
        <v>71.0</v>
      </c>
      <c r="E9880" s="52" t="s">
        <v>25</v>
      </c>
      <c r="F9880" s="52" t="s">
        <v>26</v>
      </c>
      <c r="G9880" s="54"/>
    </row>
    <row r="9881">
      <c r="A9881" s="49">
        <v>45124.94481868055</v>
      </c>
      <c r="B9881" s="50">
        <v>45125.0697916666</v>
      </c>
      <c r="C9881" s="51">
        <v>0.999</v>
      </c>
      <c r="D9881" s="51">
        <v>71.0</v>
      </c>
      <c r="E9881" s="52" t="s">
        <v>25</v>
      </c>
      <c r="F9881" s="52" t="s">
        <v>26</v>
      </c>
      <c r="G9881" s="54"/>
    </row>
    <row r="9882">
      <c r="A9882" s="49">
        <v>45124.955239745366</v>
      </c>
      <c r="B9882" s="50">
        <v>45125.0802136226</v>
      </c>
      <c r="C9882" s="51">
        <v>0.998</v>
      </c>
      <c r="D9882" s="51">
        <v>71.0</v>
      </c>
      <c r="E9882" s="52" t="s">
        <v>25</v>
      </c>
      <c r="F9882" s="52" t="s">
        <v>26</v>
      </c>
      <c r="G9882" s="54"/>
    </row>
    <row r="9883">
      <c r="A9883" s="49">
        <v>45124.96566326389</v>
      </c>
      <c r="B9883" s="50">
        <v>45125.0906342361</v>
      </c>
      <c r="C9883" s="51">
        <v>0.999</v>
      </c>
      <c r="D9883" s="51">
        <v>71.0</v>
      </c>
      <c r="E9883" s="52" t="s">
        <v>25</v>
      </c>
      <c r="F9883" s="52" t="s">
        <v>26</v>
      </c>
      <c r="G9883" s="54"/>
    </row>
    <row r="9884">
      <c r="A9884" s="49">
        <v>45124.97608011574</v>
      </c>
      <c r="B9884" s="50">
        <v>45125.1010556597</v>
      </c>
      <c r="C9884" s="51">
        <v>0.998</v>
      </c>
      <c r="D9884" s="51">
        <v>71.0</v>
      </c>
      <c r="E9884" s="52" t="s">
        <v>25</v>
      </c>
      <c r="F9884" s="52" t="s">
        <v>26</v>
      </c>
      <c r="G9884" s="54"/>
    </row>
    <row r="9885">
      <c r="A9885" s="49">
        <v>45124.986500810184</v>
      </c>
      <c r="B9885" s="50">
        <v>45125.1114756944</v>
      </c>
      <c r="C9885" s="51">
        <v>0.999</v>
      </c>
      <c r="D9885" s="51">
        <v>71.0</v>
      </c>
      <c r="E9885" s="52" t="s">
        <v>25</v>
      </c>
      <c r="F9885" s="52" t="s">
        <v>26</v>
      </c>
      <c r="G9885" s="54"/>
    </row>
    <row r="9886">
      <c r="A9886" s="49">
        <v>45124.99693005787</v>
      </c>
      <c r="B9886" s="50">
        <v>45125.1218971527</v>
      </c>
      <c r="C9886" s="51">
        <v>0.999</v>
      </c>
      <c r="D9886" s="51">
        <v>71.0</v>
      </c>
      <c r="E9886" s="52" t="s">
        <v>25</v>
      </c>
      <c r="F9886" s="52" t="s">
        <v>26</v>
      </c>
      <c r="G9886" s="54"/>
    </row>
    <row r="9887">
      <c r="A9887" s="49">
        <v>45125.007351249995</v>
      </c>
      <c r="B9887" s="50">
        <v>45125.1323188657</v>
      </c>
      <c r="C9887" s="51">
        <v>0.999</v>
      </c>
      <c r="D9887" s="51">
        <v>71.0</v>
      </c>
      <c r="E9887" s="52" t="s">
        <v>25</v>
      </c>
      <c r="F9887" s="52" t="s">
        <v>26</v>
      </c>
      <c r="G9887" s="54"/>
    </row>
    <row r="9888">
      <c r="A9888" s="49">
        <v>45125.01778047453</v>
      </c>
      <c r="B9888" s="50">
        <v>45125.1427510069</v>
      </c>
      <c r="C9888" s="51">
        <v>0.999</v>
      </c>
      <c r="D9888" s="51">
        <v>71.0</v>
      </c>
      <c r="E9888" s="52" t="s">
        <v>25</v>
      </c>
      <c r="F9888" s="52" t="s">
        <v>26</v>
      </c>
      <c r="G9888" s="54"/>
    </row>
    <row r="9889">
      <c r="A9889" s="49">
        <v>45125.02820671296</v>
      </c>
      <c r="B9889" s="50">
        <v>45125.1531711111</v>
      </c>
      <c r="C9889" s="51">
        <v>0.999</v>
      </c>
      <c r="D9889" s="51">
        <v>71.0</v>
      </c>
      <c r="E9889" s="52" t="s">
        <v>25</v>
      </c>
      <c r="F9889" s="52" t="s">
        <v>26</v>
      </c>
      <c r="G9889" s="54"/>
    </row>
    <row r="9890">
      <c r="A9890" s="49">
        <v>45125.0386203588</v>
      </c>
      <c r="B9890" s="50">
        <v>45125.1635923611</v>
      </c>
      <c r="C9890" s="51">
        <v>0.999</v>
      </c>
      <c r="D9890" s="51">
        <v>71.0</v>
      </c>
      <c r="E9890" s="52" t="s">
        <v>25</v>
      </c>
      <c r="F9890" s="52" t="s">
        <v>26</v>
      </c>
      <c r="G9890" s="54"/>
    </row>
    <row r="9891">
      <c r="A9891" s="49">
        <v>45125.049039398145</v>
      </c>
      <c r="B9891" s="50">
        <v>45125.1740137037</v>
      </c>
      <c r="C9891" s="51">
        <v>0.999</v>
      </c>
      <c r="D9891" s="51">
        <v>71.0</v>
      </c>
      <c r="E9891" s="52" t="s">
        <v>25</v>
      </c>
      <c r="F9891" s="52" t="s">
        <v>26</v>
      </c>
      <c r="G9891" s="54"/>
    </row>
    <row r="9892">
      <c r="A9892" s="49">
        <v>45125.05946665509</v>
      </c>
      <c r="B9892" s="50">
        <v>45125.1844357986</v>
      </c>
      <c r="C9892" s="51">
        <v>0.998</v>
      </c>
      <c r="D9892" s="51">
        <v>71.0</v>
      </c>
      <c r="E9892" s="52" t="s">
        <v>25</v>
      </c>
      <c r="F9892" s="52" t="s">
        <v>26</v>
      </c>
      <c r="G9892" s="54"/>
    </row>
    <row r="9893">
      <c r="A9893" s="49">
        <v>45125.06989737268</v>
      </c>
      <c r="B9893" s="50">
        <v>45125.1948559606</v>
      </c>
      <c r="C9893" s="51">
        <v>0.999</v>
      </c>
      <c r="D9893" s="51">
        <v>71.0</v>
      </c>
      <c r="E9893" s="52" t="s">
        <v>25</v>
      </c>
      <c r="F9893" s="52" t="s">
        <v>26</v>
      </c>
      <c r="G9893" s="54"/>
    </row>
    <row r="9894">
      <c r="A9894" s="49">
        <v>45125.08030819445</v>
      </c>
      <c r="B9894" s="50">
        <v>45125.2052776967</v>
      </c>
      <c r="C9894" s="51">
        <v>0.999</v>
      </c>
      <c r="D9894" s="51">
        <v>71.0</v>
      </c>
      <c r="E9894" s="52" t="s">
        <v>25</v>
      </c>
      <c r="F9894" s="52" t="s">
        <v>26</v>
      </c>
      <c r="G9894" s="54"/>
    </row>
    <row r="9895">
      <c r="A9895" s="49">
        <v>45125.09072950231</v>
      </c>
      <c r="B9895" s="50">
        <v>45125.2156993981</v>
      </c>
      <c r="C9895" s="51">
        <v>0.998</v>
      </c>
      <c r="D9895" s="51">
        <v>71.0</v>
      </c>
      <c r="E9895" s="52" t="s">
        <v>25</v>
      </c>
      <c r="F9895" s="52" t="s">
        <v>26</v>
      </c>
      <c r="G9895" s="54"/>
    </row>
    <row r="9896">
      <c r="A9896" s="49">
        <v>45125.101162997686</v>
      </c>
      <c r="B9896" s="50">
        <v>45125.2261320601</v>
      </c>
      <c r="C9896" s="51">
        <v>0.999</v>
      </c>
      <c r="D9896" s="51">
        <v>71.0</v>
      </c>
      <c r="E9896" s="52" t="s">
        <v>25</v>
      </c>
      <c r="F9896" s="52" t="s">
        <v>26</v>
      </c>
      <c r="G9896" s="54"/>
    </row>
    <row r="9897">
      <c r="A9897" s="49">
        <v>45125.11157918982</v>
      </c>
      <c r="B9897" s="50">
        <v>45125.2365548263</v>
      </c>
      <c r="C9897" s="51">
        <v>0.998</v>
      </c>
      <c r="D9897" s="51">
        <v>71.0</v>
      </c>
      <c r="E9897" s="52" t="s">
        <v>25</v>
      </c>
      <c r="F9897" s="52" t="s">
        <v>26</v>
      </c>
      <c r="G9897" s="54"/>
    </row>
    <row r="9898">
      <c r="A9898" s="49">
        <v>45125.12200614583</v>
      </c>
      <c r="B9898" s="50">
        <v>45125.2469755208</v>
      </c>
      <c r="C9898" s="51">
        <v>0.999</v>
      </c>
      <c r="D9898" s="51">
        <v>71.0</v>
      </c>
      <c r="E9898" s="52" t="s">
        <v>25</v>
      </c>
      <c r="F9898" s="52" t="s">
        <v>26</v>
      </c>
      <c r="G9898" s="54"/>
    </row>
    <row r="9899">
      <c r="A9899" s="49">
        <v>45125.13242699074</v>
      </c>
      <c r="B9899" s="50">
        <v>45125.2573975694</v>
      </c>
      <c r="C9899" s="51">
        <v>0.999</v>
      </c>
      <c r="D9899" s="51">
        <v>71.0</v>
      </c>
      <c r="E9899" s="52" t="s">
        <v>25</v>
      </c>
      <c r="F9899" s="52" t="s">
        <v>26</v>
      </c>
      <c r="G9899" s="54"/>
    </row>
    <row r="9900">
      <c r="A9900" s="49">
        <v>45125.142851400466</v>
      </c>
      <c r="B9900" s="50">
        <v>45125.2678197222</v>
      </c>
      <c r="C9900" s="51">
        <v>0.998</v>
      </c>
      <c r="D9900" s="51">
        <v>71.0</v>
      </c>
      <c r="E9900" s="52" t="s">
        <v>25</v>
      </c>
      <c r="F9900" s="52" t="s">
        <v>26</v>
      </c>
      <c r="G9900" s="54"/>
    </row>
    <row r="9901">
      <c r="A9901" s="49">
        <v>45125.15326547454</v>
      </c>
      <c r="B9901" s="50">
        <v>45125.278239699</v>
      </c>
      <c r="C9901" s="51">
        <v>0.999</v>
      </c>
      <c r="D9901" s="51">
        <v>71.0</v>
      </c>
      <c r="E9901" s="52" t="s">
        <v>25</v>
      </c>
      <c r="F9901" s="52" t="s">
        <v>26</v>
      </c>
      <c r="G9901" s="54"/>
    </row>
    <row r="9902">
      <c r="A9902" s="49">
        <v>45125.1637025463</v>
      </c>
      <c r="B9902" s="50">
        <v>45125.2886732638</v>
      </c>
      <c r="C9902" s="51">
        <v>0.998</v>
      </c>
      <c r="D9902" s="51">
        <v>71.0</v>
      </c>
      <c r="E9902" s="52" t="s">
        <v>25</v>
      </c>
      <c r="F9902" s="52" t="s">
        <v>26</v>
      </c>
      <c r="G9902" s="54"/>
    </row>
    <row r="9903">
      <c r="A9903" s="49">
        <v>45125.17413511574</v>
      </c>
      <c r="B9903" s="50">
        <v>45125.2990941898</v>
      </c>
      <c r="C9903" s="51">
        <v>0.999</v>
      </c>
      <c r="D9903" s="51">
        <v>71.0</v>
      </c>
      <c r="E9903" s="52" t="s">
        <v>25</v>
      </c>
      <c r="F9903" s="52" t="s">
        <v>26</v>
      </c>
      <c r="G9903" s="54"/>
    </row>
    <row r="9904">
      <c r="A9904" s="49">
        <v>45125.18456115741</v>
      </c>
      <c r="B9904" s="50">
        <v>45125.3095267592</v>
      </c>
      <c r="C9904" s="51">
        <v>0.999</v>
      </c>
      <c r="D9904" s="51">
        <v>71.0</v>
      </c>
      <c r="E9904" s="52" t="s">
        <v>25</v>
      </c>
      <c r="F9904" s="52" t="s">
        <v>26</v>
      </c>
      <c r="G9904" s="54"/>
    </row>
    <row r="9905">
      <c r="A9905" s="49">
        <v>45125.19498100695</v>
      </c>
      <c r="B9905" s="50">
        <v>45125.3199477314</v>
      </c>
      <c r="C9905" s="51">
        <v>0.998</v>
      </c>
      <c r="D9905" s="51">
        <v>71.0</v>
      </c>
      <c r="E9905" s="52" t="s">
        <v>25</v>
      </c>
      <c r="F9905" s="52" t="s">
        <v>26</v>
      </c>
      <c r="G9905" s="54"/>
    </row>
    <row r="9906">
      <c r="A9906" s="49">
        <v>45125.205392812495</v>
      </c>
      <c r="B9906" s="50">
        <v>45125.3303698032</v>
      </c>
      <c r="C9906" s="51">
        <v>0.998</v>
      </c>
      <c r="D9906" s="51">
        <v>71.0</v>
      </c>
      <c r="E9906" s="52" t="s">
        <v>25</v>
      </c>
      <c r="F9906" s="52" t="s">
        <v>26</v>
      </c>
      <c r="G9906" s="54"/>
    </row>
    <row r="9907">
      <c r="A9907" s="49">
        <v>45125.21581484954</v>
      </c>
      <c r="B9907" s="50">
        <v>45125.3407912384</v>
      </c>
      <c r="C9907" s="51">
        <v>0.998</v>
      </c>
      <c r="D9907" s="51">
        <v>71.0</v>
      </c>
      <c r="E9907" s="52" t="s">
        <v>25</v>
      </c>
      <c r="F9907" s="52" t="s">
        <v>26</v>
      </c>
      <c r="G9907" s="54"/>
    </row>
    <row r="9908">
      <c r="A9908" s="49">
        <v>45125.22623827546</v>
      </c>
      <c r="B9908" s="50">
        <v>45125.3512127546</v>
      </c>
      <c r="C9908" s="51">
        <v>0.998</v>
      </c>
      <c r="D9908" s="51">
        <v>71.0</v>
      </c>
      <c r="E9908" s="52" t="s">
        <v>25</v>
      </c>
      <c r="F9908" s="52" t="s">
        <v>26</v>
      </c>
      <c r="G9908" s="54"/>
    </row>
    <row r="9909">
      <c r="A9909" s="49">
        <v>45125.236662337964</v>
      </c>
      <c r="B9909" s="50">
        <v>45125.3616353125</v>
      </c>
      <c r="C9909" s="51">
        <v>0.999</v>
      </c>
      <c r="D9909" s="51">
        <v>71.0</v>
      </c>
      <c r="E9909" s="52" t="s">
        <v>25</v>
      </c>
      <c r="F9909" s="52" t="s">
        <v>26</v>
      </c>
      <c r="G9909" s="54"/>
    </row>
    <row r="9910">
      <c r="A9910" s="49">
        <v>45125.24708751157</v>
      </c>
      <c r="B9910" s="50">
        <v>45125.372055706</v>
      </c>
      <c r="C9910" s="51">
        <v>0.999</v>
      </c>
      <c r="D9910" s="51">
        <v>71.0</v>
      </c>
      <c r="E9910" s="52" t="s">
        <v>25</v>
      </c>
      <c r="F9910" s="52" t="s">
        <v>26</v>
      </c>
      <c r="G9910" s="54"/>
    </row>
    <row r="9911">
      <c r="A9911" s="49">
        <v>45125.257508703704</v>
      </c>
      <c r="B9911" s="50">
        <v>45125.382478831</v>
      </c>
      <c r="C9911" s="51">
        <v>0.999</v>
      </c>
      <c r="D9911" s="51">
        <v>71.0</v>
      </c>
      <c r="E9911" s="52" t="s">
        <v>25</v>
      </c>
      <c r="F9911" s="52" t="s">
        <v>26</v>
      </c>
      <c r="G9911" s="54"/>
    </row>
    <row r="9912">
      <c r="A9912" s="49">
        <v>45125.267935868054</v>
      </c>
      <c r="B9912" s="50">
        <v>45125.3929014236</v>
      </c>
      <c r="C9912" s="51">
        <v>0.999</v>
      </c>
      <c r="D9912" s="51">
        <v>71.0</v>
      </c>
      <c r="E9912" s="52" t="s">
        <v>25</v>
      </c>
      <c r="F9912" s="52" t="s">
        <v>26</v>
      </c>
      <c r="G9912" s="54"/>
    </row>
    <row r="9913">
      <c r="A9913" s="49">
        <v>45125.278370914355</v>
      </c>
      <c r="B9913" s="50">
        <v>45125.403332581</v>
      </c>
      <c r="C9913" s="51">
        <v>0.999</v>
      </c>
      <c r="D9913" s="51">
        <v>71.0</v>
      </c>
      <c r="E9913" s="52" t="s">
        <v>25</v>
      </c>
      <c r="F9913" s="52" t="s">
        <v>26</v>
      </c>
      <c r="G9913" s="54"/>
    </row>
    <row r="9914">
      <c r="A9914" s="49">
        <v>45125.28879158565</v>
      </c>
      <c r="B9914" s="50">
        <v>45125.4137530787</v>
      </c>
      <c r="C9914" s="51">
        <v>0.999</v>
      </c>
      <c r="D9914" s="51">
        <v>71.0</v>
      </c>
      <c r="E9914" s="52" t="s">
        <v>25</v>
      </c>
      <c r="F9914" s="52" t="s">
        <v>26</v>
      </c>
      <c r="G9914" s="54"/>
    </row>
    <row r="9915">
      <c r="A9915" s="49">
        <v>45125.29920710648</v>
      </c>
      <c r="B9915" s="50">
        <v>45125.4241732638</v>
      </c>
      <c r="C9915" s="51">
        <v>0.999</v>
      </c>
      <c r="D9915" s="51">
        <v>71.0</v>
      </c>
      <c r="E9915" s="52" t="s">
        <v>25</v>
      </c>
      <c r="F9915" s="52" t="s">
        <v>26</v>
      </c>
      <c r="G9915" s="54"/>
    </row>
    <row r="9916">
      <c r="A9916" s="49">
        <v>45125.309637858794</v>
      </c>
      <c r="B9916" s="50">
        <v>45125.4345942592</v>
      </c>
      <c r="C9916" s="51">
        <v>0.999</v>
      </c>
      <c r="D9916" s="51">
        <v>71.0</v>
      </c>
      <c r="E9916" s="52" t="s">
        <v>25</v>
      </c>
      <c r="F9916" s="52" t="s">
        <v>26</v>
      </c>
      <c r="G9916" s="54"/>
    </row>
    <row r="9917">
      <c r="A9917" s="49">
        <v>45125.32003940972</v>
      </c>
      <c r="B9917" s="50">
        <v>45125.4450159606</v>
      </c>
      <c r="C9917" s="51">
        <v>0.999</v>
      </c>
      <c r="D9917" s="51">
        <v>71.0</v>
      </c>
      <c r="E9917" s="52" t="s">
        <v>25</v>
      </c>
      <c r="F9917" s="52" t="s">
        <v>26</v>
      </c>
      <c r="G9917" s="54"/>
    </row>
    <row r="9918">
      <c r="A9918" s="49">
        <v>45125.33047311343</v>
      </c>
      <c r="B9918" s="50">
        <v>45125.4554377777</v>
      </c>
      <c r="C9918" s="51">
        <v>0.999</v>
      </c>
      <c r="D9918" s="51">
        <v>71.0</v>
      </c>
      <c r="E9918" s="52" t="s">
        <v>25</v>
      </c>
      <c r="F9918" s="52" t="s">
        <v>26</v>
      </c>
      <c r="G9918" s="54"/>
    </row>
    <row r="9919">
      <c r="A9919" s="49">
        <v>45125.34088361111</v>
      </c>
      <c r="B9919" s="50">
        <v>45125.4658563888</v>
      </c>
      <c r="C9919" s="51">
        <v>0.999</v>
      </c>
      <c r="D9919" s="51">
        <v>71.0</v>
      </c>
      <c r="E9919" s="52" t="s">
        <v>25</v>
      </c>
      <c r="F9919" s="52" t="s">
        <v>26</v>
      </c>
      <c r="G9919" s="54"/>
    </row>
    <row r="9920">
      <c r="A9920" s="49">
        <v>45125.35130494213</v>
      </c>
      <c r="B9920" s="50">
        <v>45125.4762770486</v>
      </c>
      <c r="C9920" s="51">
        <v>0.999</v>
      </c>
      <c r="D9920" s="51">
        <v>71.0</v>
      </c>
      <c r="E9920" s="52" t="s">
        <v>25</v>
      </c>
      <c r="F9920" s="52" t="s">
        <v>26</v>
      </c>
      <c r="G9920" s="54"/>
    </row>
    <row r="9921">
      <c r="A9921" s="49">
        <v>45125.36174633102</v>
      </c>
      <c r="B9921" s="50">
        <v>45125.4867225463</v>
      </c>
      <c r="C9921" s="51">
        <v>0.999</v>
      </c>
      <c r="D9921" s="51">
        <v>71.0</v>
      </c>
      <c r="E9921" s="52" t="s">
        <v>25</v>
      </c>
      <c r="F9921" s="52" t="s">
        <v>26</v>
      </c>
      <c r="G9921" s="54"/>
    </row>
    <row r="9922">
      <c r="A9922" s="49">
        <v>45125.372180879625</v>
      </c>
      <c r="B9922" s="50">
        <v>45125.4971547222</v>
      </c>
      <c r="C9922" s="51">
        <v>0.999</v>
      </c>
      <c r="D9922" s="51">
        <v>71.0</v>
      </c>
      <c r="E9922" s="52" t="s">
        <v>25</v>
      </c>
      <c r="F9922" s="52" t="s">
        <v>26</v>
      </c>
      <c r="G9922" s="54"/>
    </row>
    <row r="9923">
      <c r="A9923" s="49">
        <v>45125.38260894676</v>
      </c>
      <c r="B9923" s="50">
        <v>45125.5075742476</v>
      </c>
      <c r="C9923" s="51">
        <v>0.999</v>
      </c>
      <c r="D9923" s="51">
        <v>71.0</v>
      </c>
      <c r="E9923" s="52" t="s">
        <v>25</v>
      </c>
      <c r="F9923" s="52" t="s">
        <v>26</v>
      </c>
      <c r="G9923" s="54"/>
    </row>
    <row r="9924">
      <c r="A9924" s="49">
        <v>45125.393041863426</v>
      </c>
      <c r="B9924" s="50">
        <v>45125.5180075578</v>
      </c>
      <c r="C9924" s="51">
        <v>0.999</v>
      </c>
      <c r="D9924" s="51">
        <v>71.0</v>
      </c>
      <c r="E9924" s="52" t="s">
        <v>25</v>
      </c>
      <c r="F9924" s="52" t="s">
        <v>26</v>
      </c>
      <c r="G9924" s="54"/>
    </row>
    <row r="9925">
      <c r="A9925" s="49">
        <v>45125.403502245375</v>
      </c>
      <c r="B9925" s="50">
        <v>45125.5284285879</v>
      </c>
      <c r="C9925" s="51">
        <v>0.999</v>
      </c>
      <c r="D9925" s="51">
        <v>71.0</v>
      </c>
      <c r="E9925" s="52" t="s">
        <v>25</v>
      </c>
      <c r="F9925" s="52" t="s">
        <v>26</v>
      </c>
      <c r="G9925" s="54"/>
    </row>
    <row r="9926">
      <c r="A9926" s="49">
        <v>45125.41388836806</v>
      </c>
      <c r="B9926" s="50">
        <v>45125.5388473958</v>
      </c>
      <c r="C9926" s="51">
        <v>0.999</v>
      </c>
      <c r="D9926" s="51">
        <v>71.0</v>
      </c>
      <c r="E9926" s="52" t="s">
        <v>25</v>
      </c>
      <c r="F9926" s="52" t="s">
        <v>26</v>
      </c>
      <c r="G9926" s="54"/>
    </row>
    <row r="9927">
      <c r="A9927" s="49">
        <v>45125.42429134259</v>
      </c>
      <c r="B9927" s="50">
        <v>45125.5492682986</v>
      </c>
      <c r="C9927" s="51">
        <v>0.999</v>
      </c>
      <c r="D9927" s="51">
        <v>71.0</v>
      </c>
      <c r="E9927" s="52" t="s">
        <v>25</v>
      </c>
      <c r="F9927" s="52" t="s">
        <v>26</v>
      </c>
      <c r="G9927" s="54"/>
    </row>
    <row r="9928">
      <c r="A9928" s="49">
        <v>45125.43472065972</v>
      </c>
      <c r="B9928" s="50">
        <v>45125.5596890509</v>
      </c>
      <c r="C9928" s="51">
        <v>0.999</v>
      </c>
      <c r="D9928" s="51">
        <v>71.0</v>
      </c>
      <c r="E9928" s="52" t="s">
        <v>25</v>
      </c>
      <c r="F9928" s="52" t="s">
        <v>26</v>
      </c>
      <c r="G9928" s="54"/>
    </row>
    <row r="9929">
      <c r="A9929" s="49">
        <v>45125.44513692129</v>
      </c>
      <c r="B9929" s="50">
        <v>45125.5701097106</v>
      </c>
      <c r="C9929" s="51">
        <v>0.999</v>
      </c>
      <c r="D9929" s="51">
        <v>71.0</v>
      </c>
      <c r="E9929" s="52" t="s">
        <v>25</v>
      </c>
      <c r="F9929" s="52" t="s">
        <v>26</v>
      </c>
      <c r="G9929" s="54"/>
    </row>
    <row r="9930">
      <c r="A9930" s="49">
        <v>45125.45557615741</v>
      </c>
      <c r="B9930" s="50">
        <v>45125.5805441666</v>
      </c>
      <c r="C9930" s="51">
        <v>0.999</v>
      </c>
      <c r="D9930" s="51">
        <v>71.0</v>
      </c>
      <c r="E9930" s="52" t="s">
        <v>25</v>
      </c>
      <c r="F9930" s="52" t="s">
        <v>26</v>
      </c>
      <c r="G9930" s="54"/>
    </row>
    <row r="9931">
      <c r="A9931" s="49">
        <v>45125.46599056713</v>
      </c>
      <c r="B9931" s="50">
        <v>45125.5909645601</v>
      </c>
      <c r="C9931" s="51">
        <v>0.999</v>
      </c>
      <c r="D9931" s="51">
        <v>71.0</v>
      </c>
      <c r="E9931" s="52" t="s">
        <v>25</v>
      </c>
      <c r="F9931" s="52" t="s">
        <v>26</v>
      </c>
      <c r="G9931" s="54"/>
    </row>
    <row r="9932">
      <c r="A9932" s="49">
        <v>45125.476442071755</v>
      </c>
      <c r="B9932" s="50">
        <v>45125.6014101851</v>
      </c>
      <c r="C9932" s="51">
        <v>0.999</v>
      </c>
      <c r="D9932" s="51">
        <v>71.0</v>
      </c>
      <c r="E9932" s="52" t="s">
        <v>25</v>
      </c>
      <c r="F9932" s="52" t="s">
        <v>26</v>
      </c>
      <c r="G9932" s="54"/>
    </row>
    <row r="9933">
      <c r="A9933" s="49">
        <v>45125.486860439814</v>
      </c>
      <c r="B9933" s="50">
        <v>45125.6118306944</v>
      </c>
      <c r="C9933" s="51">
        <v>0.999</v>
      </c>
      <c r="D9933" s="51">
        <v>71.0</v>
      </c>
      <c r="E9933" s="52" t="s">
        <v>25</v>
      </c>
      <c r="F9933" s="52" t="s">
        <v>26</v>
      </c>
      <c r="G9933" s="54"/>
    </row>
    <row r="9934">
      <c r="A9934" s="49">
        <v>45125.49728447916</v>
      </c>
      <c r="B9934" s="50">
        <v>45125.6222519097</v>
      </c>
      <c r="C9934" s="51">
        <v>0.999</v>
      </c>
      <c r="D9934" s="51">
        <v>71.0</v>
      </c>
      <c r="E9934" s="52" t="s">
        <v>25</v>
      </c>
      <c r="F9934" s="52" t="s">
        <v>26</v>
      </c>
      <c r="G9934" s="54"/>
    </row>
    <row r="9935">
      <c r="A9935" s="49">
        <v>45125.50770445602</v>
      </c>
      <c r="B9935" s="50">
        <v>45125.632670949</v>
      </c>
      <c r="C9935" s="51">
        <v>0.999</v>
      </c>
      <c r="D9935" s="51">
        <v>71.0</v>
      </c>
      <c r="E9935" s="52" t="s">
        <v>25</v>
      </c>
      <c r="F9935" s="52" t="s">
        <v>26</v>
      </c>
      <c r="G9935" s="54"/>
    </row>
    <row r="9936">
      <c r="A9936" s="49">
        <v>45125.51812543982</v>
      </c>
      <c r="B9936" s="50">
        <v>45125.6430922338</v>
      </c>
      <c r="C9936" s="51">
        <v>0.999</v>
      </c>
      <c r="D9936" s="51">
        <v>71.0</v>
      </c>
      <c r="E9936" s="52" t="s">
        <v>25</v>
      </c>
      <c r="F9936" s="52" t="s">
        <v>26</v>
      </c>
      <c r="G9936" s="54"/>
    </row>
    <row r="9937">
      <c r="A9937" s="49">
        <v>45125.528538125</v>
      </c>
      <c r="B9937" s="50">
        <v>45125.6535127546</v>
      </c>
      <c r="C9937" s="51">
        <v>0.999</v>
      </c>
      <c r="D9937" s="51">
        <v>71.0</v>
      </c>
      <c r="E9937" s="52" t="s">
        <v>25</v>
      </c>
      <c r="F9937" s="52" t="s">
        <v>26</v>
      </c>
      <c r="G9937" s="54"/>
    </row>
    <row r="9938">
      <c r="A9938" s="49">
        <v>45125.53896384259</v>
      </c>
      <c r="B9938" s="50">
        <v>45125.6639330787</v>
      </c>
      <c r="C9938" s="51">
        <v>0.999</v>
      </c>
      <c r="D9938" s="51">
        <v>71.0</v>
      </c>
      <c r="E9938" s="52" t="s">
        <v>25</v>
      </c>
      <c r="F9938" s="52" t="s">
        <v>26</v>
      </c>
      <c r="G9938" s="54"/>
    </row>
    <row r="9939">
      <c r="A9939" s="49">
        <v>45125.54937659722</v>
      </c>
      <c r="B9939" s="50">
        <v>45125.6743529629</v>
      </c>
      <c r="C9939" s="51">
        <v>0.999</v>
      </c>
      <c r="D9939" s="51">
        <v>71.0</v>
      </c>
      <c r="E9939" s="52" t="s">
        <v>25</v>
      </c>
      <c r="F9939" s="52" t="s">
        <v>26</v>
      </c>
      <c r="G9939" s="54"/>
    </row>
    <row r="9940">
      <c r="A9940" s="49">
        <v>45125.55981375</v>
      </c>
      <c r="B9940" s="50">
        <v>45125.6847856944</v>
      </c>
      <c r="C9940" s="51">
        <v>0.999</v>
      </c>
      <c r="D9940" s="51">
        <v>71.0</v>
      </c>
      <c r="E9940" s="52" t="s">
        <v>25</v>
      </c>
      <c r="F9940" s="52" t="s">
        <v>26</v>
      </c>
      <c r="G9940" s="54"/>
    </row>
    <row r="9941">
      <c r="A9941" s="49">
        <v>45125.57023719908</v>
      </c>
      <c r="B9941" s="50">
        <v>45125.6952038541</v>
      </c>
      <c r="C9941" s="51">
        <v>0.999</v>
      </c>
      <c r="D9941" s="51">
        <v>71.0</v>
      </c>
      <c r="E9941" s="52" t="s">
        <v>25</v>
      </c>
      <c r="F9941" s="52" t="s">
        <v>26</v>
      </c>
      <c r="G9941" s="54"/>
    </row>
    <row r="9942">
      <c r="A9942" s="49">
        <v>45125.580663506946</v>
      </c>
      <c r="B9942" s="50">
        <v>45125.7056260069</v>
      </c>
      <c r="C9942" s="51">
        <v>0.999</v>
      </c>
      <c r="D9942" s="51">
        <v>71.0</v>
      </c>
      <c r="E9942" s="52" t="s">
        <v>25</v>
      </c>
      <c r="F9942" s="52" t="s">
        <v>26</v>
      </c>
      <c r="G9942" s="54"/>
    </row>
    <row r="9943">
      <c r="A9943" s="49">
        <v>45125.591068229165</v>
      </c>
      <c r="B9943" s="50">
        <v>45125.7160470949</v>
      </c>
      <c r="C9943" s="51">
        <v>0.999</v>
      </c>
      <c r="D9943" s="51">
        <v>71.0</v>
      </c>
      <c r="E9943" s="52" t="s">
        <v>25</v>
      </c>
      <c r="F9943" s="52" t="s">
        <v>26</v>
      </c>
      <c r="G9943" s="54"/>
    </row>
    <row r="9944">
      <c r="A9944" s="49">
        <v>45125.60149101852</v>
      </c>
      <c r="B9944" s="50">
        <v>45125.7264692361</v>
      </c>
      <c r="C9944" s="51">
        <v>0.999</v>
      </c>
      <c r="D9944" s="51">
        <v>71.0</v>
      </c>
      <c r="E9944" s="52" t="s">
        <v>25</v>
      </c>
      <c r="F9944" s="52" t="s">
        <v>26</v>
      </c>
      <c r="G9944" s="54"/>
    </row>
    <row r="9945">
      <c r="A9945" s="49">
        <v>45125.61191422454</v>
      </c>
      <c r="B9945" s="50">
        <v>45125.7368896064</v>
      </c>
      <c r="C9945" s="51">
        <v>0.999</v>
      </c>
      <c r="D9945" s="51">
        <v>71.0</v>
      </c>
      <c r="E9945" s="52" t="s">
        <v>25</v>
      </c>
      <c r="F9945" s="52" t="s">
        <v>26</v>
      </c>
      <c r="G9945" s="54"/>
    </row>
    <row r="9946">
      <c r="A9946" s="49">
        <v>45125.62233939815</v>
      </c>
      <c r="B9946" s="50">
        <v>45125.7473105787</v>
      </c>
      <c r="C9946" s="51">
        <v>0.999</v>
      </c>
      <c r="D9946" s="51">
        <v>71.0</v>
      </c>
      <c r="E9946" s="52" t="s">
        <v>25</v>
      </c>
      <c r="F9946" s="52" t="s">
        <v>26</v>
      </c>
      <c r="G9946" s="54"/>
    </row>
    <row r="9947">
      <c r="A9947" s="49">
        <v>45125.63276261574</v>
      </c>
      <c r="B9947" s="50">
        <v>45125.757730243</v>
      </c>
      <c r="C9947" s="51">
        <v>0.999</v>
      </c>
      <c r="D9947" s="51">
        <v>71.0</v>
      </c>
      <c r="E9947" s="52" t="s">
        <v>25</v>
      </c>
      <c r="F9947" s="52" t="s">
        <v>26</v>
      </c>
      <c r="G9947" s="54"/>
    </row>
    <row r="9948">
      <c r="A9948" s="49">
        <v>45125.64318520833</v>
      </c>
      <c r="B9948" s="50">
        <v>45125.7681510763</v>
      </c>
      <c r="C9948" s="51">
        <v>0.999</v>
      </c>
      <c r="D9948" s="51">
        <v>71.0</v>
      </c>
      <c r="E9948" s="52" t="s">
        <v>25</v>
      </c>
      <c r="F9948" s="52" t="s">
        <v>26</v>
      </c>
      <c r="G9948" s="54"/>
    </row>
    <row r="9949">
      <c r="A9949" s="49">
        <v>45125.65361450231</v>
      </c>
      <c r="B9949" s="50">
        <v>45125.7785848263</v>
      </c>
      <c r="C9949" s="51">
        <v>0.999</v>
      </c>
      <c r="D9949" s="51">
        <v>71.0</v>
      </c>
      <c r="E9949" s="52" t="s">
        <v>25</v>
      </c>
      <c r="F9949" s="52" t="s">
        <v>26</v>
      </c>
      <c r="G9949" s="54"/>
    </row>
    <row r="9950">
      <c r="A9950" s="49">
        <v>45125.6640624537</v>
      </c>
      <c r="B9950" s="50">
        <v>45125.7890291088</v>
      </c>
      <c r="C9950" s="51">
        <v>0.999</v>
      </c>
      <c r="D9950" s="51">
        <v>71.0</v>
      </c>
      <c r="E9950" s="52" t="s">
        <v>25</v>
      </c>
      <c r="F9950" s="52" t="s">
        <v>26</v>
      </c>
      <c r="G9950" s="54"/>
    </row>
    <row r="9951">
      <c r="A9951" s="49">
        <v>45125.67449564815</v>
      </c>
      <c r="B9951" s="50">
        <v>45125.7994634606</v>
      </c>
      <c r="C9951" s="51">
        <v>0.999</v>
      </c>
      <c r="D9951" s="51">
        <v>71.0</v>
      </c>
      <c r="E9951" s="52" t="s">
        <v>25</v>
      </c>
      <c r="F9951" s="52" t="s">
        <v>26</v>
      </c>
      <c r="G9951" s="54"/>
    </row>
    <row r="9952">
      <c r="A9952" s="49">
        <v>45125.68492177084</v>
      </c>
      <c r="B9952" s="50">
        <v>45125.8098841088</v>
      </c>
      <c r="C9952" s="51">
        <v>0.999</v>
      </c>
      <c r="D9952" s="51">
        <v>71.0</v>
      </c>
      <c r="E9952" s="52" t="s">
        <v>25</v>
      </c>
      <c r="F9952" s="52" t="s">
        <v>26</v>
      </c>
      <c r="G9952" s="54"/>
    </row>
    <row r="9953">
      <c r="A9953" s="49">
        <v>45125.69532416666</v>
      </c>
      <c r="B9953" s="50">
        <v>45125.8203054745</v>
      </c>
      <c r="C9953" s="51">
        <v>0.999</v>
      </c>
      <c r="D9953" s="51">
        <v>71.0</v>
      </c>
      <c r="E9953" s="52" t="s">
        <v>25</v>
      </c>
      <c r="F9953" s="52" t="s">
        <v>26</v>
      </c>
      <c r="G9953" s="54"/>
    </row>
    <row r="9954">
      <c r="A9954" s="49">
        <v>45125.70576181713</v>
      </c>
      <c r="B9954" s="50">
        <v>45125.8307297801</v>
      </c>
      <c r="C9954" s="51">
        <v>0.999</v>
      </c>
      <c r="D9954" s="51">
        <v>71.0</v>
      </c>
      <c r="E9954" s="52" t="s">
        <v>25</v>
      </c>
      <c r="F9954" s="52" t="s">
        <v>26</v>
      </c>
      <c r="G9954" s="54"/>
    </row>
    <row r="9955">
      <c r="A9955" s="49">
        <v>45125.71619740741</v>
      </c>
      <c r="B9955" s="50">
        <v>45125.841163125</v>
      </c>
      <c r="C9955" s="51">
        <v>0.999</v>
      </c>
      <c r="D9955" s="51">
        <v>71.0</v>
      </c>
      <c r="E9955" s="52" t="s">
        <v>25</v>
      </c>
      <c r="F9955" s="52" t="s">
        <v>26</v>
      </c>
      <c r="G9955" s="54"/>
    </row>
    <row r="9956">
      <c r="A9956" s="49">
        <v>45125.72661752315</v>
      </c>
      <c r="B9956" s="50">
        <v>45125.8515845486</v>
      </c>
      <c r="C9956" s="51">
        <v>0.998</v>
      </c>
      <c r="D9956" s="51">
        <v>71.0</v>
      </c>
      <c r="E9956" s="52" t="s">
        <v>25</v>
      </c>
      <c r="F9956" s="52" t="s">
        <v>26</v>
      </c>
      <c r="G9956" s="54"/>
    </row>
    <row r="9957">
      <c r="A9957" s="49">
        <v>45125.73703364583</v>
      </c>
      <c r="B9957" s="50">
        <v>45125.8620052893</v>
      </c>
      <c r="C9957" s="51">
        <v>0.999</v>
      </c>
      <c r="D9957" s="51">
        <v>71.0</v>
      </c>
      <c r="E9957" s="52" t="s">
        <v>25</v>
      </c>
      <c r="F9957" s="52" t="s">
        <v>26</v>
      </c>
      <c r="G9957" s="54"/>
    </row>
    <row r="9958">
      <c r="A9958" s="49">
        <v>45125.74747872685</v>
      </c>
      <c r="B9958" s="50">
        <v>45125.8724506365</v>
      </c>
      <c r="C9958" s="51">
        <v>0.999</v>
      </c>
      <c r="D9958" s="51">
        <v>71.0</v>
      </c>
      <c r="E9958" s="52" t="s">
        <v>25</v>
      </c>
      <c r="F9958" s="52" t="s">
        <v>26</v>
      </c>
      <c r="G9958" s="54"/>
    </row>
    <row r="9959">
      <c r="A9959" s="49">
        <v>45125.75790798611</v>
      </c>
      <c r="B9959" s="50">
        <v>45125.8828833912</v>
      </c>
      <c r="C9959" s="51">
        <v>0.999</v>
      </c>
      <c r="D9959" s="51">
        <v>71.0</v>
      </c>
      <c r="E9959" s="52" t="s">
        <v>25</v>
      </c>
      <c r="F9959" s="52" t="s">
        <v>26</v>
      </c>
      <c r="G9959" s="54"/>
    </row>
    <row r="9960">
      <c r="A9960" s="49">
        <v>45125.7787744213</v>
      </c>
      <c r="B9960" s="50">
        <v>45125.9037497916</v>
      </c>
      <c r="C9960" s="51">
        <v>0.999</v>
      </c>
      <c r="D9960" s="51">
        <v>71.0</v>
      </c>
      <c r="E9960" s="52" t="s">
        <v>25</v>
      </c>
      <c r="F9960" s="52" t="s">
        <v>26</v>
      </c>
      <c r="G9960" s="54"/>
    </row>
    <row r="9961">
      <c r="A9961" s="49">
        <v>45125.78920959491</v>
      </c>
      <c r="B9961" s="50">
        <v>45125.9141725347</v>
      </c>
      <c r="C9961" s="51">
        <v>0.999</v>
      </c>
      <c r="D9961" s="51">
        <v>71.0</v>
      </c>
      <c r="E9961" s="52" t="s">
        <v>25</v>
      </c>
      <c r="F9961" s="52" t="s">
        <v>26</v>
      </c>
      <c r="G9961" s="54"/>
    </row>
    <row r="9962">
      <c r="A9962" s="49">
        <v>45125.79963243056</v>
      </c>
      <c r="B9962" s="50">
        <v>45125.9245937963</v>
      </c>
      <c r="C9962" s="51">
        <v>0.999</v>
      </c>
      <c r="D9962" s="51">
        <v>71.0</v>
      </c>
      <c r="E9962" s="52" t="s">
        <v>25</v>
      </c>
      <c r="F9962" s="52" t="s">
        <v>26</v>
      </c>
      <c r="G9962" s="54"/>
    </row>
    <row r="9963">
      <c r="A9963" s="49">
        <v>45125.81005054398</v>
      </c>
      <c r="B9963" s="50">
        <v>45125.9350169328</v>
      </c>
      <c r="C9963" s="51">
        <v>0.998</v>
      </c>
      <c r="D9963" s="51">
        <v>71.0</v>
      </c>
      <c r="E9963" s="52" t="s">
        <v>25</v>
      </c>
      <c r="F9963" s="52" t="s">
        <v>26</v>
      </c>
      <c r="G9963" s="54"/>
    </row>
    <row r="9964">
      <c r="A9964" s="49">
        <v>45125.820474293985</v>
      </c>
      <c r="B9964" s="50">
        <v>45125.9454392476</v>
      </c>
      <c r="C9964" s="51">
        <v>0.998</v>
      </c>
      <c r="D9964" s="51">
        <v>71.0</v>
      </c>
      <c r="E9964" s="52" t="s">
        <v>25</v>
      </c>
      <c r="F9964" s="52" t="s">
        <v>26</v>
      </c>
      <c r="G9964" s="54"/>
    </row>
    <row r="9965">
      <c r="A9965" s="49">
        <v>45125.83091243055</v>
      </c>
      <c r="B9965" s="50">
        <v>45125.9558826388</v>
      </c>
      <c r="C9965" s="51">
        <v>0.999</v>
      </c>
      <c r="D9965" s="51">
        <v>71.0</v>
      </c>
      <c r="E9965" s="52" t="s">
        <v>25</v>
      </c>
      <c r="F9965" s="52" t="s">
        <v>26</v>
      </c>
      <c r="G9965" s="54"/>
    </row>
    <row r="9966">
      <c r="A9966" s="49">
        <v>45125.84133456019</v>
      </c>
      <c r="B9966" s="50">
        <v>45125.9663039583</v>
      </c>
      <c r="C9966" s="51">
        <v>0.999</v>
      </c>
      <c r="D9966" s="51">
        <v>71.0</v>
      </c>
      <c r="E9966" s="52" t="s">
        <v>25</v>
      </c>
      <c r="F9966" s="52" t="s">
        <v>26</v>
      </c>
      <c r="G9966" s="54"/>
    </row>
    <row r="9967">
      <c r="A9967" s="49">
        <v>45125.85174537037</v>
      </c>
      <c r="B9967" s="50">
        <v>45125.976725405</v>
      </c>
      <c r="C9967" s="51">
        <v>0.998</v>
      </c>
      <c r="D9967" s="51">
        <v>71.0</v>
      </c>
      <c r="E9967" s="52" t="s">
        <v>25</v>
      </c>
      <c r="F9967" s="52" t="s">
        <v>26</v>
      </c>
      <c r="G9967" s="54"/>
    </row>
    <row r="9968">
      <c r="A9968" s="49">
        <v>45125.86217296297</v>
      </c>
      <c r="B9968" s="50">
        <v>45125.9871476967</v>
      </c>
      <c r="C9968" s="51">
        <v>0.999</v>
      </c>
      <c r="D9968" s="51">
        <v>71.0</v>
      </c>
      <c r="E9968" s="52" t="s">
        <v>25</v>
      </c>
      <c r="F9968" s="52" t="s">
        <v>26</v>
      </c>
      <c r="G9968" s="54"/>
    </row>
    <row r="9969">
      <c r="A9969" s="49">
        <v>45125.87259333333</v>
      </c>
      <c r="B9969" s="50">
        <v>45125.9975695138</v>
      </c>
      <c r="C9969" s="51">
        <v>0.999</v>
      </c>
      <c r="D9969" s="51">
        <v>71.0</v>
      </c>
      <c r="E9969" s="52" t="s">
        <v>25</v>
      </c>
      <c r="F9969" s="52" t="s">
        <v>26</v>
      </c>
      <c r="G9969" s="54"/>
    </row>
    <row r="9970">
      <c r="A9970" s="49">
        <v>45125.8833159375</v>
      </c>
      <c r="B9970" s="50">
        <v>45126.0080151273</v>
      </c>
      <c r="C9970" s="51">
        <v>0.999</v>
      </c>
      <c r="D9970" s="51">
        <v>71.0</v>
      </c>
      <c r="E9970" s="52" t="s">
        <v>25</v>
      </c>
      <c r="F9970" s="52" t="s">
        <v>26</v>
      </c>
      <c r="G9970" s="54"/>
    </row>
    <row r="9971">
      <c r="A9971" s="49">
        <v>45125.893460543986</v>
      </c>
      <c r="B9971" s="50">
        <v>45126.0184364699</v>
      </c>
      <c r="C9971" s="51">
        <v>0.999</v>
      </c>
      <c r="D9971" s="51">
        <v>71.0</v>
      </c>
      <c r="E9971" s="52" t="s">
        <v>25</v>
      </c>
      <c r="F9971" s="52" t="s">
        <v>26</v>
      </c>
      <c r="G9971" s="54"/>
    </row>
    <row r="9972">
      <c r="A9972" s="49">
        <v>45125.90388679398</v>
      </c>
      <c r="B9972" s="50">
        <v>45126.0288573958</v>
      </c>
      <c r="C9972" s="51">
        <v>0.999</v>
      </c>
      <c r="D9972" s="51">
        <v>71.0</v>
      </c>
      <c r="E9972" s="52" t="s">
        <v>25</v>
      </c>
      <c r="F9972" s="52" t="s">
        <v>26</v>
      </c>
      <c r="G9972" s="54"/>
    </row>
    <row r="9973">
      <c r="A9973" s="49">
        <v>45125.91430975695</v>
      </c>
      <c r="B9973" s="50">
        <v>45126.0392773148</v>
      </c>
      <c r="C9973" s="51">
        <v>0.999</v>
      </c>
      <c r="D9973" s="51">
        <v>71.0</v>
      </c>
      <c r="E9973" s="52" t="s">
        <v>25</v>
      </c>
      <c r="F9973" s="52" t="s">
        <v>26</v>
      </c>
      <c r="G9973" s="54"/>
    </row>
    <row r="9974">
      <c r="A9974" s="49">
        <v>45125.93516795139</v>
      </c>
      <c r="B9974" s="50">
        <v>45126.0601309606</v>
      </c>
      <c r="C9974" s="51">
        <v>0.999</v>
      </c>
      <c r="D9974" s="51">
        <v>71.0</v>
      </c>
      <c r="E9974" s="52" t="s">
        <v>25</v>
      </c>
      <c r="F9974" s="52" t="s">
        <v>26</v>
      </c>
      <c r="G9974" s="54"/>
    </row>
    <row r="9975">
      <c r="A9975" s="49">
        <v>45125.94558741898</v>
      </c>
      <c r="B9975" s="50">
        <v>45126.0705626388</v>
      </c>
      <c r="C9975" s="51">
        <v>0.999</v>
      </c>
      <c r="D9975" s="51">
        <v>71.0</v>
      </c>
      <c r="E9975" s="52" t="s">
        <v>25</v>
      </c>
      <c r="F9975" s="52" t="s">
        <v>26</v>
      </c>
      <c r="G9975" s="54"/>
    </row>
    <row r="9976">
      <c r="A9976" s="49">
        <v>45125.95602891204</v>
      </c>
      <c r="B9976" s="50">
        <v>45126.0809947453</v>
      </c>
      <c r="C9976" s="51">
        <v>0.999</v>
      </c>
      <c r="D9976" s="51">
        <v>71.0</v>
      </c>
      <c r="E9976" s="52" t="s">
        <v>25</v>
      </c>
      <c r="F9976" s="52" t="s">
        <v>26</v>
      </c>
      <c r="G9976" s="54"/>
    </row>
    <row r="9977">
      <c r="A9977" s="49">
        <v>45125.96645868056</v>
      </c>
      <c r="B9977" s="50">
        <v>45126.0914270833</v>
      </c>
      <c r="C9977" s="51">
        <v>0.999</v>
      </c>
      <c r="D9977" s="51">
        <v>71.0</v>
      </c>
      <c r="E9977" s="52" t="s">
        <v>25</v>
      </c>
      <c r="F9977" s="52" t="s">
        <v>26</v>
      </c>
      <c r="G9977" s="54"/>
    </row>
    <row r="9978">
      <c r="A9978" s="49">
        <v>45125.97687229166</v>
      </c>
      <c r="B9978" s="50">
        <v>45126.1018509953</v>
      </c>
      <c r="C9978" s="51">
        <v>0.999</v>
      </c>
      <c r="D9978" s="51">
        <v>71.0</v>
      </c>
      <c r="E9978" s="52" t="s">
        <v>25</v>
      </c>
      <c r="F9978" s="52" t="s">
        <v>26</v>
      </c>
      <c r="G9978" s="54"/>
    </row>
    <row r="9979">
      <c r="A9979" s="49">
        <v>45125.987312557874</v>
      </c>
      <c r="B9979" s="50">
        <v>45126.1122833217</v>
      </c>
      <c r="C9979" s="51">
        <v>0.999</v>
      </c>
      <c r="D9979" s="51">
        <v>71.0</v>
      </c>
      <c r="E9979" s="52" t="s">
        <v>25</v>
      </c>
      <c r="F9979" s="52" t="s">
        <v>26</v>
      </c>
      <c r="G9979" s="54"/>
    </row>
    <row r="9980">
      <c r="A9980" s="49">
        <v>45125.99772696759</v>
      </c>
      <c r="B9980" s="50">
        <v>45126.122705</v>
      </c>
      <c r="C9980" s="51">
        <v>0.999</v>
      </c>
      <c r="D9980" s="51">
        <v>71.0</v>
      </c>
      <c r="E9980" s="52" t="s">
        <v>25</v>
      </c>
      <c r="F9980" s="52" t="s">
        <v>26</v>
      </c>
      <c r="G9980" s="54"/>
    </row>
    <row r="9981">
      <c r="A9981" s="49">
        <v>45126.00816353009</v>
      </c>
      <c r="B9981" s="50">
        <v>45126.1331251041</v>
      </c>
      <c r="C9981" s="51">
        <v>0.999</v>
      </c>
      <c r="D9981" s="51">
        <v>71.0</v>
      </c>
      <c r="E9981" s="52" t="s">
        <v>25</v>
      </c>
      <c r="F9981" s="52" t="s">
        <v>26</v>
      </c>
      <c r="G9981" s="54"/>
    </row>
    <row r="9982">
      <c r="A9982" s="49">
        <v>45126.0185716088</v>
      </c>
      <c r="B9982" s="50">
        <v>45126.1435456597</v>
      </c>
      <c r="C9982" s="51">
        <v>0.999</v>
      </c>
      <c r="D9982" s="51">
        <v>71.0</v>
      </c>
      <c r="E9982" s="52" t="s">
        <v>25</v>
      </c>
      <c r="F9982" s="52" t="s">
        <v>26</v>
      </c>
      <c r="G9982" s="54"/>
    </row>
    <row r="9983">
      <c r="A9983" s="49">
        <v>45126.029001145835</v>
      </c>
      <c r="B9983" s="50">
        <v>45126.1539796643</v>
      </c>
      <c r="C9983" s="51">
        <v>0.999</v>
      </c>
      <c r="D9983" s="51">
        <v>71.0</v>
      </c>
      <c r="E9983" s="52" t="s">
        <v>25</v>
      </c>
      <c r="F9983" s="52" t="s">
        <v>26</v>
      </c>
      <c r="G9983" s="54"/>
    </row>
    <row r="9984">
      <c r="A9984" s="49">
        <v>45126.03942936343</v>
      </c>
      <c r="B9984" s="50">
        <v>45126.1644002314</v>
      </c>
      <c r="C9984" s="51">
        <v>0.999</v>
      </c>
      <c r="D9984" s="51">
        <v>71.0</v>
      </c>
      <c r="E9984" s="52" t="s">
        <v>25</v>
      </c>
      <c r="F9984" s="52" t="s">
        <v>26</v>
      </c>
      <c r="G9984" s="54"/>
    </row>
    <row r="9985">
      <c r="A9985" s="49">
        <v>45126.04985930555</v>
      </c>
      <c r="B9985" s="50">
        <v>45126.1748334722</v>
      </c>
      <c r="C9985" s="51">
        <v>0.999</v>
      </c>
      <c r="D9985" s="51">
        <v>71.0</v>
      </c>
      <c r="E9985" s="52" t="s">
        <v>25</v>
      </c>
      <c r="F9985" s="52" t="s">
        <v>26</v>
      </c>
      <c r="G9985" s="54"/>
    </row>
    <row r="9986">
      <c r="A9986" s="49">
        <v>45126.06028984954</v>
      </c>
      <c r="B9986" s="50">
        <v>45126.1852550231</v>
      </c>
      <c r="C9986" s="51">
        <v>0.999</v>
      </c>
      <c r="D9986" s="51">
        <v>71.0</v>
      </c>
      <c r="E9986" s="52" t="s">
        <v>25</v>
      </c>
      <c r="F9986" s="52" t="s">
        <v>26</v>
      </c>
      <c r="G9986" s="54"/>
    </row>
    <row r="9987">
      <c r="A9987" s="49">
        <v>45126.070731608794</v>
      </c>
      <c r="B9987" s="50">
        <v>45126.1956990625</v>
      </c>
      <c r="C9987" s="51">
        <v>0.999</v>
      </c>
      <c r="D9987" s="51">
        <v>71.0</v>
      </c>
      <c r="E9987" s="52" t="s">
        <v>25</v>
      </c>
      <c r="F9987" s="52" t="s">
        <v>26</v>
      </c>
      <c r="G9987" s="54"/>
    </row>
    <row r="9988">
      <c r="A9988" s="49">
        <v>45126.08114766204</v>
      </c>
      <c r="B9988" s="50">
        <v>45126.2061200463</v>
      </c>
      <c r="C9988" s="51">
        <v>0.999</v>
      </c>
      <c r="D9988" s="51">
        <v>71.0</v>
      </c>
      <c r="E9988" s="52" t="s">
        <v>25</v>
      </c>
      <c r="F9988" s="52" t="s">
        <v>26</v>
      </c>
      <c r="G9988" s="54"/>
    </row>
    <row r="9989">
      <c r="A9989" s="49">
        <v>45126.0915641551</v>
      </c>
      <c r="B9989" s="50">
        <v>45126.2165418634</v>
      </c>
      <c r="C9989" s="51">
        <v>0.998</v>
      </c>
      <c r="D9989" s="51">
        <v>71.0</v>
      </c>
      <c r="E9989" s="52" t="s">
        <v>25</v>
      </c>
      <c r="F9989" s="52" t="s">
        <v>26</v>
      </c>
      <c r="G9989" s="54"/>
    </row>
    <row r="9990">
      <c r="A9990" s="49">
        <v>45126.10199414352</v>
      </c>
      <c r="B9990" s="50">
        <v>45126.226963912</v>
      </c>
      <c r="C9990" s="51">
        <v>0.999</v>
      </c>
      <c r="D9990" s="51">
        <v>71.0</v>
      </c>
      <c r="E9990" s="52" t="s">
        <v>25</v>
      </c>
      <c r="F9990" s="52" t="s">
        <v>26</v>
      </c>
      <c r="G9990" s="54"/>
    </row>
    <row r="9991">
      <c r="A9991" s="49">
        <v>45126.1124094213</v>
      </c>
      <c r="B9991" s="50">
        <v>45126.2373864236</v>
      </c>
      <c r="C9991" s="51">
        <v>0.999</v>
      </c>
      <c r="D9991" s="51">
        <v>71.0</v>
      </c>
      <c r="E9991" s="52" t="s">
        <v>25</v>
      </c>
      <c r="F9991" s="52" t="s">
        <v>26</v>
      </c>
      <c r="G9991" s="54"/>
    </row>
    <row r="9992">
      <c r="A9992" s="49">
        <v>45126.12284236111</v>
      </c>
      <c r="B9992" s="50">
        <v>45126.2478076273</v>
      </c>
      <c r="C9992" s="51">
        <v>0.999</v>
      </c>
      <c r="D9992" s="51">
        <v>71.0</v>
      </c>
      <c r="E9992" s="52" t="s">
        <v>25</v>
      </c>
      <c r="F9992" s="52" t="s">
        <v>26</v>
      </c>
      <c r="G9992" s="54"/>
    </row>
    <row r="9993">
      <c r="A9993" s="49">
        <v>45126.13325561343</v>
      </c>
      <c r="B9993" s="50">
        <v>45126.2582300463</v>
      </c>
      <c r="C9993" s="51">
        <v>0.999</v>
      </c>
      <c r="D9993" s="51">
        <v>71.0</v>
      </c>
      <c r="E9993" s="52" t="s">
        <v>25</v>
      </c>
      <c r="F9993" s="52" t="s">
        <v>26</v>
      </c>
      <c r="G9993" s="54"/>
    </row>
    <row r="9994">
      <c r="A9994" s="49">
        <v>45126.143686296295</v>
      </c>
      <c r="B9994" s="50">
        <v>45126.2686628935</v>
      </c>
      <c r="C9994" s="51">
        <v>0.999</v>
      </c>
      <c r="D9994" s="51">
        <v>71.0</v>
      </c>
      <c r="E9994" s="52" t="s">
        <v>25</v>
      </c>
      <c r="F9994" s="52" t="s">
        <v>26</v>
      </c>
      <c r="G9994" s="54"/>
    </row>
    <row r="9995">
      <c r="A9995" s="49">
        <v>45126.154114178236</v>
      </c>
      <c r="B9995" s="50">
        <v>45126.2790827314</v>
      </c>
      <c r="C9995" s="51">
        <v>0.999</v>
      </c>
      <c r="D9995" s="51">
        <v>71.0</v>
      </c>
      <c r="E9995" s="52" t="s">
        <v>25</v>
      </c>
      <c r="F9995" s="52" t="s">
        <v>26</v>
      </c>
      <c r="G9995" s="54"/>
    </row>
    <row r="9996">
      <c r="A9996" s="49">
        <v>45126.16453311342</v>
      </c>
      <c r="B9996" s="50">
        <v>45126.2895027083</v>
      </c>
      <c r="C9996" s="51">
        <v>0.999</v>
      </c>
      <c r="D9996" s="51">
        <v>71.0</v>
      </c>
      <c r="E9996" s="52" t="s">
        <v>25</v>
      </c>
      <c r="F9996" s="52" t="s">
        <v>26</v>
      </c>
      <c r="G9996" s="54"/>
    </row>
    <row r="9997">
      <c r="A9997" s="49">
        <v>45126.17495701389</v>
      </c>
      <c r="B9997" s="50">
        <v>45126.2999244097</v>
      </c>
      <c r="C9997" s="51">
        <v>0.999</v>
      </c>
      <c r="D9997" s="51">
        <v>71.0</v>
      </c>
      <c r="E9997" s="52" t="s">
        <v>25</v>
      </c>
      <c r="F9997" s="52" t="s">
        <v>26</v>
      </c>
      <c r="G9997" s="54"/>
    </row>
    <row r="9998">
      <c r="A9998" s="49">
        <v>45126.18537320602</v>
      </c>
      <c r="B9998" s="50">
        <v>45126.3103444907</v>
      </c>
      <c r="C9998" s="51">
        <v>0.999</v>
      </c>
      <c r="D9998" s="51">
        <v>71.0</v>
      </c>
      <c r="E9998" s="52" t="s">
        <v>25</v>
      </c>
      <c r="F9998" s="52" t="s">
        <v>26</v>
      </c>
      <c r="G9998" s="54"/>
    </row>
    <row r="9999">
      <c r="A9999" s="49">
        <v>45126.19579712963</v>
      </c>
      <c r="B9999" s="50">
        <v>45126.3207658101</v>
      </c>
      <c r="C9999" s="51">
        <v>0.999</v>
      </c>
      <c r="D9999" s="51">
        <v>71.0</v>
      </c>
      <c r="E9999" s="52" t="s">
        <v>25</v>
      </c>
      <c r="F9999" s="52" t="s">
        <v>26</v>
      </c>
      <c r="G9999" s="54"/>
    </row>
    <row r="10000">
      <c r="A10000" s="49">
        <v>45126.206214942125</v>
      </c>
      <c r="B10000" s="50">
        <v>45126.3311872685</v>
      </c>
      <c r="C10000" s="51">
        <v>0.999</v>
      </c>
      <c r="D10000" s="51">
        <v>71.0</v>
      </c>
      <c r="E10000" s="52" t="s">
        <v>25</v>
      </c>
      <c r="F10000" s="52" t="s">
        <v>26</v>
      </c>
      <c r="G10000" s="54"/>
    </row>
    <row r="10001">
      <c r="A10001" s="49">
        <v>45126.21663715278</v>
      </c>
      <c r="B10001" s="50">
        <v>45126.3416060416</v>
      </c>
      <c r="C10001" s="51">
        <v>0.999</v>
      </c>
      <c r="D10001" s="51">
        <v>71.0</v>
      </c>
      <c r="E10001" s="52" t="s">
        <v>25</v>
      </c>
      <c r="F10001" s="52" t="s">
        <v>26</v>
      </c>
      <c r="G10001" s="54"/>
    </row>
    <row r="10002">
      <c r="A10002" s="49">
        <v>45126.227065960644</v>
      </c>
      <c r="B10002" s="50">
        <v>45126.3520268518</v>
      </c>
      <c r="C10002" s="51">
        <v>0.999</v>
      </c>
      <c r="D10002" s="51">
        <v>71.0</v>
      </c>
      <c r="E10002" s="52" t="s">
        <v>25</v>
      </c>
      <c r="F10002" s="52" t="s">
        <v>26</v>
      </c>
      <c r="G10002" s="54"/>
    </row>
    <row r="10003">
      <c r="A10003" s="49">
        <v>45126.23747596065</v>
      </c>
      <c r="B10003" s="50">
        <v>45126.3624484953</v>
      </c>
      <c r="C10003" s="51">
        <v>0.999</v>
      </c>
      <c r="D10003" s="51">
        <v>71.0</v>
      </c>
      <c r="E10003" s="52" t="s">
        <v>25</v>
      </c>
      <c r="F10003" s="52" t="s">
        <v>26</v>
      </c>
      <c r="G10003" s="54"/>
    </row>
    <row r="10004">
      <c r="A10004" s="49">
        <v>45126.247890405095</v>
      </c>
      <c r="B10004" s="50">
        <v>45126.3728694213</v>
      </c>
      <c r="C10004" s="51">
        <v>0.998</v>
      </c>
      <c r="D10004" s="51">
        <v>71.0</v>
      </c>
      <c r="E10004" s="52" t="s">
        <v>25</v>
      </c>
      <c r="F10004" s="52" t="s">
        <v>26</v>
      </c>
      <c r="G10004" s="54"/>
    </row>
    <row r="10005">
      <c r="A10005" s="49">
        <v>45126.25833519676</v>
      </c>
      <c r="B10005" s="50">
        <v>45126.3833022685</v>
      </c>
      <c r="C10005" s="51">
        <v>0.998</v>
      </c>
      <c r="D10005" s="51">
        <v>71.0</v>
      </c>
      <c r="E10005" s="52" t="s">
        <v>25</v>
      </c>
      <c r="F10005" s="52" t="s">
        <v>26</v>
      </c>
      <c r="G10005" s="54"/>
    </row>
    <row r="10006">
      <c r="A10006" s="49">
        <v>45126.2687484375</v>
      </c>
      <c r="B10006" s="50">
        <v>45126.3937247106</v>
      </c>
      <c r="C10006" s="51">
        <v>0.999</v>
      </c>
      <c r="D10006" s="51">
        <v>71.0</v>
      </c>
      <c r="E10006" s="52" t="s">
        <v>25</v>
      </c>
      <c r="F10006" s="52" t="s">
        <v>26</v>
      </c>
      <c r="G10006" s="54"/>
    </row>
    <row r="10007">
      <c r="A10007" s="49">
        <v>45126.27918554399</v>
      </c>
      <c r="B10007" s="50">
        <v>45126.4041581597</v>
      </c>
      <c r="C10007" s="51">
        <v>0.999</v>
      </c>
      <c r="D10007" s="51">
        <v>71.0</v>
      </c>
      <c r="E10007" s="52" t="s">
        <v>25</v>
      </c>
      <c r="F10007" s="52" t="s">
        <v>26</v>
      </c>
      <c r="G10007" s="54"/>
    </row>
    <row r="10008">
      <c r="A10008" s="49">
        <v>45126.28960780092</v>
      </c>
      <c r="B10008" s="50">
        <v>45126.4145790277</v>
      </c>
      <c r="C10008" s="51">
        <v>0.999</v>
      </c>
      <c r="D10008" s="51">
        <v>71.0</v>
      </c>
      <c r="E10008" s="52" t="s">
        <v>25</v>
      </c>
      <c r="F10008" s="52" t="s">
        <v>26</v>
      </c>
      <c r="G10008" s="54"/>
    </row>
    <row r="10009">
      <c r="A10009" s="49">
        <v>45126.3000358912</v>
      </c>
      <c r="B10009" s="50">
        <v>45126.4250023379</v>
      </c>
      <c r="C10009" s="51">
        <v>0.999</v>
      </c>
      <c r="D10009" s="51">
        <v>71.0</v>
      </c>
      <c r="E10009" s="52" t="s">
        <v>25</v>
      </c>
      <c r="F10009" s="52" t="s">
        <v>26</v>
      </c>
      <c r="G10009" s="54"/>
    </row>
    <row r="10010">
      <c r="A10010" s="49">
        <v>45126.31044583333</v>
      </c>
      <c r="B10010" s="50">
        <v>45126.4354237037</v>
      </c>
      <c r="C10010" s="51">
        <v>0.999</v>
      </c>
      <c r="D10010" s="51">
        <v>71.0</v>
      </c>
      <c r="E10010" s="52" t="s">
        <v>25</v>
      </c>
      <c r="F10010" s="52" t="s">
        <v>26</v>
      </c>
      <c r="G10010" s="54"/>
    </row>
    <row r="10011">
      <c r="A10011" s="49">
        <v>45126.320875798614</v>
      </c>
      <c r="B10011" s="50">
        <v>45126.4458454051</v>
      </c>
      <c r="C10011" s="51">
        <v>0.999</v>
      </c>
      <c r="D10011" s="51">
        <v>71.0</v>
      </c>
      <c r="E10011" s="52" t="s">
        <v>25</v>
      </c>
      <c r="F10011" s="52" t="s">
        <v>26</v>
      </c>
      <c r="G10011" s="54"/>
    </row>
    <row r="10012">
      <c r="A10012" s="49">
        <v>45126.331311180555</v>
      </c>
      <c r="B10012" s="50">
        <v>45126.4562879745</v>
      </c>
      <c r="C10012" s="51">
        <v>0.998</v>
      </c>
      <c r="D10012" s="51">
        <v>71.0</v>
      </c>
      <c r="E10012" s="52" t="s">
        <v>25</v>
      </c>
      <c r="F10012" s="52" t="s">
        <v>26</v>
      </c>
      <c r="G10012" s="54"/>
    </row>
    <row r="10013">
      <c r="A10013" s="49">
        <v>45126.341730659726</v>
      </c>
      <c r="B10013" s="50">
        <v>45126.4667082638</v>
      </c>
      <c r="C10013" s="51">
        <v>0.999</v>
      </c>
      <c r="D10013" s="51">
        <v>71.0</v>
      </c>
      <c r="E10013" s="52" t="s">
        <v>25</v>
      </c>
      <c r="F10013" s="52" t="s">
        <v>26</v>
      </c>
      <c r="G10013" s="54"/>
    </row>
    <row r="10014">
      <c r="A10014" s="49">
        <v>45126.35215857639</v>
      </c>
      <c r="B10014" s="50">
        <v>45126.4771293865</v>
      </c>
      <c r="C10014" s="51">
        <v>0.999</v>
      </c>
      <c r="D10014" s="51">
        <v>71.0</v>
      </c>
      <c r="E10014" s="52" t="s">
        <v>25</v>
      </c>
      <c r="F10014" s="52" t="s">
        <v>26</v>
      </c>
      <c r="G10014" s="54"/>
    </row>
    <row r="10015">
      <c r="A10015" s="49">
        <v>45126.36260094907</v>
      </c>
      <c r="B10015" s="50">
        <v>45126.4875616203</v>
      </c>
      <c r="C10015" s="51">
        <v>0.999</v>
      </c>
      <c r="D10015" s="51">
        <v>71.0</v>
      </c>
      <c r="E10015" s="52" t="s">
        <v>25</v>
      </c>
      <c r="F10015" s="52" t="s">
        <v>26</v>
      </c>
      <c r="G10015" s="54"/>
    </row>
    <row r="10016">
      <c r="A10016" s="49">
        <v>45126.37302809028</v>
      </c>
      <c r="B10016" s="50">
        <v>45126.4980052199</v>
      </c>
      <c r="C10016" s="51">
        <v>0.999</v>
      </c>
      <c r="D10016" s="51">
        <v>71.0</v>
      </c>
      <c r="E10016" s="52" t="s">
        <v>25</v>
      </c>
      <c r="F10016" s="52" t="s">
        <v>26</v>
      </c>
      <c r="G10016" s="54"/>
    </row>
    <row r="10017">
      <c r="A10017" s="49">
        <v>45126.38345925926</v>
      </c>
      <c r="B10017" s="50">
        <v>45126.5084264583</v>
      </c>
      <c r="C10017" s="51">
        <v>0.999</v>
      </c>
      <c r="D10017" s="51">
        <v>71.0</v>
      </c>
      <c r="E10017" s="52" t="s">
        <v>25</v>
      </c>
      <c r="F10017" s="52" t="s">
        <v>26</v>
      </c>
      <c r="G10017" s="54"/>
    </row>
    <row r="10018">
      <c r="A10018" s="49">
        <v>45126.393888923616</v>
      </c>
      <c r="B10018" s="50">
        <v>45126.5188578588</v>
      </c>
      <c r="C10018" s="51">
        <v>0.999</v>
      </c>
      <c r="D10018" s="51">
        <v>71.0</v>
      </c>
      <c r="E10018" s="52" t="s">
        <v>25</v>
      </c>
      <c r="F10018" s="52" t="s">
        <v>26</v>
      </c>
      <c r="G10018" s="54"/>
    </row>
    <row r="10019">
      <c r="A10019" s="49">
        <v>45126.40430886574</v>
      </c>
      <c r="B10019" s="50">
        <v>45126.5292797338</v>
      </c>
      <c r="C10019" s="51">
        <v>0.999</v>
      </c>
      <c r="D10019" s="51">
        <v>71.0</v>
      </c>
      <c r="E10019" s="52" t="s">
        <v>25</v>
      </c>
      <c r="F10019" s="52" t="s">
        <v>26</v>
      </c>
      <c r="G10019" s="54"/>
    </row>
    <row r="10020">
      <c r="A10020" s="49">
        <v>45126.41473642361</v>
      </c>
      <c r="B10020" s="50">
        <v>45126.5397016435</v>
      </c>
      <c r="C10020" s="51">
        <v>0.999</v>
      </c>
      <c r="D10020" s="51">
        <v>71.0</v>
      </c>
      <c r="E10020" s="52" t="s">
        <v>25</v>
      </c>
      <c r="F10020" s="52" t="s">
        <v>26</v>
      </c>
      <c r="G10020" s="54"/>
    </row>
    <row r="10021">
      <c r="A10021" s="49">
        <v>45126.4251588426</v>
      </c>
      <c r="B10021" s="50">
        <v>45126.5501229398</v>
      </c>
      <c r="C10021" s="51">
        <v>0.999</v>
      </c>
      <c r="D10021" s="51">
        <v>71.0</v>
      </c>
      <c r="E10021" s="52" t="s">
        <v>25</v>
      </c>
      <c r="F10021" s="52" t="s">
        <v>26</v>
      </c>
      <c r="G10021" s="54"/>
    </row>
    <row r="10022">
      <c r="A10022" s="49">
        <v>45126.43556809028</v>
      </c>
      <c r="B10022" s="50">
        <v>45126.5605441666</v>
      </c>
      <c r="C10022" s="51">
        <v>0.999</v>
      </c>
      <c r="D10022" s="51">
        <v>71.0</v>
      </c>
      <c r="E10022" s="52" t="s">
        <v>25</v>
      </c>
      <c r="F10022" s="52" t="s">
        <v>26</v>
      </c>
      <c r="G10022" s="54"/>
    </row>
    <row r="10023">
      <c r="A10023" s="49">
        <v>45126.44600096065</v>
      </c>
      <c r="B10023" s="50">
        <v>45126.5709776851</v>
      </c>
      <c r="C10023" s="51">
        <v>0.999</v>
      </c>
      <c r="D10023" s="51">
        <v>71.0</v>
      </c>
      <c r="E10023" s="52" t="s">
        <v>25</v>
      </c>
      <c r="F10023" s="52" t="s">
        <v>26</v>
      </c>
      <c r="G10023" s="54"/>
    </row>
    <row r="10024">
      <c r="A10024" s="49">
        <v>45126.45642508102</v>
      </c>
      <c r="B10024" s="50">
        <v>45126.5813986342</v>
      </c>
      <c r="C10024" s="51">
        <v>0.999</v>
      </c>
      <c r="D10024" s="51">
        <v>71.0</v>
      </c>
      <c r="E10024" s="52" t="s">
        <v>25</v>
      </c>
      <c r="F10024" s="52" t="s">
        <v>26</v>
      </c>
      <c r="G10024" s="54"/>
    </row>
    <row r="10025">
      <c r="A10025" s="49">
        <v>45126.46685009259</v>
      </c>
      <c r="B10025" s="50">
        <v>45126.5918210185</v>
      </c>
      <c r="C10025" s="51">
        <v>0.999</v>
      </c>
      <c r="D10025" s="51">
        <v>71.0</v>
      </c>
      <c r="E10025" s="52" t="s">
        <v>25</v>
      </c>
      <c r="F10025" s="52" t="s">
        <v>26</v>
      </c>
      <c r="G10025" s="54"/>
    </row>
    <row r="10026">
      <c r="A10026" s="49">
        <v>45126.47727429398</v>
      </c>
      <c r="B10026" s="50">
        <v>45126.6022417592</v>
      </c>
      <c r="C10026" s="51">
        <v>0.999</v>
      </c>
      <c r="D10026" s="51">
        <v>71.0</v>
      </c>
      <c r="E10026" s="52" t="s">
        <v>25</v>
      </c>
      <c r="F10026" s="52" t="s">
        <v>26</v>
      </c>
      <c r="G10026" s="54"/>
    </row>
    <row r="10027">
      <c r="A10027" s="49">
        <v>45126.48769289352</v>
      </c>
      <c r="B10027" s="50">
        <v>45126.6126618171</v>
      </c>
      <c r="C10027" s="51">
        <v>0.999</v>
      </c>
      <c r="D10027" s="51">
        <v>71.0</v>
      </c>
      <c r="E10027" s="52" t="s">
        <v>25</v>
      </c>
      <c r="F10027" s="52" t="s">
        <v>26</v>
      </c>
      <c r="G10027" s="54"/>
    </row>
    <row r="10028">
      <c r="A10028" s="49">
        <v>45126.49812054398</v>
      </c>
      <c r="B10028" s="50">
        <v>45126.6230837963</v>
      </c>
      <c r="C10028" s="51">
        <v>0.999</v>
      </c>
      <c r="D10028" s="51">
        <v>71.0</v>
      </c>
      <c r="E10028" s="52" t="s">
        <v>25</v>
      </c>
      <c r="F10028" s="52" t="s">
        <v>26</v>
      </c>
      <c r="G10028" s="54"/>
    </row>
    <row r="10029">
      <c r="A10029" s="49">
        <v>45126.50852934028</v>
      </c>
      <c r="B10029" s="50">
        <v>45126.6335061921</v>
      </c>
      <c r="C10029" s="51">
        <v>0.999</v>
      </c>
      <c r="D10029" s="51">
        <v>71.0</v>
      </c>
      <c r="E10029" s="52" t="s">
        <v>25</v>
      </c>
      <c r="F10029" s="52" t="s">
        <v>26</v>
      </c>
      <c r="G10029" s="54"/>
    </row>
    <row r="10030">
      <c r="A10030" s="49">
        <v>45126.51897123843</v>
      </c>
      <c r="B10030" s="50">
        <v>45126.6439389699</v>
      </c>
      <c r="C10030" s="51">
        <v>0.999</v>
      </c>
      <c r="D10030" s="51">
        <v>71.0</v>
      </c>
      <c r="E10030" s="52" t="s">
        <v>25</v>
      </c>
      <c r="F10030" s="52" t="s">
        <v>26</v>
      </c>
      <c r="G10030" s="54"/>
    </row>
    <row r="10031">
      <c r="A10031" s="49">
        <v>45126.529388854164</v>
      </c>
      <c r="B10031" s="50">
        <v>45126.6543591435</v>
      </c>
      <c r="C10031" s="51">
        <v>0.999</v>
      </c>
      <c r="D10031" s="51">
        <v>71.0</v>
      </c>
      <c r="E10031" s="52" t="s">
        <v>25</v>
      </c>
      <c r="F10031" s="52" t="s">
        <v>26</v>
      </c>
      <c r="G10031" s="54"/>
    </row>
    <row r="10032">
      <c r="A10032" s="49">
        <v>45126.53980922454</v>
      </c>
      <c r="B10032" s="50">
        <v>45126.6647801736</v>
      </c>
      <c r="C10032" s="51">
        <v>0.998</v>
      </c>
      <c r="D10032" s="51">
        <v>71.0</v>
      </c>
      <c r="E10032" s="52" t="s">
        <v>25</v>
      </c>
      <c r="F10032" s="52" t="s">
        <v>26</v>
      </c>
      <c r="G10032" s="54"/>
    </row>
    <row r="10033">
      <c r="A10033" s="49">
        <v>45126.55022909722</v>
      </c>
      <c r="B10033" s="50">
        <v>45126.6752004282</v>
      </c>
      <c r="C10033" s="51">
        <v>0.999</v>
      </c>
      <c r="D10033" s="51">
        <v>71.0</v>
      </c>
      <c r="E10033" s="52" t="s">
        <v>25</v>
      </c>
      <c r="F10033" s="52" t="s">
        <v>26</v>
      </c>
      <c r="G10033" s="54"/>
    </row>
    <row r="10034">
      <c r="A10034" s="49">
        <v>45126.56065230324</v>
      </c>
      <c r="B10034" s="50">
        <v>45126.6856220601</v>
      </c>
      <c r="C10034" s="51">
        <v>0.999</v>
      </c>
      <c r="D10034" s="51">
        <v>71.0</v>
      </c>
      <c r="E10034" s="52" t="s">
        <v>25</v>
      </c>
      <c r="F10034" s="52" t="s">
        <v>26</v>
      </c>
      <c r="G10034" s="54"/>
    </row>
    <row r="10035">
      <c r="A10035" s="49">
        <v>45126.5711058912</v>
      </c>
      <c r="B10035" s="50">
        <v>45126.6960784143</v>
      </c>
      <c r="C10035" s="51">
        <v>0.999</v>
      </c>
      <c r="D10035" s="51">
        <v>71.0</v>
      </c>
      <c r="E10035" s="52" t="s">
        <v>25</v>
      </c>
      <c r="F10035" s="52" t="s">
        <v>26</v>
      </c>
      <c r="G10035" s="54"/>
    </row>
    <row r="10036">
      <c r="A10036" s="49">
        <v>45126.58152402777</v>
      </c>
      <c r="B10036" s="50">
        <v>45126.706499375</v>
      </c>
      <c r="C10036" s="51">
        <v>0.999</v>
      </c>
      <c r="D10036" s="51">
        <v>71.0</v>
      </c>
      <c r="E10036" s="52" t="s">
        <v>25</v>
      </c>
      <c r="F10036" s="52" t="s">
        <v>26</v>
      </c>
      <c r="G10036" s="54"/>
    </row>
    <row r="10037">
      <c r="A10037" s="49">
        <v>45126.59196106481</v>
      </c>
      <c r="B10037" s="50">
        <v>45126.716921412</v>
      </c>
      <c r="C10037" s="51">
        <v>0.999</v>
      </c>
      <c r="D10037" s="51">
        <v>71.0</v>
      </c>
      <c r="E10037" s="52" t="s">
        <v>25</v>
      </c>
      <c r="F10037" s="52" t="s">
        <v>26</v>
      </c>
      <c r="G10037" s="54"/>
    </row>
    <row r="10038">
      <c r="A10038" s="49">
        <v>45126.60237025463</v>
      </c>
      <c r="B10038" s="50">
        <v>45126.7273423379</v>
      </c>
      <c r="C10038" s="51">
        <v>0.999</v>
      </c>
      <c r="D10038" s="51">
        <v>71.0</v>
      </c>
      <c r="E10038" s="52" t="s">
        <v>25</v>
      </c>
      <c r="F10038" s="52" t="s">
        <v>26</v>
      </c>
      <c r="G10038" s="54"/>
    </row>
    <row r="10039">
      <c r="A10039" s="49">
        <v>45126.61279027778</v>
      </c>
      <c r="B10039" s="50">
        <v>45126.7377632176</v>
      </c>
      <c r="C10039" s="51">
        <v>0.999</v>
      </c>
      <c r="D10039" s="51">
        <v>71.0</v>
      </c>
      <c r="E10039" s="52" t="s">
        <v>25</v>
      </c>
      <c r="F10039" s="52" t="s">
        <v>26</v>
      </c>
      <c r="G10039" s="54"/>
    </row>
    <row r="10040">
      <c r="A10040" s="49">
        <v>45126.623203020834</v>
      </c>
      <c r="B10040" s="50">
        <v>45126.7481832175</v>
      </c>
      <c r="C10040" s="51">
        <v>0.999</v>
      </c>
      <c r="D10040" s="51">
        <v>71.0</v>
      </c>
      <c r="E10040" s="52" t="s">
        <v>25</v>
      </c>
      <c r="F10040" s="52" t="s">
        <v>26</v>
      </c>
      <c r="G10040" s="54"/>
    </row>
    <row r="10041">
      <c r="A10041" s="49">
        <v>45126.633635729166</v>
      </c>
      <c r="B10041" s="50">
        <v>45126.7586046064</v>
      </c>
      <c r="C10041" s="51">
        <v>0.999</v>
      </c>
      <c r="D10041" s="51">
        <v>71.0</v>
      </c>
      <c r="E10041" s="52" t="s">
        <v>25</v>
      </c>
      <c r="F10041" s="52" t="s">
        <v>26</v>
      </c>
      <c r="G10041" s="54"/>
    </row>
    <row r="10042">
      <c r="A10042" s="49">
        <v>45126.6440531713</v>
      </c>
      <c r="B10042" s="50">
        <v>45126.7690263888</v>
      </c>
      <c r="C10042" s="51">
        <v>0.999</v>
      </c>
      <c r="D10042" s="51">
        <v>71.0</v>
      </c>
      <c r="E10042" s="52" t="s">
        <v>25</v>
      </c>
      <c r="F10042" s="52" t="s">
        <v>26</v>
      </c>
      <c r="G10042" s="54"/>
    </row>
    <row r="10043">
      <c r="A10043" s="49">
        <v>45126.65448046297</v>
      </c>
      <c r="B10043" s="50">
        <v>45126.7794474652</v>
      </c>
      <c r="C10043" s="51">
        <v>0.998</v>
      </c>
      <c r="D10043" s="51">
        <v>71.0</v>
      </c>
      <c r="E10043" s="52" t="s">
        <v>25</v>
      </c>
      <c r="F10043" s="52" t="s">
        <v>26</v>
      </c>
      <c r="G10043" s="54"/>
    </row>
    <row r="10044">
      <c r="A10044" s="49">
        <v>45126.66489494213</v>
      </c>
      <c r="B10044" s="50">
        <v>45126.7898689236</v>
      </c>
      <c r="C10044" s="51">
        <v>0.999</v>
      </c>
      <c r="D10044" s="51">
        <v>71.0</v>
      </c>
      <c r="E10044" s="52" t="s">
        <v>25</v>
      </c>
      <c r="F10044" s="52" t="s">
        <v>26</v>
      </c>
      <c r="G10044" s="54"/>
    </row>
    <row r="10045">
      <c r="A10045" s="49">
        <v>45126.67531553241</v>
      </c>
      <c r="B10045" s="50">
        <v>45126.8002884953</v>
      </c>
      <c r="C10045" s="51">
        <v>0.999</v>
      </c>
      <c r="D10045" s="51">
        <v>71.0</v>
      </c>
      <c r="E10045" s="52" t="s">
        <v>25</v>
      </c>
      <c r="F10045" s="52" t="s">
        <v>26</v>
      </c>
      <c r="G10045" s="54"/>
    </row>
    <row r="10046">
      <c r="A10046" s="49">
        <v>45126.68576280093</v>
      </c>
      <c r="B10046" s="50">
        <v>45126.8107318981</v>
      </c>
      <c r="C10046" s="51">
        <v>0.998</v>
      </c>
      <c r="D10046" s="51">
        <v>71.0</v>
      </c>
      <c r="E10046" s="52" t="s">
        <v>25</v>
      </c>
      <c r="F10046" s="52" t="s">
        <v>26</v>
      </c>
      <c r="G10046" s="54"/>
    </row>
    <row r="10047">
      <c r="A10047" s="49">
        <v>45126.69618167824</v>
      </c>
      <c r="B10047" s="50">
        <v>45126.8211528125</v>
      </c>
      <c r="C10047" s="51">
        <v>0.999</v>
      </c>
      <c r="D10047" s="51">
        <v>71.0</v>
      </c>
      <c r="E10047" s="52" t="s">
        <v>25</v>
      </c>
      <c r="F10047" s="52" t="s">
        <v>26</v>
      </c>
      <c r="G10047" s="54"/>
    </row>
    <row r="10048">
      <c r="A10048" s="49">
        <v>45126.70661011574</v>
      </c>
      <c r="B10048" s="50">
        <v>45126.8315734375</v>
      </c>
      <c r="C10048" s="51">
        <v>0.999</v>
      </c>
      <c r="D10048" s="51">
        <v>71.0</v>
      </c>
      <c r="E10048" s="52" t="s">
        <v>25</v>
      </c>
      <c r="F10048" s="52" t="s">
        <v>26</v>
      </c>
      <c r="G10048" s="54"/>
    </row>
    <row r="10049">
      <c r="A10049" s="49">
        <v>45126.717036898146</v>
      </c>
      <c r="B10049" s="50">
        <v>45126.8420050115</v>
      </c>
      <c r="C10049" s="51">
        <v>0.999</v>
      </c>
      <c r="D10049" s="51">
        <v>71.0</v>
      </c>
      <c r="E10049" s="52" t="s">
        <v>25</v>
      </c>
      <c r="F10049" s="52" t="s">
        <v>26</v>
      </c>
      <c r="G10049" s="54"/>
    </row>
    <row r="10050">
      <c r="A10050" s="49">
        <v>45126.72746721064</v>
      </c>
      <c r="B10050" s="50">
        <v>45126.8524356365</v>
      </c>
      <c r="C10050" s="51">
        <v>0.999</v>
      </c>
      <c r="D10050" s="51">
        <v>71.0</v>
      </c>
      <c r="E10050" s="52" t="s">
        <v>25</v>
      </c>
      <c r="F10050" s="52" t="s">
        <v>26</v>
      </c>
      <c r="G10050" s="54"/>
    </row>
    <row r="10051">
      <c r="A10051" s="49">
        <v>45126.7378955787</v>
      </c>
      <c r="B10051" s="50">
        <v>45126.86286875</v>
      </c>
      <c r="C10051" s="51">
        <v>0.999</v>
      </c>
      <c r="D10051" s="51">
        <v>71.0</v>
      </c>
      <c r="E10051" s="52" t="s">
        <v>25</v>
      </c>
      <c r="F10051" s="52" t="s">
        <v>26</v>
      </c>
      <c r="G10051" s="54"/>
    </row>
    <row r="10052">
      <c r="A10052" s="49">
        <v>45126.7483143287</v>
      </c>
      <c r="B10052" s="50">
        <v>45126.8732891319</v>
      </c>
      <c r="C10052" s="51">
        <v>0.998</v>
      </c>
      <c r="D10052" s="51">
        <v>71.0</v>
      </c>
      <c r="E10052" s="52" t="s">
        <v>25</v>
      </c>
      <c r="F10052" s="52" t="s">
        <v>26</v>
      </c>
      <c r="G10052" s="54"/>
    </row>
    <row r="10053">
      <c r="A10053" s="49">
        <v>45126.758757013886</v>
      </c>
      <c r="B10053" s="50">
        <v>45126.8837338773</v>
      </c>
      <c r="C10053" s="51">
        <v>0.999</v>
      </c>
      <c r="D10053" s="51">
        <v>71.0</v>
      </c>
      <c r="E10053" s="52" t="s">
        <v>25</v>
      </c>
      <c r="F10053" s="52" t="s">
        <v>26</v>
      </c>
      <c r="G10053" s="54"/>
    </row>
    <row r="10054">
      <c r="A10054" s="49">
        <v>45126.76918599537</v>
      </c>
      <c r="B10054" s="50">
        <v>45126.8941558333</v>
      </c>
      <c r="C10054" s="51">
        <v>0.999</v>
      </c>
      <c r="D10054" s="51">
        <v>71.0</v>
      </c>
      <c r="E10054" s="52" t="s">
        <v>25</v>
      </c>
      <c r="F10054" s="52" t="s">
        <v>26</v>
      </c>
      <c r="G10054" s="54"/>
    </row>
    <row r="10055">
      <c r="A10055" s="49">
        <v>45126.77960731482</v>
      </c>
      <c r="B10055" s="50">
        <v>45126.904578368</v>
      </c>
      <c r="C10055" s="51">
        <v>0.999</v>
      </c>
      <c r="D10055" s="51">
        <v>71.0</v>
      </c>
      <c r="E10055" s="52" t="s">
        <v>25</v>
      </c>
      <c r="F10055" s="52" t="s">
        <v>26</v>
      </c>
      <c r="G10055" s="54"/>
    </row>
    <row r="10056">
      <c r="A10056" s="49">
        <v>45126.7900338426</v>
      </c>
      <c r="B10056" s="50">
        <v>45126.9149984837</v>
      </c>
      <c r="C10056" s="51">
        <v>0.999</v>
      </c>
      <c r="D10056" s="51">
        <v>71.0</v>
      </c>
      <c r="E10056" s="52" t="s">
        <v>25</v>
      </c>
      <c r="F10056" s="52" t="s">
        <v>26</v>
      </c>
      <c r="G10056" s="54"/>
    </row>
    <row r="10057">
      <c r="A10057" s="49">
        <v>45126.80043913194</v>
      </c>
      <c r="B10057" s="50">
        <v>45126.9254175115</v>
      </c>
      <c r="C10057" s="51">
        <v>0.999</v>
      </c>
      <c r="D10057" s="51">
        <v>71.0</v>
      </c>
      <c r="E10057" s="52" t="s">
        <v>25</v>
      </c>
      <c r="F10057" s="52" t="s">
        <v>26</v>
      </c>
      <c r="G10057" s="54"/>
    </row>
    <row r="10058">
      <c r="A10058" s="49">
        <v>45126.81088096065</v>
      </c>
      <c r="B10058" s="50">
        <v>45126.9358500347</v>
      </c>
      <c r="C10058" s="51">
        <v>0.999</v>
      </c>
      <c r="D10058" s="51">
        <v>71.0</v>
      </c>
      <c r="E10058" s="52" t="s">
        <v>25</v>
      </c>
      <c r="F10058" s="52" t="s">
        <v>26</v>
      </c>
      <c r="G10058" s="54"/>
    </row>
    <row r="10059">
      <c r="A10059" s="49">
        <v>45126.82129501157</v>
      </c>
      <c r="B10059" s="50">
        <v>45126.9462723611</v>
      </c>
      <c r="C10059" s="51">
        <v>0.999</v>
      </c>
      <c r="D10059" s="51">
        <v>71.0</v>
      </c>
      <c r="E10059" s="52" t="s">
        <v>25</v>
      </c>
      <c r="F10059" s="52" t="s">
        <v>26</v>
      </c>
      <c r="G10059" s="54"/>
    </row>
    <row r="10060">
      <c r="A10060" s="49">
        <v>45126.83172369213</v>
      </c>
      <c r="B10060" s="50">
        <v>45126.9566937152</v>
      </c>
      <c r="C10060" s="51">
        <v>0.999</v>
      </c>
      <c r="D10060" s="51">
        <v>71.0</v>
      </c>
      <c r="E10060" s="52" t="s">
        <v>25</v>
      </c>
      <c r="F10060" s="52" t="s">
        <v>26</v>
      </c>
      <c r="G10060" s="54"/>
    </row>
    <row r="10061">
      <c r="A10061" s="49">
        <v>45126.84213961806</v>
      </c>
      <c r="B10061" s="50">
        <v>45126.9671139583</v>
      </c>
      <c r="C10061" s="51">
        <v>0.999</v>
      </c>
      <c r="D10061" s="51">
        <v>71.0</v>
      </c>
      <c r="E10061" s="52" t="s">
        <v>25</v>
      </c>
      <c r="F10061" s="52" t="s">
        <v>26</v>
      </c>
      <c r="G10061" s="54"/>
    </row>
    <row r="10062">
      <c r="A10062" s="49">
        <v>45126.85255494213</v>
      </c>
      <c r="B10062" s="50">
        <v>45126.9775332176</v>
      </c>
      <c r="C10062" s="51">
        <v>0.999</v>
      </c>
      <c r="D10062" s="51">
        <v>71.0</v>
      </c>
      <c r="E10062" s="52" t="s">
        <v>25</v>
      </c>
      <c r="F10062" s="52" t="s">
        <v>26</v>
      </c>
      <c r="G10062" s="54"/>
    </row>
    <row r="10063">
      <c r="A10063" s="49">
        <v>45126.86298582176</v>
      </c>
      <c r="B10063" s="50">
        <v>45126.9879575231</v>
      </c>
      <c r="C10063" s="51">
        <v>0.999</v>
      </c>
      <c r="D10063" s="51">
        <v>71.0</v>
      </c>
      <c r="E10063" s="52" t="s">
        <v>25</v>
      </c>
      <c r="F10063" s="52" t="s">
        <v>26</v>
      </c>
      <c r="G10063" s="54"/>
    </row>
    <row r="10064">
      <c r="A10064" s="49">
        <v>45126.87340747685</v>
      </c>
      <c r="B10064" s="50">
        <v>45126.9983774189</v>
      </c>
      <c r="C10064" s="51">
        <v>0.998</v>
      </c>
      <c r="D10064" s="51">
        <v>71.0</v>
      </c>
      <c r="E10064" s="52" t="s">
        <v>25</v>
      </c>
      <c r="F10064" s="52" t="s">
        <v>26</v>
      </c>
      <c r="G10064" s="54"/>
    </row>
    <row r="10065">
      <c r="A10065" s="49">
        <v>45126.88382162037</v>
      </c>
      <c r="B10065" s="50">
        <v>45127.0087980324</v>
      </c>
      <c r="C10065" s="51">
        <v>0.999</v>
      </c>
      <c r="D10065" s="51">
        <v>71.0</v>
      </c>
      <c r="E10065" s="52" t="s">
        <v>25</v>
      </c>
      <c r="F10065" s="52" t="s">
        <v>26</v>
      </c>
      <c r="G10065" s="54"/>
    </row>
    <row r="10066">
      <c r="A10066" s="49">
        <v>45126.89424342592</v>
      </c>
      <c r="B10066" s="50">
        <v>45127.0192210648</v>
      </c>
      <c r="C10066" s="51">
        <v>0.999</v>
      </c>
      <c r="D10066" s="51">
        <v>71.0</v>
      </c>
      <c r="E10066" s="52" t="s">
        <v>25</v>
      </c>
      <c r="F10066" s="52" t="s">
        <v>26</v>
      </c>
      <c r="G10066" s="54"/>
    </row>
    <row r="10067">
      <c r="A10067" s="49">
        <v>45126.90466800926</v>
      </c>
      <c r="B10067" s="50">
        <v>45127.0296443171</v>
      </c>
      <c r="C10067" s="51">
        <v>0.999</v>
      </c>
      <c r="D10067" s="51">
        <v>71.0</v>
      </c>
      <c r="E10067" s="52" t="s">
        <v>25</v>
      </c>
      <c r="F10067" s="52" t="s">
        <v>26</v>
      </c>
      <c r="G10067" s="54"/>
    </row>
    <row r="10068">
      <c r="A10068" s="49">
        <v>45126.91508880787</v>
      </c>
      <c r="B10068" s="50">
        <v>45127.0400648726</v>
      </c>
      <c r="C10068" s="51">
        <v>0.999</v>
      </c>
      <c r="D10068" s="51">
        <v>71.0</v>
      </c>
      <c r="E10068" s="52" t="s">
        <v>25</v>
      </c>
      <c r="F10068" s="52" t="s">
        <v>26</v>
      </c>
      <c r="G10068" s="54"/>
    </row>
    <row r="10069">
      <c r="A10069" s="49">
        <v>45126.92552390046</v>
      </c>
      <c r="B10069" s="50">
        <v>45127.0504985416</v>
      </c>
      <c r="C10069" s="51">
        <v>0.998</v>
      </c>
      <c r="D10069" s="51">
        <v>71.0</v>
      </c>
      <c r="E10069" s="52" t="s">
        <v>25</v>
      </c>
      <c r="F10069" s="52" t="s">
        <v>26</v>
      </c>
      <c r="G10069" s="54"/>
    </row>
    <row r="10070">
      <c r="A10070" s="49">
        <v>45126.93595940972</v>
      </c>
      <c r="B10070" s="50">
        <v>45127.0609296412</v>
      </c>
      <c r="C10070" s="51">
        <v>0.998</v>
      </c>
      <c r="D10070" s="51">
        <v>71.0</v>
      </c>
      <c r="E10070" s="52" t="s">
        <v>25</v>
      </c>
      <c r="F10070" s="52" t="s">
        <v>26</v>
      </c>
      <c r="G10070" s="54"/>
    </row>
    <row r="10071">
      <c r="A10071" s="49">
        <v>45126.94639200231</v>
      </c>
      <c r="B10071" s="50">
        <v>45127.0713514351</v>
      </c>
      <c r="C10071" s="51">
        <v>0.998</v>
      </c>
      <c r="D10071" s="51">
        <v>71.0</v>
      </c>
      <c r="E10071" s="52" t="s">
        <v>25</v>
      </c>
      <c r="F10071" s="52" t="s">
        <v>26</v>
      </c>
      <c r="G10071" s="54"/>
    </row>
    <row r="10072">
      <c r="A10072" s="49">
        <v>45126.956795335645</v>
      </c>
      <c r="B10072" s="50">
        <v>45127.0817728356</v>
      </c>
      <c r="C10072" s="51">
        <v>0.998</v>
      </c>
      <c r="D10072" s="51">
        <v>71.0</v>
      </c>
      <c r="E10072" s="52" t="s">
        <v>25</v>
      </c>
      <c r="F10072" s="52" t="s">
        <v>26</v>
      </c>
      <c r="G10072" s="54"/>
    </row>
    <row r="10073">
      <c r="A10073" s="49">
        <v>45126.97764884259</v>
      </c>
      <c r="B10073" s="50">
        <v>45127.102624456</v>
      </c>
      <c r="C10073" s="51">
        <v>0.998</v>
      </c>
      <c r="D10073" s="51">
        <v>71.0</v>
      </c>
      <c r="E10073" s="52" t="s">
        <v>25</v>
      </c>
      <c r="F10073" s="52" t="s">
        <v>26</v>
      </c>
      <c r="G10073" s="54"/>
    </row>
    <row r="10074">
      <c r="A10074" s="49">
        <v>45126.988078090275</v>
      </c>
      <c r="B10074" s="50">
        <v>45127.1130567013</v>
      </c>
      <c r="C10074" s="51">
        <v>0.999</v>
      </c>
      <c r="D10074" s="51">
        <v>71.0</v>
      </c>
      <c r="E10074" s="52" t="s">
        <v>25</v>
      </c>
      <c r="F10074" s="52" t="s">
        <v>26</v>
      </c>
      <c r="G10074" s="54"/>
    </row>
    <row r="10075">
      <c r="A10075" s="49">
        <v>45126.998523842594</v>
      </c>
      <c r="B10075" s="50">
        <v>45127.1234898842</v>
      </c>
      <c r="C10075" s="51">
        <v>0.999</v>
      </c>
      <c r="D10075" s="51">
        <v>71.0</v>
      </c>
      <c r="E10075" s="52" t="s">
        <v>25</v>
      </c>
      <c r="F10075" s="52" t="s">
        <v>26</v>
      </c>
      <c r="G10075" s="54"/>
    </row>
    <row r="10076">
      <c r="A10076" s="49">
        <v>45127.00895358797</v>
      </c>
      <c r="B10076" s="50">
        <v>45127.1339225694</v>
      </c>
      <c r="C10076" s="51">
        <v>0.999</v>
      </c>
      <c r="D10076" s="51">
        <v>71.0</v>
      </c>
      <c r="E10076" s="52" t="s">
        <v>25</v>
      </c>
      <c r="F10076" s="52" t="s">
        <v>26</v>
      </c>
      <c r="G10076" s="54"/>
    </row>
    <row r="10077">
      <c r="A10077" s="49">
        <v>45127.019383402774</v>
      </c>
      <c r="B10077" s="50">
        <v>45127.1443544097</v>
      </c>
      <c r="C10077" s="51">
        <v>0.999</v>
      </c>
      <c r="D10077" s="51">
        <v>71.0</v>
      </c>
      <c r="E10077" s="52" t="s">
        <v>25</v>
      </c>
      <c r="F10077" s="52" t="s">
        <v>26</v>
      </c>
      <c r="G10077" s="54"/>
    </row>
    <row r="10078">
      <c r="A10078" s="49">
        <v>45127.0298115162</v>
      </c>
      <c r="B10078" s="50">
        <v>45127.1547755439</v>
      </c>
      <c r="C10078" s="51">
        <v>0.999</v>
      </c>
      <c r="D10078" s="51">
        <v>71.0</v>
      </c>
      <c r="E10078" s="52" t="s">
        <v>25</v>
      </c>
      <c r="F10078" s="52" t="s">
        <v>26</v>
      </c>
      <c r="G10078" s="54"/>
    </row>
    <row r="10079">
      <c r="A10079" s="49">
        <v>45127.04022659722</v>
      </c>
      <c r="B10079" s="50">
        <v>45127.1651966898</v>
      </c>
      <c r="C10079" s="51">
        <v>0.999</v>
      </c>
      <c r="D10079" s="51">
        <v>71.0</v>
      </c>
      <c r="E10079" s="52" t="s">
        <v>25</v>
      </c>
      <c r="F10079" s="52" t="s">
        <v>26</v>
      </c>
      <c r="G10079" s="54"/>
    </row>
    <row r="10080">
      <c r="A10080" s="49">
        <v>45127.05064084491</v>
      </c>
      <c r="B10080" s="50">
        <v>45127.1756181365</v>
      </c>
      <c r="C10080" s="51">
        <v>0.998</v>
      </c>
      <c r="D10080" s="51">
        <v>71.0</v>
      </c>
      <c r="E10080" s="52" t="s">
        <v>25</v>
      </c>
      <c r="F10080" s="52" t="s">
        <v>26</v>
      </c>
      <c r="G10080" s="54"/>
    </row>
    <row r="10081">
      <c r="A10081" s="49">
        <v>45127.06106869213</v>
      </c>
      <c r="B10081" s="50">
        <v>45127.1860406944</v>
      </c>
      <c r="C10081" s="51">
        <v>0.998</v>
      </c>
      <c r="D10081" s="51">
        <v>71.0</v>
      </c>
      <c r="E10081" s="52" t="s">
        <v>25</v>
      </c>
      <c r="F10081" s="52" t="s">
        <v>26</v>
      </c>
      <c r="G10081" s="54"/>
    </row>
    <row r="10082">
      <c r="A10082" s="49">
        <v>45127.07149767361</v>
      </c>
      <c r="B10082" s="50">
        <v>45127.1964612847</v>
      </c>
      <c r="C10082" s="51">
        <v>0.999</v>
      </c>
      <c r="D10082" s="51">
        <v>71.0</v>
      </c>
      <c r="E10082" s="52" t="s">
        <v>25</v>
      </c>
      <c r="F10082" s="52" t="s">
        <v>26</v>
      </c>
      <c r="G10082" s="54"/>
    </row>
    <row r="10083">
      <c r="A10083" s="49">
        <v>45127.08191206018</v>
      </c>
      <c r="B10083" s="50">
        <v>45127.2068816203</v>
      </c>
      <c r="C10083" s="51">
        <v>0.999</v>
      </c>
      <c r="D10083" s="51">
        <v>71.0</v>
      </c>
      <c r="E10083" s="52" t="s">
        <v>25</v>
      </c>
      <c r="F10083" s="52" t="s">
        <v>26</v>
      </c>
      <c r="G10083" s="54"/>
    </row>
    <row r="10084">
      <c r="A10084" s="49">
        <v>45127.09233576389</v>
      </c>
      <c r="B10084" s="50">
        <v>45127.2173011689</v>
      </c>
      <c r="C10084" s="51">
        <v>0.999</v>
      </c>
      <c r="D10084" s="51">
        <v>71.0</v>
      </c>
      <c r="E10084" s="52" t="s">
        <v>25</v>
      </c>
      <c r="F10084" s="52" t="s">
        <v>26</v>
      </c>
      <c r="G10084" s="54"/>
    </row>
    <row r="10085">
      <c r="A10085" s="49">
        <v>45127.10275115741</v>
      </c>
      <c r="B10085" s="50">
        <v>45127.22772125</v>
      </c>
      <c r="C10085" s="51">
        <v>0.999</v>
      </c>
      <c r="D10085" s="51">
        <v>71.0</v>
      </c>
      <c r="E10085" s="52" t="s">
        <v>25</v>
      </c>
      <c r="F10085" s="52" t="s">
        <v>26</v>
      </c>
      <c r="G10085" s="54"/>
    </row>
    <row r="10086">
      <c r="A10086" s="49">
        <v>45127.11317236111</v>
      </c>
      <c r="B10086" s="50">
        <v>45127.2381411342</v>
      </c>
      <c r="C10086" s="51">
        <v>0.999</v>
      </c>
      <c r="D10086" s="51">
        <v>71.0</v>
      </c>
      <c r="E10086" s="52" t="s">
        <v>25</v>
      </c>
      <c r="F10086" s="52" t="s">
        <v>26</v>
      </c>
      <c r="G10086" s="54"/>
    </row>
    <row r="10087">
      <c r="A10087" s="49">
        <v>45127.12359664352</v>
      </c>
      <c r="B10087" s="50">
        <v>45127.2485621759</v>
      </c>
      <c r="C10087" s="51">
        <v>0.999</v>
      </c>
      <c r="D10087" s="51">
        <v>71.0</v>
      </c>
      <c r="E10087" s="52" t="s">
        <v>25</v>
      </c>
      <c r="F10087" s="52" t="s">
        <v>26</v>
      </c>
      <c r="G10087" s="54"/>
    </row>
    <row r="10088">
      <c r="A10088" s="49">
        <v>45127.1340081713</v>
      </c>
      <c r="B10088" s="50">
        <v>45127.258983206</v>
      </c>
      <c r="C10088" s="51">
        <v>0.999</v>
      </c>
      <c r="D10088" s="51">
        <v>71.0</v>
      </c>
      <c r="E10088" s="52" t="s">
        <v>25</v>
      </c>
      <c r="F10088" s="52" t="s">
        <v>26</v>
      </c>
      <c r="G10088" s="54"/>
    </row>
    <row r="10089">
      <c r="A10089" s="49">
        <v>45127.14443542824</v>
      </c>
      <c r="B10089" s="50">
        <v>45127.2694019675</v>
      </c>
      <c r="C10089" s="51">
        <v>0.998</v>
      </c>
      <c r="D10089" s="51">
        <v>71.0</v>
      </c>
      <c r="E10089" s="52" t="s">
        <v>25</v>
      </c>
      <c r="F10089" s="52" t="s">
        <v>26</v>
      </c>
      <c r="G10089" s="54"/>
    </row>
    <row r="10090">
      <c r="A10090" s="49">
        <v>45127.15486693287</v>
      </c>
      <c r="B10090" s="50">
        <v>45127.2798345717</v>
      </c>
      <c r="C10090" s="51">
        <v>0.999</v>
      </c>
      <c r="D10090" s="51">
        <v>71.0</v>
      </c>
      <c r="E10090" s="52" t="s">
        <v>25</v>
      </c>
      <c r="F10090" s="52" t="s">
        <v>26</v>
      </c>
      <c r="G10090" s="54"/>
    </row>
    <row r="10091">
      <c r="A10091" s="49">
        <v>45127.16529101852</v>
      </c>
      <c r="B10091" s="50">
        <v>45127.2902553588</v>
      </c>
      <c r="C10091" s="51">
        <v>0.999</v>
      </c>
      <c r="D10091" s="51">
        <v>71.0</v>
      </c>
      <c r="E10091" s="52" t="s">
        <v>25</v>
      </c>
      <c r="F10091" s="52" t="s">
        <v>26</v>
      </c>
      <c r="G10091" s="54"/>
    </row>
    <row r="10092">
      <c r="A10092" s="49">
        <v>45127.17572028935</v>
      </c>
      <c r="B10092" s="50">
        <v>45127.3006778125</v>
      </c>
      <c r="C10092" s="51">
        <v>0.999</v>
      </c>
      <c r="D10092" s="51">
        <v>71.0</v>
      </c>
      <c r="E10092" s="52" t="s">
        <v>25</v>
      </c>
      <c r="F10092" s="52" t="s">
        <v>26</v>
      </c>
      <c r="G10092" s="54"/>
    </row>
    <row r="10093">
      <c r="A10093" s="49">
        <v>45127.186133587966</v>
      </c>
      <c r="B10093" s="50">
        <v>45127.3110993518</v>
      </c>
      <c r="C10093" s="51">
        <v>0.998</v>
      </c>
      <c r="D10093" s="51">
        <v>71.0</v>
      </c>
      <c r="E10093" s="52" t="s">
        <v>25</v>
      </c>
      <c r="F10093" s="52" t="s">
        <v>26</v>
      </c>
      <c r="G10093" s="54"/>
    </row>
    <row r="10094">
      <c r="A10094" s="49">
        <v>45127.1965494676</v>
      </c>
      <c r="B10094" s="50">
        <v>45127.3215195949</v>
      </c>
      <c r="C10094" s="51">
        <v>0.999</v>
      </c>
      <c r="D10094" s="51">
        <v>71.0</v>
      </c>
      <c r="E10094" s="52" t="s">
        <v>25</v>
      </c>
      <c r="F10094" s="52" t="s">
        <v>26</v>
      </c>
      <c r="G10094" s="54"/>
    </row>
    <row r="10095">
      <c r="A10095" s="49">
        <v>45127.20698478009</v>
      </c>
      <c r="B10095" s="50">
        <v>45127.3319508217</v>
      </c>
      <c r="C10095" s="51">
        <v>0.998</v>
      </c>
      <c r="D10095" s="51">
        <v>71.0</v>
      </c>
      <c r="E10095" s="52" t="s">
        <v>25</v>
      </c>
      <c r="F10095" s="52" t="s">
        <v>26</v>
      </c>
      <c r="G10095" s="54"/>
    </row>
    <row r="10096">
      <c r="A10096" s="49">
        <v>45127.21740704861</v>
      </c>
      <c r="B10096" s="50">
        <v>45127.3423720601</v>
      </c>
      <c r="C10096" s="51">
        <v>0.999</v>
      </c>
      <c r="D10096" s="51">
        <v>71.0</v>
      </c>
      <c r="E10096" s="52" t="s">
        <v>25</v>
      </c>
      <c r="F10096" s="52" t="s">
        <v>26</v>
      </c>
      <c r="G10096" s="54"/>
    </row>
    <row r="10097">
      <c r="A10097" s="49">
        <v>45127.22782542824</v>
      </c>
      <c r="B10097" s="50">
        <v>45127.3527932407</v>
      </c>
      <c r="C10097" s="51">
        <v>0.998</v>
      </c>
      <c r="D10097" s="51">
        <v>71.0</v>
      </c>
      <c r="E10097" s="52" t="s">
        <v>25</v>
      </c>
      <c r="F10097" s="52" t="s">
        <v>26</v>
      </c>
      <c r="G10097" s="54"/>
    </row>
    <row r="10098">
      <c r="A10098" s="49">
        <v>45127.23826626157</v>
      </c>
      <c r="B10098" s="50">
        <v>45127.3632382638</v>
      </c>
      <c r="C10098" s="51">
        <v>0.998</v>
      </c>
      <c r="D10098" s="51">
        <v>71.0</v>
      </c>
      <c r="E10098" s="52" t="s">
        <v>25</v>
      </c>
      <c r="F10098" s="52" t="s">
        <v>26</v>
      </c>
      <c r="G10098" s="54"/>
    </row>
    <row r="10099">
      <c r="A10099" s="49">
        <v>45127.24869515046</v>
      </c>
      <c r="B10099" s="50">
        <v>45127.3736602546</v>
      </c>
      <c r="C10099" s="51">
        <v>0.998</v>
      </c>
      <c r="D10099" s="51">
        <v>71.0</v>
      </c>
      <c r="E10099" s="52" t="s">
        <v>25</v>
      </c>
      <c r="F10099" s="52" t="s">
        <v>26</v>
      </c>
      <c r="G10099" s="54"/>
    </row>
    <row r="10100">
      <c r="A10100" s="49">
        <v>45127.259112824075</v>
      </c>
      <c r="B10100" s="50">
        <v>45127.3840797338</v>
      </c>
      <c r="C10100" s="51">
        <v>0.998</v>
      </c>
      <c r="D10100" s="51">
        <v>71.0</v>
      </c>
      <c r="E10100" s="52" t="s">
        <v>25</v>
      </c>
      <c r="F10100" s="52" t="s">
        <v>26</v>
      </c>
      <c r="G10100" s="54"/>
    </row>
    <row r="10101">
      <c r="A10101" s="49">
        <v>45127.26953327547</v>
      </c>
      <c r="B10101" s="50">
        <v>45127.3945017708</v>
      </c>
      <c r="C10101" s="51">
        <v>0.998</v>
      </c>
      <c r="D10101" s="51">
        <v>71.0</v>
      </c>
      <c r="E10101" s="52" t="s">
        <v>25</v>
      </c>
      <c r="F10101" s="52" t="s">
        <v>26</v>
      </c>
      <c r="G10101" s="54"/>
    </row>
    <row r="10102">
      <c r="A10102" s="49">
        <v>45127.27995164352</v>
      </c>
      <c r="B10102" s="50">
        <v>45127.4049238078</v>
      </c>
      <c r="C10102" s="51">
        <v>0.998</v>
      </c>
      <c r="D10102" s="51">
        <v>71.0</v>
      </c>
      <c r="E10102" s="52" t="s">
        <v>25</v>
      </c>
      <c r="F10102" s="52" t="s">
        <v>26</v>
      </c>
      <c r="G10102" s="54"/>
    </row>
    <row r="10103">
      <c r="A10103" s="49">
        <v>45127.29037376157</v>
      </c>
      <c r="B10103" s="50">
        <v>45127.415347037</v>
      </c>
      <c r="C10103" s="51">
        <v>0.998</v>
      </c>
      <c r="D10103" s="51">
        <v>71.0</v>
      </c>
      <c r="E10103" s="52" t="s">
        <v>25</v>
      </c>
      <c r="F10103" s="52" t="s">
        <v>26</v>
      </c>
      <c r="G10103" s="54"/>
    </row>
    <row r="10104">
      <c r="A10104" s="49">
        <v>45127.30079465278</v>
      </c>
      <c r="B10104" s="50">
        <v>45127.4257688078</v>
      </c>
      <c r="C10104" s="51">
        <v>0.999</v>
      </c>
      <c r="D10104" s="51">
        <v>71.0</v>
      </c>
      <c r="E10104" s="52" t="s">
        <v>25</v>
      </c>
      <c r="F10104" s="52" t="s">
        <v>26</v>
      </c>
      <c r="G10104" s="54"/>
    </row>
    <row r="10105">
      <c r="A10105" s="49">
        <v>45127.311231886575</v>
      </c>
      <c r="B10105" s="50">
        <v>45127.4362022453</v>
      </c>
      <c r="C10105" s="51">
        <v>0.999</v>
      </c>
      <c r="D10105" s="51">
        <v>71.0</v>
      </c>
      <c r="E10105" s="52" t="s">
        <v>25</v>
      </c>
      <c r="F10105" s="52" t="s">
        <v>26</v>
      </c>
      <c r="G10105" s="54"/>
    </row>
    <row r="10106">
      <c r="A10106" s="49">
        <v>45127.32165435185</v>
      </c>
      <c r="B10106" s="50">
        <v>45127.4466203588</v>
      </c>
      <c r="C10106" s="51">
        <v>0.998</v>
      </c>
      <c r="D10106" s="51">
        <v>71.0</v>
      </c>
      <c r="E10106" s="52" t="s">
        <v>25</v>
      </c>
      <c r="F10106" s="52" t="s">
        <v>26</v>
      </c>
      <c r="G10106" s="54"/>
    </row>
    <row r="10107">
      <c r="A10107" s="49">
        <v>45127.33206555556</v>
      </c>
      <c r="B10107" s="50">
        <v>45127.4570395486</v>
      </c>
      <c r="C10107" s="51">
        <v>0.998</v>
      </c>
      <c r="D10107" s="51">
        <v>71.0</v>
      </c>
      <c r="E10107" s="52" t="s">
        <v>25</v>
      </c>
      <c r="F10107" s="52" t="s">
        <v>26</v>
      </c>
      <c r="G10107" s="54"/>
    </row>
    <row r="10108">
      <c r="A10108" s="49">
        <v>45127.34248523148</v>
      </c>
      <c r="B10108" s="50">
        <v>45127.4674589583</v>
      </c>
      <c r="C10108" s="51">
        <v>0.999</v>
      </c>
      <c r="D10108" s="51">
        <v>71.0</v>
      </c>
      <c r="E10108" s="52" t="s">
        <v>25</v>
      </c>
      <c r="F10108" s="52" t="s">
        <v>26</v>
      </c>
      <c r="G10108" s="54"/>
    </row>
    <row r="10109">
      <c r="A10109" s="49">
        <v>45127.352923321756</v>
      </c>
      <c r="B10109" s="50">
        <v>45127.4778916088</v>
      </c>
      <c r="C10109" s="51">
        <v>0.999</v>
      </c>
      <c r="D10109" s="51">
        <v>71.0</v>
      </c>
      <c r="E10109" s="52" t="s">
        <v>25</v>
      </c>
      <c r="F10109" s="52" t="s">
        <v>26</v>
      </c>
      <c r="G10109" s="54"/>
    </row>
    <row r="10110">
      <c r="A10110" s="49">
        <v>45127.36333959491</v>
      </c>
      <c r="B10110" s="50">
        <v>45127.4883122453</v>
      </c>
      <c r="C10110" s="51">
        <v>0.999</v>
      </c>
      <c r="D10110" s="51">
        <v>71.0</v>
      </c>
      <c r="E10110" s="52" t="s">
        <v>25</v>
      </c>
      <c r="F10110" s="52" t="s">
        <v>26</v>
      </c>
      <c r="G10110" s="54"/>
    </row>
    <row r="10111">
      <c r="A10111" s="49">
        <v>45127.37376375</v>
      </c>
      <c r="B10111" s="50">
        <v>45127.4987335069</v>
      </c>
      <c r="C10111" s="51">
        <v>0.999</v>
      </c>
      <c r="D10111" s="51">
        <v>71.0</v>
      </c>
      <c r="E10111" s="52" t="s">
        <v>25</v>
      </c>
      <c r="F10111" s="52" t="s">
        <v>26</v>
      </c>
      <c r="G10111" s="54"/>
    </row>
    <row r="10112">
      <c r="A10112" s="49">
        <v>45127.38419291667</v>
      </c>
      <c r="B10112" s="50">
        <v>45127.5091545601</v>
      </c>
      <c r="C10112" s="51">
        <v>0.999</v>
      </c>
      <c r="D10112" s="51">
        <v>71.0</v>
      </c>
      <c r="E10112" s="52" t="s">
        <v>25</v>
      </c>
      <c r="F10112" s="52" t="s">
        <v>26</v>
      </c>
      <c r="G10112" s="54"/>
    </row>
    <row r="10113">
      <c r="A10113" s="49">
        <v>45127.39460693287</v>
      </c>
      <c r="B10113" s="50">
        <v>45127.5195760763</v>
      </c>
      <c r="C10113" s="51">
        <v>0.998</v>
      </c>
      <c r="D10113" s="51">
        <v>71.0</v>
      </c>
      <c r="E10113" s="52" t="s">
        <v>25</v>
      </c>
      <c r="F10113" s="52" t="s">
        <v>26</v>
      </c>
      <c r="G10113" s="54"/>
    </row>
    <row r="10114">
      <c r="A10114" s="49">
        <v>45127.40503378472</v>
      </c>
      <c r="B10114" s="50">
        <v>45127.5299966203</v>
      </c>
      <c r="C10114" s="51">
        <v>0.999</v>
      </c>
      <c r="D10114" s="51">
        <v>71.0</v>
      </c>
      <c r="E10114" s="52" t="s">
        <v>25</v>
      </c>
      <c r="F10114" s="52" t="s">
        <v>26</v>
      </c>
      <c r="G10114" s="54"/>
    </row>
    <row r="10115">
      <c r="A10115" s="49">
        <v>45127.41546078704</v>
      </c>
      <c r="B10115" s="50">
        <v>45127.5404283564</v>
      </c>
      <c r="C10115" s="51">
        <v>0.999</v>
      </c>
      <c r="D10115" s="51">
        <v>71.0</v>
      </c>
      <c r="E10115" s="52" t="s">
        <v>25</v>
      </c>
      <c r="F10115" s="52" t="s">
        <v>26</v>
      </c>
      <c r="G10115" s="54"/>
    </row>
    <row r="10116">
      <c r="A10116" s="49">
        <v>45127.42589248843</v>
      </c>
      <c r="B10116" s="50">
        <v>45127.5508498263</v>
      </c>
      <c r="C10116" s="51">
        <v>0.999</v>
      </c>
      <c r="D10116" s="51">
        <v>71.0</v>
      </c>
      <c r="E10116" s="52" t="s">
        <v>25</v>
      </c>
      <c r="F10116" s="52" t="s">
        <v>26</v>
      </c>
      <c r="G10116" s="54"/>
    </row>
    <row r="10117">
      <c r="A10117" s="49">
        <v>45127.436306400465</v>
      </c>
      <c r="B10117" s="50">
        <v>45127.5612717824</v>
      </c>
      <c r="C10117" s="51">
        <v>0.999</v>
      </c>
      <c r="D10117" s="51">
        <v>71.0</v>
      </c>
      <c r="E10117" s="52" t="s">
        <v>25</v>
      </c>
      <c r="F10117" s="52" t="s">
        <v>26</v>
      </c>
      <c r="G10117" s="54"/>
    </row>
    <row r="10118">
      <c r="A10118" s="49">
        <v>45127.446729097224</v>
      </c>
      <c r="B10118" s="50">
        <v>45127.5716929861</v>
      </c>
      <c r="C10118" s="51">
        <v>0.999</v>
      </c>
      <c r="D10118" s="51">
        <v>71.0</v>
      </c>
      <c r="E10118" s="52" t="s">
        <v>25</v>
      </c>
      <c r="F10118" s="52" t="s">
        <v>26</v>
      </c>
      <c r="G10118" s="54"/>
    </row>
    <row r="10119">
      <c r="A10119" s="49">
        <v>45127.457134421296</v>
      </c>
      <c r="B10119" s="50">
        <v>45127.5821148263</v>
      </c>
      <c r="C10119" s="51">
        <v>0.999</v>
      </c>
      <c r="D10119" s="51">
        <v>71.0</v>
      </c>
      <c r="E10119" s="52" t="s">
        <v>25</v>
      </c>
      <c r="F10119" s="52" t="s">
        <v>26</v>
      </c>
      <c r="G10119" s="54"/>
    </row>
    <row r="10120">
      <c r="A10120" s="49">
        <v>45127.46756423611</v>
      </c>
      <c r="B10120" s="50">
        <v>45127.592536875</v>
      </c>
      <c r="C10120" s="51">
        <v>0.999</v>
      </c>
      <c r="D10120" s="51">
        <v>71.0</v>
      </c>
      <c r="E10120" s="52" t="s">
        <v>25</v>
      </c>
      <c r="F10120" s="52" t="s">
        <v>26</v>
      </c>
      <c r="G10120" s="54"/>
    </row>
    <row r="10121">
      <c r="A10121" s="49">
        <v>45127.477995</v>
      </c>
      <c r="B10121" s="50">
        <v>45127.6029582754</v>
      </c>
      <c r="C10121" s="51">
        <v>0.999</v>
      </c>
      <c r="D10121" s="51">
        <v>71.0</v>
      </c>
      <c r="E10121" s="52" t="s">
        <v>25</v>
      </c>
      <c r="F10121" s="52" t="s">
        <v>26</v>
      </c>
      <c r="G10121" s="54"/>
    </row>
    <row r="10122">
      <c r="A10122" s="49">
        <v>45127.48842494213</v>
      </c>
      <c r="B10122" s="50">
        <v>45127.6133907175</v>
      </c>
      <c r="C10122" s="51">
        <v>0.999</v>
      </c>
      <c r="D10122" s="51">
        <v>71.0</v>
      </c>
      <c r="E10122" s="52" t="s">
        <v>25</v>
      </c>
      <c r="F10122" s="52" t="s">
        <v>26</v>
      </c>
      <c r="G10122" s="54"/>
    </row>
    <row r="10123">
      <c r="A10123" s="49">
        <v>45127.49884295139</v>
      </c>
      <c r="B10123" s="50">
        <v>45127.6238105671</v>
      </c>
      <c r="C10123" s="51">
        <v>0.999</v>
      </c>
      <c r="D10123" s="51">
        <v>71.0</v>
      </c>
      <c r="E10123" s="52" t="s">
        <v>25</v>
      </c>
      <c r="F10123" s="52" t="s">
        <v>26</v>
      </c>
      <c r="G10123" s="54"/>
    </row>
    <row r="10124">
      <c r="A10124" s="49">
        <v>45127.50926082176</v>
      </c>
      <c r="B10124" s="50">
        <v>45127.63423228</v>
      </c>
      <c r="C10124" s="51">
        <v>0.999</v>
      </c>
      <c r="D10124" s="51">
        <v>71.0</v>
      </c>
      <c r="E10124" s="52" t="s">
        <v>25</v>
      </c>
      <c r="F10124" s="52" t="s">
        <v>26</v>
      </c>
      <c r="G10124" s="54"/>
    </row>
    <row r="10125">
      <c r="A10125" s="49">
        <v>45127.519699930555</v>
      </c>
      <c r="B10125" s="50">
        <v>45127.6446656944</v>
      </c>
      <c r="C10125" s="51">
        <v>0.999</v>
      </c>
      <c r="D10125" s="51">
        <v>71.0</v>
      </c>
      <c r="E10125" s="52" t="s">
        <v>25</v>
      </c>
      <c r="F10125" s="52" t="s">
        <v>26</v>
      </c>
      <c r="G10125" s="54"/>
    </row>
    <row r="10126">
      <c r="A10126" s="49">
        <v>45127.5301268287</v>
      </c>
      <c r="B10126" s="50">
        <v>45127.655088125</v>
      </c>
      <c r="C10126" s="51">
        <v>0.999</v>
      </c>
      <c r="D10126" s="51">
        <v>71.0</v>
      </c>
      <c r="E10126" s="52" t="s">
        <v>25</v>
      </c>
      <c r="F10126" s="52" t="s">
        <v>26</v>
      </c>
      <c r="G10126" s="54"/>
    </row>
    <row r="10127">
      <c r="A10127" s="49">
        <v>45127.54052966435</v>
      </c>
      <c r="B10127" s="50">
        <v>45127.6655086342</v>
      </c>
      <c r="C10127" s="51">
        <v>0.999</v>
      </c>
      <c r="D10127" s="51">
        <v>71.0</v>
      </c>
      <c r="E10127" s="52" t="s">
        <v>25</v>
      </c>
      <c r="F10127" s="52" t="s">
        <v>26</v>
      </c>
      <c r="G10127" s="54"/>
    </row>
    <row r="10128">
      <c r="A10128" s="49">
        <v>45127.550972303245</v>
      </c>
      <c r="B10128" s="50">
        <v>45127.6759424421</v>
      </c>
      <c r="C10128" s="51">
        <v>0.999</v>
      </c>
      <c r="D10128" s="51">
        <v>71.0</v>
      </c>
      <c r="E10128" s="52" t="s">
        <v>25</v>
      </c>
      <c r="F10128" s="52" t="s">
        <v>26</v>
      </c>
      <c r="G10128" s="54"/>
    </row>
    <row r="10129">
      <c r="A10129" s="49">
        <v>45127.56142075232</v>
      </c>
      <c r="B10129" s="50">
        <v>45127.6863856828</v>
      </c>
      <c r="C10129" s="51">
        <v>0.999</v>
      </c>
      <c r="D10129" s="51">
        <v>71.0</v>
      </c>
      <c r="E10129" s="52" t="s">
        <v>25</v>
      </c>
      <c r="F10129" s="52" t="s">
        <v>26</v>
      </c>
      <c r="G10129" s="54"/>
    </row>
    <row r="10130">
      <c r="A10130" s="49">
        <v>45127.57184185185</v>
      </c>
      <c r="B10130" s="50">
        <v>45127.6968089583</v>
      </c>
      <c r="C10130" s="51">
        <v>0.999</v>
      </c>
      <c r="D10130" s="51">
        <v>71.0</v>
      </c>
      <c r="E10130" s="52" t="s">
        <v>25</v>
      </c>
      <c r="F10130" s="52" t="s">
        <v>26</v>
      </c>
      <c r="G10130" s="54"/>
    </row>
    <row r="10131">
      <c r="A10131" s="49">
        <v>45127.58227358796</v>
      </c>
      <c r="B10131" s="50">
        <v>45127.7072393981</v>
      </c>
      <c r="C10131" s="51">
        <v>0.999</v>
      </c>
      <c r="D10131" s="51">
        <v>71.0</v>
      </c>
      <c r="E10131" s="52" t="s">
        <v>25</v>
      </c>
      <c r="F10131" s="52" t="s">
        <v>26</v>
      </c>
      <c r="G10131" s="54"/>
    </row>
    <row r="10132">
      <c r="A10132" s="49">
        <v>45127.59269643518</v>
      </c>
      <c r="B10132" s="50">
        <v>45127.7176610185</v>
      </c>
      <c r="C10132" s="51">
        <v>0.998</v>
      </c>
      <c r="D10132" s="51">
        <v>71.0</v>
      </c>
      <c r="E10132" s="52" t="s">
        <v>25</v>
      </c>
      <c r="F10132" s="52" t="s">
        <v>26</v>
      </c>
      <c r="G10132" s="54"/>
    </row>
    <row r="10133">
      <c r="A10133" s="49">
        <v>45127.60311827547</v>
      </c>
      <c r="B10133" s="50">
        <v>45127.7280915162</v>
      </c>
      <c r="C10133" s="51">
        <v>0.999</v>
      </c>
      <c r="D10133" s="51">
        <v>71.0</v>
      </c>
      <c r="E10133" s="52" t="s">
        <v>25</v>
      </c>
      <c r="F10133" s="52" t="s">
        <v>26</v>
      </c>
      <c r="G10133" s="54"/>
    </row>
    <row r="10134">
      <c r="A10134" s="49">
        <v>45127.61354440972</v>
      </c>
      <c r="B10134" s="50">
        <v>45127.738513125</v>
      </c>
      <c r="C10134" s="51">
        <v>0.999</v>
      </c>
      <c r="D10134" s="51">
        <v>71.0</v>
      </c>
      <c r="E10134" s="52" t="s">
        <v>25</v>
      </c>
      <c r="F10134" s="52" t="s">
        <v>26</v>
      </c>
      <c r="G10134" s="54"/>
    </row>
    <row r="10135">
      <c r="A10135" s="49">
        <v>45127.623966886575</v>
      </c>
      <c r="B10135" s="50">
        <v>45127.7489325694</v>
      </c>
      <c r="C10135" s="51">
        <v>0.998</v>
      </c>
      <c r="D10135" s="51">
        <v>71.0</v>
      </c>
      <c r="E10135" s="52" t="s">
        <v>25</v>
      </c>
      <c r="F10135" s="52" t="s">
        <v>26</v>
      </c>
      <c r="G10135" s="54"/>
    </row>
    <row r="10136">
      <c r="A10136" s="49">
        <v>45127.63438280093</v>
      </c>
      <c r="B10136" s="50">
        <v>45127.7593523726</v>
      </c>
      <c r="C10136" s="51">
        <v>0.999</v>
      </c>
      <c r="D10136" s="51">
        <v>71.0</v>
      </c>
      <c r="E10136" s="52" t="s">
        <v>25</v>
      </c>
      <c r="F10136" s="52" t="s">
        <v>26</v>
      </c>
      <c r="G10136" s="54"/>
    </row>
    <row r="10137">
      <c r="A10137" s="49">
        <v>45127.64480317129</v>
      </c>
      <c r="B10137" s="50">
        <v>45127.7697723611</v>
      </c>
      <c r="C10137" s="51">
        <v>0.999</v>
      </c>
      <c r="D10137" s="51">
        <v>71.0</v>
      </c>
      <c r="E10137" s="52" t="s">
        <v>25</v>
      </c>
      <c r="F10137" s="52" t="s">
        <v>26</v>
      </c>
      <c r="G10137" s="54"/>
    </row>
    <row r="10138">
      <c r="A10138" s="49">
        <v>45127.65522728009</v>
      </c>
      <c r="B10138" s="50">
        <v>45127.7802050925</v>
      </c>
      <c r="C10138" s="51">
        <v>0.999</v>
      </c>
      <c r="D10138" s="51">
        <v>71.0</v>
      </c>
      <c r="E10138" s="52" t="s">
        <v>25</v>
      </c>
      <c r="F10138" s="52" t="s">
        <v>26</v>
      </c>
      <c r="G10138" s="54"/>
    </row>
    <row r="10139">
      <c r="A10139" s="49">
        <v>45127.66564892361</v>
      </c>
      <c r="B10139" s="50">
        <v>45127.7906264467</v>
      </c>
      <c r="C10139" s="51">
        <v>0.999</v>
      </c>
      <c r="D10139" s="51">
        <v>71.0</v>
      </c>
      <c r="E10139" s="52" t="s">
        <v>25</v>
      </c>
      <c r="F10139" s="52" t="s">
        <v>26</v>
      </c>
      <c r="G10139" s="54"/>
    </row>
    <row r="10140">
      <c r="A10140" s="49">
        <v>45127.67608074074</v>
      </c>
      <c r="B10140" s="50">
        <v>45127.8010469675</v>
      </c>
      <c r="C10140" s="51">
        <v>0.999</v>
      </c>
      <c r="D10140" s="51">
        <v>71.0</v>
      </c>
      <c r="E10140" s="52" t="s">
        <v>25</v>
      </c>
      <c r="F10140" s="52" t="s">
        <v>26</v>
      </c>
      <c r="G10140" s="54"/>
    </row>
    <row r="10141">
      <c r="A10141" s="49">
        <v>45127.686494803245</v>
      </c>
      <c r="B10141" s="50">
        <v>45127.8114676041</v>
      </c>
      <c r="C10141" s="51">
        <v>0.998</v>
      </c>
      <c r="D10141" s="51">
        <v>71.0</v>
      </c>
      <c r="E10141" s="52" t="s">
        <v>25</v>
      </c>
      <c r="F10141" s="52" t="s">
        <v>26</v>
      </c>
      <c r="G10141" s="54"/>
    </row>
    <row r="10142">
      <c r="A10142" s="49">
        <v>45127.696914733795</v>
      </c>
      <c r="B10142" s="50">
        <v>45127.8218861689</v>
      </c>
      <c r="C10142" s="51">
        <v>0.999</v>
      </c>
      <c r="D10142" s="51">
        <v>71.0</v>
      </c>
      <c r="E10142" s="52" t="s">
        <v>25</v>
      </c>
      <c r="F10142" s="52" t="s">
        <v>26</v>
      </c>
      <c r="G10142" s="54"/>
    </row>
    <row r="10143">
      <c r="A10143" s="49">
        <v>45127.70735370371</v>
      </c>
      <c r="B10143" s="50">
        <v>45127.8323187037</v>
      </c>
      <c r="C10143" s="51">
        <v>0.999</v>
      </c>
      <c r="D10143" s="51">
        <v>71.0</v>
      </c>
      <c r="E10143" s="52" t="s">
        <v>25</v>
      </c>
      <c r="F10143" s="52" t="s">
        <v>26</v>
      </c>
      <c r="G10143" s="54"/>
    </row>
    <row r="10144">
      <c r="A10144" s="49">
        <v>45127.71777046296</v>
      </c>
      <c r="B10144" s="50">
        <v>45127.8427384259</v>
      </c>
      <c r="C10144" s="51">
        <v>0.999</v>
      </c>
      <c r="D10144" s="51">
        <v>71.0</v>
      </c>
      <c r="E10144" s="52" t="s">
        <v>25</v>
      </c>
      <c r="F10144" s="52" t="s">
        <v>26</v>
      </c>
      <c r="G10144" s="54"/>
    </row>
    <row r="10145">
      <c r="A10145" s="49">
        <v>45127.728194270836</v>
      </c>
      <c r="B10145" s="50">
        <v>45127.8531585879</v>
      </c>
      <c r="C10145" s="51">
        <v>0.999</v>
      </c>
      <c r="D10145" s="51">
        <v>71.0</v>
      </c>
      <c r="E10145" s="52" t="s">
        <v>25</v>
      </c>
      <c r="F10145" s="52" t="s">
        <v>26</v>
      </c>
      <c r="G10145" s="54"/>
    </row>
    <row r="10146">
      <c r="A10146" s="49">
        <v>45127.73861233796</v>
      </c>
      <c r="B10146" s="50">
        <v>45127.8635797338</v>
      </c>
      <c r="C10146" s="51">
        <v>0.999</v>
      </c>
      <c r="D10146" s="51">
        <v>71.0</v>
      </c>
      <c r="E10146" s="52" t="s">
        <v>25</v>
      </c>
      <c r="F10146" s="52" t="s">
        <v>26</v>
      </c>
      <c r="G10146" s="54"/>
    </row>
    <row r="10147">
      <c r="A10147" s="49">
        <v>45127.74903041667</v>
      </c>
      <c r="B10147" s="50">
        <v>45127.8740000926</v>
      </c>
      <c r="C10147" s="51">
        <v>0.999</v>
      </c>
      <c r="D10147" s="51">
        <v>71.0</v>
      </c>
      <c r="E10147" s="52" t="s">
        <v>25</v>
      </c>
      <c r="F10147" s="52" t="s">
        <v>26</v>
      </c>
      <c r="G10147" s="54"/>
    </row>
    <row r="10148">
      <c r="A10148" s="49">
        <v>45127.75944768518</v>
      </c>
      <c r="B10148" s="50">
        <v>45127.8844218055</v>
      </c>
      <c r="C10148" s="51">
        <v>0.999</v>
      </c>
      <c r="D10148" s="51">
        <v>71.0</v>
      </c>
      <c r="E10148" s="52" t="s">
        <v>25</v>
      </c>
      <c r="F10148" s="52" t="s">
        <v>26</v>
      </c>
      <c r="G10148" s="54"/>
    </row>
    <row r="10149">
      <c r="A10149" s="49">
        <v>45127.769886678245</v>
      </c>
      <c r="B10149" s="50">
        <v>45127.8948538773</v>
      </c>
      <c r="C10149" s="51">
        <v>0.999</v>
      </c>
      <c r="D10149" s="51">
        <v>71.0</v>
      </c>
      <c r="E10149" s="52" t="s">
        <v>25</v>
      </c>
      <c r="F10149" s="52" t="s">
        <v>26</v>
      </c>
      <c r="G10149" s="54"/>
    </row>
    <row r="10150">
      <c r="A10150" s="49">
        <v>45127.78030784722</v>
      </c>
      <c r="B10150" s="50">
        <v>45127.9052744213</v>
      </c>
      <c r="C10150" s="51">
        <v>0.999</v>
      </c>
      <c r="D10150" s="51">
        <v>71.0</v>
      </c>
      <c r="E10150" s="52" t="s">
        <v>25</v>
      </c>
      <c r="F10150" s="52" t="s">
        <v>26</v>
      </c>
      <c r="G10150" s="54"/>
    </row>
    <row r="10151">
      <c r="A10151" s="49">
        <v>45127.790742893514</v>
      </c>
      <c r="B10151" s="50">
        <v>45127.9157068981</v>
      </c>
      <c r="C10151" s="51">
        <v>0.999</v>
      </c>
      <c r="D10151" s="51">
        <v>71.0</v>
      </c>
      <c r="E10151" s="52" t="s">
        <v>25</v>
      </c>
      <c r="F10151" s="52" t="s">
        <v>26</v>
      </c>
      <c r="G10151" s="54"/>
    </row>
    <row r="10152">
      <c r="A10152" s="49">
        <v>45127.80116210648</v>
      </c>
      <c r="B10152" s="50">
        <v>45127.9261280092</v>
      </c>
      <c r="C10152" s="51">
        <v>0.999</v>
      </c>
      <c r="D10152" s="51">
        <v>71.0</v>
      </c>
      <c r="E10152" s="52" t="s">
        <v>25</v>
      </c>
      <c r="F10152" s="52" t="s">
        <v>26</v>
      </c>
      <c r="G10152" s="54"/>
    </row>
    <row r="10153">
      <c r="A10153" s="49">
        <v>45127.81158065972</v>
      </c>
      <c r="B10153" s="50">
        <v>45127.9365531134</v>
      </c>
      <c r="C10153" s="51">
        <v>0.999</v>
      </c>
      <c r="D10153" s="51">
        <v>71.0</v>
      </c>
      <c r="E10153" s="52" t="s">
        <v>25</v>
      </c>
      <c r="F10153" s="52" t="s">
        <v>26</v>
      </c>
      <c r="G10153" s="54"/>
    </row>
    <row r="10154">
      <c r="A10154" s="49">
        <v>45127.822006145834</v>
      </c>
      <c r="B10154" s="50">
        <v>45127.946973368</v>
      </c>
      <c r="C10154" s="51">
        <v>0.999</v>
      </c>
      <c r="D10154" s="51">
        <v>71.0</v>
      </c>
      <c r="E10154" s="52" t="s">
        <v>25</v>
      </c>
      <c r="F10154" s="52" t="s">
        <v>26</v>
      </c>
      <c r="G10154" s="54"/>
    </row>
    <row r="10155">
      <c r="A10155" s="49">
        <v>45127.832449016205</v>
      </c>
      <c r="B10155" s="50">
        <v>45127.9574177083</v>
      </c>
      <c r="C10155" s="51">
        <v>0.999</v>
      </c>
      <c r="D10155" s="51">
        <v>71.0</v>
      </c>
      <c r="E10155" s="52" t="s">
        <v>25</v>
      </c>
      <c r="F10155" s="52" t="s">
        <v>26</v>
      </c>
      <c r="G10155" s="54"/>
    </row>
    <row r="10156">
      <c r="A10156" s="49">
        <v>45127.842868437496</v>
      </c>
      <c r="B10156" s="50">
        <v>45127.9678386921</v>
      </c>
      <c r="C10156" s="51">
        <v>0.999</v>
      </c>
      <c r="D10156" s="51">
        <v>71.0</v>
      </c>
      <c r="E10156" s="52" t="s">
        <v>25</v>
      </c>
      <c r="F10156" s="52" t="s">
        <v>26</v>
      </c>
      <c r="G10156" s="54"/>
    </row>
    <row r="10157">
      <c r="A10157" s="49">
        <v>45127.85328394676</v>
      </c>
      <c r="B10157" s="50">
        <v>45127.9782601967</v>
      </c>
      <c r="C10157" s="51">
        <v>0.999</v>
      </c>
      <c r="D10157" s="51">
        <v>71.0</v>
      </c>
      <c r="E10157" s="52" t="s">
        <v>25</v>
      </c>
      <c r="F10157" s="52" t="s">
        <v>26</v>
      </c>
      <c r="G10157" s="54"/>
    </row>
    <row r="10158">
      <c r="A10158" s="49">
        <v>45127.86371188657</v>
      </c>
      <c r="B10158" s="50">
        <v>45127.9886830555</v>
      </c>
      <c r="C10158" s="51">
        <v>0.998</v>
      </c>
      <c r="D10158" s="51">
        <v>71.0</v>
      </c>
      <c r="E10158" s="52" t="s">
        <v>25</v>
      </c>
      <c r="F10158" s="52" t="s">
        <v>26</v>
      </c>
      <c r="G10158" s="54"/>
    </row>
    <row r="10159">
      <c r="A10159" s="49">
        <v>45127.87413332176</v>
      </c>
      <c r="B10159" s="50">
        <v>45127.9991047453</v>
      </c>
      <c r="C10159" s="51">
        <v>0.999</v>
      </c>
      <c r="D10159" s="51">
        <v>71.0</v>
      </c>
      <c r="E10159" s="52" t="s">
        <v>25</v>
      </c>
      <c r="F10159" s="52" t="s">
        <v>26</v>
      </c>
      <c r="G10159" s="54"/>
    </row>
    <row r="10160">
      <c r="A10160" s="49">
        <v>45127.884556793986</v>
      </c>
      <c r="B10160" s="50">
        <v>45128.0095244791</v>
      </c>
      <c r="C10160" s="51">
        <v>0.999</v>
      </c>
      <c r="D10160" s="51">
        <v>71.0</v>
      </c>
      <c r="E10160" s="52" t="s">
        <v>25</v>
      </c>
      <c r="F10160" s="52" t="s">
        <v>26</v>
      </c>
      <c r="G10160" s="54"/>
    </row>
    <row r="10161">
      <c r="A10161" s="49">
        <v>45127.8949975</v>
      </c>
      <c r="B10161" s="50">
        <v>45128.0199577314</v>
      </c>
      <c r="C10161" s="51">
        <v>0.998</v>
      </c>
      <c r="D10161" s="51">
        <v>71.0</v>
      </c>
      <c r="E10161" s="52" t="s">
        <v>25</v>
      </c>
      <c r="F10161" s="52" t="s">
        <v>26</v>
      </c>
      <c r="G10161" s="54"/>
    </row>
    <row r="10162">
      <c r="A10162" s="49">
        <v>45127.905402557866</v>
      </c>
      <c r="B10162" s="50">
        <v>45128.0303777777</v>
      </c>
      <c r="C10162" s="51">
        <v>0.999</v>
      </c>
      <c r="D10162" s="51">
        <v>71.0</v>
      </c>
      <c r="E10162" s="52" t="s">
        <v>25</v>
      </c>
      <c r="F10162" s="52" t="s">
        <v>26</v>
      </c>
      <c r="G10162" s="54"/>
    </row>
    <row r="10163">
      <c r="A10163" s="49">
        <v>45127.9158284838</v>
      </c>
      <c r="B10163" s="50">
        <v>45128.0407989351</v>
      </c>
      <c r="C10163" s="51">
        <v>0.999</v>
      </c>
      <c r="D10163" s="51">
        <v>71.0</v>
      </c>
      <c r="E10163" s="52" t="s">
        <v>25</v>
      </c>
      <c r="F10163" s="52" t="s">
        <v>26</v>
      </c>
      <c r="G10163" s="54"/>
    </row>
    <row r="10164">
      <c r="A10164" s="49">
        <v>45127.92625949074</v>
      </c>
      <c r="B10164" s="50">
        <v>45128.0512307523</v>
      </c>
      <c r="C10164" s="51">
        <v>0.999</v>
      </c>
      <c r="D10164" s="51">
        <v>71.0</v>
      </c>
      <c r="E10164" s="52" t="s">
        <v>25</v>
      </c>
      <c r="F10164" s="52" t="s">
        <v>26</v>
      </c>
      <c r="G10164" s="54"/>
    </row>
    <row r="10165">
      <c r="A10165" s="49">
        <v>45127.93668083333</v>
      </c>
      <c r="B10165" s="50">
        <v>45128.0616520254</v>
      </c>
      <c r="C10165" s="51">
        <v>0.999</v>
      </c>
      <c r="D10165" s="51">
        <v>71.0</v>
      </c>
      <c r="E10165" s="52" t="s">
        <v>25</v>
      </c>
      <c r="F10165" s="52" t="s">
        <v>26</v>
      </c>
      <c r="G10165" s="54"/>
    </row>
    <row r="10166">
      <c r="A10166" s="49">
        <v>45127.947097384254</v>
      </c>
      <c r="B10166" s="50">
        <v>45128.0720734027</v>
      </c>
      <c r="C10166" s="51">
        <v>0.999</v>
      </c>
      <c r="D10166" s="51">
        <v>71.0</v>
      </c>
      <c r="E10166" s="52" t="s">
        <v>25</v>
      </c>
      <c r="F10166" s="52" t="s">
        <v>26</v>
      </c>
      <c r="G10166" s="54"/>
    </row>
    <row r="10167">
      <c r="A10167" s="49">
        <v>45127.95752675926</v>
      </c>
      <c r="B10167" s="50">
        <v>45128.0824947453</v>
      </c>
      <c r="C10167" s="51">
        <v>0.999</v>
      </c>
      <c r="D10167" s="51">
        <v>71.0</v>
      </c>
      <c r="E10167" s="52" t="s">
        <v>25</v>
      </c>
      <c r="F10167" s="52" t="s">
        <v>26</v>
      </c>
      <c r="G10167" s="54"/>
    </row>
    <row r="10168">
      <c r="A10168" s="49">
        <v>45127.96794462963</v>
      </c>
      <c r="B10168" s="50">
        <v>45128.0929144907</v>
      </c>
      <c r="C10168" s="51">
        <v>0.999</v>
      </c>
      <c r="D10168" s="51">
        <v>71.0</v>
      </c>
      <c r="E10168" s="52" t="s">
        <v>25</v>
      </c>
      <c r="F10168" s="52" t="s">
        <v>26</v>
      </c>
      <c r="G10168" s="54"/>
    </row>
    <row r="10169">
      <c r="A10169" s="49">
        <v>45127.97836797454</v>
      </c>
      <c r="B10169" s="50">
        <v>45128.1033366088</v>
      </c>
      <c r="C10169" s="51">
        <v>0.999</v>
      </c>
      <c r="D10169" s="51">
        <v>71.0</v>
      </c>
      <c r="E10169" s="52" t="s">
        <v>25</v>
      </c>
      <c r="F10169" s="52" t="s">
        <v>26</v>
      </c>
      <c r="G10169" s="54"/>
    </row>
    <row r="10170">
      <c r="A10170" s="49">
        <v>45127.98878778935</v>
      </c>
      <c r="B10170" s="50">
        <v>45128.1137581713</v>
      </c>
      <c r="C10170" s="51">
        <v>0.999</v>
      </c>
      <c r="D10170" s="51">
        <v>71.0</v>
      </c>
      <c r="E10170" s="52" t="s">
        <v>25</v>
      </c>
      <c r="F10170" s="52" t="s">
        <v>26</v>
      </c>
      <c r="G10170" s="54"/>
    </row>
    <row r="10171">
      <c r="A10171" s="49">
        <v>45127.999214236115</v>
      </c>
      <c r="B10171" s="50">
        <v>45128.1241783217</v>
      </c>
      <c r="C10171" s="51">
        <v>0.999</v>
      </c>
      <c r="D10171" s="51">
        <v>71.0</v>
      </c>
      <c r="E10171" s="52" t="s">
        <v>25</v>
      </c>
      <c r="F10171" s="52" t="s">
        <v>26</v>
      </c>
      <c r="G10171" s="54"/>
    </row>
    <row r="10172">
      <c r="A10172" s="49">
        <v>45128.00962967593</v>
      </c>
      <c r="B10172" s="50">
        <v>45128.1345993055</v>
      </c>
      <c r="C10172" s="51">
        <v>0.999</v>
      </c>
      <c r="D10172" s="51">
        <v>71.0</v>
      </c>
      <c r="E10172" s="52" t="s">
        <v>25</v>
      </c>
      <c r="F10172" s="52" t="s">
        <v>26</v>
      </c>
      <c r="G10172" s="54"/>
    </row>
    <row r="10173">
      <c r="A10173" s="49">
        <v>45128.020047708334</v>
      </c>
      <c r="B10173" s="50">
        <v>45128.1450230787</v>
      </c>
      <c r="C10173" s="51">
        <v>0.999</v>
      </c>
      <c r="D10173" s="51">
        <v>71.0</v>
      </c>
      <c r="E10173" s="52" t="s">
        <v>25</v>
      </c>
      <c r="F10173" s="52" t="s">
        <v>26</v>
      </c>
      <c r="G10173" s="54"/>
    </row>
    <row r="10174">
      <c r="A10174" s="49">
        <v>45128.03047471065</v>
      </c>
      <c r="B10174" s="50">
        <v>45128.1554435995</v>
      </c>
      <c r="C10174" s="51">
        <v>0.999</v>
      </c>
      <c r="D10174" s="51">
        <v>71.0</v>
      </c>
      <c r="E10174" s="52" t="s">
        <v>25</v>
      </c>
      <c r="F10174" s="52" t="s">
        <v>26</v>
      </c>
      <c r="G10174" s="54"/>
    </row>
    <row r="10175">
      <c r="A10175" s="49">
        <v>45128.040891446755</v>
      </c>
      <c r="B10175" s="50">
        <v>45128.1658639236</v>
      </c>
      <c r="C10175" s="51">
        <v>0.999</v>
      </c>
      <c r="D10175" s="51">
        <v>71.0</v>
      </c>
      <c r="E10175" s="52" t="s">
        <v>25</v>
      </c>
      <c r="F10175" s="52" t="s">
        <v>26</v>
      </c>
      <c r="G10175" s="54"/>
    </row>
    <row r="10176">
      <c r="A10176" s="49">
        <v>45128.05131225694</v>
      </c>
      <c r="B10176" s="50">
        <v>45128.1762836574</v>
      </c>
      <c r="C10176" s="51">
        <v>0.999</v>
      </c>
      <c r="D10176" s="51">
        <v>71.0</v>
      </c>
      <c r="E10176" s="52" t="s">
        <v>25</v>
      </c>
      <c r="F10176" s="52" t="s">
        <v>26</v>
      </c>
      <c r="G10176" s="54"/>
    </row>
    <row r="10177">
      <c r="A10177" s="49">
        <v>45128.06174608796</v>
      </c>
      <c r="B10177" s="50">
        <v>45128.1867161226</v>
      </c>
      <c r="C10177" s="51">
        <v>0.998</v>
      </c>
      <c r="D10177" s="51">
        <v>71.0</v>
      </c>
      <c r="E10177" s="52" t="s">
        <v>25</v>
      </c>
      <c r="F10177" s="52" t="s">
        <v>26</v>
      </c>
      <c r="G10177" s="54"/>
    </row>
    <row r="10178">
      <c r="A10178" s="49">
        <v>45128.07216931713</v>
      </c>
      <c r="B10178" s="50">
        <v>45128.1971374305</v>
      </c>
      <c r="C10178" s="51">
        <v>0.998</v>
      </c>
      <c r="D10178" s="51">
        <v>71.0</v>
      </c>
      <c r="E10178" s="52" t="s">
        <v>25</v>
      </c>
      <c r="F10178" s="52" t="s">
        <v>26</v>
      </c>
      <c r="G10178" s="54"/>
    </row>
    <row r="10179">
      <c r="A10179" s="49">
        <v>45128.082582511575</v>
      </c>
      <c r="B10179" s="50">
        <v>45128.2075574884</v>
      </c>
      <c r="C10179" s="51">
        <v>0.999</v>
      </c>
      <c r="D10179" s="51">
        <v>71.0</v>
      </c>
      <c r="E10179" s="52" t="s">
        <v>25</v>
      </c>
      <c r="F10179" s="52" t="s">
        <v>26</v>
      </c>
      <c r="G10179" s="54"/>
    </row>
    <row r="10180">
      <c r="A10180" s="49">
        <v>45128.09302747685</v>
      </c>
      <c r="B10180" s="50">
        <v>45128.2179896296</v>
      </c>
      <c r="C10180" s="51">
        <v>0.999</v>
      </c>
      <c r="D10180" s="51">
        <v>71.0</v>
      </c>
      <c r="E10180" s="52" t="s">
        <v>25</v>
      </c>
      <c r="F10180" s="52" t="s">
        <v>26</v>
      </c>
      <c r="G10180" s="54"/>
    </row>
    <row r="10181">
      <c r="A10181" s="49">
        <v>45128.10343387732</v>
      </c>
      <c r="B10181" s="50">
        <v>45128.2284109838</v>
      </c>
      <c r="C10181" s="51">
        <v>0.999</v>
      </c>
      <c r="D10181" s="51">
        <v>71.0</v>
      </c>
      <c r="E10181" s="52" t="s">
        <v>25</v>
      </c>
      <c r="F10181" s="52" t="s">
        <v>26</v>
      </c>
      <c r="G10181" s="54"/>
    </row>
    <row r="10182">
      <c r="A10182" s="49">
        <v>45128.113877094904</v>
      </c>
      <c r="B10182" s="50">
        <v>45128.2388440046</v>
      </c>
      <c r="C10182" s="51">
        <v>0.999</v>
      </c>
      <c r="D10182" s="51">
        <v>71.0</v>
      </c>
      <c r="E10182" s="52" t="s">
        <v>25</v>
      </c>
      <c r="F10182" s="52" t="s">
        <v>26</v>
      </c>
      <c r="G10182" s="54"/>
    </row>
    <row r="10183">
      <c r="A10183" s="49">
        <v>45128.124299166666</v>
      </c>
      <c r="B10183" s="50">
        <v>45128.2492753472</v>
      </c>
      <c r="C10183" s="51">
        <v>0.998</v>
      </c>
      <c r="D10183" s="51">
        <v>71.0</v>
      </c>
      <c r="E10183" s="52" t="s">
        <v>25</v>
      </c>
      <c r="F10183" s="52" t="s">
        <v>26</v>
      </c>
      <c r="G10183" s="54"/>
    </row>
    <row r="10184">
      <c r="A10184" s="49">
        <v>45128.13474201389</v>
      </c>
      <c r="B10184" s="50">
        <v>45128.2597087152</v>
      </c>
      <c r="C10184" s="51">
        <v>0.999</v>
      </c>
      <c r="D10184" s="51">
        <v>71.0</v>
      </c>
      <c r="E10184" s="52" t="s">
        <v>25</v>
      </c>
      <c r="F10184" s="52" t="s">
        <v>26</v>
      </c>
      <c r="G10184" s="54"/>
    </row>
    <row r="10185">
      <c r="A10185" s="49">
        <v>45128.14519092593</v>
      </c>
      <c r="B10185" s="50">
        <v>45128.2701286458</v>
      </c>
      <c r="C10185" s="51">
        <v>0.999</v>
      </c>
      <c r="D10185" s="51">
        <v>71.0</v>
      </c>
      <c r="E10185" s="52" t="s">
        <v>25</v>
      </c>
      <c r="F10185" s="52" t="s">
        <v>26</v>
      </c>
      <c r="G10185" s="54"/>
    </row>
    <row r="10186">
      <c r="A10186" s="49">
        <v>45128.15558236111</v>
      </c>
      <c r="B10186" s="50">
        <v>45128.2805484837</v>
      </c>
      <c r="C10186" s="51">
        <v>0.999</v>
      </c>
      <c r="D10186" s="51">
        <v>71.0</v>
      </c>
      <c r="E10186" s="52" t="s">
        <v>25</v>
      </c>
      <c r="F10186" s="52" t="s">
        <v>26</v>
      </c>
      <c r="G10186" s="54"/>
    </row>
    <row r="10187">
      <c r="A10187" s="49">
        <v>45128.16599930555</v>
      </c>
      <c r="B10187" s="50">
        <v>45128.2909700463</v>
      </c>
      <c r="C10187" s="51">
        <v>0.998</v>
      </c>
      <c r="D10187" s="51">
        <v>71.0</v>
      </c>
      <c r="E10187" s="52" t="s">
        <v>25</v>
      </c>
      <c r="F10187" s="52" t="s">
        <v>26</v>
      </c>
      <c r="G10187" s="54"/>
    </row>
    <row r="10188">
      <c r="A10188" s="49">
        <v>45128.17643019676</v>
      </c>
      <c r="B10188" s="50">
        <v>45128.3014024074</v>
      </c>
      <c r="C10188" s="51">
        <v>0.998</v>
      </c>
      <c r="D10188" s="51">
        <v>71.0</v>
      </c>
      <c r="E10188" s="52" t="s">
        <v>25</v>
      </c>
      <c r="F10188" s="52" t="s">
        <v>26</v>
      </c>
      <c r="G10188" s="54"/>
    </row>
    <row r="10189">
      <c r="A10189" s="49">
        <v>45128.18685570602</v>
      </c>
      <c r="B10189" s="50">
        <v>45128.311823449</v>
      </c>
      <c r="C10189" s="51">
        <v>0.999</v>
      </c>
      <c r="D10189" s="51">
        <v>71.0</v>
      </c>
      <c r="E10189" s="52" t="s">
        <v>25</v>
      </c>
      <c r="F10189" s="52" t="s">
        <v>26</v>
      </c>
      <c r="G10189" s="54"/>
    </row>
    <row r="10190">
      <c r="A10190" s="49">
        <v>45128.197276666666</v>
      </c>
      <c r="B10190" s="50">
        <v>45128.3222442592</v>
      </c>
      <c r="C10190" s="51">
        <v>0.999</v>
      </c>
      <c r="D10190" s="51">
        <v>71.0</v>
      </c>
      <c r="E10190" s="52" t="s">
        <v>25</v>
      </c>
      <c r="F10190" s="52" t="s">
        <v>26</v>
      </c>
      <c r="G10190" s="54"/>
    </row>
    <row r="10191">
      <c r="A10191" s="49">
        <v>45128.207697314814</v>
      </c>
      <c r="B10191" s="50">
        <v>45128.332665324</v>
      </c>
      <c r="C10191" s="51">
        <v>0.998</v>
      </c>
      <c r="D10191" s="51">
        <v>71.0</v>
      </c>
      <c r="E10191" s="52" t="s">
        <v>25</v>
      </c>
      <c r="F10191" s="52" t="s">
        <v>26</v>
      </c>
      <c r="G10191" s="54"/>
    </row>
    <row r="10192">
      <c r="A10192" s="49">
        <v>45128.21811574074</v>
      </c>
      <c r="B10192" s="50">
        <v>45128.3430854051</v>
      </c>
      <c r="C10192" s="51">
        <v>0.999</v>
      </c>
      <c r="D10192" s="51">
        <v>71.0</v>
      </c>
      <c r="E10192" s="52" t="s">
        <v>25</v>
      </c>
      <c r="F10192" s="52" t="s">
        <v>26</v>
      </c>
      <c r="G10192" s="54"/>
    </row>
    <row r="10193">
      <c r="A10193" s="49">
        <v>45128.228541122684</v>
      </c>
      <c r="B10193" s="50">
        <v>45128.3535059953</v>
      </c>
      <c r="C10193" s="51">
        <v>0.999</v>
      </c>
      <c r="D10193" s="51">
        <v>71.0</v>
      </c>
      <c r="E10193" s="52" t="s">
        <v>25</v>
      </c>
      <c r="F10193" s="52" t="s">
        <v>26</v>
      </c>
      <c r="G10193" s="54"/>
    </row>
    <row r="10194">
      <c r="A10194" s="49">
        <v>45128.238957152775</v>
      </c>
      <c r="B10194" s="50">
        <v>45128.3639275694</v>
      </c>
      <c r="C10194" s="51">
        <v>0.999</v>
      </c>
      <c r="D10194" s="51">
        <v>71.0</v>
      </c>
      <c r="E10194" s="52" t="s">
        <v>25</v>
      </c>
      <c r="F10194" s="52" t="s">
        <v>26</v>
      </c>
      <c r="G10194" s="54"/>
    </row>
    <row r="10195">
      <c r="A10195" s="49">
        <v>45128.24939563657</v>
      </c>
      <c r="B10195" s="50">
        <v>45128.3743611921</v>
      </c>
      <c r="C10195" s="51">
        <v>0.999</v>
      </c>
      <c r="D10195" s="51">
        <v>71.0</v>
      </c>
      <c r="E10195" s="52" t="s">
        <v>25</v>
      </c>
      <c r="F10195" s="52" t="s">
        <v>26</v>
      </c>
      <c r="G10195" s="54"/>
    </row>
    <row r="10196">
      <c r="A10196" s="49">
        <v>45128.25981149306</v>
      </c>
      <c r="B10196" s="50">
        <v>45128.3847825115</v>
      </c>
      <c r="C10196" s="51">
        <v>0.998</v>
      </c>
      <c r="D10196" s="51">
        <v>71.0</v>
      </c>
      <c r="E10196" s="52" t="s">
        <v>25</v>
      </c>
      <c r="F10196" s="52" t="s">
        <v>26</v>
      </c>
      <c r="G10196" s="54"/>
    </row>
    <row r="10197">
      <c r="A10197" s="49">
        <v>45128.27026233796</v>
      </c>
      <c r="B10197" s="50">
        <v>45128.3952158217</v>
      </c>
      <c r="C10197" s="51">
        <v>0.999</v>
      </c>
      <c r="D10197" s="51">
        <v>71.0</v>
      </c>
      <c r="E10197" s="52" t="s">
        <v>25</v>
      </c>
      <c r="F10197" s="52" t="s">
        <v>26</v>
      </c>
      <c r="G10197" s="54"/>
    </row>
    <row r="10198">
      <c r="A10198" s="49">
        <v>45128.280669375</v>
      </c>
      <c r="B10198" s="50">
        <v>45128.405638125</v>
      </c>
      <c r="C10198" s="51">
        <v>0.999</v>
      </c>
      <c r="D10198" s="51">
        <v>71.0</v>
      </c>
      <c r="E10198" s="52" t="s">
        <v>25</v>
      </c>
      <c r="F10198" s="52" t="s">
        <v>26</v>
      </c>
      <c r="G10198" s="54"/>
    </row>
    <row r="10199">
      <c r="A10199" s="49">
        <v>45128.29109005787</v>
      </c>
      <c r="B10199" s="50">
        <v>45128.4160592824</v>
      </c>
      <c r="C10199" s="51">
        <v>0.998</v>
      </c>
      <c r="D10199" s="51">
        <v>71.0</v>
      </c>
      <c r="E10199" s="52" t="s">
        <v>25</v>
      </c>
      <c r="F10199" s="52" t="s">
        <v>26</v>
      </c>
      <c r="G10199" s="54"/>
    </row>
    <row r="10200">
      <c r="A10200" s="49">
        <v>45128.30151291667</v>
      </c>
      <c r="B10200" s="50">
        <v>45128.4264785648</v>
      </c>
      <c r="C10200" s="51">
        <v>0.998</v>
      </c>
      <c r="D10200" s="51">
        <v>71.0</v>
      </c>
      <c r="E10200" s="52" t="s">
        <v>25</v>
      </c>
      <c r="F10200" s="52" t="s">
        <v>26</v>
      </c>
      <c r="G10200" s="54"/>
    </row>
    <row r="10201">
      <c r="A10201" s="49">
        <v>45128.31193150463</v>
      </c>
      <c r="B10201" s="50">
        <v>45128.4368994097</v>
      </c>
      <c r="C10201" s="51">
        <v>0.999</v>
      </c>
      <c r="D10201" s="51">
        <v>71.0</v>
      </c>
      <c r="E10201" s="52" t="s">
        <v>25</v>
      </c>
      <c r="F10201" s="52" t="s">
        <v>26</v>
      </c>
      <c r="G10201" s="54"/>
    </row>
    <row r="10202">
      <c r="A10202" s="49">
        <v>45128.32234967593</v>
      </c>
      <c r="B10202" s="50">
        <v>45128.4473193055</v>
      </c>
      <c r="C10202" s="51">
        <v>0.999</v>
      </c>
      <c r="D10202" s="51">
        <v>71.0</v>
      </c>
      <c r="E10202" s="52" t="s">
        <v>25</v>
      </c>
      <c r="F10202" s="52" t="s">
        <v>26</v>
      </c>
      <c r="G10202" s="54"/>
    </row>
    <row r="10203">
      <c r="A10203" s="49">
        <v>45128.33277199074</v>
      </c>
      <c r="B10203" s="50">
        <v>45128.4577385069</v>
      </c>
      <c r="C10203" s="51">
        <v>0.999</v>
      </c>
      <c r="D10203" s="51">
        <v>71.0</v>
      </c>
      <c r="E10203" s="52" t="s">
        <v>25</v>
      </c>
      <c r="F10203" s="52" t="s">
        <v>26</v>
      </c>
      <c r="G10203" s="54"/>
    </row>
    <row r="10204">
      <c r="A10204" s="49">
        <v>45128.34320167824</v>
      </c>
      <c r="B10204" s="50">
        <v>45128.4681720138</v>
      </c>
      <c r="C10204" s="51">
        <v>0.999</v>
      </c>
      <c r="D10204" s="51">
        <v>71.0</v>
      </c>
      <c r="E10204" s="52" t="s">
        <v>25</v>
      </c>
      <c r="F10204" s="52" t="s">
        <v>26</v>
      </c>
      <c r="G10204" s="54"/>
    </row>
    <row r="10205">
      <c r="A10205" s="49">
        <v>45128.35361548611</v>
      </c>
      <c r="B10205" s="50">
        <v>45128.4785917013</v>
      </c>
      <c r="C10205" s="51">
        <v>0.999</v>
      </c>
      <c r="D10205" s="51">
        <v>71.0</v>
      </c>
      <c r="E10205" s="52" t="s">
        <v>25</v>
      </c>
      <c r="F10205" s="52" t="s">
        <v>26</v>
      </c>
      <c r="G10205" s="54"/>
    </row>
    <row r="10206">
      <c r="A10206" s="49">
        <v>45128.36405402778</v>
      </c>
      <c r="B10206" s="50">
        <v>45128.4890234953</v>
      </c>
      <c r="C10206" s="51">
        <v>0.999</v>
      </c>
      <c r="D10206" s="51">
        <v>71.0</v>
      </c>
      <c r="E10206" s="52" t="s">
        <v>25</v>
      </c>
      <c r="F10206" s="52" t="s">
        <v>26</v>
      </c>
      <c r="G10206" s="54"/>
    </row>
    <row r="10207">
      <c r="A10207" s="49">
        <v>45128.37447475694</v>
      </c>
      <c r="B10207" s="50">
        <v>45128.4994454976</v>
      </c>
      <c r="C10207" s="51">
        <v>0.999</v>
      </c>
      <c r="D10207" s="51">
        <v>71.0</v>
      </c>
      <c r="E10207" s="52" t="s">
        <v>25</v>
      </c>
      <c r="F10207" s="52" t="s">
        <v>26</v>
      </c>
      <c r="G10207" s="54"/>
    </row>
    <row r="10208">
      <c r="A10208" s="49">
        <v>45128.38489901621</v>
      </c>
      <c r="B10208" s="50">
        <v>45128.5098668981</v>
      </c>
      <c r="C10208" s="51">
        <v>0.998</v>
      </c>
      <c r="D10208" s="51">
        <v>71.0</v>
      </c>
      <c r="E10208" s="52" t="s">
        <v>25</v>
      </c>
      <c r="F10208" s="52" t="s">
        <v>26</v>
      </c>
      <c r="G10208" s="54"/>
    </row>
    <row r="10209">
      <c r="A10209" s="49">
        <v>45128.39533175926</v>
      </c>
      <c r="B10209" s="50">
        <v>45128.5202984143</v>
      </c>
      <c r="C10209" s="51">
        <v>0.999</v>
      </c>
      <c r="D10209" s="51">
        <v>71.0</v>
      </c>
      <c r="E10209" s="52" t="s">
        <v>25</v>
      </c>
      <c r="F10209" s="52" t="s">
        <v>26</v>
      </c>
      <c r="G10209" s="54"/>
    </row>
    <row r="10210">
      <c r="A10210" s="49">
        <v>45128.405748125</v>
      </c>
      <c r="B10210" s="50">
        <v>45128.53072</v>
      </c>
      <c r="C10210" s="51">
        <v>0.999</v>
      </c>
      <c r="D10210" s="51">
        <v>71.0</v>
      </c>
      <c r="E10210" s="52" t="s">
        <v>25</v>
      </c>
      <c r="F10210" s="52" t="s">
        <v>26</v>
      </c>
      <c r="G10210" s="54"/>
    </row>
    <row r="10211">
      <c r="A10211" s="49">
        <v>45128.41618645833</v>
      </c>
      <c r="B10211" s="50">
        <v>45128.5411529051</v>
      </c>
      <c r="C10211" s="51">
        <v>0.998</v>
      </c>
      <c r="D10211" s="51">
        <v>71.0</v>
      </c>
      <c r="E10211" s="52" t="s">
        <v>25</v>
      </c>
      <c r="F10211" s="52" t="s">
        <v>26</v>
      </c>
      <c r="G10211" s="54"/>
    </row>
    <row r="10212">
      <c r="A10212" s="49">
        <v>45128.42661310185</v>
      </c>
      <c r="B10212" s="50">
        <v>45128.5515750925</v>
      </c>
      <c r="C10212" s="51">
        <v>0.999</v>
      </c>
      <c r="D10212" s="51">
        <v>71.0</v>
      </c>
      <c r="E10212" s="52" t="s">
        <v>25</v>
      </c>
      <c r="F10212" s="52" t="s">
        <v>26</v>
      </c>
      <c r="G10212" s="54"/>
    </row>
    <row r="10213">
      <c r="A10213" s="49">
        <v>45128.43702712963</v>
      </c>
      <c r="B10213" s="50">
        <v>45128.5619969328</v>
      </c>
      <c r="C10213" s="51">
        <v>0.999</v>
      </c>
      <c r="D10213" s="51">
        <v>71.0</v>
      </c>
      <c r="E10213" s="52" t="s">
        <v>25</v>
      </c>
      <c r="F10213" s="52" t="s">
        <v>26</v>
      </c>
      <c r="G10213" s="54"/>
    </row>
    <row r="10214">
      <c r="A10214" s="49">
        <v>45128.447454375</v>
      </c>
      <c r="B10214" s="50">
        <v>45128.5724285995</v>
      </c>
      <c r="C10214" s="51">
        <v>0.999</v>
      </c>
      <c r="D10214" s="51">
        <v>71.0</v>
      </c>
      <c r="E10214" s="52" t="s">
        <v>25</v>
      </c>
      <c r="F10214" s="52" t="s">
        <v>26</v>
      </c>
      <c r="G10214" s="54"/>
    </row>
    <row r="10215">
      <c r="A10215" s="49">
        <v>45128.457887488425</v>
      </c>
      <c r="B10215" s="50">
        <v>45128.582851412</v>
      </c>
      <c r="C10215" s="51">
        <v>0.999</v>
      </c>
      <c r="D10215" s="51">
        <v>71.0</v>
      </c>
      <c r="E10215" s="52" t="s">
        <v>25</v>
      </c>
      <c r="F10215" s="52" t="s">
        <v>26</v>
      </c>
      <c r="G10215" s="54"/>
    </row>
    <row r="10216">
      <c r="A10216" s="49">
        <v>45128.468296273146</v>
      </c>
      <c r="B10216" s="50">
        <v>45128.5932732407</v>
      </c>
      <c r="C10216" s="51">
        <v>0.999</v>
      </c>
      <c r="D10216" s="51">
        <v>71.0</v>
      </c>
      <c r="E10216" s="52" t="s">
        <v>25</v>
      </c>
      <c r="F10216" s="52" t="s">
        <v>26</v>
      </c>
      <c r="G10216" s="54"/>
    </row>
    <row r="10217">
      <c r="A10217" s="49">
        <v>45128.47874038194</v>
      </c>
      <c r="B10217" s="50">
        <v>45128.6037061805</v>
      </c>
      <c r="C10217" s="51">
        <v>0.999</v>
      </c>
      <c r="D10217" s="51">
        <v>71.0</v>
      </c>
      <c r="E10217" s="52" t="s">
        <v>25</v>
      </c>
      <c r="F10217" s="52" t="s">
        <v>26</v>
      </c>
      <c r="G10217" s="54"/>
    </row>
    <row r="10218">
      <c r="A10218" s="49">
        <v>45128.48915689815</v>
      </c>
      <c r="B10218" s="50">
        <v>45128.6141256597</v>
      </c>
      <c r="C10218" s="51">
        <v>0.999</v>
      </c>
      <c r="D10218" s="51">
        <v>71.0</v>
      </c>
      <c r="E10218" s="52" t="s">
        <v>25</v>
      </c>
      <c r="F10218" s="52" t="s">
        <v>26</v>
      </c>
      <c r="G10218" s="54"/>
    </row>
    <row r="10219">
      <c r="A10219" s="49">
        <v>45128.49957972222</v>
      </c>
      <c r="B10219" s="50">
        <v>45128.6245481365</v>
      </c>
      <c r="C10219" s="51">
        <v>0.999</v>
      </c>
      <c r="D10219" s="51">
        <v>71.0</v>
      </c>
      <c r="E10219" s="52" t="s">
        <v>25</v>
      </c>
      <c r="F10219" s="52" t="s">
        <v>26</v>
      </c>
      <c r="G10219" s="54"/>
    </row>
    <row r="10220">
      <c r="A10220" s="49">
        <v>45128.50999895833</v>
      </c>
      <c r="B10220" s="50">
        <v>45128.6349689467</v>
      </c>
      <c r="C10220" s="51">
        <v>0.999</v>
      </c>
      <c r="D10220" s="51">
        <v>71.0</v>
      </c>
      <c r="E10220" s="52" t="s">
        <v>25</v>
      </c>
      <c r="F10220" s="52" t="s">
        <v>26</v>
      </c>
      <c r="G10220" s="54"/>
    </row>
    <row r="10221">
      <c r="A10221" s="49">
        <v>45128.5204280787</v>
      </c>
      <c r="B10221" s="50">
        <v>45128.645391493</v>
      </c>
      <c r="C10221" s="51">
        <v>0.999</v>
      </c>
      <c r="D10221" s="51">
        <v>71.0</v>
      </c>
      <c r="E10221" s="52" t="s">
        <v>25</v>
      </c>
      <c r="F10221" s="52" t="s">
        <v>26</v>
      </c>
      <c r="G10221" s="54"/>
    </row>
    <row r="10222">
      <c r="A10222" s="49">
        <v>45128.53084457176</v>
      </c>
      <c r="B10222" s="50">
        <v>45128.6558144097</v>
      </c>
      <c r="C10222" s="51">
        <v>0.999</v>
      </c>
      <c r="D10222" s="51">
        <v>71.0</v>
      </c>
      <c r="E10222" s="52" t="s">
        <v>25</v>
      </c>
      <c r="F10222" s="52" t="s">
        <v>26</v>
      </c>
      <c r="G10222" s="54"/>
    </row>
    <row r="10223">
      <c r="A10223" s="49">
        <v>45128.54128498843</v>
      </c>
      <c r="B10223" s="50">
        <v>45128.6662477662</v>
      </c>
      <c r="C10223" s="51">
        <v>0.999</v>
      </c>
      <c r="D10223" s="51">
        <v>71.0</v>
      </c>
      <c r="E10223" s="52" t="s">
        <v>25</v>
      </c>
      <c r="F10223" s="52" t="s">
        <v>26</v>
      </c>
      <c r="G10223" s="54"/>
    </row>
    <row r="10224">
      <c r="A10224" s="49">
        <v>45128.551700462966</v>
      </c>
      <c r="B10224" s="50">
        <v>45128.6766681134</v>
      </c>
      <c r="C10224" s="51">
        <v>0.999</v>
      </c>
      <c r="D10224" s="51">
        <v>71.0</v>
      </c>
      <c r="E10224" s="52" t="s">
        <v>25</v>
      </c>
      <c r="F10224" s="52" t="s">
        <v>26</v>
      </c>
      <c r="G10224" s="54"/>
    </row>
    <row r="10225">
      <c r="A10225" s="49">
        <v>45128.5621180787</v>
      </c>
      <c r="B10225" s="50">
        <v>45128.6870884259</v>
      </c>
      <c r="C10225" s="51">
        <v>0.999</v>
      </c>
      <c r="D10225" s="51">
        <v>71.0</v>
      </c>
      <c r="E10225" s="52" t="s">
        <v>25</v>
      </c>
      <c r="F10225" s="52" t="s">
        <v>26</v>
      </c>
      <c r="G10225" s="54"/>
    </row>
    <row r="10226">
      <c r="A10226" s="49">
        <v>45128.57254274306</v>
      </c>
      <c r="B10226" s="50">
        <v>45128.6975102893</v>
      </c>
      <c r="C10226" s="51">
        <v>0.998</v>
      </c>
      <c r="D10226" s="51">
        <v>71.0</v>
      </c>
      <c r="E10226" s="52" t="s">
        <v>25</v>
      </c>
      <c r="F10226" s="52" t="s">
        <v>26</v>
      </c>
      <c r="G10226" s="54"/>
    </row>
    <row r="10227">
      <c r="A10227" s="49">
        <v>45128.58296648148</v>
      </c>
      <c r="B10227" s="50">
        <v>45128.7079306134</v>
      </c>
      <c r="C10227" s="51">
        <v>0.999</v>
      </c>
      <c r="D10227" s="51">
        <v>71.0</v>
      </c>
      <c r="E10227" s="52" t="s">
        <v>25</v>
      </c>
      <c r="F10227" s="52" t="s">
        <v>26</v>
      </c>
      <c r="G10227" s="54"/>
    </row>
    <row r="10228">
      <c r="A10228" s="49">
        <v>45128.593384479165</v>
      </c>
      <c r="B10228" s="50">
        <v>45128.7183516088</v>
      </c>
      <c r="C10228" s="51">
        <v>0.998</v>
      </c>
      <c r="D10228" s="51">
        <v>71.0</v>
      </c>
      <c r="E10228" s="52" t="s">
        <v>25</v>
      </c>
      <c r="F10228" s="52" t="s">
        <v>26</v>
      </c>
      <c r="G10228" s="54"/>
    </row>
    <row r="10229">
      <c r="A10229" s="49">
        <v>45128.603819247684</v>
      </c>
      <c r="B10229" s="50">
        <v>45128.7287852314</v>
      </c>
      <c r="C10229" s="51">
        <v>0.999</v>
      </c>
      <c r="D10229" s="51">
        <v>71.0</v>
      </c>
      <c r="E10229" s="52" t="s">
        <v>25</v>
      </c>
      <c r="F10229" s="52" t="s">
        <v>26</v>
      </c>
      <c r="G10229" s="54"/>
    </row>
    <row r="10230">
      <c r="A10230" s="49">
        <v>45128.614227847225</v>
      </c>
      <c r="B10230" s="50">
        <v>45128.7392045023</v>
      </c>
      <c r="C10230" s="51">
        <v>0.999</v>
      </c>
      <c r="D10230" s="51">
        <v>71.0</v>
      </c>
      <c r="E10230" s="52" t="s">
        <v>25</v>
      </c>
      <c r="F10230" s="52" t="s">
        <v>26</v>
      </c>
      <c r="G10230" s="54"/>
    </row>
    <row r="10231">
      <c r="A10231" s="49">
        <v>45128.624663877315</v>
      </c>
      <c r="B10231" s="50">
        <v>45128.7496252199</v>
      </c>
      <c r="C10231" s="51">
        <v>0.999</v>
      </c>
      <c r="D10231" s="51">
        <v>71.0</v>
      </c>
      <c r="E10231" s="52" t="s">
        <v>25</v>
      </c>
      <c r="F10231" s="52" t="s">
        <v>26</v>
      </c>
      <c r="G10231" s="54"/>
    </row>
    <row r="10232">
      <c r="A10232" s="49">
        <v>45128.63507778935</v>
      </c>
      <c r="B10232" s="50">
        <v>45128.7600463426</v>
      </c>
      <c r="C10232" s="51">
        <v>0.999</v>
      </c>
      <c r="D10232" s="51">
        <v>71.0</v>
      </c>
      <c r="E10232" s="52" t="s">
        <v>25</v>
      </c>
      <c r="F10232" s="52" t="s">
        <v>26</v>
      </c>
      <c r="G10232" s="54"/>
    </row>
    <row r="10233">
      <c r="A10233" s="49">
        <v>45128.64550226852</v>
      </c>
      <c r="B10233" s="50">
        <v>45128.7704684143</v>
      </c>
      <c r="C10233" s="51">
        <v>0.999</v>
      </c>
      <c r="D10233" s="51">
        <v>71.0</v>
      </c>
      <c r="E10233" s="52" t="s">
        <v>25</v>
      </c>
      <c r="F10233" s="52" t="s">
        <v>26</v>
      </c>
      <c r="G10233" s="54"/>
    </row>
    <row r="10234">
      <c r="A10234" s="49">
        <v>45128.65595835648</v>
      </c>
      <c r="B10234" s="50">
        <v>45128.7809271412</v>
      </c>
      <c r="C10234" s="51">
        <v>0.999</v>
      </c>
      <c r="D10234" s="51">
        <v>71.0</v>
      </c>
      <c r="E10234" s="52" t="s">
        <v>25</v>
      </c>
      <c r="F10234" s="52" t="s">
        <v>26</v>
      </c>
      <c r="G10234" s="54"/>
    </row>
    <row r="10235">
      <c r="A10235" s="49">
        <v>45128.666374305554</v>
      </c>
      <c r="B10235" s="50">
        <v>45128.7913487037</v>
      </c>
      <c r="C10235" s="51">
        <v>0.999</v>
      </c>
      <c r="D10235" s="51">
        <v>70.0</v>
      </c>
      <c r="E10235" s="52" t="s">
        <v>25</v>
      </c>
      <c r="F10235" s="52" t="s">
        <v>26</v>
      </c>
      <c r="G10235" s="54"/>
    </row>
    <row r="10236">
      <c r="A10236" s="49">
        <v>45128.67680465278</v>
      </c>
      <c r="B10236" s="50">
        <v>45128.801770243</v>
      </c>
      <c r="C10236" s="51">
        <v>0.999</v>
      </c>
      <c r="D10236" s="51">
        <v>71.0</v>
      </c>
      <c r="E10236" s="52" t="s">
        <v>25</v>
      </c>
      <c r="F10236" s="52" t="s">
        <v>26</v>
      </c>
      <c r="G10236" s="54"/>
    </row>
    <row r="10237">
      <c r="A10237" s="49">
        <v>45128.68722141204</v>
      </c>
      <c r="B10237" s="50">
        <v>45128.812190081</v>
      </c>
      <c r="C10237" s="51">
        <v>0.998</v>
      </c>
      <c r="D10237" s="51">
        <v>71.0</v>
      </c>
      <c r="E10237" s="52" t="s">
        <v>25</v>
      </c>
      <c r="F10237" s="52" t="s">
        <v>26</v>
      </c>
      <c r="G10237" s="54"/>
    </row>
    <row r="10238">
      <c r="A10238" s="49">
        <v>45128.697655868054</v>
      </c>
      <c r="B10238" s="50">
        <v>45128.8226228703</v>
      </c>
      <c r="C10238" s="51">
        <v>0.999</v>
      </c>
      <c r="D10238" s="51">
        <v>71.0</v>
      </c>
      <c r="E10238" s="52" t="s">
        <v>25</v>
      </c>
      <c r="F10238" s="52" t="s">
        <v>26</v>
      </c>
      <c r="G10238" s="54"/>
    </row>
    <row r="10239">
      <c r="A10239" s="49">
        <v>45128.70808170139</v>
      </c>
      <c r="B10239" s="50">
        <v>45128.8330564236</v>
      </c>
      <c r="C10239" s="51">
        <v>0.998</v>
      </c>
      <c r="D10239" s="51">
        <v>71.0</v>
      </c>
      <c r="E10239" s="52" t="s">
        <v>25</v>
      </c>
      <c r="F10239" s="52" t="s">
        <v>26</v>
      </c>
      <c r="G10239" s="54"/>
    </row>
    <row r="10240">
      <c r="A10240" s="49">
        <v>45128.718503854165</v>
      </c>
      <c r="B10240" s="50">
        <v>45128.8434781481</v>
      </c>
      <c r="C10240" s="51">
        <v>0.999</v>
      </c>
      <c r="D10240" s="51">
        <v>71.0</v>
      </c>
      <c r="E10240" s="52" t="s">
        <v>25</v>
      </c>
      <c r="F10240" s="52" t="s">
        <v>26</v>
      </c>
      <c r="G10240" s="54"/>
    </row>
    <row r="10241">
      <c r="A10241" s="49">
        <v>45128.72892675926</v>
      </c>
      <c r="B10241" s="50">
        <v>45128.8538994328</v>
      </c>
      <c r="C10241" s="51">
        <v>0.999</v>
      </c>
      <c r="D10241" s="51">
        <v>71.0</v>
      </c>
      <c r="E10241" s="52" t="s">
        <v>25</v>
      </c>
      <c r="F10241" s="52" t="s">
        <v>26</v>
      </c>
      <c r="G10241" s="54"/>
    </row>
    <row r="10242">
      <c r="A10242" s="49">
        <v>45128.739346608796</v>
      </c>
      <c r="B10242" s="50">
        <v>45128.8643201736</v>
      </c>
      <c r="C10242" s="51">
        <v>0.999</v>
      </c>
      <c r="D10242" s="51">
        <v>71.0</v>
      </c>
      <c r="E10242" s="52" t="s">
        <v>25</v>
      </c>
      <c r="F10242" s="52" t="s">
        <v>26</v>
      </c>
      <c r="G10242" s="54"/>
    </row>
    <row r="10243">
      <c r="A10243" s="49">
        <v>45128.749772627314</v>
      </c>
      <c r="B10243" s="50">
        <v>45128.8747420254</v>
      </c>
      <c r="C10243" s="51">
        <v>0.999</v>
      </c>
      <c r="D10243" s="51">
        <v>71.0</v>
      </c>
      <c r="E10243" s="52" t="s">
        <v>25</v>
      </c>
      <c r="F10243" s="52" t="s">
        <v>26</v>
      </c>
      <c r="G10243" s="54"/>
    </row>
    <row r="10244">
      <c r="A10244" s="49">
        <v>45128.7601905787</v>
      </c>
      <c r="B10244" s="50">
        <v>45128.8851627199</v>
      </c>
      <c r="C10244" s="51">
        <v>0.998</v>
      </c>
      <c r="D10244" s="51">
        <v>71.0</v>
      </c>
      <c r="E10244" s="52" t="s">
        <v>25</v>
      </c>
      <c r="F10244" s="52" t="s">
        <v>26</v>
      </c>
      <c r="G10244" s="54"/>
    </row>
    <row r="10245">
      <c r="A10245" s="49">
        <v>45128.770611087966</v>
      </c>
      <c r="B10245" s="50">
        <v>45128.8955832523</v>
      </c>
      <c r="C10245" s="51">
        <v>0.998</v>
      </c>
      <c r="D10245" s="51">
        <v>71.0</v>
      </c>
      <c r="E10245" s="52" t="s">
        <v>25</v>
      </c>
      <c r="F10245" s="52" t="s">
        <v>26</v>
      </c>
      <c r="G10245" s="54"/>
    </row>
    <row r="10246">
      <c r="A10246" s="49">
        <v>45128.78106875</v>
      </c>
      <c r="B10246" s="50">
        <v>45128.9060158564</v>
      </c>
      <c r="C10246" s="51">
        <v>0.999</v>
      </c>
      <c r="D10246" s="51">
        <v>71.0</v>
      </c>
      <c r="E10246" s="52" t="s">
        <v>25</v>
      </c>
      <c r="F10246" s="52" t="s">
        <v>26</v>
      </c>
      <c r="G10246" s="54"/>
    </row>
    <row r="10247">
      <c r="A10247" s="49">
        <v>45128.79146918982</v>
      </c>
      <c r="B10247" s="50">
        <v>45128.9164490046</v>
      </c>
      <c r="C10247" s="51">
        <v>0.999</v>
      </c>
      <c r="D10247" s="51">
        <v>71.0</v>
      </c>
      <c r="E10247" s="52" t="s">
        <v>25</v>
      </c>
      <c r="F10247" s="52" t="s">
        <v>26</v>
      </c>
      <c r="G10247" s="54"/>
    </row>
    <row r="10248">
      <c r="A10248" s="49">
        <v>45128.801900844905</v>
      </c>
      <c r="B10248" s="50">
        <v>45128.9268703587</v>
      </c>
      <c r="C10248" s="51">
        <v>0.999</v>
      </c>
      <c r="D10248" s="51">
        <v>71.0</v>
      </c>
      <c r="E10248" s="52" t="s">
        <v>25</v>
      </c>
      <c r="F10248" s="52" t="s">
        <v>26</v>
      </c>
      <c r="G10248" s="54"/>
    </row>
    <row r="10249">
      <c r="A10249" s="49">
        <v>45128.81231721065</v>
      </c>
      <c r="B10249" s="50">
        <v>45128.9372927314</v>
      </c>
      <c r="C10249" s="51">
        <v>0.998</v>
      </c>
      <c r="D10249" s="51">
        <v>71.0</v>
      </c>
      <c r="E10249" s="52" t="s">
        <v>25</v>
      </c>
      <c r="F10249" s="52" t="s">
        <v>26</v>
      </c>
      <c r="G10249" s="54"/>
    </row>
    <row r="10250">
      <c r="A10250" s="49">
        <v>45128.82274265046</v>
      </c>
      <c r="B10250" s="50">
        <v>45128.947715405</v>
      </c>
      <c r="C10250" s="51">
        <v>0.998</v>
      </c>
      <c r="D10250" s="51">
        <v>71.0</v>
      </c>
      <c r="E10250" s="52" t="s">
        <v>25</v>
      </c>
      <c r="F10250" s="52" t="s">
        <v>26</v>
      </c>
      <c r="G10250" s="54"/>
    </row>
    <row r="10251">
      <c r="A10251" s="49">
        <v>45128.83317271991</v>
      </c>
      <c r="B10251" s="50">
        <v>45128.9581483912</v>
      </c>
      <c r="C10251" s="51">
        <v>0.999</v>
      </c>
      <c r="D10251" s="51">
        <v>71.0</v>
      </c>
      <c r="E10251" s="52" t="s">
        <v>25</v>
      </c>
      <c r="F10251" s="52" t="s">
        <v>26</v>
      </c>
      <c r="G10251" s="54"/>
    </row>
    <row r="10252">
      <c r="A10252" s="49">
        <v>45128.84361851852</v>
      </c>
      <c r="B10252" s="50">
        <v>45128.9685811574</v>
      </c>
      <c r="C10252" s="51">
        <v>0.999</v>
      </c>
      <c r="D10252" s="51">
        <v>71.0</v>
      </c>
      <c r="E10252" s="52" t="s">
        <v>25</v>
      </c>
      <c r="F10252" s="52" t="s">
        <v>26</v>
      </c>
      <c r="G10252" s="54"/>
    </row>
    <row r="10253">
      <c r="A10253" s="49">
        <v>45128.85404236111</v>
      </c>
      <c r="B10253" s="50">
        <v>45128.9790113773</v>
      </c>
      <c r="C10253" s="51">
        <v>0.999</v>
      </c>
      <c r="D10253" s="51">
        <v>71.0</v>
      </c>
      <c r="E10253" s="52" t="s">
        <v>25</v>
      </c>
      <c r="F10253" s="52" t="s">
        <v>26</v>
      </c>
      <c r="G10253" s="54"/>
    </row>
    <row r="10254">
      <c r="A10254" s="49">
        <v>45128.86445703704</v>
      </c>
      <c r="B10254" s="50">
        <v>45128.9894334143</v>
      </c>
      <c r="C10254" s="51">
        <v>0.998</v>
      </c>
      <c r="D10254" s="51">
        <v>71.0</v>
      </c>
      <c r="E10254" s="52" t="s">
        <v>25</v>
      </c>
      <c r="F10254" s="52" t="s">
        <v>26</v>
      </c>
      <c r="G10254" s="54"/>
    </row>
    <row r="10255">
      <c r="A10255" s="49">
        <v>45128.87489741898</v>
      </c>
      <c r="B10255" s="50">
        <v>45128.999866412</v>
      </c>
      <c r="C10255" s="51">
        <v>0.999</v>
      </c>
      <c r="D10255" s="51">
        <v>71.0</v>
      </c>
      <c r="E10255" s="52" t="s">
        <v>25</v>
      </c>
      <c r="F10255" s="52" t="s">
        <v>26</v>
      </c>
      <c r="G10255" s="54"/>
    </row>
    <row r="10256">
      <c r="A10256" s="49">
        <v>45128.885314178246</v>
      </c>
      <c r="B10256" s="50">
        <v>45129.0102882291</v>
      </c>
      <c r="C10256" s="51">
        <v>0.998</v>
      </c>
      <c r="D10256" s="51">
        <v>71.0</v>
      </c>
      <c r="E10256" s="52" t="s">
        <v>25</v>
      </c>
      <c r="F10256" s="52" t="s">
        <v>26</v>
      </c>
      <c r="G10256" s="54"/>
    </row>
    <row r="10257">
      <c r="A10257" s="49">
        <v>45128.89574039352</v>
      </c>
      <c r="B10257" s="50">
        <v>45129.0207093865</v>
      </c>
      <c r="C10257" s="51">
        <v>0.998</v>
      </c>
      <c r="D10257" s="51">
        <v>71.0</v>
      </c>
      <c r="E10257" s="52" t="s">
        <v>25</v>
      </c>
      <c r="F10257" s="52" t="s">
        <v>26</v>
      </c>
      <c r="G10257" s="54"/>
    </row>
    <row r="10258">
      <c r="A10258" s="49">
        <v>45128.90617164352</v>
      </c>
      <c r="B10258" s="50">
        <v>45129.031141574</v>
      </c>
      <c r="C10258" s="51">
        <v>0.999</v>
      </c>
      <c r="D10258" s="51">
        <v>71.0</v>
      </c>
      <c r="E10258" s="52" t="s">
        <v>25</v>
      </c>
      <c r="F10258" s="52" t="s">
        <v>26</v>
      </c>
      <c r="G10258" s="54"/>
    </row>
    <row r="10259">
      <c r="A10259" s="49">
        <v>45128.916594525464</v>
      </c>
      <c r="B10259" s="50">
        <v>45129.0415635648</v>
      </c>
      <c r="C10259" s="51">
        <v>0.999</v>
      </c>
      <c r="D10259" s="51">
        <v>71.0</v>
      </c>
      <c r="E10259" s="52" t="s">
        <v>25</v>
      </c>
      <c r="F10259" s="52" t="s">
        <v>26</v>
      </c>
      <c r="G10259" s="54"/>
    </row>
    <row r="10260">
      <c r="A10260" s="49">
        <v>45128.92701431713</v>
      </c>
      <c r="B10260" s="50">
        <v>45129.0519847916</v>
      </c>
      <c r="C10260" s="51">
        <v>0.999</v>
      </c>
      <c r="D10260" s="51">
        <v>71.0</v>
      </c>
      <c r="E10260" s="52" t="s">
        <v>25</v>
      </c>
      <c r="F10260" s="52" t="s">
        <v>26</v>
      </c>
      <c r="G10260" s="54"/>
    </row>
    <row r="10261">
      <c r="A10261" s="49">
        <v>45128.937440752314</v>
      </c>
      <c r="B10261" s="50">
        <v>45129.0624076851</v>
      </c>
      <c r="C10261" s="51">
        <v>0.999</v>
      </c>
      <c r="D10261" s="51">
        <v>71.0</v>
      </c>
      <c r="E10261" s="52" t="s">
        <v>25</v>
      </c>
      <c r="F10261" s="52" t="s">
        <v>26</v>
      </c>
      <c r="G10261" s="54"/>
    </row>
    <row r="10262">
      <c r="A10262" s="49">
        <v>45128.947860914355</v>
      </c>
      <c r="B10262" s="50">
        <v>45129.0728294676</v>
      </c>
      <c r="C10262" s="51">
        <v>0.999</v>
      </c>
      <c r="D10262" s="51">
        <v>71.0</v>
      </c>
      <c r="E10262" s="52" t="s">
        <v>25</v>
      </c>
      <c r="F10262" s="52" t="s">
        <v>26</v>
      </c>
      <c r="G10262" s="54"/>
    </row>
    <row r="10263">
      <c r="A10263" s="49">
        <v>45128.95828831018</v>
      </c>
      <c r="B10263" s="50">
        <v>45129.0832504976</v>
      </c>
      <c r="C10263" s="51">
        <v>0.999</v>
      </c>
      <c r="D10263" s="51">
        <v>71.0</v>
      </c>
      <c r="E10263" s="52" t="s">
        <v>25</v>
      </c>
      <c r="F10263" s="52" t="s">
        <v>26</v>
      </c>
      <c r="G10263" s="54"/>
    </row>
    <row r="10264">
      <c r="A10264" s="49">
        <v>45128.96871071759</v>
      </c>
      <c r="B10264" s="50">
        <v>45129.0936822916</v>
      </c>
      <c r="C10264" s="51">
        <v>0.999</v>
      </c>
      <c r="D10264" s="51">
        <v>71.0</v>
      </c>
      <c r="E10264" s="52" t="s">
        <v>25</v>
      </c>
      <c r="F10264" s="52" t="s">
        <v>26</v>
      </c>
      <c r="G10264" s="54"/>
    </row>
    <row r="10265">
      <c r="A10265" s="49">
        <v>45128.979161296294</v>
      </c>
      <c r="B10265" s="50">
        <v>45129.1041266551</v>
      </c>
      <c r="C10265" s="51">
        <v>0.999</v>
      </c>
      <c r="D10265" s="51">
        <v>71.0</v>
      </c>
      <c r="E10265" s="52" t="s">
        <v>25</v>
      </c>
      <c r="F10265" s="52" t="s">
        <v>26</v>
      </c>
      <c r="G10265" s="54"/>
    </row>
    <row r="10266">
      <c r="A10266" s="49">
        <v>45128.98958086806</v>
      </c>
      <c r="B10266" s="50">
        <v>45129.1145473611</v>
      </c>
      <c r="C10266" s="51">
        <v>0.998</v>
      </c>
      <c r="D10266" s="51">
        <v>71.0</v>
      </c>
      <c r="E10266" s="52" t="s">
        <v>25</v>
      </c>
      <c r="F10266" s="52" t="s">
        <v>26</v>
      </c>
      <c r="G10266" s="54"/>
    </row>
    <row r="10267">
      <c r="A10267" s="49">
        <v>45128.999998217594</v>
      </c>
      <c r="B10267" s="50">
        <v>45129.1249692708</v>
      </c>
      <c r="C10267" s="51">
        <v>0.998</v>
      </c>
      <c r="D10267" s="51">
        <v>71.0</v>
      </c>
      <c r="E10267" s="52" t="s">
        <v>25</v>
      </c>
      <c r="F10267" s="52" t="s">
        <v>26</v>
      </c>
      <c r="G10267" s="54"/>
    </row>
    <row r="10268">
      <c r="A10268" s="49">
        <v>45129.01041971065</v>
      </c>
      <c r="B10268" s="50">
        <v>45129.1353904861</v>
      </c>
      <c r="C10268" s="51">
        <v>0.999</v>
      </c>
      <c r="D10268" s="51">
        <v>71.0</v>
      </c>
      <c r="E10268" s="52" t="s">
        <v>25</v>
      </c>
      <c r="F10268" s="52" t="s">
        <v>26</v>
      </c>
      <c r="G10268" s="54"/>
    </row>
    <row r="10269">
      <c r="A10269" s="49">
        <v>45129.0208505787</v>
      </c>
      <c r="B10269" s="50">
        <v>45129.1458206134</v>
      </c>
      <c r="C10269" s="51">
        <v>0.998</v>
      </c>
      <c r="D10269" s="51">
        <v>71.0</v>
      </c>
      <c r="E10269" s="52" t="s">
        <v>25</v>
      </c>
      <c r="F10269" s="52" t="s">
        <v>26</v>
      </c>
      <c r="G10269" s="54"/>
    </row>
    <row r="10270">
      <c r="A10270" s="49">
        <v>45129.0312652662</v>
      </c>
      <c r="B10270" s="50">
        <v>45129.1562420023</v>
      </c>
      <c r="C10270" s="51">
        <v>0.999</v>
      </c>
      <c r="D10270" s="51">
        <v>71.0</v>
      </c>
      <c r="E10270" s="52" t="s">
        <v>25</v>
      </c>
      <c r="F10270" s="52" t="s">
        <v>26</v>
      </c>
      <c r="G10270" s="54"/>
    </row>
    <row r="10271">
      <c r="A10271" s="49">
        <v>45129.04169599537</v>
      </c>
      <c r="B10271" s="50">
        <v>45129.1666628009</v>
      </c>
      <c r="C10271" s="51">
        <v>0.998</v>
      </c>
      <c r="D10271" s="51">
        <v>71.0</v>
      </c>
      <c r="E10271" s="52" t="s">
        <v>25</v>
      </c>
      <c r="F10271" s="52" t="s">
        <v>26</v>
      </c>
      <c r="G10271" s="54"/>
    </row>
    <row r="10272">
      <c r="A10272" s="49">
        <v>45129.05211575232</v>
      </c>
      <c r="B10272" s="50">
        <v>45129.1770846296</v>
      </c>
      <c r="C10272" s="51">
        <v>0.998</v>
      </c>
      <c r="D10272" s="51">
        <v>71.0</v>
      </c>
      <c r="E10272" s="52" t="s">
        <v>25</v>
      </c>
      <c r="F10272" s="52" t="s">
        <v>26</v>
      </c>
      <c r="G10272" s="54"/>
    </row>
    <row r="10273">
      <c r="A10273" s="49">
        <v>45129.062553125</v>
      </c>
      <c r="B10273" s="50">
        <v>45129.1875170138</v>
      </c>
      <c r="C10273" s="51">
        <v>0.999</v>
      </c>
      <c r="D10273" s="51">
        <v>71.0</v>
      </c>
      <c r="E10273" s="52" t="s">
        <v>25</v>
      </c>
      <c r="F10273" s="52" t="s">
        <v>26</v>
      </c>
      <c r="G10273" s="54"/>
    </row>
    <row r="10274">
      <c r="A10274" s="49">
        <v>45129.07296677084</v>
      </c>
      <c r="B10274" s="50">
        <v>45129.1979374189</v>
      </c>
      <c r="C10274" s="51">
        <v>0.999</v>
      </c>
      <c r="D10274" s="51">
        <v>71.0</v>
      </c>
      <c r="E10274" s="52" t="s">
        <v>25</v>
      </c>
      <c r="F10274" s="52" t="s">
        <v>26</v>
      </c>
      <c r="G10274" s="54"/>
    </row>
    <row r="10275">
      <c r="A10275" s="49">
        <v>45129.08338028935</v>
      </c>
      <c r="B10275" s="50">
        <v>45129.2083590162</v>
      </c>
      <c r="C10275" s="51">
        <v>0.999</v>
      </c>
      <c r="D10275" s="51">
        <v>71.0</v>
      </c>
      <c r="E10275" s="52" t="s">
        <v>25</v>
      </c>
      <c r="F10275" s="52" t="s">
        <v>26</v>
      </c>
      <c r="G10275" s="54"/>
    </row>
    <row r="10276">
      <c r="A10276" s="49">
        <v>45129.09381701389</v>
      </c>
      <c r="B10276" s="50">
        <v>45129.218780081</v>
      </c>
      <c r="C10276" s="51">
        <v>0.998</v>
      </c>
      <c r="D10276" s="51">
        <v>71.0</v>
      </c>
      <c r="E10276" s="52" t="s">
        <v>25</v>
      </c>
      <c r="F10276" s="52" t="s">
        <v>26</v>
      </c>
      <c r="G10276" s="54"/>
    </row>
    <row r="10277">
      <c r="A10277" s="49">
        <v>45129.104241967594</v>
      </c>
      <c r="B10277" s="50">
        <v>45129.2292127662</v>
      </c>
      <c r="C10277" s="51">
        <v>0.999</v>
      </c>
      <c r="D10277" s="51">
        <v>71.0</v>
      </c>
      <c r="E10277" s="52" t="s">
        <v>25</v>
      </c>
      <c r="F10277" s="52" t="s">
        <v>26</v>
      </c>
      <c r="G10277" s="54"/>
    </row>
    <row r="10278">
      <c r="A10278" s="49">
        <v>45129.11466337963</v>
      </c>
      <c r="B10278" s="50">
        <v>45129.2396350694</v>
      </c>
      <c r="C10278" s="51">
        <v>0.999</v>
      </c>
      <c r="D10278" s="51">
        <v>71.0</v>
      </c>
      <c r="E10278" s="52" t="s">
        <v>25</v>
      </c>
      <c r="F10278" s="52" t="s">
        <v>26</v>
      </c>
      <c r="G10278" s="54"/>
    </row>
    <row r="10279">
      <c r="A10279" s="49">
        <v>45129.125086631946</v>
      </c>
      <c r="B10279" s="50">
        <v>45129.2500559722</v>
      </c>
      <c r="C10279" s="51">
        <v>0.999</v>
      </c>
      <c r="D10279" s="51">
        <v>71.0</v>
      </c>
      <c r="E10279" s="52" t="s">
        <v>25</v>
      </c>
      <c r="F10279" s="52" t="s">
        <v>26</v>
      </c>
      <c r="G10279" s="54"/>
    </row>
    <row r="10280">
      <c r="A10280" s="49">
        <v>45129.13550979167</v>
      </c>
      <c r="B10280" s="50">
        <v>45129.260476412</v>
      </c>
      <c r="C10280" s="51">
        <v>0.999</v>
      </c>
      <c r="D10280" s="51">
        <v>71.0</v>
      </c>
      <c r="E10280" s="52" t="s">
        <v>25</v>
      </c>
      <c r="F10280" s="52" t="s">
        <v>26</v>
      </c>
      <c r="G10280" s="54"/>
    </row>
    <row r="10281">
      <c r="A10281" s="49">
        <v>45129.145926909725</v>
      </c>
      <c r="B10281" s="50">
        <v>45129.2708961921</v>
      </c>
      <c r="C10281" s="51">
        <v>0.999</v>
      </c>
      <c r="D10281" s="51">
        <v>71.0</v>
      </c>
      <c r="E10281" s="52" t="s">
        <v>25</v>
      </c>
      <c r="F10281" s="52" t="s">
        <v>26</v>
      </c>
      <c r="G10281" s="54"/>
    </row>
    <row r="10282">
      <c r="A10282" s="49">
        <v>45129.15634140046</v>
      </c>
      <c r="B10282" s="50">
        <v>45129.2813162384</v>
      </c>
      <c r="C10282" s="51">
        <v>0.999</v>
      </c>
      <c r="D10282" s="51">
        <v>71.0</v>
      </c>
      <c r="E10282" s="52" t="s">
        <v>25</v>
      </c>
      <c r="F10282" s="52" t="s">
        <v>26</v>
      </c>
      <c r="G10282" s="54"/>
    </row>
    <row r="10283">
      <c r="A10283" s="49">
        <v>45129.166770104166</v>
      </c>
      <c r="B10283" s="50">
        <v>45129.2917385416</v>
      </c>
      <c r="C10283" s="51">
        <v>0.999</v>
      </c>
      <c r="D10283" s="51">
        <v>71.0</v>
      </c>
      <c r="E10283" s="52" t="s">
        <v>25</v>
      </c>
      <c r="F10283" s="52" t="s">
        <v>26</v>
      </c>
      <c r="G10283" s="54"/>
    </row>
    <row r="10284">
      <c r="A10284" s="49">
        <v>45129.1772103125</v>
      </c>
      <c r="B10284" s="50">
        <v>45129.3021839351</v>
      </c>
      <c r="C10284" s="51">
        <v>0.999</v>
      </c>
      <c r="D10284" s="51">
        <v>71.0</v>
      </c>
      <c r="E10284" s="52" t="s">
        <v>25</v>
      </c>
      <c r="F10284" s="52" t="s">
        <v>26</v>
      </c>
      <c r="G10284" s="54"/>
    </row>
    <row r="10285">
      <c r="A10285" s="49">
        <v>45129.18762728009</v>
      </c>
      <c r="B10285" s="50">
        <v>45129.3126048611</v>
      </c>
      <c r="C10285" s="51">
        <v>0.999</v>
      </c>
      <c r="D10285" s="51">
        <v>71.0</v>
      </c>
      <c r="E10285" s="52" t="s">
        <v>25</v>
      </c>
      <c r="F10285" s="52" t="s">
        <v>26</v>
      </c>
      <c r="G10285" s="54"/>
    </row>
    <row r="10286">
      <c r="A10286" s="49">
        <v>45129.19806354167</v>
      </c>
      <c r="B10286" s="50">
        <v>45129.3230277662</v>
      </c>
      <c r="C10286" s="51">
        <v>0.999</v>
      </c>
      <c r="D10286" s="51">
        <v>71.0</v>
      </c>
      <c r="E10286" s="52" t="s">
        <v>25</v>
      </c>
      <c r="F10286" s="52" t="s">
        <v>26</v>
      </c>
      <c r="G10286" s="54"/>
    </row>
    <row r="10287">
      <c r="A10287" s="49">
        <v>45129.20846947917</v>
      </c>
      <c r="B10287" s="50">
        <v>45129.3334484606</v>
      </c>
      <c r="C10287" s="51">
        <v>0.999</v>
      </c>
      <c r="D10287" s="51">
        <v>71.0</v>
      </c>
      <c r="E10287" s="52" t="s">
        <v>25</v>
      </c>
      <c r="F10287" s="52" t="s">
        <v>26</v>
      </c>
      <c r="G10287" s="54"/>
    </row>
    <row r="10288">
      <c r="A10288" s="49">
        <v>45129.21889710648</v>
      </c>
      <c r="B10288" s="50">
        <v>45129.3438702546</v>
      </c>
      <c r="C10288" s="51">
        <v>0.999</v>
      </c>
      <c r="D10288" s="51">
        <v>71.0</v>
      </c>
      <c r="E10288" s="52" t="s">
        <v>25</v>
      </c>
      <c r="F10288" s="52" t="s">
        <v>26</v>
      </c>
      <c r="G10288" s="54"/>
    </row>
    <row r="10289">
      <c r="A10289" s="49">
        <v>45129.22933599537</v>
      </c>
      <c r="B10289" s="50">
        <v>45129.3543028125</v>
      </c>
      <c r="C10289" s="51">
        <v>0.999</v>
      </c>
      <c r="D10289" s="51">
        <v>71.0</v>
      </c>
      <c r="E10289" s="52" t="s">
        <v>25</v>
      </c>
      <c r="F10289" s="52" t="s">
        <v>26</v>
      </c>
      <c r="G10289" s="54"/>
    </row>
    <row r="10290">
      <c r="A10290" s="49">
        <v>45129.239749189815</v>
      </c>
      <c r="B10290" s="50">
        <v>45129.3647240046</v>
      </c>
      <c r="C10290" s="51">
        <v>0.999</v>
      </c>
      <c r="D10290" s="51">
        <v>71.0</v>
      </c>
      <c r="E10290" s="52" t="s">
        <v>25</v>
      </c>
      <c r="F10290" s="52" t="s">
        <v>26</v>
      </c>
      <c r="G10290" s="54"/>
    </row>
    <row r="10291">
      <c r="A10291" s="49">
        <v>45129.2501759838</v>
      </c>
      <c r="B10291" s="50">
        <v>45129.375144456</v>
      </c>
      <c r="C10291" s="51">
        <v>0.999</v>
      </c>
      <c r="D10291" s="51">
        <v>71.0</v>
      </c>
      <c r="E10291" s="52" t="s">
        <v>25</v>
      </c>
      <c r="F10291" s="52" t="s">
        <v>26</v>
      </c>
      <c r="G10291" s="54"/>
    </row>
    <row r="10292">
      <c r="A10292" s="49">
        <v>45129.26059015046</v>
      </c>
      <c r="B10292" s="50">
        <v>45129.3855638078</v>
      </c>
      <c r="C10292" s="51">
        <v>0.998</v>
      </c>
      <c r="D10292" s="51">
        <v>71.0</v>
      </c>
      <c r="E10292" s="52" t="s">
        <v>25</v>
      </c>
      <c r="F10292" s="52" t="s">
        <v>26</v>
      </c>
      <c r="G10292" s="54"/>
    </row>
    <row r="10293">
      <c r="A10293" s="49">
        <v>45129.271032233795</v>
      </c>
      <c r="B10293" s="50">
        <v>45129.3959964351</v>
      </c>
      <c r="C10293" s="51">
        <v>0.999</v>
      </c>
      <c r="D10293" s="51">
        <v>71.0</v>
      </c>
      <c r="E10293" s="52" t="s">
        <v>25</v>
      </c>
      <c r="F10293" s="52" t="s">
        <v>26</v>
      </c>
      <c r="G10293" s="54"/>
    </row>
    <row r="10294">
      <c r="A10294" s="49">
        <v>45129.28144361111</v>
      </c>
      <c r="B10294" s="50">
        <v>45129.4064166898</v>
      </c>
      <c r="C10294" s="51">
        <v>0.999</v>
      </c>
      <c r="D10294" s="51">
        <v>71.0</v>
      </c>
      <c r="E10294" s="52" t="s">
        <v>25</v>
      </c>
      <c r="F10294" s="52" t="s">
        <v>26</v>
      </c>
      <c r="G10294" s="54"/>
    </row>
    <row r="10295">
      <c r="A10295" s="49">
        <v>45129.291864756946</v>
      </c>
      <c r="B10295" s="50">
        <v>45129.4168373495</v>
      </c>
      <c r="C10295" s="51">
        <v>0.999</v>
      </c>
      <c r="D10295" s="51">
        <v>71.0</v>
      </c>
      <c r="E10295" s="52" t="s">
        <v>25</v>
      </c>
      <c r="F10295" s="52" t="s">
        <v>26</v>
      </c>
      <c r="G10295" s="54"/>
    </row>
    <row r="10296">
      <c r="A10296" s="49">
        <v>45129.302301550924</v>
      </c>
      <c r="B10296" s="50">
        <v>45129.42727</v>
      </c>
      <c r="C10296" s="51">
        <v>0.999</v>
      </c>
      <c r="D10296" s="51">
        <v>71.0</v>
      </c>
      <c r="E10296" s="52" t="s">
        <v>25</v>
      </c>
      <c r="F10296" s="52" t="s">
        <v>26</v>
      </c>
      <c r="G10296" s="54"/>
    </row>
    <row r="10297">
      <c r="A10297" s="49">
        <v>45129.31271637732</v>
      </c>
      <c r="B10297" s="50">
        <v>45129.4376911342</v>
      </c>
      <c r="C10297" s="51">
        <v>0.999</v>
      </c>
      <c r="D10297" s="51">
        <v>71.0</v>
      </c>
      <c r="E10297" s="52" t="s">
        <v>25</v>
      </c>
      <c r="F10297" s="52" t="s">
        <v>26</v>
      </c>
      <c r="G10297" s="54"/>
    </row>
    <row r="10298">
      <c r="A10298" s="49">
        <v>45129.32313554398</v>
      </c>
      <c r="B10298" s="50">
        <v>45129.4481132291</v>
      </c>
      <c r="C10298" s="51">
        <v>0.998</v>
      </c>
      <c r="D10298" s="51">
        <v>71.0</v>
      </c>
      <c r="E10298" s="52" t="s">
        <v>25</v>
      </c>
      <c r="F10298" s="52" t="s">
        <v>26</v>
      </c>
      <c r="G10298" s="54"/>
    </row>
    <row r="10299">
      <c r="A10299" s="49">
        <v>45129.33356752315</v>
      </c>
      <c r="B10299" s="50">
        <v>45129.458534699</v>
      </c>
      <c r="C10299" s="51">
        <v>0.998</v>
      </c>
      <c r="D10299" s="51">
        <v>71.0</v>
      </c>
      <c r="E10299" s="52" t="s">
        <v>25</v>
      </c>
      <c r="F10299" s="52" t="s">
        <v>26</v>
      </c>
      <c r="G10299" s="54"/>
    </row>
    <row r="10300">
      <c r="A10300" s="49">
        <v>45129.34398784723</v>
      </c>
      <c r="B10300" s="50">
        <v>45129.4689560763</v>
      </c>
      <c r="C10300" s="51">
        <v>0.999</v>
      </c>
      <c r="D10300" s="51">
        <v>71.0</v>
      </c>
      <c r="E10300" s="52" t="s">
        <v>25</v>
      </c>
      <c r="F10300" s="52" t="s">
        <v>26</v>
      </c>
      <c r="G10300" s="54"/>
    </row>
    <row r="10301">
      <c r="A10301" s="49">
        <v>45129.354403703706</v>
      </c>
      <c r="B10301" s="50">
        <v>45129.4793768402</v>
      </c>
      <c r="C10301" s="51">
        <v>0.999</v>
      </c>
      <c r="D10301" s="51">
        <v>71.0</v>
      </c>
      <c r="E10301" s="52" t="s">
        <v>25</v>
      </c>
      <c r="F10301" s="52" t="s">
        <v>26</v>
      </c>
      <c r="G10301" s="54"/>
    </row>
    <row r="10302">
      <c r="A10302" s="49">
        <v>45129.426441759264</v>
      </c>
      <c r="B10302" s="50">
        <v>45129.551406493</v>
      </c>
      <c r="C10302" s="51">
        <v>0.998</v>
      </c>
      <c r="D10302" s="51">
        <v>71.0</v>
      </c>
      <c r="E10302" s="52" t="s">
        <v>25</v>
      </c>
      <c r="F10302" s="52" t="s">
        <v>26</v>
      </c>
      <c r="G10302" s="54"/>
    </row>
    <row r="10303">
      <c r="A10303" s="49">
        <v>45129.43686006944</v>
      </c>
      <c r="B10303" s="50">
        <v>45129.5618277546</v>
      </c>
      <c r="C10303" s="51">
        <v>0.999</v>
      </c>
      <c r="D10303" s="51">
        <v>71.0</v>
      </c>
      <c r="E10303" s="52" t="s">
        <v>25</v>
      </c>
      <c r="F10303" s="52" t="s">
        <v>26</v>
      </c>
      <c r="G10303" s="54"/>
    </row>
    <row r="10304">
      <c r="A10304" s="49">
        <v>45129.44728216435</v>
      </c>
      <c r="B10304" s="50">
        <v>45129.5722483217</v>
      </c>
      <c r="C10304" s="51">
        <v>0.999</v>
      </c>
      <c r="D10304" s="51">
        <v>71.0</v>
      </c>
      <c r="E10304" s="52" t="s">
        <v>25</v>
      </c>
      <c r="F10304" s="52" t="s">
        <v>26</v>
      </c>
      <c r="G10304" s="54"/>
    </row>
    <row r="10305">
      <c r="A10305" s="49">
        <v>45129.45770459491</v>
      </c>
      <c r="B10305" s="50">
        <v>45129.5826687615</v>
      </c>
      <c r="C10305" s="51">
        <v>0.999</v>
      </c>
      <c r="D10305" s="51">
        <v>71.0</v>
      </c>
      <c r="E10305" s="52" t="s">
        <v>25</v>
      </c>
      <c r="F10305" s="52" t="s">
        <v>26</v>
      </c>
      <c r="G10305" s="54"/>
    </row>
    <row r="10306">
      <c r="A10306" s="49">
        <v>45129.46813998843</v>
      </c>
      <c r="B10306" s="50">
        <v>45129.5930897222</v>
      </c>
      <c r="C10306" s="51">
        <v>0.999</v>
      </c>
      <c r="D10306" s="51">
        <v>71.0</v>
      </c>
      <c r="E10306" s="52" t="s">
        <v>25</v>
      </c>
      <c r="F10306" s="52" t="s">
        <v>26</v>
      </c>
      <c r="G10306" s="54"/>
    </row>
    <row r="10307">
      <c r="A10307" s="49">
        <v>45129.478568425926</v>
      </c>
      <c r="B10307" s="50">
        <v>45129.603510324</v>
      </c>
      <c r="C10307" s="51">
        <v>0.999</v>
      </c>
      <c r="D10307" s="51">
        <v>71.0</v>
      </c>
      <c r="E10307" s="52" t="s">
        <v>25</v>
      </c>
      <c r="F10307" s="52" t="s">
        <v>26</v>
      </c>
      <c r="G10307" s="54"/>
    </row>
    <row r="10308">
      <c r="A10308" s="49">
        <v>45129.488988819445</v>
      </c>
      <c r="B10308" s="50">
        <v>45129.6139307407</v>
      </c>
      <c r="C10308" s="51">
        <v>0.999</v>
      </c>
      <c r="D10308" s="51">
        <v>71.0</v>
      </c>
      <c r="E10308" s="52" t="s">
        <v>25</v>
      </c>
      <c r="F10308" s="52" t="s">
        <v>26</v>
      </c>
      <c r="G10308" s="54"/>
    </row>
    <row r="10309">
      <c r="A10309" s="49">
        <v>45129.499414791666</v>
      </c>
      <c r="B10309" s="50">
        <v>45129.62435228</v>
      </c>
      <c r="C10309" s="51">
        <v>0.999</v>
      </c>
      <c r="D10309" s="51">
        <v>71.0</v>
      </c>
      <c r="E10309" s="52" t="s">
        <v>25</v>
      </c>
      <c r="F10309" s="52" t="s">
        <v>26</v>
      </c>
      <c r="G10309" s="54"/>
    </row>
    <row r="10310">
      <c r="A10310" s="49">
        <v>45129.50983252315</v>
      </c>
      <c r="B10310" s="50">
        <v>45129.634771875</v>
      </c>
      <c r="C10310" s="51">
        <v>0.998</v>
      </c>
      <c r="D10310" s="51">
        <v>71.0</v>
      </c>
      <c r="E10310" s="52" t="s">
        <v>25</v>
      </c>
      <c r="F10310" s="52" t="s">
        <v>26</v>
      </c>
      <c r="G10310" s="54"/>
    </row>
    <row r="10311">
      <c r="A10311" s="49">
        <v>45129.52026023148</v>
      </c>
      <c r="B10311" s="50">
        <v>45129.6451930787</v>
      </c>
      <c r="C10311" s="51">
        <v>0.999</v>
      </c>
      <c r="D10311" s="51">
        <v>71.0</v>
      </c>
      <c r="E10311" s="52" t="s">
        <v>25</v>
      </c>
      <c r="F10311" s="52" t="s">
        <v>26</v>
      </c>
      <c r="G10311" s="54"/>
    </row>
    <row r="10312">
      <c r="A10312" s="49">
        <v>45129.53401938657</v>
      </c>
      <c r="B10312" s="50">
        <v>45129.6588701504</v>
      </c>
      <c r="C10312" s="51">
        <v>0.999</v>
      </c>
      <c r="D10312" s="51">
        <v>71.0</v>
      </c>
      <c r="E10312" s="52" t="s">
        <v>25</v>
      </c>
      <c r="F10312" s="52" t="s">
        <v>26</v>
      </c>
      <c r="G10312" s="54"/>
    </row>
    <row r="10313">
      <c r="A10313" s="49">
        <v>45129.54437883102</v>
      </c>
      <c r="B10313" s="50">
        <v>45129.669291875</v>
      </c>
      <c r="C10313" s="51">
        <v>0.999</v>
      </c>
      <c r="D10313" s="51">
        <v>71.0</v>
      </c>
      <c r="E10313" s="52" t="s">
        <v>25</v>
      </c>
      <c r="F10313" s="52" t="s">
        <v>26</v>
      </c>
      <c r="G10313" s="54"/>
    </row>
    <row r="10314">
      <c r="A10314" s="49">
        <v>45129.55479905092</v>
      </c>
      <c r="B10314" s="50">
        <v>45129.6797260185</v>
      </c>
      <c r="C10314" s="51">
        <v>0.999</v>
      </c>
      <c r="D10314" s="51">
        <v>71.0</v>
      </c>
      <c r="E10314" s="52" t="s">
        <v>25</v>
      </c>
      <c r="F10314" s="52" t="s">
        <v>26</v>
      </c>
      <c r="G10314" s="54"/>
    </row>
    <row r="10315">
      <c r="A10315" s="49">
        <v>45129.565213587965</v>
      </c>
      <c r="B10315" s="50">
        <v>45129.6901469213</v>
      </c>
      <c r="C10315" s="51">
        <v>0.999</v>
      </c>
      <c r="D10315" s="51">
        <v>71.0</v>
      </c>
      <c r="E10315" s="52" t="s">
        <v>25</v>
      </c>
      <c r="F10315" s="52" t="s">
        <v>26</v>
      </c>
      <c r="G10315" s="54"/>
    </row>
    <row r="10316">
      <c r="A10316" s="49">
        <v>45129.575632673615</v>
      </c>
      <c r="B10316" s="50">
        <v>45129.7005804514</v>
      </c>
      <c r="C10316" s="51">
        <v>0.999</v>
      </c>
      <c r="D10316" s="51">
        <v>71.0</v>
      </c>
      <c r="E10316" s="52" t="s">
        <v>25</v>
      </c>
      <c r="F10316" s="52" t="s">
        <v>26</v>
      </c>
      <c r="G10316" s="54"/>
    </row>
    <row r="10317">
      <c r="A10317" s="49">
        <v>45129.58605346065</v>
      </c>
      <c r="B10317" s="50">
        <v>45129.7110004282</v>
      </c>
      <c r="C10317" s="51">
        <v>0.999</v>
      </c>
      <c r="D10317" s="51">
        <v>71.0</v>
      </c>
      <c r="E10317" s="52" t="s">
        <v>25</v>
      </c>
      <c r="F10317" s="52" t="s">
        <v>26</v>
      </c>
      <c r="G10317" s="54"/>
    </row>
    <row r="10318">
      <c r="A10318" s="49">
        <v>45129.5964690625</v>
      </c>
      <c r="B10318" s="50">
        <v>45129.7214212615</v>
      </c>
      <c r="C10318" s="51">
        <v>0.999</v>
      </c>
      <c r="D10318" s="51">
        <v>71.0</v>
      </c>
      <c r="E10318" s="52" t="s">
        <v>25</v>
      </c>
      <c r="F10318" s="52" t="s">
        <v>26</v>
      </c>
      <c r="G10318" s="54"/>
    </row>
    <row r="10319">
      <c r="A10319" s="49">
        <v>45129.60689945602</v>
      </c>
      <c r="B10319" s="50">
        <v>45129.7318412847</v>
      </c>
      <c r="C10319" s="51">
        <v>0.999</v>
      </c>
      <c r="D10319" s="51">
        <v>71.0</v>
      </c>
      <c r="E10319" s="52" t="s">
        <v>25</v>
      </c>
      <c r="F10319" s="52" t="s">
        <v>26</v>
      </c>
      <c r="G10319" s="54"/>
    </row>
    <row r="10320">
      <c r="A10320" s="49">
        <v>45129.6173184838</v>
      </c>
      <c r="B10320" s="50">
        <v>45129.7422616203</v>
      </c>
      <c r="C10320" s="51">
        <v>0.998</v>
      </c>
      <c r="D10320" s="51">
        <v>71.0</v>
      </c>
      <c r="E10320" s="52" t="s">
        <v>25</v>
      </c>
      <c r="F10320" s="52" t="s">
        <v>26</v>
      </c>
      <c r="G10320" s="54"/>
    </row>
    <row r="10321">
      <c r="A10321" s="49">
        <v>45129.627748252315</v>
      </c>
      <c r="B10321" s="50">
        <v>45129.7526830324</v>
      </c>
      <c r="C10321" s="51">
        <v>0.999</v>
      </c>
      <c r="D10321" s="51">
        <v>71.0</v>
      </c>
      <c r="E10321" s="52" t="s">
        <v>25</v>
      </c>
      <c r="F10321" s="52" t="s">
        <v>26</v>
      </c>
      <c r="G10321" s="54"/>
    </row>
    <row r="10322">
      <c r="A10322" s="49">
        <v>45129.63818386574</v>
      </c>
      <c r="B10322" s="50">
        <v>45129.7631044907</v>
      </c>
      <c r="C10322" s="51">
        <v>0.999</v>
      </c>
      <c r="D10322" s="51">
        <v>71.0</v>
      </c>
      <c r="E10322" s="52" t="s">
        <v>25</v>
      </c>
      <c r="F10322" s="52" t="s">
        <v>26</v>
      </c>
      <c r="G10322" s="54"/>
    </row>
    <row r="10323">
      <c r="A10323" s="49">
        <v>45129.648606574076</v>
      </c>
      <c r="B10323" s="50">
        <v>45129.7735365625</v>
      </c>
      <c r="C10323" s="51">
        <v>0.998</v>
      </c>
      <c r="D10323" s="51">
        <v>71.0</v>
      </c>
      <c r="E10323" s="52" t="s">
        <v>25</v>
      </c>
      <c r="F10323" s="52" t="s">
        <v>26</v>
      </c>
      <c r="G10323" s="54"/>
    </row>
    <row r="10324">
      <c r="A10324" s="49">
        <v>45129.659047071764</v>
      </c>
      <c r="B10324" s="50">
        <v>45129.7839560301</v>
      </c>
      <c r="C10324" s="51">
        <v>0.999</v>
      </c>
      <c r="D10324" s="51">
        <v>71.0</v>
      </c>
      <c r="E10324" s="52" t="s">
        <v>25</v>
      </c>
      <c r="F10324" s="52" t="s">
        <v>26</v>
      </c>
      <c r="G10324" s="54"/>
    </row>
    <row r="10325">
      <c r="A10325" s="49">
        <v>45129.66946402778</v>
      </c>
      <c r="B10325" s="50">
        <v>45129.7943756018</v>
      </c>
      <c r="C10325" s="51">
        <v>0.999</v>
      </c>
      <c r="D10325" s="51">
        <v>71.0</v>
      </c>
      <c r="E10325" s="52" t="s">
        <v>25</v>
      </c>
      <c r="F10325" s="52" t="s">
        <v>26</v>
      </c>
      <c r="G10325" s="54"/>
    </row>
    <row r="10326">
      <c r="A10326" s="49">
        <v>45129.67982391204</v>
      </c>
      <c r="B10326" s="50">
        <v>45129.8047965277</v>
      </c>
      <c r="C10326" s="51">
        <v>0.998</v>
      </c>
      <c r="D10326" s="51">
        <v>71.0</v>
      </c>
      <c r="E10326" s="52" t="s">
        <v>25</v>
      </c>
      <c r="F10326" s="52" t="s">
        <v>26</v>
      </c>
      <c r="G10326" s="54"/>
    </row>
    <row r="10327">
      <c r="A10327" s="49">
        <v>45129.69025126158</v>
      </c>
      <c r="B10327" s="50">
        <v>45129.8152176157</v>
      </c>
      <c r="C10327" s="51">
        <v>0.999</v>
      </c>
      <c r="D10327" s="51">
        <v>71.0</v>
      </c>
      <c r="E10327" s="52" t="s">
        <v>25</v>
      </c>
      <c r="F10327" s="52" t="s">
        <v>26</v>
      </c>
      <c r="G10327" s="54"/>
    </row>
    <row r="10328">
      <c r="A10328" s="49">
        <v>45129.70066869213</v>
      </c>
      <c r="B10328" s="50">
        <v>45129.8256398726</v>
      </c>
      <c r="C10328" s="51">
        <v>0.999</v>
      </c>
      <c r="D10328" s="51">
        <v>71.0</v>
      </c>
      <c r="E10328" s="52" t="s">
        <v>25</v>
      </c>
      <c r="F10328" s="52" t="s">
        <v>26</v>
      </c>
      <c r="G10328" s="54"/>
    </row>
    <row r="10329">
      <c r="A10329" s="49">
        <v>45129.71110912037</v>
      </c>
      <c r="B10329" s="50">
        <v>45129.8360733912</v>
      </c>
      <c r="C10329" s="51">
        <v>0.999</v>
      </c>
      <c r="D10329" s="51">
        <v>71.0</v>
      </c>
      <c r="E10329" s="52" t="s">
        <v>25</v>
      </c>
      <c r="F10329" s="52" t="s">
        <v>26</v>
      </c>
      <c r="G10329" s="54"/>
    </row>
    <row r="10330">
      <c r="A10330" s="49">
        <v>45129.72152532407</v>
      </c>
      <c r="B10330" s="50">
        <v>45129.8464959606</v>
      </c>
      <c r="C10330" s="51">
        <v>0.999</v>
      </c>
      <c r="D10330" s="51">
        <v>71.0</v>
      </c>
      <c r="E10330" s="52" t="s">
        <v>25</v>
      </c>
      <c r="F10330" s="52" t="s">
        <v>26</v>
      </c>
      <c r="G10330" s="54"/>
    </row>
    <row r="10331">
      <c r="A10331" s="49">
        <v>45129.731956006945</v>
      </c>
      <c r="B10331" s="50">
        <v>45129.8569292592</v>
      </c>
      <c r="C10331" s="51">
        <v>0.999</v>
      </c>
      <c r="D10331" s="51">
        <v>71.0</v>
      </c>
      <c r="E10331" s="52" t="s">
        <v>25</v>
      </c>
      <c r="F10331" s="52" t="s">
        <v>26</v>
      </c>
      <c r="G10331" s="54"/>
    </row>
    <row r="10332">
      <c r="A10332" s="49">
        <v>45129.74239508102</v>
      </c>
      <c r="B10332" s="50">
        <v>45129.8673624768</v>
      </c>
      <c r="C10332" s="51">
        <v>0.998</v>
      </c>
      <c r="D10332" s="51">
        <v>71.0</v>
      </c>
      <c r="E10332" s="52" t="s">
        <v>25</v>
      </c>
      <c r="F10332" s="52" t="s">
        <v>26</v>
      </c>
      <c r="G10332" s="54"/>
    </row>
    <row r="10333">
      <c r="A10333" s="49">
        <v>45129.75283370371</v>
      </c>
      <c r="B10333" s="50">
        <v>45129.8778067708</v>
      </c>
      <c r="C10333" s="51">
        <v>0.999</v>
      </c>
      <c r="D10333" s="51">
        <v>71.0</v>
      </c>
      <c r="E10333" s="52" t="s">
        <v>25</v>
      </c>
      <c r="F10333" s="52" t="s">
        <v>26</v>
      </c>
      <c r="G10333" s="54"/>
    </row>
    <row r="10334">
      <c r="A10334" s="49">
        <v>45129.76326238426</v>
      </c>
      <c r="B10334" s="50">
        <v>45129.8882277777</v>
      </c>
      <c r="C10334" s="51">
        <v>0.999</v>
      </c>
      <c r="D10334" s="51">
        <v>71.0</v>
      </c>
      <c r="E10334" s="52" t="s">
        <v>25</v>
      </c>
      <c r="F10334" s="52" t="s">
        <v>26</v>
      </c>
      <c r="G10334" s="54"/>
    </row>
    <row r="10335">
      <c r="A10335" s="49">
        <v>45129.773681921295</v>
      </c>
      <c r="B10335" s="50">
        <v>45129.8986500694</v>
      </c>
      <c r="C10335" s="51">
        <v>0.999</v>
      </c>
      <c r="D10335" s="51">
        <v>71.0</v>
      </c>
      <c r="E10335" s="52" t="s">
        <v>25</v>
      </c>
      <c r="F10335" s="52" t="s">
        <v>26</v>
      </c>
      <c r="G10335" s="54"/>
    </row>
    <row r="10336">
      <c r="A10336" s="49">
        <v>45129.784108368054</v>
      </c>
      <c r="B10336" s="50">
        <v>45129.9090715277</v>
      </c>
      <c r="C10336" s="51">
        <v>0.999</v>
      </c>
      <c r="D10336" s="51">
        <v>71.0</v>
      </c>
      <c r="E10336" s="52" t="s">
        <v>25</v>
      </c>
      <c r="F10336" s="52" t="s">
        <v>26</v>
      </c>
      <c r="G10336" s="54"/>
    </row>
    <row r="10337">
      <c r="A10337" s="49">
        <v>45129.79453688658</v>
      </c>
      <c r="B10337" s="50">
        <v>45129.9195049537</v>
      </c>
      <c r="C10337" s="51">
        <v>0.999</v>
      </c>
      <c r="D10337" s="51">
        <v>71.0</v>
      </c>
      <c r="E10337" s="52" t="s">
        <v>25</v>
      </c>
      <c r="F10337" s="52" t="s">
        <v>26</v>
      </c>
      <c r="G10337" s="54"/>
    </row>
    <row r="10338">
      <c r="A10338" s="49">
        <v>45129.80503728009</v>
      </c>
      <c r="B10338" s="50">
        <v>45129.9299612037</v>
      </c>
      <c r="C10338" s="51">
        <v>0.999</v>
      </c>
      <c r="D10338" s="51">
        <v>71.0</v>
      </c>
      <c r="E10338" s="52" t="s">
        <v>25</v>
      </c>
      <c r="F10338" s="52" t="s">
        <v>26</v>
      </c>
      <c r="G10338" s="54"/>
    </row>
    <row r="10339">
      <c r="A10339" s="49">
        <v>45129.8154637963</v>
      </c>
      <c r="B10339" s="50">
        <v>45129.9403947916</v>
      </c>
      <c r="C10339" s="51">
        <v>0.999</v>
      </c>
      <c r="D10339" s="51">
        <v>71.0</v>
      </c>
      <c r="E10339" s="52" t="s">
        <v>25</v>
      </c>
      <c r="F10339" s="52" t="s">
        <v>26</v>
      </c>
      <c r="G10339" s="54"/>
    </row>
    <row r="10340">
      <c r="A10340" s="49">
        <v>45129.82588251158</v>
      </c>
      <c r="B10340" s="50">
        <v>45129.9508144444</v>
      </c>
      <c r="C10340" s="51">
        <v>0.999</v>
      </c>
      <c r="D10340" s="51">
        <v>71.0</v>
      </c>
      <c r="E10340" s="52" t="s">
        <v>25</v>
      </c>
      <c r="F10340" s="52" t="s">
        <v>26</v>
      </c>
      <c r="G10340" s="54"/>
    </row>
    <row r="10341">
      <c r="A10341" s="49">
        <v>45129.836296863425</v>
      </c>
      <c r="B10341" s="50">
        <v>45129.9612357986</v>
      </c>
      <c r="C10341" s="51">
        <v>0.999</v>
      </c>
      <c r="D10341" s="51">
        <v>71.0</v>
      </c>
      <c r="E10341" s="52" t="s">
        <v>25</v>
      </c>
      <c r="F10341" s="52" t="s">
        <v>26</v>
      </c>
      <c r="G10341" s="54"/>
    </row>
    <row r="10342">
      <c r="A10342" s="49">
        <v>45129.84673107639</v>
      </c>
      <c r="B10342" s="50">
        <v>45129.9716592592</v>
      </c>
      <c r="C10342" s="51">
        <v>0.999</v>
      </c>
      <c r="D10342" s="51">
        <v>71.0</v>
      </c>
      <c r="E10342" s="52" t="s">
        <v>25</v>
      </c>
      <c r="F10342" s="52" t="s">
        <v>26</v>
      </c>
      <c r="G10342" s="54"/>
    </row>
    <row r="10343">
      <c r="A10343" s="49">
        <v>45129.85716319444</v>
      </c>
      <c r="B10343" s="50">
        <v>45129.9820913078</v>
      </c>
      <c r="C10343" s="51">
        <v>0.999</v>
      </c>
      <c r="D10343" s="51">
        <v>71.0</v>
      </c>
      <c r="E10343" s="52" t="s">
        <v>25</v>
      </c>
      <c r="F10343" s="52" t="s">
        <v>26</v>
      </c>
      <c r="G10343" s="54"/>
    </row>
    <row r="10344">
      <c r="A10344" s="49">
        <v>45129.867579328704</v>
      </c>
      <c r="B10344" s="50">
        <v>45129.9925132175</v>
      </c>
      <c r="C10344" s="51">
        <v>0.999</v>
      </c>
      <c r="D10344" s="51">
        <v>71.0</v>
      </c>
      <c r="E10344" s="52" t="s">
        <v>25</v>
      </c>
      <c r="F10344" s="52" t="s">
        <v>26</v>
      </c>
      <c r="G10344" s="54"/>
    </row>
    <row r="10345">
      <c r="A10345" s="49">
        <v>45129.87800534722</v>
      </c>
      <c r="B10345" s="50">
        <v>45130.0029336342</v>
      </c>
      <c r="C10345" s="51">
        <v>0.999</v>
      </c>
      <c r="D10345" s="51">
        <v>71.0</v>
      </c>
      <c r="E10345" s="52" t="s">
        <v>25</v>
      </c>
      <c r="F10345" s="52" t="s">
        <v>26</v>
      </c>
      <c r="G10345" s="54"/>
    </row>
    <row r="10346">
      <c r="A10346" s="49">
        <v>45129.88842027778</v>
      </c>
      <c r="B10346" s="50">
        <v>45130.0133568981</v>
      </c>
      <c r="C10346" s="51">
        <v>0.999</v>
      </c>
      <c r="D10346" s="51">
        <v>71.0</v>
      </c>
      <c r="E10346" s="52" t="s">
        <v>25</v>
      </c>
      <c r="F10346" s="52" t="s">
        <v>26</v>
      </c>
      <c r="G10346" s="54"/>
    </row>
    <row r="10347">
      <c r="A10347" s="49">
        <v>45129.89884547454</v>
      </c>
      <c r="B10347" s="50">
        <v>45130.0237792592</v>
      </c>
      <c r="C10347" s="51">
        <v>0.999</v>
      </c>
      <c r="D10347" s="51">
        <v>71.0</v>
      </c>
      <c r="E10347" s="52" t="s">
        <v>25</v>
      </c>
      <c r="F10347" s="52" t="s">
        <v>26</v>
      </c>
      <c r="G10347" s="54"/>
    </row>
    <row r="10348">
      <c r="A10348" s="49">
        <v>45129.90926060185</v>
      </c>
      <c r="B10348" s="50">
        <v>45130.0341994907</v>
      </c>
      <c r="C10348" s="51">
        <v>0.998</v>
      </c>
      <c r="D10348" s="51">
        <v>71.0</v>
      </c>
      <c r="E10348" s="52" t="s">
        <v>25</v>
      </c>
      <c r="F10348" s="52" t="s">
        <v>26</v>
      </c>
      <c r="G10348" s="54"/>
    </row>
    <row r="10349">
      <c r="A10349" s="49">
        <v>45129.91968177083</v>
      </c>
      <c r="B10349" s="50">
        <v>45130.0446202662</v>
      </c>
      <c r="C10349" s="51">
        <v>0.999</v>
      </c>
      <c r="D10349" s="51">
        <v>71.0</v>
      </c>
      <c r="E10349" s="52" t="s">
        <v>25</v>
      </c>
      <c r="F10349" s="52" t="s">
        <v>26</v>
      </c>
      <c r="G10349" s="54"/>
    </row>
    <row r="10350">
      <c r="A10350" s="49">
        <v>45129.93012135416</v>
      </c>
      <c r="B10350" s="50">
        <v>45130.0550410995</v>
      </c>
      <c r="C10350" s="51">
        <v>0.998</v>
      </c>
      <c r="D10350" s="51">
        <v>71.0</v>
      </c>
      <c r="E10350" s="52" t="s">
        <v>25</v>
      </c>
      <c r="F10350" s="52" t="s">
        <v>26</v>
      </c>
      <c r="G10350" s="54"/>
    </row>
    <row r="10351">
      <c r="A10351" s="49">
        <v>45129.94053788194</v>
      </c>
      <c r="B10351" s="50">
        <v>45130.0654649421</v>
      </c>
      <c r="C10351" s="51">
        <v>0.999</v>
      </c>
      <c r="D10351" s="51">
        <v>71.0</v>
      </c>
      <c r="E10351" s="52" t="s">
        <v>25</v>
      </c>
      <c r="F10351" s="52" t="s">
        <v>26</v>
      </c>
      <c r="G10351" s="54"/>
    </row>
    <row r="10352">
      <c r="A10352" s="49">
        <v>45129.950985891206</v>
      </c>
      <c r="B10352" s="50">
        <v>45130.075908831</v>
      </c>
      <c r="C10352" s="51">
        <v>0.999</v>
      </c>
      <c r="D10352" s="51">
        <v>71.0</v>
      </c>
      <c r="E10352" s="52" t="s">
        <v>25</v>
      </c>
      <c r="F10352" s="52" t="s">
        <v>26</v>
      </c>
      <c r="G10352" s="54"/>
    </row>
    <row r="10353">
      <c r="A10353" s="49">
        <v>45129.96139887732</v>
      </c>
      <c r="B10353" s="50">
        <v>45130.086330405</v>
      </c>
      <c r="C10353" s="51">
        <v>0.999</v>
      </c>
      <c r="D10353" s="51">
        <v>71.0</v>
      </c>
      <c r="E10353" s="52" t="s">
        <v>25</v>
      </c>
      <c r="F10353" s="52" t="s">
        <v>26</v>
      </c>
      <c r="G10353" s="54"/>
    </row>
    <row r="10354">
      <c r="A10354" s="49">
        <v>45129.97183015046</v>
      </c>
      <c r="B10354" s="50">
        <v>45130.0967620833</v>
      </c>
      <c r="C10354" s="51">
        <v>0.999</v>
      </c>
      <c r="D10354" s="51">
        <v>71.0</v>
      </c>
      <c r="E10354" s="52" t="s">
        <v>25</v>
      </c>
      <c r="F10354" s="52" t="s">
        <v>26</v>
      </c>
      <c r="G10354" s="54"/>
    </row>
    <row r="10355">
      <c r="A10355" s="49">
        <v>45129.98226520834</v>
      </c>
      <c r="B10355" s="50">
        <v>45130.1071966435</v>
      </c>
      <c r="C10355" s="51">
        <v>0.999</v>
      </c>
      <c r="D10355" s="51">
        <v>71.0</v>
      </c>
      <c r="E10355" s="52" t="s">
        <v>25</v>
      </c>
      <c r="F10355" s="52" t="s">
        <v>26</v>
      </c>
      <c r="G10355" s="54"/>
    </row>
    <row r="10356">
      <c r="A10356" s="49">
        <v>45129.99268090278</v>
      </c>
      <c r="B10356" s="50">
        <v>45130.1176422569</v>
      </c>
      <c r="C10356" s="51">
        <v>0.999</v>
      </c>
      <c r="D10356" s="51">
        <v>71.0</v>
      </c>
      <c r="E10356" s="52" t="s">
        <v>25</v>
      </c>
      <c r="F10356" s="52" t="s">
        <v>26</v>
      </c>
      <c r="G10356" s="54"/>
    </row>
    <row r="10357">
      <c r="A10357" s="49">
        <v>45130.0030959375</v>
      </c>
      <c r="B10357" s="50">
        <v>45130.1280626967</v>
      </c>
      <c r="C10357" s="51">
        <v>0.998</v>
      </c>
      <c r="D10357" s="51">
        <v>71.0</v>
      </c>
      <c r="E10357" s="52" t="s">
        <v>25</v>
      </c>
      <c r="F10357" s="52" t="s">
        <v>26</v>
      </c>
      <c r="G10357" s="54"/>
    </row>
    <row r="10358">
      <c r="A10358" s="49">
        <v>45130.01351607639</v>
      </c>
      <c r="B10358" s="50">
        <v>45130.1384833217</v>
      </c>
      <c r="C10358" s="51">
        <v>0.998</v>
      </c>
      <c r="D10358" s="51">
        <v>71.0</v>
      </c>
      <c r="E10358" s="52" t="s">
        <v>25</v>
      </c>
      <c r="F10358" s="52" t="s">
        <v>26</v>
      </c>
      <c r="G10358" s="54"/>
    </row>
    <row r="10359">
      <c r="A10359" s="49">
        <v>45130.02394219907</v>
      </c>
      <c r="B10359" s="50">
        <v>45130.1489053125</v>
      </c>
      <c r="C10359" s="51">
        <v>0.998</v>
      </c>
      <c r="D10359" s="51">
        <v>71.0</v>
      </c>
      <c r="E10359" s="52" t="s">
        <v>25</v>
      </c>
      <c r="F10359" s="52" t="s">
        <v>26</v>
      </c>
      <c r="G10359" s="54"/>
    </row>
    <row r="10360">
      <c r="A10360" s="49">
        <v>45130.0343575463</v>
      </c>
      <c r="B10360" s="50">
        <v>45130.1593247801</v>
      </c>
      <c r="C10360" s="51">
        <v>0.999</v>
      </c>
      <c r="D10360" s="51">
        <v>71.0</v>
      </c>
      <c r="E10360" s="52" t="s">
        <v>25</v>
      </c>
      <c r="F10360" s="52" t="s">
        <v>26</v>
      </c>
      <c r="G10360" s="54"/>
    </row>
    <row r="10361">
      <c r="A10361" s="49">
        <v>45130.04477197917</v>
      </c>
      <c r="B10361" s="50">
        <v>45130.1697462847</v>
      </c>
      <c r="C10361" s="51">
        <v>0.998</v>
      </c>
      <c r="D10361" s="51">
        <v>71.0</v>
      </c>
      <c r="E10361" s="52" t="s">
        <v>25</v>
      </c>
      <c r="F10361" s="52" t="s">
        <v>26</v>
      </c>
      <c r="G10361" s="54"/>
    </row>
    <row r="10362">
      <c r="A10362" s="49">
        <v>45130.0552049074</v>
      </c>
      <c r="B10362" s="50">
        <v>45130.1801660879</v>
      </c>
      <c r="C10362" s="51">
        <v>0.999</v>
      </c>
      <c r="D10362" s="51">
        <v>71.0</v>
      </c>
      <c r="E10362" s="52" t="s">
        <v>25</v>
      </c>
      <c r="F10362" s="52" t="s">
        <v>26</v>
      </c>
      <c r="G10362" s="54"/>
    </row>
    <row r="10363">
      <c r="A10363" s="49">
        <v>45130.06564458333</v>
      </c>
      <c r="B10363" s="50">
        <v>45130.1905857986</v>
      </c>
      <c r="C10363" s="51">
        <v>0.998</v>
      </c>
      <c r="D10363" s="51">
        <v>71.0</v>
      </c>
      <c r="E10363" s="52" t="s">
        <v>25</v>
      </c>
      <c r="F10363" s="52" t="s">
        <v>26</v>
      </c>
      <c r="G10363" s="54"/>
    </row>
    <row r="10364">
      <c r="A10364" s="49">
        <v>45130.076060983796</v>
      </c>
      <c r="B10364" s="50">
        <v>45130.2010078935</v>
      </c>
      <c r="C10364" s="51">
        <v>0.998</v>
      </c>
      <c r="D10364" s="51">
        <v>71.0</v>
      </c>
      <c r="E10364" s="52" t="s">
        <v>25</v>
      </c>
      <c r="F10364" s="52" t="s">
        <v>26</v>
      </c>
      <c r="G10364" s="54"/>
    </row>
    <row r="10365">
      <c r="A10365" s="49">
        <v>45130.08649724537</v>
      </c>
      <c r="B10365" s="50">
        <v>45130.211428993</v>
      </c>
      <c r="C10365" s="51">
        <v>0.999</v>
      </c>
      <c r="D10365" s="51">
        <v>71.0</v>
      </c>
      <c r="E10365" s="52" t="s">
        <v>25</v>
      </c>
      <c r="F10365" s="52" t="s">
        <v>26</v>
      </c>
      <c r="G10365" s="54"/>
    </row>
    <row r="10366">
      <c r="A10366" s="49">
        <v>45130.09692069444</v>
      </c>
      <c r="B10366" s="50">
        <v>45130.2218490509</v>
      </c>
      <c r="C10366" s="51">
        <v>0.998</v>
      </c>
      <c r="D10366" s="51">
        <v>71.0</v>
      </c>
      <c r="E10366" s="52" t="s">
        <v>25</v>
      </c>
      <c r="F10366" s="52" t="s">
        <v>26</v>
      </c>
      <c r="G10366" s="54"/>
    </row>
    <row r="10367">
      <c r="A10367" s="49">
        <v>45130.10733665509</v>
      </c>
      <c r="B10367" s="50">
        <v>45130.2322714699</v>
      </c>
      <c r="C10367" s="51">
        <v>0.999</v>
      </c>
      <c r="D10367" s="51">
        <v>71.0</v>
      </c>
      <c r="E10367" s="52" t="s">
        <v>25</v>
      </c>
      <c r="F10367" s="52" t="s">
        <v>26</v>
      </c>
      <c r="G10367" s="54"/>
    </row>
    <row r="10368">
      <c r="A10368" s="49">
        <v>45130.1177721875</v>
      </c>
      <c r="B10368" s="50">
        <v>45130.2426930208</v>
      </c>
      <c r="C10368" s="51">
        <v>0.999</v>
      </c>
      <c r="D10368" s="51">
        <v>71.0</v>
      </c>
      <c r="E10368" s="52" t="s">
        <v>25</v>
      </c>
      <c r="F10368" s="52" t="s">
        <v>26</v>
      </c>
      <c r="G10368" s="54"/>
    </row>
    <row r="10369">
      <c r="A10369" s="49">
        <v>45130.12819125</v>
      </c>
      <c r="B10369" s="50">
        <v>45130.2531248379</v>
      </c>
      <c r="C10369" s="51">
        <v>0.998</v>
      </c>
      <c r="D10369" s="51">
        <v>71.0</v>
      </c>
      <c r="E10369" s="52" t="s">
        <v>25</v>
      </c>
      <c r="F10369" s="52" t="s">
        <v>26</v>
      </c>
      <c r="G10369" s="54"/>
    </row>
    <row r="10370">
      <c r="A10370" s="49">
        <v>45130.138607256944</v>
      </c>
      <c r="B10370" s="50">
        <v>45130.2635580555</v>
      </c>
      <c r="C10370" s="51">
        <v>0.998</v>
      </c>
      <c r="D10370" s="51">
        <v>71.0</v>
      </c>
      <c r="E10370" s="52" t="s">
        <v>25</v>
      </c>
      <c r="F10370" s="52" t="s">
        <v>26</v>
      </c>
      <c r="G10370" s="54"/>
    </row>
    <row r="10371">
      <c r="A10371" s="49">
        <v>45130.14903372685</v>
      </c>
      <c r="B10371" s="50">
        <v>45130.2739795023</v>
      </c>
      <c r="C10371" s="51">
        <v>0.999</v>
      </c>
      <c r="D10371" s="51">
        <v>71.0</v>
      </c>
      <c r="E10371" s="52" t="s">
        <v>25</v>
      </c>
      <c r="F10371" s="52" t="s">
        <v>26</v>
      </c>
      <c r="G10371" s="54"/>
    </row>
    <row r="10372">
      <c r="A10372" s="49">
        <v>45130.15945358796</v>
      </c>
      <c r="B10372" s="50">
        <v>45130.2844012152</v>
      </c>
      <c r="C10372" s="51">
        <v>0.999</v>
      </c>
      <c r="D10372" s="51">
        <v>71.0</v>
      </c>
      <c r="E10372" s="52" t="s">
        <v>25</v>
      </c>
      <c r="F10372" s="52" t="s">
        <v>26</v>
      </c>
      <c r="G10372" s="54"/>
    </row>
    <row r="10373">
      <c r="A10373" s="49">
        <v>45130.169870150465</v>
      </c>
      <c r="B10373" s="50">
        <v>45130.2948474189</v>
      </c>
      <c r="C10373" s="51">
        <v>0.999</v>
      </c>
      <c r="D10373" s="51">
        <v>71.0</v>
      </c>
      <c r="E10373" s="52" t="s">
        <v>25</v>
      </c>
      <c r="F10373" s="52" t="s">
        <v>26</v>
      </c>
      <c r="G10373" s="54"/>
    </row>
    <row r="10374">
      <c r="A10374" s="49">
        <v>45130.18029725694</v>
      </c>
      <c r="B10374" s="50">
        <v>45130.3052686574</v>
      </c>
      <c r="C10374" s="51">
        <v>0.999</v>
      </c>
      <c r="D10374" s="51">
        <v>71.0</v>
      </c>
      <c r="E10374" s="52" t="s">
        <v>25</v>
      </c>
      <c r="F10374" s="52" t="s">
        <v>26</v>
      </c>
      <c r="G10374" s="54"/>
    </row>
    <row r="10375">
      <c r="A10375" s="49">
        <v>45130.1907378125</v>
      </c>
      <c r="B10375" s="50">
        <v>45130.3157008912</v>
      </c>
      <c r="C10375" s="51">
        <v>0.998</v>
      </c>
      <c r="D10375" s="51">
        <v>71.0</v>
      </c>
      <c r="E10375" s="52" t="s">
        <v>25</v>
      </c>
      <c r="F10375" s="52" t="s">
        <v>26</v>
      </c>
      <c r="G10375" s="54"/>
    </row>
    <row r="10376">
      <c r="A10376" s="49">
        <v>45130.20117086805</v>
      </c>
      <c r="B10376" s="50">
        <v>45130.3261344444</v>
      </c>
      <c r="C10376" s="51">
        <v>0.999</v>
      </c>
      <c r="D10376" s="51">
        <v>71.0</v>
      </c>
      <c r="E10376" s="52" t="s">
        <v>25</v>
      </c>
      <c r="F10376" s="52" t="s">
        <v>26</v>
      </c>
      <c r="G10376" s="54"/>
    </row>
    <row r="10377">
      <c r="A10377" s="49">
        <v>45130.21158265046</v>
      </c>
      <c r="B10377" s="50">
        <v>45130.3365554745</v>
      </c>
      <c r="C10377" s="51">
        <v>0.999</v>
      </c>
      <c r="D10377" s="51">
        <v>71.0</v>
      </c>
      <c r="E10377" s="52" t="s">
        <v>25</v>
      </c>
      <c r="F10377" s="52" t="s">
        <v>26</v>
      </c>
      <c r="G10377" s="54"/>
    </row>
    <row r="10378">
      <c r="A10378" s="49">
        <v>45130.222005034724</v>
      </c>
      <c r="B10378" s="50">
        <v>45130.3469760648</v>
      </c>
      <c r="C10378" s="51">
        <v>0.999</v>
      </c>
      <c r="D10378" s="51">
        <v>71.0</v>
      </c>
      <c r="E10378" s="52" t="s">
        <v>25</v>
      </c>
      <c r="F10378" s="52" t="s">
        <v>26</v>
      </c>
      <c r="G10378" s="54"/>
    </row>
    <row r="10379">
      <c r="A10379" s="49">
        <v>45130.23243128472</v>
      </c>
      <c r="B10379" s="50">
        <v>45130.3573979976</v>
      </c>
      <c r="C10379" s="51">
        <v>0.998</v>
      </c>
      <c r="D10379" s="51">
        <v>71.0</v>
      </c>
      <c r="E10379" s="52" t="s">
        <v>25</v>
      </c>
      <c r="F10379" s="52" t="s">
        <v>26</v>
      </c>
      <c r="G10379" s="54"/>
    </row>
    <row r="10380">
      <c r="A10380" s="49">
        <v>45130.24285520833</v>
      </c>
      <c r="B10380" s="50">
        <v>45130.3678171064</v>
      </c>
      <c r="C10380" s="51">
        <v>0.998</v>
      </c>
      <c r="D10380" s="51">
        <v>71.0</v>
      </c>
      <c r="E10380" s="52" t="s">
        <v>25</v>
      </c>
      <c r="F10380" s="52" t="s">
        <v>26</v>
      </c>
      <c r="G10380" s="54"/>
    </row>
    <row r="10381">
      <c r="A10381" s="49">
        <v>45130.25326546296</v>
      </c>
      <c r="B10381" s="50">
        <v>45130.3782376157</v>
      </c>
      <c r="C10381" s="51">
        <v>0.999</v>
      </c>
      <c r="D10381" s="51">
        <v>71.0</v>
      </c>
      <c r="E10381" s="52" t="s">
        <v>25</v>
      </c>
      <c r="F10381" s="52" t="s">
        <v>26</v>
      </c>
      <c r="G10381" s="54"/>
    </row>
    <row r="10382">
      <c r="A10382" s="49">
        <v>45130.26371230324</v>
      </c>
      <c r="B10382" s="50">
        <v>45130.3886836921</v>
      </c>
      <c r="C10382" s="51">
        <v>0.999</v>
      </c>
      <c r="D10382" s="51">
        <v>71.0</v>
      </c>
      <c r="E10382" s="52" t="s">
        <v>25</v>
      </c>
      <c r="F10382" s="52" t="s">
        <v>26</v>
      </c>
      <c r="G10382" s="54"/>
    </row>
    <row r="10383">
      <c r="A10383" s="49">
        <v>45130.27413181713</v>
      </c>
      <c r="B10383" s="50">
        <v>45130.3991036574</v>
      </c>
      <c r="C10383" s="51">
        <v>0.998</v>
      </c>
      <c r="D10383" s="51">
        <v>71.0</v>
      </c>
      <c r="E10383" s="52" t="s">
        <v>25</v>
      </c>
      <c r="F10383" s="52" t="s">
        <v>26</v>
      </c>
      <c r="G10383" s="54"/>
    </row>
    <row r="10384">
      <c r="A10384" s="49">
        <v>45130.284560625005</v>
      </c>
      <c r="B10384" s="50">
        <v>45130.409525405</v>
      </c>
      <c r="C10384" s="51">
        <v>0.999</v>
      </c>
      <c r="D10384" s="51">
        <v>71.0</v>
      </c>
      <c r="E10384" s="52" t="s">
        <v>25</v>
      </c>
      <c r="F10384" s="52" t="s">
        <v>26</v>
      </c>
      <c r="G10384" s="54"/>
    </row>
    <row r="10385">
      <c r="A10385" s="49">
        <v>45130.29497805556</v>
      </c>
      <c r="B10385" s="50">
        <v>45130.4199454398</v>
      </c>
      <c r="C10385" s="51">
        <v>0.999</v>
      </c>
      <c r="D10385" s="51">
        <v>71.0</v>
      </c>
      <c r="E10385" s="52" t="s">
        <v>25</v>
      </c>
      <c r="F10385" s="52" t="s">
        <v>26</v>
      </c>
      <c r="G10385" s="54"/>
    </row>
    <row r="10386">
      <c r="A10386" s="49">
        <v>45130.30540016203</v>
      </c>
      <c r="B10386" s="50">
        <v>45130.4303655324</v>
      </c>
      <c r="C10386" s="51">
        <v>0.999</v>
      </c>
      <c r="D10386" s="51">
        <v>71.0</v>
      </c>
      <c r="E10386" s="52" t="s">
        <v>25</v>
      </c>
      <c r="F10386" s="52" t="s">
        <v>26</v>
      </c>
      <c r="G10386" s="54"/>
    </row>
    <row r="10387">
      <c r="A10387" s="49">
        <v>45130.31581375</v>
      </c>
      <c r="B10387" s="50">
        <v>45130.4407861689</v>
      </c>
      <c r="C10387" s="51">
        <v>0.998</v>
      </c>
      <c r="D10387" s="51">
        <v>71.0</v>
      </c>
      <c r="E10387" s="52" t="s">
        <v>25</v>
      </c>
      <c r="F10387" s="52" t="s">
        <v>26</v>
      </c>
      <c r="G10387" s="54"/>
    </row>
    <row r="10388">
      <c r="A10388" s="49">
        <v>45130.32624546296</v>
      </c>
      <c r="B10388" s="50">
        <v>45130.4512062847</v>
      </c>
      <c r="C10388" s="51">
        <v>0.999</v>
      </c>
      <c r="D10388" s="51">
        <v>71.0</v>
      </c>
      <c r="E10388" s="52" t="s">
        <v>25</v>
      </c>
      <c r="F10388" s="52" t="s">
        <v>26</v>
      </c>
      <c r="G10388" s="54"/>
    </row>
    <row r="10389">
      <c r="A10389" s="49">
        <v>45130.336693715275</v>
      </c>
      <c r="B10389" s="50">
        <v>45130.461660324</v>
      </c>
      <c r="C10389" s="51">
        <v>0.999</v>
      </c>
      <c r="D10389" s="51">
        <v>71.0</v>
      </c>
      <c r="E10389" s="52" t="s">
        <v>25</v>
      </c>
      <c r="F10389" s="52" t="s">
        <v>26</v>
      </c>
      <c r="G10389" s="54"/>
    </row>
    <row r="10390">
      <c r="A10390" s="49">
        <v>45130.34710584491</v>
      </c>
      <c r="B10390" s="50">
        <v>45130.4720809953</v>
      </c>
      <c r="C10390" s="51">
        <v>0.998</v>
      </c>
      <c r="D10390" s="51">
        <v>71.0</v>
      </c>
      <c r="E10390" s="52" t="s">
        <v>25</v>
      </c>
      <c r="F10390" s="52" t="s">
        <v>26</v>
      </c>
      <c r="G10390" s="54"/>
    </row>
    <row r="10391">
      <c r="A10391" s="49">
        <v>45130.35755537037</v>
      </c>
      <c r="B10391" s="50">
        <v>45130.4825265625</v>
      </c>
      <c r="C10391" s="51">
        <v>0.998</v>
      </c>
      <c r="D10391" s="51">
        <v>71.0</v>
      </c>
      <c r="E10391" s="52" t="s">
        <v>25</v>
      </c>
      <c r="F10391" s="52" t="s">
        <v>26</v>
      </c>
      <c r="G10391" s="54"/>
    </row>
    <row r="10392">
      <c r="A10392" s="49">
        <v>45130.36797371528</v>
      </c>
      <c r="B10392" s="50">
        <v>45130.4929476273</v>
      </c>
      <c r="C10392" s="51">
        <v>0.998</v>
      </c>
      <c r="D10392" s="51">
        <v>71.0</v>
      </c>
      <c r="E10392" s="52" t="s">
        <v>25</v>
      </c>
      <c r="F10392" s="52" t="s">
        <v>26</v>
      </c>
      <c r="G10392" s="54"/>
    </row>
    <row r="10393">
      <c r="A10393" s="49">
        <v>45130.37839694445</v>
      </c>
      <c r="B10393" s="50">
        <v>45130.5033688078</v>
      </c>
      <c r="C10393" s="51">
        <v>0.999</v>
      </c>
      <c r="D10393" s="51">
        <v>71.0</v>
      </c>
      <c r="E10393" s="52" t="s">
        <v>25</v>
      </c>
      <c r="F10393" s="52" t="s">
        <v>26</v>
      </c>
      <c r="G10393" s="54"/>
    </row>
    <row r="10394">
      <c r="A10394" s="49">
        <v>45130.38882361111</v>
      </c>
      <c r="B10394" s="50">
        <v>45130.5137899652</v>
      </c>
      <c r="C10394" s="51">
        <v>0.999</v>
      </c>
      <c r="D10394" s="51">
        <v>71.0</v>
      </c>
      <c r="E10394" s="52" t="s">
        <v>25</v>
      </c>
      <c r="F10394" s="52" t="s">
        <v>26</v>
      </c>
      <c r="G10394" s="54"/>
    </row>
    <row r="10395">
      <c r="A10395" s="49">
        <v>45130.39923501157</v>
      </c>
      <c r="B10395" s="50">
        <v>45130.5242106944</v>
      </c>
      <c r="C10395" s="51">
        <v>0.998</v>
      </c>
      <c r="D10395" s="51">
        <v>71.0</v>
      </c>
      <c r="E10395" s="52" t="s">
        <v>25</v>
      </c>
      <c r="F10395" s="52" t="s">
        <v>26</v>
      </c>
      <c r="G10395" s="54"/>
    </row>
    <row r="10396">
      <c r="A10396" s="49">
        <v>45130.40966521991</v>
      </c>
      <c r="B10396" s="50">
        <v>45130.5346329629</v>
      </c>
      <c r="C10396" s="51">
        <v>0.999</v>
      </c>
      <c r="D10396" s="51">
        <v>71.0</v>
      </c>
      <c r="E10396" s="52" t="s">
        <v>25</v>
      </c>
      <c r="F10396" s="52" t="s">
        <v>26</v>
      </c>
      <c r="G10396" s="54"/>
    </row>
    <row r="10397">
      <c r="A10397" s="49">
        <v>45130.4200862963</v>
      </c>
      <c r="B10397" s="50">
        <v>45130.5450542939</v>
      </c>
      <c r="C10397" s="51">
        <v>0.999</v>
      </c>
      <c r="D10397" s="51">
        <v>71.0</v>
      </c>
      <c r="E10397" s="52" t="s">
        <v>25</v>
      </c>
      <c r="F10397" s="52" t="s">
        <v>26</v>
      </c>
      <c r="G10397" s="54"/>
    </row>
    <row r="10398">
      <c r="A10398" s="49">
        <v>45130.430500057875</v>
      </c>
      <c r="B10398" s="50">
        <v>45130.5554774537</v>
      </c>
      <c r="C10398" s="51">
        <v>0.998</v>
      </c>
      <c r="D10398" s="51">
        <v>71.0</v>
      </c>
      <c r="E10398" s="52" t="s">
        <v>25</v>
      </c>
      <c r="F10398" s="52" t="s">
        <v>26</v>
      </c>
      <c r="G10398" s="54"/>
    </row>
    <row r="10399">
      <c r="A10399" s="49">
        <v>45130.440935983795</v>
      </c>
      <c r="B10399" s="50">
        <v>45130.5658989814</v>
      </c>
      <c r="C10399" s="51">
        <v>0.998</v>
      </c>
      <c r="D10399" s="51">
        <v>71.0</v>
      </c>
      <c r="E10399" s="52" t="s">
        <v>25</v>
      </c>
      <c r="F10399" s="52" t="s">
        <v>26</v>
      </c>
      <c r="G10399" s="54"/>
    </row>
    <row r="10400">
      <c r="A10400" s="49">
        <v>45130.45136359954</v>
      </c>
      <c r="B10400" s="50">
        <v>45130.5763328125</v>
      </c>
      <c r="C10400" s="51">
        <v>0.999</v>
      </c>
      <c r="D10400" s="51">
        <v>71.0</v>
      </c>
      <c r="E10400" s="52" t="s">
        <v>25</v>
      </c>
      <c r="F10400" s="52" t="s">
        <v>26</v>
      </c>
      <c r="G10400" s="54"/>
    </row>
    <row r="10401">
      <c r="A10401" s="49">
        <v>45130.46181025463</v>
      </c>
      <c r="B10401" s="50">
        <v>45130.5867884027</v>
      </c>
      <c r="C10401" s="51">
        <v>0.999</v>
      </c>
      <c r="D10401" s="51">
        <v>71.0</v>
      </c>
      <c r="E10401" s="52" t="s">
        <v>25</v>
      </c>
      <c r="F10401" s="52" t="s">
        <v>26</v>
      </c>
      <c r="G10401" s="54"/>
    </row>
    <row r="10402">
      <c r="A10402" s="49">
        <v>45130.47222947917</v>
      </c>
      <c r="B10402" s="50">
        <v>45130.5972093055</v>
      </c>
      <c r="C10402" s="51">
        <v>0.999</v>
      </c>
      <c r="D10402" s="51">
        <v>71.0</v>
      </c>
      <c r="E10402" s="52" t="s">
        <v>25</v>
      </c>
      <c r="F10402" s="52" t="s">
        <v>26</v>
      </c>
      <c r="G10402" s="54"/>
    </row>
    <row r="10403">
      <c r="A10403" s="49">
        <v>45130.4826558912</v>
      </c>
      <c r="B10403" s="50">
        <v>45130.6076304166</v>
      </c>
      <c r="C10403" s="51">
        <v>0.999</v>
      </c>
      <c r="D10403" s="51">
        <v>71.0</v>
      </c>
      <c r="E10403" s="52" t="s">
        <v>25</v>
      </c>
      <c r="F10403" s="52" t="s">
        <v>26</v>
      </c>
      <c r="G10403" s="54"/>
    </row>
    <row r="10404">
      <c r="A10404" s="49">
        <v>45130.4930853588</v>
      </c>
      <c r="B10404" s="50">
        <v>45130.6180517708</v>
      </c>
      <c r="C10404" s="51">
        <v>0.999</v>
      </c>
      <c r="D10404" s="51">
        <v>71.0</v>
      </c>
      <c r="E10404" s="52" t="s">
        <v>25</v>
      </c>
      <c r="F10404" s="52" t="s">
        <v>26</v>
      </c>
      <c r="G10404" s="54"/>
    </row>
    <row r="10405">
      <c r="A10405" s="49">
        <v>45130.503493888886</v>
      </c>
      <c r="B10405" s="50">
        <v>45130.6284726273</v>
      </c>
      <c r="C10405" s="51">
        <v>0.998</v>
      </c>
      <c r="D10405" s="51">
        <v>71.0</v>
      </c>
      <c r="E10405" s="52" t="s">
        <v>25</v>
      </c>
      <c r="F10405" s="52" t="s">
        <v>26</v>
      </c>
      <c r="G10405" s="54"/>
    </row>
    <row r="10406">
      <c r="A10406" s="49">
        <v>45130.51393777778</v>
      </c>
      <c r="B10406" s="50">
        <v>45130.638905243</v>
      </c>
      <c r="C10406" s="51">
        <v>0.999</v>
      </c>
      <c r="D10406" s="51">
        <v>71.0</v>
      </c>
      <c r="E10406" s="52" t="s">
        <v>25</v>
      </c>
      <c r="F10406" s="52" t="s">
        <v>26</v>
      </c>
      <c r="G10406" s="54"/>
    </row>
    <row r="10407">
      <c r="A10407" s="49">
        <v>45130.52435917824</v>
      </c>
      <c r="B10407" s="50">
        <v>45130.6493248495</v>
      </c>
      <c r="C10407" s="51">
        <v>0.998</v>
      </c>
      <c r="D10407" s="51">
        <v>71.0</v>
      </c>
      <c r="E10407" s="52" t="s">
        <v>25</v>
      </c>
      <c r="F10407" s="52" t="s">
        <v>26</v>
      </c>
      <c r="G10407" s="54"/>
    </row>
    <row r="10408">
      <c r="A10408" s="49">
        <v>45130.534774050924</v>
      </c>
      <c r="B10408" s="50">
        <v>45130.6597457175</v>
      </c>
      <c r="C10408" s="51">
        <v>0.999</v>
      </c>
      <c r="D10408" s="51">
        <v>71.0</v>
      </c>
      <c r="E10408" s="52" t="s">
        <v>25</v>
      </c>
      <c r="F10408" s="52" t="s">
        <v>26</v>
      </c>
      <c r="G10408" s="54"/>
    </row>
    <row r="10409">
      <c r="A10409" s="49">
        <v>45130.545202071764</v>
      </c>
      <c r="B10409" s="50">
        <v>45130.6701799421</v>
      </c>
      <c r="C10409" s="51">
        <v>0.999</v>
      </c>
      <c r="D10409" s="51">
        <v>71.0</v>
      </c>
      <c r="E10409" s="52" t="s">
        <v>25</v>
      </c>
      <c r="F10409" s="52" t="s">
        <v>26</v>
      </c>
      <c r="G10409" s="54"/>
    </row>
    <row r="10410">
      <c r="A10410" s="49">
        <v>45130.555634386576</v>
      </c>
      <c r="B10410" s="50">
        <v>45130.6806134027</v>
      </c>
      <c r="C10410" s="51">
        <v>0.998</v>
      </c>
      <c r="D10410" s="51">
        <v>71.0</v>
      </c>
      <c r="E10410" s="52" t="s">
        <v>25</v>
      </c>
      <c r="F10410" s="52" t="s">
        <v>26</v>
      </c>
      <c r="G10410" s="54"/>
    </row>
    <row r="10411">
      <c r="A10411" s="49">
        <v>45130.566057986114</v>
      </c>
      <c r="B10411" s="50">
        <v>45130.6910357291</v>
      </c>
      <c r="C10411" s="51">
        <v>0.998</v>
      </c>
      <c r="D10411" s="51">
        <v>71.0</v>
      </c>
      <c r="E10411" s="52" t="s">
        <v>25</v>
      </c>
      <c r="F10411" s="52" t="s">
        <v>26</v>
      </c>
      <c r="G10411" s="54"/>
    </row>
    <row r="10412">
      <c r="A10412" s="49">
        <v>45130.57649237268</v>
      </c>
      <c r="B10412" s="50">
        <v>45130.7014575694</v>
      </c>
      <c r="C10412" s="51">
        <v>0.999</v>
      </c>
      <c r="D10412" s="51">
        <v>71.0</v>
      </c>
      <c r="E10412" s="52" t="s">
        <v>25</v>
      </c>
      <c r="F10412" s="52" t="s">
        <v>26</v>
      </c>
      <c r="G10412" s="54"/>
    </row>
    <row r="10413">
      <c r="A10413" s="49">
        <v>45130.58693233796</v>
      </c>
      <c r="B10413" s="50">
        <v>45130.7119015856</v>
      </c>
      <c r="C10413" s="51">
        <v>0.998</v>
      </c>
      <c r="D10413" s="51">
        <v>71.0</v>
      </c>
      <c r="E10413" s="52" t="s">
        <v>25</v>
      </c>
      <c r="F10413" s="52" t="s">
        <v>26</v>
      </c>
      <c r="G10413" s="54"/>
    </row>
    <row r="10414">
      <c r="A10414" s="49">
        <v>45130.597342361114</v>
      </c>
      <c r="B10414" s="50">
        <v>45130.7223218055</v>
      </c>
      <c r="C10414" s="51">
        <v>0.999</v>
      </c>
      <c r="D10414" s="51">
        <v>71.0</v>
      </c>
      <c r="E10414" s="52" t="s">
        <v>25</v>
      </c>
      <c r="F10414" s="52" t="s">
        <v>26</v>
      </c>
      <c r="G10414" s="54"/>
    </row>
    <row r="10415">
      <c r="A10415" s="49">
        <v>45130.6077715625</v>
      </c>
      <c r="B10415" s="50">
        <v>45130.7327433796</v>
      </c>
      <c r="C10415" s="51">
        <v>0.999</v>
      </c>
      <c r="D10415" s="51">
        <v>71.0</v>
      </c>
      <c r="E10415" s="52" t="s">
        <v>25</v>
      </c>
      <c r="F10415" s="52" t="s">
        <v>26</v>
      </c>
      <c r="G10415" s="54"/>
    </row>
    <row r="10416">
      <c r="A10416" s="49">
        <v>45130.61818615741</v>
      </c>
      <c r="B10416" s="50">
        <v>45130.7431645833</v>
      </c>
      <c r="C10416" s="51">
        <v>0.999</v>
      </c>
      <c r="D10416" s="51">
        <v>71.0</v>
      </c>
      <c r="E10416" s="52" t="s">
        <v>25</v>
      </c>
      <c r="F10416" s="52" t="s">
        <v>26</v>
      </c>
      <c r="G10416" s="54"/>
    </row>
    <row r="10417">
      <c r="A10417" s="49">
        <v>45130.628618310184</v>
      </c>
      <c r="B10417" s="50">
        <v>45130.7535854513</v>
      </c>
      <c r="C10417" s="51">
        <v>0.999</v>
      </c>
      <c r="D10417" s="51">
        <v>71.0</v>
      </c>
      <c r="E10417" s="52" t="s">
        <v>25</v>
      </c>
      <c r="F10417" s="52" t="s">
        <v>26</v>
      </c>
      <c r="G10417" s="54"/>
    </row>
    <row r="10418">
      <c r="A10418" s="49">
        <v>45130.649454687504</v>
      </c>
      <c r="B10418" s="50">
        <v>45130.7744262731</v>
      </c>
      <c r="C10418" s="51">
        <v>0.999</v>
      </c>
      <c r="D10418" s="51">
        <v>71.0</v>
      </c>
      <c r="E10418" s="52" t="s">
        <v>25</v>
      </c>
      <c r="F10418" s="52" t="s">
        <v>26</v>
      </c>
      <c r="G10418" s="54"/>
    </row>
    <row r="10419">
      <c r="A10419" s="49">
        <v>45130.659874930556</v>
      </c>
      <c r="B10419" s="50">
        <v>45130.7848464814</v>
      </c>
      <c r="C10419" s="51">
        <v>0.998</v>
      </c>
      <c r="D10419" s="51">
        <v>71.0</v>
      </c>
      <c r="E10419" s="52" t="s">
        <v>25</v>
      </c>
      <c r="F10419" s="52" t="s">
        <v>26</v>
      </c>
      <c r="G10419" s="54"/>
    </row>
    <row r="10420">
      <c r="A10420" s="49">
        <v>45130.67030149305</v>
      </c>
      <c r="B10420" s="50">
        <v>45130.7952671296</v>
      </c>
      <c r="C10420" s="51">
        <v>0.998</v>
      </c>
      <c r="D10420" s="51">
        <v>71.0</v>
      </c>
      <c r="E10420" s="52" t="s">
        <v>25</v>
      </c>
      <c r="F10420" s="52" t="s">
        <v>26</v>
      </c>
      <c r="G10420" s="54"/>
    </row>
    <row r="10421">
      <c r="A10421" s="49">
        <v>45130.68071402778</v>
      </c>
      <c r="B10421" s="50">
        <v>45130.8056890046</v>
      </c>
      <c r="C10421" s="51">
        <v>0.999</v>
      </c>
      <c r="D10421" s="51">
        <v>71.0</v>
      </c>
      <c r="E10421" s="52" t="s">
        <v>25</v>
      </c>
      <c r="F10421" s="52" t="s">
        <v>26</v>
      </c>
      <c r="G10421" s="54"/>
    </row>
    <row r="10422">
      <c r="A10422" s="49">
        <v>45130.69113648148</v>
      </c>
      <c r="B10422" s="50">
        <v>45130.8161096875</v>
      </c>
      <c r="C10422" s="51">
        <v>0.999</v>
      </c>
      <c r="D10422" s="51">
        <v>71.0</v>
      </c>
      <c r="E10422" s="52" t="s">
        <v>25</v>
      </c>
      <c r="F10422" s="52" t="s">
        <v>26</v>
      </c>
      <c r="G10422" s="54"/>
    </row>
    <row r="10423">
      <c r="A10423" s="49">
        <v>45130.70157072917</v>
      </c>
      <c r="B10423" s="50">
        <v>45130.826541655</v>
      </c>
      <c r="C10423" s="51">
        <v>0.999</v>
      </c>
      <c r="D10423" s="51">
        <v>71.0</v>
      </c>
      <c r="E10423" s="52" t="s">
        <v>25</v>
      </c>
      <c r="F10423" s="52" t="s">
        <v>26</v>
      </c>
      <c r="G10423" s="54"/>
    </row>
    <row r="10424">
      <c r="A10424" s="49">
        <v>45130.71200175926</v>
      </c>
      <c r="B10424" s="50">
        <v>45130.836963287</v>
      </c>
      <c r="C10424" s="51">
        <v>0.998</v>
      </c>
      <c r="D10424" s="51">
        <v>71.0</v>
      </c>
      <c r="E10424" s="52" t="s">
        <v>25</v>
      </c>
      <c r="F10424" s="52" t="s">
        <v>26</v>
      </c>
      <c r="G10424" s="54"/>
    </row>
    <row r="10425">
      <c r="A10425" s="49">
        <v>45130.72242556713</v>
      </c>
      <c r="B10425" s="50">
        <v>45130.8473964467</v>
      </c>
      <c r="C10425" s="51">
        <v>0.998</v>
      </c>
      <c r="D10425" s="51">
        <v>71.0</v>
      </c>
      <c r="E10425" s="52" t="s">
        <v>25</v>
      </c>
      <c r="F10425" s="52" t="s">
        <v>26</v>
      </c>
      <c r="G10425" s="54"/>
    </row>
    <row r="10426">
      <c r="A10426" s="49">
        <v>45130.73285318287</v>
      </c>
      <c r="B10426" s="50">
        <v>45130.8578181713</v>
      </c>
      <c r="C10426" s="51">
        <v>0.999</v>
      </c>
      <c r="D10426" s="51">
        <v>71.0</v>
      </c>
      <c r="E10426" s="52" t="s">
        <v>25</v>
      </c>
      <c r="F10426" s="52" t="s">
        <v>26</v>
      </c>
      <c r="G10426" s="54"/>
    </row>
    <row r="10427">
      <c r="A10427" s="49">
        <v>45130.743264398145</v>
      </c>
      <c r="B10427" s="50">
        <v>45130.8682403356</v>
      </c>
      <c r="C10427" s="51">
        <v>0.998</v>
      </c>
      <c r="D10427" s="51">
        <v>71.0</v>
      </c>
      <c r="E10427" s="52" t="s">
        <v>25</v>
      </c>
      <c r="F10427" s="52" t="s">
        <v>26</v>
      </c>
      <c r="G10427" s="54"/>
    </row>
    <row r="10428">
      <c r="A10428" s="49">
        <v>45130.75369203703</v>
      </c>
      <c r="B10428" s="50">
        <v>45130.8786606597</v>
      </c>
      <c r="C10428" s="51">
        <v>0.999</v>
      </c>
      <c r="D10428" s="51">
        <v>71.0</v>
      </c>
      <c r="E10428" s="52" t="s">
        <v>25</v>
      </c>
      <c r="F10428" s="52" t="s">
        <v>26</v>
      </c>
      <c r="G10428" s="54"/>
    </row>
    <row r="10429">
      <c r="A10429" s="49">
        <v>45130.76410159722</v>
      </c>
      <c r="B10429" s="50">
        <v>45130.8890799421</v>
      </c>
      <c r="C10429" s="51">
        <v>0.999</v>
      </c>
      <c r="D10429" s="51">
        <v>71.0</v>
      </c>
      <c r="E10429" s="52" t="s">
        <v>25</v>
      </c>
      <c r="F10429" s="52" t="s">
        <v>26</v>
      </c>
      <c r="G10429" s="54"/>
    </row>
    <row r="10430">
      <c r="A10430" s="49">
        <v>45130.77452435185</v>
      </c>
      <c r="B10430" s="50">
        <v>45130.8995012615</v>
      </c>
      <c r="C10430" s="51">
        <v>0.999</v>
      </c>
      <c r="D10430" s="51">
        <v>71.0</v>
      </c>
      <c r="E10430" s="52" t="s">
        <v>25</v>
      </c>
      <c r="F10430" s="52" t="s">
        <v>26</v>
      </c>
      <c r="G10430" s="54"/>
    </row>
    <row r="10431">
      <c r="A10431" s="49">
        <v>45130.78495398148</v>
      </c>
      <c r="B10431" s="50">
        <v>45130.9099247222</v>
      </c>
      <c r="C10431" s="51">
        <v>0.999</v>
      </c>
      <c r="D10431" s="51">
        <v>71.0</v>
      </c>
      <c r="E10431" s="52" t="s">
        <v>25</v>
      </c>
      <c r="F10431" s="52" t="s">
        <v>26</v>
      </c>
      <c r="G10431" s="54"/>
    </row>
    <row r="10432">
      <c r="A10432" s="49">
        <v>45130.79537641203</v>
      </c>
      <c r="B10432" s="50">
        <v>45130.9203479051</v>
      </c>
      <c r="C10432" s="51">
        <v>0.998</v>
      </c>
      <c r="D10432" s="51">
        <v>71.0</v>
      </c>
      <c r="E10432" s="52" t="s">
        <v>25</v>
      </c>
      <c r="F10432" s="52" t="s">
        <v>26</v>
      </c>
      <c r="G10432" s="54"/>
    </row>
    <row r="10433">
      <c r="A10433" s="49">
        <v>45130.80579884259</v>
      </c>
      <c r="B10433" s="50">
        <v>45130.9307698726</v>
      </c>
      <c r="C10433" s="51">
        <v>0.998</v>
      </c>
      <c r="D10433" s="51">
        <v>71.0</v>
      </c>
      <c r="E10433" s="52" t="s">
        <v>25</v>
      </c>
      <c r="F10433" s="52" t="s">
        <v>26</v>
      </c>
      <c r="G10433" s="54"/>
    </row>
    <row r="10434">
      <c r="A10434" s="49">
        <v>45130.8162380787</v>
      </c>
      <c r="B10434" s="50">
        <v>45130.9412123842</v>
      </c>
      <c r="C10434" s="51">
        <v>0.999</v>
      </c>
      <c r="D10434" s="51">
        <v>71.0</v>
      </c>
      <c r="E10434" s="52" t="s">
        <v>25</v>
      </c>
      <c r="F10434" s="52" t="s">
        <v>26</v>
      </c>
      <c r="G10434" s="54"/>
    </row>
    <row r="10435">
      <c r="A10435" s="49">
        <v>45130.82665824074</v>
      </c>
      <c r="B10435" s="50">
        <v>45130.9516322453</v>
      </c>
      <c r="C10435" s="51">
        <v>0.999</v>
      </c>
      <c r="D10435" s="51">
        <v>71.0</v>
      </c>
      <c r="E10435" s="52" t="s">
        <v>25</v>
      </c>
      <c r="F10435" s="52" t="s">
        <v>26</v>
      </c>
      <c r="G10435" s="54"/>
    </row>
    <row r="10436">
      <c r="A10436" s="49">
        <v>45130.83708412037</v>
      </c>
      <c r="B10436" s="50">
        <v>45130.9620534953</v>
      </c>
      <c r="C10436" s="51">
        <v>0.999</v>
      </c>
      <c r="D10436" s="51">
        <v>71.0</v>
      </c>
      <c r="E10436" s="52" t="s">
        <v>25</v>
      </c>
      <c r="F10436" s="52" t="s">
        <v>26</v>
      </c>
      <c r="G10436" s="54"/>
    </row>
    <row r="10437">
      <c r="A10437" s="49">
        <v>45130.84751019676</v>
      </c>
      <c r="B10437" s="50">
        <v>45130.9724745138</v>
      </c>
      <c r="C10437" s="51">
        <v>0.999</v>
      </c>
      <c r="D10437" s="51">
        <v>71.0</v>
      </c>
      <c r="E10437" s="52" t="s">
        <v>25</v>
      </c>
      <c r="F10437" s="52" t="s">
        <v>26</v>
      </c>
      <c r="G10437" s="54"/>
    </row>
    <row r="10438">
      <c r="A10438" s="49">
        <v>45130.85791869213</v>
      </c>
      <c r="B10438" s="50">
        <v>45130.9828942245</v>
      </c>
      <c r="C10438" s="51">
        <v>0.999</v>
      </c>
      <c r="D10438" s="51">
        <v>71.0</v>
      </c>
      <c r="E10438" s="52" t="s">
        <v>25</v>
      </c>
      <c r="F10438" s="52" t="s">
        <v>26</v>
      </c>
      <c r="G10438" s="54"/>
    </row>
    <row r="10439">
      <c r="A10439" s="49">
        <v>45130.86834480324</v>
      </c>
      <c r="B10439" s="50">
        <v>45130.9933158912</v>
      </c>
      <c r="C10439" s="51">
        <v>0.999</v>
      </c>
      <c r="D10439" s="51">
        <v>71.0</v>
      </c>
      <c r="E10439" s="52" t="s">
        <v>25</v>
      </c>
      <c r="F10439" s="52" t="s">
        <v>26</v>
      </c>
      <c r="G10439" s="54"/>
    </row>
    <row r="10440">
      <c r="A10440" s="49">
        <v>45130.87876626157</v>
      </c>
      <c r="B10440" s="50">
        <v>45131.0037351736</v>
      </c>
      <c r="C10440" s="51">
        <v>0.999</v>
      </c>
      <c r="D10440" s="51">
        <v>71.0</v>
      </c>
      <c r="E10440" s="52" t="s">
        <v>25</v>
      </c>
      <c r="F10440" s="52" t="s">
        <v>26</v>
      </c>
      <c r="G10440" s="54"/>
    </row>
    <row r="10441">
      <c r="A10441" s="49">
        <v>45130.88919934028</v>
      </c>
      <c r="B10441" s="50">
        <v>45131.0141673958</v>
      </c>
      <c r="C10441" s="51">
        <v>0.999</v>
      </c>
      <c r="D10441" s="51">
        <v>71.0</v>
      </c>
      <c r="E10441" s="52" t="s">
        <v>25</v>
      </c>
      <c r="F10441" s="52" t="s">
        <v>26</v>
      </c>
      <c r="G10441" s="54"/>
    </row>
    <row r="10442">
      <c r="A10442" s="49">
        <v>45130.89964545138</v>
      </c>
      <c r="B10442" s="50">
        <v>45131.0246140625</v>
      </c>
      <c r="C10442" s="51">
        <v>0.999</v>
      </c>
      <c r="D10442" s="51">
        <v>71.0</v>
      </c>
      <c r="E10442" s="52" t="s">
        <v>25</v>
      </c>
      <c r="F10442" s="52" t="s">
        <v>26</v>
      </c>
      <c r="G10442" s="54"/>
    </row>
    <row r="10443">
      <c r="A10443" s="49">
        <v>45130.910066412034</v>
      </c>
      <c r="B10443" s="50">
        <v>45131.0350348032</v>
      </c>
      <c r="C10443" s="51">
        <v>0.999</v>
      </c>
      <c r="D10443" s="51">
        <v>71.0</v>
      </c>
      <c r="E10443" s="52" t="s">
        <v>25</v>
      </c>
      <c r="F10443" s="52" t="s">
        <v>26</v>
      </c>
      <c r="G10443" s="54"/>
    </row>
    <row r="10444">
      <c r="A10444" s="49">
        <v>45130.920525023146</v>
      </c>
      <c r="B10444" s="50">
        <v>45131.0454913888</v>
      </c>
      <c r="C10444" s="51">
        <v>0.999</v>
      </c>
      <c r="D10444" s="51">
        <v>71.0</v>
      </c>
      <c r="E10444" s="52" t="s">
        <v>25</v>
      </c>
      <c r="F10444" s="52" t="s">
        <v>26</v>
      </c>
      <c r="G10444" s="54"/>
    </row>
    <row r="10445">
      <c r="A10445" s="49">
        <v>45130.93094633102</v>
      </c>
      <c r="B10445" s="50">
        <v>45131.0559227893</v>
      </c>
      <c r="C10445" s="51">
        <v>0.998</v>
      </c>
      <c r="D10445" s="51">
        <v>71.0</v>
      </c>
      <c r="E10445" s="52" t="s">
        <v>25</v>
      </c>
      <c r="F10445" s="52" t="s">
        <v>26</v>
      </c>
      <c r="G10445" s="54"/>
    </row>
    <row r="10446">
      <c r="A10446" s="49">
        <v>45130.941384247686</v>
      </c>
      <c r="B10446" s="50">
        <v>45131.0663563426</v>
      </c>
      <c r="C10446" s="51">
        <v>0.998</v>
      </c>
      <c r="D10446" s="51">
        <v>71.0</v>
      </c>
      <c r="E10446" s="52" t="s">
        <v>25</v>
      </c>
      <c r="F10446" s="52" t="s">
        <v>26</v>
      </c>
      <c r="G10446" s="54"/>
    </row>
    <row r="10447">
      <c r="A10447" s="49">
        <v>45130.95181315972</v>
      </c>
      <c r="B10447" s="50">
        <v>45131.0767768981</v>
      </c>
      <c r="C10447" s="51">
        <v>0.998</v>
      </c>
      <c r="D10447" s="51">
        <v>71.0</v>
      </c>
      <c r="E10447" s="52" t="s">
        <v>25</v>
      </c>
      <c r="F10447" s="52" t="s">
        <v>26</v>
      </c>
      <c r="G10447" s="54"/>
    </row>
    <row r="10448">
      <c r="A10448" s="49">
        <v>45130.96222909722</v>
      </c>
      <c r="B10448" s="50">
        <v>45131.0871981597</v>
      </c>
      <c r="C10448" s="51">
        <v>0.999</v>
      </c>
      <c r="D10448" s="51">
        <v>71.0</v>
      </c>
      <c r="E10448" s="52" t="s">
        <v>25</v>
      </c>
      <c r="F10448" s="52" t="s">
        <v>26</v>
      </c>
      <c r="G10448" s="54"/>
    </row>
    <row r="10449">
      <c r="A10449" s="49">
        <v>45130.9726465162</v>
      </c>
      <c r="B10449" s="50">
        <v>45131.0976177546</v>
      </c>
      <c r="C10449" s="51">
        <v>0.999</v>
      </c>
      <c r="D10449" s="51">
        <v>71.0</v>
      </c>
      <c r="E10449" s="52" t="s">
        <v>25</v>
      </c>
      <c r="F10449" s="52" t="s">
        <v>26</v>
      </c>
      <c r="G10449" s="54"/>
    </row>
    <row r="10450">
      <c r="A10450" s="49">
        <v>45130.98308443287</v>
      </c>
      <c r="B10450" s="50">
        <v>45131.108052662</v>
      </c>
      <c r="C10450" s="51">
        <v>0.999</v>
      </c>
      <c r="D10450" s="51">
        <v>71.0</v>
      </c>
      <c r="E10450" s="52" t="s">
        <v>25</v>
      </c>
      <c r="F10450" s="52" t="s">
        <v>26</v>
      </c>
      <c r="G10450" s="54"/>
    </row>
    <row r="10451">
      <c r="A10451" s="49">
        <v>45130.99351047454</v>
      </c>
      <c r="B10451" s="50">
        <v>45131.1184849421</v>
      </c>
      <c r="C10451" s="51">
        <v>0.998</v>
      </c>
      <c r="D10451" s="51">
        <v>71.0</v>
      </c>
      <c r="E10451" s="52" t="s">
        <v>25</v>
      </c>
      <c r="F10451" s="52" t="s">
        <v>26</v>
      </c>
      <c r="G10451" s="54"/>
    </row>
    <row r="10452">
      <c r="A10452" s="49">
        <v>45131.003930694445</v>
      </c>
      <c r="B10452" s="50">
        <v>45131.1289068981</v>
      </c>
      <c r="C10452" s="51">
        <v>0.999</v>
      </c>
      <c r="D10452" s="51">
        <v>71.0</v>
      </c>
      <c r="E10452" s="52" t="s">
        <v>25</v>
      </c>
      <c r="F10452" s="52" t="s">
        <v>26</v>
      </c>
      <c r="G10452" s="54"/>
    </row>
    <row r="10453">
      <c r="A10453" s="49">
        <v>45131.01435709491</v>
      </c>
      <c r="B10453" s="50">
        <v>45131.13932853</v>
      </c>
      <c r="C10453" s="51">
        <v>0.999</v>
      </c>
      <c r="D10453" s="51">
        <v>71.0</v>
      </c>
      <c r="E10453" s="52" t="s">
        <v>25</v>
      </c>
      <c r="F10453" s="52" t="s">
        <v>26</v>
      </c>
      <c r="G10453" s="54"/>
    </row>
    <row r="10454">
      <c r="A10454" s="49">
        <v>45131.02478502315</v>
      </c>
      <c r="B10454" s="50">
        <v>45131.1497497916</v>
      </c>
      <c r="C10454" s="51">
        <v>0.999</v>
      </c>
      <c r="D10454" s="51">
        <v>71.0</v>
      </c>
      <c r="E10454" s="52" t="s">
        <v>25</v>
      </c>
      <c r="F10454" s="52" t="s">
        <v>26</v>
      </c>
      <c r="G10454" s="54"/>
    </row>
    <row r="10455">
      <c r="A10455" s="49">
        <v>45131.03520052083</v>
      </c>
      <c r="B10455" s="50">
        <v>45131.1601714583</v>
      </c>
      <c r="C10455" s="51">
        <v>0.998</v>
      </c>
      <c r="D10455" s="51">
        <v>71.0</v>
      </c>
      <c r="E10455" s="52" t="s">
        <v>25</v>
      </c>
      <c r="F10455" s="52" t="s">
        <v>26</v>
      </c>
      <c r="G10455" s="54"/>
    </row>
    <row r="10456">
      <c r="A10456" s="49">
        <v>45131.045616874995</v>
      </c>
      <c r="B10456" s="50">
        <v>45131.1705917129</v>
      </c>
      <c r="C10456" s="51">
        <v>0.999</v>
      </c>
      <c r="D10456" s="51">
        <v>71.0</v>
      </c>
      <c r="E10456" s="52" t="s">
        <v>25</v>
      </c>
      <c r="F10456" s="52" t="s">
        <v>26</v>
      </c>
      <c r="G10456" s="54"/>
    </row>
    <row r="10457">
      <c r="A10457" s="49">
        <v>45131.05604321759</v>
      </c>
      <c r="B10457" s="50">
        <v>45131.1810118287</v>
      </c>
      <c r="C10457" s="51">
        <v>0.998</v>
      </c>
      <c r="D10457" s="51">
        <v>71.0</v>
      </c>
      <c r="E10457" s="52" t="s">
        <v>25</v>
      </c>
      <c r="F10457" s="52" t="s">
        <v>26</v>
      </c>
      <c r="G10457" s="54"/>
    </row>
    <row r="10458">
      <c r="A10458" s="49">
        <v>45131.066456597226</v>
      </c>
      <c r="B10458" s="50">
        <v>45131.1914324537</v>
      </c>
      <c r="C10458" s="51">
        <v>0.999</v>
      </c>
      <c r="D10458" s="51">
        <v>71.0</v>
      </c>
      <c r="E10458" s="52" t="s">
        <v>25</v>
      </c>
      <c r="F10458" s="52" t="s">
        <v>26</v>
      </c>
      <c r="G10458" s="54"/>
    </row>
    <row r="10459">
      <c r="A10459" s="49">
        <v>45131.07688349537</v>
      </c>
      <c r="B10459" s="50">
        <v>45131.2018541666</v>
      </c>
      <c r="C10459" s="51">
        <v>0.998</v>
      </c>
      <c r="D10459" s="51">
        <v>71.0</v>
      </c>
      <c r="E10459" s="52" t="s">
        <v>25</v>
      </c>
      <c r="F10459" s="52" t="s">
        <v>26</v>
      </c>
      <c r="G10459" s="54"/>
    </row>
    <row r="10460">
      <c r="A10460" s="49">
        <v>45131.08730020833</v>
      </c>
      <c r="B10460" s="50">
        <v>45131.212275706</v>
      </c>
      <c r="C10460" s="51">
        <v>0.998</v>
      </c>
      <c r="D10460" s="51">
        <v>71.0</v>
      </c>
      <c r="E10460" s="52" t="s">
        <v>25</v>
      </c>
      <c r="F10460" s="52" t="s">
        <v>26</v>
      </c>
      <c r="G10460" s="54"/>
    </row>
    <row r="10461">
      <c r="A10461" s="49">
        <v>45131.097722245366</v>
      </c>
      <c r="B10461" s="50">
        <v>45131.2226967708</v>
      </c>
      <c r="C10461" s="51">
        <v>0.998</v>
      </c>
      <c r="D10461" s="51">
        <v>71.0</v>
      </c>
      <c r="E10461" s="52" t="s">
        <v>25</v>
      </c>
      <c r="F10461" s="52" t="s">
        <v>26</v>
      </c>
      <c r="G10461" s="54"/>
    </row>
    <row r="10462">
      <c r="A10462" s="49">
        <v>45131.10815465278</v>
      </c>
      <c r="B10462" s="50">
        <v>45131.2331186805</v>
      </c>
      <c r="C10462" s="51">
        <v>0.999</v>
      </c>
      <c r="D10462" s="51">
        <v>71.0</v>
      </c>
      <c r="E10462" s="52" t="s">
        <v>25</v>
      </c>
      <c r="F10462" s="52" t="s">
        <v>26</v>
      </c>
      <c r="G10462" s="54"/>
    </row>
    <row r="10463">
      <c r="A10463" s="49">
        <v>45131.11856888889</v>
      </c>
      <c r="B10463" s="50">
        <v>45131.2435396643</v>
      </c>
      <c r="C10463" s="51">
        <v>0.999</v>
      </c>
      <c r="D10463" s="51">
        <v>71.0</v>
      </c>
      <c r="E10463" s="52" t="s">
        <v>25</v>
      </c>
      <c r="F10463" s="52" t="s">
        <v>26</v>
      </c>
      <c r="G10463" s="54"/>
    </row>
    <row r="10464">
      <c r="A10464" s="49">
        <v>45131.12900069445</v>
      </c>
      <c r="B10464" s="50">
        <v>45131.2539731713</v>
      </c>
      <c r="C10464" s="51">
        <v>0.998</v>
      </c>
      <c r="D10464" s="51">
        <v>71.0</v>
      </c>
      <c r="E10464" s="52" t="s">
        <v>25</v>
      </c>
      <c r="F10464" s="52" t="s">
        <v>26</v>
      </c>
      <c r="G10464" s="54"/>
    </row>
    <row r="10465">
      <c r="A10465" s="49">
        <v>45131.13942020833</v>
      </c>
      <c r="B10465" s="50">
        <v>45131.2643952893</v>
      </c>
      <c r="C10465" s="51">
        <v>0.999</v>
      </c>
      <c r="D10465" s="51">
        <v>71.0</v>
      </c>
      <c r="E10465" s="52" t="s">
        <v>25</v>
      </c>
      <c r="F10465" s="52" t="s">
        <v>26</v>
      </c>
      <c r="G10465" s="54"/>
    </row>
    <row r="10466">
      <c r="A10466" s="49">
        <v>45131.14983543981</v>
      </c>
      <c r="B10466" s="50">
        <v>45131.2748150231</v>
      </c>
      <c r="C10466" s="51">
        <v>0.998</v>
      </c>
      <c r="D10466" s="51">
        <v>71.0</v>
      </c>
      <c r="E10466" s="52" t="s">
        <v>25</v>
      </c>
      <c r="F10466" s="52" t="s">
        <v>26</v>
      </c>
      <c r="G10466" s="54"/>
    </row>
    <row r="10467">
      <c r="A10467" s="49">
        <v>45131.16026800926</v>
      </c>
      <c r="B10467" s="50">
        <v>45131.285235625</v>
      </c>
      <c r="C10467" s="51">
        <v>0.999</v>
      </c>
      <c r="D10467" s="51">
        <v>71.0</v>
      </c>
      <c r="E10467" s="52" t="s">
        <v>25</v>
      </c>
      <c r="F10467" s="52" t="s">
        <v>26</v>
      </c>
      <c r="G10467" s="54"/>
    </row>
    <row r="10468">
      <c r="A10468" s="49">
        <v>45131.17069315972</v>
      </c>
      <c r="B10468" s="50">
        <v>45131.2956692592</v>
      </c>
      <c r="C10468" s="51">
        <v>0.998</v>
      </c>
      <c r="D10468" s="51">
        <v>71.0</v>
      </c>
      <c r="E10468" s="52" t="s">
        <v>25</v>
      </c>
      <c r="F10468" s="52" t="s">
        <v>26</v>
      </c>
      <c r="G10468" s="54"/>
    </row>
    <row r="10469">
      <c r="A10469" s="49">
        <v>45131.181124525465</v>
      </c>
      <c r="B10469" s="50">
        <v>45131.3060900578</v>
      </c>
      <c r="C10469" s="51">
        <v>0.999</v>
      </c>
      <c r="D10469" s="51">
        <v>71.0</v>
      </c>
      <c r="E10469" s="52" t="s">
        <v>25</v>
      </c>
      <c r="F10469" s="52" t="s">
        <v>26</v>
      </c>
      <c r="G10469" s="54"/>
    </row>
    <row r="10470">
      <c r="A10470" s="49">
        <v>45131.191550069445</v>
      </c>
      <c r="B10470" s="50">
        <v>45131.3165218865</v>
      </c>
      <c r="C10470" s="51">
        <v>0.998</v>
      </c>
      <c r="D10470" s="51">
        <v>71.0</v>
      </c>
      <c r="E10470" s="52" t="s">
        <v>25</v>
      </c>
      <c r="F10470" s="52" t="s">
        <v>26</v>
      </c>
      <c r="G10470" s="54"/>
    </row>
    <row r="10471">
      <c r="A10471" s="49">
        <v>45131.20197461806</v>
      </c>
      <c r="B10471" s="50">
        <v>45131.326942824</v>
      </c>
      <c r="C10471" s="51">
        <v>0.999</v>
      </c>
      <c r="D10471" s="51">
        <v>71.0</v>
      </c>
      <c r="E10471" s="52" t="s">
        <v>25</v>
      </c>
      <c r="F10471" s="52" t="s">
        <v>26</v>
      </c>
      <c r="G10471" s="54"/>
    </row>
    <row r="10472">
      <c r="A10472" s="49">
        <v>45131.212391354165</v>
      </c>
      <c r="B10472" s="50">
        <v>45131.3373628356</v>
      </c>
      <c r="C10472" s="51">
        <v>0.998</v>
      </c>
      <c r="D10472" s="51">
        <v>71.0</v>
      </c>
      <c r="E10472" s="52" t="s">
        <v>25</v>
      </c>
      <c r="F10472" s="52" t="s">
        <v>26</v>
      </c>
      <c r="G10472" s="54"/>
    </row>
    <row r="10473">
      <c r="A10473" s="49">
        <v>45131.22280545138</v>
      </c>
      <c r="B10473" s="50">
        <v>45131.3477833101</v>
      </c>
      <c r="C10473" s="51">
        <v>0.998</v>
      </c>
      <c r="D10473" s="51">
        <v>71.0</v>
      </c>
      <c r="E10473" s="52" t="s">
        <v>25</v>
      </c>
      <c r="F10473" s="52" t="s">
        <v>26</v>
      </c>
      <c r="G10473" s="54"/>
    </row>
    <row r="10474">
      <c r="A10474" s="49">
        <v>45131.2332321412</v>
      </c>
      <c r="B10474" s="50">
        <v>45131.3582041088</v>
      </c>
      <c r="C10474" s="51">
        <v>0.999</v>
      </c>
      <c r="D10474" s="51">
        <v>71.0</v>
      </c>
      <c r="E10474" s="52" t="s">
        <v>25</v>
      </c>
      <c r="F10474" s="52" t="s">
        <v>26</v>
      </c>
      <c r="G10474" s="54"/>
    </row>
    <row r="10475">
      <c r="A10475" s="49">
        <v>45131.24364861111</v>
      </c>
      <c r="B10475" s="50">
        <v>45131.3686256365</v>
      </c>
      <c r="C10475" s="51">
        <v>0.998</v>
      </c>
      <c r="D10475" s="51">
        <v>71.0</v>
      </c>
      <c r="E10475" s="52" t="s">
        <v>25</v>
      </c>
      <c r="F10475" s="52" t="s">
        <v>26</v>
      </c>
      <c r="G10475" s="54"/>
    </row>
    <row r="10476">
      <c r="A10476" s="49">
        <v>45131.2540790625</v>
      </c>
      <c r="B10476" s="50">
        <v>45131.3790464583</v>
      </c>
      <c r="C10476" s="51">
        <v>0.998</v>
      </c>
      <c r="D10476" s="51">
        <v>71.0</v>
      </c>
      <c r="E10476" s="52" t="s">
        <v>25</v>
      </c>
      <c r="F10476" s="52" t="s">
        <v>26</v>
      </c>
      <c r="G10476" s="54"/>
    </row>
    <row r="10477">
      <c r="A10477" s="49">
        <v>45131.26450148148</v>
      </c>
      <c r="B10477" s="50">
        <v>45131.3894661689</v>
      </c>
      <c r="C10477" s="51">
        <v>0.999</v>
      </c>
      <c r="D10477" s="51">
        <v>71.0</v>
      </c>
      <c r="E10477" s="52" t="s">
        <v>25</v>
      </c>
      <c r="F10477" s="52" t="s">
        <v>26</v>
      </c>
      <c r="G10477" s="54"/>
    </row>
    <row r="10478">
      <c r="A10478" s="49">
        <v>45131.274911238426</v>
      </c>
      <c r="B10478" s="50">
        <v>45131.399886412</v>
      </c>
      <c r="C10478" s="51">
        <v>0.998</v>
      </c>
      <c r="D10478" s="51">
        <v>71.0</v>
      </c>
      <c r="E10478" s="52" t="s">
        <v>25</v>
      </c>
      <c r="F10478" s="52" t="s">
        <v>26</v>
      </c>
      <c r="G10478" s="54"/>
    </row>
    <row r="10479">
      <c r="A10479" s="49">
        <v>45131.28533704861</v>
      </c>
      <c r="B10479" s="50">
        <v>45131.4103073842</v>
      </c>
      <c r="C10479" s="51">
        <v>0.999</v>
      </c>
      <c r="D10479" s="51">
        <v>71.0</v>
      </c>
      <c r="E10479" s="52" t="s">
        <v>25</v>
      </c>
      <c r="F10479" s="52" t="s">
        <v>26</v>
      </c>
      <c r="G10479" s="54"/>
    </row>
    <row r="10480">
      <c r="A10480" s="49">
        <v>45131.295757326385</v>
      </c>
      <c r="B10480" s="50">
        <v>45131.4207291782</v>
      </c>
      <c r="C10480" s="51">
        <v>0.998</v>
      </c>
      <c r="D10480" s="51">
        <v>71.0</v>
      </c>
      <c r="E10480" s="52" t="s">
        <v>25</v>
      </c>
      <c r="F10480" s="52" t="s">
        <v>26</v>
      </c>
      <c r="G10480" s="54"/>
    </row>
    <row r="10481">
      <c r="A10481" s="49">
        <v>45131.306178969906</v>
      </c>
      <c r="B10481" s="50">
        <v>45131.4311523726</v>
      </c>
      <c r="C10481" s="51">
        <v>0.998</v>
      </c>
      <c r="D10481" s="51">
        <v>71.0</v>
      </c>
      <c r="E10481" s="52" t="s">
        <v>25</v>
      </c>
      <c r="F10481" s="52" t="s">
        <v>26</v>
      </c>
      <c r="G10481" s="54"/>
    </row>
    <row r="10482">
      <c r="A10482" s="49">
        <v>45131.3165965625</v>
      </c>
      <c r="B10482" s="50">
        <v>45131.4415724305</v>
      </c>
      <c r="C10482" s="51">
        <v>0.999</v>
      </c>
      <c r="D10482" s="51">
        <v>71.0</v>
      </c>
      <c r="E10482" s="52" t="s">
        <v>25</v>
      </c>
      <c r="F10482" s="52" t="s">
        <v>26</v>
      </c>
      <c r="G10482" s="54"/>
    </row>
    <row r="10483">
      <c r="A10483" s="49">
        <v>45131.32702550926</v>
      </c>
      <c r="B10483" s="50">
        <v>45131.4519925925</v>
      </c>
      <c r="C10483" s="51">
        <v>0.999</v>
      </c>
      <c r="D10483" s="51">
        <v>71.0</v>
      </c>
      <c r="E10483" s="52" t="s">
        <v>25</v>
      </c>
      <c r="F10483" s="52" t="s">
        <v>26</v>
      </c>
      <c r="G10483" s="54"/>
    </row>
    <row r="10484">
      <c r="A10484" s="49">
        <v>45131.33744831018</v>
      </c>
      <c r="B10484" s="50">
        <v>45131.4624251157</v>
      </c>
      <c r="C10484" s="51">
        <v>0.998</v>
      </c>
      <c r="D10484" s="51">
        <v>71.0</v>
      </c>
      <c r="E10484" s="52" t="s">
        <v>25</v>
      </c>
      <c r="F10484" s="52" t="s">
        <v>26</v>
      </c>
      <c r="G10484" s="54"/>
    </row>
    <row r="10485">
      <c r="A10485" s="49">
        <v>45131.34788065973</v>
      </c>
      <c r="B10485" s="50">
        <v>45131.4728451157</v>
      </c>
      <c r="C10485" s="51">
        <v>0.998</v>
      </c>
      <c r="D10485" s="51">
        <v>71.0</v>
      </c>
      <c r="E10485" s="52" t="s">
        <v>25</v>
      </c>
      <c r="F10485" s="52" t="s">
        <v>26</v>
      </c>
      <c r="G10485" s="54"/>
    </row>
    <row r="10486">
      <c r="A10486" s="49">
        <v>45131.35829767361</v>
      </c>
      <c r="B10486" s="50">
        <v>45131.4832651967</v>
      </c>
      <c r="C10486" s="51">
        <v>0.998</v>
      </c>
      <c r="D10486" s="51">
        <v>71.0</v>
      </c>
      <c r="E10486" s="52" t="s">
        <v>25</v>
      </c>
      <c r="F10486" s="52" t="s">
        <v>26</v>
      </c>
      <c r="G10486" s="54"/>
    </row>
    <row r="10487">
      <c r="A10487" s="49">
        <v>45131.36871862269</v>
      </c>
      <c r="B10487" s="50">
        <v>45131.493687199</v>
      </c>
      <c r="C10487" s="51">
        <v>0.998</v>
      </c>
      <c r="D10487" s="51">
        <v>71.0</v>
      </c>
      <c r="E10487" s="52" t="s">
        <v>25</v>
      </c>
      <c r="F10487" s="52" t="s">
        <v>26</v>
      </c>
      <c r="G10487" s="54"/>
    </row>
    <row r="10488">
      <c r="A10488" s="49">
        <v>45131.379138460645</v>
      </c>
      <c r="B10488" s="50">
        <v>45131.5041081597</v>
      </c>
      <c r="C10488" s="51">
        <v>0.999</v>
      </c>
      <c r="D10488" s="51">
        <v>71.0</v>
      </c>
      <c r="E10488" s="52" t="s">
        <v>25</v>
      </c>
      <c r="F10488" s="52" t="s">
        <v>26</v>
      </c>
      <c r="G10488" s="54"/>
    </row>
    <row r="10489">
      <c r="A10489" s="49">
        <v>45131.38957630787</v>
      </c>
      <c r="B10489" s="50">
        <v>45131.514541956</v>
      </c>
      <c r="C10489" s="51">
        <v>0.998</v>
      </c>
      <c r="D10489" s="51">
        <v>71.0</v>
      </c>
      <c r="E10489" s="52" t="s">
        <v>25</v>
      </c>
      <c r="F10489" s="52" t="s">
        <v>26</v>
      </c>
      <c r="G10489" s="54"/>
    </row>
    <row r="10490">
      <c r="A10490" s="49">
        <v>45131.39998822917</v>
      </c>
      <c r="B10490" s="50">
        <v>45131.524963287</v>
      </c>
      <c r="C10490" s="51">
        <v>0.999</v>
      </c>
      <c r="D10490" s="51">
        <v>71.0</v>
      </c>
      <c r="E10490" s="52" t="s">
        <v>25</v>
      </c>
      <c r="F10490" s="52" t="s">
        <v>26</v>
      </c>
      <c r="G10490" s="54"/>
    </row>
    <row r="10491">
      <c r="A10491" s="49">
        <v>45131.41041956018</v>
      </c>
      <c r="B10491" s="50">
        <v>45131.5353828356</v>
      </c>
      <c r="C10491" s="51">
        <v>0.998</v>
      </c>
      <c r="D10491" s="51">
        <v>71.0</v>
      </c>
      <c r="E10491" s="52" t="s">
        <v>25</v>
      </c>
      <c r="F10491" s="52" t="s">
        <v>26</v>
      </c>
      <c r="G10491" s="54"/>
    </row>
    <row r="10492">
      <c r="A10492" s="49">
        <v>45131.42084082176</v>
      </c>
      <c r="B10492" s="50">
        <v>45131.5458040856</v>
      </c>
      <c r="C10492" s="51">
        <v>0.998</v>
      </c>
      <c r="D10492" s="51">
        <v>71.0</v>
      </c>
      <c r="E10492" s="52" t="s">
        <v>25</v>
      </c>
      <c r="F10492" s="52" t="s">
        <v>26</v>
      </c>
      <c r="G10492" s="54"/>
    </row>
    <row r="10493">
      <c r="A10493" s="49">
        <v>45131.43125009259</v>
      </c>
      <c r="B10493" s="50">
        <v>45131.5562246412</v>
      </c>
      <c r="C10493" s="51">
        <v>0.998</v>
      </c>
      <c r="D10493" s="51">
        <v>71.0</v>
      </c>
      <c r="E10493" s="52" t="s">
        <v>25</v>
      </c>
      <c r="F10493" s="52" t="s">
        <v>26</v>
      </c>
      <c r="G10493" s="54"/>
    </row>
    <row r="10494">
      <c r="A10494" s="49">
        <v>45131.44167519676</v>
      </c>
      <c r="B10494" s="50">
        <v>45131.5666465856</v>
      </c>
      <c r="C10494" s="51">
        <v>0.999</v>
      </c>
      <c r="D10494" s="51">
        <v>71.0</v>
      </c>
      <c r="E10494" s="52" t="s">
        <v>25</v>
      </c>
      <c r="F10494" s="52" t="s">
        <v>26</v>
      </c>
      <c r="G10494" s="54"/>
    </row>
    <row r="10495">
      <c r="A10495" s="49">
        <v>45131.45210001158</v>
      </c>
      <c r="B10495" s="50">
        <v>45131.577068287</v>
      </c>
      <c r="C10495" s="51">
        <v>0.998</v>
      </c>
      <c r="D10495" s="51">
        <v>71.0</v>
      </c>
      <c r="E10495" s="52" t="s">
        <v>25</v>
      </c>
      <c r="F10495" s="52" t="s">
        <v>26</v>
      </c>
      <c r="G10495" s="54"/>
    </row>
    <row r="10496">
      <c r="A10496" s="49">
        <v>45131.46252768519</v>
      </c>
      <c r="B10496" s="50">
        <v>45131.5874912152</v>
      </c>
      <c r="C10496" s="51">
        <v>0.999</v>
      </c>
      <c r="D10496" s="51">
        <v>71.0</v>
      </c>
      <c r="E10496" s="52" t="s">
        <v>25</v>
      </c>
      <c r="F10496" s="52" t="s">
        <v>26</v>
      </c>
      <c r="G10496" s="54"/>
    </row>
    <row r="10497">
      <c r="A10497" s="49">
        <v>45131.47293740741</v>
      </c>
      <c r="B10497" s="50">
        <v>45131.5979117824</v>
      </c>
      <c r="C10497" s="51">
        <v>0.998</v>
      </c>
      <c r="D10497" s="51">
        <v>71.0</v>
      </c>
      <c r="E10497" s="52" t="s">
        <v>25</v>
      </c>
      <c r="F10497" s="52" t="s">
        <v>26</v>
      </c>
      <c r="G10497" s="54"/>
    </row>
    <row r="10498">
      <c r="A10498" s="49">
        <v>45131.48338013889</v>
      </c>
      <c r="B10498" s="50">
        <v>45131.6083455208</v>
      </c>
      <c r="C10498" s="51">
        <v>0.998</v>
      </c>
      <c r="D10498" s="51">
        <v>71.0</v>
      </c>
      <c r="E10498" s="52" t="s">
        <v>25</v>
      </c>
      <c r="F10498" s="52" t="s">
        <v>26</v>
      </c>
      <c r="G10498" s="54"/>
    </row>
    <row r="10499">
      <c r="A10499" s="49">
        <v>45131.493797523144</v>
      </c>
      <c r="B10499" s="50">
        <v>45131.6187642129</v>
      </c>
      <c r="C10499" s="51">
        <v>0.998</v>
      </c>
      <c r="D10499" s="51">
        <v>71.0</v>
      </c>
      <c r="E10499" s="52" t="s">
        <v>25</v>
      </c>
      <c r="F10499" s="52" t="s">
        <v>26</v>
      </c>
      <c r="G10499" s="54"/>
    </row>
    <row r="10500">
      <c r="A10500" s="49">
        <v>45131.504220601855</v>
      </c>
      <c r="B10500" s="50">
        <v>45131.6291852083</v>
      </c>
      <c r="C10500" s="51">
        <v>0.998</v>
      </c>
      <c r="D10500" s="51">
        <v>71.0</v>
      </c>
      <c r="E10500" s="52" t="s">
        <v>25</v>
      </c>
      <c r="F10500" s="52" t="s">
        <v>26</v>
      </c>
      <c r="G10500" s="54"/>
    </row>
    <row r="10501">
      <c r="A10501" s="49">
        <v>45131.514640636575</v>
      </c>
      <c r="B10501" s="50">
        <v>45131.6396048495</v>
      </c>
      <c r="C10501" s="51">
        <v>0.999</v>
      </c>
      <c r="D10501" s="51">
        <v>71.0</v>
      </c>
      <c r="E10501" s="52" t="s">
        <v>25</v>
      </c>
      <c r="F10501" s="52" t="s">
        <v>26</v>
      </c>
      <c r="G10501" s="54"/>
    </row>
    <row r="10502">
      <c r="A10502" s="49">
        <v>45131.5250599537</v>
      </c>
      <c r="B10502" s="50">
        <v>45131.6500260763</v>
      </c>
      <c r="C10502" s="51">
        <v>0.998</v>
      </c>
      <c r="D10502" s="51">
        <v>71.0</v>
      </c>
      <c r="E10502" s="52" t="s">
        <v>25</v>
      </c>
      <c r="F10502" s="52" t="s">
        <v>26</v>
      </c>
      <c r="G10502" s="54"/>
    </row>
    <row r="10503">
      <c r="A10503" s="49">
        <v>45131.53547809028</v>
      </c>
      <c r="B10503" s="50">
        <v>45131.6604475231</v>
      </c>
      <c r="C10503" s="51">
        <v>0.998</v>
      </c>
      <c r="D10503" s="51">
        <v>71.0</v>
      </c>
      <c r="E10503" s="52" t="s">
        <v>25</v>
      </c>
      <c r="F10503" s="52" t="s">
        <v>26</v>
      </c>
      <c r="G10503" s="54"/>
    </row>
    <row r="10504">
      <c r="A10504" s="49">
        <v>45131.55633765046</v>
      </c>
      <c r="B10504" s="50">
        <v>45131.6813029166</v>
      </c>
      <c r="C10504" s="51">
        <v>0.999</v>
      </c>
      <c r="D10504" s="51">
        <v>71.0</v>
      </c>
      <c r="E10504" s="52" t="s">
        <v>25</v>
      </c>
      <c r="F10504" s="52" t="s">
        <v>26</v>
      </c>
      <c r="G10504" s="54"/>
    </row>
    <row r="10505">
      <c r="A10505" s="49">
        <v>45131.56677630787</v>
      </c>
      <c r="B10505" s="50">
        <v>45131.6917368402</v>
      </c>
      <c r="C10505" s="51">
        <v>0.998</v>
      </c>
      <c r="D10505" s="51">
        <v>71.0</v>
      </c>
      <c r="E10505" s="52" t="s">
        <v>25</v>
      </c>
      <c r="F10505" s="52" t="s">
        <v>26</v>
      </c>
      <c r="G10505" s="54"/>
    </row>
    <row r="10506">
      <c r="A10506" s="49">
        <v>45131.577183587964</v>
      </c>
      <c r="B10506" s="50">
        <v>45131.7021556713</v>
      </c>
      <c r="C10506" s="51">
        <v>0.998</v>
      </c>
      <c r="D10506" s="51">
        <v>71.0</v>
      </c>
      <c r="E10506" s="52" t="s">
        <v>25</v>
      </c>
      <c r="F10506" s="52" t="s">
        <v>26</v>
      </c>
      <c r="G10506" s="54"/>
    </row>
    <row r="10507">
      <c r="A10507" s="49">
        <v>45131.58761778935</v>
      </c>
      <c r="B10507" s="50">
        <v>45131.7125775694</v>
      </c>
      <c r="C10507" s="51">
        <v>0.998</v>
      </c>
      <c r="D10507" s="51">
        <v>71.0</v>
      </c>
      <c r="E10507" s="52" t="s">
        <v>25</v>
      </c>
      <c r="F10507" s="52" t="s">
        <v>26</v>
      </c>
      <c r="G10507" s="54"/>
    </row>
    <row r="10508">
      <c r="A10508" s="49">
        <v>45131.59803071759</v>
      </c>
      <c r="B10508" s="50">
        <v>45131.7229978472</v>
      </c>
      <c r="C10508" s="51">
        <v>0.999</v>
      </c>
      <c r="D10508" s="51">
        <v>71.0</v>
      </c>
      <c r="E10508" s="52" t="s">
        <v>25</v>
      </c>
      <c r="F10508" s="52" t="s">
        <v>26</v>
      </c>
      <c r="G10508" s="54"/>
    </row>
    <row r="10509">
      <c r="A10509" s="49">
        <v>45131.60845018519</v>
      </c>
      <c r="B10509" s="50">
        <v>45131.733418368</v>
      </c>
      <c r="C10509" s="51">
        <v>0.999</v>
      </c>
      <c r="D10509" s="51">
        <v>71.0</v>
      </c>
      <c r="E10509" s="52" t="s">
        <v>25</v>
      </c>
      <c r="F10509" s="52" t="s">
        <v>26</v>
      </c>
      <c r="G10509" s="54"/>
    </row>
    <row r="10510">
      <c r="A10510" s="49">
        <v>45131.61886570602</v>
      </c>
      <c r="B10510" s="50">
        <v>45131.7438399189</v>
      </c>
      <c r="C10510" s="51">
        <v>0.999</v>
      </c>
      <c r="D10510" s="51">
        <v>71.0</v>
      </c>
      <c r="E10510" s="52" t="s">
        <v>25</v>
      </c>
      <c r="F10510" s="52" t="s">
        <v>26</v>
      </c>
      <c r="G10510" s="54"/>
    </row>
    <row r="10511">
      <c r="A10511" s="49">
        <v>45131.62930188657</v>
      </c>
      <c r="B10511" s="50">
        <v>45131.75427228</v>
      </c>
      <c r="C10511" s="51">
        <v>0.999</v>
      </c>
      <c r="D10511" s="51">
        <v>71.0</v>
      </c>
      <c r="E10511" s="52" t="s">
        <v>25</v>
      </c>
      <c r="F10511" s="52" t="s">
        <v>26</v>
      </c>
      <c r="G10511" s="54"/>
    </row>
    <row r="10512">
      <c r="A10512" s="49">
        <v>45131.63972519676</v>
      </c>
      <c r="B10512" s="50">
        <v>45131.7646935185</v>
      </c>
      <c r="C10512" s="51">
        <v>0.999</v>
      </c>
      <c r="D10512" s="51">
        <v>71.0</v>
      </c>
      <c r="E10512" s="52" t="s">
        <v>25</v>
      </c>
      <c r="F10512" s="52" t="s">
        <v>26</v>
      </c>
      <c r="G10512" s="54"/>
    </row>
    <row r="10513">
      <c r="A10513" s="49">
        <v>45131.65014583334</v>
      </c>
      <c r="B10513" s="50">
        <v>45131.775115949</v>
      </c>
      <c r="C10513" s="51">
        <v>0.999</v>
      </c>
      <c r="D10513" s="51">
        <v>71.0</v>
      </c>
      <c r="E10513" s="52" t="s">
        <v>25</v>
      </c>
      <c r="F10513" s="52" t="s">
        <v>26</v>
      </c>
      <c r="G10513" s="54"/>
    </row>
    <row r="10514">
      <c r="A10514" s="49">
        <v>45131.66056819445</v>
      </c>
      <c r="B10514" s="50">
        <v>45131.7855365972</v>
      </c>
      <c r="C10514" s="51">
        <v>0.999</v>
      </c>
      <c r="D10514" s="51">
        <v>71.0</v>
      </c>
      <c r="E10514" s="52" t="s">
        <v>25</v>
      </c>
      <c r="F10514" s="52" t="s">
        <v>26</v>
      </c>
      <c r="G10514" s="54"/>
    </row>
    <row r="10515">
      <c r="A10515" s="49">
        <v>45131.670995925924</v>
      </c>
      <c r="B10515" s="50">
        <v>45131.7959572685</v>
      </c>
      <c r="C10515" s="51">
        <v>0.998</v>
      </c>
      <c r="D10515" s="51">
        <v>71.0</v>
      </c>
      <c r="E10515" s="52" t="s">
        <v>25</v>
      </c>
      <c r="F10515" s="52" t="s">
        <v>26</v>
      </c>
      <c r="G10515" s="54"/>
    </row>
    <row r="10516">
      <c r="A10516" s="49">
        <v>45131.68141046296</v>
      </c>
      <c r="B10516" s="50">
        <v>45131.8063758333</v>
      </c>
      <c r="C10516" s="51">
        <v>0.998</v>
      </c>
      <c r="D10516" s="51">
        <v>71.0</v>
      </c>
      <c r="E10516" s="52" t="s">
        <v>25</v>
      </c>
      <c r="F10516" s="52" t="s">
        <v>26</v>
      </c>
      <c r="G10516" s="54"/>
    </row>
    <row r="10517">
      <c r="A10517" s="49">
        <v>45131.69182841435</v>
      </c>
      <c r="B10517" s="50">
        <v>45131.8167969675</v>
      </c>
      <c r="C10517" s="51">
        <v>0.999</v>
      </c>
      <c r="D10517" s="51">
        <v>71.0</v>
      </c>
      <c r="E10517" s="52" t="s">
        <v>25</v>
      </c>
      <c r="F10517" s="52" t="s">
        <v>26</v>
      </c>
      <c r="G10517" s="54"/>
    </row>
    <row r="10518">
      <c r="A10518" s="49">
        <v>45131.702249803246</v>
      </c>
      <c r="B10518" s="50">
        <v>45131.8272175115</v>
      </c>
      <c r="C10518" s="51">
        <v>0.998</v>
      </c>
      <c r="D10518" s="51">
        <v>71.0</v>
      </c>
      <c r="E10518" s="52" t="s">
        <v>25</v>
      </c>
      <c r="F10518" s="52" t="s">
        <v>26</v>
      </c>
      <c r="G10518" s="54"/>
    </row>
    <row r="10519">
      <c r="A10519" s="49">
        <v>45131.71266820602</v>
      </c>
      <c r="B10519" s="50">
        <v>45131.837639074</v>
      </c>
      <c r="C10519" s="51">
        <v>0.998</v>
      </c>
      <c r="D10519" s="51">
        <v>71.0</v>
      </c>
      <c r="E10519" s="52" t="s">
        <v>25</v>
      </c>
      <c r="F10519" s="52" t="s">
        <v>26</v>
      </c>
      <c r="G10519" s="54"/>
    </row>
    <row r="10520">
      <c r="A10520" s="49">
        <v>45131.72308689815</v>
      </c>
      <c r="B10520" s="50">
        <v>45131.8480589583</v>
      </c>
      <c r="C10520" s="51">
        <v>0.998</v>
      </c>
      <c r="D10520" s="51">
        <v>71.0</v>
      </c>
      <c r="E10520" s="52" t="s">
        <v>25</v>
      </c>
      <c r="F10520" s="52" t="s">
        <v>26</v>
      </c>
      <c r="G10520" s="54"/>
    </row>
    <row r="10521">
      <c r="A10521" s="49">
        <v>45131.733533032406</v>
      </c>
      <c r="B10521" s="50">
        <v>45131.8585032176</v>
      </c>
      <c r="C10521" s="51">
        <v>0.998</v>
      </c>
      <c r="D10521" s="51">
        <v>71.0</v>
      </c>
      <c r="E10521" s="52" t="s">
        <v>25</v>
      </c>
      <c r="F10521" s="52" t="s">
        <v>26</v>
      </c>
      <c r="G10521" s="54"/>
    </row>
    <row r="10522">
      <c r="A10522" s="49">
        <v>45131.74396638889</v>
      </c>
      <c r="B10522" s="50">
        <v>45131.8689353356</v>
      </c>
      <c r="C10522" s="51">
        <v>0.999</v>
      </c>
      <c r="D10522" s="51">
        <v>71.0</v>
      </c>
      <c r="E10522" s="52" t="s">
        <v>25</v>
      </c>
      <c r="F10522" s="52" t="s">
        <v>26</v>
      </c>
      <c r="G10522" s="54"/>
    </row>
    <row r="10523">
      <c r="A10523" s="49">
        <v>45131.75440291667</v>
      </c>
      <c r="B10523" s="50">
        <v>45131.8793695833</v>
      </c>
      <c r="C10523" s="51">
        <v>0.999</v>
      </c>
      <c r="D10523" s="51">
        <v>71.0</v>
      </c>
      <c r="E10523" s="52" t="s">
        <v>25</v>
      </c>
      <c r="F10523" s="52" t="s">
        <v>26</v>
      </c>
      <c r="G10523" s="54"/>
    </row>
    <row r="10524">
      <c r="A10524" s="49">
        <v>45131.76481047454</v>
      </c>
      <c r="B10524" s="50">
        <v>45131.8897902199</v>
      </c>
      <c r="C10524" s="51">
        <v>0.999</v>
      </c>
      <c r="D10524" s="51">
        <v>71.0</v>
      </c>
      <c r="E10524" s="52" t="s">
        <v>25</v>
      </c>
      <c r="F10524" s="52" t="s">
        <v>26</v>
      </c>
      <c r="G10524" s="54"/>
    </row>
    <row r="10525">
      <c r="A10525" s="49">
        <v>45131.77523787037</v>
      </c>
      <c r="B10525" s="50">
        <v>45131.900210405</v>
      </c>
      <c r="C10525" s="51">
        <v>0.998</v>
      </c>
      <c r="D10525" s="51">
        <v>71.0</v>
      </c>
      <c r="E10525" s="52" t="s">
        <v>25</v>
      </c>
      <c r="F10525" s="52" t="s">
        <v>26</v>
      </c>
      <c r="G10525" s="54"/>
    </row>
    <row r="10526">
      <c r="A10526" s="49">
        <v>45131.78567619213</v>
      </c>
      <c r="B10526" s="50">
        <v>45131.9106435763</v>
      </c>
      <c r="C10526" s="51">
        <v>0.998</v>
      </c>
      <c r="D10526" s="51">
        <v>71.0</v>
      </c>
      <c r="E10526" s="52" t="s">
        <v>25</v>
      </c>
      <c r="F10526" s="52" t="s">
        <v>26</v>
      </c>
      <c r="G10526" s="54"/>
    </row>
    <row r="10527">
      <c r="A10527" s="49">
        <v>45131.79609050926</v>
      </c>
      <c r="B10527" s="50">
        <v>45131.9210659606</v>
      </c>
      <c r="C10527" s="51">
        <v>0.998</v>
      </c>
      <c r="D10527" s="51">
        <v>71.0</v>
      </c>
      <c r="E10527" s="52" t="s">
        <v>25</v>
      </c>
      <c r="F10527" s="52" t="s">
        <v>26</v>
      </c>
      <c r="G10527" s="54"/>
    </row>
    <row r="10528">
      <c r="A10528" s="49">
        <v>45131.80651487269</v>
      </c>
      <c r="B10528" s="50">
        <v>45131.9314880787</v>
      </c>
      <c r="C10528" s="51">
        <v>0.999</v>
      </c>
      <c r="D10528" s="51">
        <v>71.0</v>
      </c>
      <c r="E10528" s="52" t="s">
        <v>25</v>
      </c>
      <c r="F10528" s="52" t="s">
        <v>26</v>
      </c>
      <c r="G10528" s="54"/>
    </row>
    <row r="10529">
      <c r="A10529" s="49">
        <v>45131.816941377314</v>
      </c>
      <c r="B10529" s="50">
        <v>45131.9419087384</v>
      </c>
      <c r="C10529" s="51">
        <v>0.999</v>
      </c>
      <c r="D10529" s="51">
        <v>71.0</v>
      </c>
      <c r="E10529" s="52" t="s">
        <v>25</v>
      </c>
      <c r="F10529" s="52" t="s">
        <v>26</v>
      </c>
      <c r="G10529" s="54"/>
    </row>
    <row r="10530">
      <c r="A10530" s="49">
        <v>45131.82738545139</v>
      </c>
      <c r="B10530" s="50">
        <v>45131.9523416666</v>
      </c>
      <c r="C10530" s="51">
        <v>0.999</v>
      </c>
      <c r="D10530" s="51">
        <v>71.0</v>
      </c>
      <c r="E10530" s="52" t="s">
        <v>25</v>
      </c>
      <c r="F10530" s="52" t="s">
        <v>26</v>
      </c>
      <c r="G10530" s="54"/>
    </row>
    <row r="10531">
      <c r="A10531" s="49">
        <v>45131.83781153936</v>
      </c>
      <c r="B10531" s="50">
        <v>45131.9627718518</v>
      </c>
      <c r="C10531" s="51">
        <v>0.998</v>
      </c>
      <c r="D10531" s="51">
        <v>71.0</v>
      </c>
      <c r="E10531" s="52" t="s">
        <v>25</v>
      </c>
      <c r="F10531" s="52" t="s">
        <v>26</v>
      </c>
      <c r="G10531" s="54"/>
    </row>
    <row r="10532">
      <c r="A10532" s="49">
        <v>45131.84823175926</v>
      </c>
      <c r="B10532" s="50">
        <v>45131.973195081</v>
      </c>
      <c r="C10532" s="51">
        <v>0.998</v>
      </c>
      <c r="D10532" s="51">
        <v>71.0</v>
      </c>
      <c r="E10532" s="52" t="s">
        <v>25</v>
      </c>
      <c r="F10532" s="52" t="s">
        <v>26</v>
      </c>
      <c r="G10532" s="54"/>
    </row>
    <row r="10533">
      <c r="A10533" s="49">
        <v>45131.85864203704</v>
      </c>
      <c r="B10533" s="50">
        <v>45131.9836164699</v>
      </c>
      <c r="C10533" s="51">
        <v>0.999</v>
      </c>
      <c r="D10533" s="51">
        <v>71.0</v>
      </c>
      <c r="E10533" s="52" t="s">
        <v>25</v>
      </c>
      <c r="F10533" s="52" t="s">
        <v>26</v>
      </c>
      <c r="G10533" s="54"/>
    </row>
    <row r="10534">
      <c r="A10534" s="49">
        <v>45131.869069733795</v>
      </c>
      <c r="B10534" s="50">
        <v>45131.994036956</v>
      </c>
      <c r="C10534" s="51">
        <v>0.999</v>
      </c>
      <c r="D10534" s="51">
        <v>71.0</v>
      </c>
      <c r="E10534" s="52" t="s">
        <v>25</v>
      </c>
      <c r="F10534" s="52" t="s">
        <v>26</v>
      </c>
      <c r="G10534" s="54"/>
    </row>
    <row r="10535">
      <c r="A10535" s="49">
        <v>45131.879495925925</v>
      </c>
      <c r="B10535" s="50">
        <v>45132.0044589236</v>
      </c>
      <c r="C10535" s="51">
        <v>0.999</v>
      </c>
      <c r="D10535" s="51">
        <v>71.0</v>
      </c>
      <c r="E10535" s="52" t="s">
        <v>25</v>
      </c>
      <c r="F10535" s="52" t="s">
        <v>26</v>
      </c>
      <c r="G10535" s="54"/>
    </row>
    <row r="10536">
      <c r="A10536" s="49">
        <v>45131.88989888889</v>
      </c>
      <c r="B10536" s="50">
        <v>45132.0148787152</v>
      </c>
      <c r="C10536" s="51">
        <v>0.999</v>
      </c>
      <c r="D10536" s="51">
        <v>71.0</v>
      </c>
      <c r="E10536" s="52" t="s">
        <v>25</v>
      </c>
      <c r="F10536" s="52" t="s">
        <v>26</v>
      </c>
      <c r="G10536" s="54"/>
    </row>
    <row r="10537">
      <c r="A10537" s="49">
        <v>45131.900332881945</v>
      </c>
      <c r="B10537" s="50">
        <v>45132.0253010995</v>
      </c>
      <c r="C10537" s="51">
        <v>0.999</v>
      </c>
      <c r="D10537" s="51">
        <v>71.0</v>
      </c>
      <c r="E10537" s="52" t="s">
        <v>25</v>
      </c>
      <c r="F10537" s="52" t="s">
        <v>26</v>
      </c>
      <c r="G10537" s="54"/>
    </row>
    <row r="10538">
      <c r="A10538" s="49">
        <v>45131.910749849536</v>
      </c>
      <c r="B10538" s="50">
        <v>45132.0357217592</v>
      </c>
      <c r="C10538" s="51">
        <v>0.999</v>
      </c>
      <c r="D10538" s="51">
        <v>71.0</v>
      </c>
      <c r="E10538" s="52" t="s">
        <v>25</v>
      </c>
      <c r="F10538" s="52" t="s">
        <v>26</v>
      </c>
      <c r="G10538" s="54"/>
    </row>
    <row r="10539">
      <c r="A10539" s="49">
        <v>45131.92117509259</v>
      </c>
      <c r="B10539" s="50">
        <v>45132.0461420254</v>
      </c>
      <c r="C10539" s="51">
        <v>0.998</v>
      </c>
      <c r="D10539" s="51">
        <v>72.0</v>
      </c>
      <c r="E10539" s="52" t="s">
        <v>25</v>
      </c>
      <c r="F10539" s="52" t="s">
        <v>26</v>
      </c>
      <c r="G10539" s="54"/>
    </row>
    <row r="10540">
      <c r="A10540" s="49">
        <v>45131.931595462964</v>
      </c>
      <c r="B10540" s="50">
        <v>45132.0565617824</v>
      </c>
      <c r="C10540" s="51">
        <v>0.999</v>
      </c>
      <c r="D10540" s="51">
        <v>71.0</v>
      </c>
      <c r="E10540" s="52" t="s">
        <v>25</v>
      </c>
      <c r="F10540" s="52" t="s">
        <v>26</v>
      </c>
      <c r="G10540" s="54"/>
    </row>
    <row r="10541">
      <c r="A10541" s="49">
        <v>45131.942023842596</v>
      </c>
      <c r="B10541" s="50">
        <v>45132.0669942939</v>
      </c>
      <c r="C10541" s="51">
        <v>0.999</v>
      </c>
      <c r="D10541" s="51">
        <v>71.0</v>
      </c>
      <c r="E10541" s="52" t="s">
        <v>25</v>
      </c>
      <c r="F10541" s="52" t="s">
        <v>26</v>
      </c>
      <c r="G10541" s="54"/>
    </row>
    <row r="10542">
      <c r="A10542" s="49">
        <v>45131.95243971064</v>
      </c>
      <c r="B10542" s="50">
        <v>45132.0774156712</v>
      </c>
      <c r="C10542" s="51">
        <v>0.998</v>
      </c>
      <c r="D10542" s="51">
        <v>71.0</v>
      </c>
      <c r="E10542" s="52" t="s">
        <v>25</v>
      </c>
      <c r="F10542" s="52" t="s">
        <v>26</v>
      </c>
      <c r="G10542" s="54"/>
    </row>
    <row r="10543">
      <c r="A10543" s="49">
        <v>45131.96287707176</v>
      </c>
      <c r="B10543" s="50">
        <v>45132.0878481481</v>
      </c>
      <c r="C10543" s="51">
        <v>0.999</v>
      </c>
      <c r="D10543" s="51">
        <v>72.0</v>
      </c>
      <c r="E10543" s="52" t="s">
        <v>25</v>
      </c>
      <c r="F10543" s="52" t="s">
        <v>26</v>
      </c>
      <c r="G10543" s="54"/>
    </row>
    <row r="10544">
      <c r="A10544" s="49">
        <v>45131.97330774306</v>
      </c>
      <c r="B10544" s="50">
        <v>45132.0982810069</v>
      </c>
      <c r="C10544" s="51">
        <v>0.998</v>
      </c>
      <c r="D10544" s="51">
        <v>71.0</v>
      </c>
      <c r="E10544" s="52" t="s">
        <v>25</v>
      </c>
      <c r="F10544" s="52" t="s">
        <v>26</v>
      </c>
      <c r="G10544" s="54"/>
    </row>
    <row r="10545">
      <c r="A10545" s="49">
        <v>45131.983729988424</v>
      </c>
      <c r="B10545" s="50">
        <v>45132.1087043865</v>
      </c>
      <c r="C10545" s="51">
        <v>0.999</v>
      </c>
      <c r="D10545" s="51">
        <v>71.0</v>
      </c>
      <c r="E10545" s="52" t="s">
        <v>25</v>
      </c>
      <c r="F10545" s="52" t="s">
        <v>26</v>
      </c>
      <c r="G10545" s="54"/>
    </row>
    <row r="10546">
      <c r="A10546" s="49">
        <v>45131.99415888889</v>
      </c>
      <c r="B10546" s="50">
        <v>45132.11912603</v>
      </c>
      <c r="C10546" s="51">
        <v>0.999</v>
      </c>
      <c r="D10546" s="51">
        <v>71.0</v>
      </c>
      <c r="E10546" s="52" t="s">
        <v>25</v>
      </c>
      <c r="F10546" s="52" t="s">
        <v>26</v>
      </c>
      <c r="G10546" s="54"/>
    </row>
    <row r="10547">
      <c r="A10547" s="49">
        <v>45132.00457575232</v>
      </c>
      <c r="B10547" s="50">
        <v>45132.1295496064</v>
      </c>
      <c r="C10547" s="51">
        <v>0.999</v>
      </c>
      <c r="D10547" s="51">
        <v>71.0</v>
      </c>
      <c r="E10547" s="52" t="s">
        <v>25</v>
      </c>
      <c r="F10547" s="52" t="s">
        <v>26</v>
      </c>
      <c r="G10547" s="54"/>
    </row>
    <row r="10548">
      <c r="A10548" s="49">
        <v>45132.015012812495</v>
      </c>
      <c r="B10548" s="50">
        <v>45132.1399810995</v>
      </c>
      <c r="C10548" s="51">
        <v>0.999</v>
      </c>
      <c r="D10548" s="51">
        <v>72.0</v>
      </c>
      <c r="E10548" s="52" t="s">
        <v>25</v>
      </c>
      <c r="F10548" s="52" t="s">
        <v>26</v>
      </c>
      <c r="G10548" s="54"/>
    </row>
    <row r="10549">
      <c r="A10549" s="49">
        <v>45132.025435972224</v>
      </c>
      <c r="B10549" s="50">
        <v>45132.1504025694</v>
      </c>
      <c r="C10549" s="51">
        <v>0.998</v>
      </c>
      <c r="D10549" s="51">
        <v>71.0</v>
      </c>
      <c r="E10549" s="52" t="s">
        <v>25</v>
      </c>
      <c r="F10549" s="52" t="s">
        <v>26</v>
      </c>
      <c r="G10549" s="54"/>
    </row>
    <row r="10550">
      <c r="A10550" s="49">
        <v>45132.03585853009</v>
      </c>
      <c r="B10550" s="50">
        <v>45132.1608241435</v>
      </c>
      <c r="C10550" s="51">
        <v>0.999</v>
      </c>
      <c r="D10550" s="51">
        <v>72.0</v>
      </c>
      <c r="E10550" s="52" t="s">
        <v>25</v>
      </c>
      <c r="F10550" s="52" t="s">
        <v>26</v>
      </c>
      <c r="G10550" s="54"/>
    </row>
    <row r="10551">
      <c r="A10551" s="49">
        <v>45132.0463213426</v>
      </c>
      <c r="B10551" s="50">
        <v>45132.1712917361</v>
      </c>
      <c r="C10551" s="51">
        <v>0.999</v>
      </c>
      <c r="D10551" s="51">
        <v>72.0</v>
      </c>
      <c r="E10551" s="52" t="s">
        <v>25</v>
      </c>
      <c r="F10551" s="52" t="s">
        <v>26</v>
      </c>
      <c r="G10551" s="54"/>
    </row>
    <row r="10552">
      <c r="A10552" s="49">
        <v>45132.056742430555</v>
      </c>
      <c r="B10552" s="50">
        <v>45132.1817148611</v>
      </c>
      <c r="C10552" s="51">
        <v>0.998</v>
      </c>
      <c r="D10552" s="51">
        <v>71.0</v>
      </c>
      <c r="E10552" s="52" t="s">
        <v>25</v>
      </c>
      <c r="F10552" s="52" t="s">
        <v>26</v>
      </c>
      <c r="G10552" s="54"/>
    </row>
    <row r="10553">
      <c r="A10553" s="49">
        <v>45132.06718155093</v>
      </c>
      <c r="B10553" s="50">
        <v>45132.1921490972</v>
      </c>
      <c r="C10553" s="51">
        <v>0.999</v>
      </c>
      <c r="D10553" s="51">
        <v>72.0</v>
      </c>
      <c r="E10553" s="52" t="s">
        <v>25</v>
      </c>
      <c r="F10553" s="52" t="s">
        <v>26</v>
      </c>
      <c r="G10553" s="54"/>
    </row>
    <row r="10554">
      <c r="A10554" s="49">
        <v>45132.07759402778</v>
      </c>
      <c r="B10554" s="50">
        <v>45132.2025709838</v>
      </c>
      <c r="C10554" s="51">
        <v>0.998</v>
      </c>
      <c r="D10554" s="51">
        <v>72.0</v>
      </c>
      <c r="E10554" s="52" t="s">
        <v>25</v>
      </c>
      <c r="F10554" s="52" t="s">
        <v>26</v>
      </c>
      <c r="G10554" s="54"/>
    </row>
    <row r="10555">
      <c r="A10555" s="49">
        <v>45132.08803641204</v>
      </c>
      <c r="B10555" s="50">
        <v>45132.2130031828</v>
      </c>
      <c r="C10555" s="51">
        <v>0.999</v>
      </c>
      <c r="D10555" s="51">
        <v>72.0</v>
      </c>
      <c r="E10555" s="52" t="s">
        <v>25</v>
      </c>
      <c r="F10555" s="52" t="s">
        <v>26</v>
      </c>
      <c r="G10555" s="54"/>
    </row>
    <row r="10556">
      <c r="A10556" s="49">
        <v>45132.09844962963</v>
      </c>
      <c r="B10556" s="50">
        <v>45132.2234223611</v>
      </c>
      <c r="C10556" s="51">
        <v>0.999</v>
      </c>
      <c r="D10556" s="51">
        <v>72.0</v>
      </c>
      <c r="E10556" s="52" t="s">
        <v>25</v>
      </c>
      <c r="F10556" s="52" t="s">
        <v>26</v>
      </c>
      <c r="G10556" s="54"/>
    </row>
    <row r="10557">
      <c r="A10557" s="49">
        <v>45132.10887681713</v>
      </c>
      <c r="B10557" s="50">
        <v>45132.2338441666</v>
      </c>
      <c r="C10557" s="51">
        <v>0.998</v>
      </c>
      <c r="D10557" s="51">
        <v>71.0</v>
      </c>
      <c r="E10557" s="52" t="s">
        <v>25</v>
      </c>
      <c r="F10557" s="52" t="s">
        <v>26</v>
      </c>
      <c r="G10557" s="54"/>
    </row>
    <row r="10558">
      <c r="A10558" s="49">
        <v>45132.11929108796</v>
      </c>
      <c r="B10558" s="50">
        <v>45132.2442667129</v>
      </c>
      <c r="C10558" s="51">
        <v>0.999</v>
      </c>
      <c r="D10558" s="51">
        <v>72.0</v>
      </c>
      <c r="E10558" s="52" t="s">
        <v>25</v>
      </c>
      <c r="F10558" s="52" t="s">
        <v>26</v>
      </c>
      <c r="G10558" s="54"/>
    </row>
    <row r="10559">
      <c r="A10559" s="49">
        <v>45132.129720439814</v>
      </c>
      <c r="B10559" s="50">
        <v>45132.25468625</v>
      </c>
      <c r="C10559" s="51">
        <v>0.999</v>
      </c>
      <c r="D10559" s="51">
        <v>72.0</v>
      </c>
      <c r="E10559" s="52" t="s">
        <v>25</v>
      </c>
      <c r="F10559" s="52" t="s">
        <v>26</v>
      </c>
      <c r="G10559" s="54"/>
    </row>
    <row r="10560">
      <c r="A10560" s="49">
        <v>45132.14013640046</v>
      </c>
      <c r="B10560" s="50">
        <v>45132.2651064467</v>
      </c>
      <c r="C10560" s="51">
        <v>0.999</v>
      </c>
      <c r="D10560" s="51">
        <v>72.0</v>
      </c>
      <c r="E10560" s="52" t="s">
        <v>25</v>
      </c>
      <c r="F10560" s="52" t="s">
        <v>26</v>
      </c>
      <c r="G10560" s="54"/>
    </row>
    <row r="10561">
      <c r="A10561" s="49">
        <v>45132.150562696756</v>
      </c>
      <c r="B10561" s="50">
        <v>45132.2755278125</v>
      </c>
      <c r="C10561" s="51">
        <v>0.999</v>
      </c>
      <c r="D10561" s="51">
        <v>72.0</v>
      </c>
      <c r="E10561" s="52" t="s">
        <v>25</v>
      </c>
      <c r="F10561" s="52" t="s">
        <v>26</v>
      </c>
      <c r="G10561" s="54"/>
    </row>
    <row r="10562">
      <c r="A10562" s="49">
        <v>45132.1609772338</v>
      </c>
      <c r="B10562" s="50">
        <v>45132.2859485185</v>
      </c>
      <c r="C10562" s="51">
        <v>0.998</v>
      </c>
      <c r="D10562" s="51">
        <v>72.0</v>
      </c>
      <c r="E10562" s="52" t="s">
        <v>25</v>
      </c>
      <c r="F10562" s="52" t="s">
        <v>26</v>
      </c>
      <c r="G10562" s="54"/>
    </row>
    <row r="10563">
      <c r="A10563" s="49">
        <v>45132.171405381945</v>
      </c>
      <c r="B10563" s="50">
        <v>45132.296370162</v>
      </c>
      <c r="C10563" s="51">
        <v>0.999</v>
      </c>
      <c r="D10563" s="51">
        <v>72.0</v>
      </c>
      <c r="E10563" s="52" t="s">
        <v>25</v>
      </c>
      <c r="F10563" s="52" t="s">
        <v>26</v>
      </c>
      <c r="G10563" s="54"/>
    </row>
    <row r="10564">
      <c r="A10564" s="49">
        <v>45132.18181701389</v>
      </c>
      <c r="B10564" s="50">
        <v>45132.3067926504</v>
      </c>
      <c r="C10564" s="51">
        <v>0.999</v>
      </c>
      <c r="D10564" s="51">
        <v>72.0</v>
      </c>
      <c r="E10564" s="52" t="s">
        <v>25</v>
      </c>
      <c r="F10564" s="52" t="s">
        <v>26</v>
      </c>
      <c r="G10564" s="54"/>
    </row>
    <row r="10565">
      <c r="A10565" s="49">
        <v>45132.19224583333</v>
      </c>
      <c r="B10565" s="50">
        <v>45132.3172242245</v>
      </c>
      <c r="C10565" s="51">
        <v>0.999</v>
      </c>
      <c r="D10565" s="51">
        <v>72.0</v>
      </c>
      <c r="E10565" s="52" t="s">
        <v>25</v>
      </c>
      <c r="F10565" s="52" t="s">
        <v>26</v>
      </c>
      <c r="G10565" s="54"/>
    </row>
    <row r="10566">
      <c r="A10566" s="49">
        <v>45132.202671631945</v>
      </c>
      <c r="B10566" s="50">
        <v>45132.3276459838</v>
      </c>
      <c r="C10566" s="51">
        <v>0.998</v>
      </c>
      <c r="D10566" s="51">
        <v>72.0</v>
      </c>
      <c r="E10566" s="52" t="s">
        <v>25</v>
      </c>
      <c r="F10566" s="52" t="s">
        <v>26</v>
      </c>
      <c r="G10566" s="54"/>
    </row>
    <row r="10567">
      <c r="A10567" s="49">
        <v>45132.21308952547</v>
      </c>
      <c r="B10567" s="50">
        <v>45132.3380650463</v>
      </c>
      <c r="C10567" s="51">
        <v>0.998</v>
      </c>
      <c r="D10567" s="51">
        <v>72.0</v>
      </c>
      <c r="E10567" s="52" t="s">
        <v>25</v>
      </c>
      <c r="F10567" s="52" t="s">
        <v>26</v>
      </c>
      <c r="G10567" s="54"/>
    </row>
    <row r="10568">
      <c r="A10568" s="49">
        <v>45132.223531979165</v>
      </c>
      <c r="B10568" s="50">
        <v>45132.3484985185</v>
      </c>
      <c r="C10568" s="51">
        <v>0.998</v>
      </c>
      <c r="D10568" s="51">
        <v>72.0</v>
      </c>
      <c r="E10568" s="52" t="s">
        <v>25</v>
      </c>
      <c r="F10568" s="52" t="s">
        <v>26</v>
      </c>
      <c r="G10568" s="54"/>
    </row>
    <row r="10569">
      <c r="A10569" s="49">
        <v>45132.23394697916</v>
      </c>
      <c r="B10569" s="50">
        <v>45132.3589209143</v>
      </c>
      <c r="C10569" s="51">
        <v>0.998</v>
      </c>
      <c r="D10569" s="51">
        <v>72.0</v>
      </c>
      <c r="E10569" s="52" t="s">
        <v>25</v>
      </c>
      <c r="F10569" s="52" t="s">
        <v>26</v>
      </c>
      <c r="G10569" s="54"/>
    </row>
    <row r="10570">
      <c r="A10570" s="49">
        <v>45132.244371712964</v>
      </c>
      <c r="B10570" s="50">
        <v>45132.3693425115</v>
      </c>
      <c r="C10570" s="51">
        <v>0.998</v>
      </c>
      <c r="D10570" s="51">
        <v>72.0</v>
      </c>
      <c r="E10570" s="52" t="s">
        <v>25</v>
      </c>
      <c r="F10570" s="52" t="s">
        <v>26</v>
      </c>
      <c r="G10570" s="54"/>
    </row>
    <row r="10571">
      <c r="A10571" s="49">
        <v>45132.254787337966</v>
      </c>
      <c r="B10571" s="50">
        <v>45132.3797635185</v>
      </c>
      <c r="C10571" s="51">
        <v>0.998</v>
      </c>
      <c r="D10571" s="51">
        <v>72.0</v>
      </c>
      <c r="E10571" s="52" t="s">
        <v>25</v>
      </c>
      <c r="F10571" s="52" t="s">
        <v>26</v>
      </c>
      <c r="G10571" s="54"/>
    </row>
    <row r="10572">
      <c r="A10572" s="49">
        <v>45132.26526447917</v>
      </c>
      <c r="B10572" s="50">
        <v>45132.3902198842</v>
      </c>
      <c r="C10572" s="51">
        <v>0.999</v>
      </c>
      <c r="D10572" s="51">
        <v>71.0</v>
      </c>
      <c r="E10572" s="52" t="s">
        <v>25</v>
      </c>
      <c r="F10572" s="52" t="s">
        <v>26</v>
      </c>
      <c r="G10572" s="54"/>
    </row>
    <row r="10573">
      <c r="A10573" s="49">
        <v>45132.2756678125</v>
      </c>
      <c r="B10573" s="50">
        <v>45132.4006405787</v>
      </c>
      <c r="C10573" s="51">
        <v>0.999</v>
      </c>
      <c r="D10573" s="51">
        <v>72.0</v>
      </c>
      <c r="E10573" s="52" t="s">
        <v>25</v>
      </c>
      <c r="F10573" s="52" t="s">
        <v>26</v>
      </c>
      <c r="G10573" s="54"/>
    </row>
    <row r="10574">
      <c r="A10574" s="49">
        <v>45132.28610258102</v>
      </c>
      <c r="B10574" s="50">
        <v>45132.4110622685</v>
      </c>
      <c r="C10574" s="51">
        <v>0.998</v>
      </c>
      <c r="D10574" s="51">
        <v>72.0</v>
      </c>
      <c r="E10574" s="52" t="s">
        <v>25</v>
      </c>
      <c r="F10574" s="52" t="s">
        <v>26</v>
      </c>
      <c r="G10574" s="54"/>
    </row>
    <row r="10575">
      <c r="A10575" s="49">
        <v>45132.29651118055</v>
      </c>
      <c r="B10575" s="50">
        <v>45132.4214828125</v>
      </c>
      <c r="C10575" s="51">
        <v>0.999</v>
      </c>
      <c r="D10575" s="51">
        <v>72.0</v>
      </c>
      <c r="E10575" s="52" t="s">
        <v>25</v>
      </c>
      <c r="F10575" s="52" t="s">
        <v>26</v>
      </c>
      <c r="G10575" s="54"/>
    </row>
    <row r="10576">
      <c r="A10576" s="49">
        <v>45132.30694001158</v>
      </c>
      <c r="B10576" s="50">
        <v>45132.4319041782</v>
      </c>
      <c r="C10576" s="51">
        <v>0.998</v>
      </c>
      <c r="D10576" s="51">
        <v>72.0</v>
      </c>
      <c r="E10576" s="52" t="s">
        <v>25</v>
      </c>
      <c r="F10576" s="52" t="s">
        <v>26</v>
      </c>
      <c r="G10576" s="54"/>
    </row>
    <row r="10577">
      <c r="A10577" s="49">
        <v>45132.31738532407</v>
      </c>
      <c r="B10577" s="50">
        <v>45132.4423483217</v>
      </c>
      <c r="C10577" s="51">
        <v>0.998</v>
      </c>
      <c r="D10577" s="51">
        <v>72.0</v>
      </c>
      <c r="E10577" s="52" t="s">
        <v>25</v>
      </c>
      <c r="F10577" s="52" t="s">
        <v>26</v>
      </c>
      <c r="G10577" s="54"/>
    </row>
    <row r="10578">
      <c r="A10578" s="49">
        <v>45132.32780107639</v>
      </c>
      <c r="B10578" s="50">
        <v>45132.4527686805</v>
      </c>
      <c r="C10578" s="51">
        <v>0.998</v>
      </c>
      <c r="D10578" s="51">
        <v>72.0</v>
      </c>
      <c r="E10578" s="52" t="s">
        <v>25</v>
      </c>
      <c r="F10578" s="52" t="s">
        <v>26</v>
      </c>
      <c r="G10578" s="54"/>
    </row>
    <row r="10579">
      <c r="A10579" s="49">
        <v>45132.33823180555</v>
      </c>
      <c r="B10579" s="50">
        <v>45132.4632014814</v>
      </c>
      <c r="C10579" s="51">
        <v>0.998</v>
      </c>
      <c r="D10579" s="51">
        <v>72.0</v>
      </c>
      <c r="E10579" s="52" t="s">
        <v>25</v>
      </c>
      <c r="F10579" s="52" t="s">
        <v>26</v>
      </c>
      <c r="G10579" s="54"/>
    </row>
    <row r="10580">
      <c r="A10580" s="49">
        <v>45132.34866024306</v>
      </c>
      <c r="B10580" s="50">
        <v>45132.4736210763</v>
      </c>
      <c r="C10580" s="51">
        <v>0.998</v>
      </c>
      <c r="D10580" s="51">
        <v>71.0</v>
      </c>
      <c r="E10580" s="52" t="s">
        <v>25</v>
      </c>
      <c r="F10580" s="52" t="s">
        <v>26</v>
      </c>
      <c r="G10580" s="54"/>
    </row>
    <row r="10581">
      <c r="A10581" s="49">
        <v>45132.35910623842</v>
      </c>
      <c r="B10581" s="50">
        <v>45132.4840519675</v>
      </c>
      <c r="C10581" s="51">
        <v>0.998</v>
      </c>
      <c r="D10581" s="51">
        <v>72.0</v>
      </c>
      <c r="E10581" s="52" t="s">
        <v>25</v>
      </c>
      <c r="F10581" s="52" t="s">
        <v>26</v>
      </c>
      <c r="G10581" s="54"/>
    </row>
    <row r="10582">
      <c r="A10582" s="49">
        <v>45132.36950673611</v>
      </c>
      <c r="B10582" s="50">
        <v>45132.494472662</v>
      </c>
      <c r="C10582" s="51">
        <v>0.998</v>
      </c>
      <c r="D10582" s="51">
        <v>72.0</v>
      </c>
      <c r="E10582" s="52" t="s">
        <v>25</v>
      </c>
      <c r="F10582" s="52" t="s">
        <v>26</v>
      </c>
      <c r="G10582" s="54"/>
    </row>
    <row r="10583">
      <c r="A10583" s="49">
        <v>45132.37992554398</v>
      </c>
      <c r="B10583" s="50">
        <v>45132.5048952777</v>
      </c>
      <c r="C10583" s="51">
        <v>0.998</v>
      </c>
      <c r="D10583" s="51">
        <v>72.0</v>
      </c>
      <c r="E10583" s="52" t="s">
        <v>25</v>
      </c>
      <c r="F10583" s="52" t="s">
        <v>26</v>
      </c>
      <c r="G10583" s="54"/>
    </row>
    <row r="10584">
      <c r="A10584" s="49">
        <v>45132.39037418981</v>
      </c>
      <c r="B10584" s="50">
        <v>45132.5153394328</v>
      </c>
      <c r="C10584" s="51">
        <v>0.999</v>
      </c>
      <c r="D10584" s="51">
        <v>72.0</v>
      </c>
      <c r="E10584" s="52" t="s">
        <v>25</v>
      </c>
      <c r="F10584" s="52" t="s">
        <v>26</v>
      </c>
      <c r="G10584" s="54"/>
    </row>
    <row r="10585">
      <c r="A10585" s="49">
        <v>45132.40078925926</v>
      </c>
      <c r="B10585" s="50">
        <v>45132.5257602546</v>
      </c>
      <c r="C10585" s="51">
        <v>0.998</v>
      </c>
      <c r="D10585" s="51">
        <v>72.0</v>
      </c>
      <c r="E10585" s="52" t="s">
        <v>25</v>
      </c>
      <c r="F10585" s="52" t="s">
        <v>26</v>
      </c>
      <c r="G10585" s="54"/>
    </row>
    <row r="10586">
      <c r="A10586" s="49">
        <v>45132.411222986106</v>
      </c>
      <c r="B10586" s="50">
        <v>45132.5361927199</v>
      </c>
      <c r="C10586" s="51">
        <v>0.998</v>
      </c>
      <c r="D10586" s="51">
        <v>72.0</v>
      </c>
      <c r="E10586" s="52" t="s">
        <v>25</v>
      </c>
      <c r="F10586" s="52" t="s">
        <v>26</v>
      </c>
      <c r="G10586" s="54"/>
    </row>
    <row r="10587">
      <c r="A10587" s="49">
        <v>45132.421667766204</v>
      </c>
      <c r="B10587" s="50">
        <v>45132.546637581</v>
      </c>
      <c r="C10587" s="51">
        <v>0.998</v>
      </c>
      <c r="D10587" s="51">
        <v>71.0</v>
      </c>
      <c r="E10587" s="52" t="s">
        <v>25</v>
      </c>
      <c r="F10587" s="52" t="s">
        <v>26</v>
      </c>
      <c r="G10587" s="54"/>
    </row>
    <row r="10588">
      <c r="A10588" s="49">
        <v>45132.432087974536</v>
      </c>
      <c r="B10588" s="50">
        <v>45132.5570587847</v>
      </c>
      <c r="C10588" s="51">
        <v>0.998</v>
      </c>
      <c r="D10588" s="51">
        <v>72.0</v>
      </c>
      <c r="E10588" s="52" t="s">
        <v>25</v>
      </c>
      <c r="F10588" s="52" t="s">
        <v>26</v>
      </c>
      <c r="G10588" s="54"/>
    </row>
    <row r="10589">
      <c r="A10589" s="49">
        <v>45132.44252539352</v>
      </c>
      <c r="B10589" s="50">
        <v>45132.5674895717</v>
      </c>
      <c r="C10589" s="51">
        <v>0.998</v>
      </c>
      <c r="D10589" s="51">
        <v>72.0</v>
      </c>
      <c r="E10589" s="52" t="s">
        <v>25</v>
      </c>
      <c r="F10589" s="52" t="s">
        <v>26</v>
      </c>
      <c r="G10589" s="54"/>
    </row>
    <row r="10590">
      <c r="A10590" s="49">
        <v>45132.45293650463</v>
      </c>
      <c r="B10590" s="50">
        <v>45132.5779109953</v>
      </c>
      <c r="C10590" s="51">
        <v>0.998</v>
      </c>
      <c r="D10590" s="51">
        <v>71.0</v>
      </c>
      <c r="E10590" s="52" t="s">
        <v>25</v>
      </c>
      <c r="F10590" s="52" t="s">
        <v>26</v>
      </c>
      <c r="G10590" s="54"/>
    </row>
    <row r="10591">
      <c r="A10591" s="49">
        <v>45132.463365567135</v>
      </c>
      <c r="B10591" s="50">
        <v>45132.588331956</v>
      </c>
      <c r="C10591" s="51">
        <v>0.998</v>
      </c>
      <c r="D10591" s="51">
        <v>72.0</v>
      </c>
      <c r="E10591" s="52" t="s">
        <v>25</v>
      </c>
      <c r="F10591" s="52" t="s">
        <v>26</v>
      </c>
      <c r="G10591" s="54"/>
    </row>
    <row r="10592">
      <c r="A10592" s="49">
        <v>45132.4737840625</v>
      </c>
      <c r="B10592" s="50">
        <v>45132.5987555324</v>
      </c>
      <c r="C10592" s="51">
        <v>0.998</v>
      </c>
      <c r="D10592" s="51">
        <v>72.0</v>
      </c>
      <c r="E10592" s="52" t="s">
        <v>25</v>
      </c>
      <c r="F10592" s="52" t="s">
        <v>26</v>
      </c>
      <c r="G10592" s="54"/>
    </row>
    <row r="10593">
      <c r="A10593" s="49">
        <v>45132.484213020834</v>
      </c>
      <c r="B10593" s="50">
        <v>45132.6091771064</v>
      </c>
      <c r="C10593" s="51">
        <v>0.999</v>
      </c>
      <c r="D10593" s="51">
        <v>72.0</v>
      </c>
      <c r="E10593" s="52" t="s">
        <v>25</v>
      </c>
      <c r="F10593" s="52" t="s">
        <v>26</v>
      </c>
      <c r="G10593" s="54"/>
    </row>
    <row r="10594">
      <c r="A10594" s="49">
        <v>45132.49463494213</v>
      </c>
      <c r="B10594" s="50">
        <v>45132.619598449</v>
      </c>
      <c r="C10594" s="51">
        <v>0.998</v>
      </c>
      <c r="D10594" s="51">
        <v>72.0</v>
      </c>
      <c r="E10594" s="52" t="s">
        <v>25</v>
      </c>
      <c r="F10594" s="52" t="s">
        <v>26</v>
      </c>
      <c r="G10594" s="54"/>
    </row>
    <row r="10595">
      <c r="A10595" s="49">
        <v>45132.50505013889</v>
      </c>
      <c r="B10595" s="50">
        <v>45132.6300212615</v>
      </c>
      <c r="C10595" s="51">
        <v>0.998</v>
      </c>
      <c r="D10595" s="51">
        <v>72.0</v>
      </c>
      <c r="E10595" s="52" t="s">
        <v>25</v>
      </c>
      <c r="F10595" s="52" t="s">
        <v>26</v>
      </c>
      <c r="G10595" s="54"/>
    </row>
    <row r="10596">
      <c r="A10596" s="49">
        <v>45132.515473946754</v>
      </c>
      <c r="B10596" s="50">
        <v>45132.6404443171</v>
      </c>
      <c r="C10596" s="51">
        <v>0.998</v>
      </c>
      <c r="D10596" s="51">
        <v>72.0</v>
      </c>
      <c r="E10596" s="52" t="s">
        <v>25</v>
      </c>
      <c r="F10596" s="52" t="s">
        <v>26</v>
      </c>
      <c r="G10596" s="54"/>
    </row>
    <row r="10597">
      <c r="A10597" s="49">
        <v>45132.525897581014</v>
      </c>
      <c r="B10597" s="50">
        <v>45132.6508662037</v>
      </c>
      <c r="C10597" s="51">
        <v>0.999</v>
      </c>
      <c r="D10597" s="51">
        <v>72.0</v>
      </c>
      <c r="E10597" s="52" t="s">
        <v>25</v>
      </c>
      <c r="F10597" s="52" t="s">
        <v>26</v>
      </c>
      <c r="G10597" s="54"/>
    </row>
    <row r="10598">
      <c r="A10598" s="49">
        <v>45132.53631357639</v>
      </c>
      <c r="B10598" s="50">
        <v>45132.6612852893</v>
      </c>
      <c r="C10598" s="51">
        <v>0.998</v>
      </c>
      <c r="D10598" s="51">
        <v>72.0</v>
      </c>
      <c r="E10598" s="52" t="s">
        <v>25</v>
      </c>
      <c r="F10598" s="52" t="s">
        <v>26</v>
      </c>
      <c r="G10598" s="54"/>
    </row>
    <row r="10599">
      <c r="A10599" s="49">
        <v>45132.54673019676</v>
      </c>
      <c r="B10599" s="50">
        <v>45132.6717065162</v>
      </c>
      <c r="C10599" s="51">
        <v>0.998</v>
      </c>
      <c r="D10599" s="51">
        <v>72.0</v>
      </c>
      <c r="E10599" s="52" t="s">
        <v>25</v>
      </c>
      <c r="F10599" s="52" t="s">
        <v>26</v>
      </c>
      <c r="G10599" s="54"/>
    </row>
    <row r="10600">
      <c r="A10600" s="49">
        <v>45132.55715076389</v>
      </c>
      <c r="B10600" s="50">
        <v>45132.6821279282</v>
      </c>
      <c r="C10600" s="51">
        <v>0.998</v>
      </c>
      <c r="D10600" s="51">
        <v>72.0</v>
      </c>
      <c r="E10600" s="52" t="s">
        <v>25</v>
      </c>
      <c r="F10600" s="52" t="s">
        <v>26</v>
      </c>
      <c r="G10600" s="54"/>
    </row>
    <row r="10601">
      <c r="A10601" s="49">
        <v>45132.56758711806</v>
      </c>
      <c r="B10601" s="50">
        <v>45132.692560243</v>
      </c>
      <c r="C10601" s="51">
        <v>0.999</v>
      </c>
      <c r="D10601" s="51">
        <v>72.0</v>
      </c>
      <c r="E10601" s="52" t="s">
        <v>25</v>
      </c>
      <c r="F10601" s="52" t="s">
        <v>26</v>
      </c>
      <c r="G10601" s="54"/>
    </row>
    <row r="10602">
      <c r="A10602" s="49">
        <v>45132.578025532406</v>
      </c>
      <c r="B10602" s="50">
        <v>45132.7029923263</v>
      </c>
      <c r="C10602" s="51">
        <v>0.998</v>
      </c>
      <c r="D10602" s="51">
        <v>72.0</v>
      </c>
      <c r="E10602" s="52" t="s">
        <v>25</v>
      </c>
      <c r="F10602" s="52" t="s">
        <v>26</v>
      </c>
      <c r="G10602" s="54"/>
    </row>
    <row r="10603">
      <c r="A10603" s="49">
        <v>45132.588436481485</v>
      </c>
      <c r="B10603" s="50">
        <v>45132.7134129629</v>
      </c>
      <c r="C10603" s="51">
        <v>0.998</v>
      </c>
      <c r="D10603" s="51">
        <v>72.0</v>
      </c>
      <c r="E10603" s="52" t="s">
        <v>25</v>
      </c>
      <c r="F10603" s="52" t="s">
        <v>26</v>
      </c>
      <c r="G10603" s="54"/>
    </row>
    <row r="10604">
      <c r="A10604" s="49">
        <v>45132.598859618054</v>
      </c>
      <c r="B10604" s="50">
        <v>45132.7238353935</v>
      </c>
      <c r="C10604" s="51">
        <v>0.999</v>
      </c>
      <c r="D10604" s="51">
        <v>72.0</v>
      </c>
      <c r="E10604" s="52" t="s">
        <v>25</v>
      </c>
      <c r="F10604" s="52" t="s">
        <v>26</v>
      </c>
      <c r="G10604" s="54"/>
    </row>
    <row r="10605">
      <c r="A10605" s="49">
        <v>45132.6092765625</v>
      </c>
      <c r="B10605" s="50">
        <v>45132.7342553472</v>
      </c>
      <c r="C10605" s="51">
        <v>0.998</v>
      </c>
      <c r="D10605" s="51">
        <v>72.0</v>
      </c>
      <c r="E10605" s="52" t="s">
        <v>25</v>
      </c>
      <c r="F10605" s="52" t="s">
        <v>26</v>
      </c>
      <c r="G10605" s="54"/>
    </row>
    <row r="10606">
      <c r="A10606" s="49">
        <v>45132.61971543981</v>
      </c>
      <c r="B10606" s="50">
        <v>45132.744677199</v>
      </c>
      <c r="C10606" s="51">
        <v>0.999</v>
      </c>
      <c r="D10606" s="51">
        <v>72.0</v>
      </c>
      <c r="E10606" s="52" t="s">
        <v>25</v>
      </c>
      <c r="F10606" s="52" t="s">
        <v>26</v>
      </c>
      <c r="G10606" s="54"/>
    </row>
    <row r="10607">
      <c r="A10607" s="49">
        <v>45132.63013106481</v>
      </c>
      <c r="B10607" s="50">
        <v>45132.7550982986</v>
      </c>
      <c r="C10607" s="51">
        <v>0.998</v>
      </c>
      <c r="D10607" s="51">
        <v>71.0</v>
      </c>
      <c r="E10607" s="52" t="s">
        <v>25</v>
      </c>
      <c r="F10607" s="52" t="s">
        <v>26</v>
      </c>
      <c r="G10607" s="54"/>
    </row>
    <row r="10608">
      <c r="A10608" s="49">
        <v>45132.64055251157</v>
      </c>
      <c r="B10608" s="50">
        <v>45132.7655187152</v>
      </c>
      <c r="C10608" s="51">
        <v>0.999</v>
      </c>
      <c r="D10608" s="51">
        <v>72.0</v>
      </c>
      <c r="E10608" s="52" t="s">
        <v>25</v>
      </c>
      <c r="F10608" s="52" t="s">
        <v>26</v>
      </c>
      <c r="G10608" s="54"/>
    </row>
    <row r="10609">
      <c r="A10609" s="49">
        <v>45132.65096758102</v>
      </c>
      <c r="B10609" s="50">
        <v>45132.7759405324</v>
      </c>
      <c r="C10609" s="51">
        <v>0.999</v>
      </c>
      <c r="D10609" s="51">
        <v>72.0</v>
      </c>
      <c r="E10609" s="52" t="s">
        <v>25</v>
      </c>
      <c r="F10609" s="52" t="s">
        <v>26</v>
      </c>
      <c r="G10609" s="54"/>
    </row>
    <row r="10610">
      <c r="A10610" s="49">
        <v>45132.66140521991</v>
      </c>
      <c r="B10610" s="50">
        <v>45132.7863725231</v>
      </c>
      <c r="C10610" s="51">
        <v>0.998</v>
      </c>
      <c r="D10610" s="51">
        <v>72.0</v>
      </c>
      <c r="E10610" s="52" t="s">
        <v>25</v>
      </c>
      <c r="F10610" s="52" t="s">
        <v>26</v>
      </c>
      <c r="G10610" s="54"/>
    </row>
    <row r="10611">
      <c r="A10611" s="49">
        <v>45132.67182538194</v>
      </c>
      <c r="B10611" s="50">
        <v>45132.7967952314</v>
      </c>
      <c r="C10611" s="51">
        <v>0.999</v>
      </c>
      <c r="D10611" s="51">
        <v>72.0</v>
      </c>
      <c r="E10611" s="52" t="s">
        <v>25</v>
      </c>
      <c r="F10611" s="52" t="s">
        <v>26</v>
      </c>
      <c r="G10611" s="54"/>
    </row>
    <row r="10612">
      <c r="A10612" s="49">
        <v>45132.6822602662</v>
      </c>
      <c r="B10612" s="50">
        <v>45132.8072282175</v>
      </c>
      <c r="C10612" s="51">
        <v>0.999</v>
      </c>
      <c r="D10612" s="51">
        <v>72.0</v>
      </c>
      <c r="E10612" s="52" t="s">
        <v>25</v>
      </c>
      <c r="F10612" s="52" t="s">
        <v>26</v>
      </c>
      <c r="G10612" s="54"/>
    </row>
    <row r="10613">
      <c r="A10613" s="49">
        <v>45132.692682650464</v>
      </c>
      <c r="B10613" s="50">
        <v>45132.8176502199</v>
      </c>
      <c r="C10613" s="51">
        <v>0.999</v>
      </c>
      <c r="D10613" s="51">
        <v>72.0</v>
      </c>
      <c r="E10613" s="52" t="s">
        <v>25</v>
      </c>
      <c r="F10613" s="52" t="s">
        <v>26</v>
      </c>
      <c r="G10613" s="54"/>
    </row>
    <row r="10614">
      <c r="A10614" s="49">
        <v>45132.70311263889</v>
      </c>
      <c r="B10614" s="50">
        <v>45132.828082905</v>
      </c>
      <c r="C10614" s="51">
        <v>0.999</v>
      </c>
      <c r="D10614" s="51">
        <v>72.0</v>
      </c>
      <c r="E10614" s="52" t="s">
        <v>25</v>
      </c>
      <c r="F10614" s="52" t="s">
        <v>26</v>
      </c>
      <c r="G10614" s="54"/>
    </row>
    <row r="10615">
      <c r="A10615" s="49">
        <v>45132.71353013889</v>
      </c>
      <c r="B10615" s="50">
        <v>45132.8385048148</v>
      </c>
      <c r="C10615" s="51">
        <v>0.999</v>
      </c>
      <c r="D10615" s="51">
        <v>72.0</v>
      </c>
      <c r="E10615" s="52" t="s">
        <v>25</v>
      </c>
      <c r="F10615" s="52" t="s">
        <v>26</v>
      </c>
      <c r="G10615" s="54"/>
    </row>
    <row r="10616">
      <c r="A10616" s="49">
        <v>45132.723969363426</v>
      </c>
      <c r="B10616" s="50">
        <v>45132.8489380671</v>
      </c>
      <c r="C10616" s="51">
        <v>0.998</v>
      </c>
      <c r="D10616" s="51">
        <v>71.0</v>
      </c>
      <c r="E10616" s="52" t="s">
        <v>25</v>
      </c>
      <c r="F10616" s="52" t="s">
        <v>26</v>
      </c>
      <c r="G10616" s="54"/>
    </row>
    <row r="10617">
      <c r="A10617" s="49">
        <v>45132.73438712963</v>
      </c>
      <c r="B10617" s="50">
        <v>45132.8593595254</v>
      </c>
      <c r="C10617" s="51">
        <v>0.998</v>
      </c>
      <c r="D10617" s="51">
        <v>72.0</v>
      </c>
      <c r="E10617" s="52" t="s">
        <v>25</v>
      </c>
      <c r="F10617" s="52" t="s">
        <v>26</v>
      </c>
      <c r="G10617" s="54"/>
    </row>
    <row r="10618">
      <c r="A10618" s="49">
        <v>45132.7448145949</v>
      </c>
      <c r="B10618" s="50">
        <v>45132.8697804629</v>
      </c>
      <c r="C10618" s="51">
        <v>0.998</v>
      </c>
      <c r="D10618" s="51">
        <v>72.0</v>
      </c>
      <c r="E10618" s="52" t="s">
        <v>25</v>
      </c>
      <c r="F10618" s="52" t="s">
        <v>26</v>
      </c>
      <c r="G10618" s="54"/>
    </row>
    <row r="10619">
      <c r="A10619" s="49">
        <v>45132.75522340278</v>
      </c>
      <c r="B10619" s="50">
        <v>45132.8802027083</v>
      </c>
      <c r="C10619" s="51">
        <v>0.998</v>
      </c>
      <c r="D10619" s="51">
        <v>72.0</v>
      </c>
      <c r="E10619" s="52" t="s">
        <v>25</v>
      </c>
      <c r="F10619" s="52" t="s">
        <v>26</v>
      </c>
      <c r="G10619" s="54"/>
    </row>
    <row r="10620">
      <c r="A10620" s="49">
        <v>45132.765654965275</v>
      </c>
      <c r="B10620" s="50">
        <v>45132.8906245601</v>
      </c>
      <c r="C10620" s="51">
        <v>0.999</v>
      </c>
      <c r="D10620" s="51">
        <v>72.0</v>
      </c>
      <c r="E10620" s="52" t="s">
        <v>25</v>
      </c>
      <c r="F10620" s="52" t="s">
        <v>26</v>
      </c>
      <c r="G10620" s="54"/>
    </row>
    <row r="10621">
      <c r="A10621" s="49">
        <v>45132.77608472222</v>
      </c>
      <c r="B10621" s="50">
        <v>45132.9010554745</v>
      </c>
      <c r="C10621" s="51">
        <v>0.998</v>
      </c>
      <c r="D10621" s="51">
        <v>72.0</v>
      </c>
      <c r="E10621" s="52" t="s">
        <v>25</v>
      </c>
      <c r="F10621" s="52" t="s">
        <v>26</v>
      </c>
      <c r="G10621" s="54"/>
    </row>
    <row r="10622">
      <c r="A10622" s="49">
        <v>45132.78651341435</v>
      </c>
      <c r="B10622" s="50">
        <v>45132.9114880671</v>
      </c>
      <c r="C10622" s="51">
        <v>0.999</v>
      </c>
      <c r="D10622" s="51">
        <v>72.0</v>
      </c>
      <c r="E10622" s="52" t="s">
        <v>25</v>
      </c>
      <c r="F10622" s="52" t="s">
        <v>26</v>
      </c>
      <c r="G10622" s="54"/>
    </row>
    <row r="10623">
      <c r="A10623" s="49">
        <v>45132.79694002315</v>
      </c>
      <c r="B10623" s="50">
        <v>45132.9219076504</v>
      </c>
      <c r="C10623" s="51">
        <v>0.998</v>
      </c>
      <c r="D10623" s="51">
        <v>72.0</v>
      </c>
      <c r="E10623" s="52" t="s">
        <v>25</v>
      </c>
      <c r="F10623" s="52" t="s">
        <v>26</v>
      </c>
      <c r="G10623" s="54"/>
    </row>
    <row r="10624">
      <c r="A10624" s="49">
        <v>45132.80736239583</v>
      </c>
      <c r="B10624" s="50">
        <v>45132.9323281712</v>
      </c>
      <c r="C10624" s="51">
        <v>0.999</v>
      </c>
      <c r="D10624" s="51">
        <v>72.0</v>
      </c>
      <c r="E10624" s="52" t="s">
        <v>25</v>
      </c>
      <c r="F10624" s="52" t="s">
        <v>26</v>
      </c>
      <c r="G10624" s="54"/>
    </row>
    <row r="10625">
      <c r="A10625" s="49">
        <v>45132.81778347222</v>
      </c>
      <c r="B10625" s="50">
        <v>45132.9427505208</v>
      </c>
      <c r="C10625" s="51">
        <v>0.998</v>
      </c>
      <c r="D10625" s="51">
        <v>72.0</v>
      </c>
      <c r="E10625" s="52" t="s">
        <v>25</v>
      </c>
      <c r="F10625" s="52" t="s">
        <v>26</v>
      </c>
      <c r="G10625" s="54"/>
    </row>
    <row r="10626">
      <c r="A10626" s="49">
        <v>45132.82819893518</v>
      </c>
      <c r="B10626" s="50">
        <v>45132.9531712152</v>
      </c>
      <c r="C10626" s="51">
        <v>0.999</v>
      </c>
      <c r="D10626" s="51">
        <v>72.0</v>
      </c>
      <c r="E10626" s="52" t="s">
        <v>25</v>
      </c>
      <c r="F10626" s="52" t="s">
        <v>26</v>
      </c>
      <c r="G10626" s="54"/>
    </row>
    <row r="10627">
      <c r="A10627" s="49">
        <v>45132.838618368056</v>
      </c>
      <c r="B10627" s="50">
        <v>45132.9635912731</v>
      </c>
      <c r="C10627" s="51">
        <v>0.998</v>
      </c>
      <c r="D10627" s="51">
        <v>72.0</v>
      </c>
      <c r="E10627" s="52" t="s">
        <v>25</v>
      </c>
      <c r="F10627" s="52" t="s">
        <v>26</v>
      </c>
      <c r="G10627" s="54"/>
    </row>
    <row r="10628">
      <c r="A10628" s="49">
        <v>45132.8490412963</v>
      </c>
      <c r="B10628" s="50">
        <v>45132.9740126273</v>
      </c>
      <c r="C10628" s="51">
        <v>0.998</v>
      </c>
      <c r="D10628" s="51">
        <v>72.0</v>
      </c>
      <c r="E10628" s="52" t="s">
        <v>25</v>
      </c>
      <c r="F10628" s="52" t="s">
        <v>26</v>
      </c>
      <c r="G10628" s="54"/>
    </row>
    <row r="10629">
      <c r="A10629" s="49">
        <v>45132.85945859954</v>
      </c>
      <c r="B10629" s="50">
        <v>45132.9844335532</v>
      </c>
      <c r="C10629" s="51">
        <v>0.998</v>
      </c>
      <c r="D10629" s="51">
        <v>72.0</v>
      </c>
      <c r="E10629" s="52" t="s">
        <v>25</v>
      </c>
      <c r="F10629" s="52" t="s">
        <v>26</v>
      </c>
      <c r="G10629" s="54"/>
    </row>
    <row r="10630">
      <c r="A10630" s="49">
        <v>45132.869889016205</v>
      </c>
      <c r="B10630" s="50">
        <v>45132.9948545949</v>
      </c>
      <c r="C10630" s="51">
        <v>0.998</v>
      </c>
      <c r="D10630" s="51">
        <v>72.0</v>
      </c>
      <c r="E10630" s="52" t="s">
        <v>25</v>
      </c>
      <c r="F10630" s="52" t="s">
        <v>26</v>
      </c>
      <c r="G10630" s="54"/>
    </row>
    <row r="10631">
      <c r="A10631" s="49">
        <v>45132.880328645835</v>
      </c>
      <c r="B10631" s="50">
        <v>45133.0052989467</v>
      </c>
      <c r="C10631" s="51">
        <v>0.998</v>
      </c>
      <c r="D10631" s="51">
        <v>72.0</v>
      </c>
      <c r="E10631" s="52" t="s">
        <v>25</v>
      </c>
      <c r="F10631" s="52" t="s">
        <v>26</v>
      </c>
      <c r="G10631" s="54"/>
    </row>
    <row r="10632">
      <c r="A10632" s="49">
        <v>45132.89074690972</v>
      </c>
      <c r="B10632" s="50">
        <v>45133.0157201851</v>
      </c>
      <c r="C10632" s="51">
        <v>0.999</v>
      </c>
      <c r="D10632" s="51">
        <v>72.0</v>
      </c>
      <c r="E10632" s="52" t="s">
        <v>25</v>
      </c>
      <c r="F10632" s="52" t="s">
        <v>26</v>
      </c>
      <c r="G10632" s="54"/>
    </row>
    <row r="10633">
      <c r="A10633" s="49">
        <v>45132.901179733795</v>
      </c>
      <c r="B10633" s="50">
        <v>45133.0261530671</v>
      </c>
      <c r="C10633" s="51">
        <v>0.999</v>
      </c>
      <c r="D10633" s="51">
        <v>72.0</v>
      </c>
      <c r="E10633" s="52" t="s">
        <v>25</v>
      </c>
      <c r="F10633" s="52" t="s">
        <v>26</v>
      </c>
      <c r="G10633" s="54"/>
    </row>
    <row r="10634">
      <c r="A10634" s="49">
        <v>45132.9115953125</v>
      </c>
      <c r="B10634" s="50">
        <v>45133.0365737615</v>
      </c>
      <c r="C10634" s="51">
        <v>0.998</v>
      </c>
      <c r="D10634" s="51">
        <v>72.0</v>
      </c>
      <c r="E10634" s="52" t="s">
        <v>25</v>
      </c>
      <c r="F10634" s="52" t="s">
        <v>26</v>
      </c>
      <c r="G10634" s="54"/>
    </row>
    <row r="10635">
      <c r="A10635" s="49">
        <v>45132.922025567124</v>
      </c>
      <c r="B10635" s="50">
        <v>45133.046994456</v>
      </c>
      <c r="C10635" s="51">
        <v>0.998</v>
      </c>
      <c r="D10635" s="51">
        <v>72.0</v>
      </c>
      <c r="E10635" s="52" t="s">
        <v>25</v>
      </c>
      <c r="F10635" s="52" t="s">
        <v>26</v>
      </c>
      <c r="G10635" s="54"/>
    </row>
    <row r="10636">
      <c r="A10636" s="49">
        <v>45132.9324509838</v>
      </c>
      <c r="B10636" s="50">
        <v>45133.0574269213</v>
      </c>
      <c r="C10636" s="51">
        <v>0.999</v>
      </c>
      <c r="D10636" s="51">
        <v>72.0</v>
      </c>
      <c r="E10636" s="52" t="s">
        <v>25</v>
      </c>
      <c r="F10636" s="52" t="s">
        <v>26</v>
      </c>
      <c r="G10636" s="54"/>
    </row>
    <row r="10637">
      <c r="A10637" s="49">
        <v>45132.942879270835</v>
      </c>
      <c r="B10637" s="50">
        <v>45133.0678481597</v>
      </c>
      <c r="C10637" s="51">
        <v>0.998</v>
      </c>
      <c r="D10637" s="51">
        <v>72.0</v>
      </c>
      <c r="E10637" s="52" t="s">
        <v>25</v>
      </c>
      <c r="F10637" s="52" t="s">
        <v>26</v>
      </c>
      <c r="G10637" s="54"/>
    </row>
    <row r="10638">
      <c r="A10638" s="49">
        <v>45132.95329167824</v>
      </c>
      <c r="B10638" s="50">
        <v>45133.0782692708</v>
      </c>
      <c r="C10638" s="51">
        <v>0.998</v>
      </c>
      <c r="D10638" s="51">
        <v>72.0</v>
      </c>
      <c r="E10638" s="52" t="s">
        <v>25</v>
      </c>
      <c r="F10638" s="52" t="s">
        <v>26</v>
      </c>
      <c r="G10638" s="54"/>
    </row>
    <row r="10639">
      <c r="A10639" s="49">
        <v>45132.96372828704</v>
      </c>
      <c r="B10639" s="50">
        <v>45133.0887014583</v>
      </c>
      <c r="C10639" s="51">
        <v>0.999</v>
      </c>
      <c r="D10639" s="51">
        <v>72.0</v>
      </c>
      <c r="E10639" s="52" t="s">
        <v>25</v>
      </c>
      <c r="F10639" s="52" t="s">
        <v>26</v>
      </c>
      <c r="G10639" s="54"/>
    </row>
    <row r="10640">
      <c r="A10640" s="49">
        <v>45132.974180578705</v>
      </c>
      <c r="B10640" s="50">
        <v>45133.0991470138</v>
      </c>
      <c r="C10640" s="51">
        <v>0.999</v>
      </c>
      <c r="D10640" s="51">
        <v>72.0</v>
      </c>
      <c r="E10640" s="52" t="s">
        <v>25</v>
      </c>
      <c r="F10640" s="52" t="s">
        <v>26</v>
      </c>
      <c r="G10640" s="54"/>
    </row>
    <row r="10641">
      <c r="A10641" s="49">
        <v>45132.984598958334</v>
      </c>
      <c r="B10641" s="50">
        <v>45133.1095703125</v>
      </c>
      <c r="C10641" s="51">
        <v>0.999</v>
      </c>
      <c r="D10641" s="51">
        <v>72.0</v>
      </c>
      <c r="E10641" s="52" t="s">
        <v>25</v>
      </c>
      <c r="F10641" s="52" t="s">
        <v>26</v>
      </c>
      <c r="G10641" s="54"/>
    </row>
    <row r="10642">
      <c r="A10642" s="49">
        <v>45132.99501462963</v>
      </c>
      <c r="B10642" s="50">
        <v>45133.119991412</v>
      </c>
      <c r="C10642" s="51">
        <v>0.998</v>
      </c>
      <c r="D10642" s="51">
        <v>72.0</v>
      </c>
      <c r="E10642" s="52" t="s">
        <v>25</v>
      </c>
      <c r="F10642" s="52" t="s">
        <v>26</v>
      </c>
      <c r="G10642" s="54"/>
    </row>
    <row r="10643">
      <c r="A10643" s="49">
        <v>45133.00544645834</v>
      </c>
      <c r="B10643" s="50">
        <v>45133.1304127777</v>
      </c>
      <c r="C10643" s="51">
        <v>0.999</v>
      </c>
      <c r="D10643" s="51">
        <v>72.0</v>
      </c>
      <c r="E10643" s="52" t="s">
        <v>25</v>
      </c>
      <c r="F10643" s="52" t="s">
        <v>26</v>
      </c>
      <c r="G10643" s="54"/>
    </row>
    <row r="10644">
      <c r="A10644" s="49">
        <v>45133.0158637037</v>
      </c>
      <c r="B10644" s="50">
        <v>45133.1408333333</v>
      </c>
      <c r="C10644" s="51">
        <v>0.998</v>
      </c>
      <c r="D10644" s="51">
        <v>72.0</v>
      </c>
      <c r="E10644" s="52" t="s">
        <v>25</v>
      </c>
      <c r="F10644" s="52" t="s">
        <v>26</v>
      </c>
      <c r="G10644" s="54"/>
    </row>
    <row r="10645">
      <c r="A10645" s="49">
        <v>45133.02628377315</v>
      </c>
      <c r="B10645" s="50">
        <v>45133.1512551157</v>
      </c>
      <c r="C10645" s="51">
        <v>0.999</v>
      </c>
      <c r="D10645" s="51">
        <v>72.0</v>
      </c>
      <c r="E10645" s="52" t="s">
        <v>25</v>
      </c>
      <c r="F10645" s="52" t="s">
        <v>26</v>
      </c>
      <c r="G10645" s="54"/>
    </row>
    <row r="10646">
      <c r="A10646" s="49">
        <v>45133.03672121528</v>
      </c>
      <c r="B10646" s="50">
        <v>45133.1616881018</v>
      </c>
      <c r="C10646" s="51">
        <v>0.998</v>
      </c>
      <c r="D10646" s="51">
        <v>72.0</v>
      </c>
      <c r="E10646" s="52" t="s">
        <v>25</v>
      </c>
      <c r="F10646" s="52" t="s">
        <v>26</v>
      </c>
      <c r="G10646" s="54"/>
    </row>
    <row r="10647">
      <c r="A10647" s="49">
        <v>45133.047139664355</v>
      </c>
      <c r="B10647" s="50">
        <v>45133.172109699</v>
      </c>
      <c r="C10647" s="51">
        <v>0.998</v>
      </c>
      <c r="D10647" s="51">
        <v>72.0</v>
      </c>
      <c r="E10647" s="52" t="s">
        <v>25</v>
      </c>
      <c r="F10647" s="52" t="s">
        <v>26</v>
      </c>
      <c r="G10647" s="54"/>
    </row>
    <row r="10648">
      <c r="A10648" s="49">
        <v>45133.057566041665</v>
      </c>
      <c r="B10648" s="50">
        <v>45133.18253125</v>
      </c>
      <c r="C10648" s="51">
        <v>0.999</v>
      </c>
      <c r="D10648" s="51">
        <v>72.0</v>
      </c>
      <c r="E10648" s="52" t="s">
        <v>25</v>
      </c>
      <c r="F10648" s="52" t="s">
        <v>26</v>
      </c>
      <c r="G10648" s="54"/>
    </row>
    <row r="10649">
      <c r="A10649" s="49">
        <v>45133.06797664352</v>
      </c>
      <c r="B10649" s="50">
        <v>45133.1929534027</v>
      </c>
      <c r="C10649" s="51">
        <v>0.998</v>
      </c>
      <c r="D10649" s="51">
        <v>72.0</v>
      </c>
      <c r="E10649" s="52" t="s">
        <v>25</v>
      </c>
      <c r="F10649" s="52" t="s">
        <v>26</v>
      </c>
      <c r="G10649" s="54"/>
    </row>
    <row r="10650">
      <c r="A10650" s="49">
        <v>45133.0784021875</v>
      </c>
      <c r="B10650" s="50">
        <v>45133.2033730439</v>
      </c>
      <c r="C10650" s="51">
        <v>0.998</v>
      </c>
      <c r="D10650" s="51">
        <v>72.0</v>
      </c>
      <c r="E10650" s="52" t="s">
        <v>25</v>
      </c>
      <c r="F10650" s="52" t="s">
        <v>26</v>
      </c>
      <c r="G10650" s="54"/>
    </row>
    <row r="10651">
      <c r="A10651" s="49">
        <v>45133.088824583334</v>
      </c>
      <c r="B10651" s="50">
        <v>45133.2137954629</v>
      </c>
      <c r="C10651" s="51">
        <v>0.998</v>
      </c>
      <c r="D10651" s="51">
        <v>72.0</v>
      </c>
      <c r="E10651" s="52" t="s">
        <v>25</v>
      </c>
      <c r="F10651" s="52" t="s">
        <v>26</v>
      </c>
      <c r="G10651" s="54"/>
    </row>
    <row r="10652">
      <c r="A10652" s="49">
        <v>45133.099265578705</v>
      </c>
      <c r="B10652" s="50">
        <v>45133.2242292939</v>
      </c>
      <c r="C10652" s="51">
        <v>0.998</v>
      </c>
      <c r="D10652" s="51">
        <v>72.0</v>
      </c>
      <c r="E10652" s="52" t="s">
        <v>25</v>
      </c>
      <c r="F10652" s="52" t="s">
        <v>26</v>
      </c>
      <c r="G10652" s="54"/>
    </row>
    <row r="10653">
      <c r="A10653" s="49">
        <v>45133.109693252314</v>
      </c>
      <c r="B10653" s="50">
        <v>45133.2346617824</v>
      </c>
      <c r="C10653" s="51">
        <v>0.999</v>
      </c>
      <c r="D10653" s="51">
        <v>72.0</v>
      </c>
      <c r="E10653" s="52" t="s">
        <v>25</v>
      </c>
      <c r="F10653" s="52" t="s">
        <v>26</v>
      </c>
      <c r="G10653" s="54"/>
    </row>
    <row r="10654">
      <c r="A10654" s="49">
        <v>45133.12011849537</v>
      </c>
      <c r="B10654" s="50">
        <v>45133.2450827777</v>
      </c>
      <c r="C10654" s="51">
        <v>0.998</v>
      </c>
      <c r="D10654" s="51">
        <v>72.0</v>
      </c>
      <c r="E10654" s="52" t="s">
        <v>25</v>
      </c>
      <c r="F10654" s="52" t="s">
        <v>26</v>
      </c>
      <c r="G10654" s="54"/>
    </row>
    <row r="10655">
      <c r="A10655" s="49">
        <v>45133.130541307866</v>
      </c>
      <c r="B10655" s="50">
        <v>45133.2555151388</v>
      </c>
      <c r="C10655" s="51">
        <v>0.999</v>
      </c>
      <c r="D10655" s="51">
        <v>72.0</v>
      </c>
      <c r="E10655" s="52" t="s">
        <v>25</v>
      </c>
      <c r="F10655" s="52" t="s">
        <v>26</v>
      </c>
      <c r="G10655" s="54"/>
    </row>
    <row r="10656">
      <c r="A10656" s="49">
        <v>45133.14096280093</v>
      </c>
      <c r="B10656" s="50">
        <v>45133.2659374768</v>
      </c>
      <c r="C10656" s="51">
        <v>0.998</v>
      </c>
      <c r="D10656" s="51">
        <v>72.0</v>
      </c>
      <c r="E10656" s="52" t="s">
        <v>25</v>
      </c>
      <c r="F10656" s="52" t="s">
        <v>26</v>
      </c>
      <c r="G10656" s="54"/>
    </row>
    <row r="10657">
      <c r="A10657" s="49">
        <v>45133.15139226852</v>
      </c>
      <c r="B10657" s="50">
        <v>45133.2763572106</v>
      </c>
      <c r="C10657" s="51">
        <v>0.999</v>
      </c>
      <c r="D10657" s="51">
        <v>72.0</v>
      </c>
      <c r="E10657" s="52" t="s">
        <v>25</v>
      </c>
      <c r="F10657" s="52" t="s">
        <v>26</v>
      </c>
      <c r="G10657" s="54"/>
    </row>
    <row r="10658">
      <c r="A10658" s="49">
        <v>45133.16181203704</v>
      </c>
      <c r="B10658" s="50">
        <v>45133.2867777893</v>
      </c>
      <c r="C10658" s="51">
        <v>0.999</v>
      </c>
      <c r="D10658" s="51">
        <v>72.0</v>
      </c>
      <c r="E10658" s="52" t="s">
        <v>25</v>
      </c>
      <c r="F10658" s="52" t="s">
        <v>26</v>
      </c>
      <c r="G10658" s="54"/>
    </row>
    <row r="10659">
      <c r="A10659" s="49">
        <v>45133.17223423611</v>
      </c>
      <c r="B10659" s="50">
        <v>45133.2972005208</v>
      </c>
      <c r="C10659" s="51">
        <v>0.999</v>
      </c>
      <c r="D10659" s="51">
        <v>72.0</v>
      </c>
      <c r="E10659" s="52" t="s">
        <v>25</v>
      </c>
      <c r="F10659" s="52" t="s">
        <v>26</v>
      </c>
      <c r="G10659" s="54"/>
    </row>
    <row r="10660">
      <c r="A10660" s="49">
        <v>45133.18265509259</v>
      </c>
      <c r="B10660" s="50">
        <v>45133.3076211111</v>
      </c>
      <c r="C10660" s="51">
        <v>0.998</v>
      </c>
      <c r="D10660" s="51">
        <v>72.0</v>
      </c>
      <c r="E10660" s="52" t="s">
        <v>25</v>
      </c>
      <c r="F10660" s="52" t="s">
        <v>26</v>
      </c>
      <c r="G10660" s="54"/>
    </row>
    <row r="10661">
      <c r="A10661" s="49">
        <v>45133.19308449074</v>
      </c>
      <c r="B10661" s="50">
        <v>45133.3180532986</v>
      </c>
      <c r="C10661" s="51">
        <v>0.998</v>
      </c>
      <c r="D10661" s="51">
        <v>72.0</v>
      </c>
      <c r="E10661" s="52" t="s">
        <v>25</v>
      </c>
      <c r="F10661" s="52" t="s">
        <v>26</v>
      </c>
      <c r="G10661" s="54"/>
    </row>
    <row r="10662">
      <c r="A10662" s="49">
        <v>45133.20349428241</v>
      </c>
      <c r="B10662" s="50">
        <v>45133.3284718402</v>
      </c>
      <c r="C10662" s="51">
        <v>0.999</v>
      </c>
      <c r="D10662" s="51">
        <v>72.0</v>
      </c>
      <c r="E10662" s="52" t="s">
        <v>25</v>
      </c>
      <c r="F10662" s="52" t="s">
        <v>26</v>
      </c>
      <c r="G10662" s="54"/>
    </row>
    <row r="10663">
      <c r="A10663" s="49">
        <v>45133.21394584491</v>
      </c>
      <c r="B10663" s="50">
        <v>45133.3389150463</v>
      </c>
      <c r="C10663" s="51">
        <v>0.998</v>
      </c>
      <c r="D10663" s="51">
        <v>72.0</v>
      </c>
      <c r="E10663" s="52" t="s">
        <v>25</v>
      </c>
      <c r="F10663" s="52" t="s">
        <v>26</v>
      </c>
      <c r="G10663" s="54"/>
    </row>
    <row r="10664">
      <c r="A10664" s="49">
        <v>45133.22436342592</v>
      </c>
      <c r="B10664" s="50">
        <v>45133.3493348263</v>
      </c>
      <c r="C10664" s="51">
        <v>0.998</v>
      </c>
      <c r="D10664" s="51">
        <v>72.0</v>
      </c>
      <c r="E10664" s="52" t="s">
        <v>25</v>
      </c>
      <c r="F10664" s="52" t="s">
        <v>26</v>
      </c>
      <c r="G10664" s="54"/>
    </row>
    <row r="10665">
      <c r="A10665" s="49">
        <v>45133.234789305556</v>
      </c>
      <c r="B10665" s="50">
        <v>45133.3597556365</v>
      </c>
      <c r="C10665" s="51">
        <v>0.998</v>
      </c>
      <c r="D10665" s="51">
        <v>72.0</v>
      </c>
      <c r="E10665" s="52" t="s">
        <v>25</v>
      </c>
      <c r="F10665" s="52" t="s">
        <v>26</v>
      </c>
      <c r="G10665" s="54"/>
    </row>
    <row r="10666">
      <c r="A10666" s="49">
        <v>45133.24521275463</v>
      </c>
      <c r="B10666" s="50">
        <v>45133.3701783101</v>
      </c>
      <c r="C10666" s="51">
        <v>0.998</v>
      </c>
      <c r="D10666" s="51">
        <v>72.0</v>
      </c>
      <c r="E10666" s="52" t="s">
        <v>25</v>
      </c>
      <c r="F10666" s="52" t="s">
        <v>26</v>
      </c>
      <c r="G10666" s="54"/>
    </row>
    <row r="10667">
      <c r="A10667" s="49">
        <v>45133.2556508912</v>
      </c>
      <c r="B10667" s="50">
        <v>45133.3806104513</v>
      </c>
      <c r="C10667" s="51">
        <v>0.999</v>
      </c>
      <c r="D10667" s="51">
        <v>72.0</v>
      </c>
      <c r="E10667" s="52" t="s">
        <v>25</v>
      </c>
      <c r="F10667" s="52" t="s">
        <v>26</v>
      </c>
      <c r="G10667" s="54"/>
    </row>
    <row r="10668">
      <c r="A10668" s="49">
        <v>45133.26606327546</v>
      </c>
      <c r="B10668" s="50">
        <v>45133.3910326157</v>
      </c>
      <c r="C10668" s="51">
        <v>0.998</v>
      </c>
      <c r="D10668" s="51">
        <v>72.0</v>
      </c>
      <c r="E10668" s="52" t="s">
        <v>25</v>
      </c>
      <c r="F10668" s="52" t="s">
        <v>26</v>
      </c>
      <c r="G10668" s="54"/>
    </row>
    <row r="10669">
      <c r="A10669" s="49">
        <v>45133.27648079861</v>
      </c>
      <c r="B10669" s="50">
        <v>45133.4014519097</v>
      </c>
      <c r="C10669" s="51">
        <v>0.998</v>
      </c>
      <c r="D10669" s="51">
        <v>72.0</v>
      </c>
      <c r="E10669" s="52" t="s">
        <v>25</v>
      </c>
      <c r="F10669" s="52" t="s">
        <v>26</v>
      </c>
      <c r="G10669" s="54"/>
    </row>
    <row r="10670">
      <c r="A10670" s="49">
        <v>45133.28691056713</v>
      </c>
      <c r="B10670" s="50">
        <v>45133.4118742939</v>
      </c>
      <c r="C10670" s="51">
        <v>0.998</v>
      </c>
      <c r="D10670" s="51">
        <v>72.0</v>
      </c>
      <c r="E10670" s="52" t="s">
        <v>25</v>
      </c>
      <c r="F10670" s="52" t="s">
        <v>26</v>
      </c>
      <c r="G10670" s="54"/>
    </row>
    <row r="10671">
      <c r="A10671" s="49">
        <v>45133.297322962964</v>
      </c>
      <c r="B10671" s="50">
        <v>45133.4222956597</v>
      </c>
      <c r="C10671" s="51">
        <v>0.998</v>
      </c>
      <c r="D10671" s="51">
        <v>72.0</v>
      </c>
      <c r="E10671" s="52" t="s">
        <v>25</v>
      </c>
      <c r="F10671" s="52" t="s">
        <v>26</v>
      </c>
      <c r="G10671" s="54"/>
    </row>
    <row r="10672">
      <c r="A10672" s="49">
        <v>45133.30775939814</v>
      </c>
      <c r="B10672" s="50">
        <v>45133.4327182407</v>
      </c>
      <c r="C10672" s="51">
        <v>0.998</v>
      </c>
      <c r="D10672" s="51">
        <v>72.0</v>
      </c>
      <c r="E10672" s="52" t="s">
        <v>25</v>
      </c>
      <c r="F10672" s="52" t="s">
        <v>26</v>
      </c>
      <c r="G10672" s="54"/>
    </row>
    <row r="10673">
      <c r="A10673" s="49">
        <v>45133.318163993055</v>
      </c>
      <c r="B10673" s="50">
        <v>45133.4431384606</v>
      </c>
      <c r="C10673" s="51">
        <v>0.998</v>
      </c>
      <c r="D10673" s="51">
        <v>72.0</v>
      </c>
      <c r="E10673" s="52" t="s">
        <v>25</v>
      </c>
      <c r="F10673" s="52" t="s">
        <v>26</v>
      </c>
      <c r="G10673" s="54"/>
    </row>
    <row r="10674">
      <c r="A10674" s="49">
        <v>45133.32858402778</v>
      </c>
      <c r="B10674" s="50">
        <v>45133.4535597338</v>
      </c>
      <c r="C10674" s="51">
        <v>0.998</v>
      </c>
      <c r="D10674" s="51">
        <v>72.0</v>
      </c>
      <c r="E10674" s="52" t="s">
        <v>25</v>
      </c>
      <c r="F10674" s="52" t="s">
        <v>26</v>
      </c>
      <c r="G10674" s="54"/>
    </row>
    <row r="10675">
      <c r="A10675" s="49">
        <v>45133.33901236111</v>
      </c>
      <c r="B10675" s="50">
        <v>45133.463980081</v>
      </c>
      <c r="C10675" s="51">
        <v>0.998</v>
      </c>
      <c r="D10675" s="51">
        <v>72.0</v>
      </c>
      <c r="E10675" s="52" t="s">
        <v>25</v>
      </c>
      <c r="F10675" s="52" t="s">
        <v>26</v>
      </c>
      <c r="G10675" s="54"/>
    </row>
    <row r="10676">
      <c r="A10676" s="49">
        <v>45133.34944046296</v>
      </c>
      <c r="B10676" s="50">
        <v>45133.4744009606</v>
      </c>
      <c r="C10676" s="51">
        <v>0.999</v>
      </c>
      <c r="D10676" s="51">
        <v>72.0</v>
      </c>
      <c r="E10676" s="52" t="s">
        <v>25</v>
      </c>
      <c r="F10676" s="52" t="s">
        <v>26</v>
      </c>
      <c r="G10676" s="54"/>
    </row>
    <row r="10677">
      <c r="A10677" s="49">
        <v>45133.359857268515</v>
      </c>
      <c r="B10677" s="50">
        <v>45133.4848219444</v>
      </c>
      <c r="C10677" s="51">
        <v>0.998</v>
      </c>
      <c r="D10677" s="51">
        <v>72.0</v>
      </c>
      <c r="E10677" s="52" t="s">
        <v>25</v>
      </c>
      <c r="F10677" s="52" t="s">
        <v>26</v>
      </c>
      <c r="G10677" s="54"/>
    </row>
    <row r="10678">
      <c r="A10678" s="49">
        <v>45133.37027734954</v>
      </c>
      <c r="B10678" s="50">
        <v>45133.4952436111</v>
      </c>
      <c r="C10678" s="51">
        <v>0.998</v>
      </c>
      <c r="D10678" s="51">
        <v>72.0</v>
      </c>
      <c r="E10678" s="52" t="s">
        <v>25</v>
      </c>
      <c r="F10678" s="52" t="s">
        <v>26</v>
      </c>
      <c r="G10678" s="54"/>
    </row>
    <row r="10679">
      <c r="A10679" s="49">
        <v>45133.38070015046</v>
      </c>
      <c r="B10679" s="50">
        <v>45133.5056643402</v>
      </c>
      <c r="C10679" s="51">
        <v>0.998</v>
      </c>
      <c r="D10679" s="51">
        <v>72.0</v>
      </c>
      <c r="E10679" s="52" t="s">
        <v>25</v>
      </c>
      <c r="F10679" s="52" t="s">
        <v>26</v>
      </c>
      <c r="G10679" s="54"/>
    </row>
    <row r="10680">
      <c r="A10680" s="49">
        <v>45133.39111832176</v>
      </c>
      <c r="B10680" s="50">
        <v>45133.5160854745</v>
      </c>
      <c r="C10680" s="51">
        <v>0.998</v>
      </c>
      <c r="D10680" s="51">
        <v>72.0</v>
      </c>
      <c r="E10680" s="52" t="s">
        <v>25</v>
      </c>
      <c r="F10680" s="52" t="s">
        <v>26</v>
      </c>
      <c r="G10680" s="54"/>
    </row>
    <row r="10681">
      <c r="A10681" s="49">
        <v>45133.401536307865</v>
      </c>
      <c r="B10681" s="50">
        <v>45133.5265067708</v>
      </c>
      <c r="C10681" s="51">
        <v>0.999</v>
      </c>
      <c r="D10681" s="51">
        <v>72.0</v>
      </c>
      <c r="E10681" s="52" t="s">
        <v>25</v>
      </c>
      <c r="F10681" s="52" t="s">
        <v>26</v>
      </c>
      <c r="G10681" s="54"/>
    </row>
    <row r="10682">
      <c r="A10682" s="49">
        <v>45133.41196003472</v>
      </c>
      <c r="B10682" s="50">
        <v>45133.5369263426</v>
      </c>
      <c r="C10682" s="51">
        <v>0.999</v>
      </c>
      <c r="D10682" s="51">
        <v>72.0</v>
      </c>
      <c r="E10682" s="52" t="s">
        <v>25</v>
      </c>
      <c r="F10682" s="52" t="s">
        <v>26</v>
      </c>
      <c r="G10682" s="54"/>
    </row>
    <row r="10683">
      <c r="A10683" s="49">
        <v>45133.42238386574</v>
      </c>
      <c r="B10683" s="50">
        <v>45133.5473488078</v>
      </c>
      <c r="C10683" s="51">
        <v>0.998</v>
      </c>
      <c r="D10683" s="51">
        <v>72.0</v>
      </c>
      <c r="E10683" s="52" t="s">
        <v>25</v>
      </c>
      <c r="F10683" s="52" t="s">
        <v>26</v>
      </c>
      <c r="G10683" s="54"/>
    </row>
    <row r="10684">
      <c r="A10684" s="49">
        <v>45133.432806377314</v>
      </c>
      <c r="B10684" s="50">
        <v>45133.5577712037</v>
      </c>
      <c r="C10684" s="51">
        <v>0.998</v>
      </c>
      <c r="D10684" s="51">
        <v>72.0</v>
      </c>
      <c r="E10684" s="52" t="s">
        <v>25</v>
      </c>
      <c r="F10684" s="52" t="s">
        <v>26</v>
      </c>
      <c r="G10684" s="54"/>
    </row>
    <row r="10685">
      <c r="A10685" s="49">
        <v>45133.4432149537</v>
      </c>
      <c r="B10685" s="50">
        <v>45133.5681935879</v>
      </c>
      <c r="C10685" s="51">
        <v>0.999</v>
      </c>
      <c r="D10685" s="51">
        <v>72.0</v>
      </c>
      <c r="E10685" s="52" t="s">
        <v>25</v>
      </c>
      <c r="F10685" s="52" t="s">
        <v>26</v>
      </c>
      <c r="G10685" s="54"/>
    </row>
    <row r="10686">
      <c r="A10686" s="49">
        <v>45133.453634432866</v>
      </c>
      <c r="B10686" s="50">
        <v>45133.5786139583</v>
      </c>
      <c r="C10686" s="51">
        <v>0.998</v>
      </c>
      <c r="D10686" s="51">
        <v>72.0</v>
      </c>
      <c r="E10686" s="52" t="s">
        <v>25</v>
      </c>
      <c r="F10686" s="52" t="s">
        <v>26</v>
      </c>
      <c r="G10686" s="54"/>
    </row>
    <row r="10687">
      <c r="A10687" s="49">
        <v>45133.46407290509</v>
      </c>
      <c r="B10687" s="50">
        <v>45133.5890352546</v>
      </c>
      <c r="C10687" s="51">
        <v>0.999</v>
      </c>
      <c r="D10687" s="51">
        <v>72.0</v>
      </c>
      <c r="E10687" s="52" t="s">
        <v>25</v>
      </c>
      <c r="F10687" s="52" t="s">
        <v>26</v>
      </c>
      <c r="G10687" s="54"/>
    </row>
    <row r="10688">
      <c r="A10688" s="49">
        <v>45133.47448561343</v>
      </c>
      <c r="B10688" s="50">
        <v>45133.5994570138</v>
      </c>
      <c r="C10688" s="51">
        <v>0.999</v>
      </c>
      <c r="D10688" s="51">
        <v>72.0</v>
      </c>
      <c r="E10688" s="52" t="s">
        <v>25</v>
      </c>
      <c r="F10688" s="52" t="s">
        <v>26</v>
      </c>
      <c r="G10688" s="54"/>
    </row>
    <row r="10689">
      <c r="A10689" s="49">
        <v>45133.48491168981</v>
      </c>
      <c r="B10689" s="50">
        <v>45133.6098780439</v>
      </c>
      <c r="C10689" s="51">
        <v>0.998</v>
      </c>
      <c r="D10689" s="51">
        <v>72.0</v>
      </c>
      <c r="E10689" s="52" t="s">
        <v>25</v>
      </c>
      <c r="F10689" s="52" t="s">
        <v>26</v>
      </c>
      <c r="G10689" s="54"/>
    </row>
    <row r="10690">
      <c r="A10690" s="49">
        <v>45133.495325324075</v>
      </c>
      <c r="B10690" s="50">
        <v>45133.6202997453</v>
      </c>
      <c r="C10690" s="51">
        <v>0.999</v>
      </c>
      <c r="D10690" s="51">
        <v>72.0</v>
      </c>
      <c r="E10690" s="52" t="s">
        <v>25</v>
      </c>
      <c r="F10690" s="52" t="s">
        <v>26</v>
      </c>
      <c r="G10690" s="54"/>
    </row>
    <row r="10691">
      <c r="A10691" s="49">
        <v>45133.505752337966</v>
      </c>
      <c r="B10691" s="50">
        <v>45133.6307218518</v>
      </c>
      <c r="C10691" s="51">
        <v>0.999</v>
      </c>
      <c r="D10691" s="51">
        <v>72.0</v>
      </c>
      <c r="E10691" s="52" t="s">
        <v>25</v>
      </c>
      <c r="F10691" s="52" t="s">
        <v>26</v>
      </c>
      <c r="G10691" s="54"/>
    </row>
    <row r="10692">
      <c r="A10692" s="49">
        <v>45133.51618322916</v>
      </c>
      <c r="B10692" s="50">
        <v>45133.6411536921</v>
      </c>
      <c r="C10692" s="51">
        <v>0.998</v>
      </c>
      <c r="D10692" s="51">
        <v>72.0</v>
      </c>
      <c r="E10692" s="52" t="s">
        <v>25</v>
      </c>
      <c r="F10692" s="52" t="s">
        <v>26</v>
      </c>
      <c r="G10692" s="54"/>
    </row>
    <row r="10693">
      <c r="A10693" s="49">
        <v>45133.52661037037</v>
      </c>
      <c r="B10693" s="50">
        <v>45133.6515738541</v>
      </c>
      <c r="C10693" s="51">
        <v>0.998</v>
      </c>
      <c r="D10693" s="51">
        <v>72.0</v>
      </c>
      <c r="E10693" s="52" t="s">
        <v>25</v>
      </c>
      <c r="F10693" s="52" t="s">
        <v>26</v>
      </c>
      <c r="G10693" s="54"/>
    </row>
    <row r="10694">
      <c r="A10694" s="49">
        <v>45133.53703957176</v>
      </c>
      <c r="B10694" s="50">
        <v>45133.6620064351</v>
      </c>
      <c r="C10694" s="51">
        <v>0.998</v>
      </c>
      <c r="D10694" s="51">
        <v>72.0</v>
      </c>
      <c r="E10694" s="52" t="s">
        <v>25</v>
      </c>
      <c r="F10694" s="52" t="s">
        <v>26</v>
      </c>
      <c r="G10694" s="54"/>
    </row>
    <row r="10695">
      <c r="A10695" s="49">
        <v>45133.547448495374</v>
      </c>
      <c r="B10695" s="50">
        <v>45133.6724280324</v>
      </c>
      <c r="C10695" s="51">
        <v>0.998</v>
      </c>
      <c r="D10695" s="51">
        <v>72.0</v>
      </c>
      <c r="E10695" s="52" t="s">
        <v>25</v>
      </c>
      <c r="F10695" s="52" t="s">
        <v>26</v>
      </c>
      <c r="G10695" s="54"/>
    </row>
    <row r="10696">
      <c r="A10696" s="49">
        <v>45133.55788162037</v>
      </c>
      <c r="B10696" s="50">
        <v>45133.6828500462</v>
      </c>
      <c r="C10696" s="51">
        <v>0.998</v>
      </c>
      <c r="D10696" s="51">
        <v>72.0</v>
      </c>
      <c r="E10696" s="52" t="s">
        <v>25</v>
      </c>
      <c r="F10696" s="52" t="s">
        <v>26</v>
      </c>
      <c r="G10696" s="54"/>
    </row>
    <row r="10697">
      <c r="A10697" s="49">
        <v>45133.5683059838</v>
      </c>
      <c r="B10697" s="50">
        <v>45133.6932735185</v>
      </c>
      <c r="C10697" s="51">
        <v>0.998</v>
      </c>
      <c r="D10697" s="51">
        <v>72.0</v>
      </c>
      <c r="E10697" s="52" t="s">
        <v>25</v>
      </c>
      <c r="F10697" s="52" t="s">
        <v>26</v>
      </c>
      <c r="G10697" s="54"/>
    </row>
    <row r="10698">
      <c r="A10698" s="49">
        <v>45133.57872179398</v>
      </c>
      <c r="B10698" s="50">
        <v>45133.7036957754</v>
      </c>
      <c r="C10698" s="51">
        <v>0.999</v>
      </c>
      <c r="D10698" s="51">
        <v>72.0</v>
      </c>
      <c r="E10698" s="52" t="s">
        <v>25</v>
      </c>
      <c r="F10698" s="52" t="s">
        <v>26</v>
      </c>
      <c r="G10698" s="54"/>
    </row>
    <row r="10699">
      <c r="A10699" s="49">
        <v>45133.58916193287</v>
      </c>
      <c r="B10699" s="50">
        <v>45133.7141279629</v>
      </c>
      <c r="C10699" s="51">
        <v>0.998</v>
      </c>
      <c r="D10699" s="51">
        <v>72.0</v>
      </c>
      <c r="E10699" s="52" t="s">
        <v>25</v>
      </c>
      <c r="F10699" s="52" t="s">
        <v>26</v>
      </c>
      <c r="G10699" s="54"/>
    </row>
    <row r="10700">
      <c r="A10700" s="49">
        <v>45133.599578761576</v>
      </c>
      <c r="B10700" s="50">
        <v>45133.7245476504</v>
      </c>
      <c r="C10700" s="51">
        <v>0.998</v>
      </c>
      <c r="D10700" s="51">
        <v>72.0</v>
      </c>
      <c r="E10700" s="52" t="s">
        <v>25</v>
      </c>
      <c r="F10700" s="52" t="s">
        <v>26</v>
      </c>
      <c r="G10700" s="54"/>
    </row>
    <row r="10701">
      <c r="A10701" s="49">
        <v>45133.60999803241</v>
      </c>
      <c r="B10701" s="50">
        <v>45133.7349690856</v>
      </c>
      <c r="C10701" s="51">
        <v>0.998</v>
      </c>
      <c r="D10701" s="51">
        <v>72.0</v>
      </c>
      <c r="E10701" s="52" t="s">
        <v>25</v>
      </c>
      <c r="F10701" s="52" t="s">
        <v>26</v>
      </c>
      <c r="G10701" s="54"/>
    </row>
    <row r="10702">
      <c r="A10702" s="49">
        <v>45133.620417488426</v>
      </c>
      <c r="B10702" s="50">
        <v>45133.7453895486</v>
      </c>
      <c r="C10702" s="51">
        <v>0.999</v>
      </c>
      <c r="D10702" s="51">
        <v>72.0</v>
      </c>
      <c r="E10702" s="52" t="s">
        <v>25</v>
      </c>
      <c r="F10702" s="52" t="s">
        <v>26</v>
      </c>
      <c r="G10702" s="54"/>
    </row>
    <row r="10703">
      <c r="A10703" s="49">
        <v>45133.63083789352</v>
      </c>
      <c r="B10703" s="50">
        <v>45133.7558104282</v>
      </c>
      <c r="C10703" s="51">
        <v>0.999</v>
      </c>
      <c r="D10703" s="51">
        <v>72.0</v>
      </c>
      <c r="E10703" s="52" t="s">
        <v>25</v>
      </c>
      <c r="F10703" s="52" t="s">
        <v>26</v>
      </c>
      <c r="G10703" s="54"/>
    </row>
    <row r="10704">
      <c r="A10704" s="49">
        <v>45133.641274884256</v>
      </c>
      <c r="B10704" s="50">
        <v>45133.7662430324</v>
      </c>
      <c r="C10704" s="51">
        <v>0.998</v>
      </c>
      <c r="D10704" s="51">
        <v>72.0</v>
      </c>
      <c r="E10704" s="52" t="s">
        <v>25</v>
      </c>
      <c r="F10704" s="52" t="s">
        <v>26</v>
      </c>
      <c r="G10704" s="54"/>
    </row>
    <row r="10705">
      <c r="A10705" s="49">
        <v>45133.65171039352</v>
      </c>
      <c r="B10705" s="50">
        <v>45133.7766751388</v>
      </c>
      <c r="C10705" s="51">
        <v>0.999</v>
      </c>
      <c r="D10705" s="51">
        <v>72.0</v>
      </c>
      <c r="E10705" s="52" t="s">
        <v>25</v>
      </c>
      <c r="F10705" s="52" t="s">
        <v>26</v>
      </c>
      <c r="G10705" s="54"/>
    </row>
    <row r="10706">
      <c r="A10706" s="49">
        <v>45133.66213578703</v>
      </c>
      <c r="B10706" s="50">
        <v>45133.787098125</v>
      </c>
      <c r="C10706" s="51">
        <v>0.999</v>
      </c>
      <c r="D10706" s="51">
        <v>72.0</v>
      </c>
      <c r="E10706" s="52" t="s">
        <v>25</v>
      </c>
      <c r="F10706" s="52" t="s">
        <v>26</v>
      </c>
      <c r="G10706" s="54"/>
    </row>
    <row r="10707">
      <c r="A10707" s="49">
        <v>45133.672551192125</v>
      </c>
      <c r="B10707" s="50">
        <v>45133.7975202546</v>
      </c>
      <c r="C10707" s="51">
        <v>0.998</v>
      </c>
      <c r="D10707" s="51">
        <v>72.0</v>
      </c>
      <c r="E10707" s="52" t="s">
        <v>25</v>
      </c>
      <c r="F10707" s="52" t="s">
        <v>26</v>
      </c>
      <c r="G10707" s="54"/>
    </row>
    <row r="10708">
      <c r="A10708" s="49">
        <v>45133.68296810186</v>
      </c>
      <c r="B10708" s="50">
        <v>45133.8079399884</v>
      </c>
      <c r="C10708" s="51">
        <v>0.999</v>
      </c>
      <c r="D10708" s="51">
        <v>72.0</v>
      </c>
      <c r="E10708" s="52" t="s">
        <v>25</v>
      </c>
      <c r="F10708" s="52" t="s">
        <v>26</v>
      </c>
      <c r="G10708" s="54"/>
    </row>
    <row r="10709">
      <c r="A10709" s="49">
        <v>45133.693396331015</v>
      </c>
      <c r="B10709" s="50">
        <v>45133.8183583217</v>
      </c>
      <c r="C10709" s="51">
        <v>0.999</v>
      </c>
      <c r="D10709" s="51">
        <v>72.0</v>
      </c>
      <c r="E10709" s="52" t="s">
        <v>25</v>
      </c>
      <c r="F10709" s="52" t="s">
        <v>26</v>
      </c>
      <c r="G10709" s="54"/>
    </row>
    <row r="10710">
      <c r="A10710" s="49">
        <v>45133.70380584491</v>
      </c>
      <c r="B10710" s="50">
        <v>45133.8287793055</v>
      </c>
      <c r="C10710" s="51">
        <v>0.999</v>
      </c>
      <c r="D10710" s="51">
        <v>72.0</v>
      </c>
      <c r="E10710" s="52" t="s">
        <v>25</v>
      </c>
      <c r="F10710" s="52" t="s">
        <v>26</v>
      </c>
      <c r="G10710" s="54"/>
    </row>
    <row r="10711">
      <c r="A10711" s="49">
        <v>45133.71423803241</v>
      </c>
      <c r="B10711" s="50">
        <v>45133.8392113078</v>
      </c>
      <c r="C10711" s="51">
        <v>0.999</v>
      </c>
      <c r="D10711" s="51">
        <v>72.0</v>
      </c>
      <c r="E10711" s="52" t="s">
        <v>25</v>
      </c>
      <c r="F10711" s="52" t="s">
        <v>26</v>
      </c>
      <c r="G10711" s="54"/>
    </row>
    <row r="10712">
      <c r="A10712" s="49">
        <v>45133.73508140046</v>
      </c>
      <c r="B10712" s="50">
        <v>45133.8600518171</v>
      </c>
      <c r="C10712" s="51">
        <v>0.999</v>
      </c>
      <c r="D10712" s="51">
        <v>72.0</v>
      </c>
      <c r="E10712" s="52" t="s">
        <v>25</v>
      </c>
      <c r="F10712" s="52" t="s">
        <v>26</v>
      </c>
      <c r="G10712" s="54"/>
    </row>
    <row r="10713">
      <c r="A10713" s="49">
        <v>45133.74552541667</v>
      </c>
      <c r="B10713" s="50">
        <v>45133.8704967013</v>
      </c>
      <c r="C10713" s="51">
        <v>0.999</v>
      </c>
      <c r="D10713" s="51">
        <v>72.0</v>
      </c>
      <c r="E10713" s="52" t="s">
        <v>25</v>
      </c>
      <c r="F10713" s="52" t="s">
        <v>26</v>
      </c>
      <c r="G10713" s="54"/>
    </row>
    <row r="10714">
      <c r="A10714" s="49">
        <v>45133.75595011574</v>
      </c>
      <c r="B10714" s="50">
        <v>45133.8809301157</v>
      </c>
      <c r="C10714" s="51">
        <v>0.999</v>
      </c>
      <c r="D10714" s="51">
        <v>72.0</v>
      </c>
      <c r="E10714" s="52" t="s">
        <v>25</v>
      </c>
      <c r="F10714" s="52" t="s">
        <v>26</v>
      </c>
      <c r="G10714" s="54"/>
    </row>
    <row r="10715">
      <c r="A10715" s="49">
        <v>45133.76637819444</v>
      </c>
      <c r="B10715" s="50">
        <v>45133.8913496064</v>
      </c>
      <c r="C10715" s="51">
        <v>0.999</v>
      </c>
      <c r="D10715" s="51">
        <v>72.0</v>
      </c>
      <c r="E10715" s="52" t="s">
        <v>25</v>
      </c>
      <c r="F10715" s="52" t="s">
        <v>26</v>
      </c>
      <c r="G10715" s="54"/>
    </row>
    <row r="10716">
      <c r="A10716" s="49">
        <v>45133.77680046296</v>
      </c>
      <c r="B10716" s="50">
        <v>45133.9017698958</v>
      </c>
      <c r="C10716" s="51">
        <v>0.999</v>
      </c>
      <c r="D10716" s="51">
        <v>72.0</v>
      </c>
      <c r="E10716" s="52" t="s">
        <v>25</v>
      </c>
      <c r="F10716" s="52" t="s">
        <v>26</v>
      </c>
      <c r="G10716" s="54"/>
    </row>
    <row r="10717">
      <c r="A10717" s="49">
        <v>45133.78721952546</v>
      </c>
      <c r="B10717" s="50">
        <v>45133.9121906481</v>
      </c>
      <c r="C10717" s="51">
        <v>0.998</v>
      </c>
      <c r="D10717" s="51">
        <v>72.0</v>
      </c>
      <c r="E10717" s="52" t="s">
        <v>25</v>
      </c>
      <c r="F10717" s="52" t="s">
        <v>26</v>
      </c>
      <c r="G10717" s="54"/>
    </row>
    <row r="10718">
      <c r="A10718" s="49">
        <v>45133.797663564816</v>
      </c>
      <c r="B10718" s="50">
        <v>45133.9226340509</v>
      </c>
      <c r="C10718" s="51">
        <v>0.998</v>
      </c>
      <c r="D10718" s="51">
        <v>72.0</v>
      </c>
      <c r="E10718" s="52" t="s">
        <v>25</v>
      </c>
      <c r="F10718" s="52" t="s">
        <v>26</v>
      </c>
      <c r="G10718" s="54"/>
    </row>
    <row r="10719">
      <c r="A10719" s="49">
        <v>45133.80808898148</v>
      </c>
      <c r="B10719" s="50">
        <v>45133.9330573148</v>
      </c>
      <c r="C10719" s="51">
        <v>0.998</v>
      </c>
      <c r="D10719" s="51">
        <v>72.0</v>
      </c>
      <c r="E10719" s="52" t="s">
        <v>25</v>
      </c>
      <c r="F10719" s="52" t="s">
        <v>26</v>
      </c>
      <c r="G10719" s="54"/>
    </row>
    <row r="10720">
      <c r="A10720" s="49">
        <v>45133.81852001157</v>
      </c>
      <c r="B10720" s="50">
        <v>45133.9434917708</v>
      </c>
      <c r="C10720" s="51">
        <v>0.998</v>
      </c>
      <c r="D10720" s="51">
        <v>72.0</v>
      </c>
      <c r="E10720" s="52" t="s">
        <v>25</v>
      </c>
      <c r="F10720" s="52" t="s">
        <v>26</v>
      </c>
      <c r="G10720" s="54"/>
    </row>
    <row r="10721">
      <c r="A10721" s="49">
        <v>45133.828936307866</v>
      </c>
      <c r="B10721" s="50">
        <v>45133.9539126967</v>
      </c>
      <c r="C10721" s="51">
        <v>0.999</v>
      </c>
      <c r="D10721" s="51">
        <v>72.0</v>
      </c>
      <c r="E10721" s="52" t="s">
        <v>25</v>
      </c>
      <c r="F10721" s="52" t="s">
        <v>26</v>
      </c>
      <c r="G10721" s="54"/>
    </row>
    <row r="10722">
      <c r="A10722" s="49">
        <v>45133.839374421295</v>
      </c>
      <c r="B10722" s="50">
        <v>45133.9643335185</v>
      </c>
      <c r="C10722" s="51">
        <v>0.999</v>
      </c>
      <c r="D10722" s="51">
        <v>72.0</v>
      </c>
      <c r="E10722" s="52" t="s">
        <v>25</v>
      </c>
      <c r="F10722" s="52" t="s">
        <v>26</v>
      </c>
      <c r="G10722" s="54"/>
    </row>
    <row r="10723">
      <c r="A10723" s="49">
        <v>45133.849777511576</v>
      </c>
      <c r="B10723" s="50">
        <v>45133.9747536574</v>
      </c>
      <c r="C10723" s="51">
        <v>0.999</v>
      </c>
      <c r="D10723" s="51">
        <v>72.0</v>
      </c>
      <c r="E10723" s="52" t="s">
        <v>25</v>
      </c>
      <c r="F10723" s="52" t="s">
        <v>26</v>
      </c>
      <c r="G10723" s="54"/>
    </row>
    <row r="10724">
      <c r="A10724" s="49">
        <v>45133.86021111111</v>
      </c>
      <c r="B10724" s="50">
        <v>45133.9851863657</v>
      </c>
      <c r="C10724" s="51">
        <v>0.998</v>
      </c>
      <c r="D10724" s="51">
        <v>72.0</v>
      </c>
      <c r="E10724" s="52" t="s">
        <v>25</v>
      </c>
      <c r="F10724" s="52" t="s">
        <v>26</v>
      </c>
      <c r="G10724" s="54"/>
    </row>
    <row r="10725">
      <c r="A10725" s="49">
        <v>45133.87063178241</v>
      </c>
      <c r="B10725" s="50">
        <v>45133.9956086689</v>
      </c>
      <c r="C10725" s="51">
        <v>0.998</v>
      </c>
      <c r="D10725" s="51">
        <v>72.0</v>
      </c>
      <c r="E10725" s="52" t="s">
        <v>25</v>
      </c>
      <c r="F10725" s="52" t="s">
        <v>26</v>
      </c>
      <c r="G10725" s="54"/>
    </row>
    <row r="10726">
      <c r="A10726" s="49">
        <v>45133.881055011574</v>
      </c>
      <c r="B10726" s="50">
        <v>45134.0060278472</v>
      </c>
      <c r="C10726" s="51">
        <v>0.999</v>
      </c>
      <c r="D10726" s="51">
        <v>72.0</v>
      </c>
      <c r="E10726" s="52" t="s">
        <v>25</v>
      </c>
      <c r="F10726" s="52" t="s">
        <v>26</v>
      </c>
      <c r="G10726" s="54"/>
    </row>
    <row r="10727">
      <c r="A10727" s="49">
        <v>45133.89147398148</v>
      </c>
      <c r="B10727" s="50">
        <v>45134.0164470023</v>
      </c>
      <c r="C10727" s="51">
        <v>0.999</v>
      </c>
      <c r="D10727" s="51">
        <v>72.0</v>
      </c>
      <c r="E10727" s="52" t="s">
        <v>25</v>
      </c>
      <c r="F10727" s="52" t="s">
        <v>26</v>
      </c>
      <c r="G10727" s="54"/>
    </row>
    <row r="10728">
      <c r="A10728" s="49">
        <v>45133.90188975695</v>
      </c>
      <c r="B10728" s="50">
        <v>45134.026868287</v>
      </c>
      <c r="C10728" s="51">
        <v>0.999</v>
      </c>
      <c r="D10728" s="51">
        <v>72.0</v>
      </c>
      <c r="E10728" s="52" t="s">
        <v>25</v>
      </c>
      <c r="F10728" s="52" t="s">
        <v>26</v>
      </c>
      <c r="G10728" s="54"/>
    </row>
    <row r="10729">
      <c r="A10729" s="49">
        <v>45133.91231008102</v>
      </c>
      <c r="B10729" s="50">
        <v>45134.0372894097</v>
      </c>
      <c r="C10729" s="51">
        <v>0.998</v>
      </c>
      <c r="D10729" s="51">
        <v>72.0</v>
      </c>
      <c r="E10729" s="52" t="s">
        <v>25</v>
      </c>
      <c r="F10729" s="52" t="s">
        <v>26</v>
      </c>
      <c r="G10729" s="54"/>
    </row>
    <row r="10730">
      <c r="A10730" s="49">
        <v>45133.92274180555</v>
      </c>
      <c r="B10730" s="50">
        <v>45134.0477098495</v>
      </c>
      <c r="C10730" s="51">
        <v>0.998</v>
      </c>
      <c r="D10730" s="51">
        <v>72.0</v>
      </c>
      <c r="E10730" s="52" t="s">
        <v>25</v>
      </c>
      <c r="F10730" s="52" t="s">
        <v>26</v>
      </c>
      <c r="G10730" s="54"/>
    </row>
    <row r="10731">
      <c r="A10731" s="49">
        <v>45133.933165891205</v>
      </c>
      <c r="B10731" s="50">
        <v>45134.0581314699</v>
      </c>
      <c r="C10731" s="51">
        <v>0.998</v>
      </c>
      <c r="D10731" s="51">
        <v>72.0</v>
      </c>
      <c r="E10731" s="52" t="s">
        <v>25</v>
      </c>
      <c r="F10731" s="52" t="s">
        <v>26</v>
      </c>
      <c r="G10731" s="54"/>
    </row>
    <row r="10732">
      <c r="A10732" s="49">
        <v>45133.94357966435</v>
      </c>
      <c r="B10732" s="50">
        <v>45134.0685520949</v>
      </c>
      <c r="C10732" s="51">
        <v>0.998</v>
      </c>
      <c r="D10732" s="51">
        <v>72.0</v>
      </c>
      <c r="E10732" s="52" t="s">
        <v>25</v>
      </c>
      <c r="F10732" s="52" t="s">
        <v>26</v>
      </c>
      <c r="G10732" s="54"/>
    </row>
    <row r="10733">
      <c r="A10733" s="49">
        <v>45133.95401505787</v>
      </c>
      <c r="B10733" s="50">
        <v>45134.0789855787</v>
      </c>
      <c r="C10733" s="51">
        <v>0.998</v>
      </c>
      <c r="D10733" s="51">
        <v>72.0</v>
      </c>
      <c r="E10733" s="52" t="s">
        <v>25</v>
      </c>
      <c r="F10733" s="52" t="s">
        <v>26</v>
      </c>
      <c r="G10733" s="54"/>
    </row>
    <row r="10734">
      <c r="A10734" s="49">
        <v>45133.96443895833</v>
      </c>
      <c r="B10734" s="50">
        <v>45134.0894071527</v>
      </c>
      <c r="C10734" s="51">
        <v>0.998</v>
      </c>
      <c r="D10734" s="51">
        <v>72.0</v>
      </c>
      <c r="E10734" s="52" t="s">
        <v>25</v>
      </c>
      <c r="F10734" s="52" t="s">
        <v>26</v>
      </c>
      <c r="G10734" s="54"/>
    </row>
    <row r="10735">
      <c r="A10735" s="49">
        <v>45133.97485254629</v>
      </c>
      <c r="B10735" s="50">
        <v>45134.0998268865</v>
      </c>
      <c r="C10735" s="51">
        <v>0.998</v>
      </c>
      <c r="D10735" s="51">
        <v>72.0</v>
      </c>
      <c r="E10735" s="52" t="s">
        <v>25</v>
      </c>
      <c r="F10735" s="52" t="s">
        <v>26</v>
      </c>
      <c r="G10735" s="54"/>
    </row>
    <row r="10736">
      <c r="A10736" s="49">
        <v>45133.98528700232</v>
      </c>
      <c r="B10736" s="50">
        <v>45134.1102595023</v>
      </c>
      <c r="C10736" s="51">
        <v>0.998</v>
      </c>
      <c r="D10736" s="51">
        <v>72.0</v>
      </c>
      <c r="E10736" s="52" t="s">
        <v>25</v>
      </c>
      <c r="F10736" s="52" t="s">
        <v>26</v>
      </c>
      <c r="G10736" s="54"/>
    </row>
    <row r="10737">
      <c r="A10737" s="49">
        <v>45133.995700486106</v>
      </c>
      <c r="B10737" s="50">
        <v>45134.1206806365</v>
      </c>
      <c r="C10737" s="51">
        <v>0.998</v>
      </c>
      <c r="D10737" s="51">
        <v>72.0</v>
      </c>
      <c r="E10737" s="52" t="s">
        <v>25</v>
      </c>
      <c r="F10737" s="52" t="s">
        <v>26</v>
      </c>
      <c r="G10737" s="54"/>
    </row>
    <row r="10738">
      <c r="A10738" s="49">
        <v>45134.00612986111</v>
      </c>
      <c r="B10738" s="50">
        <v>45134.1311027546</v>
      </c>
      <c r="C10738" s="51">
        <v>0.998</v>
      </c>
      <c r="D10738" s="51">
        <v>72.0</v>
      </c>
      <c r="E10738" s="52" t="s">
        <v>25</v>
      </c>
      <c r="F10738" s="52" t="s">
        <v>26</v>
      </c>
      <c r="G10738" s="54"/>
    </row>
    <row r="10739">
      <c r="A10739" s="49">
        <v>45134.01654493056</v>
      </c>
      <c r="B10739" s="50">
        <v>45134.1415244097</v>
      </c>
      <c r="C10739" s="51">
        <v>0.999</v>
      </c>
      <c r="D10739" s="51">
        <v>72.0</v>
      </c>
      <c r="E10739" s="52" t="s">
        <v>25</v>
      </c>
      <c r="F10739" s="52" t="s">
        <v>26</v>
      </c>
      <c r="G10739" s="54"/>
    </row>
    <row r="10740">
      <c r="A10740" s="49">
        <v>45134.02696299768</v>
      </c>
      <c r="B10740" s="50">
        <v>45134.1519438773</v>
      </c>
      <c r="C10740" s="51">
        <v>0.999</v>
      </c>
      <c r="D10740" s="51">
        <v>72.0</v>
      </c>
      <c r="E10740" s="52" t="s">
        <v>25</v>
      </c>
      <c r="F10740" s="52" t="s">
        <v>26</v>
      </c>
      <c r="G10740" s="54"/>
    </row>
    <row r="10741">
      <c r="A10741" s="49">
        <v>45134.037394363426</v>
      </c>
      <c r="B10741" s="50">
        <v>45134.1623648032</v>
      </c>
      <c r="C10741" s="51">
        <v>0.999</v>
      </c>
      <c r="D10741" s="51">
        <v>72.0</v>
      </c>
      <c r="E10741" s="52" t="s">
        <v>25</v>
      </c>
      <c r="F10741" s="52" t="s">
        <v>26</v>
      </c>
      <c r="G10741" s="54"/>
    </row>
    <row r="10742">
      <c r="A10742" s="49">
        <v>45134.04782649306</v>
      </c>
      <c r="B10742" s="50">
        <v>45134.1727960995</v>
      </c>
      <c r="C10742" s="51">
        <v>0.998</v>
      </c>
      <c r="D10742" s="51">
        <v>72.0</v>
      </c>
      <c r="E10742" s="52" t="s">
        <v>25</v>
      </c>
      <c r="F10742" s="52" t="s">
        <v>26</v>
      </c>
      <c r="G10742" s="54"/>
    </row>
    <row r="10743">
      <c r="A10743" s="49">
        <v>45134.05823737269</v>
      </c>
      <c r="B10743" s="50">
        <v>45134.183216412</v>
      </c>
      <c r="C10743" s="51">
        <v>0.998</v>
      </c>
      <c r="D10743" s="51">
        <v>72.0</v>
      </c>
      <c r="E10743" s="52" t="s">
        <v>25</v>
      </c>
      <c r="F10743" s="52" t="s">
        <v>26</v>
      </c>
      <c r="G10743" s="54"/>
    </row>
    <row r="10744">
      <c r="A10744" s="49">
        <v>45134.06868829861</v>
      </c>
      <c r="B10744" s="50">
        <v>45134.1936598958</v>
      </c>
      <c r="C10744" s="51">
        <v>0.998</v>
      </c>
      <c r="D10744" s="51">
        <v>72.0</v>
      </c>
      <c r="E10744" s="52" t="s">
        <v>25</v>
      </c>
      <c r="F10744" s="52" t="s">
        <v>26</v>
      </c>
      <c r="G10744" s="54"/>
    </row>
    <row r="10745">
      <c r="A10745" s="49">
        <v>45134.079104247685</v>
      </c>
      <c r="B10745" s="50">
        <v>45134.2040805324</v>
      </c>
      <c r="C10745" s="51">
        <v>0.998</v>
      </c>
      <c r="D10745" s="51">
        <v>72.0</v>
      </c>
      <c r="E10745" s="52" t="s">
        <v>25</v>
      </c>
      <c r="F10745" s="52" t="s">
        <v>26</v>
      </c>
      <c r="G10745" s="54"/>
    </row>
    <row r="10746">
      <c r="A10746" s="49">
        <v>45134.089523449074</v>
      </c>
      <c r="B10746" s="50">
        <v>45134.2145012152</v>
      </c>
      <c r="C10746" s="51">
        <v>0.998</v>
      </c>
      <c r="D10746" s="51">
        <v>72.0</v>
      </c>
      <c r="E10746" s="52" t="s">
        <v>25</v>
      </c>
      <c r="F10746" s="52" t="s">
        <v>26</v>
      </c>
      <c r="G10746" s="54"/>
    </row>
    <row r="10747">
      <c r="A10747" s="49">
        <v>45134.09994986111</v>
      </c>
      <c r="B10747" s="50">
        <v>45134.2249228703</v>
      </c>
      <c r="C10747" s="51">
        <v>0.998</v>
      </c>
      <c r="D10747" s="51">
        <v>72.0</v>
      </c>
      <c r="E10747" s="52" t="s">
        <v>25</v>
      </c>
      <c r="F10747" s="52" t="s">
        <v>26</v>
      </c>
      <c r="G10747" s="54"/>
    </row>
    <row r="10748">
      <c r="A10748" s="49">
        <v>45134.11037362269</v>
      </c>
      <c r="B10748" s="50">
        <v>45134.2353430671</v>
      </c>
      <c r="C10748" s="51">
        <v>0.999</v>
      </c>
      <c r="D10748" s="51">
        <v>72.0</v>
      </c>
      <c r="E10748" s="52" t="s">
        <v>25</v>
      </c>
      <c r="F10748" s="52" t="s">
        <v>26</v>
      </c>
      <c r="G10748" s="54"/>
    </row>
    <row r="10749">
      <c r="A10749" s="49">
        <v>45134.1208034375</v>
      </c>
      <c r="B10749" s="50">
        <v>45134.2457753472</v>
      </c>
      <c r="C10749" s="51">
        <v>0.999</v>
      </c>
      <c r="D10749" s="51">
        <v>72.0</v>
      </c>
      <c r="E10749" s="52" t="s">
        <v>25</v>
      </c>
      <c r="F10749" s="52" t="s">
        <v>26</v>
      </c>
      <c r="G10749" s="54"/>
    </row>
    <row r="10750">
      <c r="A10750" s="49">
        <v>45134.1312334838</v>
      </c>
      <c r="B10750" s="50">
        <v>45134.2562095833</v>
      </c>
      <c r="C10750" s="51">
        <v>0.998</v>
      </c>
      <c r="D10750" s="51">
        <v>72.0</v>
      </c>
      <c r="E10750" s="52" t="s">
        <v>25</v>
      </c>
      <c r="F10750" s="52" t="s">
        <v>26</v>
      </c>
      <c r="G10750" s="54"/>
    </row>
    <row r="10751">
      <c r="A10751" s="49">
        <v>45134.14166407408</v>
      </c>
      <c r="B10751" s="50">
        <v>45134.2666308101</v>
      </c>
      <c r="C10751" s="51">
        <v>0.998</v>
      </c>
      <c r="D10751" s="51">
        <v>72.0</v>
      </c>
      <c r="E10751" s="52" t="s">
        <v>25</v>
      </c>
      <c r="F10751" s="52" t="s">
        <v>26</v>
      </c>
      <c r="G10751" s="54"/>
    </row>
    <row r="10752">
      <c r="A10752" s="49">
        <v>45134.15209037037</v>
      </c>
      <c r="B10752" s="50">
        <v>45134.2770623958</v>
      </c>
      <c r="C10752" s="51">
        <v>0.998</v>
      </c>
      <c r="D10752" s="51">
        <v>72.0</v>
      </c>
      <c r="E10752" s="52" t="s">
        <v>25</v>
      </c>
      <c r="F10752" s="52" t="s">
        <v>26</v>
      </c>
      <c r="G10752" s="54"/>
    </row>
    <row r="10753">
      <c r="A10753" s="49">
        <v>45134.162510497685</v>
      </c>
      <c r="B10753" s="50">
        <v>45134.2874818171</v>
      </c>
      <c r="C10753" s="51">
        <v>0.998</v>
      </c>
      <c r="D10753" s="51">
        <v>72.0</v>
      </c>
      <c r="E10753" s="52" t="s">
        <v>25</v>
      </c>
      <c r="F10753" s="52" t="s">
        <v>26</v>
      </c>
      <c r="G10753" s="54"/>
    </row>
    <row r="10754">
      <c r="A10754" s="49">
        <v>45134.1729255324</v>
      </c>
      <c r="B10754" s="50">
        <v>45134.2979028009</v>
      </c>
      <c r="C10754" s="51">
        <v>0.998</v>
      </c>
      <c r="D10754" s="51">
        <v>72.0</v>
      </c>
      <c r="E10754" s="52" t="s">
        <v>25</v>
      </c>
      <c r="F10754" s="52" t="s">
        <v>26</v>
      </c>
      <c r="G10754" s="54"/>
    </row>
    <row r="10755">
      <c r="A10755" s="49">
        <v>45134.183346018515</v>
      </c>
      <c r="B10755" s="50">
        <v>45134.3083236111</v>
      </c>
      <c r="C10755" s="51">
        <v>0.998</v>
      </c>
      <c r="D10755" s="51">
        <v>72.0</v>
      </c>
      <c r="E10755" s="52" t="s">
        <v>25</v>
      </c>
      <c r="F10755" s="52" t="s">
        <v>26</v>
      </c>
      <c r="G10755" s="54"/>
    </row>
    <row r="10756">
      <c r="A10756" s="49">
        <v>45134.19377038194</v>
      </c>
      <c r="B10756" s="50">
        <v>45134.3187428356</v>
      </c>
      <c r="C10756" s="51">
        <v>0.999</v>
      </c>
      <c r="D10756" s="51">
        <v>72.0</v>
      </c>
      <c r="E10756" s="52" t="s">
        <v>25</v>
      </c>
      <c r="F10756" s="52" t="s">
        <v>26</v>
      </c>
      <c r="G10756" s="54"/>
    </row>
    <row r="10757">
      <c r="A10757" s="49">
        <v>45134.204193831014</v>
      </c>
      <c r="B10757" s="50">
        <v>45134.3291648842</v>
      </c>
      <c r="C10757" s="51">
        <v>0.998</v>
      </c>
      <c r="D10757" s="51">
        <v>72.0</v>
      </c>
      <c r="E10757" s="52" t="s">
        <v>25</v>
      </c>
      <c r="F10757" s="52" t="s">
        <v>26</v>
      </c>
      <c r="G10757" s="54"/>
    </row>
    <row r="10758">
      <c r="A10758" s="49">
        <v>45134.21462513889</v>
      </c>
      <c r="B10758" s="50">
        <v>45134.3395965625</v>
      </c>
      <c r="C10758" s="51">
        <v>0.998</v>
      </c>
      <c r="D10758" s="51">
        <v>72.0</v>
      </c>
      <c r="E10758" s="52" t="s">
        <v>25</v>
      </c>
      <c r="F10758" s="52" t="s">
        <v>26</v>
      </c>
      <c r="G10758" s="54"/>
    </row>
    <row r="10759">
      <c r="A10759" s="49">
        <v>45134.22503913194</v>
      </c>
      <c r="B10759" s="50">
        <v>45134.3500180208</v>
      </c>
      <c r="C10759" s="51">
        <v>0.998</v>
      </c>
      <c r="D10759" s="51">
        <v>72.0</v>
      </c>
      <c r="E10759" s="52" t="s">
        <v>25</v>
      </c>
      <c r="F10759" s="52" t="s">
        <v>26</v>
      </c>
      <c r="G10759" s="54"/>
    </row>
    <row r="10760">
      <c r="A10760" s="49">
        <v>45134.23546819444</v>
      </c>
      <c r="B10760" s="50">
        <v>45134.36043978</v>
      </c>
      <c r="C10760" s="51">
        <v>0.998</v>
      </c>
      <c r="D10760" s="51">
        <v>72.0</v>
      </c>
      <c r="E10760" s="52" t="s">
        <v>25</v>
      </c>
      <c r="F10760" s="52" t="s">
        <v>26</v>
      </c>
      <c r="G10760" s="54"/>
    </row>
    <row r="10761">
      <c r="A10761" s="49">
        <v>45134.24589099537</v>
      </c>
      <c r="B10761" s="50">
        <v>45134.3708609953</v>
      </c>
      <c r="C10761" s="51">
        <v>0.999</v>
      </c>
      <c r="D10761" s="51">
        <v>72.0</v>
      </c>
      <c r="E10761" s="52" t="s">
        <v>25</v>
      </c>
      <c r="F10761" s="52" t="s">
        <v>26</v>
      </c>
      <c r="G10761" s="54"/>
    </row>
    <row r="10762">
      <c r="A10762" s="49">
        <v>45134.25634815972</v>
      </c>
      <c r="B10762" s="50">
        <v>45134.3813174421</v>
      </c>
      <c r="C10762" s="51">
        <v>0.998</v>
      </c>
      <c r="D10762" s="51">
        <v>72.0</v>
      </c>
      <c r="E10762" s="52" t="s">
        <v>25</v>
      </c>
      <c r="F10762" s="52" t="s">
        <v>26</v>
      </c>
      <c r="G10762" s="54"/>
    </row>
    <row r="10763">
      <c r="A10763" s="49">
        <v>45134.26678361111</v>
      </c>
      <c r="B10763" s="50">
        <v>45134.3917503587</v>
      </c>
      <c r="C10763" s="51">
        <v>0.998</v>
      </c>
      <c r="D10763" s="51">
        <v>72.0</v>
      </c>
      <c r="E10763" s="52" t="s">
        <v>25</v>
      </c>
      <c r="F10763" s="52" t="s">
        <v>26</v>
      </c>
      <c r="G10763" s="54"/>
    </row>
    <row r="10764">
      <c r="A10764" s="49">
        <v>45134.27720805556</v>
      </c>
      <c r="B10764" s="50">
        <v>45134.4021819444</v>
      </c>
      <c r="C10764" s="51">
        <v>0.998</v>
      </c>
      <c r="D10764" s="51">
        <v>72.0</v>
      </c>
      <c r="E10764" s="52" t="s">
        <v>25</v>
      </c>
      <c r="F10764" s="52" t="s">
        <v>26</v>
      </c>
      <c r="G10764" s="54"/>
    </row>
    <row r="10765">
      <c r="A10765" s="49">
        <v>45134.28765081018</v>
      </c>
      <c r="B10765" s="50">
        <v>45134.4126145717</v>
      </c>
      <c r="C10765" s="51">
        <v>0.998</v>
      </c>
      <c r="D10765" s="51">
        <v>72.0</v>
      </c>
      <c r="E10765" s="52" t="s">
        <v>25</v>
      </c>
      <c r="F10765" s="52" t="s">
        <v>26</v>
      </c>
      <c r="G10765" s="54"/>
    </row>
    <row r="10766">
      <c r="A10766" s="49">
        <v>45134.29807878472</v>
      </c>
      <c r="B10766" s="50">
        <v>45134.4230477893</v>
      </c>
      <c r="C10766" s="51">
        <v>0.998</v>
      </c>
      <c r="D10766" s="51">
        <v>72.0</v>
      </c>
      <c r="E10766" s="52" t="s">
        <v>25</v>
      </c>
      <c r="F10766" s="52" t="s">
        <v>26</v>
      </c>
      <c r="G10766" s="54"/>
    </row>
    <row r="10767">
      <c r="A10767" s="49">
        <v>45134.30849638889</v>
      </c>
      <c r="B10767" s="50">
        <v>45134.4334683101</v>
      </c>
      <c r="C10767" s="51">
        <v>0.999</v>
      </c>
      <c r="D10767" s="51">
        <v>72.0</v>
      </c>
      <c r="E10767" s="52" t="s">
        <v>25</v>
      </c>
      <c r="F10767" s="52" t="s">
        <v>26</v>
      </c>
      <c r="G10767" s="54"/>
    </row>
    <row r="10768">
      <c r="A10768" s="49">
        <v>45134.3189296412</v>
      </c>
      <c r="B10768" s="50">
        <v>45134.443900787</v>
      </c>
      <c r="C10768" s="51">
        <v>0.998</v>
      </c>
      <c r="D10768" s="51">
        <v>72.0</v>
      </c>
      <c r="E10768" s="52" t="s">
        <v>25</v>
      </c>
      <c r="F10768" s="52" t="s">
        <v>26</v>
      </c>
      <c r="G10768" s="54"/>
    </row>
    <row r="10769">
      <c r="A10769" s="49">
        <v>45134.329361875</v>
      </c>
      <c r="B10769" s="50">
        <v>45134.454334155</v>
      </c>
      <c r="C10769" s="51">
        <v>0.998</v>
      </c>
      <c r="D10769" s="51">
        <v>72.0</v>
      </c>
      <c r="E10769" s="52" t="s">
        <v>25</v>
      </c>
      <c r="F10769" s="52" t="s">
        <v>26</v>
      </c>
      <c r="G10769" s="54"/>
    </row>
    <row r="10770">
      <c r="A10770" s="49">
        <v>45134.339796527776</v>
      </c>
      <c r="B10770" s="50">
        <v>45134.4647675347</v>
      </c>
      <c r="C10770" s="51">
        <v>0.998</v>
      </c>
      <c r="D10770" s="51">
        <v>72.0</v>
      </c>
      <c r="E10770" s="52" t="s">
        <v>25</v>
      </c>
      <c r="F10770" s="52" t="s">
        <v>26</v>
      </c>
      <c r="G10770" s="54"/>
    </row>
    <row r="10771">
      <c r="A10771" s="49">
        <v>45134.35022283565</v>
      </c>
      <c r="B10771" s="50">
        <v>45134.4751903125</v>
      </c>
      <c r="C10771" s="51">
        <v>0.998</v>
      </c>
      <c r="D10771" s="51">
        <v>72.0</v>
      </c>
      <c r="E10771" s="52" t="s">
        <v>25</v>
      </c>
      <c r="F10771" s="52" t="s">
        <v>26</v>
      </c>
      <c r="G10771" s="54"/>
    </row>
    <row r="10772">
      <c r="A10772" s="49">
        <v>45134.360649525464</v>
      </c>
      <c r="B10772" s="50">
        <v>45134.4856117129</v>
      </c>
      <c r="C10772" s="51">
        <v>0.998</v>
      </c>
      <c r="D10772" s="51">
        <v>72.0</v>
      </c>
      <c r="E10772" s="52" t="s">
        <v>25</v>
      </c>
      <c r="F10772" s="52" t="s">
        <v>26</v>
      </c>
      <c r="G10772" s="54"/>
    </row>
    <row r="10773">
      <c r="A10773" s="49">
        <v>45134.37107434028</v>
      </c>
      <c r="B10773" s="50">
        <v>45134.4960451041</v>
      </c>
      <c r="C10773" s="51">
        <v>0.998</v>
      </c>
      <c r="D10773" s="51">
        <v>72.0</v>
      </c>
      <c r="E10773" s="52" t="s">
        <v>25</v>
      </c>
      <c r="F10773" s="52" t="s">
        <v>26</v>
      </c>
      <c r="G10773" s="54"/>
    </row>
    <row r="10774">
      <c r="A10774" s="49">
        <v>45134.38151131944</v>
      </c>
      <c r="B10774" s="50">
        <v>45134.5064789004</v>
      </c>
      <c r="C10774" s="51">
        <v>0.998</v>
      </c>
      <c r="D10774" s="51">
        <v>72.0</v>
      </c>
      <c r="E10774" s="52" t="s">
        <v>25</v>
      </c>
      <c r="F10774" s="52" t="s">
        <v>26</v>
      </c>
      <c r="G10774" s="54"/>
    </row>
    <row r="10775">
      <c r="A10775" s="49">
        <v>45134.39193454861</v>
      </c>
      <c r="B10775" s="50">
        <v>45134.5169000578</v>
      </c>
      <c r="C10775" s="51">
        <v>0.998</v>
      </c>
      <c r="D10775" s="51">
        <v>72.0</v>
      </c>
      <c r="E10775" s="52" t="s">
        <v>25</v>
      </c>
      <c r="F10775" s="52" t="s">
        <v>26</v>
      </c>
      <c r="G10775" s="54"/>
    </row>
    <row r="10776">
      <c r="A10776" s="49">
        <v>45134.402368634255</v>
      </c>
      <c r="B10776" s="50">
        <v>45134.5273417939</v>
      </c>
      <c r="C10776" s="51">
        <v>0.998</v>
      </c>
      <c r="D10776" s="51">
        <v>72.0</v>
      </c>
      <c r="E10776" s="52" t="s">
        <v>25</v>
      </c>
      <c r="F10776" s="52" t="s">
        <v>26</v>
      </c>
      <c r="G10776" s="54"/>
    </row>
    <row r="10777">
      <c r="A10777" s="49">
        <v>45134.412791875</v>
      </c>
      <c r="B10777" s="50">
        <v>45134.5377620139</v>
      </c>
      <c r="C10777" s="51">
        <v>0.998</v>
      </c>
      <c r="D10777" s="51">
        <v>72.0</v>
      </c>
      <c r="E10777" s="52" t="s">
        <v>25</v>
      </c>
      <c r="F10777" s="52" t="s">
        <v>26</v>
      </c>
      <c r="G10777" s="54"/>
    </row>
    <row r="10778">
      <c r="A10778" s="49">
        <v>45134.42321414352</v>
      </c>
      <c r="B10778" s="50">
        <v>45134.5481827199</v>
      </c>
      <c r="C10778" s="51">
        <v>0.998</v>
      </c>
      <c r="D10778" s="51">
        <v>72.0</v>
      </c>
      <c r="E10778" s="52" t="s">
        <v>25</v>
      </c>
      <c r="F10778" s="52" t="s">
        <v>26</v>
      </c>
      <c r="G10778" s="54"/>
    </row>
    <row r="10779">
      <c r="A10779" s="49">
        <v>45134.433636608795</v>
      </c>
      <c r="B10779" s="50">
        <v>45134.5586052314</v>
      </c>
      <c r="C10779" s="51">
        <v>0.999</v>
      </c>
      <c r="D10779" s="51">
        <v>72.0</v>
      </c>
      <c r="E10779" s="52" t="s">
        <v>25</v>
      </c>
      <c r="F10779" s="52" t="s">
        <v>26</v>
      </c>
      <c r="G10779" s="54"/>
    </row>
    <row r="10780">
      <c r="A10780" s="49">
        <v>45134.44406414352</v>
      </c>
      <c r="B10780" s="50">
        <v>45134.5690381134</v>
      </c>
      <c r="C10780" s="51">
        <v>0.998</v>
      </c>
      <c r="D10780" s="51">
        <v>72.0</v>
      </c>
      <c r="E10780" s="52" t="s">
        <v>25</v>
      </c>
      <c r="F10780" s="52" t="s">
        <v>26</v>
      </c>
      <c r="G10780" s="54"/>
    </row>
    <row r="10781">
      <c r="A10781" s="49">
        <v>45134.45448554398</v>
      </c>
      <c r="B10781" s="50">
        <v>45134.5794597338</v>
      </c>
      <c r="C10781" s="51">
        <v>0.998</v>
      </c>
      <c r="D10781" s="51">
        <v>72.0</v>
      </c>
      <c r="E10781" s="52" t="s">
        <v>25</v>
      </c>
      <c r="F10781" s="52" t="s">
        <v>26</v>
      </c>
      <c r="G10781" s="54"/>
    </row>
    <row r="10782">
      <c r="A10782" s="49">
        <v>45134.46491018518</v>
      </c>
      <c r="B10782" s="50">
        <v>45134.5898787963</v>
      </c>
      <c r="C10782" s="51">
        <v>0.998</v>
      </c>
      <c r="D10782" s="51">
        <v>72.0</v>
      </c>
      <c r="E10782" s="52" t="s">
        <v>25</v>
      </c>
      <c r="F10782" s="52" t="s">
        <v>26</v>
      </c>
      <c r="G10782" s="54"/>
    </row>
    <row r="10783">
      <c r="A10783" s="49">
        <v>45134.47533743056</v>
      </c>
      <c r="B10783" s="50">
        <v>45134.6003131828</v>
      </c>
      <c r="C10783" s="51">
        <v>0.998</v>
      </c>
      <c r="D10783" s="51">
        <v>72.0</v>
      </c>
      <c r="E10783" s="52" t="s">
        <v>25</v>
      </c>
      <c r="F10783" s="52" t="s">
        <v>26</v>
      </c>
      <c r="G10783" s="54"/>
    </row>
    <row r="10784">
      <c r="A10784" s="49">
        <v>45134.48577032407</v>
      </c>
      <c r="B10784" s="50">
        <v>45134.6107350462</v>
      </c>
      <c r="C10784" s="51">
        <v>0.999</v>
      </c>
      <c r="D10784" s="51">
        <v>72.0</v>
      </c>
      <c r="E10784" s="52" t="s">
        <v>25</v>
      </c>
      <c r="F10784" s="52" t="s">
        <v>26</v>
      </c>
      <c r="G10784" s="54"/>
    </row>
    <row r="10785">
      <c r="A10785" s="49">
        <v>45134.49619711806</v>
      </c>
      <c r="B10785" s="50">
        <v>45134.6211686226</v>
      </c>
      <c r="C10785" s="51">
        <v>0.998</v>
      </c>
      <c r="D10785" s="51">
        <v>72.0</v>
      </c>
      <c r="E10785" s="52" t="s">
        <v>25</v>
      </c>
      <c r="F10785" s="52" t="s">
        <v>26</v>
      </c>
      <c r="G10785" s="54"/>
    </row>
    <row r="10786">
      <c r="A10786" s="49">
        <v>45134.50662484954</v>
      </c>
      <c r="B10786" s="50">
        <v>45134.6315996296</v>
      </c>
      <c r="C10786" s="51">
        <v>0.998</v>
      </c>
      <c r="D10786" s="51">
        <v>72.0</v>
      </c>
      <c r="E10786" s="52" t="s">
        <v>25</v>
      </c>
      <c r="F10786" s="52" t="s">
        <v>26</v>
      </c>
      <c r="G10786" s="54"/>
    </row>
    <row r="10787">
      <c r="A10787" s="49">
        <v>45134.51705462963</v>
      </c>
      <c r="B10787" s="50">
        <v>45134.6420317129</v>
      </c>
      <c r="C10787" s="51">
        <v>0.999</v>
      </c>
      <c r="D10787" s="51">
        <v>72.0</v>
      </c>
      <c r="E10787" s="52" t="s">
        <v>25</v>
      </c>
      <c r="F10787" s="52" t="s">
        <v>26</v>
      </c>
      <c r="G10787" s="54"/>
    </row>
    <row r="10788">
      <c r="A10788" s="49">
        <v>45134.52747939815</v>
      </c>
      <c r="B10788" s="50">
        <v>45134.6524519791</v>
      </c>
      <c r="C10788" s="51">
        <v>0.998</v>
      </c>
      <c r="D10788" s="51">
        <v>72.0</v>
      </c>
      <c r="E10788" s="52" t="s">
        <v>25</v>
      </c>
      <c r="F10788" s="52" t="s">
        <v>26</v>
      </c>
      <c r="G10788" s="54"/>
    </row>
    <row r="10789">
      <c r="A10789" s="49">
        <v>45134.53791337963</v>
      </c>
      <c r="B10789" s="50">
        <v>45134.6628717708</v>
      </c>
      <c r="C10789" s="51">
        <v>0.998</v>
      </c>
      <c r="D10789" s="51">
        <v>72.0</v>
      </c>
      <c r="E10789" s="52" t="s">
        <v>25</v>
      </c>
      <c r="F10789" s="52" t="s">
        <v>26</v>
      </c>
      <c r="G10789" s="54"/>
    </row>
    <row r="10790">
      <c r="A10790" s="49">
        <v>45134.54831145833</v>
      </c>
      <c r="B10790" s="50">
        <v>45134.6732931597</v>
      </c>
      <c r="C10790" s="51">
        <v>0.998</v>
      </c>
      <c r="D10790" s="51">
        <v>72.0</v>
      </c>
      <c r="E10790" s="52" t="s">
        <v>25</v>
      </c>
      <c r="F10790" s="52" t="s">
        <v>26</v>
      </c>
      <c r="G10790" s="54"/>
    </row>
    <row r="10791">
      <c r="A10791" s="49">
        <v>45134.55874875</v>
      </c>
      <c r="B10791" s="50">
        <v>45134.6837143055</v>
      </c>
      <c r="C10791" s="51">
        <v>0.998</v>
      </c>
      <c r="D10791" s="51">
        <v>72.0</v>
      </c>
      <c r="E10791" s="52" t="s">
        <v>25</v>
      </c>
      <c r="F10791" s="52" t="s">
        <v>26</v>
      </c>
      <c r="G10791" s="54"/>
    </row>
    <row r="10792">
      <c r="A10792" s="49">
        <v>45134.56918057871</v>
      </c>
      <c r="B10792" s="50">
        <v>45134.6941472685</v>
      </c>
      <c r="C10792" s="51">
        <v>0.998</v>
      </c>
      <c r="D10792" s="51">
        <v>72.0</v>
      </c>
      <c r="E10792" s="52" t="s">
        <v>25</v>
      </c>
      <c r="F10792" s="52" t="s">
        <v>26</v>
      </c>
      <c r="G10792" s="54"/>
    </row>
    <row r="10793">
      <c r="A10793" s="49">
        <v>45134.579599317134</v>
      </c>
      <c r="B10793" s="50">
        <v>45134.7045694907</v>
      </c>
      <c r="C10793" s="51">
        <v>0.998</v>
      </c>
      <c r="D10793" s="51">
        <v>72.0</v>
      </c>
      <c r="E10793" s="52" t="s">
        <v>25</v>
      </c>
      <c r="F10793" s="52" t="s">
        <v>26</v>
      </c>
      <c r="G10793" s="54"/>
    </row>
    <row r="10794">
      <c r="A10794" s="49">
        <v>45134.59001644676</v>
      </c>
      <c r="B10794" s="50">
        <v>45134.7149898958</v>
      </c>
      <c r="C10794" s="51">
        <v>0.999</v>
      </c>
      <c r="D10794" s="51">
        <v>72.0</v>
      </c>
      <c r="E10794" s="52" t="s">
        <v>25</v>
      </c>
      <c r="F10794" s="52" t="s">
        <v>26</v>
      </c>
      <c r="G10794" s="54"/>
    </row>
    <row r="10795">
      <c r="A10795" s="49">
        <v>45134.60043640046</v>
      </c>
      <c r="B10795" s="50">
        <v>45134.7254120486</v>
      </c>
      <c r="C10795" s="51">
        <v>0.998</v>
      </c>
      <c r="D10795" s="51">
        <v>72.0</v>
      </c>
      <c r="E10795" s="52" t="s">
        <v>25</v>
      </c>
      <c r="F10795" s="52" t="s">
        <v>26</v>
      </c>
      <c r="G10795" s="54"/>
    </row>
    <row r="10796">
      <c r="A10796" s="49">
        <v>45134.610851226855</v>
      </c>
      <c r="B10796" s="50">
        <v>45134.7358334606</v>
      </c>
      <c r="C10796" s="51">
        <v>0.999</v>
      </c>
      <c r="D10796" s="51">
        <v>72.0</v>
      </c>
      <c r="E10796" s="52" t="s">
        <v>25</v>
      </c>
      <c r="F10796" s="52" t="s">
        <v>26</v>
      </c>
      <c r="G10796" s="54"/>
    </row>
    <row r="10797">
      <c r="A10797" s="49">
        <v>45134.62128446759</v>
      </c>
      <c r="B10797" s="50">
        <v>45134.7462534027</v>
      </c>
      <c r="C10797" s="51">
        <v>0.998</v>
      </c>
      <c r="D10797" s="51">
        <v>72.0</v>
      </c>
      <c r="E10797" s="52" t="s">
        <v>25</v>
      </c>
      <c r="F10797" s="52" t="s">
        <v>26</v>
      </c>
      <c r="G10797" s="54"/>
    </row>
    <row r="10798">
      <c r="A10798" s="49">
        <v>45134.6316988426</v>
      </c>
      <c r="B10798" s="50">
        <v>45134.7566735069</v>
      </c>
      <c r="C10798" s="51">
        <v>0.998</v>
      </c>
      <c r="D10798" s="51">
        <v>72.0</v>
      </c>
      <c r="E10798" s="52" t="s">
        <v>25</v>
      </c>
      <c r="F10798" s="52" t="s">
        <v>26</v>
      </c>
      <c r="G10798" s="54"/>
    </row>
    <row r="10799">
      <c r="A10799" s="49">
        <v>45134.64212414352</v>
      </c>
      <c r="B10799" s="50">
        <v>45134.7670953356</v>
      </c>
      <c r="C10799" s="51">
        <v>0.998</v>
      </c>
      <c r="D10799" s="51">
        <v>72.0</v>
      </c>
      <c r="E10799" s="52" t="s">
        <v>25</v>
      </c>
      <c r="F10799" s="52" t="s">
        <v>26</v>
      </c>
      <c r="G10799" s="54"/>
    </row>
    <row r="10800">
      <c r="A10800" s="49">
        <v>45134.65255481482</v>
      </c>
      <c r="B10800" s="50">
        <v>45134.7775281713</v>
      </c>
      <c r="C10800" s="51">
        <v>0.998</v>
      </c>
      <c r="D10800" s="51">
        <v>72.0</v>
      </c>
      <c r="E10800" s="52" t="s">
        <v>25</v>
      </c>
      <c r="F10800" s="52" t="s">
        <v>26</v>
      </c>
      <c r="G10800" s="54"/>
    </row>
    <row r="10801">
      <c r="A10801" s="49">
        <v>45134.662969895835</v>
      </c>
      <c r="B10801" s="50">
        <v>45134.7879480671</v>
      </c>
      <c r="C10801" s="51">
        <v>0.998</v>
      </c>
      <c r="D10801" s="51">
        <v>72.0</v>
      </c>
      <c r="E10801" s="52" t="s">
        <v>25</v>
      </c>
      <c r="F10801" s="52" t="s">
        <v>26</v>
      </c>
      <c r="G10801" s="54"/>
    </row>
    <row r="10802">
      <c r="A10802" s="49">
        <v>45134.67339806713</v>
      </c>
      <c r="B10802" s="50">
        <v>45134.7983689236</v>
      </c>
      <c r="C10802" s="51">
        <v>0.998</v>
      </c>
      <c r="D10802" s="51">
        <v>72.0</v>
      </c>
      <c r="E10802" s="52" t="s">
        <v>25</v>
      </c>
      <c r="F10802" s="52" t="s">
        <v>26</v>
      </c>
      <c r="G10802" s="54"/>
    </row>
    <row r="10803">
      <c r="A10803" s="49">
        <v>45134.68383178241</v>
      </c>
      <c r="B10803" s="50">
        <v>45134.8088023958</v>
      </c>
      <c r="C10803" s="51">
        <v>0.998</v>
      </c>
      <c r="D10803" s="51">
        <v>72.0</v>
      </c>
      <c r="E10803" s="52" t="s">
        <v>25</v>
      </c>
      <c r="F10803" s="52" t="s">
        <v>26</v>
      </c>
      <c r="G10803" s="54"/>
    </row>
    <row r="10804">
      <c r="A10804" s="49">
        <v>45134.69424699074</v>
      </c>
      <c r="B10804" s="50">
        <v>45134.8192250115</v>
      </c>
      <c r="C10804" s="51">
        <v>0.999</v>
      </c>
      <c r="D10804" s="51">
        <v>72.0</v>
      </c>
      <c r="E10804" s="52" t="s">
        <v>25</v>
      </c>
      <c r="F10804" s="52" t="s">
        <v>26</v>
      </c>
      <c r="G10804" s="54"/>
    </row>
    <row r="10805">
      <c r="A10805" s="49">
        <v>45134.704688611106</v>
      </c>
      <c r="B10805" s="50">
        <v>45134.8296578703</v>
      </c>
      <c r="C10805" s="51">
        <v>0.998</v>
      </c>
      <c r="D10805" s="51">
        <v>72.0</v>
      </c>
      <c r="E10805" s="52" t="s">
        <v>25</v>
      </c>
      <c r="F10805" s="52" t="s">
        <v>26</v>
      </c>
      <c r="G10805" s="54"/>
    </row>
    <row r="10806">
      <c r="A10806" s="49">
        <v>45134.715129178236</v>
      </c>
      <c r="B10806" s="50">
        <v>45134.8400905555</v>
      </c>
      <c r="C10806" s="51">
        <v>0.998</v>
      </c>
      <c r="D10806" s="51">
        <v>72.0</v>
      </c>
      <c r="E10806" s="52" t="s">
        <v>25</v>
      </c>
      <c r="F10806" s="52" t="s">
        <v>26</v>
      </c>
      <c r="G10806" s="54"/>
    </row>
    <row r="10807">
      <c r="A10807" s="49">
        <v>45134.72555914352</v>
      </c>
      <c r="B10807" s="50">
        <v>45134.8505351504</v>
      </c>
      <c r="C10807" s="51">
        <v>0.998</v>
      </c>
      <c r="D10807" s="51">
        <v>72.0</v>
      </c>
      <c r="E10807" s="52" t="s">
        <v>25</v>
      </c>
      <c r="F10807" s="52" t="s">
        <v>26</v>
      </c>
      <c r="G10807" s="54"/>
    </row>
    <row r="10808">
      <c r="A10808" s="49">
        <v>45134.735979791665</v>
      </c>
      <c r="B10808" s="50">
        <v>45134.8609573495</v>
      </c>
      <c r="C10808" s="51">
        <v>0.998</v>
      </c>
      <c r="D10808" s="51">
        <v>72.0</v>
      </c>
      <c r="E10808" s="52" t="s">
        <v>25</v>
      </c>
      <c r="F10808" s="52" t="s">
        <v>26</v>
      </c>
      <c r="G10808" s="54"/>
    </row>
    <row r="10809">
      <c r="A10809" s="49">
        <v>45134.746407893515</v>
      </c>
      <c r="B10809" s="50">
        <v>45134.871379074</v>
      </c>
      <c r="C10809" s="51">
        <v>0.999</v>
      </c>
      <c r="D10809" s="51">
        <v>72.0</v>
      </c>
      <c r="E10809" s="52" t="s">
        <v>25</v>
      </c>
      <c r="F10809" s="52" t="s">
        <v>26</v>
      </c>
      <c r="G10809" s="54"/>
    </row>
    <row r="10810">
      <c r="A10810" s="49">
        <v>45134.756827916666</v>
      </c>
      <c r="B10810" s="50">
        <v>45134.881798831</v>
      </c>
      <c r="C10810" s="51">
        <v>0.998</v>
      </c>
      <c r="D10810" s="51">
        <v>72.0</v>
      </c>
      <c r="E10810" s="52" t="s">
        <v>25</v>
      </c>
      <c r="F10810" s="52" t="s">
        <v>26</v>
      </c>
      <c r="G10810" s="54"/>
    </row>
    <row r="10811">
      <c r="A10811" s="49">
        <v>45134.76724681713</v>
      </c>
      <c r="B10811" s="50">
        <v>45134.8922191898</v>
      </c>
      <c r="C10811" s="51">
        <v>0.998</v>
      </c>
      <c r="D10811" s="51">
        <v>72.0</v>
      </c>
      <c r="E10811" s="52" t="s">
        <v>25</v>
      </c>
      <c r="F10811" s="52" t="s">
        <v>26</v>
      </c>
      <c r="G10811" s="54"/>
    </row>
    <row r="10812">
      <c r="A10812" s="49">
        <v>45134.76872393518</v>
      </c>
      <c r="B10812" s="50">
        <v>45134.8936501967</v>
      </c>
      <c r="C10812" s="51">
        <v>0.998</v>
      </c>
      <c r="D10812" s="51">
        <v>72.0</v>
      </c>
      <c r="E10812" s="52" t="s">
        <v>25</v>
      </c>
      <c r="F10812" s="52" t="s">
        <v>26</v>
      </c>
      <c r="G10812" s="54"/>
    </row>
    <row r="10813">
      <c r="A10813" s="49">
        <v>45134.77915364583</v>
      </c>
      <c r="B10813" s="50">
        <v>45134.9040723379</v>
      </c>
      <c r="C10813" s="51">
        <v>0.998</v>
      </c>
      <c r="D10813" s="51">
        <v>72.0</v>
      </c>
      <c r="E10813" s="52" t="s">
        <v>25</v>
      </c>
      <c r="F10813" s="52" t="s">
        <v>26</v>
      </c>
      <c r="G10813" s="54"/>
    </row>
    <row r="10814">
      <c r="A10814" s="49">
        <v>45134.78957523148</v>
      </c>
      <c r="B10814" s="50">
        <v>45134.9144920023</v>
      </c>
      <c r="C10814" s="51">
        <v>0.998</v>
      </c>
      <c r="D10814" s="51">
        <v>72.0</v>
      </c>
      <c r="E10814" s="52" t="s">
        <v>25</v>
      </c>
      <c r="F10814" s="52" t="s">
        <v>26</v>
      </c>
      <c r="G10814" s="54"/>
    </row>
    <row r="10815">
      <c r="A10815" s="49">
        <v>45134.79999195602</v>
      </c>
      <c r="B10815" s="50">
        <v>45134.9249247337</v>
      </c>
      <c r="C10815" s="51">
        <v>0.998</v>
      </c>
      <c r="D10815" s="51">
        <v>72.0</v>
      </c>
      <c r="E10815" s="52" t="s">
        <v>25</v>
      </c>
      <c r="F10815" s="52" t="s">
        <v>26</v>
      </c>
      <c r="G10815" s="54"/>
    </row>
    <row r="10816">
      <c r="A10816" s="49">
        <v>45134.810416099535</v>
      </c>
      <c r="B10816" s="50">
        <v>45134.9353460763</v>
      </c>
      <c r="C10816" s="51">
        <v>0.998</v>
      </c>
      <c r="D10816" s="51">
        <v>72.0</v>
      </c>
      <c r="E10816" s="52" t="s">
        <v>25</v>
      </c>
      <c r="F10816" s="52" t="s">
        <v>26</v>
      </c>
      <c r="G10816" s="54"/>
    </row>
    <row r="10817">
      <c r="A10817" s="49">
        <v>45134.820831516205</v>
      </c>
      <c r="B10817" s="50">
        <v>45134.9457670717</v>
      </c>
      <c r="C10817" s="51">
        <v>0.998</v>
      </c>
      <c r="D10817" s="51">
        <v>72.0</v>
      </c>
      <c r="E10817" s="52" t="s">
        <v>25</v>
      </c>
      <c r="F10817" s="52" t="s">
        <v>26</v>
      </c>
      <c r="G10817" s="54"/>
    </row>
    <row r="10818">
      <c r="A10818" s="49">
        <v>45134.83126009259</v>
      </c>
      <c r="B10818" s="50">
        <v>45134.9561871296</v>
      </c>
      <c r="C10818" s="51">
        <v>0.998</v>
      </c>
      <c r="D10818" s="51">
        <v>72.0</v>
      </c>
      <c r="E10818" s="52" t="s">
        <v>25</v>
      </c>
      <c r="F10818" s="52" t="s">
        <v>26</v>
      </c>
      <c r="G10818" s="54"/>
    </row>
    <row r="10819">
      <c r="A10819" s="49">
        <v>45134.84169231482</v>
      </c>
      <c r="B10819" s="50">
        <v>45134.9666317592</v>
      </c>
      <c r="C10819" s="51">
        <v>0.998</v>
      </c>
      <c r="D10819" s="51">
        <v>72.0</v>
      </c>
      <c r="E10819" s="52" t="s">
        <v>25</v>
      </c>
      <c r="F10819" s="52" t="s">
        <v>26</v>
      </c>
      <c r="G10819" s="54"/>
    </row>
    <row r="10820">
      <c r="A10820" s="49">
        <v>45134.85210853009</v>
      </c>
      <c r="B10820" s="50">
        <v>45134.9770521759</v>
      </c>
      <c r="C10820" s="51">
        <v>0.998</v>
      </c>
      <c r="D10820" s="51">
        <v>72.0</v>
      </c>
      <c r="E10820" s="52" t="s">
        <v>25</v>
      </c>
      <c r="F10820" s="52" t="s">
        <v>26</v>
      </c>
      <c r="G10820" s="54"/>
    </row>
    <row r="10821">
      <c r="A10821" s="49">
        <v>45134.86254298611</v>
      </c>
      <c r="B10821" s="50">
        <v>45134.9874842361</v>
      </c>
      <c r="C10821" s="51">
        <v>0.998</v>
      </c>
      <c r="D10821" s="51">
        <v>72.0</v>
      </c>
      <c r="E10821" s="52" t="s">
        <v>25</v>
      </c>
      <c r="F10821" s="52" t="s">
        <v>26</v>
      </c>
      <c r="G10821" s="54"/>
    </row>
    <row r="10822">
      <c r="A10822" s="49">
        <v>45134.87296405093</v>
      </c>
      <c r="B10822" s="50">
        <v>45134.9979049652</v>
      </c>
      <c r="C10822" s="51">
        <v>0.998</v>
      </c>
      <c r="D10822" s="51">
        <v>72.0</v>
      </c>
      <c r="E10822" s="52" t="s">
        <v>25</v>
      </c>
      <c r="F10822" s="52" t="s">
        <v>26</v>
      </c>
      <c r="G10822" s="54"/>
    </row>
    <row r="10823">
      <c r="A10823" s="49">
        <v>45134.88338329861</v>
      </c>
      <c r="B10823" s="50">
        <v>45135.0083382986</v>
      </c>
      <c r="C10823" s="51">
        <v>0.998</v>
      </c>
      <c r="D10823" s="51">
        <v>72.0</v>
      </c>
      <c r="E10823" s="52" t="s">
        <v>25</v>
      </c>
      <c r="F10823" s="52" t="s">
        <v>26</v>
      </c>
      <c r="G10823" s="54"/>
    </row>
    <row r="10824">
      <c r="A10824" s="49">
        <v>45134.893809270834</v>
      </c>
      <c r="B10824" s="50">
        <v>45135.0187712152</v>
      </c>
      <c r="C10824" s="51">
        <v>0.999</v>
      </c>
      <c r="D10824" s="51">
        <v>72.0</v>
      </c>
      <c r="E10824" s="52" t="s">
        <v>25</v>
      </c>
      <c r="F10824" s="52" t="s">
        <v>26</v>
      </c>
      <c r="G10824" s="54"/>
    </row>
    <row r="10825">
      <c r="A10825" s="49">
        <v>45134.90422694445</v>
      </c>
      <c r="B10825" s="50">
        <v>45135.0291949537</v>
      </c>
      <c r="C10825" s="51">
        <v>0.998</v>
      </c>
      <c r="D10825" s="51">
        <v>72.0</v>
      </c>
      <c r="E10825" s="52" t="s">
        <v>25</v>
      </c>
      <c r="F10825" s="52" t="s">
        <v>26</v>
      </c>
      <c r="G10825" s="54"/>
    </row>
    <row r="10826">
      <c r="A10826" s="49">
        <v>45134.914641435185</v>
      </c>
      <c r="B10826" s="50">
        <v>45135.0396175463</v>
      </c>
      <c r="C10826" s="51">
        <v>0.999</v>
      </c>
      <c r="D10826" s="51">
        <v>72.0</v>
      </c>
      <c r="E10826" s="52" t="s">
        <v>25</v>
      </c>
      <c r="F10826" s="52" t="s">
        <v>26</v>
      </c>
      <c r="G10826" s="54"/>
    </row>
    <row r="10827">
      <c r="A10827" s="49">
        <v>45134.92507966435</v>
      </c>
      <c r="B10827" s="50">
        <v>45135.0500385648</v>
      </c>
      <c r="C10827" s="51">
        <v>0.998</v>
      </c>
      <c r="D10827" s="51">
        <v>72.0</v>
      </c>
      <c r="E10827" s="52" t="s">
        <v>25</v>
      </c>
      <c r="F10827" s="52" t="s">
        <v>26</v>
      </c>
      <c r="G10827" s="54"/>
    </row>
    <row r="10828">
      <c r="A10828" s="49">
        <v>45134.935502719905</v>
      </c>
      <c r="B10828" s="50">
        <v>45135.0604610648</v>
      </c>
      <c r="C10828" s="51">
        <v>0.998</v>
      </c>
      <c r="D10828" s="51">
        <v>72.0</v>
      </c>
      <c r="E10828" s="52" t="s">
        <v>25</v>
      </c>
      <c r="F10828" s="52" t="s">
        <v>26</v>
      </c>
      <c r="G10828" s="54"/>
    </row>
    <row r="10829">
      <c r="A10829" s="49">
        <v>45134.94592766203</v>
      </c>
      <c r="B10829" s="50">
        <v>45135.0708826388</v>
      </c>
      <c r="C10829" s="51">
        <v>0.998</v>
      </c>
      <c r="D10829" s="51">
        <v>72.0</v>
      </c>
      <c r="E10829" s="52" t="s">
        <v>25</v>
      </c>
      <c r="F10829" s="52" t="s">
        <v>26</v>
      </c>
      <c r="G10829" s="54"/>
    </row>
    <row r="10830">
      <c r="A10830" s="49">
        <v>45134.95635674769</v>
      </c>
      <c r="B10830" s="50">
        <v>45135.0813037731</v>
      </c>
      <c r="C10830" s="51">
        <v>0.998</v>
      </c>
      <c r="D10830" s="51">
        <v>72.0</v>
      </c>
      <c r="E10830" s="52" t="s">
        <v>25</v>
      </c>
      <c r="F10830" s="52" t="s">
        <v>26</v>
      </c>
      <c r="G10830" s="54"/>
    </row>
    <row r="10831">
      <c r="A10831" s="49">
        <v>45134.966783194446</v>
      </c>
      <c r="B10831" s="50">
        <v>45135.0917337847</v>
      </c>
      <c r="C10831" s="51">
        <v>0.998</v>
      </c>
      <c r="D10831" s="51">
        <v>72.0</v>
      </c>
      <c r="E10831" s="52" t="s">
        <v>25</v>
      </c>
      <c r="F10831" s="52" t="s">
        <v>26</v>
      </c>
      <c r="G10831" s="54"/>
    </row>
    <row r="10832">
      <c r="A10832" s="49">
        <v>45134.97720458334</v>
      </c>
      <c r="B10832" s="50">
        <v>45135.102167824</v>
      </c>
      <c r="C10832" s="51">
        <v>0.998</v>
      </c>
      <c r="D10832" s="51">
        <v>72.0</v>
      </c>
      <c r="E10832" s="52" t="s">
        <v>25</v>
      </c>
      <c r="F10832" s="52" t="s">
        <v>26</v>
      </c>
      <c r="G10832" s="54"/>
    </row>
    <row r="10833">
      <c r="A10833" s="49">
        <v>45134.987626435184</v>
      </c>
      <c r="B10833" s="50">
        <v>45135.112587824</v>
      </c>
      <c r="C10833" s="51">
        <v>0.998</v>
      </c>
      <c r="D10833" s="51">
        <v>72.0</v>
      </c>
      <c r="E10833" s="52" t="s">
        <v>25</v>
      </c>
      <c r="F10833" s="52" t="s">
        <v>26</v>
      </c>
      <c r="G10833" s="54"/>
    </row>
    <row r="10834">
      <c r="A10834" s="49">
        <v>45134.998055625</v>
      </c>
      <c r="B10834" s="50">
        <v>45135.1230208564</v>
      </c>
      <c r="C10834" s="51">
        <v>0.998</v>
      </c>
      <c r="D10834" s="51">
        <v>72.0</v>
      </c>
      <c r="E10834" s="52" t="s">
        <v>25</v>
      </c>
      <c r="F10834" s="52" t="s">
        <v>26</v>
      </c>
      <c r="G10834" s="54"/>
    </row>
    <row r="10835">
      <c r="A10835" s="49">
        <v>45135.00847181713</v>
      </c>
      <c r="B10835" s="50">
        <v>45135.1334422685</v>
      </c>
      <c r="C10835" s="51">
        <v>0.998</v>
      </c>
      <c r="D10835" s="51">
        <v>72.0</v>
      </c>
      <c r="E10835" s="52" t="s">
        <v>25</v>
      </c>
      <c r="F10835" s="52" t="s">
        <v>26</v>
      </c>
      <c r="G10835" s="54"/>
    </row>
    <row r="10836">
      <c r="A10836" s="49">
        <v>45135.01888831018</v>
      </c>
      <c r="B10836" s="50">
        <v>45135.1438624652</v>
      </c>
      <c r="C10836" s="51">
        <v>0.998</v>
      </c>
      <c r="D10836" s="51">
        <v>72.0</v>
      </c>
      <c r="E10836" s="52" t="s">
        <v>25</v>
      </c>
      <c r="F10836" s="52" t="s">
        <v>26</v>
      </c>
      <c r="G10836" s="54"/>
    </row>
    <row r="10837">
      <c r="A10837" s="49">
        <v>45135.02931755787</v>
      </c>
      <c r="B10837" s="50">
        <v>45135.1542838425</v>
      </c>
      <c r="C10837" s="51">
        <v>0.998</v>
      </c>
      <c r="D10837" s="51">
        <v>72.0</v>
      </c>
      <c r="E10837" s="52" t="s">
        <v>25</v>
      </c>
      <c r="F10837" s="52" t="s">
        <v>26</v>
      </c>
      <c r="G10837" s="54"/>
    </row>
    <row r="10838">
      <c r="A10838" s="49">
        <v>45135.039734895836</v>
      </c>
      <c r="B10838" s="50">
        <v>45135.1647049189</v>
      </c>
      <c r="C10838" s="51">
        <v>0.998</v>
      </c>
      <c r="D10838" s="51">
        <v>72.0</v>
      </c>
      <c r="E10838" s="52" t="s">
        <v>25</v>
      </c>
      <c r="F10838" s="52" t="s">
        <v>26</v>
      </c>
      <c r="G10838" s="54"/>
    </row>
    <row r="10839">
      <c r="A10839" s="49">
        <v>45135.05016236111</v>
      </c>
      <c r="B10839" s="50">
        <v>45135.175124699</v>
      </c>
      <c r="C10839" s="51">
        <v>0.998</v>
      </c>
      <c r="D10839" s="51">
        <v>72.0</v>
      </c>
      <c r="E10839" s="52" t="s">
        <v>25</v>
      </c>
      <c r="F10839" s="52" t="s">
        <v>26</v>
      </c>
      <c r="G10839" s="54"/>
    </row>
    <row r="10840">
      <c r="A10840" s="49">
        <v>45135.06058351852</v>
      </c>
      <c r="B10840" s="50">
        <v>45135.1855571643</v>
      </c>
      <c r="C10840" s="51">
        <v>0.998</v>
      </c>
      <c r="D10840" s="51">
        <v>72.0</v>
      </c>
      <c r="E10840" s="52" t="s">
        <v>25</v>
      </c>
      <c r="F10840" s="52" t="s">
        <v>26</v>
      </c>
      <c r="G10840" s="54"/>
    </row>
    <row r="10841">
      <c r="A10841" s="49">
        <v>45135.07100925926</v>
      </c>
      <c r="B10841" s="50">
        <v>45135.1959892592</v>
      </c>
      <c r="C10841" s="51">
        <v>0.999</v>
      </c>
      <c r="D10841" s="51">
        <v>72.0</v>
      </c>
      <c r="E10841" s="52" t="s">
        <v>25</v>
      </c>
      <c r="F10841" s="52" t="s">
        <v>26</v>
      </c>
      <c r="G10841" s="54"/>
    </row>
    <row r="10842">
      <c r="A10842" s="49">
        <v>45135.08144498843</v>
      </c>
      <c r="B10842" s="50">
        <v>45135.2064226504</v>
      </c>
      <c r="C10842" s="51">
        <v>0.998</v>
      </c>
      <c r="D10842" s="51">
        <v>72.0</v>
      </c>
      <c r="E10842" s="52" t="s">
        <v>25</v>
      </c>
      <c r="F10842" s="52" t="s">
        <v>26</v>
      </c>
      <c r="G10842" s="54"/>
    </row>
    <row r="10843">
      <c r="A10843" s="49">
        <v>45135.09188556713</v>
      </c>
      <c r="B10843" s="50">
        <v>45135.2168568865</v>
      </c>
      <c r="C10843" s="51">
        <v>0.998</v>
      </c>
      <c r="D10843" s="51">
        <v>72.0</v>
      </c>
      <c r="E10843" s="52" t="s">
        <v>25</v>
      </c>
      <c r="F10843" s="52" t="s">
        <v>26</v>
      </c>
      <c r="G10843" s="54"/>
    </row>
    <row r="10844">
      <c r="A10844" s="49">
        <v>45135.10229876157</v>
      </c>
      <c r="B10844" s="50">
        <v>45135.2272784722</v>
      </c>
      <c r="C10844" s="51">
        <v>0.998</v>
      </c>
      <c r="D10844" s="51">
        <v>72.0</v>
      </c>
      <c r="E10844" s="52" t="s">
        <v>25</v>
      </c>
      <c r="F10844" s="52" t="s">
        <v>26</v>
      </c>
      <c r="G10844" s="54"/>
    </row>
    <row r="10845">
      <c r="A10845" s="49">
        <v>45135.11275627315</v>
      </c>
      <c r="B10845" s="50">
        <v>45135.2377225</v>
      </c>
      <c r="C10845" s="51">
        <v>0.998</v>
      </c>
      <c r="D10845" s="51">
        <v>72.0</v>
      </c>
      <c r="E10845" s="52" t="s">
        <v>25</v>
      </c>
      <c r="F10845" s="52" t="s">
        <v>26</v>
      </c>
      <c r="G10845" s="54"/>
    </row>
    <row r="10846">
      <c r="A10846" s="49">
        <v>45135.123178657406</v>
      </c>
      <c r="B10846" s="50">
        <v>45135.2481425463</v>
      </c>
      <c r="C10846" s="51">
        <v>0.998</v>
      </c>
      <c r="D10846" s="51">
        <v>72.0</v>
      </c>
      <c r="E10846" s="52" t="s">
        <v>25</v>
      </c>
      <c r="F10846" s="52" t="s">
        <v>26</v>
      </c>
      <c r="G10846" s="54"/>
    </row>
    <row r="10847">
      <c r="A10847" s="49">
        <v>45135.133598622684</v>
      </c>
      <c r="B10847" s="50">
        <v>45135.2585652662</v>
      </c>
      <c r="C10847" s="51">
        <v>0.999</v>
      </c>
      <c r="D10847" s="51">
        <v>72.0</v>
      </c>
      <c r="E10847" s="52" t="s">
        <v>25</v>
      </c>
      <c r="F10847" s="52" t="s">
        <v>26</v>
      </c>
      <c r="G10847" s="54"/>
    </row>
    <row r="10848">
      <c r="A10848" s="49">
        <v>45135.14403034722</v>
      </c>
      <c r="B10848" s="50">
        <v>45135.2689994328</v>
      </c>
      <c r="C10848" s="51">
        <v>0.998</v>
      </c>
      <c r="D10848" s="51">
        <v>72.0</v>
      </c>
      <c r="E10848" s="52" t="s">
        <v>25</v>
      </c>
      <c r="F10848" s="52" t="s">
        <v>26</v>
      </c>
      <c r="G10848" s="54"/>
    </row>
    <row r="10849">
      <c r="A10849" s="49">
        <v>45135.154446712964</v>
      </c>
      <c r="B10849" s="50">
        <v>45135.2794203472</v>
      </c>
      <c r="C10849" s="51">
        <v>0.999</v>
      </c>
      <c r="D10849" s="51">
        <v>72.0</v>
      </c>
      <c r="E10849" s="52" t="s">
        <v>25</v>
      </c>
      <c r="F10849" s="52" t="s">
        <v>26</v>
      </c>
      <c r="G10849" s="54"/>
    </row>
    <row r="10850">
      <c r="A10850" s="49">
        <v>45135.16487784722</v>
      </c>
      <c r="B10850" s="50">
        <v>45135.2898423958</v>
      </c>
      <c r="C10850" s="51">
        <v>0.998</v>
      </c>
      <c r="D10850" s="51">
        <v>72.0</v>
      </c>
      <c r="E10850" s="52" t="s">
        <v>25</v>
      </c>
      <c r="F10850" s="52" t="s">
        <v>26</v>
      </c>
      <c r="G10850" s="54"/>
    </row>
    <row r="10851">
      <c r="A10851" s="49">
        <v>45135.17528815972</v>
      </c>
      <c r="B10851" s="50">
        <v>45135.3002633217</v>
      </c>
      <c r="C10851" s="51">
        <v>0.998</v>
      </c>
      <c r="D10851" s="51">
        <v>72.0</v>
      </c>
      <c r="E10851" s="52" t="s">
        <v>25</v>
      </c>
      <c r="F10851" s="52" t="s">
        <v>26</v>
      </c>
      <c r="G10851" s="54"/>
    </row>
    <row r="10852">
      <c r="A10852" s="49">
        <v>45135.18571710648</v>
      </c>
      <c r="B10852" s="50">
        <v>45135.3106822801</v>
      </c>
      <c r="C10852" s="51">
        <v>0.998</v>
      </c>
      <c r="D10852" s="51">
        <v>72.0</v>
      </c>
      <c r="E10852" s="52" t="s">
        <v>25</v>
      </c>
      <c r="F10852" s="52" t="s">
        <v>26</v>
      </c>
      <c r="G10852" s="54"/>
    </row>
    <row r="10853">
      <c r="A10853" s="49">
        <v>45135.19614659723</v>
      </c>
      <c r="B10853" s="50">
        <v>45135.3211037847</v>
      </c>
      <c r="C10853" s="51">
        <v>0.998</v>
      </c>
      <c r="D10853" s="51">
        <v>72.0</v>
      </c>
      <c r="E10853" s="52" t="s">
        <v>25</v>
      </c>
      <c r="F10853" s="52" t="s">
        <v>26</v>
      </c>
      <c r="G10853" s="54"/>
    </row>
    <row r="10854">
      <c r="A10854" s="49">
        <v>45135.206553738426</v>
      </c>
      <c r="B10854" s="50">
        <v>45135.331524375</v>
      </c>
      <c r="C10854" s="51">
        <v>0.998</v>
      </c>
      <c r="D10854" s="51">
        <v>72.0</v>
      </c>
      <c r="E10854" s="52" t="s">
        <v>25</v>
      </c>
      <c r="F10854" s="52" t="s">
        <v>26</v>
      </c>
      <c r="G10854" s="54"/>
    </row>
    <row r="10855">
      <c r="A10855" s="49">
        <v>45135.216978055556</v>
      </c>
      <c r="B10855" s="50">
        <v>45135.3419432175</v>
      </c>
      <c r="C10855" s="51">
        <v>0.999</v>
      </c>
      <c r="D10855" s="51">
        <v>72.0</v>
      </c>
      <c r="E10855" s="52" t="s">
        <v>25</v>
      </c>
      <c r="F10855" s="52" t="s">
        <v>26</v>
      </c>
      <c r="G10855" s="54"/>
    </row>
    <row r="10856">
      <c r="A10856" s="49">
        <v>45135.22739155093</v>
      </c>
      <c r="B10856" s="50">
        <v>45135.3523636342</v>
      </c>
      <c r="C10856" s="51">
        <v>0.998</v>
      </c>
      <c r="D10856" s="51">
        <v>72.0</v>
      </c>
      <c r="E10856" s="52" t="s">
        <v>25</v>
      </c>
      <c r="F10856" s="52" t="s">
        <v>26</v>
      </c>
      <c r="G10856" s="54"/>
    </row>
    <row r="10857">
      <c r="A10857" s="49">
        <v>45135.237816747685</v>
      </c>
      <c r="B10857" s="50">
        <v>45135.362785868</v>
      </c>
      <c r="C10857" s="51">
        <v>0.998</v>
      </c>
      <c r="D10857" s="51">
        <v>72.0</v>
      </c>
      <c r="E10857" s="52" t="s">
        <v>25</v>
      </c>
      <c r="F10857" s="52" t="s">
        <v>26</v>
      </c>
      <c r="G10857" s="54"/>
    </row>
    <row r="10858">
      <c r="A10858" s="49">
        <v>45135.24823922454</v>
      </c>
      <c r="B10858" s="50">
        <v>45135.3732055902</v>
      </c>
      <c r="C10858" s="51">
        <v>0.998</v>
      </c>
      <c r="D10858" s="51">
        <v>72.0</v>
      </c>
      <c r="E10858" s="52" t="s">
        <v>25</v>
      </c>
      <c r="F10858" s="52" t="s">
        <v>26</v>
      </c>
      <c r="G10858" s="54"/>
    </row>
    <row r="10859">
      <c r="A10859" s="49">
        <v>45135.258650891206</v>
      </c>
      <c r="B10859" s="50">
        <v>45135.3836267939</v>
      </c>
      <c r="C10859" s="51">
        <v>0.998</v>
      </c>
      <c r="D10859" s="51">
        <v>72.0</v>
      </c>
      <c r="E10859" s="52" t="s">
        <v>25</v>
      </c>
      <c r="F10859" s="52" t="s">
        <v>26</v>
      </c>
      <c r="G10859" s="54"/>
    </row>
    <row r="10860">
      <c r="A10860" s="49">
        <v>45135.26908275463</v>
      </c>
      <c r="B10860" s="50">
        <v>45135.3940484838</v>
      </c>
      <c r="C10860" s="51">
        <v>0.998</v>
      </c>
      <c r="D10860" s="51">
        <v>72.0</v>
      </c>
      <c r="E10860" s="52" t="s">
        <v>25</v>
      </c>
      <c r="F10860" s="52" t="s">
        <v>26</v>
      </c>
      <c r="G10860" s="54"/>
    </row>
    <row r="10861">
      <c r="A10861" s="49">
        <v>45135.279493912036</v>
      </c>
      <c r="B10861" s="50">
        <v>45135.4044699189</v>
      </c>
      <c r="C10861" s="51">
        <v>0.998</v>
      </c>
      <c r="D10861" s="51">
        <v>72.0</v>
      </c>
      <c r="E10861" s="52" t="s">
        <v>25</v>
      </c>
      <c r="F10861" s="52" t="s">
        <v>26</v>
      </c>
      <c r="G10861" s="54"/>
    </row>
    <row r="10862">
      <c r="A10862" s="49">
        <v>45135.289947048615</v>
      </c>
      <c r="B10862" s="50">
        <v>45135.4149141898</v>
      </c>
      <c r="C10862" s="51">
        <v>0.998</v>
      </c>
      <c r="D10862" s="51">
        <v>72.0</v>
      </c>
      <c r="E10862" s="52" t="s">
        <v>25</v>
      </c>
      <c r="F10862" s="52" t="s">
        <v>26</v>
      </c>
      <c r="G10862" s="54"/>
    </row>
    <row r="10863">
      <c r="A10863" s="49">
        <v>45135.30036013889</v>
      </c>
      <c r="B10863" s="50">
        <v>45135.4253346875</v>
      </c>
      <c r="C10863" s="51">
        <v>0.998</v>
      </c>
      <c r="D10863" s="51">
        <v>72.0</v>
      </c>
      <c r="E10863" s="52" t="s">
        <v>25</v>
      </c>
      <c r="F10863" s="52" t="s">
        <v>26</v>
      </c>
      <c r="G10863" s="54"/>
    </row>
    <row r="10864">
      <c r="A10864" s="49">
        <v>45135.31078641204</v>
      </c>
      <c r="B10864" s="50">
        <v>45135.4357554745</v>
      </c>
      <c r="C10864" s="51">
        <v>0.998</v>
      </c>
      <c r="D10864" s="51">
        <v>72.0</v>
      </c>
      <c r="E10864" s="52" t="s">
        <v>25</v>
      </c>
      <c r="F10864" s="52" t="s">
        <v>26</v>
      </c>
      <c r="G10864" s="54"/>
    </row>
    <row r="10865">
      <c r="A10865" s="49">
        <v>45135.32122570602</v>
      </c>
      <c r="B10865" s="50">
        <v>45135.4461765277</v>
      </c>
      <c r="C10865" s="51">
        <v>0.999</v>
      </c>
      <c r="D10865" s="51">
        <v>72.0</v>
      </c>
      <c r="E10865" s="52" t="s">
        <v>25</v>
      </c>
      <c r="F10865" s="52" t="s">
        <v>26</v>
      </c>
      <c r="G10865" s="54"/>
    </row>
    <row r="10866">
      <c r="A10866" s="49">
        <v>45135.33164341435</v>
      </c>
      <c r="B10866" s="50">
        <v>45135.4566111921</v>
      </c>
      <c r="C10866" s="51">
        <v>0.998</v>
      </c>
      <c r="D10866" s="51">
        <v>73.0</v>
      </c>
      <c r="E10866" s="52" t="s">
        <v>25</v>
      </c>
      <c r="F10866" s="52" t="s">
        <v>26</v>
      </c>
      <c r="G10866" s="54"/>
    </row>
    <row r="10867">
      <c r="A10867" s="49">
        <v>45135.342068240745</v>
      </c>
      <c r="B10867" s="50">
        <v>45135.4670337847</v>
      </c>
      <c r="C10867" s="51">
        <v>0.998</v>
      </c>
      <c r="D10867" s="51">
        <v>72.0</v>
      </c>
      <c r="E10867" s="52" t="s">
        <v>25</v>
      </c>
      <c r="F10867" s="52" t="s">
        <v>26</v>
      </c>
      <c r="G10867" s="54"/>
    </row>
    <row r="10868">
      <c r="A10868" s="49">
        <v>45135.35248341435</v>
      </c>
      <c r="B10868" s="50">
        <v>45135.4774541435</v>
      </c>
      <c r="C10868" s="51">
        <v>0.998</v>
      </c>
      <c r="D10868" s="51">
        <v>72.0</v>
      </c>
      <c r="E10868" s="52" t="s">
        <v>25</v>
      </c>
      <c r="F10868" s="52" t="s">
        <v>26</v>
      </c>
      <c r="G10868" s="54"/>
    </row>
    <row r="10869">
      <c r="A10869" s="49">
        <v>45135.36290815972</v>
      </c>
      <c r="B10869" s="50">
        <v>45135.4878768055</v>
      </c>
      <c r="C10869" s="51">
        <v>0.998</v>
      </c>
      <c r="D10869" s="51">
        <v>73.0</v>
      </c>
      <c r="E10869" s="52" t="s">
        <v>25</v>
      </c>
      <c r="F10869" s="52" t="s">
        <v>26</v>
      </c>
      <c r="G10869" s="54"/>
    </row>
    <row r="10870">
      <c r="A10870" s="49">
        <v>45135.373330891205</v>
      </c>
      <c r="B10870" s="50">
        <v>45135.4982994328</v>
      </c>
      <c r="C10870" s="51">
        <v>0.998</v>
      </c>
      <c r="D10870" s="51">
        <v>72.0</v>
      </c>
      <c r="E10870" s="52" t="s">
        <v>25</v>
      </c>
      <c r="F10870" s="52" t="s">
        <v>26</v>
      </c>
      <c r="G10870" s="54"/>
    </row>
    <row r="10871">
      <c r="A10871" s="49">
        <v>45135.38374740741</v>
      </c>
      <c r="B10871" s="50">
        <v>45135.508721875</v>
      </c>
      <c r="C10871" s="51">
        <v>0.998</v>
      </c>
      <c r="D10871" s="51">
        <v>72.0</v>
      </c>
      <c r="E10871" s="52" t="s">
        <v>25</v>
      </c>
      <c r="F10871" s="52" t="s">
        <v>26</v>
      </c>
      <c r="G10871" s="54"/>
    </row>
    <row r="10872">
      <c r="A10872" s="49">
        <v>45135.39417784722</v>
      </c>
      <c r="B10872" s="50">
        <v>45135.5191437615</v>
      </c>
      <c r="C10872" s="51">
        <v>0.998</v>
      </c>
      <c r="D10872" s="51">
        <v>72.0</v>
      </c>
      <c r="E10872" s="52" t="s">
        <v>25</v>
      </c>
      <c r="F10872" s="52" t="s">
        <v>26</v>
      </c>
      <c r="G10872" s="54"/>
    </row>
    <row r="10873">
      <c r="A10873" s="49">
        <v>45135.40459017361</v>
      </c>
      <c r="B10873" s="50">
        <v>45135.5295640393</v>
      </c>
      <c r="C10873" s="51">
        <v>0.999</v>
      </c>
      <c r="D10873" s="51">
        <v>72.0</v>
      </c>
      <c r="E10873" s="52" t="s">
        <v>25</v>
      </c>
      <c r="F10873" s="52" t="s">
        <v>26</v>
      </c>
      <c r="G10873" s="54"/>
    </row>
    <row r="10874">
      <c r="A10874" s="49">
        <v>45135.41502335649</v>
      </c>
      <c r="B10874" s="50">
        <v>45135.53998478</v>
      </c>
      <c r="C10874" s="51">
        <v>0.998</v>
      </c>
      <c r="D10874" s="51">
        <v>73.0</v>
      </c>
      <c r="E10874" s="52" t="s">
        <v>25</v>
      </c>
      <c r="F10874" s="52" t="s">
        <v>26</v>
      </c>
      <c r="G10874" s="54"/>
    </row>
    <row r="10875">
      <c r="A10875" s="49">
        <v>45135.42543641204</v>
      </c>
      <c r="B10875" s="50">
        <v>45135.5504060069</v>
      </c>
      <c r="C10875" s="51">
        <v>0.998</v>
      </c>
      <c r="D10875" s="51">
        <v>72.0</v>
      </c>
      <c r="E10875" s="52" t="s">
        <v>25</v>
      </c>
      <c r="F10875" s="52" t="s">
        <v>26</v>
      </c>
      <c r="G10875" s="54"/>
    </row>
    <row r="10876">
      <c r="A10876" s="49">
        <v>45135.43587244213</v>
      </c>
      <c r="B10876" s="50">
        <v>45135.560838206</v>
      </c>
      <c r="C10876" s="51">
        <v>0.998</v>
      </c>
      <c r="D10876" s="51">
        <v>73.0</v>
      </c>
      <c r="E10876" s="52" t="s">
        <v>25</v>
      </c>
      <c r="F10876" s="52" t="s">
        <v>26</v>
      </c>
      <c r="G10876" s="54"/>
    </row>
    <row r="10877">
      <c r="A10877" s="49">
        <v>45135.44628094907</v>
      </c>
      <c r="B10877" s="50">
        <v>45135.5712581365</v>
      </c>
      <c r="C10877" s="51">
        <v>0.998</v>
      </c>
      <c r="D10877" s="51">
        <v>72.0</v>
      </c>
      <c r="E10877" s="52" t="s">
        <v>25</v>
      </c>
      <c r="F10877" s="52" t="s">
        <v>26</v>
      </c>
      <c r="G10877" s="54"/>
    </row>
    <row r="10878">
      <c r="A10878" s="49">
        <v>45135.4567130787</v>
      </c>
      <c r="B10878" s="50">
        <v>45135.5816794676</v>
      </c>
      <c r="C10878" s="51">
        <v>0.998</v>
      </c>
      <c r="D10878" s="51">
        <v>72.0</v>
      </c>
      <c r="E10878" s="52" t="s">
        <v>25</v>
      </c>
      <c r="F10878" s="52" t="s">
        <v>26</v>
      </c>
      <c r="G10878" s="54"/>
    </row>
    <row r="10879">
      <c r="A10879" s="49">
        <v>45135.46713208333</v>
      </c>
      <c r="B10879" s="50">
        <v>45135.5921004629</v>
      </c>
      <c r="C10879" s="51">
        <v>0.998</v>
      </c>
      <c r="D10879" s="51">
        <v>72.0</v>
      </c>
      <c r="E10879" s="52" t="s">
        <v>25</v>
      </c>
      <c r="F10879" s="52" t="s">
        <v>26</v>
      </c>
      <c r="G10879" s="54"/>
    </row>
    <row r="10880">
      <c r="A10880" s="49">
        <v>45135.47754572917</v>
      </c>
      <c r="B10880" s="50">
        <v>45135.6025213657</v>
      </c>
      <c r="C10880" s="51">
        <v>0.998</v>
      </c>
      <c r="D10880" s="51">
        <v>72.0</v>
      </c>
      <c r="E10880" s="52" t="s">
        <v>25</v>
      </c>
      <c r="F10880" s="52" t="s">
        <v>26</v>
      </c>
      <c r="G10880" s="54"/>
    </row>
    <row r="10881">
      <c r="A10881" s="49">
        <v>45135.48797271991</v>
      </c>
      <c r="B10881" s="50">
        <v>45135.6129420833</v>
      </c>
      <c r="C10881" s="51">
        <v>0.998</v>
      </c>
      <c r="D10881" s="51">
        <v>73.0</v>
      </c>
      <c r="E10881" s="52" t="s">
        <v>25</v>
      </c>
      <c r="F10881" s="52" t="s">
        <v>26</v>
      </c>
      <c r="G10881" s="54"/>
    </row>
    <row r="10882">
      <c r="A10882" s="49">
        <v>45135.49838842593</v>
      </c>
      <c r="B10882" s="50">
        <v>45135.6233626041</v>
      </c>
      <c r="C10882" s="51">
        <v>0.999</v>
      </c>
      <c r="D10882" s="51">
        <v>72.0</v>
      </c>
      <c r="E10882" s="52" t="s">
        <v>25</v>
      </c>
      <c r="F10882" s="52" t="s">
        <v>26</v>
      </c>
      <c r="G10882" s="54"/>
    </row>
    <row r="10883">
      <c r="A10883" s="49">
        <v>45135.50883381945</v>
      </c>
      <c r="B10883" s="50">
        <v>45135.6337959259</v>
      </c>
      <c r="C10883" s="51">
        <v>0.998</v>
      </c>
      <c r="D10883" s="51">
        <v>72.0</v>
      </c>
      <c r="E10883" s="52" t="s">
        <v>25</v>
      </c>
      <c r="F10883" s="52" t="s">
        <v>26</v>
      </c>
      <c r="G10883" s="54"/>
    </row>
    <row r="10884">
      <c r="A10884" s="49">
        <v>45135.519246145835</v>
      </c>
      <c r="B10884" s="50">
        <v>45135.6442178472</v>
      </c>
      <c r="C10884" s="51">
        <v>0.998</v>
      </c>
      <c r="D10884" s="51">
        <v>73.0</v>
      </c>
      <c r="E10884" s="52" t="s">
        <v>25</v>
      </c>
      <c r="F10884" s="52" t="s">
        <v>26</v>
      </c>
      <c r="G10884" s="54"/>
    </row>
    <row r="10885">
      <c r="A10885" s="49">
        <v>45135.52967815972</v>
      </c>
      <c r="B10885" s="50">
        <v>45135.6546394675</v>
      </c>
      <c r="C10885" s="51">
        <v>0.998</v>
      </c>
      <c r="D10885" s="51">
        <v>72.0</v>
      </c>
      <c r="E10885" s="52" t="s">
        <v>25</v>
      </c>
      <c r="F10885" s="52" t="s">
        <v>26</v>
      </c>
      <c r="G10885" s="54"/>
    </row>
    <row r="10886">
      <c r="A10886" s="49">
        <v>45135.54009956018</v>
      </c>
      <c r="B10886" s="50">
        <v>45135.6650719444</v>
      </c>
      <c r="C10886" s="51">
        <v>0.998</v>
      </c>
      <c r="D10886" s="51">
        <v>73.0</v>
      </c>
      <c r="E10886" s="52" t="s">
        <v>25</v>
      </c>
      <c r="F10886" s="52" t="s">
        <v>26</v>
      </c>
      <c r="G10886" s="54"/>
    </row>
    <row r="10887">
      <c r="A10887" s="49">
        <v>45135.5505380324</v>
      </c>
      <c r="B10887" s="50">
        <v>45135.6755074189</v>
      </c>
      <c r="C10887" s="51">
        <v>0.998</v>
      </c>
      <c r="D10887" s="51">
        <v>73.0</v>
      </c>
      <c r="E10887" s="52" t="s">
        <v>25</v>
      </c>
      <c r="F10887" s="52" t="s">
        <v>26</v>
      </c>
      <c r="G10887" s="54"/>
    </row>
    <row r="10888">
      <c r="A10888" s="49">
        <v>45135.560965474535</v>
      </c>
      <c r="B10888" s="50">
        <v>45135.6859387268</v>
      </c>
      <c r="C10888" s="51">
        <v>0.999</v>
      </c>
      <c r="D10888" s="51">
        <v>73.0</v>
      </c>
      <c r="E10888" s="52" t="s">
        <v>25</v>
      </c>
      <c r="F10888" s="52" t="s">
        <v>26</v>
      </c>
      <c r="G10888" s="54"/>
    </row>
    <row r="10889">
      <c r="A10889" s="49">
        <v>45135.57139452547</v>
      </c>
      <c r="B10889" s="50">
        <v>45135.6963703356</v>
      </c>
      <c r="C10889" s="51">
        <v>0.998</v>
      </c>
      <c r="D10889" s="51">
        <v>73.0</v>
      </c>
      <c r="E10889" s="52" t="s">
        <v>25</v>
      </c>
      <c r="F10889" s="52" t="s">
        <v>26</v>
      </c>
      <c r="G10889" s="54"/>
    </row>
    <row r="10890">
      <c r="A10890" s="49">
        <v>45135.58182847222</v>
      </c>
      <c r="B10890" s="50">
        <v>45135.7067909838</v>
      </c>
      <c r="C10890" s="51">
        <v>0.998</v>
      </c>
      <c r="D10890" s="51">
        <v>72.0</v>
      </c>
      <c r="E10890" s="52" t="s">
        <v>25</v>
      </c>
      <c r="F10890" s="52" t="s">
        <v>26</v>
      </c>
      <c r="G10890" s="54"/>
    </row>
    <row r="10891">
      <c r="A10891" s="49">
        <v>45135.59224817129</v>
      </c>
      <c r="B10891" s="50">
        <v>45135.7172112615</v>
      </c>
      <c r="C10891" s="51">
        <v>0.999</v>
      </c>
      <c r="D10891" s="51">
        <v>73.0</v>
      </c>
      <c r="E10891" s="52" t="s">
        <v>25</v>
      </c>
      <c r="F10891" s="52" t="s">
        <v>26</v>
      </c>
      <c r="G10891" s="54"/>
    </row>
    <row r="10892">
      <c r="A10892" s="49">
        <v>45135.602654386574</v>
      </c>
      <c r="B10892" s="50">
        <v>45135.7276323611</v>
      </c>
      <c r="C10892" s="51">
        <v>0.998</v>
      </c>
      <c r="D10892" s="51">
        <v>73.0</v>
      </c>
      <c r="E10892" s="52" t="s">
        <v>25</v>
      </c>
      <c r="F10892" s="52" t="s">
        <v>26</v>
      </c>
      <c r="G10892" s="54"/>
    </row>
    <row r="10893">
      <c r="A10893" s="49">
        <v>45135.61308278935</v>
      </c>
      <c r="B10893" s="50">
        <v>45135.738053912</v>
      </c>
      <c r="C10893" s="51">
        <v>0.998</v>
      </c>
      <c r="D10893" s="51">
        <v>72.0</v>
      </c>
      <c r="E10893" s="52" t="s">
        <v>25</v>
      </c>
      <c r="F10893" s="52" t="s">
        <v>26</v>
      </c>
      <c r="G10893" s="54"/>
    </row>
    <row r="10894">
      <c r="A10894" s="49">
        <v>45135.62352149306</v>
      </c>
      <c r="B10894" s="50">
        <v>45135.7484873611</v>
      </c>
      <c r="C10894" s="51">
        <v>0.998</v>
      </c>
      <c r="D10894" s="51">
        <v>72.0</v>
      </c>
      <c r="E10894" s="52" t="s">
        <v>25</v>
      </c>
      <c r="F10894" s="52" t="s">
        <v>26</v>
      </c>
      <c r="G10894" s="54"/>
    </row>
    <row r="10895">
      <c r="A10895" s="49">
        <v>45135.63393260416</v>
      </c>
      <c r="B10895" s="50">
        <v>45135.7589082291</v>
      </c>
      <c r="C10895" s="51">
        <v>0.999</v>
      </c>
      <c r="D10895" s="51">
        <v>72.0</v>
      </c>
      <c r="E10895" s="52" t="s">
        <v>25</v>
      </c>
      <c r="F10895" s="52" t="s">
        <v>26</v>
      </c>
      <c r="G10895" s="54"/>
    </row>
    <row r="10896">
      <c r="A10896" s="49">
        <v>45135.64437034722</v>
      </c>
      <c r="B10896" s="50">
        <v>45135.769330243</v>
      </c>
      <c r="C10896" s="51">
        <v>0.998</v>
      </c>
      <c r="D10896" s="51">
        <v>72.0</v>
      </c>
      <c r="E10896" s="52" t="s">
        <v>25</v>
      </c>
      <c r="F10896" s="52" t="s">
        <v>26</v>
      </c>
      <c r="G10896" s="54"/>
    </row>
    <row r="10897">
      <c r="A10897" s="49">
        <v>45135.65477252315</v>
      </c>
      <c r="B10897" s="50">
        <v>45135.7797519675</v>
      </c>
      <c r="C10897" s="51">
        <v>0.998</v>
      </c>
      <c r="D10897" s="51">
        <v>72.0</v>
      </c>
      <c r="E10897" s="52" t="s">
        <v>25</v>
      </c>
      <c r="F10897" s="52" t="s">
        <v>26</v>
      </c>
      <c r="G10897" s="54"/>
    </row>
    <row r="10898">
      <c r="A10898" s="49">
        <v>45135.665201076394</v>
      </c>
      <c r="B10898" s="50">
        <v>45135.7901722453</v>
      </c>
      <c r="C10898" s="51">
        <v>0.999</v>
      </c>
      <c r="D10898" s="51">
        <v>72.0</v>
      </c>
      <c r="E10898" s="52" t="s">
        <v>25</v>
      </c>
      <c r="F10898" s="52" t="s">
        <v>26</v>
      </c>
      <c r="G10898" s="54"/>
    </row>
    <row r="10899">
      <c r="A10899" s="49">
        <v>45135.675623981486</v>
      </c>
      <c r="B10899" s="50">
        <v>45135.8005929282</v>
      </c>
      <c r="C10899" s="51">
        <v>0.998</v>
      </c>
      <c r="D10899" s="51">
        <v>72.0</v>
      </c>
      <c r="E10899" s="52" t="s">
        <v>25</v>
      </c>
      <c r="F10899" s="52" t="s">
        <v>26</v>
      </c>
      <c r="G10899" s="54"/>
    </row>
    <row r="10900">
      <c r="A10900" s="49">
        <v>45135.6860368287</v>
      </c>
      <c r="B10900" s="50">
        <v>45135.81101375</v>
      </c>
      <c r="C10900" s="51">
        <v>0.998</v>
      </c>
      <c r="D10900" s="51">
        <v>72.0</v>
      </c>
      <c r="E10900" s="52" t="s">
        <v>25</v>
      </c>
      <c r="F10900" s="52" t="s">
        <v>26</v>
      </c>
      <c r="G10900" s="54"/>
    </row>
    <row r="10901">
      <c r="A10901" s="49">
        <v>45135.69647427084</v>
      </c>
      <c r="B10901" s="50">
        <v>45135.8214352662</v>
      </c>
      <c r="C10901" s="51">
        <v>0.998</v>
      </c>
      <c r="D10901" s="51">
        <v>72.0</v>
      </c>
      <c r="E10901" s="52" t="s">
        <v>25</v>
      </c>
      <c r="F10901" s="52" t="s">
        <v>26</v>
      </c>
      <c r="G10901" s="54"/>
    </row>
    <row r="10902">
      <c r="A10902" s="49">
        <v>45135.706887569446</v>
      </c>
      <c r="B10902" s="50">
        <v>45135.8318560069</v>
      </c>
      <c r="C10902" s="51">
        <v>0.998</v>
      </c>
      <c r="D10902" s="51">
        <v>73.0</v>
      </c>
      <c r="E10902" s="52" t="s">
        <v>25</v>
      </c>
      <c r="F10902" s="52" t="s">
        <v>26</v>
      </c>
      <c r="G10902" s="54"/>
    </row>
    <row r="10903">
      <c r="A10903" s="49">
        <v>45135.71733233797</v>
      </c>
      <c r="B10903" s="50">
        <v>45135.8423023726</v>
      </c>
      <c r="C10903" s="51">
        <v>0.998</v>
      </c>
      <c r="D10903" s="51">
        <v>72.0</v>
      </c>
      <c r="E10903" s="52" t="s">
        <v>25</v>
      </c>
      <c r="F10903" s="52" t="s">
        <v>26</v>
      </c>
      <c r="G10903" s="54"/>
    </row>
    <row r="10904">
      <c r="A10904" s="49">
        <v>45135.72775604167</v>
      </c>
      <c r="B10904" s="50">
        <v>45135.852722743</v>
      </c>
      <c r="C10904" s="51">
        <v>0.998</v>
      </c>
      <c r="D10904" s="51">
        <v>72.0</v>
      </c>
      <c r="E10904" s="52" t="s">
        <v>25</v>
      </c>
      <c r="F10904" s="52" t="s">
        <v>26</v>
      </c>
      <c r="G10904" s="54"/>
    </row>
    <row r="10905">
      <c r="A10905" s="49">
        <v>45135.73817748843</v>
      </c>
      <c r="B10905" s="50">
        <v>45135.8631442592</v>
      </c>
      <c r="C10905" s="51">
        <v>0.998</v>
      </c>
      <c r="D10905" s="51">
        <v>73.0</v>
      </c>
      <c r="E10905" s="52" t="s">
        <v>25</v>
      </c>
      <c r="F10905" s="52" t="s">
        <v>26</v>
      </c>
      <c r="G10905" s="54"/>
    </row>
    <row r="10906">
      <c r="A10906" s="49">
        <v>45135.74859657408</v>
      </c>
      <c r="B10906" s="50">
        <v>45135.8735653819</v>
      </c>
      <c r="C10906" s="51">
        <v>0.999</v>
      </c>
      <c r="D10906" s="51">
        <v>72.0</v>
      </c>
      <c r="E10906" s="52" t="s">
        <v>25</v>
      </c>
      <c r="F10906" s="52" t="s">
        <v>26</v>
      </c>
      <c r="G10906" s="54"/>
    </row>
    <row r="10907">
      <c r="A10907" s="49">
        <v>45135.75902065972</v>
      </c>
      <c r="B10907" s="50">
        <v>45135.8839855092</v>
      </c>
      <c r="C10907" s="51">
        <v>0.998</v>
      </c>
      <c r="D10907" s="51">
        <v>72.0</v>
      </c>
      <c r="E10907" s="52" t="s">
        <v>25</v>
      </c>
      <c r="F10907" s="52" t="s">
        <v>26</v>
      </c>
      <c r="G10907" s="54"/>
    </row>
    <row r="10908">
      <c r="A10908" s="49">
        <v>45135.76943835648</v>
      </c>
      <c r="B10908" s="50">
        <v>45135.8944071527</v>
      </c>
      <c r="C10908" s="51">
        <v>0.998</v>
      </c>
      <c r="D10908" s="51">
        <v>73.0</v>
      </c>
      <c r="E10908" s="52" t="s">
        <v>25</v>
      </c>
      <c r="F10908" s="52" t="s">
        <v>26</v>
      </c>
      <c r="G10908" s="54"/>
    </row>
    <row r="10909">
      <c r="A10909" s="49">
        <v>45135.77985368056</v>
      </c>
      <c r="B10909" s="50">
        <v>45135.9048265046</v>
      </c>
      <c r="C10909" s="51">
        <v>0.998</v>
      </c>
      <c r="D10909" s="51">
        <v>72.0</v>
      </c>
      <c r="E10909" s="52" t="s">
        <v>25</v>
      </c>
      <c r="F10909" s="52" t="s">
        <v>26</v>
      </c>
      <c r="G10909" s="54"/>
    </row>
    <row r="10910">
      <c r="A10910" s="49">
        <v>45135.790283263894</v>
      </c>
      <c r="B10910" s="50">
        <v>45135.915247905</v>
      </c>
      <c r="C10910" s="51">
        <v>0.998</v>
      </c>
      <c r="D10910" s="51">
        <v>73.0</v>
      </c>
      <c r="E10910" s="52" t="s">
        <v>25</v>
      </c>
      <c r="F10910" s="52" t="s">
        <v>26</v>
      </c>
      <c r="G10910" s="54"/>
    </row>
    <row r="10911">
      <c r="A10911" s="49">
        <v>45135.8007062963</v>
      </c>
      <c r="B10911" s="50">
        <v>45135.9256693865</v>
      </c>
      <c r="C10911" s="51">
        <v>0.999</v>
      </c>
      <c r="D10911" s="51">
        <v>73.0</v>
      </c>
      <c r="E10911" s="52" t="s">
        <v>25</v>
      </c>
      <c r="F10911" s="52" t="s">
        <v>26</v>
      </c>
      <c r="G10911" s="54"/>
    </row>
    <row r="10912">
      <c r="A10912" s="49">
        <v>45135.81112309028</v>
      </c>
      <c r="B10912" s="50">
        <v>45135.9360915162</v>
      </c>
      <c r="C10912" s="51">
        <v>0.999</v>
      </c>
      <c r="D10912" s="51">
        <v>73.0</v>
      </c>
      <c r="E10912" s="52" t="s">
        <v>25</v>
      </c>
      <c r="F10912" s="52" t="s">
        <v>26</v>
      </c>
      <c r="G10912" s="54"/>
    </row>
    <row r="10913">
      <c r="A10913" s="49">
        <v>45135.82153884259</v>
      </c>
      <c r="B10913" s="50">
        <v>45135.946513449</v>
      </c>
      <c r="C10913" s="51">
        <v>0.998</v>
      </c>
      <c r="D10913" s="51">
        <v>73.0</v>
      </c>
      <c r="E10913" s="52" t="s">
        <v>25</v>
      </c>
      <c r="F10913" s="52" t="s">
        <v>26</v>
      </c>
      <c r="G10913" s="54"/>
    </row>
    <row r="10914">
      <c r="A10914" s="49">
        <v>45135.831981192125</v>
      </c>
      <c r="B10914" s="50">
        <v>45135.9569463078</v>
      </c>
      <c r="C10914" s="51">
        <v>0.998</v>
      </c>
      <c r="D10914" s="51">
        <v>73.0</v>
      </c>
      <c r="E10914" s="52" t="s">
        <v>25</v>
      </c>
      <c r="F10914" s="52" t="s">
        <v>26</v>
      </c>
      <c r="G10914" s="54"/>
    </row>
    <row r="10915">
      <c r="A10915" s="49">
        <v>45135.84240810185</v>
      </c>
      <c r="B10915" s="50">
        <v>45135.9673786689</v>
      </c>
      <c r="C10915" s="51">
        <v>0.998</v>
      </c>
      <c r="D10915" s="51">
        <v>73.0</v>
      </c>
      <c r="E10915" s="52" t="s">
        <v>25</v>
      </c>
      <c r="F10915" s="52" t="s">
        <v>26</v>
      </c>
      <c r="G10915" s="54"/>
    </row>
    <row r="10916">
      <c r="A10916" s="49">
        <v>45135.85284206019</v>
      </c>
      <c r="B10916" s="50">
        <v>45135.9777989351</v>
      </c>
      <c r="C10916" s="51">
        <v>0.998</v>
      </c>
      <c r="D10916" s="51">
        <v>73.0</v>
      </c>
      <c r="E10916" s="52" t="s">
        <v>25</v>
      </c>
      <c r="F10916" s="52" t="s">
        <v>26</v>
      </c>
      <c r="G10916" s="54"/>
    </row>
    <row r="10917">
      <c r="A10917" s="49">
        <v>45135.86325043981</v>
      </c>
      <c r="B10917" s="50">
        <v>45135.9882187037</v>
      </c>
      <c r="C10917" s="51">
        <v>0.999</v>
      </c>
      <c r="D10917" s="51">
        <v>72.0</v>
      </c>
      <c r="E10917" s="52" t="s">
        <v>25</v>
      </c>
      <c r="F10917" s="52" t="s">
        <v>26</v>
      </c>
      <c r="G10917" s="54"/>
    </row>
    <row r="10918">
      <c r="A10918" s="49">
        <v>45135.873661817124</v>
      </c>
      <c r="B10918" s="50">
        <v>45135.998638287</v>
      </c>
      <c r="C10918" s="51">
        <v>0.998</v>
      </c>
      <c r="D10918" s="51">
        <v>72.0</v>
      </c>
      <c r="E10918" s="52" t="s">
        <v>25</v>
      </c>
      <c r="F10918" s="52" t="s">
        <v>26</v>
      </c>
      <c r="G10918" s="54"/>
    </row>
    <row r="10919">
      <c r="A10919" s="49">
        <v>45135.8840903588</v>
      </c>
      <c r="B10919" s="50">
        <v>45136.0090588541</v>
      </c>
      <c r="C10919" s="51">
        <v>0.999</v>
      </c>
      <c r="D10919" s="51">
        <v>73.0</v>
      </c>
      <c r="E10919" s="52" t="s">
        <v>25</v>
      </c>
      <c r="F10919" s="52" t="s">
        <v>26</v>
      </c>
      <c r="G10919" s="54"/>
    </row>
    <row r="10920">
      <c r="A10920" s="49">
        <v>45135.89452271991</v>
      </c>
      <c r="B10920" s="50">
        <v>45136.0194905208</v>
      </c>
      <c r="C10920" s="51">
        <v>0.998</v>
      </c>
      <c r="D10920" s="51">
        <v>73.0</v>
      </c>
      <c r="E10920" s="52" t="s">
        <v>25</v>
      </c>
      <c r="F10920" s="52" t="s">
        <v>26</v>
      </c>
      <c r="G10920" s="54"/>
    </row>
    <row r="10921">
      <c r="A10921" s="49">
        <v>45135.904933136575</v>
      </c>
      <c r="B10921" s="50">
        <v>45136.0299123842</v>
      </c>
      <c r="C10921" s="51">
        <v>0.999</v>
      </c>
      <c r="D10921" s="51">
        <v>73.0</v>
      </c>
      <c r="E10921" s="52" t="s">
        <v>25</v>
      </c>
      <c r="F10921" s="52" t="s">
        <v>26</v>
      </c>
      <c r="G10921" s="54"/>
    </row>
    <row r="10922">
      <c r="A10922" s="49">
        <v>45135.91537379629</v>
      </c>
      <c r="B10922" s="50">
        <v>45136.0403315856</v>
      </c>
      <c r="C10922" s="51">
        <v>0.998</v>
      </c>
      <c r="D10922" s="51">
        <v>73.0</v>
      </c>
      <c r="E10922" s="52" t="s">
        <v>25</v>
      </c>
      <c r="F10922" s="52" t="s">
        <v>26</v>
      </c>
      <c r="G10922" s="54"/>
    </row>
    <row r="10923">
      <c r="A10923" s="49">
        <v>45135.925785451385</v>
      </c>
      <c r="B10923" s="50">
        <v>45136.0507524305</v>
      </c>
      <c r="C10923" s="51">
        <v>0.998</v>
      </c>
      <c r="D10923" s="51">
        <v>73.0</v>
      </c>
      <c r="E10923" s="52" t="s">
        <v>25</v>
      </c>
      <c r="F10923" s="52" t="s">
        <v>26</v>
      </c>
      <c r="G10923" s="54"/>
    </row>
    <row r="10924">
      <c r="A10924" s="49">
        <v>45135.936210300926</v>
      </c>
      <c r="B10924" s="50">
        <v>45136.0611835648</v>
      </c>
      <c r="C10924" s="51">
        <v>0.998</v>
      </c>
      <c r="D10924" s="51">
        <v>73.0</v>
      </c>
      <c r="E10924" s="52" t="s">
        <v>25</v>
      </c>
      <c r="F10924" s="52" t="s">
        <v>26</v>
      </c>
      <c r="G10924" s="54"/>
    </row>
    <row r="10925">
      <c r="A10925" s="49">
        <v>45135.94664871528</v>
      </c>
      <c r="B10925" s="50">
        <v>45136.0716182407</v>
      </c>
      <c r="C10925" s="51">
        <v>0.998</v>
      </c>
      <c r="D10925" s="51">
        <v>73.0</v>
      </c>
      <c r="E10925" s="52" t="s">
        <v>25</v>
      </c>
      <c r="F10925" s="52" t="s">
        <v>26</v>
      </c>
      <c r="G10925" s="54"/>
    </row>
    <row r="10926">
      <c r="A10926" s="49">
        <v>45135.95707805555</v>
      </c>
      <c r="B10926" s="50">
        <v>45136.0820500115</v>
      </c>
      <c r="C10926" s="51">
        <v>0.998</v>
      </c>
      <c r="D10926" s="51">
        <v>73.0</v>
      </c>
      <c r="E10926" s="52" t="s">
        <v>25</v>
      </c>
      <c r="F10926" s="52" t="s">
        <v>26</v>
      </c>
      <c r="G10926" s="54"/>
    </row>
    <row r="10927">
      <c r="A10927" s="49">
        <v>45135.96750085648</v>
      </c>
      <c r="B10927" s="50">
        <v>45136.0924690856</v>
      </c>
      <c r="C10927" s="51">
        <v>0.998</v>
      </c>
      <c r="D10927" s="51">
        <v>73.0</v>
      </c>
      <c r="E10927" s="52" t="s">
        <v>25</v>
      </c>
      <c r="F10927" s="52" t="s">
        <v>26</v>
      </c>
      <c r="G10927" s="54"/>
    </row>
    <row r="10928">
      <c r="A10928" s="49">
        <v>45135.97791758102</v>
      </c>
      <c r="B10928" s="50">
        <v>45136.1028887615</v>
      </c>
      <c r="C10928" s="51">
        <v>0.998</v>
      </c>
      <c r="D10928" s="51">
        <v>73.0</v>
      </c>
      <c r="E10928" s="52" t="s">
        <v>25</v>
      </c>
      <c r="F10928" s="52" t="s">
        <v>26</v>
      </c>
      <c r="G10928" s="54"/>
    </row>
    <row r="10929">
      <c r="A10929" s="49">
        <v>45135.98834167824</v>
      </c>
      <c r="B10929" s="50">
        <v>45136.1133094444</v>
      </c>
      <c r="C10929" s="51">
        <v>0.998</v>
      </c>
      <c r="D10929" s="51">
        <v>73.0</v>
      </c>
      <c r="E10929" s="52" t="s">
        <v>25</v>
      </c>
      <c r="F10929" s="52" t="s">
        <v>26</v>
      </c>
      <c r="G10929" s="54"/>
    </row>
    <row r="10930">
      <c r="A10930" s="49">
        <v>45135.99875280092</v>
      </c>
      <c r="B10930" s="50">
        <v>45136.123730625</v>
      </c>
      <c r="C10930" s="51">
        <v>0.998</v>
      </c>
      <c r="D10930" s="51">
        <v>73.0</v>
      </c>
      <c r="E10930" s="52" t="s">
        <v>25</v>
      </c>
      <c r="F10930" s="52" t="s">
        <v>26</v>
      </c>
      <c r="G10930" s="54"/>
    </row>
    <row r="10931">
      <c r="A10931" s="49">
        <v>45136.0091850926</v>
      </c>
      <c r="B10931" s="50">
        <v>45136.1341523842</v>
      </c>
      <c r="C10931" s="51">
        <v>0.998</v>
      </c>
      <c r="D10931" s="51">
        <v>73.0</v>
      </c>
      <c r="E10931" s="52" t="s">
        <v>25</v>
      </c>
      <c r="F10931" s="52" t="s">
        <v>26</v>
      </c>
      <c r="G10931" s="54"/>
    </row>
    <row r="10932">
      <c r="A10932" s="49">
        <v>45136.01960621528</v>
      </c>
      <c r="B10932" s="50">
        <v>45136.1445743402</v>
      </c>
      <c r="C10932" s="51">
        <v>0.998</v>
      </c>
      <c r="D10932" s="51">
        <v>73.0</v>
      </c>
      <c r="E10932" s="52" t="s">
        <v>25</v>
      </c>
      <c r="F10932" s="52" t="s">
        <v>26</v>
      </c>
      <c r="G10932" s="54"/>
    </row>
    <row r="10933">
      <c r="A10933" s="49">
        <v>45136.040448506945</v>
      </c>
      <c r="B10933" s="50">
        <v>45136.1654179629</v>
      </c>
      <c r="C10933" s="51">
        <v>0.998</v>
      </c>
      <c r="D10933" s="51">
        <v>73.0</v>
      </c>
      <c r="E10933" s="52" t="s">
        <v>25</v>
      </c>
      <c r="F10933" s="52" t="s">
        <v>26</v>
      </c>
      <c r="G10933" s="54"/>
    </row>
    <row r="10934">
      <c r="A10934" s="49">
        <v>45136.05086645833</v>
      </c>
      <c r="B10934" s="50">
        <v>45136.1758401736</v>
      </c>
      <c r="C10934" s="51">
        <v>0.998</v>
      </c>
      <c r="D10934" s="51">
        <v>73.0</v>
      </c>
      <c r="E10934" s="52" t="s">
        <v>25</v>
      </c>
      <c r="F10934" s="52" t="s">
        <v>26</v>
      </c>
      <c r="G10934" s="54"/>
    </row>
    <row r="10935">
      <c r="A10935" s="49">
        <v>45136.06132030093</v>
      </c>
      <c r="B10935" s="50">
        <v>45136.1862966088</v>
      </c>
      <c r="C10935" s="51">
        <v>0.998</v>
      </c>
      <c r="D10935" s="51">
        <v>73.0</v>
      </c>
      <c r="E10935" s="52" t="s">
        <v>25</v>
      </c>
      <c r="F10935" s="52" t="s">
        <v>26</v>
      </c>
      <c r="G10935" s="54"/>
    </row>
    <row r="10936">
      <c r="A10936" s="49">
        <v>45136.07174038194</v>
      </c>
      <c r="B10936" s="50">
        <v>45136.1967169791</v>
      </c>
      <c r="C10936" s="51">
        <v>0.998</v>
      </c>
      <c r="D10936" s="51">
        <v>73.0</v>
      </c>
      <c r="E10936" s="52" t="s">
        <v>25</v>
      </c>
      <c r="F10936" s="52" t="s">
        <v>26</v>
      </c>
      <c r="G10936" s="54"/>
    </row>
    <row r="10937">
      <c r="A10937" s="49">
        <v>45136.08216439815</v>
      </c>
      <c r="B10937" s="50">
        <v>45136.2071374421</v>
      </c>
      <c r="C10937" s="51">
        <v>0.998</v>
      </c>
      <c r="D10937" s="51">
        <v>73.0</v>
      </c>
      <c r="E10937" s="52" t="s">
        <v>25</v>
      </c>
      <c r="F10937" s="52" t="s">
        <v>26</v>
      </c>
      <c r="G10937" s="54"/>
    </row>
    <row r="10938">
      <c r="A10938" s="49">
        <v>45136.09259532407</v>
      </c>
      <c r="B10938" s="50">
        <v>45136.2175708912</v>
      </c>
      <c r="C10938" s="51">
        <v>0.998</v>
      </c>
      <c r="D10938" s="51">
        <v>73.0</v>
      </c>
      <c r="E10938" s="52" t="s">
        <v>25</v>
      </c>
      <c r="F10938" s="52" t="s">
        <v>26</v>
      </c>
      <c r="G10938" s="54"/>
    </row>
    <row r="10939">
      <c r="A10939" s="49">
        <v>45136.103017789355</v>
      </c>
      <c r="B10939" s="50">
        <v>45136.2279920601</v>
      </c>
      <c r="C10939" s="51">
        <v>0.998</v>
      </c>
      <c r="D10939" s="51">
        <v>73.0</v>
      </c>
      <c r="E10939" s="52" t="s">
        <v>25</v>
      </c>
      <c r="F10939" s="52" t="s">
        <v>26</v>
      </c>
      <c r="G10939" s="54"/>
    </row>
    <row r="10940">
      <c r="A10940" s="49">
        <v>45136.113436643514</v>
      </c>
      <c r="B10940" s="50">
        <v>45136.2384126851</v>
      </c>
      <c r="C10940" s="51">
        <v>0.999</v>
      </c>
      <c r="D10940" s="51">
        <v>73.0</v>
      </c>
      <c r="E10940" s="52" t="s">
        <v>25</v>
      </c>
      <c r="F10940" s="52" t="s">
        <v>26</v>
      </c>
      <c r="G10940" s="54"/>
    </row>
    <row r="10941">
      <c r="A10941" s="49">
        <v>45136.12386796296</v>
      </c>
      <c r="B10941" s="50">
        <v>45136.2488458912</v>
      </c>
      <c r="C10941" s="51">
        <v>0.998</v>
      </c>
      <c r="D10941" s="51">
        <v>73.0</v>
      </c>
      <c r="E10941" s="52" t="s">
        <v>25</v>
      </c>
      <c r="F10941" s="52" t="s">
        <v>26</v>
      </c>
      <c r="G10941" s="54"/>
    </row>
    <row r="10942">
      <c r="A10942" s="49">
        <v>45136.13431033565</v>
      </c>
      <c r="B10942" s="50">
        <v>45136.259277581</v>
      </c>
      <c r="C10942" s="51">
        <v>0.998</v>
      </c>
      <c r="D10942" s="51">
        <v>73.0</v>
      </c>
      <c r="E10942" s="52" t="s">
        <v>25</v>
      </c>
      <c r="F10942" s="52" t="s">
        <v>26</v>
      </c>
      <c r="G10942" s="54"/>
    </row>
    <row r="10943">
      <c r="A10943" s="49">
        <v>45136.144738194445</v>
      </c>
      <c r="B10943" s="50">
        <v>45136.26971</v>
      </c>
      <c r="C10943" s="51">
        <v>0.998</v>
      </c>
      <c r="D10943" s="51">
        <v>73.0</v>
      </c>
      <c r="E10943" s="52" t="s">
        <v>25</v>
      </c>
      <c r="F10943" s="52" t="s">
        <v>26</v>
      </c>
      <c r="G10943" s="54"/>
    </row>
    <row r="10944">
      <c r="A10944" s="49">
        <v>45136.15516983796</v>
      </c>
      <c r="B10944" s="50">
        <v>45136.2801307291</v>
      </c>
      <c r="C10944" s="51">
        <v>0.998</v>
      </c>
      <c r="D10944" s="51">
        <v>73.0</v>
      </c>
      <c r="E10944" s="52" t="s">
        <v>25</v>
      </c>
      <c r="F10944" s="52" t="s">
        <v>26</v>
      </c>
      <c r="G10944" s="54"/>
    </row>
    <row r="10945">
      <c r="A10945" s="49">
        <v>45136.16560579861</v>
      </c>
      <c r="B10945" s="50">
        <v>45136.290577743</v>
      </c>
      <c r="C10945" s="51">
        <v>0.999</v>
      </c>
      <c r="D10945" s="51">
        <v>73.0</v>
      </c>
      <c r="E10945" s="52" t="s">
        <v>25</v>
      </c>
      <c r="F10945" s="52" t="s">
        <v>26</v>
      </c>
      <c r="G10945" s="54"/>
    </row>
    <row r="10946">
      <c r="A10946" s="49">
        <v>45136.17603689815</v>
      </c>
      <c r="B10946" s="50">
        <v>45136.3010096064</v>
      </c>
      <c r="C10946" s="51">
        <v>0.998</v>
      </c>
      <c r="D10946" s="51">
        <v>73.0</v>
      </c>
      <c r="E10946" s="52" t="s">
        <v>25</v>
      </c>
      <c r="F10946" s="52" t="s">
        <v>26</v>
      </c>
      <c r="G10946" s="54"/>
    </row>
    <row r="10947">
      <c r="A10947" s="49">
        <v>45136.18645962963</v>
      </c>
      <c r="B10947" s="50">
        <v>45136.3114310532</v>
      </c>
      <c r="C10947" s="51">
        <v>0.998</v>
      </c>
      <c r="D10947" s="51">
        <v>73.0</v>
      </c>
      <c r="E10947" s="52" t="s">
        <v>25</v>
      </c>
      <c r="F10947" s="52" t="s">
        <v>26</v>
      </c>
      <c r="G10947" s="54"/>
    </row>
    <row r="10948">
      <c r="A10948" s="49">
        <v>45136.19689466435</v>
      </c>
      <c r="B10948" s="50">
        <v>45136.3218525578</v>
      </c>
      <c r="C10948" s="51">
        <v>0.998</v>
      </c>
      <c r="D10948" s="51">
        <v>73.0</v>
      </c>
      <c r="E10948" s="52" t="s">
        <v>25</v>
      </c>
      <c r="F10948" s="52" t="s">
        <v>26</v>
      </c>
      <c r="G10948" s="54"/>
    </row>
    <row r="10949">
      <c r="A10949" s="49">
        <v>45136.2072987963</v>
      </c>
      <c r="B10949" s="50">
        <v>45136.3322745023</v>
      </c>
      <c r="C10949" s="51">
        <v>0.999</v>
      </c>
      <c r="D10949" s="51">
        <v>73.0</v>
      </c>
      <c r="E10949" s="52" t="s">
        <v>25</v>
      </c>
      <c r="F10949" s="52" t="s">
        <v>26</v>
      </c>
      <c r="G10949" s="54"/>
    </row>
    <row r="10950">
      <c r="A10950" s="49">
        <v>45136.21771679398</v>
      </c>
      <c r="B10950" s="50">
        <v>45136.3426956828</v>
      </c>
      <c r="C10950" s="51">
        <v>0.998</v>
      </c>
      <c r="D10950" s="51">
        <v>73.0</v>
      </c>
      <c r="E10950" s="52" t="s">
        <v>25</v>
      </c>
      <c r="F10950" s="52" t="s">
        <v>26</v>
      </c>
      <c r="G10950" s="54"/>
    </row>
    <row r="10951">
      <c r="A10951" s="49">
        <v>45136.228147222224</v>
      </c>
      <c r="B10951" s="50">
        <v>45136.3531162152</v>
      </c>
      <c r="C10951" s="51">
        <v>0.998</v>
      </c>
      <c r="D10951" s="51">
        <v>73.0</v>
      </c>
      <c r="E10951" s="52" t="s">
        <v>25</v>
      </c>
      <c r="F10951" s="52" t="s">
        <v>26</v>
      </c>
      <c r="G10951" s="54"/>
    </row>
    <row r="10952">
      <c r="A10952" s="49">
        <v>45136.238558321755</v>
      </c>
      <c r="B10952" s="50">
        <v>45136.3635378472</v>
      </c>
      <c r="C10952" s="51">
        <v>0.998</v>
      </c>
      <c r="D10952" s="51">
        <v>73.0</v>
      </c>
      <c r="E10952" s="52" t="s">
        <v>25</v>
      </c>
      <c r="F10952" s="52" t="s">
        <v>26</v>
      </c>
      <c r="G10952" s="54"/>
    </row>
    <row r="10953">
      <c r="A10953" s="49">
        <v>45136.2489952662</v>
      </c>
      <c r="B10953" s="50">
        <v>45136.3739681597</v>
      </c>
      <c r="C10953" s="51">
        <v>0.998</v>
      </c>
      <c r="D10953" s="51">
        <v>73.0</v>
      </c>
      <c r="E10953" s="52" t="s">
        <v>25</v>
      </c>
      <c r="F10953" s="52" t="s">
        <v>26</v>
      </c>
      <c r="G10953" s="54"/>
    </row>
    <row r="10954">
      <c r="A10954" s="49">
        <v>45136.25942065972</v>
      </c>
      <c r="B10954" s="50">
        <v>45136.3843901967</v>
      </c>
      <c r="C10954" s="51">
        <v>0.998</v>
      </c>
      <c r="D10954" s="51">
        <v>73.0</v>
      </c>
      <c r="E10954" s="52" t="s">
        <v>25</v>
      </c>
      <c r="F10954" s="52" t="s">
        <v>26</v>
      </c>
      <c r="G10954" s="54"/>
    </row>
    <row r="10955">
      <c r="A10955" s="49">
        <v>45136.269839733795</v>
      </c>
      <c r="B10955" s="50">
        <v>45136.3948123032</v>
      </c>
      <c r="C10955" s="51">
        <v>0.999</v>
      </c>
      <c r="D10955" s="51">
        <v>73.0</v>
      </c>
      <c r="E10955" s="52" t="s">
        <v>25</v>
      </c>
      <c r="F10955" s="52" t="s">
        <v>26</v>
      </c>
      <c r="G10955" s="54"/>
    </row>
    <row r="10956">
      <c r="A10956" s="49">
        <v>45136.28025241898</v>
      </c>
      <c r="B10956" s="50">
        <v>45136.4052326041</v>
      </c>
      <c r="C10956" s="51">
        <v>0.998</v>
      </c>
      <c r="D10956" s="51">
        <v>73.0</v>
      </c>
      <c r="E10956" s="52" t="s">
        <v>25</v>
      </c>
      <c r="F10956" s="52" t="s">
        <v>26</v>
      </c>
      <c r="G10956" s="54"/>
    </row>
    <row r="10957">
      <c r="A10957" s="49">
        <v>45136.29068730324</v>
      </c>
      <c r="B10957" s="50">
        <v>45136.415654074</v>
      </c>
      <c r="C10957" s="51">
        <v>0.998</v>
      </c>
      <c r="D10957" s="51">
        <v>73.0</v>
      </c>
      <c r="E10957" s="52" t="s">
        <v>25</v>
      </c>
      <c r="F10957" s="52" t="s">
        <v>26</v>
      </c>
      <c r="G10957" s="54"/>
    </row>
    <row r="10958">
      <c r="A10958" s="49">
        <v>45136.301102488425</v>
      </c>
      <c r="B10958" s="50">
        <v>45136.4260761458</v>
      </c>
      <c r="C10958" s="51">
        <v>0.998</v>
      </c>
      <c r="D10958" s="51">
        <v>73.0</v>
      </c>
      <c r="E10958" s="52" t="s">
        <v>25</v>
      </c>
      <c r="F10958" s="52" t="s">
        <v>26</v>
      </c>
      <c r="G10958" s="54"/>
    </row>
    <row r="10959">
      <c r="A10959" s="49">
        <v>45136.31152290509</v>
      </c>
      <c r="B10959" s="50">
        <v>45136.4364957407</v>
      </c>
      <c r="C10959" s="51">
        <v>0.998</v>
      </c>
      <c r="D10959" s="51">
        <v>73.0</v>
      </c>
      <c r="E10959" s="52" t="s">
        <v>25</v>
      </c>
      <c r="F10959" s="52" t="s">
        <v>26</v>
      </c>
      <c r="G10959" s="54"/>
    </row>
    <row r="10960">
      <c r="A10960" s="49">
        <v>45136.32194741898</v>
      </c>
      <c r="B10960" s="50">
        <v>45136.4469172453</v>
      </c>
      <c r="C10960" s="51">
        <v>0.998</v>
      </c>
      <c r="D10960" s="51">
        <v>73.0</v>
      </c>
      <c r="E10960" s="52" t="s">
        <v>25</v>
      </c>
      <c r="F10960" s="52" t="s">
        <v>26</v>
      </c>
      <c r="G10960" s="54"/>
    </row>
    <row r="10961">
      <c r="A10961" s="49">
        <v>45136.33239480324</v>
      </c>
      <c r="B10961" s="50">
        <v>45136.4573623842</v>
      </c>
      <c r="C10961" s="51">
        <v>0.998</v>
      </c>
      <c r="D10961" s="51">
        <v>73.0</v>
      </c>
      <c r="E10961" s="52" t="s">
        <v>25</v>
      </c>
      <c r="F10961" s="52" t="s">
        <v>26</v>
      </c>
      <c r="G10961" s="54"/>
    </row>
    <row r="10962">
      <c r="A10962" s="49">
        <v>45136.34285494213</v>
      </c>
      <c r="B10962" s="50">
        <v>45136.4678314814</v>
      </c>
      <c r="C10962" s="51">
        <v>0.998</v>
      </c>
      <c r="D10962" s="51">
        <v>73.0</v>
      </c>
      <c r="E10962" s="52" t="s">
        <v>25</v>
      </c>
      <c r="F10962" s="52" t="s">
        <v>26</v>
      </c>
      <c r="G10962" s="54"/>
    </row>
    <row r="10963">
      <c r="A10963" s="49">
        <v>45136.35328319445</v>
      </c>
      <c r="B10963" s="50">
        <v>45136.4782523958</v>
      </c>
      <c r="C10963" s="51">
        <v>0.999</v>
      </c>
      <c r="D10963" s="51">
        <v>73.0</v>
      </c>
      <c r="E10963" s="52" t="s">
        <v>25</v>
      </c>
      <c r="F10963" s="52" t="s">
        <v>26</v>
      </c>
      <c r="G10963" s="54"/>
    </row>
    <row r="10964">
      <c r="A10964" s="49">
        <v>45136.363704814816</v>
      </c>
      <c r="B10964" s="50">
        <v>45136.4886726504</v>
      </c>
      <c r="C10964" s="51">
        <v>0.998</v>
      </c>
      <c r="D10964" s="51">
        <v>73.0</v>
      </c>
      <c r="E10964" s="52" t="s">
        <v>25</v>
      </c>
      <c r="F10964" s="52" t="s">
        <v>26</v>
      </c>
      <c r="G10964" s="54"/>
    </row>
    <row r="10965">
      <c r="A10965" s="49">
        <v>45136.374119409724</v>
      </c>
      <c r="B10965" s="50">
        <v>45136.4990948611</v>
      </c>
      <c r="C10965" s="51">
        <v>0.998</v>
      </c>
      <c r="D10965" s="51">
        <v>73.0</v>
      </c>
      <c r="E10965" s="52" t="s">
        <v>25</v>
      </c>
      <c r="F10965" s="52" t="s">
        <v>26</v>
      </c>
      <c r="G10965" s="54"/>
    </row>
    <row r="10966">
      <c r="A10966" s="49">
        <v>45136.384571689814</v>
      </c>
      <c r="B10966" s="50">
        <v>45136.5095382986</v>
      </c>
      <c r="C10966" s="51">
        <v>0.998</v>
      </c>
      <c r="D10966" s="51">
        <v>73.0</v>
      </c>
      <c r="E10966" s="52" t="s">
        <v>25</v>
      </c>
      <c r="F10966" s="52" t="s">
        <v>26</v>
      </c>
      <c r="G10966" s="54"/>
    </row>
    <row r="10967">
      <c r="A10967" s="49">
        <v>45136.394996828705</v>
      </c>
      <c r="B10967" s="50">
        <v>45136.5199715972</v>
      </c>
      <c r="C10967" s="51">
        <v>0.998</v>
      </c>
      <c r="D10967" s="51">
        <v>73.0</v>
      </c>
      <c r="E10967" s="52" t="s">
        <v>25</v>
      </c>
      <c r="F10967" s="52" t="s">
        <v>26</v>
      </c>
      <c r="G10967" s="54"/>
    </row>
    <row r="10968">
      <c r="A10968" s="49">
        <v>45136.40542726852</v>
      </c>
      <c r="B10968" s="50">
        <v>45136.5303929513</v>
      </c>
      <c r="C10968" s="51">
        <v>0.998</v>
      </c>
      <c r="D10968" s="51">
        <v>73.0</v>
      </c>
      <c r="E10968" s="52" t="s">
        <v>25</v>
      </c>
      <c r="F10968" s="52" t="s">
        <v>26</v>
      </c>
      <c r="G10968" s="54"/>
    </row>
    <row r="10969">
      <c r="A10969" s="49">
        <v>45136.41584192129</v>
      </c>
      <c r="B10969" s="50">
        <v>45136.5408149884</v>
      </c>
      <c r="C10969" s="51">
        <v>0.998</v>
      </c>
      <c r="D10969" s="51">
        <v>73.0</v>
      </c>
      <c r="E10969" s="52" t="s">
        <v>25</v>
      </c>
      <c r="F10969" s="52" t="s">
        <v>26</v>
      </c>
      <c r="G10969" s="54"/>
    </row>
    <row r="10970">
      <c r="A10970" s="49">
        <v>45136.42625671296</v>
      </c>
      <c r="B10970" s="50">
        <v>45136.5512371875</v>
      </c>
      <c r="C10970" s="51">
        <v>0.998</v>
      </c>
      <c r="D10970" s="51">
        <v>73.0</v>
      </c>
      <c r="E10970" s="52" t="s">
        <v>25</v>
      </c>
      <c r="F10970" s="52" t="s">
        <v>26</v>
      </c>
      <c r="G10970" s="54"/>
    </row>
    <row r="10971">
      <c r="A10971" s="49">
        <v>45136.43670554398</v>
      </c>
      <c r="B10971" s="50">
        <v>45136.5616704629</v>
      </c>
      <c r="C10971" s="51">
        <v>0.998</v>
      </c>
      <c r="D10971" s="51">
        <v>73.0</v>
      </c>
      <c r="E10971" s="52" t="s">
        <v>25</v>
      </c>
      <c r="F10971" s="52" t="s">
        <v>26</v>
      </c>
      <c r="G10971" s="54"/>
    </row>
    <row r="10972">
      <c r="A10972" s="49">
        <v>45136.44711392361</v>
      </c>
      <c r="B10972" s="50">
        <v>45136.5720916087</v>
      </c>
      <c r="C10972" s="51">
        <v>0.998</v>
      </c>
      <c r="D10972" s="51">
        <v>73.0</v>
      </c>
      <c r="E10972" s="52" t="s">
        <v>25</v>
      </c>
      <c r="F10972" s="52" t="s">
        <v>26</v>
      </c>
      <c r="G10972" s="54"/>
    </row>
    <row r="10973">
      <c r="A10973" s="49">
        <v>45136.45755020833</v>
      </c>
      <c r="B10973" s="50">
        <v>45136.5825139467</v>
      </c>
      <c r="C10973" s="51">
        <v>0.998</v>
      </c>
      <c r="D10973" s="51">
        <v>73.0</v>
      </c>
      <c r="E10973" s="52" t="s">
        <v>25</v>
      </c>
      <c r="F10973" s="52" t="s">
        <v>26</v>
      </c>
      <c r="G10973" s="54"/>
    </row>
    <row r="10974">
      <c r="A10974" s="49">
        <v>45136.46796516204</v>
      </c>
      <c r="B10974" s="50">
        <v>45136.5929332291</v>
      </c>
      <c r="C10974" s="51">
        <v>0.998</v>
      </c>
      <c r="D10974" s="51">
        <v>73.0</v>
      </c>
      <c r="E10974" s="52" t="s">
        <v>25</v>
      </c>
      <c r="F10974" s="52" t="s">
        <v>26</v>
      </c>
      <c r="G10974" s="54"/>
    </row>
    <row r="10975">
      <c r="A10975" s="49">
        <v>45136.478386331015</v>
      </c>
      <c r="B10975" s="50">
        <v>45136.603355162</v>
      </c>
      <c r="C10975" s="51">
        <v>0.998</v>
      </c>
      <c r="D10975" s="51">
        <v>73.0</v>
      </c>
      <c r="E10975" s="52" t="s">
        <v>25</v>
      </c>
      <c r="F10975" s="52" t="s">
        <v>26</v>
      </c>
      <c r="G10975" s="54"/>
    </row>
    <row r="10976">
      <c r="A10976" s="49">
        <v>45136.4888055787</v>
      </c>
      <c r="B10976" s="50">
        <v>45136.6137771759</v>
      </c>
      <c r="C10976" s="51">
        <v>0.998</v>
      </c>
      <c r="D10976" s="51">
        <v>73.0</v>
      </c>
      <c r="E10976" s="52" t="s">
        <v>25</v>
      </c>
      <c r="F10976" s="52" t="s">
        <v>26</v>
      </c>
      <c r="G10976" s="54"/>
    </row>
    <row r="10977">
      <c r="A10977" s="49">
        <v>45136.499229016204</v>
      </c>
      <c r="B10977" s="50">
        <v>45136.6242105092</v>
      </c>
      <c r="C10977" s="51">
        <v>0.999</v>
      </c>
      <c r="D10977" s="51">
        <v>73.0</v>
      </c>
      <c r="E10977" s="52" t="s">
        <v>25</v>
      </c>
      <c r="F10977" s="52" t="s">
        <v>26</v>
      </c>
      <c r="G10977" s="54"/>
    </row>
    <row r="10978">
      <c r="A10978" s="49">
        <v>45136.50966285879</v>
      </c>
      <c r="B10978" s="50">
        <v>45136.6346338773</v>
      </c>
      <c r="C10978" s="51">
        <v>0.999</v>
      </c>
      <c r="D10978" s="51">
        <v>73.0</v>
      </c>
      <c r="E10978" s="52" t="s">
        <v>25</v>
      </c>
      <c r="F10978" s="52" t="s">
        <v>26</v>
      </c>
      <c r="G10978" s="54"/>
    </row>
    <row r="10979">
      <c r="A10979" s="49">
        <v>45136.52008579861</v>
      </c>
      <c r="B10979" s="50">
        <v>45136.6450543402</v>
      </c>
      <c r="C10979" s="51">
        <v>0.998</v>
      </c>
      <c r="D10979" s="51">
        <v>73.0</v>
      </c>
      <c r="E10979" s="52" t="s">
        <v>25</v>
      </c>
      <c r="F10979" s="52" t="s">
        <v>26</v>
      </c>
      <c r="G10979" s="54"/>
    </row>
    <row r="10980">
      <c r="A10980" s="49">
        <v>45136.530520671295</v>
      </c>
      <c r="B10980" s="50">
        <v>45136.6554875926</v>
      </c>
      <c r="C10980" s="51">
        <v>0.998</v>
      </c>
      <c r="D10980" s="51">
        <v>73.0</v>
      </c>
      <c r="E10980" s="52" t="s">
        <v>25</v>
      </c>
      <c r="F10980" s="52" t="s">
        <v>26</v>
      </c>
      <c r="G10980" s="54"/>
    </row>
    <row r="10981">
      <c r="A10981" s="49">
        <v>45136.54093751157</v>
      </c>
      <c r="B10981" s="50">
        <v>45136.665908206</v>
      </c>
      <c r="C10981" s="51">
        <v>0.998</v>
      </c>
      <c r="D10981" s="51">
        <v>73.0</v>
      </c>
      <c r="E10981" s="52" t="s">
        <v>25</v>
      </c>
      <c r="F10981" s="52" t="s">
        <v>26</v>
      </c>
      <c r="G10981" s="54"/>
    </row>
    <row r="10982">
      <c r="A10982" s="49">
        <v>45136.55135940972</v>
      </c>
      <c r="B10982" s="50">
        <v>45136.6763269675</v>
      </c>
      <c r="C10982" s="51">
        <v>0.998</v>
      </c>
      <c r="D10982" s="51">
        <v>73.0</v>
      </c>
      <c r="E10982" s="52" t="s">
        <v>25</v>
      </c>
      <c r="F10982" s="52" t="s">
        <v>26</v>
      </c>
      <c r="G10982" s="54"/>
    </row>
    <row r="10983">
      <c r="A10983" s="49">
        <v>45136.56177410879</v>
      </c>
      <c r="B10983" s="50">
        <v>45136.6867476736</v>
      </c>
      <c r="C10983" s="51">
        <v>0.998</v>
      </c>
      <c r="D10983" s="51">
        <v>73.0</v>
      </c>
      <c r="E10983" s="52" t="s">
        <v>25</v>
      </c>
      <c r="F10983" s="52" t="s">
        <v>26</v>
      </c>
      <c r="G10983" s="54"/>
    </row>
    <row r="10984">
      <c r="A10984" s="49">
        <v>45136.57221106481</v>
      </c>
      <c r="B10984" s="50">
        <v>45136.6971820023</v>
      </c>
      <c r="C10984" s="51">
        <v>0.998</v>
      </c>
      <c r="D10984" s="51">
        <v>73.0</v>
      </c>
      <c r="E10984" s="52" t="s">
        <v>25</v>
      </c>
      <c r="F10984" s="52" t="s">
        <v>26</v>
      </c>
      <c r="G10984" s="54"/>
    </row>
    <row r="10985">
      <c r="A10985" s="49">
        <v>45136.582649641205</v>
      </c>
      <c r="B10985" s="50">
        <v>45136.7076258333</v>
      </c>
      <c r="C10985" s="51">
        <v>0.998</v>
      </c>
      <c r="D10985" s="51">
        <v>73.0</v>
      </c>
      <c r="E10985" s="52" t="s">
        <v>25</v>
      </c>
      <c r="F10985" s="52" t="s">
        <v>26</v>
      </c>
      <c r="G10985" s="54"/>
    </row>
    <row r="10986">
      <c r="A10986" s="49">
        <v>45136.603488043984</v>
      </c>
      <c r="B10986" s="50">
        <v>45136.7284686689</v>
      </c>
      <c r="C10986" s="51">
        <v>0.998</v>
      </c>
      <c r="D10986" s="51">
        <v>73.0</v>
      </c>
      <c r="E10986" s="52" t="s">
        <v>25</v>
      </c>
      <c r="F10986" s="52" t="s">
        <v>26</v>
      </c>
      <c r="G10986" s="54"/>
    </row>
    <row r="10987">
      <c r="A10987" s="49">
        <v>45136.61391537037</v>
      </c>
      <c r="B10987" s="50">
        <v>45136.7388902893</v>
      </c>
      <c r="C10987" s="51">
        <v>0.998</v>
      </c>
      <c r="D10987" s="51">
        <v>73.0</v>
      </c>
      <c r="E10987" s="52" t="s">
        <v>25</v>
      </c>
      <c r="F10987" s="52" t="s">
        <v>26</v>
      </c>
      <c r="G10987" s="54"/>
    </row>
    <row r="10988">
      <c r="A10988" s="49">
        <v>45136.62433314815</v>
      </c>
      <c r="B10988" s="50">
        <v>45136.7493106944</v>
      </c>
      <c r="C10988" s="51">
        <v>0.998</v>
      </c>
      <c r="D10988" s="51">
        <v>73.0</v>
      </c>
      <c r="E10988" s="52" t="s">
        <v>25</v>
      </c>
      <c r="F10988" s="52" t="s">
        <v>26</v>
      </c>
      <c r="G10988" s="54"/>
    </row>
    <row r="10989">
      <c r="A10989" s="49">
        <v>45136.63477185185</v>
      </c>
      <c r="B10989" s="50">
        <v>45136.7597435185</v>
      </c>
      <c r="C10989" s="51">
        <v>0.998</v>
      </c>
      <c r="D10989" s="51">
        <v>73.0</v>
      </c>
      <c r="E10989" s="52" t="s">
        <v>25</v>
      </c>
      <c r="F10989" s="52" t="s">
        <v>26</v>
      </c>
      <c r="G10989" s="54"/>
    </row>
    <row r="10990">
      <c r="A10990" s="49">
        <v>45136.64520208334</v>
      </c>
      <c r="B10990" s="50">
        <v>45136.7701749652</v>
      </c>
      <c r="C10990" s="51">
        <v>0.998</v>
      </c>
      <c r="D10990" s="51">
        <v>73.0</v>
      </c>
      <c r="E10990" s="52" t="s">
        <v>25</v>
      </c>
      <c r="F10990" s="52" t="s">
        <v>26</v>
      </c>
      <c r="G10990" s="54"/>
    </row>
    <row r="10991">
      <c r="A10991" s="49">
        <v>45136.65561512731</v>
      </c>
      <c r="B10991" s="50">
        <v>45136.7805960301</v>
      </c>
      <c r="C10991" s="51">
        <v>0.999</v>
      </c>
      <c r="D10991" s="51">
        <v>73.0</v>
      </c>
      <c r="E10991" s="52" t="s">
        <v>25</v>
      </c>
      <c r="F10991" s="52" t="s">
        <v>26</v>
      </c>
      <c r="G10991" s="54"/>
    </row>
    <row r="10992">
      <c r="A10992" s="49">
        <v>45136.66607199074</v>
      </c>
      <c r="B10992" s="50">
        <v>45136.791040625</v>
      </c>
      <c r="C10992" s="51">
        <v>0.998</v>
      </c>
      <c r="D10992" s="51">
        <v>73.0</v>
      </c>
      <c r="E10992" s="52" t="s">
        <v>25</v>
      </c>
      <c r="F10992" s="52" t="s">
        <v>26</v>
      </c>
      <c r="G10992" s="54"/>
    </row>
    <row r="10993">
      <c r="A10993" s="49">
        <v>45136.6764834375</v>
      </c>
      <c r="B10993" s="50">
        <v>45136.8014603935</v>
      </c>
      <c r="C10993" s="51">
        <v>0.998</v>
      </c>
      <c r="D10993" s="51">
        <v>73.0</v>
      </c>
      <c r="E10993" s="52" t="s">
        <v>25</v>
      </c>
      <c r="F10993" s="52" t="s">
        <v>26</v>
      </c>
      <c r="G10993" s="54"/>
    </row>
    <row r="10994">
      <c r="A10994" s="49">
        <v>45136.68690962963</v>
      </c>
      <c r="B10994" s="50">
        <v>45136.8118810879</v>
      </c>
      <c r="C10994" s="51">
        <v>0.998</v>
      </c>
      <c r="D10994" s="51">
        <v>73.0</v>
      </c>
      <c r="E10994" s="52" t="s">
        <v>25</v>
      </c>
      <c r="F10994" s="52" t="s">
        <v>26</v>
      </c>
      <c r="G10994" s="54"/>
    </row>
    <row r="10995">
      <c r="A10995" s="49">
        <v>45136.69732763889</v>
      </c>
      <c r="B10995" s="50">
        <v>45136.8223027083</v>
      </c>
      <c r="C10995" s="51">
        <v>0.998</v>
      </c>
      <c r="D10995" s="51">
        <v>73.0</v>
      </c>
      <c r="E10995" s="52" t="s">
        <v>25</v>
      </c>
      <c r="F10995" s="52" t="s">
        <v>26</v>
      </c>
      <c r="G10995" s="54"/>
    </row>
    <row r="10996">
      <c r="A10996" s="49">
        <v>45136.70775137731</v>
      </c>
      <c r="B10996" s="50">
        <v>45136.8327257175</v>
      </c>
      <c r="C10996" s="51">
        <v>0.998</v>
      </c>
      <c r="D10996" s="51">
        <v>73.0</v>
      </c>
      <c r="E10996" s="52" t="s">
        <v>25</v>
      </c>
      <c r="F10996" s="52" t="s">
        <v>26</v>
      </c>
      <c r="G10996" s="54"/>
    </row>
    <row r="10997">
      <c r="A10997" s="49">
        <v>45136.71817724537</v>
      </c>
      <c r="B10997" s="50">
        <v>45136.8431470138</v>
      </c>
      <c r="C10997" s="51">
        <v>0.998</v>
      </c>
      <c r="D10997" s="51">
        <v>73.0</v>
      </c>
      <c r="E10997" s="52" t="s">
        <v>25</v>
      </c>
      <c r="F10997" s="52" t="s">
        <v>26</v>
      </c>
      <c r="G10997" s="54"/>
    </row>
    <row r="10998">
      <c r="A10998" s="49">
        <v>45136.728599803246</v>
      </c>
      <c r="B10998" s="50">
        <v>45136.8535688426</v>
      </c>
      <c r="C10998" s="51">
        <v>0.998</v>
      </c>
      <c r="D10998" s="51">
        <v>73.0</v>
      </c>
      <c r="E10998" s="52" t="s">
        <v>25</v>
      </c>
      <c r="F10998" s="52" t="s">
        <v>26</v>
      </c>
      <c r="G10998" s="54"/>
    </row>
    <row r="10999">
      <c r="A10999" s="49">
        <v>45136.739031944446</v>
      </c>
      <c r="B10999" s="50">
        <v>45136.8640007175</v>
      </c>
      <c r="C10999" s="51">
        <v>0.998</v>
      </c>
      <c r="D10999" s="51">
        <v>73.0</v>
      </c>
      <c r="E10999" s="52" t="s">
        <v>25</v>
      </c>
      <c r="F10999" s="52" t="s">
        <v>26</v>
      </c>
      <c r="G10999" s="54"/>
    </row>
    <row r="11000">
      <c r="A11000" s="49">
        <v>45136.75987875</v>
      </c>
      <c r="B11000" s="50">
        <v>45136.8848523495</v>
      </c>
      <c r="C11000" s="51">
        <v>0.998</v>
      </c>
      <c r="D11000" s="51">
        <v>73.0</v>
      </c>
      <c r="E11000" s="52" t="s">
        <v>25</v>
      </c>
      <c r="F11000" s="52" t="s">
        <v>26</v>
      </c>
      <c r="G11000" s="54"/>
    </row>
    <row r="11001">
      <c r="A11001" s="49">
        <v>45136.77029252315</v>
      </c>
      <c r="B11001" s="50">
        <v>45136.8952741088</v>
      </c>
      <c r="C11001" s="51">
        <v>0.999</v>
      </c>
      <c r="D11001" s="51">
        <v>73.0</v>
      </c>
      <c r="E11001" s="52" t="s">
        <v>25</v>
      </c>
      <c r="F11001" s="52" t="s">
        <v>26</v>
      </c>
      <c r="G11001" s="54"/>
    </row>
    <row r="11002">
      <c r="A11002" s="49">
        <v>45136.780722696756</v>
      </c>
      <c r="B11002" s="50">
        <v>45136.9056935879</v>
      </c>
      <c r="C11002" s="51">
        <v>0.998</v>
      </c>
      <c r="D11002" s="51">
        <v>73.0</v>
      </c>
      <c r="E11002" s="52" t="s">
        <v>25</v>
      </c>
      <c r="F11002" s="52" t="s">
        <v>26</v>
      </c>
      <c r="G11002" s="54"/>
    </row>
    <row r="11003">
      <c r="A11003" s="49">
        <v>45136.79113728009</v>
      </c>
      <c r="B11003" s="50">
        <v>45136.9161135301</v>
      </c>
      <c r="C11003" s="51">
        <v>0.998</v>
      </c>
      <c r="D11003" s="51">
        <v>73.0</v>
      </c>
      <c r="E11003" s="52" t="s">
        <v>25</v>
      </c>
      <c r="F11003" s="52" t="s">
        <v>26</v>
      </c>
      <c r="G11003" s="54"/>
    </row>
    <row r="11004">
      <c r="A11004" s="49">
        <v>45136.80155416667</v>
      </c>
      <c r="B11004" s="50">
        <v>45136.9265351851</v>
      </c>
      <c r="C11004" s="51">
        <v>0.998</v>
      </c>
      <c r="D11004" s="51">
        <v>73.0</v>
      </c>
      <c r="E11004" s="52" t="s">
        <v>25</v>
      </c>
      <c r="F11004" s="52" t="s">
        <v>26</v>
      </c>
      <c r="G11004" s="54"/>
    </row>
    <row r="11005">
      <c r="A11005" s="49">
        <v>45136.81198293982</v>
      </c>
      <c r="B11005" s="50">
        <v>45136.936957743</v>
      </c>
      <c r="C11005" s="51">
        <v>0.998</v>
      </c>
      <c r="D11005" s="51">
        <v>73.0</v>
      </c>
      <c r="E11005" s="52" t="s">
        <v>25</v>
      </c>
      <c r="F11005" s="52" t="s">
        <v>26</v>
      </c>
      <c r="G11005" s="54"/>
    </row>
    <row r="11006">
      <c r="A11006" s="49">
        <v>45136.82241579861</v>
      </c>
      <c r="B11006" s="50">
        <v>45136.9473891898</v>
      </c>
      <c r="C11006" s="51">
        <v>0.998</v>
      </c>
      <c r="D11006" s="51">
        <v>73.0</v>
      </c>
      <c r="E11006" s="52" t="s">
        <v>25</v>
      </c>
      <c r="F11006" s="52" t="s">
        <v>26</v>
      </c>
      <c r="G11006" s="54"/>
    </row>
    <row r="11007">
      <c r="A11007" s="49">
        <v>45136.83283878472</v>
      </c>
      <c r="B11007" s="50">
        <v>45136.9578094328</v>
      </c>
      <c r="C11007" s="51">
        <v>0.998</v>
      </c>
      <c r="D11007" s="51">
        <v>73.0</v>
      </c>
      <c r="E11007" s="52" t="s">
        <v>25</v>
      </c>
      <c r="F11007" s="52" t="s">
        <v>26</v>
      </c>
      <c r="G11007" s="54"/>
    </row>
    <row r="11008">
      <c r="A11008" s="49">
        <v>45136.84338733796</v>
      </c>
      <c r="B11008" s="50">
        <v>45136.9682289351</v>
      </c>
      <c r="C11008" s="51">
        <v>0.998</v>
      </c>
      <c r="D11008" s="51">
        <v>73.0</v>
      </c>
      <c r="E11008" s="52" t="s">
        <v>25</v>
      </c>
      <c r="F11008" s="52" t="s">
        <v>26</v>
      </c>
      <c r="G11008" s="54"/>
    </row>
    <row r="11009">
      <c r="A11009" s="49">
        <v>45136.85367141204</v>
      </c>
      <c r="B11009" s="50">
        <v>45136.9786492013</v>
      </c>
      <c r="C11009" s="51">
        <v>0.998</v>
      </c>
      <c r="D11009" s="51">
        <v>73.0</v>
      </c>
      <c r="E11009" s="52" t="s">
        <v>25</v>
      </c>
      <c r="F11009" s="52" t="s">
        <v>26</v>
      </c>
      <c r="G11009" s="54"/>
    </row>
    <row r="11010">
      <c r="A11010" s="49">
        <v>45136.864091041665</v>
      </c>
      <c r="B11010" s="50">
        <v>45136.9890722453</v>
      </c>
      <c r="C11010" s="51">
        <v>0.998</v>
      </c>
      <c r="D11010" s="51">
        <v>73.0</v>
      </c>
      <c r="E11010" s="52" t="s">
        <v>25</v>
      </c>
      <c r="F11010" s="52" t="s">
        <v>26</v>
      </c>
      <c r="G11010" s="54"/>
    </row>
    <row r="11011">
      <c r="A11011" s="49">
        <v>45136.87452616898</v>
      </c>
      <c r="B11011" s="50">
        <v>45136.9994944791</v>
      </c>
      <c r="C11011" s="51">
        <v>0.998</v>
      </c>
      <c r="D11011" s="51">
        <v>73.0</v>
      </c>
      <c r="E11011" s="52" t="s">
        <v>25</v>
      </c>
      <c r="F11011" s="52" t="s">
        <v>26</v>
      </c>
      <c r="G11011" s="54"/>
    </row>
    <row r="11012">
      <c r="A11012" s="49">
        <v>45136.88495328704</v>
      </c>
      <c r="B11012" s="50">
        <v>45137.0099269213</v>
      </c>
      <c r="C11012" s="51">
        <v>0.998</v>
      </c>
      <c r="D11012" s="51">
        <v>73.0</v>
      </c>
      <c r="E11012" s="52" t="s">
        <v>25</v>
      </c>
      <c r="F11012" s="52" t="s">
        <v>26</v>
      </c>
      <c r="G11012" s="54"/>
    </row>
    <row r="11013">
      <c r="A11013" s="49">
        <v>45136.89537533565</v>
      </c>
      <c r="B11013" s="50">
        <v>45137.0203461689</v>
      </c>
      <c r="C11013" s="51">
        <v>0.999</v>
      </c>
      <c r="D11013" s="51">
        <v>73.0</v>
      </c>
      <c r="E11013" s="52" t="s">
        <v>25</v>
      </c>
      <c r="F11013" s="52" t="s">
        <v>26</v>
      </c>
      <c r="G11013" s="54"/>
    </row>
    <row r="11014">
      <c r="A11014" s="49">
        <v>45136.905784375005</v>
      </c>
      <c r="B11014" s="50">
        <v>45137.0307675463</v>
      </c>
      <c r="C11014" s="51">
        <v>0.998</v>
      </c>
      <c r="D11014" s="51">
        <v>73.0</v>
      </c>
      <c r="E11014" s="52" t="s">
        <v>25</v>
      </c>
      <c r="F11014" s="52" t="s">
        <v>26</v>
      </c>
      <c r="G11014" s="54"/>
    </row>
    <row r="11015">
      <c r="A11015" s="49">
        <v>45136.91621275463</v>
      </c>
      <c r="B11015" s="50">
        <v>45137.0411894675</v>
      </c>
      <c r="C11015" s="51">
        <v>0.999</v>
      </c>
      <c r="D11015" s="51">
        <v>73.0</v>
      </c>
      <c r="E11015" s="52" t="s">
        <v>25</v>
      </c>
      <c r="F11015" s="52" t="s">
        <v>26</v>
      </c>
      <c r="G11015" s="54"/>
    </row>
    <row r="11016">
      <c r="A11016" s="49">
        <v>45136.92663559028</v>
      </c>
      <c r="B11016" s="50">
        <v>45137.0516098611</v>
      </c>
      <c r="C11016" s="51">
        <v>0.998</v>
      </c>
      <c r="D11016" s="51">
        <v>73.0</v>
      </c>
      <c r="E11016" s="52" t="s">
        <v>25</v>
      </c>
      <c r="F11016" s="52" t="s">
        <v>26</v>
      </c>
      <c r="G11016" s="54"/>
    </row>
    <row r="11017">
      <c r="A11017" s="49">
        <v>45136.937055625</v>
      </c>
      <c r="B11017" s="50">
        <v>45137.0620311574</v>
      </c>
      <c r="C11017" s="51">
        <v>0.998</v>
      </c>
      <c r="D11017" s="51">
        <v>73.0</v>
      </c>
      <c r="E11017" s="52" t="s">
        <v>25</v>
      </c>
      <c r="F11017" s="52" t="s">
        <v>26</v>
      </c>
      <c r="G11017" s="54"/>
    </row>
    <row r="11018">
      <c r="A11018" s="49">
        <v>45136.94748390046</v>
      </c>
      <c r="B11018" s="50">
        <v>45137.0724514351</v>
      </c>
      <c r="C11018" s="51">
        <v>0.998</v>
      </c>
      <c r="D11018" s="51">
        <v>73.0</v>
      </c>
      <c r="E11018" s="52" t="s">
        <v>25</v>
      </c>
      <c r="F11018" s="52" t="s">
        <v>26</v>
      </c>
      <c r="G11018" s="54"/>
    </row>
    <row r="11019">
      <c r="A11019" s="49">
        <v>45136.957893391205</v>
      </c>
      <c r="B11019" s="50">
        <v>45137.082872581</v>
      </c>
      <c r="C11019" s="51">
        <v>0.998</v>
      </c>
      <c r="D11019" s="51">
        <v>73.0</v>
      </c>
      <c r="E11019" s="52" t="s">
        <v>25</v>
      </c>
      <c r="F11019" s="52" t="s">
        <v>26</v>
      </c>
      <c r="G11019" s="54"/>
    </row>
    <row r="11020">
      <c r="A11020" s="49">
        <v>45136.96832118055</v>
      </c>
      <c r="B11020" s="50">
        <v>45137.0932953588</v>
      </c>
      <c r="C11020" s="51">
        <v>0.998</v>
      </c>
      <c r="D11020" s="51">
        <v>73.0</v>
      </c>
      <c r="E11020" s="52" t="s">
        <v>25</v>
      </c>
      <c r="F11020" s="52" t="s">
        <v>26</v>
      </c>
      <c r="G11020" s="54"/>
    </row>
    <row r="11021">
      <c r="A11021" s="49">
        <v>45136.978747800924</v>
      </c>
      <c r="B11021" s="50">
        <v>45137.1037158449</v>
      </c>
      <c r="C11021" s="51">
        <v>0.999</v>
      </c>
      <c r="D11021" s="51">
        <v>73.0</v>
      </c>
      <c r="E11021" s="52" t="s">
        <v>25</v>
      </c>
      <c r="F11021" s="52" t="s">
        <v>26</v>
      </c>
      <c r="G11021" s="54"/>
    </row>
    <row r="11022">
      <c r="A11022" s="49">
        <v>45136.989156701384</v>
      </c>
      <c r="B11022" s="50">
        <v>45137.1141375925</v>
      </c>
      <c r="C11022" s="51">
        <v>0.998</v>
      </c>
      <c r="D11022" s="51">
        <v>73.0</v>
      </c>
      <c r="E11022" s="52" t="s">
        <v>25</v>
      </c>
      <c r="F11022" s="52" t="s">
        <v>26</v>
      </c>
      <c r="G11022" s="54"/>
    </row>
    <row r="11023">
      <c r="A11023" s="49">
        <v>45136.99958307871</v>
      </c>
      <c r="B11023" s="50">
        <v>45137.1245594444</v>
      </c>
      <c r="C11023" s="51">
        <v>0.998</v>
      </c>
      <c r="D11023" s="51">
        <v>73.0</v>
      </c>
      <c r="E11023" s="52" t="s">
        <v>25</v>
      </c>
      <c r="F11023" s="52" t="s">
        <v>26</v>
      </c>
      <c r="G11023" s="54"/>
    </row>
    <row r="11024">
      <c r="A11024" s="49">
        <v>45137.01001113426</v>
      </c>
      <c r="B11024" s="50">
        <v>45137.1349809838</v>
      </c>
      <c r="C11024" s="51">
        <v>0.998</v>
      </c>
      <c r="D11024" s="51">
        <v>73.0</v>
      </c>
      <c r="E11024" s="52" t="s">
        <v>25</v>
      </c>
      <c r="F11024" s="52" t="s">
        <v>26</v>
      </c>
      <c r="G11024" s="54"/>
    </row>
    <row r="11025">
      <c r="A11025" s="49">
        <v>45137.020434826394</v>
      </c>
      <c r="B11025" s="50">
        <v>45137.1454027314</v>
      </c>
      <c r="C11025" s="51">
        <v>0.998</v>
      </c>
      <c r="D11025" s="51">
        <v>73.0</v>
      </c>
      <c r="E11025" s="52" t="s">
        <v>25</v>
      </c>
      <c r="F11025" s="52" t="s">
        <v>26</v>
      </c>
      <c r="G11025" s="54"/>
    </row>
    <row r="11026">
      <c r="A11026" s="49">
        <v>45137.03086890046</v>
      </c>
      <c r="B11026" s="50">
        <v>45137.1558357986</v>
      </c>
      <c r="C11026" s="51">
        <v>0.999</v>
      </c>
      <c r="D11026" s="51">
        <v>73.0</v>
      </c>
      <c r="E11026" s="52" t="s">
        <v>25</v>
      </c>
      <c r="F11026" s="52" t="s">
        <v>26</v>
      </c>
      <c r="G11026" s="54"/>
    </row>
    <row r="11027">
      <c r="A11027" s="49">
        <v>45137.04127956019</v>
      </c>
      <c r="B11027" s="50">
        <v>45137.1662579051</v>
      </c>
      <c r="C11027" s="51">
        <v>0.998</v>
      </c>
      <c r="D11027" s="51">
        <v>73.0</v>
      </c>
      <c r="E11027" s="52" t="s">
        <v>25</v>
      </c>
      <c r="F11027" s="52" t="s">
        <v>26</v>
      </c>
      <c r="G11027" s="54"/>
    </row>
    <row r="11028">
      <c r="A11028" s="49">
        <v>45137.05170351852</v>
      </c>
      <c r="B11028" s="50">
        <v>45137.1766784259</v>
      </c>
      <c r="C11028" s="51">
        <v>0.998</v>
      </c>
      <c r="D11028" s="51">
        <v>73.0</v>
      </c>
      <c r="E11028" s="52" t="s">
        <v>25</v>
      </c>
      <c r="F11028" s="52" t="s">
        <v>26</v>
      </c>
      <c r="G11028" s="54"/>
    </row>
    <row r="11029">
      <c r="A11029" s="49">
        <v>45137.06212354166</v>
      </c>
      <c r="B11029" s="50">
        <v>45137.1870986921</v>
      </c>
      <c r="C11029" s="51">
        <v>0.999</v>
      </c>
      <c r="D11029" s="51">
        <v>73.0</v>
      </c>
      <c r="E11029" s="52" t="s">
        <v>25</v>
      </c>
      <c r="F11029" s="52" t="s">
        <v>26</v>
      </c>
      <c r="G11029" s="54"/>
    </row>
    <row r="11030">
      <c r="A11030" s="49">
        <v>45137.07254231481</v>
      </c>
      <c r="B11030" s="50">
        <v>45137.1975207291</v>
      </c>
      <c r="C11030" s="51">
        <v>0.998</v>
      </c>
      <c r="D11030" s="51">
        <v>73.0</v>
      </c>
      <c r="E11030" s="52" t="s">
        <v>25</v>
      </c>
      <c r="F11030" s="52" t="s">
        <v>26</v>
      </c>
      <c r="G11030" s="54"/>
    </row>
    <row r="11031">
      <c r="A11031" s="49">
        <v>45137.08297445602</v>
      </c>
      <c r="B11031" s="50">
        <v>45137.2079412731</v>
      </c>
      <c r="C11031" s="51">
        <v>0.999</v>
      </c>
      <c r="D11031" s="51">
        <v>73.0</v>
      </c>
      <c r="E11031" s="52" t="s">
        <v>25</v>
      </c>
      <c r="F11031" s="52" t="s">
        <v>26</v>
      </c>
      <c r="G11031" s="54"/>
    </row>
    <row r="11032">
      <c r="A11032" s="49">
        <v>45137.09338690972</v>
      </c>
      <c r="B11032" s="50">
        <v>45137.2183617824</v>
      </c>
      <c r="C11032" s="51">
        <v>0.998</v>
      </c>
      <c r="D11032" s="51">
        <v>73.0</v>
      </c>
      <c r="E11032" s="52" t="s">
        <v>25</v>
      </c>
      <c r="F11032" s="52" t="s">
        <v>26</v>
      </c>
      <c r="G11032" s="54"/>
    </row>
    <row r="11033">
      <c r="A11033" s="49">
        <v>45137.10380541667</v>
      </c>
      <c r="B11033" s="50">
        <v>45137.2287826504</v>
      </c>
      <c r="C11033" s="51">
        <v>0.998</v>
      </c>
      <c r="D11033" s="51">
        <v>73.0</v>
      </c>
      <c r="E11033" s="52" t="s">
        <v>25</v>
      </c>
      <c r="F11033" s="52" t="s">
        <v>26</v>
      </c>
      <c r="G11033" s="54"/>
    </row>
    <row r="11034">
      <c r="A11034" s="49">
        <v>45137.11423103009</v>
      </c>
      <c r="B11034" s="50">
        <v>45137.239201574</v>
      </c>
      <c r="C11034" s="51">
        <v>0.998</v>
      </c>
      <c r="D11034" s="51">
        <v>73.0</v>
      </c>
      <c r="E11034" s="52" t="s">
        <v>25</v>
      </c>
      <c r="F11034" s="52" t="s">
        <v>26</v>
      </c>
      <c r="G11034" s="54"/>
    </row>
    <row r="11035">
      <c r="A11035" s="49">
        <v>45137.124652812505</v>
      </c>
      <c r="B11035" s="50">
        <v>45137.2496234375</v>
      </c>
      <c r="C11035" s="51">
        <v>0.998</v>
      </c>
      <c r="D11035" s="51">
        <v>73.0</v>
      </c>
      <c r="E11035" s="52" t="s">
        <v>25</v>
      </c>
      <c r="F11035" s="52" t="s">
        <v>26</v>
      </c>
      <c r="G11035" s="54"/>
    </row>
    <row r="11036">
      <c r="A11036" s="49">
        <v>45137.13507113426</v>
      </c>
      <c r="B11036" s="50">
        <v>45137.2600443981</v>
      </c>
      <c r="C11036" s="51">
        <v>0.998</v>
      </c>
      <c r="D11036" s="51">
        <v>73.0</v>
      </c>
      <c r="E11036" s="52" t="s">
        <v>25</v>
      </c>
      <c r="F11036" s="52" t="s">
        <v>26</v>
      </c>
      <c r="G11036" s="54"/>
    </row>
    <row r="11037">
      <c r="A11037" s="49">
        <v>45137.14549387731</v>
      </c>
      <c r="B11037" s="50">
        <v>45137.2704646412</v>
      </c>
      <c r="C11037" s="51">
        <v>0.998</v>
      </c>
      <c r="D11037" s="51">
        <v>73.0</v>
      </c>
      <c r="E11037" s="52" t="s">
        <v>25</v>
      </c>
      <c r="F11037" s="52" t="s">
        <v>26</v>
      </c>
      <c r="G11037" s="54"/>
    </row>
    <row r="11038">
      <c r="A11038" s="49">
        <v>45137.155920289355</v>
      </c>
      <c r="B11038" s="50">
        <v>45137.2808994097</v>
      </c>
      <c r="C11038" s="51">
        <v>0.998</v>
      </c>
      <c r="D11038" s="51">
        <v>73.0</v>
      </c>
      <c r="E11038" s="52" t="s">
        <v>25</v>
      </c>
      <c r="F11038" s="52" t="s">
        <v>26</v>
      </c>
      <c r="G11038" s="54"/>
    </row>
    <row r="11039">
      <c r="A11039" s="49">
        <v>45137.166357615744</v>
      </c>
      <c r="B11039" s="50">
        <v>45137.2913326041</v>
      </c>
      <c r="C11039" s="51">
        <v>0.998</v>
      </c>
      <c r="D11039" s="51">
        <v>73.0</v>
      </c>
      <c r="E11039" s="52" t="s">
        <v>25</v>
      </c>
      <c r="F11039" s="52" t="s">
        <v>26</v>
      </c>
      <c r="G11039" s="54"/>
    </row>
    <row r="11040">
      <c r="A11040" s="49">
        <v>45137.17677790509</v>
      </c>
      <c r="B11040" s="50">
        <v>45137.3017528356</v>
      </c>
      <c r="C11040" s="51">
        <v>0.998</v>
      </c>
      <c r="D11040" s="51">
        <v>73.0</v>
      </c>
      <c r="E11040" s="52" t="s">
        <v>25</v>
      </c>
      <c r="F11040" s="52" t="s">
        <v>26</v>
      </c>
      <c r="G11040" s="54"/>
    </row>
    <row r="11041">
      <c r="A11041" s="49">
        <v>45137.18721778935</v>
      </c>
      <c r="B11041" s="50">
        <v>45137.3121856481</v>
      </c>
      <c r="C11041" s="51">
        <v>0.998</v>
      </c>
      <c r="D11041" s="51">
        <v>73.0</v>
      </c>
      <c r="E11041" s="52" t="s">
        <v>25</v>
      </c>
      <c r="F11041" s="52" t="s">
        <v>26</v>
      </c>
      <c r="G11041" s="54"/>
    </row>
    <row r="11042">
      <c r="A11042" s="49">
        <v>45137.19763138889</v>
      </c>
      <c r="B11042" s="50">
        <v>45137.3226068171</v>
      </c>
      <c r="C11042" s="51">
        <v>0.998</v>
      </c>
      <c r="D11042" s="51">
        <v>73.0</v>
      </c>
      <c r="E11042" s="52" t="s">
        <v>25</v>
      </c>
      <c r="F11042" s="52" t="s">
        <v>26</v>
      </c>
      <c r="G11042" s="54"/>
    </row>
    <row r="11043">
      <c r="A11043" s="49">
        <v>45137.208056400465</v>
      </c>
      <c r="B11043" s="50">
        <v>45137.3330269907</v>
      </c>
      <c r="C11043" s="51">
        <v>0.998</v>
      </c>
      <c r="D11043" s="51">
        <v>73.0</v>
      </c>
      <c r="E11043" s="52" t="s">
        <v>25</v>
      </c>
      <c r="F11043" s="52" t="s">
        <v>26</v>
      </c>
      <c r="G11043" s="54"/>
    </row>
    <row r="11044">
      <c r="A11044" s="49">
        <v>45137.218489189814</v>
      </c>
      <c r="B11044" s="50">
        <v>45137.3434613657</v>
      </c>
      <c r="C11044" s="51">
        <v>0.998</v>
      </c>
      <c r="D11044" s="51">
        <v>73.0</v>
      </c>
      <c r="E11044" s="52" t="s">
        <v>25</v>
      </c>
      <c r="F11044" s="52" t="s">
        <v>26</v>
      </c>
      <c r="G11044" s="54"/>
    </row>
    <row r="11045">
      <c r="A11045" s="49">
        <v>45137.228905358796</v>
      </c>
      <c r="B11045" s="50">
        <v>45137.3538829282</v>
      </c>
      <c r="C11045" s="51">
        <v>0.998</v>
      </c>
      <c r="D11045" s="51">
        <v>73.0</v>
      </c>
      <c r="E11045" s="52" t="s">
        <v>25</v>
      </c>
      <c r="F11045" s="52" t="s">
        <v>26</v>
      </c>
      <c r="G11045" s="54"/>
    </row>
    <row r="11046">
      <c r="A11046" s="49">
        <v>45137.239329606484</v>
      </c>
      <c r="B11046" s="50">
        <v>45137.3643050578</v>
      </c>
      <c r="C11046" s="51">
        <v>0.998</v>
      </c>
      <c r="D11046" s="51">
        <v>73.0</v>
      </c>
      <c r="E11046" s="52" t="s">
        <v>25</v>
      </c>
      <c r="F11046" s="52" t="s">
        <v>26</v>
      </c>
      <c r="G11046" s="54"/>
    </row>
    <row r="11047">
      <c r="A11047" s="49">
        <v>45137.24975210648</v>
      </c>
      <c r="B11047" s="50">
        <v>45137.3747260185</v>
      </c>
      <c r="C11047" s="51">
        <v>0.998</v>
      </c>
      <c r="D11047" s="51">
        <v>73.0</v>
      </c>
      <c r="E11047" s="52" t="s">
        <v>25</v>
      </c>
      <c r="F11047" s="52" t="s">
        <v>26</v>
      </c>
      <c r="G11047" s="54"/>
    </row>
    <row r="11048">
      <c r="A11048" s="49">
        <v>45137.26017310185</v>
      </c>
      <c r="B11048" s="50">
        <v>45137.3851470023</v>
      </c>
      <c r="C11048" s="51">
        <v>0.998</v>
      </c>
      <c r="D11048" s="51">
        <v>73.0</v>
      </c>
      <c r="E11048" s="52" t="s">
        <v>25</v>
      </c>
      <c r="F11048" s="52" t="s">
        <v>26</v>
      </c>
      <c r="G11048" s="54"/>
    </row>
    <row r="11049">
      <c r="A11049" s="49">
        <v>45137.27059526621</v>
      </c>
      <c r="B11049" s="50">
        <v>45137.3955672222</v>
      </c>
      <c r="C11049" s="51">
        <v>0.998</v>
      </c>
      <c r="D11049" s="51">
        <v>73.0</v>
      </c>
      <c r="E11049" s="52" t="s">
        <v>25</v>
      </c>
      <c r="F11049" s="52" t="s">
        <v>26</v>
      </c>
      <c r="G11049" s="54"/>
    </row>
    <row r="11050">
      <c r="A11050" s="49">
        <v>45137.28102042824</v>
      </c>
      <c r="B11050" s="50">
        <v>45137.4059895601</v>
      </c>
      <c r="C11050" s="51">
        <v>0.998</v>
      </c>
      <c r="D11050" s="51">
        <v>73.0</v>
      </c>
      <c r="E11050" s="52" t="s">
        <v>25</v>
      </c>
      <c r="F11050" s="52" t="s">
        <v>26</v>
      </c>
      <c r="G11050" s="54"/>
    </row>
    <row r="11051">
      <c r="A11051" s="49">
        <v>45137.2914493287</v>
      </c>
      <c r="B11051" s="50">
        <v>45137.416422199</v>
      </c>
      <c r="C11051" s="51">
        <v>0.998</v>
      </c>
      <c r="D11051" s="51">
        <v>73.0</v>
      </c>
      <c r="E11051" s="52" t="s">
        <v>25</v>
      </c>
      <c r="F11051" s="52" t="s">
        <v>26</v>
      </c>
      <c r="G11051" s="54"/>
    </row>
    <row r="11052">
      <c r="A11052" s="49">
        <v>45137.30187416667</v>
      </c>
      <c r="B11052" s="50">
        <v>45137.4268424884</v>
      </c>
      <c r="C11052" s="51">
        <v>0.998</v>
      </c>
      <c r="D11052" s="51">
        <v>73.0</v>
      </c>
      <c r="E11052" s="52" t="s">
        <v>25</v>
      </c>
      <c r="F11052" s="52" t="s">
        <v>26</v>
      </c>
      <c r="G11052" s="54"/>
    </row>
    <row r="11053">
      <c r="A11053" s="49">
        <v>45137.312285300926</v>
      </c>
      <c r="B11053" s="50">
        <v>45137.4372652662</v>
      </c>
      <c r="C11053" s="51">
        <v>0.998</v>
      </c>
      <c r="D11053" s="51">
        <v>73.0</v>
      </c>
      <c r="E11053" s="52" t="s">
        <v>25</v>
      </c>
      <c r="F11053" s="52" t="s">
        <v>26</v>
      </c>
      <c r="G11053" s="54"/>
    </row>
    <row r="11054">
      <c r="A11054" s="49">
        <v>45137.322725185186</v>
      </c>
      <c r="B11054" s="50">
        <v>45137.4476983101</v>
      </c>
      <c r="C11054" s="51">
        <v>0.998</v>
      </c>
      <c r="D11054" s="51">
        <v>73.0</v>
      </c>
      <c r="E11054" s="52" t="s">
        <v>25</v>
      </c>
      <c r="F11054" s="52" t="s">
        <v>26</v>
      </c>
      <c r="G11054" s="54"/>
    </row>
    <row r="11055">
      <c r="A11055" s="49">
        <v>45137.33322409722</v>
      </c>
      <c r="B11055" s="50">
        <v>45137.4581205555</v>
      </c>
      <c r="C11055" s="51">
        <v>0.998</v>
      </c>
      <c r="D11055" s="51">
        <v>73.0</v>
      </c>
      <c r="E11055" s="52" t="s">
        <v>25</v>
      </c>
      <c r="F11055" s="52" t="s">
        <v>26</v>
      </c>
      <c r="G11055" s="54"/>
    </row>
    <row r="11056">
      <c r="A11056" s="49">
        <v>45137.3435690162</v>
      </c>
      <c r="B11056" s="50">
        <v>45137.4685420254</v>
      </c>
      <c r="C11056" s="51">
        <v>0.998</v>
      </c>
      <c r="D11056" s="51">
        <v>73.0</v>
      </c>
      <c r="E11056" s="52" t="s">
        <v>25</v>
      </c>
      <c r="F11056" s="52" t="s">
        <v>26</v>
      </c>
      <c r="G11056" s="54"/>
    </row>
    <row r="11057">
      <c r="A11057" s="49">
        <v>45137.35399260417</v>
      </c>
      <c r="B11057" s="50">
        <v>45137.4789618518</v>
      </c>
      <c r="C11057" s="51">
        <v>0.998</v>
      </c>
      <c r="D11057" s="51">
        <v>73.0</v>
      </c>
      <c r="E11057" s="52" t="s">
        <v>25</v>
      </c>
      <c r="F11057" s="52" t="s">
        <v>26</v>
      </c>
      <c r="G11057" s="54"/>
    </row>
    <row r="11058">
      <c r="A11058" s="49">
        <v>45137.364407800924</v>
      </c>
      <c r="B11058" s="50">
        <v>45137.4893823611</v>
      </c>
      <c r="C11058" s="51">
        <v>0.998</v>
      </c>
      <c r="D11058" s="51">
        <v>73.0</v>
      </c>
      <c r="E11058" s="52" t="s">
        <v>25</v>
      </c>
      <c r="F11058" s="52" t="s">
        <v>26</v>
      </c>
      <c r="G11058" s="54"/>
    </row>
    <row r="11059">
      <c r="A11059" s="49">
        <v>45137.37482293982</v>
      </c>
      <c r="B11059" s="50">
        <v>45137.4998028587</v>
      </c>
      <c r="C11059" s="51">
        <v>0.998</v>
      </c>
      <c r="D11059" s="51">
        <v>73.0</v>
      </c>
      <c r="E11059" s="52" t="s">
        <v>25</v>
      </c>
      <c r="F11059" s="52" t="s">
        <v>26</v>
      </c>
      <c r="G11059" s="54"/>
    </row>
    <row r="11060">
      <c r="A11060" s="49">
        <v>45137.3852684375</v>
      </c>
      <c r="B11060" s="50">
        <v>45137.5102347222</v>
      </c>
      <c r="C11060" s="51">
        <v>0.998</v>
      </c>
      <c r="D11060" s="51">
        <v>73.0</v>
      </c>
      <c r="E11060" s="52" t="s">
        <v>25</v>
      </c>
      <c r="F11060" s="52" t="s">
        <v>26</v>
      </c>
      <c r="G11060" s="54"/>
    </row>
    <row r="11061">
      <c r="A11061" s="49">
        <v>45137.39567510417</v>
      </c>
      <c r="B11061" s="50">
        <v>45137.5206550347</v>
      </c>
      <c r="C11061" s="51">
        <v>0.998</v>
      </c>
      <c r="D11061" s="51">
        <v>73.0</v>
      </c>
      <c r="E11061" s="52" t="s">
        <v>25</v>
      </c>
      <c r="F11061" s="52" t="s">
        <v>26</v>
      </c>
      <c r="G11061" s="54"/>
    </row>
    <row r="11062">
      <c r="A11062" s="49">
        <v>45137.406102002315</v>
      </c>
      <c r="B11062" s="50">
        <v>45137.5310764351</v>
      </c>
      <c r="C11062" s="51">
        <v>0.998</v>
      </c>
      <c r="D11062" s="51">
        <v>73.0</v>
      </c>
      <c r="E11062" s="52" t="s">
        <v>25</v>
      </c>
      <c r="F11062" s="52" t="s">
        <v>26</v>
      </c>
      <c r="G11062" s="54"/>
    </row>
    <row r="11063">
      <c r="A11063" s="49">
        <v>45137.416521817126</v>
      </c>
      <c r="B11063" s="50">
        <v>45137.5414969328</v>
      </c>
      <c r="C11063" s="51">
        <v>0.998</v>
      </c>
      <c r="D11063" s="51">
        <v>73.0</v>
      </c>
      <c r="E11063" s="52" t="s">
        <v>25</v>
      </c>
      <c r="F11063" s="52" t="s">
        <v>26</v>
      </c>
      <c r="G11063" s="54"/>
    </row>
    <row r="11064">
      <c r="A11064" s="49">
        <v>45137.42694644676</v>
      </c>
      <c r="B11064" s="50">
        <v>45137.551917199</v>
      </c>
      <c r="C11064" s="51">
        <v>0.998</v>
      </c>
      <c r="D11064" s="51">
        <v>73.0</v>
      </c>
      <c r="E11064" s="52" t="s">
        <v>25</v>
      </c>
      <c r="F11064" s="52" t="s">
        <v>26</v>
      </c>
      <c r="G11064" s="54"/>
    </row>
    <row r="11065">
      <c r="A11065" s="49">
        <v>45137.43737364584</v>
      </c>
      <c r="B11065" s="50">
        <v>45137.5623498726</v>
      </c>
      <c r="C11065" s="51">
        <v>0.998</v>
      </c>
      <c r="D11065" s="51">
        <v>73.0</v>
      </c>
      <c r="E11065" s="52" t="s">
        <v>25</v>
      </c>
      <c r="F11065" s="52" t="s">
        <v>26</v>
      </c>
      <c r="G11065" s="54"/>
    </row>
    <row r="11066">
      <c r="A11066" s="49">
        <v>45137.44780028935</v>
      </c>
      <c r="B11066" s="50">
        <v>45137.5727728009</v>
      </c>
      <c r="C11066" s="51">
        <v>0.998</v>
      </c>
      <c r="D11066" s="51">
        <v>73.0</v>
      </c>
      <c r="E11066" s="52" t="s">
        <v>25</v>
      </c>
      <c r="F11066" s="52" t="s">
        <v>26</v>
      </c>
      <c r="G11066" s="54"/>
    </row>
    <row r="11067">
      <c r="A11067" s="49">
        <v>45137.45822486111</v>
      </c>
      <c r="B11067" s="50">
        <v>45137.5831940972</v>
      </c>
      <c r="C11067" s="51">
        <v>0.998</v>
      </c>
      <c r="D11067" s="51">
        <v>73.0</v>
      </c>
      <c r="E11067" s="52" t="s">
        <v>25</v>
      </c>
      <c r="F11067" s="52" t="s">
        <v>26</v>
      </c>
      <c r="G11067" s="54"/>
    </row>
    <row r="11068">
      <c r="A11068" s="49">
        <v>45137.468662824074</v>
      </c>
      <c r="B11068" s="50">
        <v>45137.5936391319</v>
      </c>
      <c r="C11068" s="51">
        <v>0.998</v>
      </c>
      <c r="D11068" s="51">
        <v>73.0</v>
      </c>
      <c r="E11068" s="52" t="s">
        <v>25</v>
      </c>
      <c r="F11068" s="52" t="s">
        <v>26</v>
      </c>
      <c r="G11068" s="54"/>
    </row>
    <row r="11069">
      <c r="A11069" s="49">
        <v>45137.47909184028</v>
      </c>
      <c r="B11069" s="50">
        <v>45137.6040613425</v>
      </c>
      <c r="C11069" s="51">
        <v>0.998</v>
      </c>
      <c r="D11069" s="51">
        <v>73.0</v>
      </c>
      <c r="E11069" s="52" t="s">
        <v>25</v>
      </c>
      <c r="F11069" s="52" t="s">
        <v>26</v>
      </c>
      <c r="G11069" s="54"/>
    </row>
    <row r="11070">
      <c r="A11070" s="49">
        <v>45137.48950409722</v>
      </c>
      <c r="B11070" s="50">
        <v>45137.6144838194</v>
      </c>
      <c r="C11070" s="51">
        <v>0.998</v>
      </c>
      <c r="D11070" s="51">
        <v>73.0</v>
      </c>
      <c r="E11070" s="52" t="s">
        <v>25</v>
      </c>
      <c r="F11070" s="52" t="s">
        <v>26</v>
      </c>
      <c r="G11070" s="54"/>
    </row>
    <row r="11071">
      <c r="A11071" s="49">
        <v>45137.4999328125</v>
      </c>
      <c r="B11071" s="50">
        <v>45137.6249033564</v>
      </c>
      <c r="C11071" s="51">
        <v>0.998</v>
      </c>
      <c r="D11071" s="51">
        <v>73.0</v>
      </c>
      <c r="E11071" s="52" t="s">
        <v>25</v>
      </c>
      <c r="F11071" s="52" t="s">
        <v>26</v>
      </c>
      <c r="G11071" s="54"/>
    </row>
    <row r="11072">
      <c r="A11072" s="49">
        <v>45137.51035039352</v>
      </c>
      <c r="B11072" s="50">
        <v>45137.6353250926</v>
      </c>
      <c r="C11072" s="51">
        <v>0.998</v>
      </c>
      <c r="D11072" s="51">
        <v>73.0</v>
      </c>
      <c r="E11072" s="52" t="s">
        <v>25</v>
      </c>
      <c r="F11072" s="52" t="s">
        <v>26</v>
      </c>
      <c r="G11072" s="54"/>
    </row>
    <row r="11073">
      <c r="A11073" s="49">
        <v>45137.52077458333</v>
      </c>
      <c r="B11073" s="50">
        <v>45137.6457464236</v>
      </c>
      <c r="C11073" s="51">
        <v>0.998</v>
      </c>
      <c r="D11073" s="51">
        <v>73.0</v>
      </c>
      <c r="E11073" s="52" t="s">
        <v>25</v>
      </c>
      <c r="F11073" s="52" t="s">
        <v>26</v>
      </c>
      <c r="G11073" s="54"/>
    </row>
    <row r="11074">
      <c r="A11074" s="49">
        <v>45137.53118859953</v>
      </c>
      <c r="B11074" s="50">
        <v>45137.6561678588</v>
      </c>
      <c r="C11074" s="51">
        <v>0.998</v>
      </c>
      <c r="D11074" s="51">
        <v>73.0</v>
      </c>
      <c r="E11074" s="52" t="s">
        <v>25</v>
      </c>
      <c r="F11074" s="52" t="s">
        <v>26</v>
      </c>
      <c r="G11074" s="54"/>
    </row>
    <row r="11075">
      <c r="A11075" s="49">
        <v>45137.541616539354</v>
      </c>
      <c r="B11075" s="50">
        <v>45137.6665881481</v>
      </c>
      <c r="C11075" s="51">
        <v>0.998</v>
      </c>
      <c r="D11075" s="51">
        <v>73.0</v>
      </c>
      <c r="E11075" s="52" t="s">
        <v>25</v>
      </c>
      <c r="F11075" s="52" t="s">
        <v>26</v>
      </c>
      <c r="G11075" s="54"/>
    </row>
    <row r="11076">
      <c r="A11076" s="49">
        <v>45137.55203476852</v>
      </c>
      <c r="B11076" s="50">
        <v>45137.6770076388</v>
      </c>
      <c r="C11076" s="51">
        <v>0.998</v>
      </c>
      <c r="D11076" s="51">
        <v>73.0</v>
      </c>
      <c r="E11076" s="52" t="s">
        <v>25</v>
      </c>
      <c r="F11076" s="52" t="s">
        <v>26</v>
      </c>
      <c r="G11076" s="54"/>
    </row>
    <row r="11077">
      <c r="A11077" s="49">
        <v>45137.562455810184</v>
      </c>
      <c r="B11077" s="50">
        <v>45137.6874295949</v>
      </c>
      <c r="C11077" s="51">
        <v>0.998</v>
      </c>
      <c r="D11077" s="51">
        <v>73.0</v>
      </c>
      <c r="E11077" s="52" t="s">
        <v>25</v>
      </c>
      <c r="F11077" s="52" t="s">
        <v>26</v>
      </c>
      <c r="G11077" s="54"/>
    </row>
    <row r="11078">
      <c r="A11078" s="49">
        <v>45137.57289239584</v>
      </c>
      <c r="B11078" s="50">
        <v>45137.6978731018</v>
      </c>
      <c r="C11078" s="51">
        <v>0.998</v>
      </c>
      <c r="D11078" s="51">
        <v>73.0</v>
      </c>
      <c r="E11078" s="52" t="s">
        <v>25</v>
      </c>
      <c r="F11078" s="52" t="s">
        <v>26</v>
      </c>
      <c r="G11078" s="54"/>
    </row>
    <row r="11079">
      <c r="A11079" s="49">
        <v>45137.58333472222</v>
      </c>
      <c r="B11079" s="50">
        <v>45137.7083070139</v>
      </c>
      <c r="C11079" s="51">
        <v>0.998</v>
      </c>
      <c r="D11079" s="51">
        <v>73.0</v>
      </c>
      <c r="E11079" s="52" t="s">
        <v>25</v>
      </c>
      <c r="F11079" s="52" t="s">
        <v>26</v>
      </c>
      <c r="G11079" s="54"/>
    </row>
    <row r="11080">
      <c r="A11080" s="49">
        <v>45137.59375533565</v>
      </c>
      <c r="B11080" s="50">
        <v>45137.7187280787</v>
      </c>
      <c r="C11080" s="51">
        <v>0.998</v>
      </c>
      <c r="D11080" s="51">
        <v>73.0</v>
      </c>
      <c r="E11080" s="52" t="s">
        <v>25</v>
      </c>
      <c r="F11080" s="52" t="s">
        <v>26</v>
      </c>
      <c r="G11080" s="54"/>
    </row>
    <row r="11081">
      <c r="A11081" s="49">
        <v>45137.604176493056</v>
      </c>
      <c r="B11081" s="50">
        <v>45137.7291501967</v>
      </c>
      <c r="C11081" s="51">
        <v>0.999</v>
      </c>
      <c r="D11081" s="51">
        <v>73.0</v>
      </c>
      <c r="E11081" s="52" t="s">
        <v>25</v>
      </c>
      <c r="F11081" s="52" t="s">
        <v>26</v>
      </c>
      <c r="G11081" s="54"/>
    </row>
    <row r="11082">
      <c r="A11082" s="49">
        <v>45137.61460006944</v>
      </c>
      <c r="B11082" s="50">
        <v>45137.739571331</v>
      </c>
      <c r="C11082" s="51">
        <v>0.998</v>
      </c>
      <c r="D11082" s="51">
        <v>73.0</v>
      </c>
      <c r="E11082" s="52" t="s">
        <v>25</v>
      </c>
      <c r="F11082" s="52" t="s">
        <v>26</v>
      </c>
      <c r="G11082" s="54"/>
    </row>
    <row r="11083">
      <c r="A11083" s="49">
        <v>45137.62503821759</v>
      </c>
      <c r="B11083" s="50">
        <v>45137.7500048726</v>
      </c>
      <c r="C11083" s="51">
        <v>0.999</v>
      </c>
      <c r="D11083" s="51">
        <v>73.0</v>
      </c>
      <c r="E11083" s="52" t="s">
        <v>25</v>
      </c>
      <c r="F11083" s="52" t="s">
        <v>26</v>
      </c>
      <c r="G11083" s="54"/>
    </row>
    <row r="11084">
      <c r="A11084" s="49">
        <v>45137.635458958335</v>
      </c>
      <c r="B11084" s="50">
        <v>45137.7604390625</v>
      </c>
      <c r="C11084" s="51">
        <v>0.998</v>
      </c>
      <c r="D11084" s="51">
        <v>73.0</v>
      </c>
      <c r="E11084" s="52" t="s">
        <v>25</v>
      </c>
      <c r="F11084" s="52" t="s">
        <v>26</v>
      </c>
      <c r="G11084" s="54"/>
    </row>
    <row r="11085">
      <c r="A11085" s="49">
        <v>45137.645896030095</v>
      </c>
      <c r="B11085" s="50">
        <v>45137.7708732986</v>
      </c>
      <c r="C11085" s="51">
        <v>0.999</v>
      </c>
      <c r="D11085" s="51">
        <v>73.0</v>
      </c>
      <c r="E11085" s="52" t="s">
        <v>25</v>
      </c>
      <c r="F11085" s="52" t="s">
        <v>26</v>
      </c>
      <c r="G11085" s="54"/>
    </row>
    <row r="11086">
      <c r="A11086" s="49">
        <v>45137.65632497685</v>
      </c>
      <c r="B11086" s="50">
        <v>45137.7812937384</v>
      </c>
      <c r="C11086" s="51">
        <v>0.998</v>
      </c>
      <c r="D11086" s="51">
        <v>73.0</v>
      </c>
      <c r="E11086" s="52" t="s">
        <v>25</v>
      </c>
      <c r="F11086" s="52" t="s">
        <v>26</v>
      </c>
      <c r="G11086" s="54"/>
    </row>
    <row r="11087">
      <c r="A11087" s="49">
        <v>45137.66675512731</v>
      </c>
      <c r="B11087" s="50">
        <v>45137.7917259027</v>
      </c>
      <c r="C11087" s="51">
        <v>0.998</v>
      </c>
      <c r="D11087" s="51">
        <v>73.0</v>
      </c>
      <c r="E11087" s="52" t="s">
        <v>25</v>
      </c>
      <c r="F11087" s="52" t="s">
        <v>26</v>
      </c>
      <c r="G11087" s="54"/>
    </row>
    <row r="11088">
      <c r="A11088" s="49">
        <v>45137.677173159725</v>
      </c>
      <c r="B11088" s="50">
        <v>45137.8021463078</v>
      </c>
      <c r="C11088" s="51">
        <v>0.998</v>
      </c>
      <c r="D11088" s="51">
        <v>73.0</v>
      </c>
      <c r="E11088" s="52" t="s">
        <v>25</v>
      </c>
      <c r="F11088" s="52" t="s">
        <v>26</v>
      </c>
      <c r="G11088" s="54"/>
    </row>
    <row r="11089">
      <c r="A11089" s="49">
        <v>45137.68759443287</v>
      </c>
      <c r="B11089" s="50">
        <v>45137.8125678588</v>
      </c>
      <c r="C11089" s="51">
        <v>0.998</v>
      </c>
      <c r="D11089" s="51">
        <v>73.0</v>
      </c>
      <c r="E11089" s="52" t="s">
        <v>25</v>
      </c>
      <c r="F11089" s="52" t="s">
        <v>26</v>
      </c>
      <c r="G11089" s="54"/>
    </row>
    <row r="11090">
      <c r="A11090" s="49">
        <v>45137.69802130787</v>
      </c>
      <c r="B11090" s="50">
        <v>45137.8229877546</v>
      </c>
      <c r="C11090" s="51">
        <v>0.998</v>
      </c>
      <c r="D11090" s="51">
        <v>73.0</v>
      </c>
      <c r="E11090" s="52" t="s">
        <v>25</v>
      </c>
      <c r="F11090" s="52" t="s">
        <v>26</v>
      </c>
      <c r="G11090" s="54"/>
    </row>
    <row r="11091">
      <c r="A11091" s="49">
        <v>45137.70843936343</v>
      </c>
      <c r="B11091" s="50">
        <v>45137.833411493</v>
      </c>
      <c r="C11091" s="51">
        <v>0.998</v>
      </c>
      <c r="D11091" s="51">
        <v>73.0</v>
      </c>
      <c r="E11091" s="52" t="s">
        <v>25</v>
      </c>
      <c r="F11091" s="52" t="s">
        <v>26</v>
      </c>
      <c r="G11091" s="54"/>
    </row>
    <row r="11092">
      <c r="A11092" s="49">
        <v>45137.718862615744</v>
      </c>
      <c r="B11092" s="50">
        <v>45137.843831875</v>
      </c>
      <c r="C11092" s="51">
        <v>0.998</v>
      </c>
      <c r="D11092" s="51">
        <v>73.0</v>
      </c>
      <c r="E11092" s="52" t="s">
        <v>25</v>
      </c>
      <c r="F11092" s="52" t="s">
        <v>26</v>
      </c>
      <c r="G11092" s="54"/>
    </row>
    <row r="11093">
      <c r="A11093" s="49">
        <v>45137.72928459491</v>
      </c>
      <c r="B11093" s="50">
        <v>45137.854253125</v>
      </c>
      <c r="C11093" s="51">
        <v>0.999</v>
      </c>
      <c r="D11093" s="51">
        <v>73.0</v>
      </c>
      <c r="E11093" s="52" t="s">
        <v>25</v>
      </c>
      <c r="F11093" s="52" t="s">
        <v>26</v>
      </c>
      <c r="G11093" s="54"/>
    </row>
    <row r="11094">
      <c r="A11094" s="49">
        <v>45137.73971351852</v>
      </c>
      <c r="B11094" s="50">
        <v>45137.8646846643</v>
      </c>
      <c r="C11094" s="51">
        <v>0.998</v>
      </c>
      <c r="D11094" s="51">
        <v>73.0</v>
      </c>
      <c r="E11094" s="52" t="s">
        <v>25</v>
      </c>
      <c r="F11094" s="52" t="s">
        <v>26</v>
      </c>
      <c r="G11094" s="54"/>
    </row>
    <row r="11095">
      <c r="A11095" s="49">
        <v>45137.750130960645</v>
      </c>
      <c r="B11095" s="50">
        <v>45137.8751040277</v>
      </c>
      <c r="C11095" s="51">
        <v>0.998</v>
      </c>
      <c r="D11095" s="51">
        <v>73.0</v>
      </c>
      <c r="E11095" s="52" t="s">
        <v>25</v>
      </c>
      <c r="F11095" s="52" t="s">
        <v>26</v>
      </c>
      <c r="G11095" s="54"/>
    </row>
    <row r="11096">
      <c r="A11096" s="49">
        <v>45137.760565115736</v>
      </c>
      <c r="B11096" s="50">
        <v>45137.8855354166</v>
      </c>
      <c r="C11096" s="51">
        <v>0.998</v>
      </c>
      <c r="D11096" s="51">
        <v>73.0</v>
      </c>
      <c r="E11096" s="52" t="s">
        <v>25</v>
      </c>
      <c r="F11096" s="52" t="s">
        <v>26</v>
      </c>
      <c r="G11096" s="54"/>
    </row>
    <row r="11097">
      <c r="A11097" s="49">
        <v>45137.77097783565</v>
      </c>
      <c r="B11097" s="50">
        <v>45137.8959564467</v>
      </c>
      <c r="C11097" s="51">
        <v>0.998</v>
      </c>
      <c r="D11097" s="51">
        <v>73.0</v>
      </c>
      <c r="E11097" s="52" t="s">
        <v>25</v>
      </c>
      <c r="F11097" s="52" t="s">
        <v>26</v>
      </c>
      <c r="G11097" s="54"/>
    </row>
    <row r="11098">
      <c r="A11098" s="49">
        <v>45137.78140408565</v>
      </c>
      <c r="B11098" s="50">
        <v>45137.9063777662</v>
      </c>
      <c r="C11098" s="51">
        <v>0.998</v>
      </c>
      <c r="D11098" s="51">
        <v>73.0</v>
      </c>
      <c r="E11098" s="52" t="s">
        <v>25</v>
      </c>
      <c r="F11098" s="52" t="s">
        <v>26</v>
      </c>
      <c r="G11098" s="54"/>
    </row>
    <row r="11099">
      <c r="A11099" s="49">
        <v>45137.79182924768</v>
      </c>
      <c r="B11099" s="50">
        <v>45137.9167980208</v>
      </c>
      <c r="C11099" s="51">
        <v>0.998</v>
      </c>
      <c r="D11099" s="51">
        <v>73.0</v>
      </c>
      <c r="E11099" s="52" t="s">
        <v>25</v>
      </c>
      <c r="F11099" s="52" t="s">
        <v>26</v>
      </c>
      <c r="G11099" s="54"/>
    </row>
    <row r="11100">
      <c r="A11100" s="49">
        <v>45137.80225415509</v>
      </c>
      <c r="B11100" s="50">
        <v>45137.9272194675</v>
      </c>
      <c r="C11100" s="51">
        <v>0.998</v>
      </c>
      <c r="D11100" s="51">
        <v>72.0</v>
      </c>
      <c r="E11100" s="52" t="s">
        <v>25</v>
      </c>
      <c r="F11100" s="52" t="s">
        <v>26</v>
      </c>
      <c r="G11100" s="54"/>
    </row>
    <row r="11101">
      <c r="A11101" s="49">
        <v>45137.81266790509</v>
      </c>
      <c r="B11101" s="50">
        <v>45137.9376409375</v>
      </c>
      <c r="C11101" s="51">
        <v>0.998</v>
      </c>
      <c r="D11101" s="51">
        <v>72.0</v>
      </c>
      <c r="E11101" s="52" t="s">
        <v>25</v>
      </c>
      <c r="F11101" s="52" t="s">
        <v>26</v>
      </c>
      <c r="G11101" s="54"/>
    </row>
    <row r="11102">
      <c r="A11102" s="49">
        <v>45137.82308877315</v>
      </c>
      <c r="B11102" s="50">
        <v>45137.9480609375</v>
      </c>
      <c r="C11102" s="51">
        <v>0.998</v>
      </c>
      <c r="D11102" s="51">
        <v>72.0</v>
      </c>
      <c r="E11102" s="52" t="s">
        <v>25</v>
      </c>
      <c r="F11102" s="52" t="s">
        <v>26</v>
      </c>
      <c r="G11102" s="54"/>
    </row>
    <row r="11103">
      <c r="A11103" s="49">
        <v>45137.833515763894</v>
      </c>
      <c r="B11103" s="50">
        <v>45137.958482037</v>
      </c>
      <c r="C11103" s="51">
        <v>0.999</v>
      </c>
      <c r="D11103" s="51">
        <v>72.0</v>
      </c>
      <c r="E11103" s="52" t="s">
        <v>25</v>
      </c>
      <c r="F11103" s="52" t="s">
        <v>26</v>
      </c>
      <c r="G11103" s="54"/>
    </row>
    <row r="11104">
      <c r="A11104" s="49">
        <v>45137.843920300926</v>
      </c>
      <c r="B11104" s="50">
        <v>45137.9689011689</v>
      </c>
      <c r="C11104" s="51">
        <v>0.998</v>
      </c>
      <c r="D11104" s="51">
        <v>72.0</v>
      </c>
      <c r="E11104" s="52" t="s">
        <v>25</v>
      </c>
      <c r="F11104" s="52" t="s">
        <v>26</v>
      </c>
      <c r="G11104" s="54"/>
    </row>
    <row r="11105">
      <c r="A11105" s="49">
        <v>45137.85436267361</v>
      </c>
      <c r="B11105" s="50">
        <v>45137.9793339004</v>
      </c>
      <c r="C11105" s="51">
        <v>0.998</v>
      </c>
      <c r="D11105" s="51">
        <v>72.0</v>
      </c>
      <c r="E11105" s="52" t="s">
        <v>25</v>
      </c>
      <c r="F11105" s="52" t="s">
        <v>26</v>
      </c>
      <c r="G11105" s="54"/>
    </row>
    <row r="11106">
      <c r="A11106" s="49">
        <v>45137.864779166666</v>
      </c>
      <c r="B11106" s="50">
        <v>45137.9897539351</v>
      </c>
      <c r="C11106" s="51">
        <v>0.999</v>
      </c>
      <c r="D11106" s="51">
        <v>72.0</v>
      </c>
      <c r="E11106" s="52" t="s">
        <v>25</v>
      </c>
      <c r="F11106" s="52" t="s">
        <v>26</v>
      </c>
      <c r="G11106" s="54"/>
    </row>
    <row r="11107">
      <c r="A11107" s="49">
        <v>45137.87521074074</v>
      </c>
      <c r="B11107" s="50">
        <v>45138.0001860532</v>
      </c>
      <c r="C11107" s="51">
        <v>0.999</v>
      </c>
      <c r="D11107" s="51">
        <v>72.0</v>
      </c>
      <c r="E11107" s="52" t="s">
        <v>25</v>
      </c>
      <c r="F11107" s="52" t="s">
        <v>26</v>
      </c>
      <c r="G11107" s="54"/>
    </row>
    <row r="11108">
      <c r="A11108" s="49">
        <v>45137.885633032405</v>
      </c>
      <c r="B11108" s="50">
        <v>45138.0106074074</v>
      </c>
      <c r="C11108" s="51">
        <v>0.998</v>
      </c>
      <c r="D11108" s="51">
        <v>72.0</v>
      </c>
      <c r="E11108" s="52" t="s">
        <v>25</v>
      </c>
      <c r="F11108" s="52" t="s">
        <v>26</v>
      </c>
      <c r="G11108" s="54"/>
    </row>
    <row r="11109">
      <c r="A11109" s="49">
        <v>45137.896053136574</v>
      </c>
      <c r="B11109" s="50">
        <v>45138.0210275462</v>
      </c>
      <c r="C11109" s="51">
        <v>0.998</v>
      </c>
      <c r="D11109" s="51">
        <v>72.0</v>
      </c>
      <c r="E11109" s="52" t="s">
        <v>25</v>
      </c>
      <c r="F11109" s="52" t="s">
        <v>26</v>
      </c>
      <c r="G11109" s="54"/>
    </row>
    <row r="11110">
      <c r="A11110" s="49">
        <v>45137.90647180556</v>
      </c>
      <c r="B11110" s="50">
        <v>45138.0314459143</v>
      </c>
      <c r="C11110" s="51">
        <v>0.998</v>
      </c>
      <c r="D11110" s="51">
        <v>72.0</v>
      </c>
      <c r="E11110" s="52" t="s">
        <v>25</v>
      </c>
      <c r="F11110" s="52" t="s">
        <v>26</v>
      </c>
      <c r="G11110" s="54"/>
    </row>
    <row r="11111">
      <c r="A11111" s="49">
        <v>45137.91691209491</v>
      </c>
      <c r="B11111" s="50">
        <v>45138.0418792824</v>
      </c>
      <c r="C11111" s="51">
        <v>0.998</v>
      </c>
      <c r="D11111" s="51">
        <v>72.0</v>
      </c>
      <c r="E11111" s="52" t="s">
        <v>25</v>
      </c>
      <c r="F11111" s="52" t="s">
        <v>26</v>
      </c>
      <c r="G11111" s="54"/>
    </row>
    <row r="11112">
      <c r="A11112" s="49">
        <v>45137.927324212964</v>
      </c>
      <c r="B11112" s="50">
        <v>45138.0523019676</v>
      </c>
      <c r="C11112" s="51">
        <v>0.998</v>
      </c>
      <c r="D11112" s="51">
        <v>72.0</v>
      </c>
      <c r="E11112" s="52" t="s">
        <v>25</v>
      </c>
      <c r="F11112" s="52" t="s">
        <v>26</v>
      </c>
      <c r="G11112" s="54"/>
    </row>
    <row r="11113">
      <c r="A11113" s="49">
        <v>45137.937750625</v>
      </c>
      <c r="B11113" s="50">
        <v>45138.062723368</v>
      </c>
      <c r="C11113" s="51">
        <v>0.998</v>
      </c>
      <c r="D11113" s="51">
        <v>72.0</v>
      </c>
      <c r="E11113" s="52" t="s">
        <v>25</v>
      </c>
      <c r="F11113" s="52" t="s">
        <v>26</v>
      </c>
      <c r="G11113" s="54"/>
    </row>
    <row r="11114">
      <c r="A11114" s="49">
        <v>45137.948165381946</v>
      </c>
      <c r="B11114" s="50">
        <v>45138.0731455787</v>
      </c>
      <c r="C11114" s="51">
        <v>0.998</v>
      </c>
      <c r="D11114" s="51">
        <v>72.0</v>
      </c>
      <c r="E11114" s="52" t="s">
        <v>25</v>
      </c>
      <c r="F11114" s="52" t="s">
        <v>26</v>
      </c>
      <c r="G11114" s="54"/>
    </row>
    <row r="11115">
      <c r="A11115" s="49">
        <v>45137.95859296297</v>
      </c>
      <c r="B11115" s="50">
        <v>45138.083566331</v>
      </c>
      <c r="C11115" s="51">
        <v>0.998</v>
      </c>
      <c r="D11115" s="51">
        <v>72.0</v>
      </c>
      <c r="E11115" s="52" t="s">
        <v>25</v>
      </c>
      <c r="F11115" s="52" t="s">
        <v>26</v>
      </c>
      <c r="G11115" s="54"/>
    </row>
    <row r="11116">
      <c r="A11116" s="49">
        <v>45137.969031898145</v>
      </c>
      <c r="B11116" s="50">
        <v>45138.0939886574</v>
      </c>
      <c r="C11116" s="51">
        <v>0.998</v>
      </c>
      <c r="D11116" s="51">
        <v>72.0</v>
      </c>
      <c r="E11116" s="52" t="s">
        <v>25</v>
      </c>
      <c r="F11116" s="52" t="s">
        <v>26</v>
      </c>
      <c r="G11116" s="54"/>
    </row>
    <row r="11117">
      <c r="A11117" s="49">
        <v>45137.97944134259</v>
      </c>
      <c r="B11117" s="50">
        <v>45138.1044113194</v>
      </c>
      <c r="C11117" s="51">
        <v>0.998</v>
      </c>
      <c r="D11117" s="51">
        <v>72.0</v>
      </c>
      <c r="E11117" s="52" t="s">
        <v>25</v>
      </c>
      <c r="F11117" s="52" t="s">
        <v>26</v>
      </c>
      <c r="G11117" s="54"/>
    </row>
    <row r="11118">
      <c r="A11118" s="49">
        <v>45137.9898592824</v>
      </c>
      <c r="B11118" s="50">
        <v>45138.1148330902</v>
      </c>
      <c r="C11118" s="51">
        <v>0.998</v>
      </c>
      <c r="D11118" s="51">
        <v>72.0</v>
      </c>
      <c r="E11118" s="52" t="s">
        <v>25</v>
      </c>
      <c r="F11118" s="52" t="s">
        <v>26</v>
      </c>
      <c r="G11118" s="54"/>
    </row>
    <row r="11119">
      <c r="A11119" s="49">
        <v>45138.00028482639</v>
      </c>
      <c r="B11119" s="50">
        <v>45138.1252551157</v>
      </c>
      <c r="C11119" s="51">
        <v>0.998</v>
      </c>
      <c r="D11119" s="51">
        <v>72.0</v>
      </c>
      <c r="E11119" s="52" t="s">
        <v>25</v>
      </c>
      <c r="F11119" s="52" t="s">
        <v>26</v>
      </c>
      <c r="G11119" s="54"/>
    </row>
    <row r="11120">
      <c r="A11120" s="49">
        <v>45138.01070694445</v>
      </c>
      <c r="B11120" s="50">
        <v>45138.1356754513</v>
      </c>
      <c r="C11120" s="51">
        <v>0.998</v>
      </c>
      <c r="D11120" s="51">
        <v>72.0</v>
      </c>
      <c r="E11120" s="52" t="s">
        <v>25</v>
      </c>
      <c r="F11120" s="52" t="s">
        <v>26</v>
      </c>
      <c r="G11120" s="54"/>
    </row>
    <row r="11121">
      <c r="A11121" s="49">
        <v>45138.021118599536</v>
      </c>
      <c r="B11121" s="50">
        <v>45138.1460967245</v>
      </c>
      <c r="C11121" s="51">
        <v>0.998</v>
      </c>
      <c r="D11121" s="51">
        <v>72.0</v>
      </c>
      <c r="E11121" s="52" t="s">
        <v>25</v>
      </c>
      <c r="F11121" s="52" t="s">
        <v>26</v>
      </c>
      <c r="G11121" s="54"/>
    </row>
    <row r="11122">
      <c r="A11122" s="49">
        <v>45138.0315741088</v>
      </c>
      <c r="B11122" s="50">
        <v>45138.1565422222</v>
      </c>
      <c r="C11122" s="51">
        <v>0.998</v>
      </c>
      <c r="D11122" s="51">
        <v>72.0</v>
      </c>
      <c r="E11122" s="52" t="s">
        <v>25</v>
      </c>
      <c r="F11122" s="52" t="s">
        <v>26</v>
      </c>
      <c r="G11122" s="54"/>
    </row>
    <row r="11123">
      <c r="A11123" s="49">
        <v>45138.04198356481</v>
      </c>
      <c r="B11123" s="50">
        <v>45138.1669625115</v>
      </c>
      <c r="C11123" s="51">
        <v>0.998</v>
      </c>
      <c r="D11123" s="51">
        <v>72.0</v>
      </c>
      <c r="E11123" s="52" t="s">
        <v>25</v>
      </c>
      <c r="F11123" s="52" t="s">
        <v>26</v>
      </c>
      <c r="G11123" s="54"/>
    </row>
    <row r="11124">
      <c r="A11124" s="49">
        <v>45138.05241118056</v>
      </c>
      <c r="B11124" s="50">
        <v>45138.1773812615</v>
      </c>
      <c r="C11124" s="51">
        <v>0.998</v>
      </c>
      <c r="D11124" s="51">
        <v>72.0</v>
      </c>
      <c r="E11124" s="52" t="s">
        <v>25</v>
      </c>
      <c r="F11124" s="52" t="s">
        <v>26</v>
      </c>
      <c r="G11124" s="54"/>
    </row>
    <row r="11125">
      <c r="A11125" s="49">
        <v>45138.06283429398</v>
      </c>
      <c r="B11125" s="50">
        <v>45138.1878028125</v>
      </c>
      <c r="C11125" s="51">
        <v>0.998</v>
      </c>
      <c r="D11125" s="51">
        <v>72.0</v>
      </c>
      <c r="E11125" s="52" t="s">
        <v>25</v>
      </c>
      <c r="F11125" s="52" t="s">
        <v>26</v>
      </c>
      <c r="G11125" s="54"/>
    </row>
    <row r="11126">
      <c r="A11126" s="49">
        <v>45138.07325458333</v>
      </c>
      <c r="B11126" s="50">
        <v>45138.19823478</v>
      </c>
      <c r="C11126" s="51">
        <v>0.999</v>
      </c>
      <c r="D11126" s="51">
        <v>72.0</v>
      </c>
      <c r="E11126" s="52" t="s">
        <v>25</v>
      </c>
      <c r="F11126" s="52" t="s">
        <v>26</v>
      </c>
      <c r="G11126" s="54"/>
    </row>
    <row r="11127">
      <c r="A11127" s="49">
        <v>45138.08368229167</v>
      </c>
      <c r="B11127" s="50">
        <v>45138.2086565162</v>
      </c>
      <c r="C11127" s="51">
        <v>0.998</v>
      </c>
      <c r="D11127" s="51">
        <v>72.0</v>
      </c>
      <c r="E11127" s="52" t="s">
        <v>25</v>
      </c>
      <c r="F11127" s="52" t="s">
        <v>26</v>
      </c>
      <c r="G11127" s="54"/>
    </row>
    <row r="11128">
      <c r="A11128" s="49">
        <v>45138.094104375</v>
      </c>
      <c r="B11128" s="50">
        <v>45138.2190776736</v>
      </c>
      <c r="C11128" s="51">
        <v>0.998</v>
      </c>
      <c r="D11128" s="51">
        <v>72.0</v>
      </c>
      <c r="E11128" s="52" t="s">
        <v>25</v>
      </c>
      <c r="F11128" s="52" t="s">
        <v>26</v>
      </c>
      <c r="G11128" s="54"/>
    </row>
    <row r="11129">
      <c r="A11129" s="49">
        <v>45138.10453628472</v>
      </c>
      <c r="B11129" s="50">
        <v>45138.2294993865</v>
      </c>
      <c r="C11129" s="51">
        <v>0.998</v>
      </c>
      <c r="D11129" s="51">
        <v>72.0</v>
      </c>
      <c r="E11129" s="52" t="s">
        <v>25</v>
      </c>
      <c r="F11129" s="52" t="s">
        <v>26</v>
      </c>
      <c r="G11129" s="54"/>
    </row>
    <row r="11130">
      <c r="A11130" s="49">
        <v>45138.11495484954</v>
      </c>
      <c r="B11130" s="50">
        <v>45138.2399195254</v>
      </c>
      <c r="C11130" s="51">
        <v>0.998</v>
      </c>
      <c r="D11130" s="51">
        <v>72.0</v>
      </c>
      <c r="E11130" s="52" t="s">
        <v>25</v>
      </c>
      <c r="F11130" s="52" t="s">
        <v>26</v>
      </c>
      <c r="G11130" s="54"/>
    </row>
    <row r="11131">
      <c r="A11131" s="49">
        <v>45138.125377523145</v>
      </c>
      <c r="B11131" s="50">
        <v>45138.250340868</v>
      </c>
      <c r="C11131" s="51">
        <v>0.998</v>
      </c>
      <c r="D11131" s="51">
        <v>72.0</v>
      </c>
      <c r="E11131" s="52" t="s">
        <v>25</v>
      </c>
      <c r="F11131" s="52" t="s">
        <v>26</v>
      </c>
      <c r="G11131" s="54"/>
    </row>
    <row r="11132">
      <c r="A11132" s="49">
        <v>45138.13578916667</v>
      </c>
      <c r="B11132" s="50">
        <v>45138.2607620833</v>
      </c>
      <c r="C11132" s="51">
        <v>0.998</v>
      </c>
      <c r="D11132" s="51">
        <v>72.0</v>
      </c>
      <c r="E11132" s="52" t="s">
        <v>25</v>
      </c>
      <c r="F11132" s="52" t="s">
        <v>26</v>
      </c>
      <c r="G11132" s="54"/>
    </row>
    <row r="11133">
      <c r="A11133" s="49">
        <v>45138.14623179398</v>
      </c>
      <c r="B11133" s="50">
        <v>45138.2711928356</v>
      </c>
      <c r="C11133" s="51">
        <v>0.998</v>
      </c>
      <c r="D11133" s="51">
        <v>72.0</v>
      </c>
      <c r="E11133" s="52" t="s">
        <v>25</v>
      </c>
      <c r="F11133" s="52" t="s">
        <v>26</v>
      </c>
      <c r="G11133" s="54"/>
    </row>
    <row r="11134">
      <c r="A11134" s="49">
        <v>45138.156641469905</v>
      </c>
      <c r="B11134" s="50">
        <v>45138.2816142824</v>
      </c>
      <c r="C11134" s="51">
        <v>0.998</v>
      </c>
      <c r="D11134" s="51">
        <v>72.0</v>
      </c>
      <c r="E11134" s="52" t="s">
        <v>25</v>
      </c>
      <c r="F11134" s="52" t="s">
        <v>26</v>
      </c>
      <c r="G11134" s="54"/>
    </row>
    <row r="11135">
      <c r="A11135" s="49">
        <v>45138.16707166667</v>
      </c>
      <c r="B11135" s="50">
        <v>45138.2920470601</v>
      </c>
      <c r="C11135" s="51">
        <v>0.998</v>
      </c>
      <c r="D11135" s="51">
        <v>72.0</v>
      </c>
      <c r="E11135" s="52" t="s">
        <v>25</v>
      </c>
      <c r="F11135" s="52" t="s">
        <v>26</v>
      </c>
      <c r="G11135" s="54"/>
    </row>
    <row r="11136">
      <c r="A11136" s="49">
        <v>45138.17748994213</v>
      </c>
      <c r="B11136" s="50">
        <v>45138.3024680324</v>
      </c>
      <c r="C11136" s="51">
        <v>0.998</v>
      </c>
      <c r="D11136" s="51">
        <v>72.0</v>
      </c>
      <c r="E11136" s="52" t="s">
        <v>25</v>
      </c>
      <c r="F11136" s="52" t="s">
        <v>26</v>
      </c>
      <c r="G11136" s="54"/>
    </row>
    <row r="11137">
      <c r="A11137" s="49">
        <v>45138.187919930555</v>
      </c>
      <c r="B11137" s="50">
        <v>45138.3128892592</v>
      </c>
      <c r="C11137" s="51">
        <v>0.998</v>
      </c>
      <c r="D11137" s="51">
        <v>72.0</v>
      </c>
      <c r="E11137" s="52" t="s">
        <v>25</v>
      </c>
      <c r="F11137" s="52" t="s">
        <v>26</v>
      </c>
      <c r="G11137" s="54"/>
    </row>
    <row r="11138">
      <c r="A11138" s="49">
        <v>45138.19834391204</v>
      </c>
      <c r="B11138" s="50">
        <v>45138.3233108217</v>
      </c>
      <c r="C11138" s="51">
        <v>0.998</v>
      </c>
      <c r="D11138" s="51">
        <v>72.0</v>
      </c>
      <c r="E11138" s="52" t="s">
        <v>25</v>
      </c>
      <c r="F11138" s="52" t="s">
        <v>26</v>
      </c>
      <c r="G11138" s="54"/>
    </row>
    <row r="11139">
      <c r="A11139" s="49">
        <v>45138.20876310185</v>
      </c>
      <c r="B11139" s="50">
        <v>45138.3337332523</v>
      </c>
      <c r="C11139" s="51">
        <v>0.999</v>
      </c>
      <c r="D11139" s="51">
        <v>72.0</v>
      </c>
      <c r="E11139" s="52" t="s">
        <v>25</v>
      </c>
      <c r="F11139" s="52" t="s">
        <v>26</v>
      </c>
      <c r="G11139" s="54"/>
    </row>
    <row r="11140">
      <c r="A11140" s="49">
        <v>45138.21919421296</v>
      </c>
      <c r="B11140" s="50">
        <v>45138.3441544212</v>
      </c>
      <c r="C11140" s="51">
        <v>0.998</v>
      </c>
      <c r="D11140" s="51">
        <v>72.0</v>
      </c>
      <c r="E11140" s="52" t="s">
        <v>25</v>
      </c>
      <c r="F11140" s="52" t="s">
        <v>26</v>
      </c>
      <c r="G11140" s="54"/>
    </row>
    <row r="11141">
      <c r="A11141" s="49">
        <v>45138.229596018515</v>
      </c>
      <c r="B11141" s="50">
        <v>45138.3545748495</v>
      </c>
      <c r="C11141" s="51">
        <v>0.998</v>
      </c>
      <c r="D11141" s="51">
        <v>72.0</v>
      </c>
      <c r="E11141" s="52" t="s">
        <v>25</v>
      </c>
      <c r="F11141" s="52" t="s">
        <v>26</v>
      </c>
      <c r="G11141" s="54"/>
    </row>
    <row r="11142">
      <c r="A11142" s="49">
        <v>45138.24002570602</v>
      </c>
      <c r="B11142" s="50">
        <v>45138.3649957175</v>
      </c>
      <c r="C11142" s="51">
        <v>0.998</v>
      </c>
      <c r="D11142" s="51">
        <v>72.0</v>
      </c>
      <c r="E11142" s="52" t="s">
        <v>25</v>
      </c>
      <c r="F11142" s="52" t="s">
        <v>26</v>
      </c>
      <c r="G11142" s="54"/>
    </row>
    <row r="11143">
      <c r="A11143" s="49">
        <v>45138.25045348379</v>
      </c>
      <c r="B11143" s="50">
        <v>45138.3754298379</v>
      </c>
      <c r="C11143" s="51">
        <v>0.999</v>
      </c>
      <c r="D11143" s="51">
        <v>72.0</v>
      </c>
      <c r="E11143" s="52" t="s">
        <v>25</v>
      </c>
      <c r="F11143" s="52" t="s">
        <v>26</v>
      </c>
      <c r="G11143" s="54"/>
    </row>
    <row r="11144">
      <c r="A11144" s="49">
        <v>45138.2608812963</v>
      </c>
      <c r="B11144" s="50">
        <v>45138.3858512731</v>
      </c>
      <c r="C11144" s="51">
        <v>0.998</v>
      </c>
      <c r="D11144" s="51">
        <v>72.0</v>
      </c>
      <c r="E11144" s="52" t="s">
        <v>25</v>
      </c>
      <c r="F11144" s="52" t="s">
        <v>26</v>
      </c>
      <c r="G11144" s="54"/>
    </row>
    <row r="11145">
      <c r="A11145" s="49">
        <v>45138.27131033565</v>
      </c>
      <c r="B11145" s="50">
        <v>45138.3962729513</v>
      </c>
      <c r="C11145" s="51">
        <v>0.998</v>
      </c>
      <c r="D11145" s="51">
        <v>72.0</v>
      </c>
      <c r="E11145" s="52" t="s">
        <v>25</v>
      </c>
      <c r="F11145" s="52" t="s">
        <v>26</v>
      </c>
      <c r="G11145" s="54"/>
    </row>
    <row r="11146">
      <c r="A11146" s="49">
        <v>45138.28172175926</v>
      </c>
      <c r="B11146" s="50">
        <v>45138.4066939814</v>
      </c>
      <c r="C11146" s="51">
        <v>0.998</v>
      </c>
      <c r="D11146" s="51">
        <v>72.0</v>
      </c>
      <c r="E11146" s="52" t="s">
        <v>25</v>
      </c>
      <c r="F11146" s="52" t="s">
        <v>26</v>
      </c>
      <c r="G11146" s="54"/>
    </row>
    <row r="11147">
      <c r="A11147" s="49">
        <v>45138.292142210645</v>
      </c>
      <c r="B11147" s="50">
        <v>45138.4171163773</v>
      </c>
      <c r="C11147" s="51">
        <v>0.998</v>
      </c>
      <c r="D11147" s="51">
        <v>72.0</v>
      </c>
      <c r="E11147" s="52" t="s">
        <v>25</v>
      </c>
      <c r="F11147" s="52" t="s">
        <v>26</v>
      </c>
      <c r="G11147" s="54"/>
    </row>
    <row r="11148">
      <c r="A11148" s="49">
        <v>45138.303511666665</v>
      </c>
      <c r="B11148" s="50">
        <v>45138.4275368055</v>
      </c>
      <c r="C11148" s="51">
        <v>0.998</v>
      </c>
      <c r="D11148" s="51">
        <v>72.0</v>
      </c>
      <c r="E11148" s="52" t="s">
        <v>25</v>
      </c>
      <c r="F11148" s="52" t="s">
        <v>26</v>
      </c>
      <c r="G11148" s="54"/>
    </row>
    <row r="11149">
      <c r="A11149" s="49">
        <v>45138.312981192124</v>
      </c>
      <c r="B11149" s="50">
        <v>45138.4379560648</v>
      </c>
      <c r="C11149" s="51">
        <v>0.998</v>
      </c>
      <c r="D11149" s="51">
        <v>72.0</v>
      </c>
      <c r="E11149" s="52" t="s">
        <v>25</v>
      </c>
      <c r="F11149" s="52" t="s">
        <v>26</v>
      </c>
      <c r="G11149" s="54"/>
    </row>
    <row r="11150">
      <c r="A11150" s="49">
        <v>45138.323419699074</v>
      </c>
      <c r="B11150" s="50">
        <v>45138.4483888888</v>
      </c>
      <c r="C11150" s="51">
        <v>0.998</v>
      </c>
      <c r="D11150" s="51">
        <v>72.0</v>
      </c>
      <c r="E11150" s="52" t="s">
        <v>25</v>
      </c>
      <c r="F11150" s="52" t="s">
        <v>26</v>
      </c>
      <c r="G11150" s="54"/>
    </row>
    <row r="11151">
      <c r="A11151" s="49">
        <v>45138.33384230324</v>
      </c>
      <c r="B11151" s="50">
        <v>45138.4588103472</v>
      </c>
      <c r="C11151" s="51">
        <v>0.998</v>
      </c>
      <c r="D11151" s="51">
        <v>72.0</v>
      </c>
      <c r="E11151" s="52" t="s">
        <v>25</v>
      </c>
      <c r="F11151" s="52" t="s">
        <v>26</v>
      </c>
      <c r="G11151" s="54"/>
    </row>
    <row r="11152">
      <c r="A11152" s="49">
        <v>45138.34427740741</v>
      </c>
      <c r="B11152" s="50">
        <v>45138.4692444444</v>
      </c>
      <c r="C11152" s="51">
        <v>0.998</v>
      </c>
      <c r="D11152" s="51">
        <v>72.0</v>
      </c>
      <c r="E11152" s="52" t="s">
        <v>25</v>
      </c>
      <c r="F11152" s="52" t="s">
        <v>26</v>
      </c>
      <c r="G11152" s="54"/>
    </row>
    <row r="11153">
      <c r="A11153" s="49">
        <v>45138.35470023148</v>
      </c>
      <c r="B11153" s="50">
        <v>45138.4796763773</v>
      </c>
      <c r="C11153" s="51">
        <v>0.998</v>
      </c>
      <c r="D11153" s="51">
        <v>72.0</v>
      </c>
      <c r="E11153" s="52" t="s">
        <v>25</v>
      </c>
      <c r="F11153" s="52" t="s">
        <v>26</v>
      </c>
      <c r="G11153" s="54"/>
    </row>
    <row r="11154">
      <c r="A11154" s="49">
        <v>45138.365121689814</v>
      </c>
      <c r="B11154" s="50">
        <v>45138.4900974074</v>
      </c>
      <c r="C11154" s="51">
        <v>0.999</v>
      </c>
      <c r="D11154" s="51">
        <v>72.0</v>
      </c>
      <c r="E11154" s="52" t="s">
        <v>25</v>
      </c>
      <c r="F11154" s="52" t="s">
        <v>26</v>
      </c>
      <c r="G11154" s="54"/>
    </row>
    <row r="11155">
      <c r="A11155" s="49">
        <v>45138.37555378472</v>
      </c>
      <c r="B11155" s="50">
        <v>45138.5005179861</v>
      </c>
      <c r="C11155" s="51">
        <v>0.998</v>
      </c>
      <c r="D11155" s="51">
        <v>72.0</v>
      </c>
      <c r="E11155" s="52" t="s">
        <v>25</v>
      </c>
      <c r="F11155" s="52" t="s">
        <v>26</v>
      </c>
      <c r="G11155" s="54"/>
    </row>
    <row r="11156">
      <c r="A11156" s="49">
        <v>45138.385960740736</v>
      </c>
      <c r="B11156" s="50">
        <v>45138.5109386689</v>
      </c>
      <c r="C11156" s="51">
        <v>0.998</v>
      </c>
      <c r="D11156" s="51">
        <v>72.0</v>
      </c>
      <c r="E11156" s="52" t="s">
        <v>25</v>
      </c>
      <c r="F11156" s="52" t="s">
        <v>26</v>
      </c>
      <c r="G11156" s="54"/>
    </row>
    <row r="11157">
      <c r="A11157" s="49">
        <v>45138.396379502316</v>
      </c>
      <c r="B11157" s="50">
        <v>45138.5213597569</v>
      </c>
      <c r="C11157" s="51">
        <v>0.998</v>
      </c>
      <c r="D11157" s="51">
        <v>72.0</v>
      </c>
      <c r="E11157" s="52" t="s">
        <v>25</v>
      </c>
      <c r="F11157" s="52" t="s">
        <v>26</v>
      </c>
      <c r="G11157" s="54"/>
    </row>
    <row r="11158">
      <c r="A11158" s="49">
        <v>45138.406816435185</v>
      </c>
      <c r="B11158" s="50">
        <v>45138.5317817476</v>
      </c>
      <c r="C11158" s="51">
        <v>0.998</v>
      </c>
      <c r="D11158" s="51">
        <v>72.0</v>
      </c>
      <c r="E11158" s="52" t="s">
        <v>25</v>
      </c>
      <c r="F11158" s="52" t="s">
        <v>26</v>
      </c>
      <c r="G11158" s="54"/>
    </row>
    <row r="11159">
      <c r="A11159" s="49">
        <v>45138.41722996528</v>
      </c>
      <c r="B11159" s="50">
        <v>45138.5422024421</v>
      </c>
      <c r="C11159" s="51">
        <v>0.998</v>
      </c>
      <c r="D11159" s="51">
        <v>72.0</v>
      </c>
      <c r="E11159" s="52" t="s">
        <v>25</v>
      </c>
      <c r="F11159" s="52" t="s">
        <v>26</v>
      </c>
      <c r="G11159" s="54"/>
    </row>
    <row r="11160">
      <c r="A11160" s="49">
        <v>45138.42764732639</v>
      </c>
      <c r="B11160" s="50">
        <v>45138.5526230439</v>
      </c>
      <c r="C11160" s="51">
        <v>0.998</v>
      </c>
      <c r="D11160" s="51">
        <v>72.0</v>
      </c>
      <c r="E11160" s="52" t="s">
        <v>25</v>
      </c>
      <c r="F11160" s="52" t="s">
        <v>26</v>
      </c>
      <c r="G11160" s="54"/>
    </row>
    <row r="11161">
      <c r="A11161" s="49">
        <v>45138.43807856481</v>
      </c>
      <c r="B11161" s="50">
        <v>45138.5630447222</v>
      </c>
      <c r="C11161" s="51">
        <v>0.998</v>
      </c>
      <c r="D11161" s="51">
        <v>72.0</v>
      </c>
      <c r="E11161" s="52" t="s">
        <v>25</v>
      </c>
      <c r="F11161" s="52" t="s">
        <v>26</v>
      </c>
      <c r="G11161" s="54"/>
    </row>
    <row r="11162">
      <c r="A11162" s="49">
        <v>45138.448497997684</v>
      </c>
      <c r="B11162" s="50">
        <v>45138.5734660532</v>
      </c>
      <c r="C11162" s="51">
        <v>0.998</v>
      </c>
      <c r="D11162" s="51">
        <v>72.0</v>
      </c>
      <c r="E11162" s="52" t="s">
        <v>25</v>
      </c>
      <c r="F11162" s="52" t="s">
        <v>26</v>
      </c>
      <c r="G11162" s="54"/>
    </row>
    <row r="11163">
      <c r="A11163" s="49">
        <v>45138.458907685184</v>
      </c>
      <c r="B11163" s="50">
        <v>45138.5838865625</v>
      </c>
      <c r="C11163" s="51">
        <v>0.998</v>
      </c>
      <c r="D11163" s="51">
        <v>72.0</v>
      </c>
      <c r="E11163" s="52" t="s">
        <v>25</v>
      </c>
      <c r="F11163" s="52" t="s">
        <v>26</v>
      </c>
      <c r="G11163" s="54"/>
    </row>
    <row r="11164">
      <c r="A11164" s="49">
        <v>45138.4693390625</v>
      </c>
      <c r="B11164" s="50">
        <v>45138.59430875</v>
      </c>
      <c r="C11164" s="51">
        <v>0.998</v>
      </c>
      <c r="D11164" s="51">
        <v>72.0</v>
      </c>
      <c r="E11164" s="52" t="s">
        <v>25</v>
      </c>
      <c r="F11164" s="52" t="s">
        <v>26</v>
      </c>
      <c r="G11164" s="54"/>
    </row>
    <row r="11165">
      <c r="A11165" s="49">
        <v>45138.47975978009</v>
      </c>
      <c r="B11165" s="50">
        <v>45138.6047300231</v>
      </c>
      <c r="C11165" s="51">
        <v>0.998</v>
      </c>
      <c r="D11165" s="51">
        <v>72.0</v>
      </c>
      <c r="E11165" s="52" t="s">
        <v>25</v>
      </c>
      <c r="F11165" s="52" t="s">
        <v>26</v>
      </c>
      <c r="G11165" s="54"/>
    </row>
    <row r="11166">
      <c r="A11166" s="49">
        <v>45138.490171840276</v>
      </c>
      <c r="B11166" s="50">
        <v>45138.6151495717</v>
      </c>
      <c r="C11166" s="51">
        <v>0.998</v>
      </c>
      <c r="D11166" s="51">
        <v>72.0</v>
      </c>
      <c r="E11166" s="52" t="s">
        <v>25</v>
      </c>
      <c r="F11166" s="52" t="s">
        <v>26</v>
      </c>
      <c r="G11166" s="54"/>
    </row>
    <row r="11167">
      <c r="A11167" s="49">
        <v>45138.50059303241</v>
      </c>
      <c r="B11167" s="50">
        <v>45138.6255693287</v>
      </c>
      <c r="C11167" s="51">
        <v>0.998</v>
      </c>
      <c r="D11167" s="51">
        <v>72.0</v>
      </c>
      <c r="E11167" s="52" t="s">
        <v>25</v>
      </c>
      <c r="F11167" s="52" t="s">
        <v>26</v>
      </c>
      <c r="G11167" s="54"/>
    </row>
    <row r="11168">
      <c r="A11168" s="49">
        <v>45138.51101957176</v>
      </c>
      <c r="B11168" s="50">
        <v>45138.6359912268</v>
      </c>
      <c r="C11168" s="51">
        <v>0.998</v>
      </c>
      <c r="D11168" s="51">
        <v>72.0</v>
      </c>
      <c r="E11168" s="52" t="s">
        <v>25</v>
      </c>
      <c r="F11168" s="52" t="s">
        <v>26</v>
      </c>
      <c r="G11168" s="54"/>
    </row>
    <row r="11169">
      <c r="A11169" s="49">
        <v>45138.52143511574</v>
      </c>
      <c r="B11169" s="50">
        <v>45138.6464114351</v>
      </c>
      <c r="C11169" s="51">
        <v>0.998</v>
      </c>
      <c r="D11169" s="51">
        <v>72.0</v>
      </c>
      <c r="E11169" s="52" t="s">
        <v>25</v>
      </c>
      <c r="F11169" s="52" t="s">
        <v>26</v>
      </c>
      <c r="G11169" s="54"/>
    </row>
    <row r="11170">
      <c r="A11170" s="49">
        <v>45138.53187023148</v>
      </c>
      <c r="B11170" s="50">
        <v>45138.6568323148</v>
      </c>
      <c r="C11170" s="51">
        <v>0.998</v>
      </c>
      <c r="D11170" s="51">
        <v>72.0</v>
      </c>
      <c r="E11170" s="52" t="s">
        <v>25</v>
      </c>
      <c r="F11170" s="52" t="s">
        <v>26</v>
      </c>
      <c r="G11170" s="54"/>
    </row>
    <row r="11171">
      <c r="A11171" s="49">
        <v>45138.542298761575</v>
      </c>
      <c r="B11171" s="50">
        <v>45138.6672656713</v>
      </c>
      <c r="C11171" s="51">
        <v>0.998</v>
      </c>
      <c r="D11171" s="51">
        <v>72.0</v>
      </c>
      <c r="E11171" s="52" t="s">
        <v>25</v>
      </c>
      <c r="F11171" s="52" t="s">
        <v>26</v>
      </c>
      <c r="G11171" s="54"/>
    </row>
    <row r="11172">
      <c r="A11172" s="49">
        <v>45138.55274491898</v>
      </c>
      <c r="B11172" s="50">
        <v>45138.6777214351</v>
      </c>
      <c r="C11172" s="51">
        <v>0.998</v>
      </c>
      <c r="D11172" s="51">
        <v>72.0</v>
      </c>
      <c r="E11172" s="52" t="s">
        <v>25</v>
      </c>
      <c r="F11172" s="52" t="s">
        <v>26</v>
      </c>
      <c r="G11172" s="54"/>
    </row>
    <row r="11173">
      <c r="A11173" s="49">
        <v>45138.563174571755</v>
      </c>
      <c r="B11173" s="50">
        <v>45138.6881430324</v>
      </c>
      <c r="C11173" s="51">
        <v>0.998</v>
      </c>
      <c r="D11173" s="51">
        <v>72.0</v>
      </c>
      <c r="E11173" s="52" t="s">
        <v>25</v>
      </c>
      <c r="F11173" s="52" t="s">
        <v>26</v>
      </c>
      <c r="G11173" s="54"/>
    </row>
    <row r="11174">
      <c r="A11174" s="49">
        <v>45138.57359649306</v>
      </c>
      <c r="B11174" s="50">
        <v>45138.6985645833</v>
      </c>
      <c r="C11174" s="51">
        <v>0.998</v>
      </c>
      <c r="D11174" s="51">
        <v>72.0</v>
      </c>
      <c r="E11174" s="52" t="s">
        <v>25</v>
      </c>
      <c r="F11174" s="52" t="s">
        <v>26</v>
      </c>
      <c r="G11174" s="54"/>
    </row>
    <row r="11175">
      <c r="A11175" s="49">
        <v>45138.58401534722</v>
      </c>
      <c r="B11175" s="50">
        <v>45138.7089855671</v>
      </c>
      <c r="C11175" s="51">
        <v>0.998</v>
      </c>
      <c r="D11175" s="51">
        <v>72.0</v>
      </c>
      <c r="E11175" s="52" t="s">
        <v>25</v>
      </c>
      <c r="F11175" s="52" t="s">
        <v>26</v>
      </c>
      <c r="G11175" s="54"/>
    </row>
    <row r="11176">
      <c r="A11176" s="49">
        <v>45138.59443416666</v>
      </c>
      <c r="B11176" s="50">
        <v>45138.7194067361</v>
      </c>
      <c r="C11176" s="51">
        <v>0.999</v>
      </c>
      <c r="D11176" s="51">
        <v>72.0</v>
      </c>
      <c r="E11176" s="52" t="s">
        <v>25</v>
      </c>
      <c r="F11176" s="52" t="s">
        <v>26</v>
      </c>
      <c r="G11176" s="54"/>
    </row>
    <row r="11177">
      <c r="A11177" s="49">
        <v>45138.6048581713</v>
      </c>
      <c r="B11177" s="50">
        <v>45138.7298285995</v>
      </c>
      <c r="C11177" s="51">
        <v>0.998</v>
      </c>
      <c r="D11177" s="51">
        <v>72.0</v>
      </c>
      <c r="E11177" s="52" t="s">
        <v>25</v>
      </c>
      <c r="F11177" s="52" t="s">
        <v>26</v>
      </c>
      <c r="G11177" s="54"/>
    </row>
    <row r="11178">
      <c r="A11178" s="49">
        <v>45138.615281736114</v>
      </c>
      <c r="B11178" s="50">
        <v>45138.7402508449</v>
      </c>
      <c r="C11178" s="51">
        <v>0.998</v>
      </c>
      <c r="D11178" s="51">
        <v>72.0</v>
      </c>
      <c r="E11178" s="52" t="s">
        <v>25</v>
      </c>
      <c r="F11178" s="52" t="s">
        <v>26</v>
      </c>
      <c r="G11178" s="54"/>
    </row>
    <row r="11179">
      <c r="A11179" s="49">
        <v>45138.62570300926</v>
      </c>
      <c r="B11179" s="50">
        <v>45138.7506720601</v>
      </c>
      <c r="C11179" s="51">
        <v>0.998</v>
      </c>
      <c r="D11179" s="51">
        <v>72.0</v>
      </c>
      <c r="E11179" s="52" t="s">
        <v>25</v>
      </c>
      <c r="F11179" s="52" t="s">
        <v>26</v>
      </c>
      <c r="G11179" s="54"/>
    </row>
    <row r="11180">
      <c r="A11180" s="49">
        <v>45138.63612064815</v>
      </c>
      <c r="B11180" s="50">
        <v>45138.7610934606</v>
      </c>
      <c r="C11180" s="51">
        <v>0.998</v>
      </c>
      <c r="D11180" s="51">
        <v>72.0</v>
      </c>
      <c r="E11180" s="52" t="s">
        <v>25</v>
      </c>
      <c r="F11180" s="52" t="s">
        <v>26</v>
      </c>
      <c r="G11180" s="54"/>
    </row>
    <row r="11181">
      <c r="A11181" s="49">
        <v>45138.64654430556</v>
      </c>
      <c r="B11181" s="50">
        <v>45138.771515868</v>
      </c>
      <c r="C11181" s="51">
        <v>0.998</v>
      </c>
      <c r="D11181" s="51">
        <v>72.0</v>
      </c>
      <c r="E11181" s="52" t="s">
        <v>25</v>
      </c>
      <c r="F11181" s="52" t="s">
        <v>26</v>
      </c>
      <c r="G11181" s="54"/>
    </row>
    <row r="11182">
      <c r="A11182" s="49">
        <v>45138.656957569445</v>
      </c>
      <c r="B11182" s="50">
        <v>45138.7819371643</v>
      </c>
      <c r="C11182" s="51">
        <v>0.998</v>
      </c>
      <c r="D11182" s="51">
        <v>72.0</v>
      </c>
      <c r="E11182" s="52" t="s">
        <v>25</v>
      </c>
      <c r="F11182" s="52" t="s">
        <v>26</v>
      </c>
      <c r="G11182" s="54"/>
    </row>
    <row r="11183">
      <c r="A11183" s="49">
        <v>45138.66738201389</v>
      </c>
      <c r="B11183" s="50">
        <v>45138.7923581713</v>
      </c>
      <c r="C11183" s="51">
        <v>0.998</v>
      </c>
      <c r="D11183" s="51">
        <v>72.0</v>
      </c>
      <c r="E11183" s="52" t="s">
        <v>25</v>
      </c>
      <c r="F11183" s="52" t="s">
        <v>26</v>
      </c>
      <c r="G11183" s="54"/>
    </row>
    <row r="11184">
      <c r="A11184" s="49">
        <v>45138.677825590275</v>
      </c>
      <c r="B11184" s="50">
        <v>45138.8027907175</v>
      </c>
      <c r="C11184" s="51">
        <v>0.998</v>
      </c>
      <c r="D11184" s="51">
        <v>72.0</v>
      </c>
      <c r="E11184" s="52" t="s">
        <v>25</v>
      </c>
      <c r="F11184" s="52" t="s">
        <v>26</v>
      </c>
      <c r="G11184" s="54"/>
    </row>
    <row r="11185">
      <c r="A11185" s="49">
        <v>45138.68825584491</v>
      </c>
      <c r="B11185" s="50">
        <v>45138.8132259837</v>
      </c>
      <c r="C11185" s="51">
        <v>0.998</v>
      </c>
      <c r="D11185" s="51">
        <v>72.0</v>
      </c>
      <c r="E11185" s="52" t="s">
        <v>25</v>
      </c>
      <c r="F11185" s="52" t="s">
        <v>26</v>
      </c>
      <c r="G11185" s="54"/>
    </row>
    <row r="11186">
      <c r="A11186" s="49">
        <v>45138.698679270834</v>
      </c>
      <c r="B11186" s="50">
        <v>45138.8236476388</v>
      </c>
      <c r="C11186" s="51">
        <v>0.998</v>
      </c>
      <c r="D11186" s="51">
        <v>72.0</v>
      </c>
      <c r="E11186" s="52" t="s">
        <v>25</v>
      </c>
      <c r="F11186" s="52" t="s">
        <v>26</v>
      </c>
      <c r="G11186" s="54"/>
    </row>
    <row r="11187">
      <c r="A11187" s="49">
        <v>45138.70909505787</v>
      </c>
      <c r="B11187" s="50">
        <v>45138.8340676967</v>
      </c>
      <c r="C11187" s="51">
        <v>0.998</v>
      </c>
      <c r="D11187" s="51">
        <v>72.0</v>
      </c>
      <c r="E11187" s="52" t="s">
        <v>25</v>
      </c>
      <c r="F11187" s="52" t="s">
        <v>26</v>
      </c>
      <c r="G11187" s="54"/>
    </row>
    <row r="11188">
      <c r="A11188" s="49">
        <v>45138.71952424769</v>
      </c>
      <c r="B11188" s="50">
        <v>45138.8444893055</v>
      </c>
      <c r="C11188" s="51">
        <v>0.998</v>
      </c>
      <c r="D11188" s="51">
        <v>72.0</v>
      </c>
      <c r="E11188" s="52" t="s">
        <v>25</v>
      </c>
      <c r="F11188" s="52" t="s">
        <v>26</v>
      </c>
      <c r="G11188" s="54"/>
    </row>
    <row r="11189">
      <c r="A11189" s="49">
        <v>45138.73003222222</v>
      </c>
      <c r="B11189" s="50">
        <v>45138.8549448842</v>
      </c>
      <c r="C11189" s="51">
        <v>0.998</v>
      </c>
      <c r="D11189" s="51">
        <v>72.0</v>
      </c>
      <c r="E11189" s="52" t="s">
        <v>25</v>
      </c>
      <c r="F11189" s="52" t="s">
        <v>26</v>
      </c>
      <c r="G11189" s="54"/>
    </row>
    <row r="11190">
      <c r="A11190" s="49">
        <v>45138.740400243056</v>
      </c>
      <c r="B11190" s="50">
        <v>45138.8653644444</v>
      </c>
      <c r="C11190" s="51">
        <v>0.998</v>
      </c>
      <c r="D11190" s="51">
        <v>72.0</v>
      </c>
      <c r="E11190" s="52" t="s">
        <v>25</v>
      </c>
      <c r="F11190" s="52" t="s">
        <v>26</v>
      </c>
      <c r="G11190" s="54"/>
    </row>
    <row r="11191">
      <c r="A11191" s="49">
        <v>45138.75081590278</v>
      </c>
      <c r="B11191" s="50">
        <v>45138.8757852083</v>
      </c>
      <c r="C11191" s="51">
        <v>0.998</v>
      </c>
      <c r="D11191" s="51">
        <v>72.0</v>
      </c>
      <c r="E11191" s="52" t="s">
        <v>25</v>
      </c>
      <c r="F11191" s="52" t="s">
        <v>26</v>
      </c>
      <c r="G11191" s="54"/>
    </row>
    <row r="11192">
      <c r="A11192" s="49">
        <v>45138.761241493055</v>
      </c>
      <c r="B11192" s="50">
        <v>45138.8862070717</v>
      </c>
      <c r="C11192" s="51">
        <v>0.998</v>
      </c>
      <c r="D11192" s="51">
        <v>72.0</v>
      </c>
      <c r="E11192" s="52" t="s">
        <v>25</v>
      </c>
      <c r="F11192" s="52" t="s">
        <v>26</v>
      </c>
      <c r="G11192" s="54"/>
    </row>
    <row r="11193">
      <c r="A11193" s="49">
        <v>45138.77165513889</v>
      </c>
      <c r="B11193" s="50">
        <v>45138.8966269444</v>
      </c>
      <c r="C11193" s="51">
        <v>0.998</v>
      </c>
      <c r="D11193" s="51">
        <v>72.0</v>
      </c>
      <c r="E11193" s="52" t="s">
        <v>25</v>
      </c>
      <c r="F11193" s="52" t="s">
        <v>26</v>
      </c>
      <c r="G11193" s="54"/>
    </row>
    <row r="11194">
      <c r="A11194" s="49">
        <v>45138.78208053241</v>
      </c>
      <c r="B11194" s="50">
        <v>45138.9070473842</v>
      </c>
      <c r="C11194" s="51">
        <v>0.998</v>
      </c>
      <c r="D11194" s="51">
        <v>72.0</v>
      </c>
      <c r="E11194" s="52" t="s">
        <v>25</v>
      </c>
      <c r="F11194" s="52" t="s">
        <v>26</v>
      </c>
      <c r="G11194" s="54"/>
    </row>
    <row r="11195">
      <c r="A11195" s="49">
        <v>45138.79250880787</v>
      </c>
      <c r="B11195" s="50">
        <v>45138.9174686342</v>
      </c>
      <c r="C11195" s="51">
        <v>0.999</v>
      </c>
      <c r="D11195" s="51">
        <v>72.0</v>
      </c>
      <c r="E11195" s="52" t="s">
        <v>25</v>
      </c>
      <c r="F11195" s="52" t="s">
        <v>26</v>
      </c>
      <c r="G11195" s="54"/>
    </row>
    <row r="11196">
      <c r="A11196" s="49">
        <v>45138.80291947917</v>
      </c>
      <c r="B11196" s="50">
        <v>45138.9278889236</v>
      </c>
      <c r="C11196" s="51">
        <v>0.998</v>
      </c>
      <c r="D11196" s="51">
        <v>72.0</v>
      </c>
      <c r="E11196" s="52" t="s">
        <v>25</v>
      </c>
      <c r="F11196" s="52" t="s">
        <v>26</v>
      </c>
      <c r="G11196" s="54"/>
    </row>
    <row r="11197">
      <c r="A11197" s="49">
        <v>45138.81333802083</v>
      </c>
      <c r="B11197" s="50">
        <v>45138.9383103356</v>
      </c>
      <c r="C11197" s="51">
        <v>0.998</v>
      </c>
      <c r="D11197" s="51">
        <v>72.0</v>
      </c>
      <c r="E11197" s="52" t="s">
        <v>25</v>
      </c>
      <c r="F11197" s="52" t="s">
        <v>26</v>
      </c>
      <c r="G11197" s="54"/>
    </row>
    <row r="11198">
      <c r="A11198" s="49">
        <v>45138.82375393518</v>
      </c>
      <c r="B11198" s="50">
        <v>45138.9487315162</v>
      </c>
      <c r="C11198" s="51">
        <v>0.998</v>
      </c>
      <c r="D11198" s="51">
        <v>72.0</v>
      </c>
      <c r="E11198" s="52" t="s">
        <v>25</v>
      </c>
      <c r="F11198" s="52" t="s">
        <v>26</v>
      </c>
      <c r="G11198" s="54"/>
    </row>
    <row r="11199">
      <c r="A11199" s="49">
        <v>45138.83419221065</v>
      </c>
      <c r="B11199" s="50">
        <v>45138.9591531828</v>
      </c>
      <c r="C11199" s="51">
        <v>0.998</v>
      </c>
      <c r="D11199" s="51">
        <v>72.0</v>
      </c>
      <c r="E11199" s="52" t="s">
        <v>25</v>
      </c>
      <c r="F11199" s="52" t="s">
        <v>26</v>
      </c>
      <c r="G11199" s="54"/>
    </row>
    <row r="11200">
      <c r="A11200" s="49">
        <v>45138.84460510417</v>
      </c>
      <c r="B11200" s="50">
        <v>45138.9695746643</v>
      </c>
      <c r="C11200" s="51">
        <v>0.998</v>
      </c>
      <c r="D11200" s="51">
        <v>72.0</v>
      </c>
      <c r="E11200" s="52" t="s">
        <v>25</v>
      </c>
      <c r="F11200" s="52" t="s">
        <v>26</v>
      </c>
      <c r="G11200" s="54"/>
    </row>
    <row r="11201">
      <c r="A11201" s="49">
        <v>45138.85502105324</v>
      </c>
      <c r="B11201" s="50">
        <v>45138.9799963888</v>
      </c>
      <c r="C11201" s="51">
        <v>0.998</v>
      </c>
      <c r="D11201" s="51">
        <v>72.0</v>
      </c>
      <c r="E11201" s="52" t="s">
        <v>25</v>
      </c>
      <c r="F11201" s="52" t="s">
        <v>26</v>
      </c>
      <c r="G11201" s="54"/>
    </row>
    <row r="11202">
      <c r="A11202" s="49">
        <v>45138.86544608796</v>
      </c>
      <c r="B11202" s="50">
        <v>45138.9904175</v>
      </c>
      <c r="C11202" s="51">
        <v>0.998</v>
      </c>
      <c r="D11202" s="51">
        <v>72.0</v>
      </c>
      <c r="E11202" s="52" t="s">
        <v>25</v>
      </c>
      <c r="F11202" s="52" t="s">
        <v>26</v>
      </c>
      <c r="G11202" s="54"/>
    </row>
    <row r="11203">
      <c r="A11203" s="49">
        <v>45138.87586950231</v>
      </c>
      <c r="B11203" s="50">
        <v>45139.0008390856</v>
      </c>
      <c r="C11203" s="51">
        <v>0.999</v>
      </c>
      <c r="D11203" s="51">
        <v>72.0</v>
      </c>
      <c r="E11203" s="52" t="s">
        <v>25</v>
      </c>
      <c r="F11203" s="52" t="s">
        <v>26</v>
      </c>
      <c r="G11203" s="54"/>
    </row>
    <row r="11204">
      <c r="A11204" s="49">
        <v>45138.88628146991</v>
      </c>
      <c r="B11204" s="50">
        <v>45139.0112592592</v>
      </c>
      <c r="C11204" s="51">
        <v>0.998</v>
      </c>
      <c r="D11204" s="51">
        <v>72.0</v>
      </c>
      <c r="E11204" s="52" t="s">
        <v>25</v>
      </c>
      <c r="F11204" s="52" t="s">
        <v>26</v>
      </c>
      <c r="G11204" s="54"/>
    </row>
    <row r="11205">
      <c r="A11205" s="49">
        <v>45138.89671035879</v>
      </c>
      <c r="B11205" s="50">
        <v>45139.0216798611</v>
      </c>
      <c r="C11205" s="51">
        <v>0.998</v>
      </c>
      <c r="D11205" s="51">
        <v>72.0</v>
      </c>
      <c r="E11205" s="52" t="s">
        <v>25</v>
      </c>
      <c r="F11205" s="52" t="s">
        <v>26</v>
      </c>
      <c r="G11205" s="54"/>
    </row>
    <row r="11206">
      <c r="A11206" s="49">
        <v>45138.9071462963</v>
      </c>
      <c r="B11206" s="50">
        <v>45139.0321247801</v>
      </c>
      <c r="C11206" s="51">
        <v>0.998</v>
      </c>
      <c r="D11206" s="51">
        <v>72.0</v>
      </c>
      <c r="E11206" s="52" t="s">
        <v>25</v>
      </c>
      <c r="F11206" s="52" t="s">
        <v>26</v>
      </c>
      <c r="G11206" s="54"/>
    </row>
    <row r="11207">
      <c r="A11207" s="49">
        <v>45138.91757295139</v>
      </c>
      <c r="B11207" s="50">
        <v>45139.0425472338</v>
      </c>
      <c r="C11207" s="51">
        <v>0.998</v>
      </c>
      <c r="D11207" s="51">
        <v>72.0</v>
      </c>
      <c r="E11207" s="52" t="s">
        <v>25</v>
      </c>
      <c r="F11207" s="52" t="s">
        <v>26</v>
      </c>
      <c r="G11207" s="54"/>
    </row>
    <row r="11208">
      <c r="A11208" s="49">
        <v>45138.92801207176</v>
      </c>
      <c r="B11208" s="50">
        <v>45139.0529798379</v>
      </c>
      <c r="C11208" s="51">
        <v>0.998</v>
      </c>
      <c r="D11208" s="51">
        <v>72.0</v>
      </c>
      <c r="E11208" s="52" t="s">
        <v>25</v>
      </c>
      <c r="F11208" s="52" t="s">
        <v>26</v>
      </c>
      <c r="G11208" s="54"/>
    </row>
    <row r="11209">
      <c r="A11209" s="49">
        <v>45138.93843333333</v>
      </c>
      <c r="B11209" s="50">
        <v>45139.0634006134</v>
      </c>
      <c r="C11209" s="51">
        <v>0.999</v>
      </c>
      <c r="D11209" s="51">
        <v>72.0</v>
      </c>
      <c r="E11209" s="52" t="s">
        <v>25</v>
      </c>
      <c r="F11209" s="52" t="s">
        <v>26</v>
      </c>
      <c r="G11209" s="54"/>
    </row>
    <row r="11210">
      <c r="A11210" s="49">
        <v>45138.94884375</v>
      </c>
      <c r="B11210" s="50">
        <v>45139.0738206713</v>
      </c>
      <c r="C11210" s="51">
        <v>0.998</v>
      </c>
      <c r="D11210" s="51">
        <v>72.0</v>
      </c>
      <c r="E11210" s="52" t="s">
        <v>25</v>
      </c>
      <c r="F11210" s="52" t="s">
        <v>26</v>
      </c>
      <c r="G11210" s="54"/>
    </row>
    <row r="11211">
      <c r="A11211" s="49">
        <v>45138.95927390046</v>
      </c>
      <c r="B11211" s="50">
        <v>45139.084242662</v>
      </c>
      <c r="C11211" s="51">
        <v>0.999</v>
      </c>
      <c r="D11211" s="51">
        <v>72.0</v>
      </c>
      <c r="E11211" s="52" t="s">
        <v>25</v>
      </c>
      <c r="F11211" s="52" t="s">
        <v>26</v>
      </c>
      <c r="G11211" s="54"/>
    </row>
    <row r="11212">
      <c r="A11212" s="49">
        <v>45138.969690150465</v>
      </c>
      <c r="B11212" s="50">
        <v>45139.0946655439</v>
      </c>
      <c r="C11212" s="51">
        <v>0.998</v>
      </c>
      <c r="D11212" s="51">
        <v>72.0</v>
      </c>
      <c r="E11212" s="52" t="s">
        <v>25</v>
      </c>
      <c r="F11212" s="52" t="s">
        <v>26</v>
      </c>
      <c r="G11212" s="54"/>
    </row>
    <row r="11213">
      <c r="A11213" s="49">
        <v>45138.98011896991</v>
      </c>
      <c r="B11213" s="50">
        <v>45139.1050878703</v>
      </c>
      <c r="C11213" s="51">
        <v>0.998</v>
      </c>
      <c r="D11213" s="51">
        <v>72.0</v>
      </c>
      <c r="E11213" s="52" t="s">
        <v>25</v>
      </c>
      <c r="F11213" s="52" t="s">
        <v>26</v>
      </c>
      <c r="G11213" s="54"/>
    </row>
    <row r="11214">
      <c r="A11214" s="49">
        <v>45138.9905390625</v>
      </c>
      <c r="B11214" s="50">
        <v>45139.1155094907</v>
      </c>
      <c r="C11214" s="51">
        <v>0.998</v>
      </c>
      <c r="D11214" s="51">
        <v>72.0</v>
      </c>
      <c r="E11214" s="52" t="s">
        <v>25</v>
      </c>
      <c r="F11214" s="52" t="s">
        <v>26</v>
      </c>
      <c r="G11214" s="54"/>
    </row>
    <row r="11215">
      <c r="A11215" s="49">
        <v>45139.00096114584</v>
      </c>
      <c r="B11215" s="50">
        <v>45139.125931331</v>
      </c>
      <c r="C11215" s="51">
        <v>0.998</v>
      </c>
      <c r="D11215" s="51">
        <v>72.0</v>
      </c>
      <c r="E11215" s="52" t="s">
        <v>25</v>
      </c>
      <c r="F11215" s="52" t="s">
        <v>26</v>
      </c>
      <c r="G11215" s="54"/>
    </row>
    <row r="11216">
      <c r="A11216" s="49">
        <v>45139.011371493056</v>
      </c>
      <c r="B11216" s="50">
        <v>45139.1363513657</v>
      </c>
      <c r="C11216" s="51">
        <v>0.998</v>
      </c>
      <c r="D11216" s="51">
        <v>72.0</v>
      </c>
      <c r="E11216" s="52" t="s">
        <v>25</v>
      </c>
      <c r="F11216" s="52" t="s">
        <v>26</v>
      </c>
      <c r="G11216" s="54"/>
    </row>
    <row r="11217">
      <c r="A11217" s="49">
        <v>45139.021813113424</v>
      </c>
      <c r="B11217" s="50">
        <v>45139.1467834143</v>
      </c>
      <c r="C11217" s="51">
        <v>0.998</v>
      </c>
      <c r="D11217" s="51">
        <v>72.0</v>
      </c>
      <c r="E11217" s="52" t="s">
        <v>25</v>
      </c>
      <c r="F11217" s="52" t="s">
        <v>26</v>
      </c>
      <c r="G11217" s="54"/>
    </row>
    <row r="11218">
      <c r="A11218" s="49">
        <v>45139.032228888886</v>
      </c>
      <c r="B11218" s="50">
        <v>45139.157204618</v>
      </c>
      <c r="C11218" s="51">
        <v>0.998</v>
      </c>
      <c r="D11218" s="51">
        <v>72.0</v>
      </c>
      <c r="E11218" s="52" t="s">
        <v>25</v>
      </c>
      <c r="F11218" s="52" t="s">
        <v>26</v>
      </c>
      <c r="G11218" s="54"/>
    </row>
    <row r="11219">
      <c r="A11219" s="49">
        <v>45139.04265018518</v>
      </c>
      <c r="B11219" s="50">
        <v>45139.1676256828</v>
      </c>
      <c r="C11219" s="51">
        <v>0.998</v>
      </c>
      <c r="D11219" s="51">
        <v>72.0</v>
      </c>
      <c r="E11219" s="52" t="s">
        <v>25</v>
      </c>
      <c r="F11219" s="52" t="s">
        <v>26</v>
      </c>
      <c r="G11219" s="54"/>
    </row>
    <row r="11220">
      <c r="A11220" s="49">
        <v>45139.05309371528</v>
      </c>
      <c r="B11220" s="50">
        <v>45139.1780584259</v>
      </c>
      <c r="C11220" s="51">
        <v>0.998</v>
      </c>
      <c r="D11220" s="51">
        <v>72.0</v>
      </c>
      <c r="E11220" s="52" t="s">
        <v>25</v>
      </c>
      <c r="F11220" s="52" t="s">
        <v>26</v>
      </c>
      <c r="G11220" s="54"/>
    </row>
    <row r="11221">
      <c r="A11221" s="49">
        <v>45139.06352606481</v>
      </c>
      <c r="B11221" s="50">
        <v>45139.1884909838</v>
      </c>
      <c r="C11221" s="51">
        <v>0.998</v>
      </c>
      <c r="D11221" s="51">
        <v>72.0</v>
      </c>
      <c r="E11221" s="52" t="s">
        <v>25</v>
      </c>
      <c r="F11221" s="52" t="s">
        <v>26</v>
      </c>
      <c r="G11221" s="54"/>
    </row>
    <row r="11222">
      <c r="A11222" s="49">
        <v>45139.07394584491</v>
      </c>
      <c r="B11222" s="50">
        <v>45139.198911875</v>
      </c>
      <c r="C11222" s="51">
        <v>0.998</v>
      </c>
      <c r="D11222" s="51">
        <v>72.0</v>
      </c>
      <c r="E11222" s="52" t="s">
        <v>25</v>
      </c>
      <c r="F11222" s="52" t="s">
        <v>26</v>
      </c>
      <c r="G11222" s="54"/>
    </row>
    <row r="11223">
      <c r="A11223" s="49">
        <v>45139.08435503472</v>
      </c>
      <c r="B11223" s="50">
        <v>45139.209334456</v>
      </c>
      <c r="C11223" s="51">
        <v>0.999</v>
      </c>
      <c r="D11223" s="51">
        <v>72.0</v>
      </c>
      <c r="E11223" s="52" t="s">
        <v>25</v>
      </c>
      <c r="F11223" s="52" t="s">
        <v>26</v>
      </c>
      <c r="G11223" s="54"/>
    </row>
    <row r="11224">
      <c r="A11224" s="49">
        <v>45139.09478934028</v>
      </c>
      <c r="B11224" s="50">
        <v>45139.2197545717</v>
      </c>
      <c r="C11224" s="51">
        <v>0.998</v>
      </c>
      <c r="D11224" s="51">
        <v>72.0</v>
      </c>
      <c r="E11224" s="52" t="s">
        <v>25</v>
      </c>
      <c r="F11224" s="52" t="s">
        <v>26</v>
      </c>
      <c r="G11224" s="54"/>
    </row>
    <row r="11225">
      <c r="A11225" s="49">
        <v>45139.10520430555</v>
      </c>
      <c r="B11225" s="50">
        <v>45139.2301757291</v>
      </c>
      <c r="C11225" s="51">
        <v>0.998</v>
      </c>
      <c r="D11225" s="51">
        <v>72.0</v>
      </c>
      <c r="E11225" s="52" t="s">
        <v>25</v>
      </c>
      <c r="F11225" s="52" t="s">
        <v>26</v>
      </c>
      <c r="G11225" s="54"/>
    </row>
    <row r="11226">
      <c r="A11226" s="49">
        <v>45139.11562225694</v>
      </c>
      <c r="B11226" s="50">
        <v>45139.2405963425</v>
      </c>
      <c r="C11226" s="51">
        <v>0.998</v>
      </c>
      <c r="D11226" s="51">
        <v>72.0</v>
      </c>
      <c r="E11226" s="52" t="s">
        <v>25</v>
      </c>
      <c r="F11226" s="52" t="s">
        <v>26</v>
      </c>
      <c r="G11226" s="54"/>
    </row>
    <row r="11227">
      <c r="A11227" s="49">
        <v>45139.12605018519</v>
      </c>
      <c r="B11227" s="50">
        <v>45139.2510173495</v>
      </c>
      <c r="C11227" s="51">
        <v>0.998</v>
      </c>
      <c r="D11227" s="51">
        <v>72.0</v>
      </c>
      <c r="E11227" s="52" t="s">
        <v>25</v>
      </c>
      <c r="F11227" s="52" t="s">
        <v>26</v>
      </c>
      <c r="G11227" s="54"/>
    </row>
    <row r="11228">
      <c r="A11228" s="49">
        <v>45139.13647114583</v>
      </c>
      <c r="B11228" s="50">
        <v>45139.2614392129</v>
      </c>
      <c r="C11228" s="51">
        <v>0.998</v>
      </c>
      <c r="D11228" s="51">
        <v>72.0</v>
      </c>
      <c r="E11228" s="52" t="s">
        <v>25</v>
      </c>
      <c r="F11228" s="52" t="s">
        <v>26</v>
      </c>
      <c r="G11228" s="54"/>
    </row>
    <row r="11229">
      <c r="A11229" s="49">
        <v>45139.146911840275</v>
      </c>
      <c r="B11229" s="50">
        <v>45139.2718594907</v>
      </c>
      <c r="C11229" s="51">
        <v>0.998</v>
      </c>
      <c r="D11229" s="51">
        <v>72.0</v>
      </c>
      <c r="E11229" s="52" t="s">
        <v>25</v>
      </c>
      <c r="F11229" s="52" t="s">
        <v>26</v>
      </c>
      <c r="G11229" s="54"/>
    </row>
    <row r="11230">
      <c r="A11230" s="49">
        <v>45139.157310254624</v>
      </c>
      <c r="B11230" s="50">
        <v>45139.2822804513</v>
      </c>
      <c r="C11230" s="51">
        <v>0.998</v>
      </c>
      <c r="D11230" s="51">
        <v>72.0</v>
      </c>
      <c r="E11230" s="52" t="s">
        <v>25</v>
      </c>
      <c r="F11230" s="52" t="s">
        <v>26</v>
      </c>
      <c r="G11230" s="54"/>
    </row>
    <row r="11231">
      <c r="A11231" s="49">
        <v>45139.16775228009</v>
      </c>
      <c r="B11231" s="50">
        <v>45139.2927131365</v>
      </c>
      <c r="C11231" s="51">
        <v>0.998</v>
      </c>
      <c r="D11231" s="51">
        <v>72.0</v>
      </c>
      <c r="E11231" s="52" t="s">
        <v>25</v>
      </c>
      <c r="F11231" s="52" t="s">
        <v>26</v>
      </c>
      <c r="G11231" s="54"/>
    </row>
    <row r="11232">
      <c r="A11232" s="49">
        <v>45139.1781705787</v>
      </c>
      <c r="B11232" s="50">
        <v>45139.3031446875</v>
      </c>
      <c r="C11232" s="51">
        <v>0.998</v>
      </c>
      <c r="D11232" s="51">
        <v>72.0</v>
      </c>
      <c r="E11232" s="52" t="s">
        <v>25</v>
      </c>
      <c r="F11232" s="52" t="s">
        <v>26</v>
      </c>
      <c r="G11232" s="54"/>
    </row>
    <row r="11233">
      <c r="A11233" s="49">
        <v>45139.18861331018</v>
      </c>
      <c r="B11233" s="50">
        <v>45139.3135887037</v>
      </c>
      <c r="C11233" s="51">
        <v>0.998</v>
      </c>
      <c r="D11233" s="51">
        <v>72.0</v>
      </c>
      <c r="E11233" s="52" t="s">
        <v>25</v>
      </c>
      <c r="F11233" s="52" t="s">
        <v>26</v>
      </c>
      <c r="G11233" s="54"/>
    </row>
    <row r="11234">
      <c r="A11234" s="49">
        <v>45139.19903920139</v>
      </c>
      <c r="B11234" s="50">
        <v>45139.3240083796</v>
      </c>
      <c r="C11234" s="51">
        <v>0.998</v>
      </c>
      <c r="D11234" s="51">
        <v>72.0</v>
      </c>
      <c r="E11234" s="52" t="s">
        <v>25</v>
      </c>
      <c r="F11234" s="52" t="s">
        <v>26</v>
      </c>
      <c r="G11234" s="54"/>
    </row>
    <row r="11235">
      <c r="A11235" s="49">
        <v>45139.20948550926</v>
      </c>
      <c r="B11235" s="50">
        <v>45139.334452662</v>
      </c>
      <c r="C11235" s="51">
        <v>0.998</v>
      </c>
      <c r="D11235" s="51">
        <v>72.0</v>
      </c>
      <c r="E11235" s="52" t="s">
        <v>25</v>
      </c>
      <c r="F11235" s="52" t="s">
        <v>26</v>
      </c>
      <c r="G11235" s="54"/>
    </row>
    <row r="11236">
      <c r="A11236" s="49">
        <v>45139.21991028935</v>
      </c>
      <c r="B11236" s="50">
        <v>45139.3448739699</v>
      </c>
      <c r="C11236" s="51">
        <v>0.998</v>
      </c>
      <c r="D11236" s="51">
        <v>72.0</v>
      </c>
      <c r="E11236" s="52" t="s">
        <v>25</v>
      </c>
      <c r="F11236" s="52" t="s">
        <v>26</v>
      </c>
      <c r="G11236" s="54"/>
    </row>
    <row r="11237">
      <c r="A11237" s="49">
        <v>45139.23034238426</v>
      </c>
      <c r="B11237" s="50">
        <v>45139.3553067013</v>
      </c>
      <c r="C11237" s="51">
        <v>0.998</v>
      </c>
      <c r="D11237" s="51">
        <v>72.0</v>
      </c>
      <c r="E11237" s="52" t="s">
        <v>25</v>
      </c>
      <c r="F11237" s="52" t="s">
        <v>26</v>
      </c>
      <c r="G11237" s="54"/>
    </row>
    <row r="11238">
      <c r="A11238" s="49">
        <v>45139.24075221065</v>
      </c>
      <c r="B11238" s="50">
        <v>45139.3657275115</v>
      </c>
      <c r="C11238" s="51">
        <v>0.998</v>
      </c>
      <c r="D11238" s="51">
        <v>72.0</v>
      </c>
      <c r="E11238" s="52" t="s">
        <v>25</v>
      </c>
      <c r="F11238" s="52" t="s">
        <v>26</v>
      </c>
      <c r="G11238" s="54"/>
    </row>
    <row r="11239">
      <c r="A11239" s="49">
        <v>45139.251177997685</v>
      </c>
      <c r="B11239" s="50">
        <v>45139.3761488078</v>
      </c>
      <c r="C11239" s="51">
        <v>0.998</v>
      </c>
      <c r="D11239" s="51">
        <v>72.0</v>
      </c>
      <c r="E11239" s="52" t="s">
        <v>25</v>
      </c>
      <c r="F11239" s="52" t="s">
        <v>26</v>
      </c>
      <c r="G11239" s="54"/>
    </row>
    <row r="11240">
      <c r="A11240" s="49">
        <v>45139.26159363426</v>
      </c>
      <c r="B11240" s="50">
        <v>45139.3865698958</v>
      </c>
      <c r="C11240" s="51">
        <v>0.998</v>
      </c>
      <c r="D11240" s="51">
        <v>72.0</v>
      </c>
      <c r="E11240" s="52" t="s">
        <v>25</v>
      </c>
      <c r="F11240" s="52" t="s">
        <v>26</v>
      </c>
      <c r="G11240" s="54"/>
    </row>
    <row r="11241">
      <c r="A11241" s="49">
        <v>45139.272025150465</v>
      </c>
      <c r="B11241" s="50">
        <v>45139.3969913541</v>
      </c>
      <c r="C11241" s="51">
        <v>0.998</v>
      </c>
      <c r="D11241" s="51">
        <v>72.0</v>
      </c>
      <c r="E11241" s="52" t="s">
        <v>25</v>
      </c>
      <c r="F11241" s="52" t="s">
        <v>26</v>
      </c>
      <c r="G11241" s="54"/>
    </row>
    <row r="11242">
      <c r="A11242" s="49">
        <v>45139.2824487037</v>
      </c>
      <c r="B11242" s="50">
        <v>45139.4074139699</v>
      </c>
      <c r="C11242" s="51">
        <v>0.998</v>
      </c>
      <c r="D11242" s="51">
        <v>72.0</v>
      </c>
      <c r="E11242" s="52" t="s">
        <v>25</v>
      </c>
      <c r="F11242" s="52" t="s">
        <v>26</v>
      </c>
      <c r="G11242" s="54"/>
    </row>
    <row r="11243">
      <c r="A11243" s="49">
        <v>45139.29286568287</v>
      </c>
      <c r="B11243" s="50">
        <v>45139.4178342708</v>
      </c>
      <c r="C11243" s="51">
        <v>0.998</v>
      </c>
      <c r="D11243" s="51">
        <v>72.0</v>
      </c>
      <c r="E11243" s="52" t="s">
        <v>25</v>
      </c>
      <c r="F11243" s="52" t="s">
        <v>26</v>
      </c>
      <c r="G11243" s="54"/>
    </row>
    <row r="11244">
      <c r="A11244" s="49">
        <v>45139.3033125</v>
      </c>
      <c r="B11244" s="50">
        <v>45139.4282548726</v>
      </c>
      <c r="C11244" s="51">
        <v>0.998</v>
      </c>
      <c r="D11244" s="51">
        <v>72.0</v>
      </c>
      <c r="E11244" s="52" t="s">
        <v>25</v>
      </c>
      <c r="F11244" s="52" t="s">
        <v>26</v>
      </c>
      <c r="G11244" s="54"/>
    </row>
    <row r="11245">
      <c r="A11245" s="49">
        <v>45139.31370292824</v>
      </c>
      <c r="B11245" s="50">
        <v>45139.4386739467</v>
      </c>
      <c r="C11245" s="51">
        <v>0.998</v>
      </c>
      <c r="D11245" s="51">
        <v>72.0</v>
      </c>
      <c r="E11245" s="52" t="s">
        <v>25</v>
      </c>
      <c r="F11245" s="52" t="s">
        <v>26</v>
      </c>
      <c r="G11245" s="54"/>
    </row>
    <row r="11246">
      <c r="A11246" s="49">
        <v>45139.324139965276</v>
      </c>
      <c r="B11246" s="50">
        <v>45139.4490958564</v>
      </c>
      <c r="C11246" s="51">
        <v>0.998</v>
      </c>
      <c r="D11246" s="51">
        <v>72.0</v>
      </c>
      <c r="E11246" s="52" t="s">
        <v>25</v>
      </c>
      <c r="F11246" s="52" t="s">
        <v>26</v>
      </c>
      <c r="G11246" s="54"/>
    </row>
    <row r="11247">
      <c r="A11247" s="49">
        <v>45139.33456342593</v>
      </c>
      <c r="B11247" s="50">
        <v>45139.4595279513</v>
      </c>
      <c r="C11247" s="51">
        <v>0.998</v>
      </c>
      <c r="D11247" s="51">
        <v>72.0</v>
      </c>
      <c r="E11247" s="52" t="s">
        <v>25</v>
      </c>
      <c r="F11247" s="52" t="s">
        <v>26</v>
      </c>
      <c r="G11247" s="54"/>
    </row>
    <row r="11248">
      <c r="A11248" s="49">
        <v>45139.34499254629</v>
      </c>
      <c r="B11248" s="50">
        <v>45139.469960243</v>
      </c>
      <c r="C11248" s="51">
        <v>0.998</v>
      </c>
      <c r="D11248" s="51">
        <v>72.0</v>
      </c>
      <c r="E11248" s="52" t="s">
        <v>25</v>
      </c>
      <c r="F11248" s="52" t="s">
        <v>26</v>
      </c>
      <c r="G11248" s="54"/>
    </row>
    <row r="11249">
      <c r="A11249" s="49">
        <v>45139.35540976852</v>
      </c>
      <c r="B11249" s="50">
        <v>45139.4803821412</v>
      </c>
      <c r="C11249" s="51">
        <v>0.998</v>
      </c>
      <c r="D11249" s="51">
        <v>72.0</v>
      </c>
      <c r="E11249" s="52" t="s">
        <v>25</v>
      </c>
      <c r="F11249" s="52" t="s">
        <v>26</v>
      </c>
      <c r="G11249" s="54"/>
    </row>
    <row r="11250">
      <c r="A11250" s="49">
        <v>45139.365832615746</v>
      </c>
      <c r="B11250" s="50">
        <v>45139.4908009375</v>
      </c>
      <c r="C11250" s="51">
        <v>0.998</v>
      </c>
      <c r="D11250" s="51">
        <v>72.0</v>
      </c>
      <c r="E11250" s="52" t="s">
        <v>25</v>
      </c>
      <c r="F11250" s="52" t="s">
        <v>26</v>
      </c>
      <c r="G11250" s="54"/>
    </row>
    <row r="11251">
      <c r="A11251" s="49">
        <v>45139.37626122685</v>
      </c>
      <c r="B11251" s="50">
        <v>45139.5012247916</v>
      </c>
      <c r="C11251" s="51">
        <v>0.998</v>
      </c>
      <c r="D11251" s="51">
        <v>72.0</v>
      </c>
      <c r="E11251" s="52" t="s">
        <v>25</v>
      </c>
      <c r="F11251" s="52" t="s">
        <v>26</v>
      </c>
      <c r="G11251" s="54"/>
    </row>
    <row r="11252">
      <c r="A11252" s="49">
        <v>45139.39709097223</v>
      </c>
      <c r="B11252" s="50">
        <v>45139.5220662847</v>
      </c>
      <c r="C11252" s="51">
        <v>0.998</v>
      </c>
      <c r="D11252" s="51">
        <v>72.0</v>
      </c>
      <c r="E11252" s="52" t="s">
        <v>25</v>
      </c>
      <c r="F11252" s="52" t="s">
        <v>26</v>
      </c>
      <c r="G11252" s="54"/>
    </row>
    <row r="11253">
      <c r="A11253" s="49">
        <v>45139.40751640046</v>
      </c>
      <c r="B11253" s="50">
        <v>45139.5324877777</v>
      </c>
      <c r="C11253" s="51">
        <v>0.998</v>
      </c>
      <c r="D11253" s="51">
        <v>72.0</v>
      </c>
      <c r="E11253" s="52" t="s">
        <v>25</v>
      </c>
      <c r="F11253" s="52" t="s">
        <v>26</v>
      </c>
      <c r="G11253" s="54"/>
    </row>
    <row r="11254">
      <c r="A11254" s="49">
        <v>45139.41794234954</v>
      </c>
      <c r="B11254" s="50">
        <v>45139.5429079398</v>
      </c>
      <c r="C11254" s="51">
        <v>0.998</v>
      </c>
      <c r="D11254" s="51">
        <v>72.0</v>
      </c>
      <c r="E11254" s="52" t="s">
        <v>25</v>
      </c>
      <c r="F11254" s="52" t="s">
        <v>26</v>
      </c>
      <c r="G11254" s="54"/>
    </row>
    <row r="11255">
      <c r="A11255" s="49">
        <v>45139.42835096065</v>
      </c>
      <c r="B11255" s="50">
        <v>45139.5533300115</v>
      </c>
      <c r="C11255" s="51">
        <v>0.998</v>
      </c>
      <c r="D11255" s="51">
        <v>72.0</v>
      </c>
      <c r="E11255" s="52" t="s">
        <v>25</v>
      </c>
      <c r="F11255" s="52" t="s">
        <v>26</v>
      </c>
      <c r="G11255" s="54"/>
    </row>
    <row r="11256">
      <c r="A11256" s="49">
        <v>45139.43878607639</v>
      </c>
      <c r="B11256" s="50">
        <v>45139.563762743</v>
      </c>
      <c r="C11256" s="51">
        <v>0.998</v>
      </c>
      <c r="D11256" s="51">
        <v>72.0</v>
      </c>
      <c r="E11256" s="52" t="s">
        <v>25</v>
      </c>
      <c r="F11256" s="52" t="s">
        <v>26</v>
      </c>
      <c r="G11256" s="54"/>
    </row>
    <row r="11257">
      <c r="A11257" s="49">
        <v>45139.44921340278</v>
      </c>
      <c r="B11257" s="50">
        <v>45139.5741848958</v>
      </c>
      <c r="C11257" s="51">
        <v>0.998</v>
      </c>
      <c r="D11257" s="51">
        <v>72.0</v>
      </c>
      <c r="E11257" s="52" t="s">
        <v>25</v>
      </c>
      <c r="F11257" s="52" t="s">
        <v>26</v>
      </c>
      <c r="G11257" s="54"/>
    </row>
    <row r="11258">
      <c r="A11258" s="49">
        <v>45139.45963149305</v>
      </c>
      <c r="B11258" s="50">
        <v>45139.5846075694</v>
      </c>
      <c r="C11258" s="51">
        <v>0.998</v>
      </c>
      <c r="D11258" s="51">
        <v>72.0</v>
      </c>
      <c r="E11258" s="52" t="s">
        <v>25</v>
      </c>
      <c r="F11258" s="52" t="s">
        <v>26</v>
      </c>
      <c r="G11258" s="54"/>
    </row>
    <row r="11259">
      <c r="A11259" s="49">
        <v>45139.47009549769</v>
      </c>
      <c r="B11259" s="50">
        <v>45139.5950643171</v>
      </c>
      <c r="C11259" s="51">
        <v>0.998</v>
      </c>
      <c r="D11259" s="51">
        <v>72.0</v>
      </c>
      <c r="E11259" s="52" t="s">
        <v>25</v>
      </c>
      <c r="F11259" s="52" t="s">
        <v>26</v>
      </c>
      <c r="G11259" s="54"/>
    </row>
    <row r="11260">
      <c r="A11260" s="49">
        <v>45139.48051548611</v>
      </c>
      <c r="B11260" s="50">
        <v>45139.6054843749</v>
      </c>
      <c r="C11260" s="51">
        <v>0.998</v>
      </c>
      <c r="D11260" s="51">
        <v>72.0</v>
      </c>
      <c r="E11260" s="52" t="s">
        <v>25</v>
      </c>
      <c r="F11260" s="52" t="s">
        <v>26</v>
      </c>
      <c r="G11260" s="54"/>
    </row>
    <row r="11261">
      <c r="A11261" s="49">
        <v>45139.490932581015</v>
      </c>
      <c r="B11261" s="50">
        <v>45139.6159056365</v>
      </c>
      <c r="C11261" s="51">
        <v>0.998</v>
      </c>
      <c r="D11261" s="51">
        <v>72.0</v>
      </c>
      <c r="E11261" s="52" t="s">
        <v>25</v>
      </c>
      <c r="F11261" s="52" t="s">
        <v>26</v>
      </c>
      <c r="G11261" s="54"/>
    </row>
    <row r="11262">
      <c r="A11262" s="49">
        <v>45139.501357719906</v>
      </c>
      <c r="B11262" s="50">
        <v>45139.6263265046</v>
      </c>
      <c r="C11262" s="51">
        <v>0.998</v>
      </c>
      <c r="D11262" s="51">
        <v>72.0</v>
      </c>
      <c r="E11262" s="52" t="s">
        <v>25</v>
      </c>
      <c r="F11262" s="52" t="s">
        <v>26</v>
      </c>
      <c r="G11262" s="54"/>
    </row>
    <row r="11263">
      <c r="A11263" s="49">
        <v>45139.51178292824</v>
      </c>
      <c r="B11263" s="50">
        <v>45139.6367472685</v>
      </c>
      <c r="C11263" s="51">
        <v>0.998</v>
      </c>
      <c r="D11263" s="51">
        <v>72.0</v>
      </c>
      <c r="E11263" s="52" t="s">
        <v>25</v>
      </c>
      <c r="F11263" s="52" t="s">
        <v>26</v>
      </c>
      <c r="G11263" s="54"/>
    </row>
    <row r="11264">
      <c r="A11264" s="49">
        <v>45139.52220021991</v>
      </c>
      <c r="B11264" s="50">
        <v>45139.6471684837</v>
      </c>
      <c r="C11264" s="51">
        <v>0.998</v>
      </c>
      <c r="D11264" s="51">
        <v>72.0</v>
      </c>
      <c r="E11264" s="52" t="s">
        <v>25</v>
      </c>
      <c r="F11264" s="52" t="s">
        <v>26</v>
      </c>
      <c r="G11264" s="54"/>
    </row>
    <row r="11265">
      <c r="A11265" s="49">
        <v>45139.532623541665</v>
      </c>
      <c r="B11265" s="50">
        <v>45139.6575893518</v>
      </c>
      <c r="C11265" s="51">
        <v>0.998</v>
      </c>
      <c r="D11265" s="51">
        <v>72.0</v>
      </c>
      <c r="E11265" s="52" t="s">
        <v>25</v>
      </c>
      <c r="F11265" s="52" t="s">
        <v>26</v>
      </c>
      <c r="G11265" s="54"/>
    </row>
    <row r="11266">
      <c r="A11266" s="49">
        <v>45139.54305146991</v>
      </c>
      <c r="B11266" s="50">
        <v>45139.6680106018</v>
      </c>
      <c r="C11266" s="51">
        <v>0.998</v>
      </c>
      <c r="D11266" s="51">
        <v>72.0</v>
      </c>
      <c r="E11266" s="52" t="s">
        <v>25</v>
      </c>
      <c r="F11266" s="52" t="s">
        <v>26</v>
      </c>
      <c r="G11266" s="54"/>
    </row>
    <row r="11267">
      <c r="A11267" s="49">
        <v>45139.56387722222</v>
      </c>
      <c r="B11267" s="50">
        <v>45139.6888530787</v>
      </c>
      <c r="C11267" s="51">
        <v>0.998</v>
      </c>
      <c r="D11267" s="51">
        <v>72.0</v>
      </c>
      <c r="E11267" s="52" t="s">
        <v>25</v>
      </c>
      <c r="F11267" s="52" t="s">
        <v>26</v>
      </c>
      <c r="G11267" s="54"/>
    </row>
    <row r="11268">
      <c r="A11268" s="49">
        <v>45139.57430798611</v>
      </c>
      <c r="B11268" s="50">
        <v>45139.6992743981</v>
      </c>
      <c r="C11268" s="51">
        <v>0.998</v>
      </c>
      <c r="D11268" s="51">
        <v>72.0</v>
      </c>
      <c r="E11268" s="52" t="s">
        <v>25</v>
      </c>
      <c r="F11268" s="52" t="s">
        <v>26</v>
      </c>
      <c r="G11268" s="54"/>
    </row>
    <row r="11269">
      <c r="A11269" s="49">
        <v>45139.58473608796</v>
      </c>
      <c r="B11269" s="50">
        <v>45139.709705868</v>
      </c>
      <c r="C11269" s="51">
        <v>0.998</v>
      </c>
      <c r="D11269" s="51">
        <v>72.0</v>
      </c>
      <c r="E11269" s="52" t="s">
        <v>25</v>
      </c>
      <c r="F11269" s="52" t="s">
        <v>26</v>
      </c>
      <c r="G11269" s="54"/>
    </row>
    <row r="11270">
      <c r="A11270" s="49">
        <v>45139.5951621875</v>
      </c>
      <c r="B11270" s="50">
        <v>45139.7201257176</v>
      </c>
      <c r="C11270" s="51">
        <v>0.998</v>
      </c>
      <c r="D11270" s="51">
        <v>72.0</v>
      </c>
      <c r="E11270" s="52" t="s">
        <v>25</v>
      </c>
      <c r="F11270" s="52" t="s">
        <v>26</v>
      </c>
      <c r="G11270" s="54"/>
    </row>
    <row r="11271">
      <c r="A11271" s="49">
        <v>45139.605591458334</v>
      </c>
      <c r="B11271" s="50">
        <v>45139.7305591435</v>
      </c>
      <c r="C11271" s="51">
        <v>0.998</v>
      </c>
      <c r="D11271" s="51">
        <v>72.0</v>
      </c>
      <c r="E11271" s="52" t="s">
        <v>25</v>
      </c>
      <c r="F11271" s="52" t="s">
        <v>26</v>
      </c>
      <c r="G11271" s="54"/>
    </row>
    <row r="11272">
      <c r="A11272" s="49">
        <v>45139.61601099537</v>
      </c>
      <c r="B11272" s="50">
        <v>45139.7409817013</v>
      </c>
      <c r="C11272" s="51">
        <v>0.998</v>
      </c>
      <c r="D11272" s="51">
        <v>72.0</v>
      </c>
      <c r="E11272" s="52" t="s">
        <v>25</v>
      </c>
      <c r="F11272" s="52" t="s">
        <v>26</v>
      </c>
      <c r="G11272" s="54"/>
    </row>
    <row r="11273">
      <c r="A11273" s="49">
        <v>45139.626436666666</v>
      </c>
      <c r="B11273" s="50">
        <v>45139.7514141551</v>
      </c>
      <c r="C11273" s="51">
        <v>0.998</v>
      </c>
      <c r="D11273" s="51">
        <v>72.0</v>
      </c>
      <c r="E11273" s="52" t="s">
        <v>25</v>
      </c>
      <c r="F11273" s="52" t="s">
        <v>26</v>
      </c>
      <c r="G11273" s="54"/>
    </row>
    <row r="11274">
      <c r="A11274" s="49">
        <v>45139.63685510417</v>
      </c>
      <c r="B11274" s="50">
        <v>45139.7618376736</v>
      </c>
      <c r="C11274" s="51">
        <v>0.998</v>
      </c>
      <c r="D11274" s="51">
        <v>72.0</v>
      </c>
      <c r="E11274" s="52" t="s">
        <v>25</v>
      </c>
      <c r="F11274" s="52" t="s">
        <v>26</v>
      </c>
      <c r="G11274" s="54"/>
    </row>
    <row r="11275">
      <c r="A11275" s="49">
        <v>45139.64728532407</v>
      </c>
      <c r="B11275" s="50">
        <v>45139.7722590277</v>
      </c>
      <c r="C11275" s="51">
        <v>0.998</v>
      </c>
      <c r="D11275" s="51">
        <v>72.0</v>
      </c>
      <c r="E11275" s="52" t="s">
        <v>25</v>
      </c>
      <c r="F11275" s="52" t="s">
        <v>26</v>
      </c>
      <c r="G11275" s="54"/>
    </row>
    <row r="11276">
      <c r="A11276" s="49">
        <v>45139.657718912036</v>
      </c>
      <c r="B11276" s="50">
        <v>45139.7826916898</v>
      </c>
      <c r="C11276" s="51">
        <v>0.998</v>
      </c>
      <c r="D11276" s="51">
        <v>72.0</v>
      </c>
      <c r="E11276" s="52" t="s">
        <v>25</v>
      </c>
      <c r="F11276" s="52" t="s">
        <v>26</v>
      </c>
      <c r="G11276" s="54"/>
    </row>
    <row r="11277">
      <c r="A11277" s="49">
        <v>45139.66815728009</v>
      </c>
      <c r="B11277" s="50">
        <v>45139.7931256134</v>
      </c>
      <c r="C11277" s="51">
        <v>0.998</v>
      </c>
      <c r="D11277" s="51">
        <v>72.0</v>
      </c>
      <c r="E11277" s="52" t="s">
        <v>25</v>
      </c>
      <c r="F11277" s="52" t="s">
        <v>26</v>
      </c>
      <c r="G11277" s="54"/>
    </row>
    <row r="11278">
      <c r="A11278" s="49">
        <v>45139.67858275463</v>
      </c>
      <c r="B11278" s="50">
        <v>45139.8035582176</v>
      </c>
      <c r="C11278" s="51">
        <v>0.998</v>
      </c>
      <c r="D11278" s="51">
        <v>72.0</v>
      </c>
      <c r="E11278" s="52" t="s">
        <v>25</v>
      </c>
      <c r="F11278" s="52" t="s">
        <v>26</v>
      </c>
      <c r="G11278" s="54"/>
    </row>
    <row r="11279">
      <c r="A11279" s="49">
        <v>45139.689005520835</v>
      </c>
      <c r="B11279" s="50">
        <v>45139.813979375</v>
      </c>
      <c r="C11279" s="51">
        <v>0.998</v>
      </c>
      <c r="D11279" s="51">
        <v>72.0</v>
      </c>
      <c r="E11279" s="52" t="s">
        <v>25</v>
      </c>
      <c r="F11279" s="52" t="s">
        <v>26</v>
      </c>
      <c r="G11279" s="54"/>
    </row>
    <row r="11280">
      <c r="A11280" s="49">
        <v>45139.699423495375</v>
      </c>
      <c r="B11280" s="50">
        <v>45139.8244001388</v>
      </c>
      <c r="C11280" s="51">
        <v>0.998</v>
      </c>
      <c r="D11280" s="51">
        <v>72.0</v>
      </c>
      <c r="E11280" s="52" t="s">
        <v>25</v>
      </c>
      <c r="F11280" s="52" t="s">
        <v>26</v>
      </c>
      <c r="G11280" s="54"/>
    </row>
    <row r="11281">
      <c r="A11281" s="49">
        <v>45139.70984578704</v>
      </c>
      <c r="B11281" s="50">
        <v>45139.8348223958</v>
      </c>
      <c r="C11281" s="51">
        <v>0.998</v>
      </c>
      <c r="D11281" s="51">
        <v>72.0</v>
      </c>
      <c r="E11281" s="52" t="s">
        <v>25</v>
      </c>
      <c r="F11281" s="52" t="s">
        <v>26</v>
      </c>
      <c r="G11281" s="54"/>
    </row>
    <row r="11282">
      <c r="A11282" s="49">
        <v>45139.72026775463</v>
      </c>
      <c r="B11282" s="50">
        <v>45139.8452424652</v>
      </c>
      <c r="C11282" s="51">
        <v>0.998</v>
      </c>
      <c r="D11282" s="51">
        <v>72.0</v>
      </c>
      <c r="E11282" s="52" t="s">
        <v>25</v>
      </c>
      <c r="F11282" s="52" t="s">
        <v>26</v>
      </c>
      <c r="G11282" s="54"/>
    </row>
    <row r="11283">
      <c r="A11283" s="49">
        <v>45139.730694872684</v>
      </c>
      <c r="B11283" s="50">
        <v>45139.8556617708</v>
      </c>
      <c r="C11283" s="51">
        <v>0.998</v>
      </c>
      <c r="D11283" s="51">
        <v>72.0</v>
      </c>
      <c r="E11283" s="52" t="s">
        <v>25</v>
      </c>
      <c r="F11283" s="52" t="s">
        <v>26</v>
      </c>
      <c r="G11283" s="54"/>
    </row>
    <row r="11284">
      <c r="A11284" s="49">
        <v>45139.741115</v>
      </c>
      <c r="B11284" s="50">
        <v>45139.8660843171</v>
      </c>
      <c r="C11284" s="51">
        <v>0.998</v>
      </c>
      <c r="D11284" s="51">
        <v>72.0</v>
      </c>
      <c r="E11284" s="52" t="s">
        <v>25</v>
      </c>
      <c r="F11284" s="52" t="s">
        <v>26</v>
      </c>
      <c r="G11284" s="54"/>
    </row>
    <row r="11285">
      <c r="A11285" s="49">
        <v>45139.75152884259</v>
      </c>
      <c r="B11285" s="50">
        <v>45139.8765042361</v>
      </c>
      <c r="C11285" s="51">
        <v>0.998</v>
      </c>
      <c r="D11285" s="51">
        <v>72.0</v>
      </c>
      <c r="E11285" s="52" t="s">
        <v>25</v>
      </c>
      <c r="F11285" s="52" t="s">
        <v>26</v>
      </c>
      <c r="G11285" s="54"/>
    </row>
    <row r="11286">
      <c r="A11286" s="49">
        <v>45139.76194581018</v>
      </c>
      <c r="B11286" s="50">
        <v>45139.8869253009</v>
      </c>
      <c r="C11286" s="51">
        <v>0.998</v>
      </c>
      <c r="D11286" s="51">
        <v>72.0</v>
      </c>
      <c r="E11286" s="52" t="s">
        <v>25</v>
      </c>
      <c r="F11286" s="52" t="s">
        <v>26</v>
      </c>
      <c r="G11286" s="54"/>
    </row>
    <row r="11287">
      <c r="A11287" s="49">
        <v>45139.77237111111</v>
      </c>
      <c r="B11287" s="50">
        <v>45139.8973456597</v>
      </c>
      <c r="C11287" s="51">
        <v>0.998</v>
      </c>
      <c r="D11287" s="51">
        <v>72.0</v>
      </c>
      <c r="E11287" s="52" t="s">
        <v>25</v>
      </c>
      <c r="F11287" s="52" t="s">
        <v>26</v>
      </c>
      <c r="G11287" s="54"/>
    </row>
    <row r="11288">
      <c r="A11288" s="49">
        <v>45139.782811701385</v>
      </c>
      <c r="B11288" s="50">
        <v>45139.9077786574</v>
      </c>
      <c r="C11288" s="51">
        <v>0.998</v>
      </c>
      <c r="D11288" s="51">
        <v>72.0</v>
      </c>
      <c r="E11288" s="52" t="s">
        <v>25</v>
      </c>
      <c r="F11288" s="52" t="s">
        <v>26</v>
      </c>
      <c r="G11288" s="54"/>
    </row>
    <row r="11289">
      <c r="A11289" s="49">
        <v>45139.79322450231</v>
      </c>
      <c r="B11289" s="50">
        <v>45139.9181994907</v>
      </c>
      <c r="C11289" s="51">
        <v>0.998</v>
      </c>
      <c r="D11289" s="51">
        <v>72.0</v>
      </c>
      <c r="E11289" s="52" t="s">
        <v>25</v>
      </c>
      <c r="F11289" s="52" t="s">
        <v>26</v>
      </c>
      <c r="G11289" s="54"/>
    </row>
    <row r="11290">
      <c r="A11290" s="49">
        <v>45139.803649444446</v>
      </c>
      <c r="B11290" s="50">
        <v>45139.9286202662</v>
      </c>
      <c r="C11290" s="51">
        <v>0.998</v>
      </c>
      <c r="D11290" s="51">
        <v>72.0</v>
      </c>
      <c r="E11290" s="52" t="s">
        <v>25</v>
      </c>
      <c r="F11290" s="52" t="s">
        <v>26</v>
      </c>
      <c r="G11290" s="54"/>
    </row>
    <row r="11291">
      <c r="A11291" s="49">
        <v>45139.814090995365</v>
      </c>
      <c r="B11291" s="50">
        <v>45139.9390648148</v>
      </c>
      <c r="C11291" s="51">
        <v>0.998</v>
      </c>
      <c r="D11291" s="51">
        <v>72.0</v>
      </c>
      <c r="E11291" s="52" t="s">
        <v>25</v>
      </c>
      <c r="F11291" s="52" t="s">
        <v>26</v>
      </c>
      <c r="G11291" s="54"/>
    </row>
    <row r="11292">
      <c r="A11292" s="49">
        <v>45139.82450274305</v>
      </c>
      <c r="B11292" s="50">
        <v>45139.9494851388</v>
      </c>
      <c r="C11292" s="51">
        <v>0.998</v>
      </c>
      <c r="D11292" s="51">
        <v>72.0</v>
      </c>
      <c r="E11292" s="52" t="s">
        <v>25</v>
      </c>
      <c r="F11292" s="52" t="s">
        <v>26</v>
      </c>
      <c r="G11292" s="54"/>
    </row>
    <row r="11293">
      <c r="A11293" s="49">
        <v>45139.83493625</v>
      </c>
      <c r="B11293" s="50">
        <v>45139.9599056597</v>
      </c>
      <c r="C11293" s="51">
        <v>0.998</v>
      </c>
      <c r="D11293" s="51">
        <v>72.0</v>
      </c>
      <c r="E11293" s="52" t="s">
        <v>25</v>
      </c>
      <c r="F11293" s="52" t="s">
        <v>26</v>
      </c>
      <c r="G11293" s="54"/>
    </row>
    <row r="11294">
      <c r="A11294" s="49">
        <v>45139.845353136574</v>
      </c>
      <c r="B11294" s="50">
        <v>45139.9703272569</v>
      </c>
      <c r="C11294" s="51">
        <v>0.998</v>
      </c>
      <c r="D11294" s="51">
        <v>72.0</v>
      </c>
      <c r="E11294" s="52" t="s">
        <v>25</v>
      </c>
      <c r="F11294" s="52" t="s">
        <v>26</v>
      </c>
      <c r="G11294" s="54"/>
    </row>
    <row r="11295">
      <c r="A11295" s="49">
        <v>45139.855773773146</v>
      </c>
      <c r="B11295" s="50">
        <v>45139.9807487384</v>
      </c>
      <c r="C11295" s="51">
        <v>0.998</v>
      </c>
      <c r="D11295" s="51">
        <v>72.0</v>
      </c>
      <c r="E11295" s="52" t="s">
        <v>25</v>
      </c>
      <c r="F11295" s="52" t="s">
        <v>26</v>
      </c>
      <c r="G11295" s="54"/>
    </row>
    <row r="11296">
      <c r="A11296" s="49">
        <v>45139.86620081018</v>
      </c>
      <c r="B11296" s="50">
        <v>45139.99117103</v>
      </c>
      <c r="C11296" s="51">
        <v>0.998</v>
      </c>
      <c r="D11296" s="51">
        <v>72.0</v>
      </c>
      <c r="E11296" s="52" t="s">
        <v>25</v>
      </c>
      <c r="F11296" s="52" t="s">
        <v>26</v>
      </c>
      <c r="G11296" s="54"/>
    </row>
    <row r="11297">
      <c r="A11297" s="49">
        <v>45139.8766258449</v>
      </c>
      <c r="B11297" s="50">
        <v>45140.0015933912</v>
      </c>
      <c r="C11297" s="51">
        <v>0.998</v>
      </c>
      <c r="D11297" s="51">
        <v>72.0</v>
      </c>
      <c r="E11297" s="52" t="s">
        <v>25</v>
      </c>
      <c r="F11297" s="52" t="s">
        <v>26</v>
      </c>
      <c r="G11297" s="54"/>
    </row>
    <row r="11298">
      <c r="A11298" s="49">
        <v>45139.887045173615</v>
      </c>
      <c r="B11298" s="50">
        <v>45140.0120136689</v>
      </c>
      <c r="C11298" s="51">
        <v>0.998</v>
      </c>
      <c r="D11298" s="51">
        <v>72.0</v>
      </c>
      <c r="E11298" s="52" t="s">
        <v>25</v>
      </c>
      <c r="F11298" s="52" t="s">
        <v>26</v>
      </c>
      <c r="G11298" s="54"/>
    </row>
    <row r="11299">
      <c r="A11299" s="49">
        <v>45139.89745686343</v>
      </c>
      <c r="B11299" s="50">
        <v>45140.0224344097</v>
      </c>
      <c r="C11299" s="51">
        <v>0.998</v>
      </c>
      <c r="D11299" s="51">
        <v>72.0</v>
      </c>
      <c r="E11299" s="52" t="s">
        <v>25</v>
      </c>
      <c r="F11299" s="52" t="s">
        <v>26</v>
      </c>
      <c r="G11299" s="54"/>
    </row>
    <row r="11300">
      <c r="A11300" s="49">
        <v>45139.907882280095</v>
      </c>
      <c r="B11300" s="50">
        <v>45140.0328573842</v>
      </c>
      <c r="C11300" s="51">
        <v>0.998</v>
      </c>
      <c r="D11300" s="51">
        <v>72.0</v>
      </c>
      <c r="E11300" s="52" t="s">
        <v>25</v>
      </c>
      <c r="F11300" s="52" t="s">
        <v>26</v>
      </c>
      <c r="G11300" s="54"/>
    </row>
    <row r="11301">
      <c r="A11301" s="49">
        <v>45139.91831707176</v>
      </c>
      <c r="B11301" s="50">
        <v>45140.0432780324</v>
      </c>
      <c r="C11301" s="51">
        <v>0.998</v>
      </c>
      <c r="D11301" s="51">
        <v>72.0</v>
      </c>
      <c r="E11301" s="52" t="s">
        <v>25</v>
      </c>
      <c r="F11301" s="52" t="s">
        <v>26</v>
      </c>
      <c r="G11301" s="54"/>
    </row>
    <row r="11302">
      <c r="A11302" s="49">
        <v>45139.92873170139</v>
      </c>
      <c r="B11302" s="50">
        <v>45140.0536998379</v>
      </c>
      <c r="C11302" s="51">
        <v>0.998</v>
      </c>
      <c r="D11302" s="51">
        <v>72.0</v>
      </c>
      <c r="E11302" s="52" t="s">
        <v>25</v>
      </c>
      <c r="F11302" s="52" t="s">
        <v>26</v>
      </c>
      <c r="G11302" s="54"/>
    </row>
    <row r="11303">
      <c r="A11303" s="49">
        <v>45139.93915304398</v>
      </c>
      <c r="B11303" s="50">
        <v>45140.0641204398</v>
      </c>
      <c r="C11303" s="51">
        <v>0.998</v>
      </c>
      <c r="D11303" s="51">
        <v>72.0</v>
      </c>
      <c r="E11303" s="52" t="s">
        <v>25</v>
      </c>
      <c r="F11303" s="52" t="s">
        <v>26</v>
      </c>
      <c r="G11303" s="54"/>
    </row>
    <row r="11304">
      <c r="A11304" s="49">
        <v>45139.9495697338</v>
      </c>
      <c r="B11304" s="50">
        <v>45140.0745408333</v>
      </c>
      <c r="C11304" s="51">
        <v>0.998</v>
      </c>
      <c r="D11304" s="51">
        <v>72.0</v>
      </c>
      <c r="E11304" s="52" t="s">
        <v>25</v>
      </c>
      <c r="F11304" s="52" t="s">
        <v>26</v>
      </c>
      <c r="G11304" s="54"/>
    </row>
    <row r="11305">
      <c r="A11305" s="49">
        <v>45139.95998936343</v>
      </c>
      <c r="B11305" s="50">
        <v>45140.0849614004</v>
      </c>
      <c r="C11305" s="51">
        <v>0.998</v>
      </c>
      <c r="D11305" s="51">
        <v>72.0</v>
      </c>
      <c r="E11305" s="52" t="s">
        <v>25</v>
      </c>
      <c r="F11305" s="52" t="s">
        <v>26</v>
      </c>
      <c r="G11305" s="54"/>
    </row>
    <row r="11306">
      <c r="A11306" s="49">
        <v>45139.97041355324</v>
      </c>
      <c r="B11306" s="50">
        <v>45140.0953843171</v>
      </c>
      <c r="C11306" s="51">
        <v>0.998</v>
      </c>
      <c r="D11306" s="51">
        <v>72.0</v>
      </c>
      <c r="E11306" s="52" t="s">
        <v>25</v>
      </c>
      <c r="F11306" s="52" t="s">
        <v>26</v>
      </c>
      <c r="G11306" s="54"/>
    </row>
    <row r="11307">
      <c r="A11307" s="49">
        <v>45139.98083635417</v>
      </c>
      <c r="B11307" s="50">
        <v>45140.1058062847</v>
      </c>
      <c r="C11307" s="51">
        <v>0.998</v>
      </c>
      <c r="D11307" s="51">
        <v>72.0</v>
      </c>
      <c r="E11307" s="52" t="s">
        <v>25</v>
      </c>
      <c r="F11307" s="52" t="s">
        <v>26</v>
      </c>
      <c r="G11307" s="54"/>
    </row>
    <row r="11308">
      <c r="A11308" s="49">
        <v>45139.99125024305</v>
      </c>
      <c r="B11308" s="50">
        <v>45140.1162260763</v>
      </c>
      <c r="C11308" s="51">
        <v>0.998</v>
      </c>
      <c r="D11308" s="51">
        <v>72.0</v>
      </c>
      <c r="E11308" s="52" t="s">
        <v>25</v>
      </c>
      <c r="F11308" s="52" t="s">
        <v>26</v>
      </c>
      <c r="G11308" s="54"/>
    </row>
    <row r="11309">
      <c r="A11309" s="49">
        <v>45140.0016721875</v>
      </c>
      <c r="B11309" s="50">
        <v>45140.1266464814</v>
      </c>
      <c r="C11309" s="51">
        <v>0.998</v>
      </c>
      <c r="D11309" s="51">
        <v>72.0</v>
      </c>
      <c r="E11309" s="52" t="s">
        <v>25</v>
      </c>
      <c r="F11309" s="52" t="s">
        <v>26</v>
      </c>
      <c r="G11309" s="54"/>
    </row>
    <row r="11310">
      <c r="A11310" s="49">
        <v>45140.012100011576</v>
      </c>
      <c r="B11310" s="50">
        <v>45140.1370672222</v>
      </c>
      <c r="C11310" s="51">
        <v>0.998</v>
      </c>
      <c r="D11310" s="51">
        <v>72.0</v>
      </c>
      <c r="E11310" s="52" t="s">
        <v>25</v>
      </c>
      <c r="F11310" s="52" t="s">
        <v>26</v>
      </c>
      <c r="G11310" s="54"/>
    </row>
    <row r="11311">
      <c r="A11311" s="49">
        <v>45140.0225178588</v>
      </c>
      <c r="B11311" s="50">
        <v>45140.1474903819</v>
      </c>
      <c r="C11311" s="51">
        <v>0.998</v>
      </c>
      <c r="D11311" s="51">
        <v>72.0</v>
      </c>
      <c r="E11311" s="52" t="s">
        <v>25</v>
      </c>
      <c r="F11311" s="52" t="s">
        <v>26</v>
      </c>
      <c r="G11311" s="54"/>
    </row>
    <row r="11312">
      <c r="A11312" s="49">
        <v>45140.03293310185</v>
      </c>
      <c r="B11312" s="50">
        <v>45140.157910625</v>
      </c>
      <c r="C11312" s="51">
        <v>0.998</v>
      </c>
      <c r="D11312" s="51">
        <v>72.0</v>
      </c>
      <c r="E11312" s="52" t="s">
        <v>25</v>
      </c>
      <c r="F11312" s="52" t="s">
        <v>26</v>
      </c>
      <c r="G11312" s="54"/>
    </row>
    <row r="11313">
      <c r="A11313" s="49">
        <v>45140.043363125005</v>
      </c>
      <c r="B11313" s="50">
        <v>45140.1683310879</v>
      </c>
      <c r="C11313" s="51">
        <v>0.998</v>
      </c>
      <c r="D11313" s="51">
        <v>72.0</v>
      </c>
      <c r="E11313" s="52" t="s">
        <v>25</v>
      </c>
      <c r="F11313" s="52" t="s">
        <v>26</v>
      </c>
      <c r="G11313" s="54"/>
    </row>
    <row r="11314">
      <c r="A11314" s="49">
        <v>45140.0537903125</v>
      </c>
      <c r="B11314" s="50">
        <v>45140.1787525926</v>
      </c>
      <c r="C11314" s="51">
        <v>0.998</v>
      </c>
      <c r="D11314" s="51">
        <v>72.0</v>
      </c>
      <c r="E11314" s="52" t="s">
        <v>25</v>
      </c>
      <c r="F11314" s="52" t="s">
        <v>26</v>
      </c>
      <c r="G11314" s="54"/>
    </row>
    <row r="11315">
      <c r="A11315" s="49">
        <v>45140.064216388884</v>
      </c>
      <c r="B11315" s="50">
        <v>45140.1891843055</v>
      </c>
      <c r="C11315" s="51">
        <v>0.998</v>
      </c>
      <c r="D11315" s="51">
        <v>72.0</v>
      </c>
      <c r="E11315" s="52" t="s">
        <v>25</v>
      </c>
      <c r="F11315" s="52" t="s">
        <v>26</v>
      </c>
      <c r="G11315" s="54"/>
    </row>
    <row r="11316">
      <c r="A11316" s="49">
        <v>45140.07464520833</v>
      </c>
      <c r="B11316" s="50">
        <v>45140.1996179976</v>
      </c>
      <c r="C11316" s="51">
        <v>0.998</v>
      </c>
      <c r="D11316" s="51">
        <v>72.0</v>
      </c>
      <c r="E11316" s="52" t="s">
        <v>25</v>
      </c>
      <c r="F11316" s="52" t="s">
        <v>26</v>
      </c>
      <c r="G11316" s="54"/>
    </row>
    <row r="11317">
      <c r="A11317" s="49">
        <v>45140.08507591435</v>
      </c>
      <c r="B11317" s="50">
        <v>45140.2100396759</v>
      </c>
      <c r="C11317" s="51">
        <v>0.998</v>
      </c>
      <c r="D11317" s="51">
        <v>72.0</v>
      </c>
      <c r="E11317" s="52" t="s">
        <v>25</v>
      </c>
      <c r="F11317" s="52" t="s">
        <v>26</v>
      </c>
      <c r="G11317" s="54"/>
    </row>
    <row r="11318">
      <c r="A11318" s="49">
        <v>45140.09550309028</v>
      </c>
      <c r="B11318" s="50">
        <v>45140.2204713425</v>
      </c>
      <c r="C11318" s="51">
        <v>0.998</v>
      </c>
      <c r="D11318" s="51">
        <v>72.0</v>
      </c>
      <c r="E11318" s="52" t="s">
        <v>25</v>
      </c>
      <c r="F11318" s="52" t="s">
        <v>26</v>
      </c>
      <c r="G11318" s="54"/>
    </row>
    <row r="11319">
      <c r="A11319" s="49">
        <v>45140.105922048606</v>
      </c>
      <c r="B11319" s="50">
        <v>45140.2308939699</v>
      </c>
      <c r="C11319" s="51">
        <v>0.998</v>
      </c>
      <c r="D11319" s="51">
        <v>72.0</v>
      </c>
      <c r="E11319" s="52" t="s">
        <v>25</v>
      </c>
      <c r="F11319" s="52" t="s">
        <v>26</v>
      </c>
      <c r="G11319" s="54"/>
    </row>
    <row r="11320">
      <c r="A11320" s="49">
        <v>45140.116348553245</v>
      </c>
      <c r="B11320" s="50">
        <v>45140.2413153703</v>
      </c>
      <c r="C11320" s="51">
        <v>0.998</v>
      </c>
      <c r="D11320" s="51">
        <v>72.0</v>
      </c>
      <c r="E11320" s="52" t="s">
        <v>25</v>
      </c>
      <c r="F11320" s="52" t="s">
        <v>26</v>
      </c>
      <c r="G11320" s="54"/>
    </row>
    <row r="11321">
      <c r="A11321" s="49">
        <v>45140.12677030092</v>
      </c>
      <c r="B11321" s="50">
        <v>45140.2517367939</v>
      </c>
      <c r="C11321" s="51">
        <v>0.998</v>
      </c>
      <c r="D11321" s="51">
        <v>72.0</v>
      </c>
      <c r="E11321" s="52" t="s">
        <v>25</v>
      </c>
      <c r="F11321" s="52" t="s">
        <v>26</v>
      </c>
      <c r="G11321" s="54"/>
    </row>
    <row r="11322">
      <c r="A11322" s="49">
        <v>45140.137198067125</v>
      </c>
      <c r="B11322" s="50">
        <v>45140.262169375</v>
      </c>
      <c r="C11322" s="51">
        <v>0.998</v>
      </c>
      <c r="D11322" s="51">
        <v>72.0</v>
      </c>
      <c r="E11322" s="52" t="s">
        <v>25</v>
      </c>
      <c r="F11322" s="52" t="s">
        <v>26</v>
      </c>
      <c r="G11322" s="54"/>
    </row>
    <row r="11323">
      <c r="A11323" s="49">
        <v>45140.147621145836</v>
      </c>
      <c r="B11323" s="50">
        <v>45140.2725905787</v>
      </c>
      <c r="C11323" s="51">
        <v>0.998</v>
      </c>
      <c r="D11323" s="51">
        <v>72.0</v>
      </c>
      <c r="E11323" s="52" t="s">
        <v>25</v>
      </c>
      <c r="F11323" s="52" t="s">
        <v>26</v>
      </c>
      <c r="G11323" s="54"/>
    </row>
    <row r="11324">
      <c r="A11324" s="49">
        <v>45140.15804393518</v>
      </c>
      <c r="B11324" s="50">
        <v>45140.2830120949</v>
      </c>
      <c r="C11324" s="51">
        <v>0.998</v>
      </c>
      <c r="D11324" s="51">
        <v>72.0</v>
      </c>
      <c r="E11324" s="52" t="s">
        <v>25</v>
      </c>
      <c r="F11324" s="52" t="s">
        <v>26</v>
      </c>
      <c r="G11324" s="54"/>
    </row>
    <row r="11325">
      <c r="A11325" s="49">
        <v>45140.16845744213</v>
      </c>
      <c r="B11325" s="50">
        <v>45140.2934331134</v>
      </c>
      <c r="C11325" s="51">
        <v>0.998</v>
      </c>
      <c r="D11325" s="51">
        <v>72.0</v>
      </c>
      <c r="E11325" s="52" t="s">
        <v>25</v>
      </c>
      <c r="F11325" s="52" t="s">
        <v>26</v>
      </c>
      <c r="G11325" s="54"/>
    </row>
    <row r="11326">
      <c r="A11326" s="49">
        <v>45140.17890824074</v>
      </c>
      <c r="B11326" s="50">
        <v>45140.3038770717</v>
      </c>
      <c r="C11326" s="51">
        <v>0.998</v>
      </c>
      <c r="D11326" s="51">
        <v>72.0</v>
      </c>
      <c r="E11326" s="52" t="s">
        <v>25</v>
      </c>
      <c r="F11326" s="52" t="s">
        <v>26</v>
      </c>
      <c r="G11326" s="54"/>
    </row>
    <row r="11327">
      <c r="A11327" s="49">
        <v>45140.18932957176</v>
      </c>
      <c r="B11327" s="50">
        <v>45140.3142987615</v>
      </c>
      <c r="C11327" s="51">
        <v>0.999</v>
      </c>
      <c r="D11327" s="51">
        <v>72.0</v>
      </c>
      <c r="E11327" s="52" t="s">
        <v>25</v>
      </c>
      <c r="F11327" s="52" t="s">
        <v>26</v>
      </c>
      <c r="G11327" s="54"/>
    </row>
    <row r="11328">
      <c r="A11328" s="49">
        <v>45140.19976106481</v>
      </c>
      <c r="B11328" s="50">
        <v>45140.3247317245</v>
      </c>
      <c r="C11328" s="51">
        <v>0.998</v>
      </c>
      <c r="D11328" s="51">
        <v>72.0</v>
      </c>
      <c r="E11328" s="52" t="s">
        <v>25</v>
      </c>
      <c r="F11328" s="52" t="s">
        <v>26</v>
      </c>
      <c r="G11328" s="54"/>
    </row>
    <row r="11329">
      <c r="A11329" s="49">
        <v>45140.21019380787</v>
      </c>
      <c r="B11329" s="50">
        <v>45140.3351641203</v>
      </c>
      <c r="C11329" s="51">
        <v>0.998</v>
      </c>
      <c r="D11329" s="51">
        <v>72.0</v>
      </c>
      <c r="E11329" s="52" t="s">
        <v>25</v>
      </c>
      <c r="F11329" s="52" t="s">
        <v>26</v>
      </c>
      <c r="G11329" s="54"/>
    </row>
    <row r="11330">
      <c r="A11330" s="49">
        <v>45140.220616018516</v>
      </c>
      <c r="B11330" s="50">
        <v>45140.3455854513</v>
      </c>
      <c r="C11330" s="51">
        <v>0.998</v>
      </c>
      <c r="D11330" s="51">
        <v>72.0</v>
      </c>
      <c r="E11330" s="52" t="s">
        <v>25</v>
      </c>
      <c r="F11330" s="52" t="s">
        <v>26</v>
      </c>
      <c r="G11330" s="54"/>
    </row>
    <row r="11331">
      <c r="A11331" s="49">
        <v>45140.231038136575</v>
      </c>
      <c r="B11331" s="50">
        <v>45140.3560061574</v>
      </c>
      <c r="C11331" s="51">
        <v>0.998</v>
      </c>
      <c r="D11331" s="51">
        <v>72.0</v>
      </c>
      <c r="E11331" s="52" t="s">
        <v>25</v>
      </c>
      <c r="F11331" s="52" t="s">
        <v>26</v>
      </c>
      <c r="G11331" s="54"/>
    </row>
    <row r="11332">
      <c r="A11332" s="49">
        <v>45140.24146318287</v>
      </c>
      <c r="B11332" s="50">
        <v>45140.3664274189</v>
      </c>
      <c r="C11332" s="51">
        <v>0.998</v>
      </c>
      <c r="D11332" s="51">
        <v>72.0</v>
      </c>
      <c r="E11332" s="52" t="s">
        <v>25</v>
      </c>
      <c r="F11332" s="52" t="s">
        <v>26</v>
      </c>
      <c r="G11332" s="54"/>
    </row>
    <row r="11333">
      <c r="A11333" s="49">
        <v>45140.25188177083</v>
      </c>
      <c r="B11333" s="50">
        <v>45140.3768476736</v>
      </c>
      <c r="C11333" s="51">
        <v>0.998</v>
      </c>
      <c r="D11333" s="51">
        <v>72.0</v>
      </c>
      <c r="E11333" s="52" t="s">
        <v>25</v>
      </c>
      <c r="F11333" s="52" t="s">
        <v>26</v>
      </c>
      <c r="G11333" s="54"/>
    </row>
    <row r="11334">
      <c r="A11334" s="49">
        <v>45140.26232299769</v>
      </c>
      <c r="B11334" s="50">
        <v>45140.3872815277</v>
      </c>
      <c r="C11334" s="51">
        <v>0.998</v>
      </c>
      <c r="D11334" s="51">
        <v>72.0</v>
      </c>
      <c r="E11334" s="52" t="s">
        <v>25</v>
      </c>
      <c r="F11334" s="52" t="s">
        <v>26</v>
      </c>
      <c r="G11334" s="54"/>
    </row>
    <row r="11335">
      <c r="A11335" s="49">
        <v>45140.27273618056</v>
      </c>
      <c r="B11335" s="50">
        <v>45140.3977016435</v>
      </c>
      <c r="C11335" s="51">
        <v>0.998</v>
      </c>
      <c r="D11335" s="51">
        <v>72.0</v>
      </c>
      <c r="E11335" s="52" t="s">
        <v>25</v>
      </c>
      <c r="F11335" s="52" t="s">
        <v>26</v>
      </c>
      <c r="G11335" s="54"/>
    </row>
    <row r="11336">
      <c r="A11336" s="49">
        <v>45140.28314584491</v>
      </c>
      <c r="B11336" s="50">
        <v>45140.4081220486</v>
      </c>
      <c r="C11336" s="51">
        <v>0.998</v>
      </c>
      <c r="D11336" s="51">
        <v>72.0</v>
      </c>
      <c r="E11336" s="52" t="s">
        <v>25</v>
      </c>
      <c r="F11336" s="52" t="s">
        <v>26</v>
      </c>
      <c r="G11336" s="54"/>
    </row>
    <row r="11337">
      <c r="A11337" s="49">
        <v>45140.29356694444</v>
      </c>
      <c r="B11337" s="50">
        <v>45140.4185429861</v>
      </c>
      <c r="C11337" s="51">
        <v>0.998</v>
      </c>
      <c r="D11337" s="51">
        <v>72.0</v>
      </c>
      <c r="E11337" s="52" t="s">
        <v>25</v>
      </c>
      <c r="F11337" s="52" t="s">
        <v>26</v>
      </c>
      <c r="G11337" s="54"/>
    </row>
    <row r="11338">
      <c r="A11338" s="49">
        <v>45140.303998981486</v>
      </c>
      <c r="B11338" s="50">
        <v>45140.4289755439</v>
      </c>
      <c r="C11338" s="51">
        <v>0.998</v>
      </c>
      <c r="D11338" s="51">
        <v>72.0</v>
      </c>
      <c r="E11338" s="52" t="s">
        <v>25</v>
      </c>
      <c r="F11338" s="52" t="s">
        <v>26</v>
      </c>
      <c r="G11338" s="54"/>
    </row>
    <row r="11339">
      <c r="A11339" s="49">
        <v>45140.31441989583</v>
      </c>
      <c r="B11339" s="50">
        <v>45140.4393992245</v>
      </c>
      <c r="C11339" s="51">
        <v>0.998</v>
      </c>
      <c r="D11339" s="51">
        <v>72.0</v>
      </c>
      <c r="E11339" s="52" t="s">
        <v>25</v>
      </c>
      <c r="F11339" s="52" t="s">
        <v>26</v>
      </c>
      <c r="G11339" s="54"/>
    </row>
    <row r="11340">
      <c r="A11340" s="49">
        <v>45140.32484569444</v>
      </c>
      <c r="B11340" s="50">
        <v>45140.4498208796</v>
      </c>
      <c r="C11340" s="51">
        <v>0.998</v>
      </c>
      <c r="D11340" s="51">
        <v>72.0</v>
      </c>
      <c r="E11340" s="52" t="s">
        <v>25</v>
      </c>
      <c r="F11340" s="52" t="s">
        <v>26</v>
      </c>
      <c r="G11340" s="54"/>
    </row>
    <row r="11341">
      <c r="A11341" s="49">
        <v>45140.33527523148</v>
      </c>
      <c r="B11341" s="50">
        <v>45140.4602421412</v>
      </c>
      <c r="C11341" s="51">
        <v>0.998</v>
      </c>
      <c r="D11341" s="51">
        <v>72.0</v>
      </c>
      <c r="E11341" s="52" t="s">
        <v>25</v>
      </c>
      <c r="F11341" s="52" t="s">
        <v>26</v>
      </c>
      <c r="G11341" s="54"/>
    </row>
    <row r="11342">
      <c r="A11342" s="49">
        <v>45140.345685162036</v>
      </c>
      <c r="B11342" s="50">
        <v>45140.4706620717</v>
      </c>
      <c r="C11342" s="51">
        <v>0.998</v>
      </c>
      <c r="D11342" s="51">
        <v>72.0</v>
      </c>
      <c r="E11342" s="52" t="s">
        <v>25</v>
      </c>
      <c r="F11342" s="52" t="s">
        <v>26</v>
      </c>
      <c r="G11342" s="54"/>
    </row>
    <row r="11343">
      <c r="A11343" s="49">
        <v>45140.35611114583</v>
      </c>
      <c r="B11343" s="50">
        <v>45140.4810834722</v>
      </c>
      <c r="C11343" s="51">
        <v>0.998</v>
      </c>
      <c r="D11343" s="51">
        <v>72.0</v>
      </c>
      <c r="E11343" s="52" t="s">
        <v>25</v>
      </c>
      <c r="F11343" s="52" t="s">
        <v>26</v>
      </c>
      <c r="G11343" s="54"/>
    </row>
    <row r="11344">
      <c r="A11344" s="49">
        <v>45140.366534166664</v>
      </c>
      <c r="B11344" s="50">
        <v>45140.4915059838</v>
      </c>
      <c r="C11344" s="51">
        <v>0.998</v>
      </c>
      <c r="D11344" s="51">
        <v>72.0</v>
      </c>
      <c r="E11344" s="52" t="s">
        <v>25</v>
      </c>
      <c r="F11344" s="52" t="s">
        <v>26</v>
      </c>
      <c r="G11344" s="54"/>
    </row>
    <row r="11345">
      <c r="A11345" s="49">
        <v>45140.376974432875</v>
      </c>
      <c r="B11345" s="50">
        <v>45140.5019385532</v>
      </c>
      <c r="C11345" s="51">
        <v>0.998</v>
      </c>
      <c r="D11345" s="51">
        <v>72.0</v>
      </c>
      <c r="E11345" s="52" t="s">
        <v>25</v>
      </c>
      <c r="F11345" s="52" t="s">
        <v>26</v>
      </c>
      <c r="G11345" s="54"/>
    </row>
    <row r="11346">
      <c r="A11346" s="49">
        <v>45140.38740155092</v>
      </c>
      <c r="B11346" s="50">
        <v>45140.5123702777</v>
      </c>
      <c r="C11346" s="51">
        <v>0.998</v>
      </c>
      <c r="D11346" s="51">
        <v>72.0</v>
      </c>
      <c r="E11346" s="52" t="s">
        <v>25</v>
      </c>
      <c r="F11346" s="52" t="s">
        <v>26</v>
      </c>
      <c r="G11346" s="54"/>
    </row>
    <row r="11347">
      <c r="A11347" s="49">
        <v>45140.39783287037</v>
      </c>
      <c r="B11347" s="50">
        <v>45140.5228024768</v>
      </c>
      <c r="C11347" s="51">
        <v>0.998</v>
      </c>
      <c r="D11347" s="51">
        <v>72.0</v>
      </c>
      <c r="E11347" s="52" t="s">
        <v>25</v>
      </c>
      <c r="F11347" s="52" t="s">
        <v>26</v>
      </c>
      <c r="G11347" s="54"/>
    </row>
    <row r="11348">
      <c r="A11348" s="49">
        <v>45140.4082578588</v>
      </c>
      <c r="B11348" s="50">
        <v>45140.5332221296</v>
      </c>
      <c r="C11348" s="51">
        <v>0.998</v>
      </c>
      <c r="D11348" s="51">
        <v>72.0</v>
      </c>
      <c r="E11348" s="52" t="s">
        <v>25</v>
      </c>
      <c r="F11348" s="52" t="s">
        <v>26</v>
      </c>
      <c r="G11348" s="54"/>
    </row>
    <row r="11349">
      <c r="A11349" s="49">
        <v>45140.41866837963</v>
      </c>
      <c r="B11349" s="50">
        <v>45140.5436435879</v>
      </c>
      <c r="C11349" s="51">
        <v>0.998</v>
      </c>
      <c r="D11349" s="51">
        <v>72.0</v>
      </c>
      <c r="E11349" s="52" t="s">
        <v>25</v>
      </c>
      <c r="F11349" s="52" t="s">
        <v>26</v>
      </c>
      <c r="G11349" s="54"/>
    </row>
    <row r="11350">
      <c r="A11350" s="49">
        <v>45140.42910915509</v>
      </c>
      <c r="B11350" s="50">
        <v>45140.5540763425</v>
      </c>
      <c r="C11350" s="51">
        <v>0.998</v>
      </c>
      <c r="D11350" s="51">
        <v>72.0</v>
      </c>
      <c r="E11350" s="52" t="s">
        <v>25</v>
      </c>
      <c r="F11350" s="52" t="s">
        <v>26</v>
      </c>
      <c r="G11350" s="54"/>
    </row>
    <row r="11351">
      <c r="A11351" s="49">
        <v>45140.43952663195</v>
      </c>
      <c r="B11351" s="50">
        <v>45140.5644992824</v>
      </c>
      <c r="C11351" s="51">
        <v>0.998</v>
      </c>
      <c r="D11351" s="51">
        <v>72.0</v>
      </c>
      <c r="E11351" s="52" t="s">
        <v>25</v>
      </c>
      <c r="F11351" s="52" t="s">
        <v>26</v>
      </c>
      <c r="G11351" s="54"/>
    </row>
    <row r="11352">
      <c r="A11352" s="49">
        <v>45140.44994803241</v>
      </c>
      <c r="B11352" s="50">
        <v>45140.5749202662</v>
      </c>
      <c r="C11352" s="51">
        <v>0.998</v>
      </c>
      <c r="D11352" s="51">
        <v>72.0</v>
      </c>
      <c r="E11352" s="52" t="s">
        <v>25</v>
      </c>
      <c r="F11352" s="52" t="s">
        <v>26</v>
      </c>
      <c r="G11352" s="54"/>
    </row>
    <row r="11353">
      <c r="A11353" s="49">
        <v>45140.46037357639</v>
      </c>
      <c r="B11353" s="50">
        <v>45140.5853404282</v>
      </c>
      <c r="C11353" s="51">
        <v>0.998</v>
      </c>
      <c r="D11353" s="51">
        <v>72.0</v>
      </c>
      <c r="E11353" s="52" t="s">
        <v>25</v>
      </c>
      <c r="F11353" s="52" t="s">
        <v>26</v>
      </c>
      <c r="G11353" s="54"/>
    </row>
    <row r="11354">
      <c r="A11354" s="49">
        <v>45140.4707906713</v>
      </c>
      <c r="B11354" s="50">
        <v>45140.5957606828</v>
      </c>
      <c r="C11354" s="51">
        <v>0.998</v>
      </c>
      <c r="D11354" s="51">
        <v>72.0</v>
      </c>
      <c r="E11354" s="52" t="s">
        <v>25</v>
      </c>
      <c r="F11354" s="52" t="s">
        <v>26</v>
      </c>
      <c r="G11354" s="54"/>
    </row>
    <row r="11355">
      <c r="A11355" s="49">
        <v>45140.48120703704</v>
      </c>
      <c r="B11355" s="50">
        <v>45140.606181331</v>
      </c>
      <c r="C11355" s="51">
        <v>0.998</v>
      </c>
      <c r="D11355" s="51">
        <v>72.0</v>
      </c>
      <c r="E11355" s="52" t="s">
        <v>25</v>
      </c>
      <c r="F11355" s="52" t="s">
        <v>26</v>
      </c>
      <c r="G11355" s="54"/>
    </row>
    <row r="11356">
      <c r="A11356" s="49">
        <v>45140.49163280093</v>
      </c>
      <c r="B11356" s="50">
        <v>45140.6166039351</v>
      </c>
      <c r="C11356" s="51">
        <v>0.998</v>
      </c>
      <c r="D11356" s="51">
        <v>72.0</v>
      </c>
      <c r="E11356" s="52" t="s">
        <v>25</v>
      </c>
      <c r="F11356" s="52" t="s">
        <v>26</v>
      </c>
      <c r="G11356" s="54"/>
    </row>
    <row r="11357">
      <c r="A11357" s="49">
        <v>45140.50207096065</v>
      </c>
      <c r="B11357" s="50">
        <v>45140.6270382175</v>
      </c>
      <c r="C11357" s="51">
        <v>0.999</v>
      </c>
      <c r="D11357" s="51">
        <v>72.0</v>
      </c>
      <c r="E11357" s="52" t="s">
        <v>25</v>
      </c>
      <c r="F11357" s="52" t="s">
        <v>26</v>
      </c>
      <c r="G11357" s="54"/>
    </row>
    <row r="11358">
      <c r="A11358" s="49">
        <v>45140.51248870371</v>
      </c>
      <c r="B11358" s="50">
        <v>45140.6374611574</v>
      </c>
      <c r="C11358" s="51">
        <v>0.998</v>
      </c>
      <c r="D11358" s="51">
        <v>72.0</v>
      </c>
      <c r="E11358" s="52" t="s">
        <v>25</v>
      </c>
      <c r="F11358" s="52" t="s">
        <v>26</v>
      </c>
      <c r="G11358" s="54"/>
    </row>
    <row r="11359">
      <c r="A11359" s="49">
        <v>45140.522924641205</v>
      </c>
      <c r="B11359" s="50">
        <v>45140.6478812268</v>
      </c>
      <c r="C11359" s="51">
        <v>0.998</v>
      </c>
      <c r="D11359" s="51">
        <v>72.0</v>
      </c>
      <c r="E11359" s="52" t="s">
        <v>25</v>
      </c>
      <c r="F11359" s="52" t="s">
        <v>26</v>
      </c>
      <c r="G11359" s="54"/>
    </row>
    <row r="11360">
      <c r="A11360" s="49">
        <v>45140.53333199074</v>
      </c>
      <c r="B11360" s="50">
        <v>45140.6583018055</v>
      </c>
      <c r="C11360" s="51">
        <v>0.999</v>
      </c>
      <c r="D11360" s="51">
        <v>72.0</v>
      </c>
      <c r="E11360" s="52" t="s">
        <v>25</v>
      </c>
      <c r="F11360" s="52" t="s">
        <v>26</v>
      </c>
      <c r="G11360" s="54"/>
    </row>
    <row r="11361">
      <c r="A11361" s="49">
        <v>45140.54375229166</v>
      </c>
      <c r="B11361" s="50">
        <v>45140.6687223611</v>
      </c>
      <c r="C11361" s="51">
        <v>0.998</v>
      </c>
      <c r="D11361" s="51">
        <v>72.0</v>
      </c>
      <c r="E11361" s="52" t="s">
        <v>25</v>
      </c>
      <c r="F11361" s="52" t="s">
        <v>26</v>
      </c>
      <c r="G11361" s="54"/>
    </row>
    <row r="11362">
      <c r="A11362" s="49">
        <v>45140.55417502315</v>
      </c>
      <c r="B11362" s="50">
        <v>45140.679142743</v>
      </c>
      <c r="C11362" s="51">
        <v>0.998</v>
      </c>
      <c r="D11362" s="51">
        <v>72.0</v>
      </c>
      <c r="E11362" s="52" t="s">
        <v>25</v>
      </c>
      <c r="F11362" s="52" t="s">
        <v>26</v>
      </c>
      <c r="G11362" s="54"/>
    </row>
    <row r="11363">
      <c r="A11363" s="49">
        <v>45140.56460556713</v>
      </c>
      <c r="B11363" s="50">
        <v>45140.6895618981</v>
      </c>
      <c r="C11363" s="51">
        <v>0.998</v>
      </c>
      <c r="D11363" s="51">
        <v>72.0</v>
      </c>
      <c r="E11363" s="52" t="s">
        <v>25</v>
      </c>
      <c r="F11363" s="52" t="s">
        <v>26</v>
      </c>
      <c r="G11363" s="54"/>
    </row>
    <row r="11364">
      <c r="A11364" s="49">
        <v>45140.57502284722</v>
      </c>
      <c r="B11364" s="50">
        <v>45140.6999942824</v>
      </c>
      <c r="C11364" s="51">
        <v>0.998</v>
      </c>
      <c r="D11364" s="51">
        <v>72.0</v>
      </c>
      <c r="E11364" s="52" t="s">
        <v>25</v>
      </c>
      <c r="F11364" s="52" t="s">
        <v>26</v>
      </c>
      <c r="G11364" s="54"/>
    </row>
    <row r="11365">
      <c r="A11365" s="49">
        <v>45140.58544466435</v>
      </c>
      <c r="B11365" s="50">
        <v>45140.7104156018</v>
      </c>
      <c r="C11365" s="51">
        <v>0.998</v>
      </c>
      <c r="D11365" s="51">
        <v>72.0</v>
      </c>
      <c r="E11365" s="52" t="s">
        <v>25</v>
      </c>
      <c r="F11365" s="52" t="s">
        <v>26</v>
      </c>
      <c r="G11365" s="54"/>
    </row>
    <row r="11366">
      <c r="A11366" s="49">
        <v>45140.595872129634</v>
      </c>
      <c r="B11366" s="50">
        <v>45140.7208360995</v>
      </c>
      <c r="C11366" s="51">
        <v>0.998</v>
      </c>
      <c r="D11366" s="51">
        <v>72.0</v>
      </c>
      <c r="E11366" s="52" t="s">
        <v>25</v>
      </c>
      <c r="F11366" s="52" t="s">
        <v>26</v>
      </c>
      <c r="G11366" s="54"/>
    </row>
    <row r="11367">
      <c r="A11367" s="49">
        <v>45140.60628148148</v>
      </c>
      <c r="B11367" s="50">
        <v>45140.7312588773</v>
      </c>
      <c r="C11367" s="51">
        <v>0.998</v>
      </c>
      <c r="D11367" s="51">
        <v>72.0</v>
      </c>
      <c r="E11367" s="52" t="s">
        <v>25</v>
      </c>
      <c r="F11367" s="52" t="s">
        <v>26</v>
      </c>
      <c r="G11367" s="54"/>
    </row>
    <row r="11368">
      <c r="A11368" s="49">
        <v>45140.61671765047</v>
      </c>
      <c r="B11368" s="50">
        <v>45140.7416911805</v>
      </c>
      <c r="C11368" s="51">
        <v>0.998</v>
      </c>
      <c r="D11368" s="51">
        <v>72.0</v>
      </c>
      <c r="E11368" s="52" t="s">
        <v>25</v>
      </c>
      <c r="F11368" s="52" t="s">
        <v>26</v>
      </c>
      <c r="G11368" s="54"/>
    </row>
    <row r="11369">
      <c r="A11369" s="49">
        <v>45140.62713915509</v>
      </c>
      <c r="B11369" s="50">
        <v>45140.7521106018</v>
      </c>
      <c r="C11369" s="51">
        <v>0.998</v>
      </c>
      <c r="D11369" s="51">
        <v>72.0</v>
      </c>
      <c r="E11369" s="52" t="s">
        <v>25</v>
      </c>
      <c r="F11369" s="52" t="s">
        <v>26</v>
      </c>
      <c r="G11369" s="54"/>
    </row>
    <row r="11370">
      <c r="A11370" s="49">
        <v>45140.637563564815</v>
      </c>
      <c r="B11370" s="50">
        <v>45140.7625322338</v>
      </c>
      <c r="C11370" s="51">
        <v>0.998</v>
      </c>
      <c r="D11370" s="51">
        <v>72.0</v>
      </c>
      <c r="E11370" s="52" t="s">
        <v>25</v>
      </c>
      <c r="F11370" s="52" t="s">
        <v>26</v>
      </c>
      <c r="G11370" s="54"/>
    </row>
    <row r="11371">
      <c r="A11371" s="49">
        <v>45140.64797554398</v>
      </c>
      <c r="B11371" s="50">
        <v>45140.7729533217</v>
      </c>
      <c r="C11371" s="51">
        <v>0.998</v>
      </c>
      <c r="D11371" s="51">
        <v>72.0</v>
      </c>
      <c r="E11371" s="52" t="s">
        <v>25</v>
      </c>
      <c r="F11371" s="52" t="s">
        <v>26</v>
      </c>
      <c r="G11371" s="54"/>
    </row>
    <row r="11372">
      <c r="A11372" s="49">
        <v>45140.65840061342</v>
      </c>
      <c r="B11372" s="50">
        <v>45140.7833748495</v>
      </c>
      <c r="C11372" s="51">
        <v>0.998</v>
      </c>
      <c r="D11372" s="51">
        <v>72.0</v>
      </c>
      <c r="E11372" s="52" t="s">
        <v>25</v>
      </c>
      <c r="F11372" s="52" t="s">
        <v>26</v>
      </c>
      <c r="G11372" s="54"/>
    </row>
    <row r="11373">
      <c r="A11373" s="49">
        <v>45140.668836377314</v>
      </c>
      <c r="B11373" s="50">
        <v>45140.7938081713</v>
      </c>
      <c r="C11373" s="51">
        <v>0.998</v>
      </c>
      <c r="D11373" s="51">
        <v>72.0</v>
      </c>
      <c r="E11373" s="52" t="s">
        <v>25</v>
      </c>
      <c r="F11373" s="52" t="s">
        <v>26</v>
      </c>
      <c r="G11373" s="54"/>
    </row>
    <row r="11374">
      <c r="A11374" s="49">
        <v>45140.679250625</v>
      </c>
      <c r="B11374" s="50">
        <v>45140.8042288773</v>
      </c>
      <c r="C11374" s="51">
        <v>0.998</v>
      </c>
      <c r="D11374" s="51">
        <v>72.0</v>
      </c>
      <c r="E11374" s="52" t="s">
        <v>25</v>
      </c>
      <c r="F11374" s="52" t="s">
        <v>26</v>
      </c>
      <c r="G11374" s="54"/>
    </row>
    <row r="11375">
      <c r="A11375" s="49">
        <v>45140.689688032406</v>
      </c>
      <c r="B11375" s="50">
        <v>45140.8146520486</v>
      </c>
      <c r="C11375" s="51">
        <v>0.998</v>
      </c>
      <c r="D11375" s="51">
        <v>72.0</v>
      </c>
      <c r="E11375" s="52" t="s">
        <v>25</v>
      </c>
      <c r="F11375" s="52" t="s">
        <v>26</v>
      </c>
      <c r="G11375" s="54"/>
    </row>
    <row r="11376">
      <c r="A11376" s="49">
        <v>45140.70010793982</v>
      </c>
      <c r="B11376" s="50">
        <v>45140.8250748032</v>
      </c>
      <c r="C11376" s="51">
        <v>0.998</v>
      </c>
      <c r="D11376" s="51">
        <v>72.0</v>
      </c>
      <c r="E11376" s="52" t="s">
        <v>25</v>
      </c>
      <c r="F11376" s="52" t="s">
        <v>26</v>
      </c>
      <c r="G11376" s="54"/>
    </row>
    <row r="11377">
      <c r="A11377" s="49">
        <v>45140.71052695602</v>
      </c>
      <c r="B11377" s="50">
        <v>45140.8354947222</v>
      </c>
      <c r="C11377" s="51">
        <v>0.998</v>
      </c>
      <c r="D11377" s="51">
        <v>72.0</v>
      </c>
      <c r="E11377" s="52" t="s">
        <v>25</v>
      </c>
      <c r="F11377" s="52" t="s">
        <v>26</v>
      </c>
      <c r="G11377" s="54"/>
    </row>
    <row r="11378">
      <c r="A11378" s="49">
        <v>45140.72097328704</v>
      </c>
      <c r="B11378" s="50">
        <v>45140.8459379051</v>
      </c>
      <c r="C11378" s="51">
        <v>0.998</v>
      </c>
      <c r="D11378" s="51">
        <v>72.0</v>
      </c>
      <c r="E11378" s="52" t="s">
        <v>25</v>
      </c>
      <c r="F11378" s="52" t="s">
        <v>26</v>
      </c>
      <c r="G11378" s="54"/>
    </row>
    <row r="11379">
      <c r="A11379" s="49">
        <v>45140.73138936343</v>
      </c>
      <c r="B11379" s="50">
        <v>45140.8563596412</v>
      </c>
      <c r="C11379" s="51">
        <v>0.998</v>
      </c>
      <c r="D11379" s="51">
        <v>72.0</v>
      </c>
      <c r="E11379" s="52" t="s">
        <v>25</v>
      </c>
      <c r="F11379" s="52" t="s">
        <v>26</v>
      </c>
      <c r="G11379" s="54"/>
    </row>
    <row r="11380">
      <c r="A11380" s="49">
        <v>45140.741800104166</v>
      </c>
      <c r="B11380" s="50">
        <v>45140.8667784953</v>
      </c>
      <c r="C11380" s="51">
        <v>0.998</v>
      </c>
      <c r="D11380" s="51">
        <v>72.0</v>
      </c>
      <c r="E11380" s="52" t="s">
        <v>25</v>
      </c>
      <c r="F11380" s="52" t="s">
        <v>26</v>
      </c>
      <c r="G11380" s="54"/>
    </row>
    <row r="11381">
      <c r="A11381" s="49">
        <v>45140.75222790509</v>
      </c>
      <c r="B11381" s="50">
        <v>45140.8771996064</v>
      </c>
      <c r="C11381" s="51">
        <v>0.998</v>
      </c>
      <c r="D11381" s="51">
        <v>72.0</v>
      </c>
      <c r="E11381" s="52" t="s">
        <v>25</v>
      </c>
      <c r="F11381" s="52" t="s">
        <v>26</v>
      </c>
      <c r="G11381" s="54"/>
    </row>
    <row r="11382">
      <c r="A11382" s="49">
        <v>45140.76264164352</v>
      </c>
      <c r="B11382" s="50">
        <v>45140.8876212037</v>
      </c>
      <c r="C11382" s="51">
        <v>0.998</v>
      </c>
      <c r="D11382" s="51">
        <v>72.0</v>
      </c>
      <c r="E11382" s="52" t="s">
        <v>25</v>
      </c>
      <c r="F11382" s="52" t="s">
        <v>26</v>
      </c>
      <c r="G11382" s="54"/>
    </row>
    <row r="11383">
      <c r="A11383" s="49">
        <v>45140.77307761574</v>
      </c>
      <c r="B11383" s="50">
        <v>45140.8980423495</v>
      </c>
      <c r="C11383" s="51">
        <v>0.998</v>
      </c>
      <c r="D11383" s="51">
        <v>72.0</v>
      </c>
      <c r="E11383" s="52" t="s">
        <v>25</v>
      </c>
      <c r="F11383" s="52" t="s">
        <v>26</v>
      </c>
      <c r="G11383" s="54"/>
    </row>
    <row r="11384">
      <c r="A11384" s="49">
        <v>45140.783490092595</v>
      </c>
      <c r="B11384" s="50">
        <v>45140.9084636921</v>
      </c>
      <c r="C11384" s="51">
        <v>0.998</v>
      </c>
      <c r="D11384" s="51">
        <v>72.0</v>
      </c>
      <c r="E11384" s="52" t="s">
        <v>25</v>
      </c>
      <c r="F11384" s="52" t="s">
        <v>26</v>
      </c>
      <c r="G11384" s="54"/>
    </row>
    <row r="11385">
      <c r="A11385" s="49">
        <v>45140.793906493054</v>
      </c>
      <c r="B11385" s="50">
        <v>45140.9188855208</v>
      </c>
      <c r="C11385" s="51">
        <v>0.998</v>
      </c>
      <c r="D11385" s="51">
        <v>72.0</v>
      </c>
      <c r="E11385" s="52" t="s">
        <v>25</v>
      </c>
      <c r="F11385" s="52" t="s">
        <v>26</v>
      </c>
      <c r="G11385" s="54"/>
    </row>
    <row r="11386">
      <c r="A11386" s="49">
        <v>45140.804347557874</v>
      </c>
      <c r="B11386" s="50">
        <v>45140.9293067824</v>
      </c>
      <c r="C11386" s="51">
        <v>0.998</v>
      </c>
      <c r="D11386" s="51">
        <v>72.0</v>
      </c>
      <c r="E11386" s="52" t="s">
        <v>25</v>
      </c>
      <c r="F11386" s="52" t="s">
        <v>26</v>
      </c>
      <c r="G11386" s="54"/>
    </row>
    <row r="11387">
      <c r="A11387" s="49">
        <v>45140.81475651621</v>
      </c>
      <c r="B11387" s="50">
        <v>45140.9397290162</v>
      </c>
      <c r="C11387" s="51">
        <v>0.998</v>
      </c>
      <c r="D11387" s="51">
        <v>72.0</v>
      </c>
      <c r="E11387" s="52" t="s">
        <v>25</v>
      </c>
      <c r="F11387" s="52" t="s">
        <v>26</v>
      </c>
      <c r="G11387" s="54"/>
    </row>
    <row r="11388">
      <c r="A11388" s="49">
        <v>45140.825180266205</v>
      </c>
      <c r="B11388" s="50">
        <v>45140.9501507523</v>
      </c>
      <c r="C11388" s="51">
        <v>0.998</v>
      </c>
      <c r="D11388" s="51">
        <v>72.0</v>
      </c>
      <c r="E11388" s="52" t="s">
        <v>25</v>
      </c>
      <c r="F11388" s="52" t="s">
        <v>26</v>
      </c>
      <c r="G11388" s="54"/>
    </row>
    <row r="11389">
      <c r="A11389" s="49">
        <v>45140.83561167824</v>
      </c>
      <c r="B11389" s="50">
        <v>45140.9605842592</v>
      </c>
      <c r="C11389" s="51">
        <v>0.998</v>
      </c>
      <c r="D11389" s="51">
        <v>72.0</v>
      </c>
      <c r="E11389" s="52" t="s">
        <v>25</v>
      </c>
      <c r="F11389" s="52" t="s">
        <v>26</v>
      </c>
      <c r="G11389" s="54"/>
    </row>
    <row r="11390">
      <c r="A11390" s="49">
        <v>45140.846032939815</v>
      </c>
      <c r="B11390" s="50">
        <v>45140.9710054166</v>
      </c>
      <c r="C11390" s="51">
        <v>0.998</v>
      </c>
      <c r="D11390" s="51">
        <v>72.0</v>
      </c>
      <c r="E11390" s="52" t="s">
        <v>25</v>
      </c>
      <c r="F11390" s="52" t="s">
        <v>26</v>
      </c>
      <c r="G11390" s="54"/>
    </row>
    <row r="11391">
      <c r="A11391" s="49">
        <v>45140.85645274306</v>
      </c>
      <c r="B11391" s="50">
        <v>45140.981425706</v>
      </c>
      <c r="C11391" s="51">
        <v>0.998</v>
      </c>
      <c r="D11391" s="51">
        <v>72.0</v>
      </c>
      <c r="E11391" s="52" t="s">
        <v>25</v>
      </c>
      <c r="F11391" s="52" t="s">
        <v>26</v>
      </c>
      <c r="G11391" s="54"/>
    </row>
    <row r="11392">
      <c r="A11392" s="49">
        <v>45140.86688342593</v>
      </c>
      <c r="B11392" s="50">
        <v>45140.9918474421</v>
      </c>
      <c r="C11392" s="51">
        <v>0.998</v>
      </c>
      <c r="D11392" s="51">
        <v>72.0</v>
      </c>
      <c r="E11392" s="52" t="s">
        <v>25</v>
      </c>
      <c r="F11392" s="52" t="s">
        <v>26</v>
      </c>
      <c r="G11392" s="54"/>
    </row>
    <row r="11393">
      <c r="A11393" s="49">
        <v>45140.87729927083</v>
      </c>
      <c r="B11393" s="50">
        <v>45141.0022672916</v>
      </c>
      <c r="C11393" s="51">
        <v>0.998</v>
      </c>
      <c r="D11393" s="51">
        <v>72.0</v>
      </c>
      <c r="E11393" s="52" t="s">
        <v>25</v>
      </c>
      <c r="F11393" s="52" t="s">
        <v>26</v>
      </c>
      <c r="G11393" s="54"/>
    </row>
    <row r="11394">
      <c r="A11394" s="49">
        <v>45140.887716157406</v>
      </c>
      <c r="B11394" s="50">
        <v>45141.012687824</v>
      </c>
      <c r="C11394" s="51">
        <v>0.998</v>
      </c>
      <c r="D11394" s="51">
        <v>72.0</v>
      </c>
      <c r="E11394" s="52" t="s">
        <v>25</v>
      </c>
      <c r="F11394" s="52" t="s">
        <v>26</v>
      </c>
      <c r="G11394" s="54"/>
    </row>
    <row r="11395">
      <c r="A11395" s="49">
        <v>45140.89813502315</v>
      </c>
      <c r="B11395" s="50">
        <v>45141.0231096643</v>
      </c>
      <c r="C11395" s="51">
        <v>0.998</v>
      </c>
      <c r="D11395" s="51">
        <v>72.0</v>
      </c>
      <c r="E11395" s="52" t="s">
        <v>25</v>
      </c>
      <c r="F11395" s="52" t="s">
        <v>26</v>
      </c>
      <c r="G11395" s="54"/>
    </row>
    <row r="11396">
      <c r="A11396" s="49">
        <v>45140.90855295139</v>
      </c>
      <c r="B11396" s="50">
        <v>45141.0335313541</v>
      </c>
      <c r="C11396" s="51">
        <v>0.998</v>
      </c>
      <c r="D11396" s="51">
        <v>72.0</v>
      </c>
      <c r="E11396" s="52" t="s">
        <v>25</v>
      </c>
      <c r="F11396" s="52" t="s">
        <v>26</v>
      </c>
      <c r="G11396" s="54"/>
    </row>
    <row r="11397">
      <c r="A11397" s="49">
        <v>45140.91899662037</v>
      </c>
      <c r="B11397" s="50">
        <v>45141.0439655555</v>
      </c>
      <c r="C11397" s="51">
        <v>0.998</v>
      </c>
      <c r="D11397" s="51">
        <v>72.0</v>
      </c>
      <c r="E11397" s="52" t="s">
        <v>25</v>
      </c>
      <c r="F11397" s="52" t="s">
        <v>26</v>
      </c>
      <c r="G11397" s="54"/>
    </row>
    <row r="11398">
      <c r="A11398" s="49">
        <v>45140.92942188657</v>
      </c>
      <c r="B11398" s="50">
        <v>45141.0543979282</v>
      </c>
      <c r="C11398" s="51">
        <v>0.998</v>
      </c>
      <c r="D11398" s="51">
        <v>72.0</v>
      </c>
      <c r="E11398" s="52" t="s">
        <v>25</v>
      </c>
      <c r="F11398" s="52" t="s">
        <v>26</v>
      </c>
      <c r="G11398" s="54"/>
    </row>
    <row r="11399">
      <c r="A11399" s="49">
        <v>45140.9398487963</v>
      </c>
      <c r="B11399" s="50">
        <v>45141.0648187037</v>
      </c>
      <c r="C11399" s="51">
        <v>0.998</v>
      </c>
      <c r="D11399" s="51">
        <v>72.0</v>
      </c>
      <c r="E11399" s="52" t="s">
        <v>25</v>
      </c>
      <c r="F11399" s="52" t="s">
        <v>26</v>
      </c>
      <c r="G11399" s="54"/>
    </row>
    <row r="11400">
      <c r="A11400" s="49">
        <v>45140.95026728009</v>
      </c>
      <c r="B11400" s="50">
        <v>45141.0752399305</v>
      </c>
      <c r="C11400" s="51">
        <v>0.998</v>
      </c>
      <c r="D11400" s="51">
        <v>72.0</v>
      </c>
      <c r="E11400" s="52" t="s">
        <v>25</v>
      </c>
      <c r="F11400" s="52" t="s">
        <v>26</v>
      </c>
      <c r="G11400" s="54"/>
    </row>
    <row r="11401">
      <c r="A11401" s="49">
        <v>45140.96068608796</v>
      </c>
      <c r="B11401" s="50">
        <v>45141.0856602199</v>
      </c>
      <c r="C11401" s="51">
        <v>0.998</v>
      </c>
      <c r="D11401" s="51">
        <v>72.0</v>
      </c>
      <c r="E11401" s="52" t="s">
        <v>25</v>
      </c>
      <c r="F11401" s="52" t="s">
        <v>26</v>
      </c>
      <c r="G11401" s="54"/>
    </row>
    <row r="11402">
      <c r="A11402" s="49">
        <v>45140.97112362269</v>
      </c>
      <c r="B11402" s="50">
        <v>45141.0960927662</v>
      </c>
      <c r="C11402" s="51">
        <v>0.998</v>
      </c>
      <c r="D11402" s="51">
        <v>72.0</v>
      </c>
      <c r="E11402" s="52" t="s">
        <v>25</v>
      </c>
      <c r="F11402" s="52" t="s">
        <v>26</v>
      </c>
      <c r="G11402" s="54"/>
    </row>
    <row r="11403">
      <c r="A11403" s="49">
        <v>45140.98153837963</v>
      </c>
      <c r="B11403" s="50">
        <v>45141.106513831</v>
      </c>
      <c r="C11403" s="51">
        <v>0.998</v>
      </c>
      <c r="D11403" s="51">
        <v>72.0</v>
      </c>
      <c r="E11403" s="52" t="s">
        <v>25</v>
      </c>
      <c r="F11403" s="52" t="s">
        <v>26</v>
      </c>
      <c r="G11403" s="54"/>
    </row>
    <row r="11404">
      <c r="A11404" s="49">
        <v>45140.991957245365</v>
      </c>
      <c r="B11404" s="50">
        <v>45141.1169351273</v>
      </c>
      <c r="C11404" s="51">
        <v>0.998</v>
      </c>
      <c r="D11404" s="51">
        <v>72.0</v>
      </c>
      <c r="E11404" s="52" t="s">
        <v>25</v>
      </c>
      <c r="F11404" s="52" t="s">
        <v>26</v>
      </c>
      <c r="G11404" s="54"/>
    </row>
    <row r="11405">
      <c r="A11405" s="49">
        <v>45141.002408796296</v>
      </c>
      <c r="B11405" s="50">
        <v>45141.1273793865</v>
      </c>
      <c r="C11405" s="51">
        <v>0.998</v>
      </c>
      <c r="D11405" s="51">
        <v>72.0</v>
      </c>
      <c r="E11405" s="52" t="s">
        <v>25</v>
      </c>
      <c r="F11405" s="52" t="s">
        <v>26</v>
      </c>
      <c r="G11405" s="54"/>
    </row>
    <row r="11406">
      <c r="A11406" s="49">
        <v>45141.012834814814</v>
      </c>
      <c r="B11406" s="50">
        <v>45141.1378004629</v>
      </c>
      <c r="C11406" s="51">
        <v>0.998</v>
      </c>
      <c r="D11406" s="51">
        <v>72.0</v>
      </c>
      <c r="E11406" s="52" t="s">
        <v>25</v>
      </c>
      <c r="F11406" s="52" t="s">
        <v>26</v>
      </c>
      <c r="G11406" s="54"/>
    </row>
    <row r="11407">
      <c r="A11407" s="49">
        <v>45141.02325601852</v>
      </c>
      <c r="B11407" s="50">
        <v>45141.148222662</v>
      </c>
      <c r="C11407" s="51">
        <v>0.998</v>
      </c>
      <c r="D11407" s="51">
        <v>72.0</v>
      </c>
      <c r="E11407" s="52" t="s">
        <v>25</v>
      </c>
      <c r="F11407" s="52" t="s">
        <v>26</v>
      </c>
      <c r="G11407" s="54"/>
    </row>
    <row r="11408">
      <c r="A11408" s="49">
        <v>45141.033669895834</v>
      </c>
      <c r="B11408" s="50">
        <v>45141.1586438888</v>
      </c>
      <c r="C11408" s="51">
        <v>0.998</v>
      </c>
      <c r="D11408" s="51">
        <v>72.0</v>
      </c>
      <c r="E11408" s="52" t="s">
        <v>25</v>
      </c>
      <c r="F11408" s="52" t="s">
        <v>26</v>
      </c>
      <c r="G11408" s="54"/>
    </row>
    <row r="11409">
      <c r="A11409" s="49">
        <v>45141.044097025464</v>
      </c>
      <c r="B11409" s="50">
        <v>45141.1690657754</v>
      </c>
      <c r="C11409" s="51">
        <v>0.998</v>
      </c>
      <c r="D11409" s="51">
        <v>72.0</v>
      </c>
      <c r="E11409" s="52" t="s">
        <v>25</v>
      </c>
      <c r="F11409" s="52" t="s">
        <v>26</v>
      </c>
      <c r="G11409" s="54"/>
    </row>
    <row r="11410">
      <c r="A11410" s="49">
        <v>45141.05451677083</v>
      </c>
      <c r="B11410" s="50">
        <v>45141.1794875925</v>
      </c>
      <c r="C11410" s="51">
        <v>0.998</v>
      </c>
      <c r="D11410" s="51">
        <v>72.0</v>
      </c>
      <c r="E11410" s="52" t="s">
        <v>25</v>
      </c>
      <c r="F11410" s="52" t="s">
        <v>26</v>
      </c>
      <c r="G11410" s="54"/>
    </row>
    <row r="11411">
      <c r="A11411" s="49">
        <v>45141.06492567129</v>
      </c>
      <c r="B11411" s="50">
        <v>45141.1899061111</v>
      </c>
      <c r="C11411" s="51">
        <v>0.998</v>
      </c>
      <c r="D11411" s="51">
        <v>72.0</v>
      </c>
      <c r="E11411" s="52" t="s">
        <v>25</v>
      </c>
      <c r="F11411" s="52" t="s">
        <v>26</v>
      </c>
      <c r="G11411" s="54"/>
    </row>
    <row r="11412">
      <c r="A11412" s="49">
        <v>45141.07536229167</v>
      </c>
      <c r="B11412" s="50">
        <v>45141.2003361689</v>
      </c>
      <c r="C11412" s="51">
        <v>0.998</v>
      </c>
      <c r="D11412" s="51">
        <v>72.0</v>
      </c>
      <c r="E11412" s="52" t="s">
        <v>25</v>
      </c>
      <c r="F11412" s="52" t="s">
        <v>26</v>
      </c>
      <c r="G11412" s="54"/>
    </row>
    <row r="11413">
      <c r="A11413" s="49">
        <v>45141.08578692129</v>
      </c>
      <c r="B11413" s="50">
        <v>45141.2107565972</v>
      </c>
      <c r="C11413" s="51">
        <v>0.998</v>
      </c>
      <c r="D11413" s="51">
        <v>72.0</v>
      </c>
      <c r="E11413" s="52" t="s">
        <v>25</v>
      </c>
      <c r="F11413" s="52" t="s">
        <v>26</v>
      </c>
      <c r="G11413" s="54"/>
    </row>
    <row r="11414">
      <c r="A11414" s="49">
        <v>45141.09621653935</v>
      </c>
      <c r="B11414" s="50">
        <v>45141.221189155</v>
      </c>
      <c r="C11414" s="51">
        <v>0.998</v>
      </c>
      <c r="D11414" s="51">
        <v>72.0</v>
      </c>
      <c r="E11414" s="52" t="s">
        <v>25</v>
      </c>
      <c r="F11414" s="52" t="s">
        <v>26</v>
      </c>
      <c r="G11414" s="54"/>
    </row>
    <row r="11415">
      <c r="A11415" s="49">
        <v>45141.10663072916</v>
      </c>
      <c r="B11415" s="50">
        <v>45141.2316104745</v>
      </c>
      <c r="C11415" s="51">
        <v>0.998</v>
      </c>
      <c r="D11415" s="51">
        <v>72.0</v>
      </c>
      <c r="E11415" s="52" t="s">
        <v>25</v>
      </c>
      <c r="F11415" s="52" t="s">
        <v>26</v>
      </c>
      <c r="G11415" s="54"/>
    </row>
    <row r="11416">
      <c r="A11416" s="49">
        <v>45141.11707548611</v>
      </c>
      <c r="B11416" s="50">
        <v>45141.2420424652</v>
      </c>
      <c r="C11416" s="51">
        <v>0.998</v>
      </c>
      <c r="D11416" s="51">
        <v>72.0</v>
      </c>
      <c r="E11416" s="52" t="s">
        <v>25</v>
      </c>
      <c r="F11416" s="52" t="s">
        <v>26</v>
      </c>
      <c r="G11416" s="54"/>
    </row>
    <row r="11417">
      <c r="A11417" s="49">
        <v>45141.12748869213</v>
      </c>
      <c r="B11417" s="50">
        <v>45141.2524645833</v>
      </c>
      <c r="C11417" s="51">
        <v>0.998</v>
      </c>
      <c r="D11417" s="51">
        <v>72.0</v>
      </c>
      <c r="E11417" s="52" t="s">
        <v>25</v>
      </c>
      <c r="F11417" s="52" t="s">
        <v>26</v>
      </c>
      <c r="G11417" s="54"/>
    </row>
    <row r="11418">
      <c r="A11418" s="49">
        <v>45141.137918148146</v>
      </c>
      <c r="B11418" s="50">
        <v>45141.2628854514</v>
      </c>
      <c r="C11418" s="51">
        <v>0.998</v>
      </c>
      <c r="D11418" s="51">
        <v>72.0</v>
      </c>
      <c r="E11418" s="52" t="s">
        <v>25</v>
      </c>
      <c r="F11418" s="52" t="s">
        <v>26</v>
      </c>
      <c r="G11418" s="54"/>
    </row>
    <row r="11419">
      <c r="A11419" s="49">
        <v>45141.14833005787</v>
      </c>
      <c r="B11419" s="50">
        <v>45141.2733074884</v>
      </c>
      <c r="C11419" s="51">
        <v>0.998</v>
      </c>
      <c r="D11419" s="51">
        <v>72.0</v>
      </c>
      <c r="E11419" s="52" t="s">
        <v>25</v>
      </c>
      <c r="F11419" s="52" t="s">
        <v>26</v>
      </c>
      <c r="G11419" s="54"/>
    </row>
    <row r="11420">
      <c r="A11420" s="49">
        <v>45141.15876465278</v>
      </c>
      <c r="B11420" s="50">
        <v>45141.2837273148</v>
      </c>
      <c r="C11420" s="51">
        <v>0.998</v>
      </c>
      <c r="D11420" s="51">
        <v>72.0</v>
      </c>
      <c r="E11420" s="52" t="s">
        <v>25</v>
      </c>
      <c r="F11420" s="52" t="s">
        <v>26</v>
      </c>
      <c r="G11420" s="54"/>
    </row>
    <row r="11421">
      <c r="A11421" s="49">
        <v>45141.16917530092</v>
      </c>
      <c r="B11421" s="50">
        <v>45141.2941478009</v>
      </c>
      <c r="C11421" s="51">
        <v>0.998</v>
      </c>
      <c r="D11421" s="51">
        <v>72.0</v>
      </c>
      <c r="E11421" s="52" t="s">
        <v>25</v>
      </c>
      <c r="F11421" s="52" t="s">
        <v>26</v>
      </c>
      <c r="G11421" s="54"/>
    </row>
    <row r="11422">
      <c r="A11422" s="49">
        <v>45141.17961825231</v>
      </c>
      <c r="B11422" s="50">
        <v>45141.3045809953</v>
      </c>
      <c r="C11422" s="51">
        <v>0.998</v>
      </c>
      <c r="D11422" s="51">
        <v>72.0</v>
      </c>
      <c r="E11422" s="52" t="s">
        <v>25</v>
      </c>
      <c r="F11422" s="52" t="s">
        <v>26</v>
      </c>
      <c r="G11422" s="54"/>
    </row>
    <row r="11423">
      <c r="A11423" s="49">
        <v>45141.19004335648</v>
      </c>
      <c r="B11423" s="50">
        <v>45141.3150132986</v>
      </c>
      <c r="C11423" s="51">
        <v>0.998</v>
      </c>
      <c r="D11423" s="51">
        <v>72.0</v>
      </c>
      <c r="E11423" s="52" t="s">
        <v>25</v>
      </c>
      <c r="F11423" s="52" t="s">
        <v>26</v>
      </c>
      <c r="G11423" s="54"/>
    </row>
    <row r="11424">
      <c r="A11424" s="49">
        <v>45141.20046315972</v>
      </c>
      <c r="B11424" s="50">
        <v>45141.3254359722</v>
      </c>
      <c r="C11424" s="51">
        <v>0.998</v>
      </c>
      <c r="D11424" s="51">
        <v>72.0</v>
      </c>
      <c r="E11424" s="52" t="s">
        <v>25</v>
      </c>
      <c r="F11424" s="52" t="s">
        <v>26</v>
      </c>
      <c r="G11424" s="54"/>
    </row>
    <row r="11425">
      <c r="A11425" s="49">
        <v>45141.210887442125</v>
      </c>
      <c r="B11425" s="50">
        <v>45141.3358564583</v>
      </c>
      <c r="C11425" s="51">
        <v>0.998</v>
      </c>
      <c r="D11425" s="51">
        <v>72.0</v>
      </c>
      <c r="E11425" s="52" t="s">
        <v>25</v>
      </c>
      <c r="F11425" s="52" t="s">
        <v>26</v>
      </c>
      <c r="G11425" s="54"/>
    </row>
    <row r="11426">
      <c r="A11426" s="49">
        <v>45141.221309444445</v>
      </c>
      <c r="B11426" s="50">
        <v>45141.3462781597</v>
      </c>
      <c r="C11426" s="51">
        <v>0.998</v>
      </c>
      <c r="D11426" s="51">
        <v>72.0</v>
      </c>
      <c r="E11426" s="52" t="s">
        <v>25</v>
      </c>
      <c r="F11426" s="52" t="s">
        <v>26</v>
      </c>
      <c r="G11426" s="54"/>
    </row>
    <row r="11427">
      <c r="A11427" s="49">
        <v>45141.23174004629</v>
      </c>
      <c r="B11427" s="50">
        <v>45141.3567001041</v>
      </c>
      <c r="C11427" s="51">
        <v>0.998</v>
      </c>
      <c r="D11427" s="51">
        <v>72.0</v>
      </c>
      <c r="E11427" s="52" t="s">
        <v>25</v>
      </c>
      <c r="F11427" s="52" t="s">
        <v>26</v>
      </c>
      <c r="G11427" s="54"/>
    </row>
    <row r="11428">
      <c r="A11428" s="49">
        <v>45141.2421603125</v>
      </c>
      <c r="B11428" s="50">
        <v>45141.367120081</v>
      </c>
      <c r="C11428" s="51">
        <v>0.998</v>
      </c>
      <c r="D11428" s="51">
        <v>72.0</v>
      </c>
      <c r="E11428" s="52" t="s">
        <v>25</v>
      </c>
      <c r="F11428" s="52" t="s">
        <v>26</v>
      </c>
      <c r="G11428" s="54"/>
    </row>
    <row r="11429">
      <c r="A11429" s="49">
        <v>45141.25257986111</v>
      </c>
      <c r="B11429" s="50">
        <v>45141.3775538194</v>
      </c>
      <c r="C11429" s="51">
        <v>0.998</v>
      </c>
      <c r="D11429" s="51">
        <v>72.0</v>
      </c>
      <c r="E11429" s="52" t="s">
        <v>25</v>
      </c>
      <c r="F11429" s="52" t="s">
        <v>26</v>
      </c>
      <c r="G11429" s="54"/>
    </row>
    <row r="11430">
      <c r="A11430" s="49">
        <v>45141.263006284724</v>
      </c>
      <c r="B11430" s="50">
        <v>45141.3879764583</v>
      </c>
      <c r="C11430" s="51">
        <v>0.998</v>
      </c>
      <c r="D11430" s="51">
        <v>72.0</v>
      </c>
      <c r="E11430" s="52" t="s">
        <v>25</v>
      </c>
      <c r="F11430" s="52" t="s">
        <v>26</v>
      </c>
      <c r="G11430" s="54"/>
    </row>
    <row r="11431">
      <c r="A11431" s="49">
        <v>45141.273428252316</v>
      </c>
      <c r="B11431" s="50">
        <v>45141.3983984722</v>
      </c>
      <c r="C11431" s="51">
        <v>0.998</v>
      </c>
      <c r="D11431" s="51">
        <v>72.0</v>
      </c>
      <c r="E11431" s="52" t="s">
        <v>25</v>
      </c>
      <c r="F11431" s="52" t="s">
        <v>26</v>
      </c>
      <c r="G11431" s="54"/>
    </row>
    <row r="11432">
      <c r="A11432" s="49">
        <v>45141.283846666665</v>
      </c>
      <c r="B11432" s="50">
        <v>45141.4088191319</v>
      </c>
      <c r="C11432" s="51">
        <v>0.998</v>
      </c>
      <c r="D11432" s="51">
        <v>72.0</v>
      </c>
      <c r="E11432" s="52" t="s">
        <v>25</v>
      </c>
      <c r="F11432" s="52" t="s">
        <v>26</v>
      </c>
      <c r="G11432" s="54"/>
    </row>
    <row r="11433">
      <c r="A11433" s="49">
        <v>45141.294279594906</v>
      </c>
      <c r="B11433" s="50">
        <v>45141.4192400115</v>
      </c>
      <c r="C11433" s="51">
        <v>0.998</v>
      </c>
      <c r="D11433" s="51">
        <v>72.0</v>
      </c>
      <c r="E11433" s="52" t="s">
        <v>25</v>
      </c>
      <c r="F11433" s="52" t="s">
        <v>26</v>
      </c>
      <c r="G11433" s="54"/>
    </row>
    <row r="11434">
      <c r="A11434" s="49">
        <v>45141.304693240745</v>
      </c>
      <c r="B11434" s="50">
        <v>45141.429661331</v>
      </c>
      <c r="C11434" s="51">
        <v>0.998</v>
      </c>
      <c r="D11434" s="51">
        <v>72.0</v>
      </c>
      <c r="E11434" s="52" t="s">
        <v>25</v>
      </c>
      <c r="F11434" s="52" t="s">
        <v>26</v>
      </c>
      <c r="G11434" s="54"/>
    </row>
    <row r="11435">
      <c r="A11435" s="49">
        <v>45141.31510587963</v>
      </c>
      <c r="B11435" s="50">
        <v>45141.4400821759</v>
      </c>
      <c r="C11435" s="51">
        <v>0.998</v>
      </c>
      <c r="D11435" s="51">
        <v>72.0</v>
      </c>
      <c r="E11435" s="52" t="s">
        <v>25</v>
      </c>
      <c r="F11435" s="52" t="s">
        <v>26</v>
      </c>
      <c r="G11435" s="54"/>
    </row>
    <row r="11436">
      <c r="A11436" s="49">
        <v>45141.32553865741</v>
      </c>
      <c r="B11436" s="50">
        <v>45141.4505034375</v>
      </c>
      <c r="C11436" s="51">
        <v>0.998</v>
      </c>
      <c r="D11436" s="51">
        <v>72.0</v>
      </c>
      <c r="E11436" s="52" t="s">
        <v>25</v>
      </c>
      <c r="F11436" s="52" t="s">
        <v>26</v>
      </c>
      <c r="G11436" s="54"/>
    </row>
    <row r="11437">
      <c r="A11437" s="49">
        <v>45141.33596512731</v>
      </c>
      <c r="B11437" s="50">
        <v>45141.4609380555</v>
      </c>
      <c r="C11437" s="51">
        <v>0.998</v>
      </c>
      <c r="D11437" s="51">
        <v>72.0</v>
      </c>
      <c r="E11437" s="52" t="s">
        <v>25</v>
      </c>
      <c r="F11437" s="52" t="s">
        <v>26</v>
      </c>
      <c r="G11437" s="54"/>
    </row>
    <row r="11438">
      <c r="A11438" s="49">
        <v>45141.346390046296</v>
      </c>
      <c r="B11438" s="50">
        <v>45141.4713597222</v>
      </c>
      <c r="C11438" s="51">
        <v>0.998</v>
      </c>
      <c r="D11438" s="51">
        <v>72.0</v>
      </c>
      <c r="E11438" s="52" t="s">
        <v>25</v>
      </c>
      <c r="F11438" s="52" t="s">
        <v>26</v>
      </c>
      <c r="G11438" s="54"/>
    </row>
    <row r="11439">
      <c r="A11439" s="49">
        <v>45141.35681380787</v>
      </c>
      <c r="B11439" s="50">
        <v>45141.4817790393</v>
      </c>
      <c r="C11439" s="51">
        <v>0.998</v>
      </c>
      <c r="D11439" s="51">
        <v>72.0</v>
      </c>
      <c r="E11439" s="52" t="s">
        <v>25</v>
      </c>
      <c r="F11439" s="52" t="s">
        <v>26</v>
      </c>
      <c r="G11439" s="54"/>
    </row>
    <row r="11440">
      <c r="A11440" s="49">
        <v>45141.367224201385</v>
      </c>
      <c r="B11440" s="50">
        <v>45141.4921988773</v>
      </c>
      <c r="C11440" s="51">
        <v>0.998</v>
      </c>
      <c r="D11440" s="51">
        <v>72.0</v>
      </c>
      <c r="E11440" s="52" t="s">
        <v>25</v>
      </c>
      <c r="F11440" s="52" t="s">
        <v>26</v>
      </c>
      <c r="G11440" s="54"/>
    </row>
    <row r="11441">
      <c r="A11441" s="49">
        <v>45141.37765689815</v>
      </c>
      <c r="B11441" s="50">
        <v>45141.502630162</v>
      </c>
      <c r="C11441" s="51">
        <v>0.998</v>
      </c>
      <c r="D11441" s="51">
        <v>72.0</v>
      </c>
      <c r="E11441" s="52" t="s">
        <v>25</v>
      </c>
      <c r="F11441" s="52" t="s">
        <v>26</v>
      </c>
      <c r="G11441" s="54"/>
    </row>
    <row r="11442">
      <c r="A11442" s="49">
        <v>45141.38808521991</v>
      </c>
      <c r="B11442" s="50">
        <v>45141.5130509143</v>
      </c>
      <c r="C11442" s="51">
        <v>0.998</v>
      </c>
      <c r="D11442" s="51">
        <v>72.0</v>
      </c>
      <c r="E11442" s="52" t="s">
        <v>25</v>
      </c>
      <c r="F11442" s="52" t="s">
        <v>26</v>
      </c>
      <c r="G11442" s="54"/>
    </row>
    <row r="11443">
      <c r="A11443" s="49">
        <v>45141.398497511575</v>
      </c>
      <c r="B11443" s="50">
        <v>45141.5234708912</v>
      </c>
      <c r="C11443" s="51">
        <v>0.998</v>
      </c>
      <c r="D11443" s="51">
        <v>72.0</v>
      </c>
      <c r="E11443" s="52" t="s">
        <v>25</v>
      </c>
      <c r="F11443" s="52" t="s">
        <v>26</v>
      </c>
      <c r="G11443" s="54"/>
    </row>
    <row r="11444">
      <c r="A11444" s="49">
        <v>45141.408919837966</v>
      </c>
      <c r="B11444" s="50">
        <v>45141.5338922222</v>
      </c>
      <c r="C11444" s="51">
        <v>0.998</v>
      </c>
      <c r="D11444" s="51">
        <v>72.0</v>
      </c>
      <c r="E11444" s="52" t="s">
        <v>25</v>
      </c>
      <c r="F11444" s="52" t="s">
        <v>26</v>
      </c>
      <c r="G11444" s="54"/>
    </row>
    <row r="11445">
      <c r="A11445" s="49">
        <v>45141.41934862269</v>
      </c>
      <c r="B11445" s="50">
        <v>45141.5443137037</v>
      </c>
      <c r="C11445" s="51">
        <v>0.998</v>
      </c>
      <c r="D11445" s="51">
        <v>72.0</v>
      </c>
      <c r="E11445" s="52" t="s">
        <v>25</v>
      </c>
      <c r="F11445" s="52" t="s">
        <v>26</v>
      </c>
      <c r="G11445" s="54"/>
    </row>
    <row r="11446">
      <c r="A11446" s="49">
        <v>45141.42975974537</v>
      </c>
      <c r="B11446" s="50">
        <v>45141.5547355439</v>
      </c>
      <c r="C11446" s="51">
        <v>0.998</v>
      </c>
      <c r="D11446" s="51">
        <v>72.0</v>
      </c>
      <c r="E11446" s="52" t="s">
        <v>25</v>
      </c>
      <c r="F11446" s="52" t="s">
        <v>26</v>
      </c>
      <c r="G11446" s="54"/>
    </row>
    <row r="11447">
      <c r="A11447" s="49">
        <v>45141.44021346065</v>
      </c>
      <c r="B11447" s="50">
        <v>45141.5651814236</v>
      </c>
      <c r="C11447" s="51">
        <v>0.998</v>
      </c>
      <c r="D11447" s="51">
        <v>72.0</v>
      </c>
      <c r="E11447" s="52" t="s">
        <v>25</v>
      </c>
      <c r="F11447" s="52" t="s">
        <v>26</v>
      </c>
      <c r="G11447" s="54"/>
    </row>
    <row r="11448">
      <c r="A11448" s="49">
        <v>45141.450645150464</v>
      </c>
      <c r="B11448" s="50">
        <v>45141.5756158796</v>
      </c>
      <c r="C11448" s="51">
        <v>0.998</v>
      </c>
      <c r="D11448" s="51">
        <v>72.0</v>
      </c>
      <c r="E11448" s="52" t="s">
        <v>25</v>
      </c>
      <c r="F11448" s="52" t="s">
        <v>26</v>
      </c>
      <c r="G11448" s="54"/>
    </row>
    <row r="11449">
      <c r="A11449" s="49">
        <v>45141.461068136574</v>
      </c>
      <c r="B11449" s="50">
        <v>45141.5860376967</v>
      </c>
      <c r="C11449" s="51">
        <v>0.998</v>
      </c>
      <c r="D11449" s="51">
        <v>72.0</v>
      </c>
      <c r="E11449" s="52" t="s">
        <v>25</v>
      </c>
      <c r="F11449" s="52" t="s">
        <v>26</v>
      </c>
      <c r="G11449" s="54"/>
    </row>
    <row r="11450">
      <c r="A11450" s="49">
        <v>45141.471486712966</v>
      </c>
      <c r="B11450" s="50">
        <v>45141.5964568865</v>
      </c>
      <c r="C11450" s="51">
        <v>0.998</v>
      </c>
      <c r="D11450" s="51">
        <v>72.0</v>
      </c>
      <c r="E11450" s="52" t="s">
        <v>25</v>
      </c>
      <c r="F11450" s="52" t="s">
        <v>26</v>
      </c>
      <c r="G11450" s="54"/>
    </row>
    <row r="11451">
      <c r="A11451" s="49">
        <v>45141.48191038195</v>
      </c>
      <c r="B11451" s="50">
        <v>45141.606877905</v>
      </c>
      <c r="C11451" s="51">
        <v>0.998</v>
      </c>
      <c r="D11451" s="51">
        <v>72.0</v>
      </c>
      <c r="E11451" s="52" t="s">
        <v>25</v>
      </c>
      <c r="F11451" s="52" t="s">
        <v>26</v>
      </c>
      <c r="G11451" s="54"/>
    </row>
    <row r="11452">
      <c r="A11452" s="49">
        <v>45141.49232734954</v>
      </c>
      <c r="B11452" s="50">
        <v>45141.6172992245</v>
      </c>
      <c r="C11452" s="51">
        <v>0.998</v>
      </c>
      <c r="D11452" s="51">
        <v>72.0</v>
      </c>
      <c r="E11452" s="52" t="s">
        <v>25</v>
      </c>
      <c r="F11452" s="52" t="s">
        <v>26</v>
      </c>
      <c r="G11452" s="54"/>
    </row>
    <row r="11453">
      <c r="A11453" s="49">
        <v>45141.50274836806</v>
      </c>
      <c r="B11453" s="50">
        <v>45141.6277205555</v>
      </c>
      <c r="C11453" s="51">
        <v>0.998</v>
      </c>
      <c r="D11453" s="51">
        <v>72.0</v>
      </c>
      <c r="E11453" s="52" t="s">
        <v>25</v>
      </c>
      <c r="F11453" s="52" t="s">
        <v>26</v>
      </c>
      <c r="G11453" s="54"/>
    </row>
    <row r="11454">
      <c r="A11454" s="49">
        <v>45141.51317825231</v>
      </c>
      <c r="B11454" s="50">
        <v>45141.6381542708</v>
      </c>
      <c r="C11454" s="51">
        <v>0.998</v>
      </c>
      <c r="D11454" s="51">
        <v>72.0</v>
      </c>
      <c r="E11454" s="52" t="s">
        <v>25</v>
      </c>
      <c r="F11454" s="52" t="s">
        <v>26</v>
      </c>
      <c r="G11454" s="54"/>
    </row>
    <row r="11455">
      <c r="A11455" s="49">
        <v>45141.52360240741</v>
      </c>
      <c r="B11455" s="50">
        <v>45141.6485740625</v>
      </c>
      <c r="C11455" s="51">
        <v>0.998</v>
      </c>
      <c r="D11455" s="51">
        <v>72.0</v>
      </c>
      <c r="E11455" s="52" t="s">
        <v>25</v>
      </c>
      <c r="F11455" s="52" t="s">
        <v>26</v>
      </c>
      <c r="G11455" s="54"/>
    </row>
    <row r="11456">
      <c r="A11456" s="49">
        <v>45141.534023541666</v>
      </c>
      <c r="B11456" s="50">
        <v>45141.6589963078</v>
      </c>
      <c r="C11456" s="51">
        <v>0.998</v>
      </c>
      <c r="D11456" s="51">
        <v>72.0</v>
      </c>
      <c r="E11456" s="52" t="s">
        <v>25</v>
      </c>
      <c r="F11456" s="52" t="s">
        <v>26</v>
      </c>
      <c r="G11456" s="54"/>
    </row>
    <row r="11457">
      <c r="A11457" s="49">
        <v>45141.544440474536</v>
      </c>
      <c r="B11457" s="50">
        <v>45141.669417743</v>
      </c>
      <c r="C11457" s="51">
        <v>0.998</v>
      </c>
      <c r="D11457" s="51">
        <v>72.0</v>
      </c>
      <c r="E11457" s="52" t="s">
        <v>25</v>
      </c>
      <c r="F11457" s="52" t="s">
        <v>26</v>
      </c>
      <c r="G11457" s="54"/>
    </row>
    <row r="11458">
      <c r="A11458" s="49">
        <v>45141.55486478009</v>
      </c>
      <c r="B11458" s="50">
        <v>45141.6798394328</v>
      </c>
      <c r="C11458" s="51">
        <v>0.998</v>
      </c>
      <c r="D11458" s="51">
        <v>72.0</v>
      </c>
      <c r="E11458" s="52" t="s">
        <v>25</v>
      </c>
      <c r="F11458" s="52" t="s">
        <v>26</v>
      </c>
      <c r="G11458" s="54"/>
    </row>
    <row r="11459">
      <c r="A11459" s="49">
        <v>45141.56528342592</v>
      </c>
      <c r="B11459" s="50">
        <v>45141.6902590509</v>
      </c>
      <c r="C11459" s="51">
        <v>0.998</v>
      </c>
      <c r="D11459" s="51">
        <v>72.0</v>
      </c>
      <c r="E11459" s="52" t="s">
        <v>25</v>
      </c>
      <c r="F11459" s="52" t="s">
        <v>26</v>
      </c>
      <c r="G11459" s="54"/>
    </row>
    <row r="11460">
      <c r="A11460" s="49">
        <v>45141.575706574076</v>
      </c>
      <c r="B11460" s="50">
        <v>45141.7006780208</v>
      </c>
      <c r="C11460" s="51">
        <v>0.998</v>
      </c>
      <c r="D11460" s="51">
        <v>72.0</v>
      </c>
      <c r="E11460" s="52" t="s">
        <v>25</v>
      </c>
      <c r="F11460" s="52" t="s">
        <v>26</v>
      </c>
      <c r="G11460" s="54"/>
    </row>
    <row r="11461">
      <c r="A11461" s="49">
        <v>45141.5861312037</v>
      </c>
      <c r="B11461" s="50">
        <v>45141.711097199</v>
      </c>
      <c r="C11461" s="51">
        <v>0.998</v>
      </c>
      <c r="D11461" s="51">
        <v>72.0</v>
      </c>
      <c r="E11461" s="52" t="s">
        <v>25</v>
      </c>
      <c r="F11461" s="52" t="s">
        <v>26</v>
      </c>
      <c r="G11461" s="54"/>
    </row>
    <row r="11462">
      <c r="A11462" s="49">
        <v>45141.59654778935</v>
      </c>
      <c r="B11462" s="50">
        <v>45141.7215186226</v>
      </c>
      <c r="C11462" s="51">
        <v>0.998</v>
      </c>
      <c r="D11462" s="51">
        <v>72.0</v>
      </c>
      <c r="E11462" s="52" t="s">
        <v>25</v>
      </c>
      <c r="F11462" s="52" t="s">
        <v>26</v>
      </c>
      <c r="G11462" s="54"/>
    </row>
    <row r="11463">
      <c r="A11463" s="49">
        <v>45141.60696491898</v>
      </c>
      <c r="B11463" s="50">
        <v>45141.7319390625</v>
      </c>
      <c r="C11463" s="51">
        <v>0.998</v>
      </c>
      <c r="D11463" s="51">
        <v>72.0</v>
      </c>
      <c r="E11463" s="52" t="s">
        <v>25</v>
      </c>
      <c r="F11463" s="52" t="s">
        <v>26</v>
      </c>
      <c r="G11463" s="54"/>
    </row>
    <row r="11464">
      <c r="A11464" s="49">
        <v>45141.61738280093</v>
      </c>
      <c r="B11464" s="50">
        <v>45141.7423608217</v>
      </c>
      <c r="C11464" s="51">
        <v>0.998</v>
      </c>
      <c r="D11464" s="51">
        <v>72.0</v>
      </c>
      <c r="E11464" s="52" t="s">
        <v>25</v>
      </c>
      <c r="F11464" s="52" t="s">
        <v>26</v>
      </c>
      <c r="G11464" s="54"/>
    </row>
    <row r="11465">
      <c r="A11465" s="49">
        <v>45141.62780710648</v>
      </c>
      <c r="B11465" s="50">
        <v>45141.7527824768</v>
      </c>
      <c r="C11465" s="51">
        <v>0.998</v>
      </c>
      <c r="D11465" s="51">
        <v>72.0</v>
      </c>
      <c r="E11465" s="52" t="s">
        <v>25</v>
      </c>
      <c r="F11465" s="52" t="s">
        <v>26</v>
      </c>
      <c r="G11465" s="54"/>
    </row>
    <row r="11466">
      <c r="A11466" s="49">
        <v>45141.63824390047</v>
      </c>
      <c r="B11466" s="50">
        <v>45141.7632155787</v>
      </c>
      <c r="C11466" s="51">
        <v>0.998</v>
      </c>
      <c r="D11466" s="51">
        <v>72.0</v>
      </c>
      <c r="E11466" s="52" t="s">
        <v>25</v>
      </c>
      <c r="F11466" s="52" t="s">
        <v>26</v>
      </c>
      <c r="G11466" s="54"/>
    </row>
    <row r="11467">
      <c r="A11467" s="49">
        <v>45141.648652476855</v>
      </c>
      <c r="B11467" s="50">
        <v>45141.7736364699</v>
      </c>
      <c r="C11467" s="51">
        <v>0.998</v>
      </c>
      <c r="D11467" s="51">
        <v>72.0</v>
      </c>
      <c r="E11467" s="52" t="s">
        <v>25</v>
      </c>
      <c r="F11467" s="52" t="s">
        <v>26</v>
      </c>
      <c r="G11467" s="54"/>
    </row>
    <row r="11468">
      <c r="A11468" s="49">
        <v>45141.65908016203</v>
      </c>
      <c r="B11468" s="50">
        <v>45141.7840584143</v>
      </c>
      <c r="C11468" s="51">
        <v>0.998</v>
      </c>
      <c r="D11468" s="51">
        <v>72.0</v>
      </c>
      <c r="E11468" s="52" t="s">
        <v>25</v>
      </c>
      <c r="F11468" s="52" t="s">
        <v>26</v>
      </c>
      <c r="G11468" s="54"/>
    </row>
    <row r="11469">
      <c r="A11469" s="49">
        <v>45141.66950693287</v>
      </c>
      <c r="B11469" s="50">
        <v>45141.7944799768</v>
      </c>
      <c r="C11469" s="51">
        <v>0.998</v>
      </c>
      <c r="D11469" s="51">
        <v>72.0</v>
      </c>
      <c r="E11469" s="52" t="s">
        <v>25</v>
      </c>
      <c r="F11469" s="52" t="s">
        <v>26</v>
      </c>
      <c r="G11469" s="54"/>
    </row>
    <row r="11470">
      <c r="A11470" s="49">
        <v>45141.679939560185</v>
      </c>
      <c r="B11470" s="50">
        <v>45141.8049119328</v>
      </c>
      <c r="C11470" s="51">
        <v>0.998</v>
      </c>
      <c r="D11470" s="51">
        <v>72.0</v>
      </c>
      <c r="E11470" s="52" t="s">
        <v>25</v>
      </c>
      <c r="F11470" s="52" t="s">
        <v>26</v>
      </c>
      <c r="G11470" s="54"/>
    </row>
    <row r="11471">
      <c r="A11471" s="49">
        <v>45141.6903675</v>
      </c>
      <c r="B11471" s="50">
        <v>45141.8153452083</v>
      </c>
      <c r="C11471" s="51">
        <v>0.998</v>
      </c>
      <c r="D11471" s="51">
        <v>72.0</v>
      </c>
      <c r="E11471" s="52" t="s">
        <v>25</v>
      </c>
      <c r="F11471" s="52" t="s">
        <v>26</v>
      </c>
      <c r="G11471" s="54"/>
    </row>
    <row r="11472">
      <c r="A11472" s="49">
        <v>45141.70078668982</v>
      </c>
      <c r="B11472" s="50">
        <v>45141.8257663773</v>
      </c>
      <c r="C11472" s="51">
        <v>0.998</v>
      </c>
      <c r="D11472" s="51">
        <v>72.0</v>
      </c>
      <c r="E11472" s="52" t="s">
        <v>25</v>
      </c>
      <c r="F11472" s="52" t="s">
        <v>26</v>
      </c>
      <c r="G11472" s="54"/>
    </row>
    <row r="11473">
      <c r="A11473" s="49">
        <v>45141.7112115162</v>
      </c>
      <c r="B11473" s="50">
        <v>45141.8361886805</v>
      </c>
      <c r="C11473" s="51">
        <v>0.998</v>
      </c>
      <c r="D11473" s="51">
        <v>72.0</v>
      </c>
      <c r="E11473" s="52" t="s">
        <v>25</v>
      </c>
      <c r="F11473" s="52" t="s">
        <v>26</v>
      </c>
      <c r="G11473" s="54"/>
    </row>
    <row r="11474">
      <c r="A11474" s="49">
        <v>45141.721636365735</v>
      </c>
      <c r="B11474" s="50">
        <v>45141.8466084027</v>
      </c>
      <c r="C11474" s="51">
        <v>0.998</v>
      </c>
      <c r="D11474" s="51">
        <v>72.0</v>
      </c>
      <c r="E11474" s="52" t="s">
        <v>25</v>
      </c>
      <c r="F11474" s="52" t="s">
        <v>26</v>
      </c>
      <c r="G11474" s="54"/>
    </row>
    <row r="11475">
      <c r="A11475" s="49">
        <v>45141.73205421296</v>
      </c>
      <c r="B11475" s="50">
        <v>45141.8570299074</v>
      </c>
      <c r="C11475" s="51">
        <v>0.998</v>
      </c>
      <c r="D11475" s="51">
        <v>72.0</v>
      </c>
      <c r="E11475" s="52" t="s">
        <v>25</v>
      </c>
      <c r="F11475" s="52" t="s">
        <v>26</v>
      </c>
      <c r="G11475" s="54"/>
    </row>
    <row r="11476">
      <c r="A11476" s="49">
        <v>45141.74247784722</v>
      </c>
      <c r="B11476" s="50">
        <v>45141.8674508449</v>
      </c>
      <c r="C11476" s="51">
        <v>0.998</v>
      </c>
      <c r="D11476" s="51">
        <v>72.0</v>
      </c>
      <c r="E11476" s="52" t="s">
        <v>25</v>
      </c>
      <c r="F11476" s="52" t="s">
        <v>26</v>
      </c>
      <c r="G11476" s="54"/>
    </row>
    <row r="11477">
      <c r="A11477" s="49">
        <v>45141.7528915625</v>
      </c>
      <c r="B11477" s="50">
        <v>45141.8778715162</v>
      </c>
      <c r="C11477" s="51">
        <v>0.998</v>
      </c>
      <c r="D11477" s="51">
        <v>72.0</v>
      </c>
      <c r="E11477" s="52" t="s">
        <v>25</v>
      </c>
      <c r="F11477" s="52" t="s">
        <v>26</v>
      </c>
      <c r="G11477" s="54"/>
    </row>
    <row r="11478">
      <c r="A11478" s="49">
        <v>45141.76331958333</v>
      </c>
      <c r="B11478" s="50">
        <v>45141.8882933796</v>
      </c>
      <c r="C11478" s="51">
        <v>0.998</v>
      </c>
      <c r="D11478" s="51">
        <v>72.0</v>
      </c>
      <c r="E11478" s="52" t="s">
        <v>25</v>
      </c>
      <c r="F11478" s="52" t="s">
        <v>26</v>
      </c>
      <c r="G11478" s="54"/>
    </row>
    <row r="11479">
      <c r="A11479" s="49">
        <v>45141.77373341435</v>
      </c>
      <c r="B11479" s="50">
        <v>45141.8987139814</v>
      </c>
      <c r="C11479" s="51">
        <v>0.998</v>
      </c>
      <c r="D11479" s="51">
        <v>72.0</v>
      </c>
      <c r="E11479" s="52" t="s">
        <v>25</v>
      </c>
      <c r="F11479" s="52" t="s">
        <v>26</v>
      </c>
      <c r="G11479" s="54"/>
    </row>
    <row r="11480">
      <c r="A11480" s="49">
        <v>45141.784156875</v>
      </c>
      <c r="B11480" s="50">
        <v>45141.9091349768</v>
      </c>
      <c r="C11480" s="51">
        <v>0.998</v>
      </c>
      <c r="D11480" s="51">
        <v>72.0</v>
      </c>
      <c r="E11480" s="52" t="s">
        <v>25</v>
      </c>
      <c r="F11480" s="52" t="s">
        <v>26</v>
      </c>
      <c r="G11480" s="54"/>
    </row>
    <row r="11481">
      <c r="A11481" s="49">
        <v>45141.794579629626</v>
      </c>
      <c r="B11481" s="50">
        <v>45141.919553831</v>
      </c>
      <c r="C11481" s="51">
        <v>0.998</v>
      </c>
      <c r="D11481" s="51">
        <v>72.0</v>
      </c>
      <c r="E11481" s="52" t="s">
        <v>25</v>
      </c>
      <c r="F11481" s="52" t="s">
        <v>26</v>
      </c>
      <c r="G11481" s="54"/>
    </row>
    <row r="11482">
      <c r="A11482" s="49">
        <v>45141.80499988426</v>
      </c>
      <c r="B11482" s="50">
        <v>45141.9299746412</v>
      </c>
      <c r="C11482" s="51">
        <v>0.998</v>
      </c>
      <c r="D11482" s="51">
        <v>72.0</v>
      </c>
      <c r="E11482" s="52" t="s">
        <v>25</v>
      </c>
      <c r="F11482" s="52" t="s">
        <v>26</v>
      </c>
      <c r="G11482" s="54"/>
    </row>
    <row r="11483">
      <c r="A11483" s="49">
        <v>45141.81541082176</v>
      </c>
      <c r="B11483" s="50">
        <v>45141.9403941203</v>
      </c>
      <c r="C11483" s="51">
        <v>0.998</v>
      </c>
      <c r="D11483" s="51">
        <v>72.0</v>
      </c>
      <c r="E11483" s="52" t="s">
        <v>25</v>
      </c>
      <c r="F11483" s="52" t="s">
        <v>26</v>
      </c>
      <c r="G11483" s="54"/>
    </row>
    <row r="11484">
      <c r="A11484" s="49">
        <v>45141.82583665509</v>
      </c>
      <c r="B11484" s="50">
        <v>45141.9508141087</v>
      </c>
      <c r="C11484" s="51">
        <v>0.998</v>
      </c>
      <c r="D11484" s="51">
        <v>72.0</v>
      </c>
      <c r="E11484" s="52" t="s">
        <v>25</v>
      </c>
      <c r="F11484" s="52" t="s">
        <v>26</v>
      </c>
      <c r="G11484" s="54"/>
    </row>
    <row r="11485">
      <c r="A11485" s="49">
        <v>45141.83627035879</v>
      </c>
      <c r="B11485" s="50">
        <v>45141.961248449</v>
      </c>
      <c r="C11485" s="51">
        <v>0.998</v>
      </c>
      <c r="D11485" s="51">
        <v>72.0</v>
      </c>
      <c r="E11485" s="52" t="s">
        <v>25</v>
      </c>
      <c r="F11485" s="52" t="s">
        <v>26</v>
      </c>
      <c r="G11485" s="54"/>
    </row>
    <row r="11486">
      <c r="A11486" s="49">
        <v>45141.846697754634</v>
      </c>
      <c r="B11486" s="50">
        <v>45141.9716677546</v>
      </c>
      <c r="C11486" s="51">
        <v>0.998</v>
      </c>
      <c r="D11486" s="51">
        <v>72.0</v>
      </c>
      <c r="E11486" s="52" t="s">
        <v>25</v>
      </c>
      <c r="F11486" s="52" t="s">
        <v>26</v>
      </c>
      <c r="G11486" s="54"/>
    </row>
    <row r="11487">
      <c r="A11487" s="49">
        <v>45141.85711104167</v>
      </c>
      <c r="B11487" s="50">
        <v>45141.9820895023</v>
      </c>
      <c r="C11487" s="51">
        <v>0.998</v>
      </c>
      <c r="D11487" s="51">
        <v>72.0</v>
      </c>
      <c r="E11487" s="52" t="s">
        <v>25</v>
      </c>
      <c r="F11487" s="52" t="s">
        <v>26</v>
      </c>
      <c r="G11487" s="54"/>
    </row>
    <row r="11488">
      <c r="A11488" s="49">
        <v>45141.867536307866</v>
      </c>
      <c r="B11488" s="50">
        <v>45141.992512037</v>
      </c>
      <c r="C11488" s="51">
        <v>0.998</v>
      </c>
      <c r="D11488" s="51">
        <v>72.0</v>
      </c>
      <c r="E11488" s="52" t="s">
        <v>25</v>
      </c>
      <c r="F11488" s="52" t="s">
        <v>26</v>
      </c>
      <c r="G11488" s="54"/>
    </row>
    <row r="11489">
      <c r="A11489" s="49">
        <v>45141.87797189815</v>
      </c>
      <c r="B11489" s="50">
        <v>45142.0029451504</v>
      </c>
      <c r="C11489" s="51">
        <v>0.998</v>
      </c>
      <c r="D11489" s="51">
        <v>72.0</v>
      </c>
      <c r="E11489" s="52" t="s">
        <v>25</v>
      </c>
      <c r="F11489" s="52" t="s">
        <v>26</v>
      </c>
      <c r="G11489" s="54"/>
    </row>
    <row r="11490">
      <c r="A11490" s="49">
        <v>45141.888398333336</v>
      </c>
      <c r="B11490" s="50">
        <v>45142.0133658217</v>
      </c>
      <c r="C11490" s="51">
        <v>0.998</v>
      </c>
      <c r="D11490" s="51">
        <v>72.0</v>
      </c>
      <c r="E11490" s="52" t="s">
        <v>25</v>
      </c>
      <c r="F11490" s="52" t="s">
        <v>26</v>
      </c>
      <c r="G11490" s="54"/>
    </row>
    <row r="11491">
      <c r="A11491" s="49">
        <v>45141.89880895833</v>
      </c>
      <c r="B11491" s="50">
        <v>45142.0237875115</v>
      </c>
      <c r="C11491" s="51">
        <v>0.998</v>
      </c>
      <c r="D11491" s="51">
        <v>72.0</v>
      </c>
      <c r="E11491" s="52" t="s">
        <v>25</v>
      </c>
      <c r="F11491" s="52" t="s">
        <v>26</v>
      </c>
      <c r="G11491" s="54"/>
    </row>
    <row r="11492">
      <c r="A11492" s="49">
        <v>45141.90924409722</v>
      </c>
      <c r="B11492" s="50">
        <v>45142.034220868</v>
      </c>
      <c r="C11492" s="51">
        <v>0.998</v>
      </c>
      <c r="D11492" s="51">
        <v>72.0</v>
      </c>
      <c r="E11492" s="52" t="s">
        <v>25</v>
      </c>
      <c r="F11492" s="52" t="s">
        <v>26</v>
      </c>
      <c r="G11492" s="54"/>
    </row>
    <row r="11493">
      <c r="A11493" s="49">
        <v>45141.91966380787</v>
      </c>
      <c r="B11493" s="50">
        <v>45142.0446416319</v>
      </c>
      <c r="C11493" s="51">
        <v>0.998</v>
      </c>
      <c r="D11493" s="51">
        <v>72.0</v>
      </c>
      <c r="E11493" s="52" t="s">
        <v>25</v>
      </c>
      <c r="F11493" s="52" t="s">
        <v>26</v>
      </c>
      <c r="G11493" s="54"/>
    </row>
    <row r="11494">
      <c r="A11494" s="49">
        <v>45141.930085127315</v>
      </c>
      <c r="B11494" s="50">
        <v>45142.0550617708</v>
      </c>
      <c r="C11494" s="51">
        <v>0.998</v>
      </c>
      <c r="D11494" s="51">
        <v>72.0</v>
      </c>
      <c r="E11494" s="52" t="s">
        <v>25</v>
      </c>
      <c r="F11494" s="52" t="s">
        <v>26</v>
      </c>
      <c r="G11494" s="54"/>
    </row>
    <row r="11495">
      <c r="A11495" s="49">
        <v>45141.94050640047</v>
      </c>
      <c r="B11495" s="50">
        <v>45142.065484155</v>
      </c>
      <c r="C11495" s="51">
        <v>0.998</v>
      </c>
      <c r="D11495" s="51">
        <v>72.0</v>
      </c>
      <c r="E11495" s="52" t="s">
        <v>25</v>
      </c>
      <c r="F11495" s="52" t="s">
        <v>26</v>
      </c>
      <c r="G11495" s="54"/>
    </row>
    <row r="11496">
      <c r="A11496" s="49">
        <v>45141.95092795139</v>
      </c>
      <c r="B11496" s="50">
        <v>45142.075905706</v>
      </c>
      <c r="C11496" s="51">
        <v>0.998</v>
      </c>
      <c r="D11496" s="51">
        <v>72.0</v>
      </c>
      <c r="E11496" s="52" t="s">
        <v>25</v>
      </c>
      <c r="F11496" s="52" t="s">
        <v>26</v>
      </c>
      <c r="G11496" s="54"/>
    </row>
    <row r="11497">
      <c r="A11497" s="49">
        <v>45141.96135186343</v>
      </c>
      <c r="B11497" s="50">
        <v>45142.0863271064</v>
      </c>
      <c r="C11497" s="51">
        <v>0.998</v>
      </c>
      <c r="D11497" s="51">
        <v>72.0</v>
      </c>
      <c r="E11497" s="52" t="s">
        <v>25</v>
      </c>
      <c r="F11497" s="52" t="s">
        <v>26</v>
      </c>
      <c r="G11497" s="54"/>
    </row>
    <row r="11498">
      <c r="A11498" s="49">
        <v>45141.97177446759</v>
      </c>
      <c r="B11498" s="50">
        <v>45142.096747662</v>
      </c>
      <c r="C11498" s="51">
        <v>0.998</v>
      </c>
      <c r="D11498" s="51">
        <v>72.0</v>
      </c>
      <c r="E11498" s="52" t="s">
        <v>25</v>
      </c>
      <c r="F11498" s="52" t="s">
        <v>26</v>
      </c>
      <c r="G11498" s="54"/>
    </row>
    <row r="11499">
      <c r="A11499" s="49">
        <v>45141.982187754635</v>
      </c>
      <c r="B11499" s="50">
        <v>45142.1071686458</v>
      </c>
      <c r="C11499" s="51">
        <v>0.998</v>
      </c>
      <c r="D11499" s="51">
        <v>72.0</v>
      </c>
      <c r="E11499" s="52" t="s">
        <v>25</v>
      </c>
      <c r="F11499" s="52" t="s">
        <v>26</v>
      </c>
      <c r="G11499" s="54"/>
    </row>
    <row r="11500">
      <c r="A11500" s="49">
        <v>45141.99261369213</v>
      </c>
      <c r="B11500" s="50">
        <v>45142.1175899074</v>
      </c>
      <c r="C11500" s="51">
        <v>0.998</v>
      </c>
      <c r="D11500" s="51">
        <v>72.0</v>
      </c>
      <c r="E11500" s="52" t="s">
        <v>25</v>
      </c>
      <c r="F11500" s="52" t="s">
        <v>26</v>
      </c>
      <c r="G11500" s="54"/>
    </row>
    <row r="11501">
      <c r="A11501" s="49">
        <v>45142.00303467593</v>
      </c>
      <c r="B11501" s="50">
        <v>45142.1280107407</v>
      </c>
      <c r="C11501" s="51">
        <v>0.998</v>
      </c>
      <c r="D11501" s="51">
        <v>72.0</v>
      </c>
      <c r="E11501" s="52" t="s">
        <v>25</v>
      </c>
      <c r="F11501" s="52" t="s">
        <v>26</v>
      </c>
      <c r="G11501" s="54"/>
    </row>
    <row r="11502">
      <c r="A11502" s="49">
        <v>45142.01346857639</v>
      </c>
      <c r="B11502" s="50">
        <v>45142.138443368</v>
      </c>
      <c r="C11502" s="51">
        <v>0.998</v>
      </c>
      <c r="D11502" s="51">
        <v>72.0</v>
      </c>
      <c r="E11502" s="52" t="s">
        <v>25</v>
      </c>
      <c r="F11502" s="52" t="s">
        <v>26</v>
      </c>
      <c r="G11502" s="54"/>
    </row>
    <row r="11503">
      <c r="A11503" s="49">
        <v>45142.023889895834</v>
      </c>
      <c r="B11503" s="50">
        <v>45142.1488641666</v>
      </c>
      <c r="C11503" s="51">
        <v>0.998</v>
      </c>
      <c r="D11503" s="51">
        <v>72.0</v>
      </c>
      <c r="E11503" s="52" t="s">
        <v>25</v>
      </c>
      <c r="F11503" s="52" t="s">
        <v>26</v>
      </c>
      <c r="G11503" s="54"/>
    </row>
    <row r="11504">
      <c r="A11504" s="49">
        <v>45142.034323113425</v>
      </c>
      <c r="B11504" s="50">
        <v>45142.1592964467</v>
      </c>
      <c r="C11504" s="51">
        <v>0.998</v>
      </c>
      <c r="D11504" s="51">
        <v>72.0</v>
      </c>
      <c r="E11504" s="52" t="s">
        <v>25</v>
      </c>
      <c r="F11504" s="52" t="s">
        <v>26</v>
      </c>
      <c r="G11504" s="54"/>
    </row>
    <row r="11505">
      <c r="A11505" s="49">
        <v>45142.04475717593</v>
      </c>
      <c r="B11505" s="50">
        <v>45142.1697186111</v>
      </c>
      <c r="C11505" s="51">
        <v>0.998</v>
      </c>
      <c r="D11505" s="51">
        <v>72.0</v>
      </c>
      <c r="E11505" s="52" t="s">
        <v>25</v>
      </c>
      <c r="F11505" s="52" t="s">
        <v>26</v>
      </c>
      <c r="G11505" s="54"/>
    </row>
    <row r="11506">
      <c r="A11506" s="49">
        <v>45142.0551761574</v>
      </c>
      <c r="B11506" s="50">
        <v>45142.1801517476</v>
      </c>
      <c r="C11506" s="51">
        <v>0.998</v>
      </c>
      <c r="D11506" s="51">
        <v>72.0</v>
      </c>
      <c r="E11506" s="52" t="s">
        <v>25</v>
      </c>
      <c r="F11506" s="52" t="s">
        <v>26</v>
      </c>
      <c r="G11506" s="54"/>
    </row>
    <row r="11507">
      <c r="A11507" s="49">
        <v>45142.065594722226</v>
      </c>
      <c r="B11507" s="50">
        <v>45142.1905708912</v>
      </c>
      <c r="C11507" s="51">
        <v>0.998</v>
      </c>
      <c r="D11507" s="51">
        <v>72.0</v>
      </c>
      <c r="E11507" s="52" t="s">
        <v>25</v>
      </c>
      <c r="F11507" s="52" t="s">
        <v>26</v>
      </c>
      <c r="G11507" s="54"/>
    </row>
    <row r="11508">
      <c r="A11508" s="49">
        <v>45142.07602075231</v>
      </c>
      <c r="B11508" s="50">
        <v>45142.2009927083</v>
      </c>
      <c r="C11508" s="51">
        <v>0.998</v>
      </c>
      <c r="D11508" s="51">
        <v>72.0</v>
      </c>
      <c r="E11508" s="52" t="s">
        <v>25</v>
      </c>
      <c r="F11508" s="52" t="s">
        <v>26</v>
      </c>
      <c r="G11508" s="54"/>
    </row>
    <row r="11509">
      <c r="A11509" s="49">
        <v>45142.08643920139</v>
      </c>
      <c r="B11509" s="50">
        <v>45142.2114148495</v>
      </c>
      <c r="C11509" s="51">
        <v>0.998</v>
      </c>
      <c r="D11509" s="51">
        <v>72.0</v>
      </c>
      <c r="E11509" s="52" t="s">
        <v>25</v>
      </c>
      <c r="F11509" s="52" t="s">
        <v>26</v>
      </c>
      <c r="G11509" s="54"/>
    </row>
    <row r="11510">
      <c r="A11510" s="49">
        <v>45142.09686797454</v>
      </c>
      <c r="B11510" s="50">
        <v>45142.2218487037</v>
      </c>
      <c r="C11510" s="51">
        <v>0.998</v>
      </c>
      <c r="D11510" s="51">
        <v>72.0</v>
      </c>
      <c r="E11510" s="52" t="s">
        <v>25</v>
      </c>
      <c r="F11510" s="52" t="s">
        <v>26</v>
      </c>
      <c r="G11510" s="54"/>
    </row>
    <row r="11511">
      <c r="A11511" s="49">
        <v>45142.10729329861</v>
      </c>
      <c r="B11511" s="50">
        <v>45142.232268831</v>
      </c>
      <c r="C11511" s="51">
        <v>0.998</v>
      </c>
      <c r="D11511" s="51">
        <v>72.0</v>
      </c>
      <c r="E11511" s="52" t="s">
        <v>25</v>
      </c>
      <c r="F11511" s="52" t="s">
        <v>26</v>
      </c>
      <c r="G11511" s="54"/>
    </row>
    <row r="11512">
      <c r="A11512" s="49">
        <v>45142.11771681713</v>
      </c>
      <c r="B11512" s="50">
        <v>45142.2426892476</v>
      </c>
      <c r="C11512" s="51">
        <v>0.998</v>
      </c>
      <c r="D11512" s="51">
        <v>72.0</v>
      </c>
      <c r="E11512" s="52" t="s">
        <v>25</v>
      </c>
      <c r="F11512" s="52" t="s">
        <v>26</v>
      </c>
      <c r="G11512" s="54"/>
    </row>
    <row r="11513">
      <c r="A11513" s="49">
        <v>45142.12815729166</v>
      </c>
      <c r="B11513" s="50">
        <v>45142.2531207986</v>
      </c>
      <c r="C11513" s="51">
        <v>0.998</v>
      </c>
      <c r="D11513" s="51">
        <v>72.0</v>
      </c>
      <c r="E11513" s="52" t="s">
        <v>25</v>
      </c>
      <c r="F11513" s="52" t="s">
        <v>26</v>
      </c>
      <c r="G11513" s="54"/>
    </row>
    <row r="11514">
      <c r="A11514" s="49">
        <v>45142.13856821759</v>
      </c>
      <c r="B11514" s="50">
        <v>45142.2635417708</v>
      </c>
      <c r="C11514" s="51">
        <v>0.998</v>
      </c>
      <c r="D11514" s="51">
        <v>72.0</v>
      </c>
      <c r="E11514" s="52" t="s">
        <v>25</v>
      </c>
      <c r="F11514" s="52" t="s">
        <v>26</v>
      </c>
      <c r="G11514" s="54"/>
    </row>
    <row r="11515">
      <c r="A11515" s="49">
        <v>45142.14899083333</v>
      </c>
      <c r="B11515" s="50">
        <v>45142.2739635069</v>
      </c>
      <c r="C11515" s="51">
        <v>0.998</v>
      </c>
      <c r="D11515" s="51">
        <v>72.0</v>
      </c>
      <c r="E11515" s="52" t="s">
        <v>25</v>
      </c>
      <c r="F11515" s="52" t="s">
        <v>26</v>
      </c>
      <c r="G11515" s="54"/>
    </row>
    <row r="11516">
      <c r="A11516" s="49">
        <v>45142.1594128125</v>
      </c>
      <c r="B11516" s="50">
        <v>45142.2843854629</v>
      </c>
      <c r="C11516" s="51">
        <v>0.998</v>
      </c>
      <c r="D11516" s="51">
        <v>72.0</v>
      </c>
      <c r="E11516" s="52" t="s">
        <v>25</v>
      </c>
      <c r="F11516" s="52" t="s">
        <v>26</v>
      </c>
      <c r="G11516" s="54"/>
    </row>
    <row r="11517">
      <c r="A11517" s="49">
        <v>45142.169823530094</v>
      </c>
      <c r="B11517" s="50">
        <v>45142.2948062384</v>
      </c>
      <c r="C11517" s="51">
        <v>0.998</v>
      </c>
      <c r="D11517" s="51">
        <v>72.0</v>
      </c>
      <c r="E11517" s="52" t="s">
        <v>25</v>
      </c>
      <c r="F11517" s="52" t="s">
        <v>26</v>
      </c>
      <c r="G11517" s="54"/>
    </row>
    <row r="11518">
      <c r="A11518" s="49">
        <v>45142.18024502315</v>
      </c>
      <c r="B11518" s="50">
        <v>45142.3052263888</v>
      </c>
      <c r="C11518" s="51">
        <v>0.998</v>
      </c>
      <c r="D11518" s="51">
        <v>72.0</v>
      </c>
      <c r="E11518" s="52" t="s">
        <v>25</v>
      </c>
      <c r="F11518" s="52" t="s">
        <v>26</v>
      </c>
      <c r="G11518" s="54"/>
    </row>
    <row r="11519">
      <c r="A11519" s="49">
        <v>45142.19067365741</v>
      </c>
      <c r="B11519" s="50">
        <v>45142.3156489236</v>
      </c>
      <c r="C11519" s="51">
        <v>0.998</v>
      </c>
      <c r="D11519" s="51">
        <v>72.0</v>
      </c>
      <c r="E11519" s="52" t="s">
        <v>25</v>
      </c>
      <c r="F11519" s="52" t="s">
        <v>26</v>
      </c>
      <c r="G11519" s="54"/>
    </row>
    <row r="11520">
      <c r="A11520" s="49">
        <v>45142.20109289352</v>
      </c>
      <c r="B11520" s="50">
        <v>45142.3260682986</v>
      </c>
      <c r="C11520" s="51">
        <v>0.998</v>
      </c>
      <c r="D11520" s="51">
        <v>72.0</v>
      </c>
      <c r="E11520" s="52" t="s">
        <v>25</v>
      </c>
      <c r="F11520" s="52" t="s">
        <v>26</v>
      </c>
      <c r="G11520" s="54"/>
    </row>
    <row r="11521">
      <c r="A11521" s="49">
        <v>45142.21151479166</v>
      </c>
      <c r="B11521" s="50">
        <v>45142.3364901504</v>
      </c>
      <c r="C11521" s="51">
        <v>0.998</v>
      </c>
      <c r="D11521" s="51">
        <v>72.0</v>
      </c>
      <c r="E11521" s="52" t="s">
        <v>25</v>
      </c>
      <c r="F11521" s="52" t="s">
        <v>26</v>
      </c>
      <c r="G11521" s="54"/>
    </row>
    <row r="11522">
      <c r="A11522" s="49">
        <v>45142.221954884255</v>
      </c>
      <c r="B11522" s="50">
        <v>45142.3469225694</v>
      </c>
      <c r="C11522" s="51">
        <v>0.998</v>
      </c>
      <c r="D11522" s="51">
        <v>72.0</v>
      </c>
      <c r="E11522" s="52" t="s">
        <v>25</v>
      </c>
      <c r="F11522" s="52" t="s">
        <v>26</v>
      </c>
      <c r="G11522" s="54"/>
    </row>
    <row r="11523">
      <c r="A11523" s="49">
        <v>45142.232366041666</v>
      </c>
      <c r="B11523" s="50">
        <v>45142.3573425578</v>
      </c>
      <c r="C11523" s="51">
        <v>0.998</v>
      </c>
      <c r="D11523" s="51">
        <v>72.0</v>
      </c>
      <c r="E11523" s="52" t="s">
        <v>25</v>
      </c>
      <c r="F11523" s="52" t="s">
        <v>26</v>
      </c>
      <c r="G11523" s="54"/>
    </row>
    <row r="11524">
      <c r="A11524" s="49">
        <v>45142.2428003588</v>
      </c>
      <c r="B11524" s="50">
        <v>45142.3677760648</v>
      </c>
      <c r="C11524" s="51">
        <v>0.998</v>
      </c>
      <c r="D11524" s="51">
        <v>72.0</v>
      </c>
      <c r="E11524" s="52" t="s">
        <v>25</v>
      </c>
      <c r="F11524" s="52" t="s">
        <v>26</v>
      </c>
      <c r="G11524" s="54"/>
    </row>
    <row r="11525">
      <c r="A11525" s="49">
        <v>45142.25323753472</v>
      </c>
      <c r="B11525" s="50">
        <v>45142.3782096412</v>
      </c>
      <c r="C11525" s="51">
        <v>0.998</v>
      </c>
      <c r="D11525" s="51">
        <v>72.0</v>
      </c>
      <c r="E11525" s="52" t="s">
        <v>25</v>
      </c>
      <c r="F11525" s="52" t="s">
        <v>26</v>
      </c>
      <c r="G11525" s="54"/>
    </row>
    <row r="11526">
      <c r="A11526" s="49">
        <v>45142.263662337966</v>
      </c>
      <c r="B11526" s="50">
        <v>45142.3886307407</v>
      </c>
      <c r="C11526" s="51">
        <v>0.998</v>
      </c>
      <c r="D11526" s="51">
        <v>72.0</v>
      </c>
      <c r="E11526" s="52" t="s">
        <v>25</v>
      </c>
      <c r="F11526" s="52" t="s">
        <v>26</v>
      </c>
      <c r="G11526" s="54"/>
    </row>
    <row r="11527">
      <c r="A11527" s="49">
        <v>45142.27408931713</v>
      </c>
      <c r="B11527" s="50">
        <v>45142.3990635648</v>
      </c>
      <c r="C11527" s="51">
        <v>0.998</v>
      </c>
      <c r="D11527" s="51">
        <v>72.0</v>
      </c>
      <c r="E11527" s="52" t="s">
        <v>25</v>
      </c>
      <c r="F11527" s="52" t="s">
        <v>26</v>
      </c>
      <c r="G11527" s="54"/>
    </row>
    <row r="11528">
      <c r="A11528" s="49">
        <v>45142.28452962963</v>
      </c>
      <c r="B11528" s="50">
        <v>45142.4094832638</v>
      </c>
      <c r="C11528" s="51">
        <v>0.998</v>
      </c>
      <c r="D11528" s="51">
        <v>72.0</v>
      </c>
      <c r="E11528" s="52" t="s">
        <v>25</v>
      </c>
      <c r="F11528" s="52" t="s">
        <v>26</v>
      </c>
      <c r="G11528" s="54"/>
    </row>
    <row r="11529">
      <c r="A11529" s="49">
        <v>45142.29494266203</v>
      </c>
      <c r="B11529" s="50">
        <v>45142.4199163078</v>
      </c>
      <c r="C11529" s="51">
        <v>0.998</v>
      </c>
      <c r="D11529" s="51">
        <v>72.0</v>
      </c>
      <c r="E11529" s="52" t="s">
        <v>25</v>
      </c>
      <c r="F11529" s="52" t="s">
        <v>26</v>
      </c>
      <c r="G11529" s="54"/>
    </row>
    <row r="11530">
      <c r="A11530" s="49">
        <v>45142.30536746528</v>
      </c>
      <c r="B11530" s="50">
        <v>45142.4303384838</v>
      </c>
      <c r="C11530" s="51">
        <v>0.998</v>
      </c>
      <c r="D11530" s="51">
        <v>72.0</v>
      </c>
      <c r="E11530" s="52" t="s">
        <v>25</v>
      </c>
      <c r="F11530" s="52" t="s">
        <v>26</v>
      </c>
      <c r="G11530" s="54"/>
    </row>
    <row r="11531">
      <c r="A11531" s="49">
        <v>45142.31578493056</v>
      </c>
      <c r="B11531" s="50">
        <v>45142.4407607407</v>
      </c>
      <c r="C11531" s="51">
        <v>0.998</v>
      </c>
      <c r="D11531" s="51">
        <v>72.0</v>
      </c>
      <c r="E11531" s="52" t="s">
        <v>25</v>
      </c>
      <c r="F11531" s="52" t="s">
        <v>26</v>
      </c>
      <c r="G11531" s="54"/>
    </row>
    <row r="11532">
      <c r="A11532" s="49">
        <v>45142.32620438657</v>
      </c>
      <c r="B11532" s="50">
        <v>45142.4511804166</v>
      </c>
      <c r="C11532" s="51">
        <v>0.998</v>
      </c>
      <c r="D11532" s="51">
        <v>72.0</v>
      </c>
      <c r="E11532" s="52" t="s">
        <v>25</v>
      </c>
      <c r="F11532" s="52" t="s">
        <v>26</v>
      </c>
      <c r="G11532" s="54"/>
    </row>
    <row r="11533">
      <c r="A11533" s="49">
        <v>45142.33662857639</v>
      </c>
      <c r="B11533" s="50">
        <v>45142.4616004745</v>
      </c>
      <c r="C11533" s="51">
        <v>0.998</v>
      </c>
      <c r="D11533" s="51">
        <v>72.0</v>
      </c>
      <c r="E11533" s="52" t="s">
        <v>25</v>
      </c>
      <c r="F11533" s="52" t="s">
        <v>26</v>
      </c>
      <c r="G11533" s="54"/>
    </row>
    <row r="11534">
      <c r="A11534" s="49">
        <v>45142.34704072917</v>
      </c>
      <c r="B11534" s="50">
        <v>45142.4720218402</v>
      </c>
      <c r="C11534" s="51">
        <v>0.998</v>
      </c>
      <c r="D11534" s="51">
        <v>72.0</v>
      </c>
      <c r="E11534" s="52" t="s">
        <v>25</v>
      </c>
      <c r="F11534" s="52" t="s">
        <v>26</v>
      </c>
      <c r="G11534" s="54"/>
    </row>
    <row r="11535">
      <c r="A11535" s="49">
        <v>45142.35748253472</v>
      </c>
      <c r="B11535" s="50">
        <v>45142.4824553935</v>
      </c>
      <c r="C11535" s="51">
        <v>0.998</v>
      </c>
      <c r="D11535" s="51">
        <v>72.0</v>
      </c>
      <c r="E11535" s="52" t="s">
        <v>25</v>
      </c>
      <c r="F11535" s="52" t="s">
        <v>26</v>
      </c>
      <c r="G11535" s="54"/>
    </row>
    <row r="11536">
      <c r="A11536" s="49">
        <v>45142.36790002315</v>
      </c>
      <c r="B11536" s="50">
        <v>45142.4928760416</v>
      </c>
      <c r="C11536" s="51">
        <v>0.998</v>
      </c>
      <c r="D11536" s="51">
        <v>72.0</v>
      </c>
      <c r="E11536" s="52" t="s">
        <v>25</v>
      </c>
      <c r="F11536" s="52" t="s">
        <v>26</v>
      </c>
      <c r="G11536" s="54"/>
    </row>
    <row r="11537">
      <c r="A11537" s="49">
        <v>45142.37834938658</v>
      </c>
      <c r="B11537" s="50">
        <v>45142.5033181134</v>
      </c>
      <c r="C11537" s="51">
        <v>0.998</v>
      </c>
      <c r="D11537" s="51">
        <v>72.0</v>
      </c>
      <c r="E11537" s="52" t="s">
        <v>25</v>
      </c>
      <c r="F11537" s="52" t="s">
        <v>26</v>
      </c>
      <c r="G11537" s="54"/>
    </row>
    <row r="11538">
      <c r="A11538" s="49">
        <v>45142.388754768515</v>
      </c>
      <c r="B11538" s="50">
        <v>45142.5137382754</v>
      </c>
      <c r="C11538" s="51">
        <v>0.998</v>
      </c>
      <c r="D11538" s="51">
        <v>72.0</v>
      </c>
      <c r="E11538" s="52" t="s">
        <v>25</v>
      </c>
      <c r="F11538" s="52" t="s">
        <v>26</v>
      </c>
      <c r="G11538" s="54"/>
    </row>
    <row r="11539">
      <c r="A11539" s="49">
        <v>45142.39918414352</v>
      </c>
      <c r="B11539" s="50">
        <v>45142.5241597916</v>
      </c>
      <c r="C11539" s="51">
        <v>0.998</v>
      </c>
      <c r="D11539" s="51">
        <v>72.0</v>
      </c>
      <c r="E11539" s="52" t="s">
        <v>25</v>
      </c>
      <c r="F11539" s="52" t="s">
        <v>26</v>
      </c>
      <c r="G11539" s="54"/>
    </row>
    <row r="11540">
      <c r="A11540" s="49">
        <v>45142.409606643516</v>
      </c>
      <c r="B11540" s="50">
        <v>45142.5345809722</v>
      </c>
      <c r="C11540" s="51">
        <v>0.998</v>
      </c>
      <c r="D11540" s="51">
        <v>72.0</v>
      </c>
      <c r="E11540" s="52" t="s">
        <v>25</v>
      </c>
      <c r="F11540" s="52" t="s">
        <v>26</v>
      </c>
      <c r="G11540" s="54"/>
    </row>
    <row r="11541">
      <c r="A11541" s="49">
        <v>45142.42003298611</v>
      </c>
      <c r="B11541" s="50">
        <v>45142.5450014004</v>
      </c>
      <c r="C11541" s="51">
        <v>0.998</v>
      </c>
      <c r="D11541" s="51">
        <v>72.0</v>
      </c>
      <c r="E11541" s="52" t="s">
        <v>25</v>
      </c>
      <c r="F11541" s="52" t="s">
        <v>26</v>
      </c>
      <c r="G11541" s="54"/>
    </row>
    <row r="11542">
      <c r="A11542" s="49">
        <v>45142.43044851852</v>
      </c>
      <c r="B11542" s="50">
        <v>45142.5554224537</v>
      </c>
      <c r="C11542" s="51">
        <v>0.998</v>
      </c>
      <c r="D11542" s="51">
        <v>72.0</v>
      </c>
      <c r="E11542" s="52" t="s">
        <v>25</v>
      </c>
      <c r="F11542" s="52" t="s">
        <v>26</v>
      </c>
      <c r="G11542" s="54"/>
    </row>
    <row r="11543">
      <c r="A11543" s="49">
        <v>45142.44086633102</v>
      </c>
      <c r="B11543" s="50">
        <v>45142.5658439814</v>
      </c>
      <c r="C11543" s="51">
        <v>0.998</v>
      </c>
      <c r="D11543" s="51">
        <v>72.0</v>
      </c>
      <c r="E11543" s="52" t="s">
        <v>25</v>
      </c>
      <c r="F11543" s="52" t="s">
        <v>26</v>
      </c>
      <c r="G11543" s="54"/>
    </row>
    <row r="11544">
      <c r="A11544" s="49">
        <v>45142.451288321754</v>
      </c>
      <c r="B11544" s="50">
        <v>45142.5762651388</v>
      </c>
      <c r="C11544" s="51">
        <v>0.998</v>
      </c>
      <c r="D11544" s="51">
        <v>72.0</v>
      </c>
      <c r="E11544" s="52" t="s">
        <v>25</v>
      </c>
      <c r="F11544" s="52" t="s">
        <v>26</v>
      </c>
      <c r="G11544" s="54"/>
    </row>
    <row r="11545">
      <c r="A11545" s="49">
        <v>45142.461733449076</v>
      </c>
      <c r="B11545" s="50">
        <v>45142.5867097106</v>
      </c>
      <c r="C11545" s="51">
        <v>0.998</v>
      </c>
      <c r="D11545" s="51">
        <v>72.0</v>
      </c>
      <c r="E11545" s="52" t="s">
        <v>25</v>
      </c>
      <c r="F11545" s="52" t="s">
        <v>26</v>
      </c>
      <c r="G11545" s="54"/>
    </row>
    <row r="11546">
      <c r="A11546" s="49">
        <v>45142.47255553241</v>
      </c>
      <c r="B11546" s="50">
        <v>45142.5971426504</v>
      </c>
      <c r="C11546" s="51">
        <v>0.998</v>
      </c>
      <c r="D11546" s="51">
        <v>72.0</v>
      </c>
      <c r="E11546" s="52" t="s">
        <v>25</v>
      </c>
      <c r="F11546" s="52" t="s">
        <v>26</v>
      </c>
      <c r="G11546" s="54"/>
    </row>
    <row r="11547">
      <c r="A11547" s="49">
        <v>45142.482591736116</v>
      </c>
      <c r="B11547" s="50">
        <v>45142.6075650694</v>
      </c>
      <c r="C11547" s="51">
        <v>0.998</v>
      </c>
      <c r="D11547" s="51">
        <v>72.0</v>
      </c>
      <c r="E11547" s="52" t="s">
        <v>25</v>
      </c>
      <c r="F11547" s="52" t="s">
        <v>26</v>
      </c>
      <c r="G11547" s="54"/>
    </row>
    <row r="11548">
      <c r="A11548" s="49">
        <v>45142.49301857639</v>
      </c>
      <c r="B11548" s="50">
        <v>45142.6179879745</v>
      </c>
      <c r="C11548" s="51">
        <v>0.998</v>
      </c>
      <c r="D11548" s="51">
        <v>72.0</v>
      </c>
      <c r="E11548" s="52" t="s">
        <v>25</v>
      </c>
      <c r="F11548" s="52" t="s">
        <v>26</v>
      </c>
      <c r="G11548" s="54"/>
    </row>
    <row r="11549">
      <c r="A11549" s="49">
        <v>45142.50343626157</v>
      </c>
      <c r="B11549" s="50">
        <v>45142.6284079976</v>
      </c>
      <c r="C11549" s="51">
        <v>0.998</v>
      </c>
      <c r="D11549" s="51">
        <v>72.0</v>
      </c>
      <c r="E11549" s="52" t="s">
        <v>25</v>
      </c>
      <c r="F11549" s="52" t="s">
        <v>26</v>
      </c>
      <c r="G11549" s="54"/>
    </row>
    <row r="11550">
      <c r="A11550" s="49">
        <v>45142.51386201389</v>
      </c>
      <c r="B11550" s="50">
        <v>45142.6388432291</v>
      </c>
      <c r="C11550" s="51">
        <v>0.998</v>
      </c>
      <c r="D11550" s="51">
        <v>72.0</v>
      </c>
      <c r="E11550" s="52" t="s">
        <v>25</v>
      </c>
      <c r="F11550" s="52" t="s">
        <v>26</v>
      </c>
      <c r="G11550" s="54"/>
    </row>
    <row r="11551">
      <c r="A11551" s="49">
        <v>45142.52428777778</v>
      </c>
      <c r="B11551" s="50">
        <v>45142.6492648032</v>
      </c>
      <c r="C11551" s="51">
        <v>0.998</v>
      </c>
      <c r="D11551" s="51">
        <v>72.0</v>
      </c>
      <c r="E11551" s="52" t="s">
        <v>25</v>
      </c>
      <c r="F11551" s="52" t="s">
        <v>26</v>
      </c>
      <c r="G11551" s="54"/>
    </row>
    <row r="11552">
      <c r="A11552" s="49">
        <v>45142.53470284722</v>
      </c>
      <c r="B11552" s="50">
        <v>45142.6596860763</v>
      </c>
      <c r="C11552" s="51">
        <v>0.998</v>
      </c>
      <c r="D11552" s="51">
        <v>72.0</v>
      </c>
      <c r="E11552" s="52" t="s">
        <v>25</v>
      </c>
      <c r="F11552" s="52" t="s">
        <v>26</v>
      </c>
      <c r="G11552" s="54"/>
    </row>
    <row r="11553">
      <c r="A11553" s="49">
        <v>45142.545132534724</v>
      </c>
      <c r="B11553" s="50">
        <v>45142.6701075347</v>
      </c>
      <c r="C11553" s="51">
        <v>0.998</v>
      </c>
      <c r="D11553" s="51">
        <v>72.0</v>
      </c>
      <c r="E11553" s="52" t="s">
        <v>25</v>
      </c>
      <c r="F11553" s="52" t="s">
        <v>26</v>
      </c>
      <c r="G11553" s="54"/>
    </row>
    <row r="11554">
      <c r="A11554" s="49">
        <v>45142.55555670139</v>
      </c>
      <c r="B11554" s="50">
        <v>45142.6805299652</v>
      </c>
      <c r="C11554" s="51">
        <v>0.998</v>
      </c>
      <c r="D11554" s="51">
        <v>72.0</v>
      </c>
      <c r="E11554" s="52" t="s">
        <v>25</v>
      </c>
      <c r="F11554" s="52" t="s">
        <v>26</v>
      </c>
      <c r="G11554" s="54"/>
    </row>
    <row r="11555">
      <c r="A11555" s="49">
        <v>45142.5659778588</v>
      </c>
      <c r="B11555" s="50">
        <v>45142.6909499421</v>
      </c>
      <c r="C11555" s="51">
        <v>0.998</v>
      </c>
      <c r="D11555" s="51">
        <v>72.0</v>
      </c>
      <c r="E11555" s="52" t="s">
        <v>25</v>
      </c>
      <c r="F11555" s="52" t="s">
        <v>26</v>
      </c>
      <c r="G11555" s="54"/>
    </row>
    <row r="11556">
      <c r="A11556" s="49">
        <v>45142.576407569446</v>
      </c>
      <c r="B11556" s="50">
        <v>45142.7013728703</v>
      </c>
      <c r="C11556" s="51">
        <v>0.998</v>
      </c>
      <c r="D11556" s="51">
        <v>72.0</v>
      </c>
      <c r="E11556" s="52" t="s">
        <v>25</v>
      </c>
      <c r="F11556" s="52" t="s">
        <v>26</v>
      </c>
      <c r="G11556" s="54"/>
    </row>
    <row r="11557">
      <c r="A11557" s="49">
        <v>45142.58682971065</v>
      </c>
      <c r="B11557" s="50">
        <v>45142.71180625</v>
      </c>
      <c r="C11557" s="51">
        <v>0.998</v>
      </c>
      <c r="D11557" s="51">
        <v>72.0</v>
      </c>
      <c r="E11557" s="52" t="s">
        <v>25</v>
      </c>
      <c r="F11557" s="52" t="s">
        <v>26</v>
      </c>
      <c r="G11557" s="54"/>
    </row>
    <row r="11558">
      <c r="A11558" s="49">
        <v>45142.59725283565</v>
      </c>
      <c r="B11558" s="50">
        <v>45142.7222290393</v>
      </c>
      <c r="C11558" s="51">
        <v>0.998</v>
      </c>
      <c r="D11558" s="51">
        <v>72.0</v>
      </c>
      <c r="E11558" s="52" t="s">
        <v>25</v>
      </c>
      <c r="F11558" s="52" t="s">
        <v>26</v>
      </c>
      <c r="G11558" s="54"/>
    </row>
    <row r="11559">
      <c r="A11559" s="49">
        <v>45142.60768621528</v>
      </c>
      <c r="B11559" s="50">
        <v>45142.7326613541</v>
      </c>
      <c r="C11559" s="51">
        <v>0.998</v>
      </c>
      <c r="D11559" s="51">
        <v>72.0</v>
      </c>
      <c r="E11559" s="52" t="s">
        <v>25</v>
      </c>
      <c r="F11559" s="52" t="s">
        <v>26</v>
      </c>
      <c r="G11559" s="54"/>
    </row>
    <row r="11560">
      <c r="A11560" s="49">
        <v>45142.61809885417</v>
      </c>
      <c r="B11560" s="50">
        <v>45142.7430821064</v>
      </c>
      <c r="C11560" s="51">
        <v>0.998</v>
      </c>
      <c r="D11560" s="51">
        <v>72.0</v>
      </c>
      <c r="E11560" s="52" t="s">
        <v>25</v>
      </c>
      <c r="F11560" s="52" t="s">
        <v>26</v>
      </c>
      <c r="G11560" s="54"/>
    </row>
    <row r="11561">
      <c r="A11561" s="49">
        <v>45142.628521203704</v>
      </c>
      <c r="B11561" s="50">
        <v>45142.7535034259</v>
      </c>
      <c r="C11561" s="51">
        <v>0.998</v>
      </c>
      <c r="D11561" s="51">
        <v>72.0</v>
      </c>
      <c r="E11561" s="52" t="s">
        <v>25</v>
      </c>
      <c r="F11561" s="52" t="s">
        <v>26</v>
      </c>
      <c r="G11561" s="54"/>
    </row>
    <row r="11562">
      <c r="A11562" s="49">
        <v>45142.63895146991</v>
      </c>
      <c r="B11562" s="50">
        <v>45142.7639256018</v>
      </c>
      <c r="C11562" s="51">
        <v>0.998</v>
      </c>
      <c r="D11562" s="51">
        <v>72.0</v>
      </c>
      <c r="E11562" s="52" t="s">
        <v>25</v>
      </c>
      <c r="F11562" s="52" t="s">
        <v>26</v>
      </c>
      <c r="G11562" s="54"/>
    </row>
    <row r="11563">
      <c r="A11563" s="49">
        <v>45142.64937534722</v>
      </c>
      <c r="B11563" s="50">
        <v>45142.7743477893</v>
      </c>
      <c r="C11563" s="51">
        <v>0.998</v>
      </c>
      <c r="D11563" s="51">
        <v>72.0</v>
      </c>
      <c r="E11563" s="52" t="s">
        <v>25</v>
      </c>
      <c r="F11563" s="52" t="s">
        <v>26</v>
      </c>
      <c r="G11563" s="54"/>
    </row>
    <row r="11564">
      <c r="A11564" s="49">
        <v>45142.65980959491</v>
      </c>
      <c r="B11564" s="50">
        <v>45142.7847784027</v>
      </c>
      <c r="C11564" s="51">
        <v>0.998</v>
      </c>
      <c r="D11564" s="51">
        <v>72.0</v>
      </c>
      <c r="E11564" s="52" t="s">
        <v>25</v>
      </c>
      <c r="F11564" s="52" t="s">
        <v>26</v>
      </c>
      <c r="G11564" s="54"/>
    </row>
    <row r="11565">
      <c r="A11565" s="49">
        <v>45142.670229131945</v>
      </c>
      <c r="B11565" s="50">
        <v>45142.7951985301</v>
      </c>
      <c r="C11565" s="51">
        <v>0.998</v>
      </c>
      <c r="D11565" s="51">
        <v>72.0</v>
      </c>
      <c r="E11565" s="52" t="s">
        <v>25</v>
      </c>
      <c r="F11565" s="52" t="s">
        <v>26</v>
      </c>
      <c r="G11565" s="54"/>
    </row>
    <row r="11566">
      <c r="A11566" s="49">
        <v>45142.68063945602</v>
      </c>
      <c r="B11566" s="50">
        <v>45142.8056201041</v>
      </c>
      <c r="C11566" s="51">
        <v>0.998</v>
      </c>
      <c r="D11566" s="51">
        <v>72.0</v>
      </c>
      <c r="E11566" s="52" t="s">
        <v>25</v>
      </c>
      <c r="F11566" s="52" t="s">
        <v>26</v>
      </c>
      <c r="G11566" s="54"/>
    </row>
    <row r="11567">
      <c r="A11567" s="49">
        <v>45142.691077337964</v>
      </c>
      <c r="B11567" s="50">
        <v>45142.8160504051</v>
      </c>
      <c r="C11567" s="51">
        <v>0.998</v>
      </c>
      <c r="D11567" s="51">
        <v>72.0</v>
      </c>
      <c r="E11567" s="52" t="s">
        <v>25</v>
      </c>
      <c r="F11567" s="52" t="s">
        <v>26</v>
      </c>
      <c r="G11567" s="54"/>
    </row>
    <row r="11568">
      <c r="A11568" s="49">
        <v>45142.70149472222</v>
      </c>
      <c r="B11568" s="50">
        <v>45142.8264709722</v>
      </c>
      <c r="C11568" s="51">
        <v>0.998</v>
      </c>
      <c r="D11568" s="51">
        <v>72.0</v>
      </c>
      <c r="E11568" s="52" t="s">
        <v>25</v>
      </c>
      <c r="F11568" s="52" t="s">
        <v>26</v>
      </c>
      <c r="G11568" s="54"/>
    </row>
    <row r="11569">
      <c r="A11569" s="49">
        <v>45142.71192149306</v>
      </c>
      <c r="B11569" s="50">
        <v>45142.8369044212</v>
      </c>
      <c r="C11569" s="51">
        <v>0.998</v>
      </c>
      <c r="D11569" s="51">
        <v>72.0</v>
      </c>
      <c r="E11569" s="52" t="s">
        <v>25</v>
      </c>
      <c r="F11569" s="52" t="s">
        <v>26</v>
      </c>
      <c r="G11569" s="54"/>
    </row>
    <row r="11570">
      <c r="A11570" s="49">
        <v>45142.72234930556</v>
      </c>
      <c r="B11570" s="50">
        <v>45142.8473241088</v>
      </c>
      <c r="C11570" s="51">
        <v>0.998</v>
      </c>
      <c r="D11570" s="51">
        <v>72.0</v>
      </c>
      <c r="E11570" s="52" t="s">
        <v>25</v>
      </c>
      <c r="F11570" s="52" t="s">
        <v>26</v>
      </c>
      <c r="G11570" s="54"/>
    </row>
    <row r="11571">
      <c r="A11571" s="49">
        <v>45142.73276965278</v>
      </c>
      <c r="B11571" s="50">
        <v>45142.8577457523</v>
      </c>
      <c r="C11571" s="51">
        <v>0.998</v>
      </c>
      <c r="D11571" s="51">
        <v>72.0</v>
      </c>
      <c r="E11571" s="52" t="s">
        <v>25</v>
      </c>
      <c r="F11571" s="52" t="s">
        <v>26</v>
      </c>
      <c r="G11571" s="54"/>
    </row>
    <row r="11572">
      <c r="A11572" s="49">
        <v>45142.743186736116</v>
      </c>
      <c r="B11572" s="50">
        <v>45142.8681669907</v>
      </c>
      <c r="C11572" s="51">
        <v>0.998</v>
      </c>
      <c r="D11572" s="51">
        <v>72.0</v>
      </c>
      <c r="E11572" s="52" t="s">
        <v>25</v>
      </c>
      <c r="F11572" s="52" t="s">
        <v>26</v>
      </c>
      <c r="G11572" s="54"/>
    </row>
    <row r="11573">
      <c r="A11573" s="49">
        <v>45142.75361717593</v>
      </c>
      <c r="B11573" s="50">
        <v>45142.8785884838</v>
      </c>
      <c r="C11573" s="51">
        <v>0.998</v>
      </c>
      <c r="D11573" s="51">
        <v>72.0</v>
      </c>
      <c r="E11573" s="52" t="s">
        <v>25</v>
      </c>
      <c r="F11573" s="52" t="s">
        <v>26</v>
      </c>
      <c r="G11573" s="54"/>
    </row>
    <row r="11574">
      <c r="A11574" s="49">
        <v>45142.76403295139</v>
      </c>
      <c r="B11574" s="50">
        <v>45142.8890088773</v>
      </c>
      <c r="C11574" s="51">
        <v>0.998</v>
      </c>
      <c r="D11574" s="51">
        <v>72.0</v>
      </c>
      <c r="E11574" s="52" t="s">
        <v>25</v>
      </c>
      <c r="F11574" s="52" t="s">
        <v>26</v>
      </c>
      <c r="G11574" s="54"/>
    </row>
    <row r="11575">
      <c r="A11575" s="49">
        <v>45142.77446380787</v>
      </c>
      <c r="B11575" s="50">
        <v>45142.899440706</v>
      </c>
      <c r="C11575" s="51">
        <v>0.998</v>
      </c>
      <c r="D11575" s="51">
        <v>72.0</v>
      </c>
      <c r="E11575" s="52" t="s">
        <v>25</v>
      </c>
      <c r="F11575" s="52" t="s">
        <v>26</v>
      </c>
      <c r="G11575" s="54"/>
    </row>
    <row r="11576">
      <c r="A11576" s="49">
        <v>45142.78487908565</v>
      </c>
      <c r="B11576" s="50">
        <v>45142.9098602314</v>
      </c>
      <c r="C11576" s="51">
        <v>0.998</v>
      </c>
      <c r="D11576" s="51">
        <v>72.0</v>
      </c>
      <c r="E11576" s="52" t="s">
        <v>25</v>
      </c>
      <c r="F11576" s="52" t="s">
        <v>26</v>
      </c>
      <c r="G11576" s="54"/>
    </row>
    <row r="11577">
      <c r="A11577" s="49">
        <v>45142.79530462963</v>
      </c>
      <c r="B11577" s="50">
        <v>45142.9202822106</v>
      </c>
      <c r="C11577" s="51">
        <v>0.998</v>
      </c>
      <c r="D11577" s="51">
        <v>72.0</v>
      </c>
      <c r="E11577" s="52" t="s">
        <v>25</v>
      </c>
      <c r="F11577" s="52" t="s">
        <v>26</v>
      </c>
      <c r="G11577" s="54"/>
    </row>
    <row r="11578">
      <c r="A11578" s="49">
        <v>45142.805723819445</v>
      </c>
      <c r="B11578" s="50">
        <v>45142.93070478</v>
      </c>
      <c r="C11578" s="51">
        <v>0.998</v>
      </c>
      <c r="D11578" s="51">
        <v>72.0</v>
      </c>
      <c r="E11578" s="52" t="s">
        <v>25</v>
      </c>
      <c r="F11578" s="52" t="s">
        <v>26</v>
      </c>
      <c r="G11578" s="54"/>
    </row>
    <row r="11579">
      <c r="A11579" s="49">
        <v>45142.81615115741</v>
      </c>
      <c r="B11579" s="50">
        <v>45142.941125405</v>
      </c>
      <c r="C11579" s="51">
        <v>0.998</v>
      </c>
      <c r="D11579" s="51">
        <v>72.0</v>
      </c>
      <c r="E11579" s="52" t="s">
        <v>25</v>
      </c>
      <c r="F11579" s="52" t="s">
        <v>26</v>
      </c>
      <c r="G11579" s="54"/>
    </row>
    <row r="11580">
      <c r="A11580" s="49">
        <v>45142.826570150464</v>
      </c>
      <c r="B11580" s="50">
        <v>45142.9515462268</v>
      </c>
      <c r="C11580" s="51">
        <v>0.998</v>
      </c>
      <c r="D11580" s="51">
        <v>72.0</v>
      </c>
      <c r="E11580" s="52" t="s">
        <v>25</v>
      </c>
      <c r="F11580" s="52" t="s">
        <v>26</v>
      </c>
      <c r="G11580" s="54"/>
    </row>
    <row r="11581">
      <c r="A11581" s="49">
        <v>45142.83698743056</v>
      </c>
      <c r="B11581" s="50">
        <v>45142.9619674652</v>
      </c>
      <c r="C11581" s="51">
        <v>0.998</v>
      </c>
      <c r="D11581" s="51">
        <v>72.0</v>
      </c>
      <c r="E11581" s="52" t="s">
        <v>25</v>
      </c>
      <c r="F11581" s="52" t="s">
        <v>26</v>
      </c>
      <c r="G11581" s="54"/>
    </row>
    <row r="11582">
      <c r="A11582" s="49">
        <v>45142.84740648148</v>
      </c>
      <c r="B11582" s="50">
        <v>45142.9723883333</v>
      </c>
      <c r="C11582" s="51">
        <v>0.998</v>
      </c>
      <c r="D11582" s="51">
        <v>72.0</v>
      </c>
      <c r="E11582" s="52" t="s">
        <v>25</v>
      </c>
      <c r="F11582" s="52" t="s">
        <v>26</v>
      </c>
      <c r="G11582" s="54"/>
    </row>
    <row r="11583">
      <c r="A11583" s="49">
        <v>45142.857832222224</v>
      </c>
      <c r="B11583" s="50">
        <v>45142.9828092824</v>
      </c>
      <c r="C11583" s="51">
        <v>0.998</v>
      </c>
      <c r="D11583" s="51">
        <v>72.0</v>
      </c>
      <c r="E11583" s="52" t="s">
        <v>25</v>
      </c>
      <c r="F11583" s="52" t="s">
        <v>26</v>
      </c>
      <c r="G11583" s="54"/>
    </row>
    <row r="11584">
      <c r="A11584" s="49">
        <v>45142.86825414352</v>
      </c>
      <c r="B11584" s="50">
        <v>45142.9932294907</v>
      </c>
      <c r="C11584" s="51">
        <v>0.998</v>
      </c>
      <c r="D11584" s="51">
        <v>72.0</v>
      </c>
      <c r="E11584" s="52" t="s">
        <v>25</v>
      </c>
      <c r="F11584" s="52" t="s">
        <v>26</v>
      </c>
      <c r="G11584" s="54"/>
    </row>
    <row r="11585">
      <c r="A11585" s="49">
        <v>45142.878677291665</v>
      </c>
      <c r="B11585" s="50">
        <v>45143.0036513773</v>
      </c>
      <c r="C11585" s="51">
        <v>0.998</v>
      </c>
      <c r="D11585" s="51">
        <v>72.0</v>
      </c>
      <c r="E11585" s="52" t="s">
        <v>25</v>
      </c>
      <c r="F11585" s="52" t="s">
        <v>26</v>
      </c>
      <c r="G11585" s="54"/>
    </row>
    <row r="11586">
      <c r="A11586" s="49">
        <v>45142.88909172454</v>
      </c>
      <c r="B11586" s="50">
        <v>45143.014071956</v>
      </c>
      <c r="C11586" s="51">
        <v>0.998</v>
      </c>
      <c r="D11586" s="51">
        <v>72.0</v>
      </c>
      <c r="E11586" s="52" t="s">
        <v>25</v>
      </c>
      <c r="F11586" s="52" t="s">
        <v>26</v>
      </c>
      <c r="G11586" s="54"/>
    </row>
    <row r="11587">
      <c r="A11587" s="49">
        <v>45142.899524594905</v>
      </c>
      <c r="B11587" s="50">
        <v>45143.0245019328</v>
      </c>
      <c r="C11587" s="51">
        <v>0.998</v>
      </c>
      <c r="D11587" s="51">
        <v>72.0</v>
      </c>
      <c r="E11587" s="52" t="s">
        <v>25</v>
      </c>
      <c r="F11587" s="52" t="s">
        <v>26</v>
      </c>
      <c r="G11587" s="54"/>
    </row>
    <row r="11588">
      <c r="A11588" s="49">
        <v>45142.90995070602</v>
      </c>
      <c r="B11588" s="50">
        <v>45143.034925162</v>
      </c>
      <c r="C11588" s="51">
        <v>0.998</v>
      </c>
      <c r="D11588" s="51">
        <v>72.0</v>
      </c>
      <c r="E11588" s="52" t="s">
        <v>25</v>
      </c>
      <c r="F11588" s="52" t="s">
        <v>26</v>
      </c>
      <c r="G11588" s="54"/>
    </row>
    <row r="11589">
      <c r="A11589" s="49">
        <v>45142.920373125</v>
      </c>
      <c r="B11589" s="50">
        <v>45143.0453447453</v>
      </c>
      <c r="C11589" s="51">
        <v>0.998</v>
      </c>
      <c r="D11589" s="51">
        <v>72.0</v>
      </c>
      <c r="E11589" s="52" t="s">
        <v>25</v>
      </c>
      <c r="F11589" s="52" t="s">
        <v>26</v>
      </c>
      <c r="G11589" s="54"/>
    </row>
    <row r="11590">
      <c r="A11590" s="49">
        <v>45142.93079431713</v>
      </c>
      <c r="B11590" s="50">
        <v>45143.0557655324</v>
      </c>
      <c r="C11590" s="51">
        <v>0.998</v>
      </c>
      <c r="D11590" s="51">
        <v>72.0</v>
      </c>
      <c r="E11590" s="52" t="s">
        <v>25</v>
      </c>
      <c r="F11590" s="52" t="s">
        <v>26</v>
      </c>
      <c r="G11590" s="54"/>
    </row>
    <row r="11591">
      <c r="A11591" s="49">
        <v>45142.941242500005</v>
      </c>
      <c r="B11591" s="50">
        <v>45143.0662109953</v>
      </c>
      <c r="C11591" s="51">
        <v>0.998</v>
      </c>
      <c r="D11591" s="51">
        <v>72.0</v>
      </c>
      <c r="E11591" s="52" t="s">
        <v>25</v>
      </c>
      <c r="F11591" s="52" t="s">
        <v>26</v>
      </c>
      <c r="G11591" s="54"/>
    </row>
    <row r="11592">
      <c r="A11592" s="49">
        <v>45142.9516654051</v>
      </c>
      <c r="B11592" s="50">
        <v>45143.0766434606</v>
      </c>
      <c r="C11592" s="51">
        <v>0.998</v>
      </c>
      <c r="D11592" s="51">
        <v>72.0</v>
      </c>
      <c r="E11592" s="52" t="s">
        <v>25</v>
      </c>
      <c r="F11592" s="52" t="s">
        <v>26</v>
      </c>
      <c r="G11592" s="54"/>
    </row>
    <row r="11593">
      <c r="A11593" s="49">
        <v>45142.96209075231</v>
      </c>
      <c r="B11593" s="50">
        <v>45143.087063912</v>
      </c>
      <c r="C11593" s="51">
        <v>0.998</v>
      </c>
      <c r="D11593" s="51">
        <v>72.0</v>
      </c>
      <c r="E11593" s="52" t="s">
        <v>25</v>
      </c>
      <c r="F11593" s="52" t="s">
        <v>26</v>
      </c>
      <c r="G11593" s="54"/>
    </row>
    <row r="11594">
      <c r="A11594" s="49">
        <v>45142.97250393519</v>
      </c>
      <c r="B11594" s="50">
        <v>45143.0974855324</v>
      </c>
      <c r="C11594" s="51">
        <v>0.998</v>
      </c>
      <c r="D11594" s="51">
        <v>72.0</v>
      </c>
      <c r="E11594" s="52" t="s">
        <v>25</v>
      </c>
      <c r="F11594" s="52" t="s">
        <v>26</v>
      </c>
      <c r="G11594" s="54"/>
    </row>
    <row r="11595">
      <c r="A11595" s="49">
        <v>45142.9829480787</v>
      </c>
      <c r="B11595" s="50">
        <v>45143.1079182986</v>
      </c>
      <c r="C11595" s="51">
        <v>0.998</v>
      </c>
      <c r="D11595" s="51">
        <v>72.0</v>
      </c>
      <c r="E11595" s="52" t="s">
        <v>25</v>
      </c>
      <c r="F11595" s="52" t="s">
        <v>26</v>
      </c>
      <c r="G11595" s="54"/>
    </row>
    <row r="11596">
      <c r="A11596" s="49">
        <v>45142.99337271991</v>
      </c>
      <c r="B11596" s="50">
        <v>45143.118338206</v>
      </c>
      <c r="C11596" s="51">
        <v>0.998</v>
      </c>
      <c r="D11596" s="51">
        <v>72.0</v>
      </c>
      <c r="E11596" s="52" t="s">
        <v>25</v>
      </c>
      <c r="F11596" s="52" t="s">
        <v>26</v>
      </c>
      <c r="G11596" s="54"/>
    </row>
    <row r="11597">
      <c r="A11597" s="49">
        <v>45143.003787291666</v>
      </c>
      <c r="B11597" s="50">
        <v>45143.1287585879</v>
      </c>
      <c r="C11597" s="51">
        <v>0.998</v>
      </c>
      <c r="D11597" s="51">
        <v>72.0</v>
      </c>
      <c r="E11597" s="52" t="s">
        <v>25</v>
      </c>
      <c r="F11597" s="52" t="s">
        <v>26</v>
      </c>
      <c r="G11597" s="54"/>
    </row>
    <row r="11598">
      <c r="A11598" s="49">
        <v>45143.014203865736</v>
      </c>
      <c r="B11598" s="50">
        <v>45143.139180324</v>
      </c>
      <c r="C11598" s="51">
        <v>0.998</v>
      </c>
      <c r="D11598" s="51">
        <v>72.0</v>
      </c>
      <c r="E11598" s="52" t="s">
        <v>25</v>
      </c>
      <c r="F11598" s="52" t="s">
        <v>26</v>
      </c>
      <c r="G11598" s="54"/>
    </row>
    <row r="11599">
      <c r="A11599" s="49">
        <v>45143.02462660879</v>
      </c>
      <c r="B11599" s="50">
        <v>45143.1496013541</v>
      </c>
      <c r="C11599" s="51">
        <v>0.998</v>
      </c>
      <c r="D11599" s="51">
        <v>72.0</v>
      </c>
      <c r="E11599" s="52" t="s">
        <v>25</v>
      </c>
      <c r="F11599" s="52" t="s">
        <v>26</v>
      </c>
      <c r="G11599" s="54"/>
    </row>
    <row r="11600">
      <c r="A11600" s="49">
        <v>45143.03504076389</v>
      </c>
      <c r="B11600" s="50">
        <v>45143.1600224768</v>
      </c>
      <c r="C11600" s="51">
        <v>0.998</v>
      </c>
      <c r="D11600" s="51">
        <v>72.0</v>
      </c>
      <c r="E11600" s="52" t="s">
        <v>25</v>
      </c>
      <c r="F11600" s="52" t="s">
        <v>26</v>
      </c>
      <c r="G11600" s="54"/>
    </row>
    <row r="11601">
      <c r="A11601" s="49">
        <v>45143.04547506945</v>
      </c>
      <c r="B11601" s="50">
        <v>45143.1704540162</v>
      </c>
      <c r="C11601" s="51">
        <v>0.998</v>
      </c>
      <c r="D11601" s="51">
        <v>72.0</v>
      </c>
      <c r="E11601" s="52" t="s">
        <v>25</v>
      </c>
      <c r="F11601" s="52" t="s">
        <v>26</v>
      </c>
      <c r="G11601" s="54"/>
    </row>
    <row r="11602">
      <c r="A11602" s="49">
        <v>45143.0559195949</v>
      </c>
      <c r="B11602" s="50">
        <v>45143.1808866898</v>
      </c>
      <c r="C11602" s="51">
        <v>0.998</v>
      </c>
      <c r="D11602" s="51">
        <v>72.0</v>
      </c>
      <c r="E11602" s="52" t="s">
        <v>25</v>
      </c>
      <c r="F11602" s="52" t="s">
        <v>26</v>
      </c>
      <c r="G11602" s="54"/>
    </row>
    <row r="11603">
      <c r="A11603" s="49">
        <v>45143.066336793985</v>
      </c>
      <c r="B11603" s="50">
        <v>45143.1913084375</v>
      </c>
      <c r="C11603" s="51">
        <v>0.998</v>
      </c>
      <c r="D11603" s="51">
        <v>72.0</v>
      </c>
      <c r="E11603" s="52" t="s">
        <v>25</v>
      </c>
      <c r="F11603" s="52" t="s">
        <v>26</v>
      </c>
      <c r="G11603" s="54"/>
    </row>
    <row r="11604">
      <c r="A11604" s="49">
        <v>45143.07676777778</v>
      </c>
      <c r="B11604" s="50">
        <v>45143.2017398379</v>
      </c>
      <c r="C11604" s="51">
        <v>0.998</v>
      </c>
      <c r="D11604" s="51">
        <v>72.0</v>
      </c>
      <c r="E11604" s="52" t="s">
        <v>25</v>
      </c>
      <c r="F11604" s="52" t="s">
        <v>26</v>
      </c>
      <c r="G11604" s="54"/>
    </row>
    <row r="11605">
      <c r="A11605" s="49">
        <v>45143.087197256944</v>
      </c>
      <c r="B11605" s="50">
        <v>45143.2121729514</v>
      </c>
      <c r="C11605" s="51">
        <v>0.998</v>
      </c>
      <c r="D11605" s="51">
        <v>72.0</v>
      </c>
      <c r="E11605" s="52" t="s">
        <v>25</v>
      </c>
      <c r="F11605" s="52" t="s">
        <v>26</v>
      </c>
      <c r="G11605" s="54"/>
    </row>
    <row r="11606">
      <c r="A11606" s="49">
        <v>45143.097621990746</v>
      </c>
      <c r="B11606" s="50">
        <v>45143.2225954513</v>
      </c>
      <c r="C11606" s="51">
        <v>0.998</v>
      </c>
      <c r="D11606" s="51">
        <v>72.0</v>
      </c>
      <c r="E11606" s="52" t="s">
        <v>25</v>
      </c>
      <c r="F11606" s="52" t="s">
        <v>26</v>
      </c>
      <c r="G11606" s="54"/>
    </row>
    <row r="11607">
      <c r="A11607" s="49">
        <v>45143.108056666664</v>
      </c>
      <c r="B11607" s="50">
        <v>45143.2330286226</v>
      </c>
      <c r="C11607" s="51">
        <v>0.998</v>
      </c>
      <c r="D11607" s="51">
        <v>72.0</v>
      </c>
      <c r="E11607" s="52" t="s">
        <v>25</v>
      </c>
      <c r="F11607" s="52" t="s">
        <v>26</v>
      </c>
      <c r="G11607" s="54"/>
    </row>
    <row r="11608">
      <c r="A11608" s="49">
        <v>45143.118479212964</v>
      </c>
      <c r="B11608" s="50">
        <v>45143.2434494213</v>
      </c>
      <c r="C11608" s="51">
        <v>0.998</v>
      </c>
      <c r="D11608" s="51">
        <v>72.0</v>
      </c>
      <c r="E11608" s="52" t="s">
        <v>25</v>
      </c>
      <c r="F11608" s="52" t="s">
        <v>26</v>
      </c>
      <c r="G11608" s="54"/>
    </row>
    <row r="11609">
      <c r="A11609" s="49">
        <v>45143.12889678241</v>
      </c>
      <c r="B11609" s="50">
        <v>45143.2538680208</v>
      </c>
      <c r="C11609" s="51">
        <v>0.998</v>
      </c>
      <c r="D11609" s="51">
        <v>72.0</v>
      </c>
      <c r="E11609" s="52" t="s">
        <v>25</v>
      </c>
      <c r="F11609" s="52" t="s">
        <v>26</v>
      </c>
      <c r="G11609" s="54"/>
    </row>
    <row r="11610">
      <c r="A11610" s="49">
        <v>45143.1393075463</v>
      </c>
      <c r="B11610" s="50">
        <v>45143.2642906018</v>
      </c>
      <c r="C11610" s="51">
        <v>0.998</v>
      </c>
      <c r="D11610" s="51">
        <v>72.0</v>
      </c>
      <c r="E11610" s="52" t="s">
        <v>25</v>
      </c>
      <c r="F11610" s="52" t="s">
        <v>26</v>
      </c>
      <c r="G11610" s="54"/>
    </row>
    <row r="11611">
      <c r="A11611" s="49">
        <v>45143.149742071764</v>
      </c>
      <c r="B11611" s="50">
        <v>45143.2747137962</v>
      </c>
      <c r="C11611" s="51">
        <v>0.998</v>
      </c>
      <c r="D11611" s="51">
        <v>72.0</v>
      </c>
      <c r="E11611" s="52" t="s">
        <v>25</v>
      </c>
      <c r="F11611" s="52" t="s">
        <v>26</v>
      </c>
      <c r="G11611" s="54"/>
    </row>
    <row r="11612">
      <c r="A11612" s="49">
        <v>45143.16017162037</v>
      </c>
      <c r="B11612" s="50">
        <v>45143.2851464583</v>
      </c>
      <c r="C11612" s="51">
        <v>0.998</v>
      </c>
      <c r="D11612" s="51">
        <v>72.0</v>
      </c>
      <c r="E11612" s="52" t="s">
        <v>25</v>
      </c>
      <c r="F11612" s="52" t="s">
        <v>26</v>
      </c>
      <c r="G11612" s="54"/>
    </row>
    <row r="11613">
      <c r="A11613" s="49">
        <v>45143.17058542824</v>
      </c>
      <c r="B11613" s="50">
        <v>45143.2955670254</v>
      </c>
      <c r="C11613" s="51">
        <v>0.998</v>
      </c>
      <c r="D11613" s="51">
        <v>72.0</v>
      </c>
      <c r="E11613" s="52" t="s">
        <v>25</v>
      </c>
      <c r="F11613" s="52" t="s">
        <v>26</v>
      </c>
      <c r="G11613" s="54"/>
    </row>
    <row r="11614">
      <c r="A11614" s="49">
        <v>45143.18101829861</v>
      </c>
      <c r="B11614" s="50">
        <v>45143.3059897222</v>
      </c>
      <c r="C11614" s="51">
        <v>0.998</v>
      </c>
      <c r="D11614" s="51">
        <v>72.0</v>
      </c>
      <c r="E11614" s="52" t="s">
        <v>25</v>
      </c>
      <c r="F11614" s="52" t="s">
        <v>26</v>
      </c>
      <c r="G11614" s="54"/>
    </row>
    <row r="11615">
      <c r="A11615" s="49">
        <v>45143.19143396991</v>
      </c>
      <c r="B11615" s="50">
        <v>45143.3164100231</v>
      </c>
      <c r="C11615" s="51">
        <v>0.998</v>
      </c>
      <c r="D11615" s="51">
        <v>72.0</v>
      </c>
      <c r="E11615" s="52" t="s">
        <v>25</v>
      </c>
      <c r="F11615" s="52" t="s">
        <v>26</v>
      </c>
      <c r="G11615" s="54"/>
    </row>
    <row r="11616">
      <c r="A11616" s="49">
        <v>45143.20185194444</v>
      </c>
      <c r="B11616" s="50">
        <v>45143.3268308912</v>
      </c>
      <c r="C11616" s="51">
        <v>0.998</v>
      </c>
      <c r="D11616" s="51">
        <v>72.0</v>
      </c>
      <c r="E11616" s="52" t="s">
        <v>25</v>
      </c>
      <c r="F11616" s="52" t="s">
        <v>26</v>
      </c>
      <c r="G11616" s="54"/>
    </row>
    <row r="11617">
      <c r="A11617" s="49">
        <v>45143.21228008102</v>
      </c>
      <c r="B11617" s="50">
        <v>45143.3372517592</v>
      </c>
      <c r="C11617" s="51">
        <v>0.998</v>
      </c>
      <c r="D11617" s="51">
        <v>72.0</v>
      </c>
      <c r="E11617" s="52" t="s">
        <v>25</v>
      </c>
      <c r="F11617" s="52" t="s">
        <v>26</v>
      </c>
      <c r="G11617" s="54"/>
    </row>
    <row r="11618">
      <c r="A11618" s="49">
        <v>45143.22270996528</v>
      </c>
      <c r="B11618" s="50">
        <v>45143.3476835648</v>
      </c>
      <c r="C11618" s="51">
        <v>0.998</v>
      </c>
      <c r="D11618" s="51">
        <v>72.0</v>
      </c>
      <c r="E11618" s="52" t="s">
        <v>25</v>
      </c>
      <c r="F11618" s="52" t="s">
        <v>26</v>
      </c>
      <c r="G11618" s="54"/>
    </row>
    <row r="11619">
      <c r="A11619" s="49">
        <v>45143.23312578704</v>
      </c>
      <c r="B11619" s="50">
        <v>45143.3581038773</v>
      </c>
      <c r="C11619" s="51">
        <v>0.998</v>
      </c>
      <c r="D11619" s="51">
        <v>72.0</v>
      </c>
      <c r="E11619" s="52" t="s">
        <v>25</v>
      </c>
      <c r="F11619" s="52" t="s">
        <v>26</v>
      </c>
      <c r="G11619" s="54"/>
    </row>
    <row r="11620">
      <c r="A11620" s="49">
        <v>45143.243551747684</v>
      </c>
      <c r="B11620" s="50">
        <v>45143.3685267476</v>
      </c>
      <c r="C11620" s="51">
        <v>0.998</v>
      </c>
      <c r="D11620" s="51">
        <v>72.0</v>
      </c>
      <c r="E11620" s="52" t="s">
        <v>25</v>
      </c>
      <c r="F11620" s="52" t="s">
        <v>26</v>
      </c>
      <c r="G11620" s="54"/>
    </row>
    <row r="11621">
      <c r="A11621" s="49">
        <v>45143.253965104166</v>
      </c>
      <c r="B11621" s="50">
        <v>45143.3789482754</v>
      </c>
      <c r="C11621" s="51">
        <v>0.998</v>
      </c>
      <c r="D11621" s="51">
        <v>72.0</v>
      </c>
      <c r="E11621" s="52" t="s">
        <v>25</v>
      </c>
      <c r="F11621" s="52" t="s">
        <v>26</v>
      </c>
      <c r="G11621" s="54"/>
    </row>
    <row r="11622">
      <c r="A11622" s="49">
        <v>45143.26439777778</v>
      </c>
      <c r="B11622" s="50">
        <v>45143.3893690856</v>
      </c>
      <c r="C11622" s="51">
        <v>0.998</v>
      </c>
      <c r="D11622" s="51">
        <v>72.0</v>
      </c>
      <c r="E11622" s="52" t="s">
        <v>25</v>
      </c>
      <c r="F11622" s="52" t="s">
        <v>26</v>
      </c>
      <c r="G11622" s="54"/>
    </row>
    <row r="11623">
      <c r="A11623" s="49">
        <v>45143.274808229166</v>
      </c>
      <c r="B11623" s="50">
        <v>45143.3997901504</v>
      </c>
      <c r="C11623" s="51">
        <v>0.998</v>
      </c>
      <c r="D11623" s="51">
        <v>72.0</v>
      </c>
      <c r="E11623" s="52" t="s">
        <v>25</v>
      </c>
      <c r="F11623" s="52" t="s">
        <v>26</v>
      </c>
      <c r="G11623" s="54"/>
    </row>
    <row r="11624">
      <c r="A11624" s="49">
        <v>45143.28523908565</v>
      </c>
      <c r="B11624" s="50">
        <v>45143.4102098032</v>
      </c>
      <c r="C11624" s="51">
        <v>0.998</v>
      </c>
      <c r="D11624" s="51">
        <v>72.0</v>
      </c>
      <c r="E11624" s="52" t="s">
        <v>25</v>
      </c>
      <c r="F11624" s="52" t="s">
        <v>26</v>
      </c>
      <c r="G11624" s="54"/>
    </row>
    <row r="11625">
      <c r="A11625" s="49">
        <v>45143.29565118055</v>
      </c>
      <c r="B11625" s="50">
        <v>45143.4206316666</v>
      </c>
      <c r="C11625" s="51">
        <v>0.998</v>
      </c>
      <c r="D11625" s="51">
        <v>72.0</v>
      </c>
      <c r="E11625" s="52" t="s">
        <v>25</v>
      </c>
      <c r="F11625" s="52" t="s">
        <v>26</v>
      </c>
      <c r="G11625" s="54"/>
    </row>
    <row r="11626">
      <c r="A11626" s="49">
        <v>45143.30608966435</v>
      </c>
      <c r="B11626" s="50">
        <v>45143.431053125</v>
      </c>
      <c r="C11626" s="51">
        <v>0.998</v>
      </c>
      <c r="D11626" s="51">
        <v>72.0</v>
      </c>
      <c r="E11626" s="52" t="s">
        <v>25</v>
      </c>
      <c r="F11626" s="52" t="s">
        <v>26</v>
      </c>
      <c r="G11626" s="54"/>
    </row>
    <row r="11627">
      <c r="A11627" s="49">
        <v>45143.316489247685</v>
      </c>
      <c r="B11627" s="50">
        <v>45143.44147353</v>
      </c>
      <c r="C11627" s="51">
        <v>0.998</v>
      </c>
      <c r="D11627" s="51">
        <v>72.0</v>
      </c>
      <c r="E11627" s="52" t="s">
        <v>25</v>
      </c>
      <c r="F11627" s="52" t="s">
        <v>26</v>
      </c>
      <c r="G11627" s="54"/>
    </row>
    <row r="11628">
      <c r="A11628" s="49">
        <v>45143.326923298606</v>
      </c>
      <c r="B11628" s="50">
        <v>45143.4518930324</v>
      </c>
      <c r="C11628" s="51">
        <v>0.998</v>
      </c>
      <c r="D11628" s="51">
        <v>72.0</v>
      </c>
      <c r="E11628" s="52" t="s">
        <v>25</v>
      </c>
      <c r="F11628" s="52" t="s">
        <v>26</v>
      </c>
      <c r="G11628" s="54"/>
    </row>
    <row r="11629">
      <c r="A11629" s="49">
        <v>45143.33733807871</v>
      </c>
      <c r="B11629" s="50">
        <v>45143.462314537</v>
      </c>
      <c r="C11629" s="51">
        <v>0.998</v>
      </c>
      <c r="D11629" s="51">
        <v>72.0</v>
      </c>
      <c r="E11629" s="52" t="s">
        <v>25</v>
      </c>
      <c r="F11629" s="52" t="s">
        <v>26</v>
      </c>
      <c r="G11629" s="54"/>
    </row>
    <row r="11630">
      <c r="A11630" s="49">
        <v>45143.34776563657</v>
      </c>
      <c r="B11630" s="50">
        <v>45143.4727360532</v>
      </c>
      <c r="C11630" s="51">
        <v>0.998</v>
      </c>
      <c r="D11630" s="51">
        <v>72.0</v>
      </c>
      <c r="E11630" s="52" t="s">
        <v>25</v>
      </c>
      <c r="F11630" s="52" t="s">
        <v>26</v>
      </c>
      <c r="G11630" s="54"/>
    </row>
    <row r="11631">
      <c r="A11631" s="49">
        <v>45143.358184675926</v>
      </c>
      <c r="B11631" s="50">
        <v>45143.4831575926</v>
      </c>
      <c r="C11631" s="51">
        <v>0.998</v>
      </c>
      <c r="D11631" s="51">
        <v>72.0</v>
      </c>
      <c r="E11631" s="52" t="s">
        <v>25</v>
      </c>
      <c r="F11631" s="52" t="s">
        <v>26</v>
      </c>
      <c r="G11631" s="54"/>
    </row>
    <row r="11632">
      <c r="A11632" s="49">
        <v>45143.36860527778</v>
      </c>
      <c r="B11632" s="50">
        <v>45143.4935774652</v>
      </c>
      <c r="C11632" s="51">
        <v>0.998</v>
      </c>
      <c r="D11632" s="51">
        <v>72.0</v>
      </c>
      <c r="E11632" s="52" t="s">
        <v>25</v>
      </c>
      <c r="F11632" s="52" t="s">
        <v>26</v>
      </c>
      <c r="G11632" s="54"/>
    </row>
    <row r="11633">
      <c r="A11633" s="49">
        <v>45143.3790283912</v>
      </c>
      <c r="B11633" s="50">
        <v>45143.5040000347</v>
      </c>
      <c r="C11633" s="51">
        <v>0.998</v>
      </c>
      <c r="D11633" s="51">
        <v>72.0</v>
      </c>
      <c r="E11633" s="52" t="s">
        <v>25</v>
      </c>
      <c r="F11633" s="52" t="s">
        <v>26</v>
      </c>
      <c r="G11633" s="54"/>
    </row>
    <row r="11634">
      <c r="A11634" s="49">
        <v>45143.389457083336</v>
      </c>
      <c r="B11634" s="50">
        <v>45143.5144342824</v>
      </c>
      <c r="C11634" s="51">
        <v>0.998</v>
      </c>
      <c r="D11634" s="51">
        <v>72.0</v>
      </c>
      <c r="E11634" s="52" t="s">
        <v>25</v>
      </c>
      <c r="F11634" s="52" t="s">
        <v>26</v>
      </c>
      <c r="G11634" s="54"/>
    </row>
    <row r="11635">
      <c r="A11635" s="49">
        <v>45143.39988346065</v>
      </c>
      <c r="B11635" s="50">
        <v>45143.5248562384</v>
      </c>
      <c r="C11635" s="51">
        <v>0.998</v>
      </c>
      <c r="D11635" s="51">
        <v>72.0</v>
      </c>
      <c r="E11635" s="52" t="s">
        <v>25</v>
      </c>
      <c r="F11635" s="52" t="s">
        <v>26</v>
      </c>
      <c r="G11635" s="54"/>
    </row>
    <row r="11636">
      <c r="A11636" s="49">
        <v>45143.410298159724</v>
      </c>
      <c r="B11636" s="50">
        <v>45143.5352773032</v>
      </c>
      <c r="C11636" s="51">
        <v>0.998</v>
      </c>
      <c r="D11636" s="51">
        <v>72.0</v>
      </c>
      <c r="E11636" s="52" t="s">
        <v>25</v>
      </c>
      <c r="F11636" s="52" t="s">
        <v>26</v>
      </c>
      <c r="G11636" s="54"/>
    </row>
    <row r="11637">
      <c r="A11637" s="49">
        <v>45143.42071547454</v>
      </c>
      <c r="B11637" s="50">
        <v>45143.5456973842</v>
      </c>
      <c r="C11637" s="51">
        <v>0.998</v>
      </c>
      <c r="D11637" s="51">
        <v>72.0</v>
      </c>
      <c r="E11637" s="52" t="s">
        <v>25</v>
      </c>
      <c r="F11637" s="52" t="s">
        <v>26</v>
      </c>
      <c r="G11637" s="54"/>
    </row>
    <row r="11638">
      <c r="A11638" s="49">
        <v>45143.43114554398</v>
      </c>
      <c r="B11638" s="50">
        <v>45143.5561193865</v>
      </c>
      <c r="C11638" s="51">
        <v>0.998</v>
      </c>
      <c r="D11638" s="51">
        <v>72.0</v>
      </c>
      <c r="E11638" s="52" t="s">
        <v>25</v>
      </c>
      <c r="F11638" s="52" t="s">
        <v>26</v>
      </c>
      <c r="G11638" s="54"/>
    </row>
    <row r="11639">
      <c r="A11639" s="49">
        <v>45143.44156359954</v>
      </c>
      <c r="B11639" s="50">
        <v>45143.5665396759</v>
      </c>
      <c r="C11639" s="51">
        <v>0.998</v>
      </c>
      <c r="D11639" s="51">
        <v>72.0</v>
      </c>
      <c r="E11639" s="52" t="s">
        <v>25</v>
      </c>
      <c r="F11639" s="52" t="s">
        <v>26</v>
      </c>
      <c r="G11639" s="54"/>
    </row>
    <row r="11640">
      <c r="A11640" s="49">
        <v>45143.45198118055</v>
      </c>
      <c r="B11640" s="50">
        <v>45143.5769606018</v>
      </c>
      <c r="C11640" s="51">
        <v>0.998</v>
      </c>
      <c r="D11640" s="51">
        <v>72.0</v>
      </c>
      <c r="E11640" s="52" t="s">
        <v>25</v>
      </c>
      <c r="F11640" s="52" t="s">
        <v>26</v>
      </c>
      <c r="G11640" s="54"/>
    </row>
    <row r="11641">
      <c r="A11641" s="49">
        <v>45143.46242115741</v>
      </c>
      <c r="B11641" s="50">
        <v>45143.5873918055</v>
      </c>
      <c r="C11641" s="51">
        <v>0.998</v>
      </c>
      <c r="D11641" s="51">
        <v>72.0</v>
      </c>
      <c r="E11641" s="52" t="s">
        <v>25</v>
      </c>
      <c r="F11641" s="52" t="s">
        <v>26</v>
      </c>
      <c r="G11641" s="54"/>
    </row>
    <row r="11642">
      <c r="A11642" s="49">
        <v>45143.47284537037</v>
      </c>
      <c r="B11642" s="50">
        <v>45143.5978122916</v>
      </c>
      <c r="C11642" s="51">
        <v>0.998</v>
      </c>
      <c r="D11642" s="51">
        <v>72.0</v>
      </c>
      <c r="E11642" s="52" t="s">
        <v>25</v>
      </c>
      <c r="F11642" s="52" t="s">
        <v>26</v>
      </c>
      <c r="G11642" s="54"/>
    </row>
    <row r="11643">
      <c r="A11643" s="49">
        <v>45143.483272708334</v>
      </c>
      <c r="B11643" s="50">
        <v>45143.6082441319</v>
      </c>
      <c r="C11643" s="51">
        <v>0.998</v>
      </c>
      <c r="D11643" s="51">
        <v>72.0</v>
      </c>
      <c r="E11643" s="52" t="s">
        <v>25</v>
      </c>
      <c r="F11643" s="52" t="s">
        <v>26</v>
      </c>
      <c r="G11643" s="54"/>
    </row>
    <row r="11644">
      <c r="A11644" s="49">
        <v>45143.493750740745</v>
      </c>
      <c r="B11644" s="50">
        <v>45143.6187242361</v>
      </c>
      <c r="C11644" s="51">
        <v>0.998</v>
      </c>
      <c r="D11644" s="51">
        <v>72.0</v>
      </c>
      <c r="E11644" s="52" t="s">
        <v>25</v>
      </c>
      <c r="F11644" s="52" t="s">
        <v>26</v>
      </c>
      <c r="G11644" s="54"/>
    </row>
    <row r="11645">
      <c r="A11645" s="49">
        <v>45143.504178993055</v>
      </c>
      <c r="B11645" s="50">
        <v>45143.6291456134</v>
      </c>
      <c r="C11645" s="51">
        <v>0.998</v>
      </c>
      <c r="D11645" s="51">
        <v>72.0</v>
      </c>
      <c r="E11645" s="52" t="s">
        <v>25</v>
      </c>
      <c r="F11645" s="52" t="s">
        <v>26</v>
      </c>
      <c r="G11645" s="54"/>
    </row>
    <row r="11646">
      <c r="A11646" s="49">
        <v>45143.51458585648</v>
      </c>
      <c r="B11646" s="50">
        <v>45143.6395668171</v>
      </c>
      <c r="C11646" s="51">
        <v>0.998</v>
      </c>
      <c r="D11646" s="51">
        <v>72.0</v>
      </c>
      <c r="E11646" s="52" t="s">
        <v>25</v>
      </c>
      <c r="F11646" s="52" t="s">
        <v>26</v>
      </c>
      <c r="G11646" s="54"/>
    </row>
    <row r="11647">
      <c r="A11647" s="49">
        <v>45143.52502885417</v>
      </c>
      <c r="B11647" s="50">
        <v>45143.649998449</v>
      </c>
      <c r="C11647" s="51">
        <v>0.998</v>
      </c>
      <c r="D11647" s="51">
        <v>72.0</v>
      </c>
      <c r="E11647" s="52" t="s">
        <v>25</v>
      </c>
      <c r="F11647" s="52" t="s">
        <v>26</v>
      </c>
      <c r="G11647" s="54"/>
    </row>
    <row r="11648">
      <c r="A11648" s="49">
        <v>45143.53544736111</v>
      </c>
      <c r="B11648" s="50">
        <v>45143.6604208564</v>
      </c>
      <c r="C11648" s="51">
        <v>0.998</v>
      </c>
      <c r="D11648" s="51">
        <v>72.0</v>
      </c>
      <c r="E11648" s="52" t="s">
        <v>25</v>
      </c>
      <c r="F11648" s="52" t="s">
        <v>26</v>
      </c>
      <c r="G11648" s="54"/>
    </row>
    <row r="11649">
      <c r="A11649" s="49">
        <v>45143.54588655093</v>
      </c>
      <c r="B11649" s="50">
        <v>45143.6708547222</v>
      </c>
      <c r="C11649" s="51">
        <v>0.998</v>
      </c>
      <c r="D11649" s="51">
        <v>72.0</v>
      </c>
      <c r="E11649" s="52" t="s">
        <v>25</v>
      </c>
      <c r="F11649" s="52" t="s">
        <v>26</v>
      </c>
      <c r="G11649" s="54"/>
    </row>
    <row r="11650">
      <c r="A11650" s="49">
        <v>45143.55631958334</v>
      </c>
      <c r="B11650" s="50">
        <v>45143.6812883217</v>
      </c>
      <c r="C11650" s="51">
        <v>0.998</v>
      </c>
      <c r="D11650" s="51">
        <v>72.0</v>
      </c>
      <c r="E11650" s="52" t="s">
        <v>25</v>
      </c>
      <c r="F11650" s="52" t="s">
        <v>26</v>
      </c>
      <c r="G11650" s="54"/>
    </row>
    <row r="11651">
      <c r="A11651" s="49">
        <v>45143.5667355787</v>
      </c>
      <c r="B11651" s="50">
        <v>45143.6917087268</v>
      </c>
      <c r="C11651" s="51">
        <v>0.998</v>
      </c>
      <c r="D11651" s="51">
        <v>72.0</v>
      </c>
      <c r="E11651" s="52" t="s">
        <v>25</v>
      </c>
      <c r="F11651" s="52" t="s">
        <v>26</v>
      </c>
      <c r="G11651" s="54"/>
    </row>
    <row r="11652">
      <c r="A11652" s="49">
        <v>45143.577179513886</v>
      </c>
      <c r="B11652" s="50">
        <v>45143.7021410185</v>
      </c>
      <c r="C11652" s="51">
        <v>0.998</v>
      </c>
      <c r="D11652" s="51">
        <v>72.0</v>
      </c>
      <c r="E11652" s="52" t="s">
        <v>25</v>
      </c>
      <c r="F11652" s="52" t="s">
        <v>26</v>
      </c>
      <c r="G11652" s="54"/>
    </row>
    <row r="11653">
      <c r="A11653" s="49">
        <v>45143.58759981481</v>
      </c>
      <c r="B11653" s="50">
        <v>45143.712562824</v>
      </c>
      <c r="C11653" s="51">
        <v>0.998</v>
      </c>
      <c r="D11653" s="51">
        <v>72.0</v>
      </c>
      <c r="E11653" s="52" t="s">
        <v>25</v>
      </c>
      <c r="F11653" s="52" t="s">
        <v>26</v>
      </c>
      <c r="G11653" s="54"/>
    </row>
    <row r="11654">
      <c r="A11654" s="49">
        <v>45143.59801969907</v>
      </c>
      <c r="B11654" s="50">
        <v>45143.7229946412</v>
      </c>
      <c r="C11654" s="51">
        <v>0.998</v>
      </c>
      <c r="D11654" s="51">
        <v>72.0</v>
      </c>
      <c r="E11654" s="52" t="s">
        <v>25</v>
      </c>
      <c r="F11654" s="52" t="s">
        <v>26</v>
      </c>
      <c r="G11654" s="54"/>
    </row>
    <row r="11655">
      <c r="A11655" s="49">
        <v>45143.608464606485</v>
      </c>
      <c r="B11655" s="50">
        <v>45143.7334389236</v>
      </c>
      <c r="C11655" s="51">
        <v>0.998</v>
      </c>
      <c r="D11655" s="51">
        <v>72.0</v>
      </c>
      <c r="E11655" s="52" t="s">
        <v>25</v>
      </c>
      <c r="F11655" s="52" t="s">
        <v>26</v>
      </c>
      <c r="G11655" s="54"/>
    </row>
    <row r="11656">
      <c r="A11656" s="49">
        <v>45143.61889729167</v>
      </c>
      <c r="B11656" s="50">
        <v>45143.7438603819</v>
      </c>
      <c r="C11656" s="51">
        <v>0.998</v>
      </c>
      <c r="D11656" s="51">
        <v>72.0</v>
      </c>
      <c r="E11656" s="52" t="s">
        <v>25</v>
      </c>
      <c r="F11656" s="52" t="s">
        <v>26</v>
      </c>
      <c r="G11656" s="54"/>
    </row>
    <row r="11657">
      <c r="A11657" s="49">
        <v>45143.62932170139</v>
      </c>
      <c r="B11657" s="50">
        <v>45143.75429353</v>
      </c>
      <c r="C11657" s="51">
        <v>0.998</v>
      </c>
      <c r="D11657" s="51">
        <v>72.0</v>
      </c>
      <c r="E11657" s="52" t="s">
        <v>25</v>
      </c>
      <c r="F11657" s="52" t="s">
        <v>26</v>
      </c>
      <c r="G11657" s="54"/>
    </row>
    <row r="11658">
      <c r="A11658" s="49">
        <v>45143.63974515046</v>
      </c>
      <c r="B11658" s="50">
        <v>45143.764714699</v>
      </c>
      <c r="C11658" s="51">
        <v>0.998</v>
      </c>
      <c r="D11658" s="51">
        <v>72.0</v>
      </c>
      <c r="E11658" s="52" t="s">
        <v>25</v>
      </c>
      <c r="F11658" s="52" t="s">
        <v>26</v>
      </c>
      <c r="G11658" s="54"/>
    </row>
    <row r="11659">
      <c r="A11659" s="49">
        <v>45143.65016809027</v>
      </c>
      <c r="B11659" s="50">
        <v>45143.7751368634</v>
      </c>
      <c r="C11659" s="51">
        <v>0.998</v>
      </c>
      <c r="D11659" s="51">
        <v>72.0</v>
      </c>
      <c r="E11659" s="52" t="s">
        <v>25</v>
      </c>
      <c r="F11659" s="52" t="s">
        <v>26</v>
      </c>
      <c r="G11659" s="54"/>
    </row>
    <row r="11660">
      <c r="A11660" s="49">
        <v>45143.6605931713</v>
      </c>
      <c r="B11660" s="50">
        <v>45143.7855603703</v>
      </c>
      <c r="C11660" s="51">
        <v>0.998</v>
      </c>
      <c r="D11660" s="51">
        <v>72.0</v>
      </c>
      <c r="E11660" s="52" t="s">
        <v>25</v>
      </c>
      <c r="F11660" s="52" t="s">
        <v>26</v>
      </c>
      <c r="G11660" s="54"/>
    </row>
    <row r="11661">
      <c r="A11661" s="49">
        <v>45143.671012754625</v>
      </c>
      <c r="B11661" s="50">
        <v>45143.7959831597</v>
      </c>
      <c r="C11661" s="51">
        <v>0.998</v>
      </c>
      <c r="D11661" s="51">
        <v>72.0</v>
      </c>
      <c r="E11661" s="52" t="s">
        <v>25</v>
      </c>
      <c r="F11661" s="52" t="s">
        <v>26</v>
      </c>
      <c r="G11661" s="54"/>
    </row>
    <row r="11662">
      <c r="A11662" s="49">
        <v>45143.68142266203</v>
      </c>
      <c r="B11662" s="50">
        <v>45143.8064037384</v>
      </c>
      <c r="C11662" s="51">
        <v>0.998</v>
      </c>
      <c r="D11662" s="51">
        <v>72.0</v>
      </c>
      <c r="E11662" s="52" t="s">
        <v>25</v>
      </c>
      <c r="F11662" s="52" t="s">
        <v>26</v>
      </c>
      <c r="G11662" s="54"/>
    </row>
    <row r="11663">
      <c r="A11663" s="49">
        <v>45143.69184609954</v>
      </c>
      <c r="B11663" s="50">
        <v>45143.816823125</v>
      </c>
      <c r="C11663" s="51">
        <v>0.998</v>
      </c>
      <c r="D11663" s="51">
        <v>72.0</v>
      </c>
      <c r="E11663" s="52" t="s">
        <v>25</v>
      </c>
      <c r="F11663" s="52" t="s">
        <v>26</v>
      </c>
      <c r="G11663" s="54"/>
    </row>
    <row r="11664">
      <c r="A11664" s="49">
        <v>45143.70226535879</v>
      </c>
      <c r="B11664" s="50">
        <v>45143.8272452662</v>
      </c>
      <c r="C11664" s="51">
        <v>0.998</v>
      </c>
      <c r="D11664" s="51">
        <v>72.0</v>
      </c>
      <c r="E11664" s="52" t="s">
        <v>25</v>
      </c>
      <c r="F11664" s="52" t="s">
        <v>26</v>
      </c>
      <c r="G11664" s="54"/>
    </row>
    <row r="11665">
      <c r="A11665" s="49">
        <v>45143.712685833336</v>
      </c>
      <c r="B11665" s="50">
        <v>45143.8376643402</v>
      </c>
      <c r="C11665" s="51">
        <v>0.998</v>
      </c>
      <c r="D11665" s="51">
        <v>72.0</v>
      </c>
      <c r="E11665" s="52" t="s">
        <v>25</v>
      </c>
      <c r="F11665" s="52" t="s">
        <v>26</v>
      </c>
      <c r="G11665" s="54"/>
    </row>
    <row r="11666">
      <c r="A11666" s="49">
        <v>45143.72310710648</v>
      </c>
      <c r="B11666" s="50">
        <v>45143.8480853009</v>
      </c>
      <c r="C11666" s="51">
        <v>0.998</v>
      </c>
      <c r="D11666" s="51">
        <v>72.0</v>
      </c>
      <c r="E11666" s="52" t="s">
        <v>25</v>
      </c>
      <c r="F11666" s="52" t="s">
        <v>26</v>
      </c>
      <c r="G11666" s="54"/>
    </row>
    <row r="11667">
      <c r="A11667" s="49">
        <v>45143.73353064815</v>
      </c>
      <c r="B11667" s="50">
        <v>45143.8585060532</v>
      </c>
      <c r="C11667" s="51">
        <v>0.998</v>
      </c>
      <c r="D11667" s="51">
        <v>72.0</v>
      </c>
      <c r="E11667" s="52" t="s">
        <v>25</v>
      </c>
      <c r="F11667" s="52" t="s">
        <v>26</v>
      </c>
      <c r="G11667" s="54"/>
    </row>
    <row r="11668">
      <c r="A11668" s="49">
        <v>45143.74395539352</v>
      </c>
      <c r="B11668" s="50">
        <v>45143.8689286111</v>
      </c>
      <c r="C11668" s="51">
        <v>0.998</v>
      </c>
      <c r="D11668" s="51">
        <v>72.0</v>
      </c>
      <c r="E11668" s="52" t="s">
        <v>25</v>
      </c>
      <c r="F11668" s="52" t="s">
        <v>26</v>
      </c>
      <c r="G11668" s="54"/>
    </row>
    <row r="11669">
      <c r="A11669" s="49">
        <v>45143.75437195602</v>
      </c>
      <c r="B11669" s="50">
        <v>45143.8793518402</v>
      </c>
      <c r="C11669" s="51">
        <v>0.998</v>
      </c>
      <c r="D11669" s="51">
        <v>72.0</v>
      </c>
      <c r="E11669" s="52" t="s">
        <v>25</v>
      </c>
      <c r="F11669" s="52" t="s">
        <v>26</v>
      </c>
      <c r="G11669" s="54"/>
    </row>
    <row r="11670">
      <c r="A11670" s="49">
        <v>45143.764810416666</v>
      </c>
      <c r="B11670" s="50">
        <v>45143.8897846064</v>
      </c>
      <c r="C11670" s="51">
        <v>0.998</v>
      </c>
      <c r="D11670" s="51">
        <v>72.0</v>
      </c>
      <c r="E11670" s="52" t="s">
        <v>25</v>
      </c>
      <c r="F11670" s="52" t="s">
        <v>26</v>
      </c>
      <c r="G11670" s="54"/>
    </row>
    <row r="11671">
      <c r="A11671" s="49">
        <v>45143.775237361115</v>
      </c>
      <c r="B11671" s="50">
        <v>45143.9002161574</v>
      </c>
      <c r="C11671" s="51">
        <v>0.998</v>
      </c>
      <c r="D11671" s="51">
        <v>72.0</v>
      </c>
      <c r="E11671" s="52" t="s">
        <v>25</v>
      </c>
      <c r="F11671" s="52" t="s">
        <v>26</v>
      </c>
      <c r="G11671" s="54"/>
    </row>
    <row r="11672">
      <c r="A11672" s="49">
        <v>45143.785664317125</v>
      </c>
      <c r="B11672" s="50">
        <v>45143.9106376967</v>
      </c>
      <c r="C11672" s="51">
        <v>0.998</v>
      </c>
      <c r="D11672" s="51">
        <v>72.0</v>
      </c>
      <c r="E11672" s="52" t="s">
        <v>25</v>
      </c>
      <c r="F11672" s="52" t="s">
        <v>26</v>
      </c>
      <c r="G11672" s="54"/>
    </row>
    <row r="11673">
      <c r="A11673" s="49">
        <v>45143.796081319444</v>
      </c>
      <c r="B11673" s="50">
        <v>45143.9210583217</v>
      </c>
      <c r="C11673" s="51">
        <v>0.998</v>
      </c>
      <c r="D11673" s="51">
        <v>72.0</v>
      </c>
      <c r="E11673" s="52" t="s">
        <v>25</v>
      </c>
      <c r="F11673" s="52" t="s">
        <v>26</v>
      </c>
      <c r="G11673" s="54"/>
    </row>
    <row r="11674">
      <c r="A11674" s="49">
        <v>45143.8065106713</v>
      </c>
      <c r="B11674" s="50">
        <v>45143.9314807523</v>
      </c>
      <c r="C11674" s="51">
        <v>0.998</v>
      </c>
      <c r="D11674" s="51">
        <v>72.0</v>
      </c>
      <c r="E11674" s="52" t="s">
        <v>25</v>
      </c>
      <c r="F11674" s="52" t="s">
        <v>26</v>
      </c>
      <c r="G11674" s="54"/>
    </row>
    <row r="11675">
      <c r="A11675" s="49">
        <v>45143.81692548611</v>
      </c>
      <c r="B11675" s="50">
        <v>45143.9419007986</v>
      </c>
      <c r="C11675" s="51">
        <v>0.998</v>
      </c>
      <c r="D11675" s="51">
        <v>72.0</v>
      </c>
      <c r="E11675" s="52" t="s">
        <v>25</v>
      </c>
      <c r="F11675" s="52" t="s">
        <v>26</v>
      </c>
      <c r="G11675" s="54"/>
    </row>
    <row r="11676">
      <c r="A11676" s="49">
        <v>45143.8273653588</v>
      </c>
      <c r="B11676" s="50">
        <v>45143.9523208449</v>
      </c>
      <c r="C11676" s="51">
        <v>0.998</v>
      </c>
      <c r="D11676" s="51">
        <v>72.0</v>
      </c>
      <c r="E11676" s="52" t="s">
        <v>25</v>
      </c>
      <c r="F11676" s="52" t="s">
        <v>26</v>
      </c>
      <c r="G11676" s="54"/>
    </row>
    <row r="11677">
      <c r="A11677" s="49">
        <v>45143.83776430556</v>
      </c>
      <c r="B11677" s="50">
        <v>45143.9627420138</v>
      </c>
      <c r="C11677" s="51">
        <v>0.998</v>
      </c>
      <c r="D11677" s="51">
        <v>71.0</v>
      </c>
      <c r="E11677" s="52" t="s">
        <v>25</v>
      </c>
      <c r="F11677" s="52" t="s">
        <v>26</v>
      </c>
      <c r="G11677" s="54"/>
    </row>
    <row r="11678">
      <c r="A11678" s="49">
        <v>45143.84820620371</v>
      </c>
      <c r="B11678" s="50">
        <v>45143.973174699</v>
      </c>
      <c r="C11678" s="51">
        <v>0.998</v>
      </c>
      <c r="D11678" s="51">
        <v>72.0</v>
      </c>
      <c r="E11678" s="52" t="s">
        <v>25</v>
      </c>
      <c r="F11678" s="52" t="s">
        <v>26</v>
      </c>
      <c r="G11678" s="54"/>
    </row>
    <row r="11679">
      <c r="A11679" s="49">
        <v>45143.85861917824</v>
      </c>
      <c r="B11679" s="50">
        <v>45143.9835956365</v>
      </c>
      <c r="C11679" s="51">
        <v>0.998</v>
      </c>
      <c r="D11679" s="51">
        <v>71.0</v>
      </c>
      <c r="E11679" s="52" t="s">
        <v>25</v>
      </c>
      <c r="F11679" s="52" t="s">
        <v>26</v>
      </c>
      <c r="G11679" s="54"/>
    </row>
    <row r="11680">
      <c r="A11680" s="49">
        <v>45143.869047835644</v>
      </c>
      <c r="B11680" s="50">
        <v>45143.9940171064</v>
      </c>
      <c r="C11680" s="51">
        <v>0.998</v>
      </c>
      <c r="D11680" s="51">
        <v>71.0</v>
      </c>
      <c r="E11680" s="52" t="s">
        <v>25</v>
      </c>
      <c r="F11680" s="52" t="s">
        <v>26</v>
      </c>
      <c r="G11680" s="54"/>
    </row>
    <row r="11681">
      <c r="A11681" s="49">
        <v>45143.87945965277</v>
      </c>
      <c r="B11681" s="50">
        <v>45144.0044380439</v>
      </c>
      <c r="C11681" s="51">
        <v>0.998</v>
      </c>
      <c r="D11681" s="51">
        <v>71.0</v>
      </c>
      <c r="E11681" s="52" t="s">
        <v>25</v>
      </c>
      <c r="F11681" s="52" t="s">
        <v>26</v>
      </c>
      <c r="G11681" s="54"/>
    </row>
    <row r="11682">
      <c r="A11682" s="49">
        <v>45143.88988604167</v>
      </c>
      <c r="B11682" s="50">
        <v>45144.0148564467</v>
      </c>
      <c r="C11682" s="51">
        <v>0.998</v>
      </c>
      <c r="D11682" s="51">
        <v>71.0</v>
      </c>
      <c r="E11682" s="52" t="s">
        <v>25</v>
      </c>
      <c r="F11682" s="52" t="s">
        <v>26</v>
      </c>
      <c r="G11682" s="54"/>
    </row>
    <row r="11683">
      <c r="A11683" s="49">
        <v>45143.900303877315</v>
      </c>
      <c r="B11683" s="50">
        <v>45144.0252755555</v>
      </c>
      <c r="C11683" s="51">
        <v>0.998</v>
      </c>
      <c r="D11683" s="51">
        <v>71.0</v>
      </c>
      <c r="E11683" s="52" t="s">
        <v>25</v>
      </c>
      <c r="F11683" s="52" t="s">
        <v>26</v>
      </c>
      <c r="G11683" s="54"/>
    </row>
    <row r="11684">
      <c r="A11684" s="49">
        <v>45143.91072180556</v>
      </c>
      <c r="B11684" s="50">
        <v>45144.0356973148</v>
      </c>
      <c r="C11684" s="51">
        <v>0.998</v>
      </c>
      <c r="D11684" s="51">
        <v>71.0</v>
      </c>
      <c r="E11684" s="52" t="s">
        <v>25</v>
      </c>
      <c r="F11684" s="52" t="s">
        <v>26</v>
      </c>
      <c r="G11684" s="54"/>
    </row>
    <row r="11685">
      <c r="A11685" s="49">
        <v>45143.921141238425</v>
      </c>
      <c r="B11685" s="50">
        <v>45144.0461184722</v>
      </c>
      <c r="C11685" s="51">
        <v>0.998</v>
      </c>
      <c r="D11685" s="51">
        <v>71.0</v>
      </c>
      <c r="E11685" s="52" t="s">
        <v>25</v>
      </c>
      <c r="F11685" s="52" t="s">
        <v>26</v>
      </c>
      <c r="G11685" s="54"/>
    </row>
    <row r="11686">
      <c r="A11686" s="49">
        <v>45143.93157372685</v>
      </c>
      <c r="B11686" s="50">
        <v>45144.0565511458</v>
      </c>
      <c r="C11686" s="51">
        <v>0.998</v>
      </c>
      <c r="D11686" s="51">
        <v>71.0</v>
      </c>
      <c r="E11686" s="52" t="s">
        <v>25</v>
      </c>
      <c r="F11686" s="52" t="s">
        <v>26</v>
      </c>
      <c r="G11686" s="54"/>
    </row>
    <row r="11687">
      <c r="A11687" s="49">
        <v>45143.94199755787</v>
      </c>
      <c r="B11687" s="50">
        <v>45144.0669720833</v>
      </c>
      <c r="C11687" s="51">
        <v>0.998</v>
      </c>
      <c r="D11687" s="51">
        <v>71.0</v>
      </c>
      <c r="E11687" s="52" t="s">
        <v>25</v>
      </c>
      <c r="F11687" s="52" t="s">
        <v>26</v>
      </c>
      <c r="G11687" s="54"/>
    </row>
    <row r="11688">
      <c r="A11688" s="49">
        <v>45143.95241657407</v>
      </c>
      <c r="B11688" s="50">
        <v>45144.0773936805</v>
      </c>
      <c r="C11688" s="51">
        <v>0.998</v>
      </c>
      <c r="D11688" s="51">
        <v>71.0</v>
      </c>
      <c r="E11688" s="52" t="s">
        <v>25</v>
      </c>
      <c r="F11688" s="52" t="s">
        <v>26</v>
      </c>
      <c r="G11688" s="54"/>
    </row>
    <row r="11689">
      <c r="A11689" s="49">
        <v>45143.962844050926</v>
      </c>
      <c r="B11689" s="50">
        <v>45144.087814456</v>
      </c>
      <c r="C11689" s="51">
        <v>0.998</v>
      </c>
      <c r="D11689" s="51">
        <v>71.0</v>
      </c>
      <c r="E11689" s="52" t="s">
        <v>25</v>
      </c>
      <c r="F11689" s="52" t="s">
        <v>26</v>
      </c>
      <c r="G11689" s="54"/>
    </row>
    <row r="11690">
      <c r="A11690" s="49">
        <v>45143.97325605324</v>
      </c>
      <c r="B11690" s="50">
        <v>45144.0982342708</v>
      </c>
      <c r="C11690" s="51">
        <v>0.998</v>
      </c>
      <c r="D11690" s="51">
        <v>71.0</v>
      </c>
      <c r="E11690" s="52" t="s">
        <v>25</v>
      </c>
      <c r="F11690" s="52" t="s">
        <v>26</v>
      </c>
      <c r="G11690" s="54"/>
    </row>
    <row r="11691">
      <c r="A11691" s="49">
        <v>45143.98368936343</v>
      </c>
      <c r="B11691" s="50">
        <v>45144.1086554514</v>
      </c>
      <c r="C11691" s="51">
        <v>0.998</v>
      </c>
      <c r="D11691" s="51">
        <v>71.0</v>
      </c>
      <c r="E11691" s="52" t="s">
        <v>25</v>
      </c>
      <c r="F11691" s="52" t="s">
        <v>26</v>
      </c>
      <c r="G11691" s="54"/>
    </row>
    <row r="11692">
      <c r="A11692" s="49">
        <v>45143.99410038194</v>
      </c>
      <c r="B11692" s="50">
        <v>45144.1190789236</v>
      </c>
      <c r="C11692" s="51">
        <v>0.998</v>
      </c>
      <c r="D11692" s="51">
        <v>71.0</v>
      </c>
      <c r="E11692" s="52" t="s">
        <v>25</v>
      </c>
      <c r="F11692" s="52" t="s">
        <v>26</v>
      </c>
      <c r="G11692" s="54"/>
    </row>
    <row r="11693">
      <c r="A11693" s="49">
        <v>45144.00452820602</v>
      </c>
      <c r="B11693" s="50">
        <v>45144.1295004398</v>
      </c>
      <c r="C11693" s="51">
        <v>0.998</v>
      </c>
      <c r="D11693" s="51">
        <v>71.0</v>
      </c>
      <c r="E11693" s="52" t="s">
        <v>25</v>
      </c>
      <c r="F11693" s="52" t="s">
        <v>26</v>
      </c>
      <c r="G11693" s="54"/>
    </row>
    <row r="11694">
      <c r="A11694" s="49">
        <v>45144.01493900463</v>
      </c>
      <c r="B11694" s="50">
        <v>45144.1399192708</v>
      </c>
      <c r="C11694" s="51">
        <v>0.998</v>
      </c>
      <c r="D11694" s="51">
        <v>71.0</v>
      </c>
      <c r="E11694" s="52" t="s">
        <v>25</v>
      </c>
      <c r="F11694" s="52" t="s">
        <v>26</v>
      </c>
      <c r="G11694" s="54"/>
    </row>
    <row r="11695">
      <c r="A11695" s="49">
        <v>45144.02536649306</v>
      </c>
      <c r="B11695" s="50">
        <v>45144.1503407291</v>
      </c>
      <c r="C11695" s="51">
        <v>0.998</v>
      </c>
      <c r="D11695" s="51">
        <v>71.0</v>
      </c>
      <c r="E11695" s="52" t="s">
        <v>25</v>
      </c>
      <c r="F11695" s="52" t="s">
        <v>26</v>
      </c>
      <c r="G11695" s="54"/>
    </row>
    <row r="11696">
      <c r="A11696" s="49">
        <v>45144.03581269676</v>
      </c>
      <c r="B11696" s="50">
        <v>45144.1607862152</v>
      </c>
      <c r="C11696" s="51">
        <v>0.998</v>
      </c>
      <c r="D11696" s="51">
        <v>71.0</v>
      </c>
      <c r="E11696" s="52" t="s">
        <v>25</v>
      </c>
      <c r="F11696" s="52" t="s">
        <v>26</v>
      </c>
      <c r="G11696" s="54"/>
    </row>
    <row r="11697">
      <c r="A11697" s="49">
        <v>45144.04623778936</v>
      </c>
      <c r="B11697" s="50">
        <v>45144.1712071643</v>
      </c>
      <c r="C11697" s="51">
        <v>0.998</v>
      </c>
      <c r="D11697" s="51">
        <v>71.0</v>
      </c>
      <c r="E11697" s="52" t="s">
        <v>25</v>
      </c>
      <c r="F11697" s="52" t="s">
        <v>26</v>
      </c>
      <c r="G11697" s="54"/>
    </row>
    <row r="11698">
      <c r="A11698" s="49">
        <v>45144.05666016204</v>
      </c>
      <c r="B11698" s="50">
        <v>45144.1816276388</v>
      </c>
      <c r="C11698" s="51">
        <v>0.998</v>
      </c>
      <c r="D11698" s="51">
        <v>71.0</v>
      </c>
      <c r="E11698" s="52" t="s">
        <v>25</v>
      </c>
      <c r="F11698" s="52" t="s">
        <v>26</v>
      </c>
      <c r="G11698" s="54"/>
    </row>
    <row r="11699">
      <c r="A11699" s="49">
        <v>45144.067070046294</v>
      </c>
      <c r="B11699" s="50">
        <v>45144.1920493865</v>
      </c>
      <c r="C11699" s="51">
        <v>0.998</v>
      </c>
      <c r="D11699" s="51">
        <v>71.0</v>
      </c>
      <c r="E11699" s="52" t="s">
        <v>25</v>
      </c>
      <c r="F11699" s="52" t="s">
        <v>26</v>
      </c>
      <c r="G11699" s="54"/>
    </row>
    <row r="11700">
      <c r="A11700" s="49">
        <v>45144.077495289355</v>
      </c>
      <c r="B11700" s="50">
        <v>45144.2024695833</v>
      </c>
      <c r="C11700" s="51">
        <v>0.998</v>
      </c>
      <c r="D11700" s="51">
        <v>71.0</v>
      </c>
      <c r="E11700" s="52" t="s">
        <v>25</v>
      </c>
      <c r="F11700" s="52" t="s">
        <v>26</v>
      </c>
      <c r="G11700" s="54"/>
    </row>
    <row r="11701">
      <c r="A11701" s="49">
        <v>45144.08792148148</v>
      </c>
      <c r="B11701" s="50">
        <v>45144.2128910532</v>
      </c>
      <c r="C11701" s="51">
        <v>0.998</v>
      </c>
      <c r="D11701" s="51">
        <v>71.0</v>
      </c>
      <c r="E11701" s="52" t="s">
        <v>25</v>
      </c>
      <c r="F11701" s="52" t="s">
        <v>26</v>
      </c>
      <c r="G11701" s="54"/>
    </row>
    <row r="11702">
      <c r="A11702" s="49">
        <v>45144.09832767361</v>
      </c>
      <c r="B11702" s="50">
        <v>45144.2233109143</v>
      </c>
      <c r="C11702" s="51">
        <v>0.998</v>
      </c>
      <c r="D11702" s="51">
        <v>71.0</v>
      </c>
      <c r="E11702" s="52" t="s">
        <v>25</v>
      </c>
      <c r="F11702" s="52" t="s">
        <v>26</v>
      </c>
      <c r="G11702" s="54"/>
    </row>
    <row r="11703">
      <c r="A11703" s="49">
        <v>45144.108760462965</v>
      </c>
      <c r="B11703" s="50">
        <v>45144.2337311574</v>
      </c>
      <c r="C11703" s="51">
        <v>0.998</v>
      </c>
      <c r="D11703" s="51">
        <v>71.0</v>
      </c>
      <c r="E11703" s="52" t="s">
        <v>25</v>
      </c>
      <c r="F11703" s="52" t="s">
        <v>26</v>
      </c>
      <c r="G11703" s="54"/>
    </row>
    <row r="11704">
      <c r="A11704" s="49">
        <v>45144.11918967593</v>
      </c>
      <c r="B11704" s="50">
        <v>45144.2441642939</v>
      </c>
      <c r="C11704" s="51">
        <v>0.998</v>
      </c>
      <c r="D11704" s="51">
        <v>71.0</v>
      </c>
      <c r="E11704" s="52" t="s">
        <v>25</v>
      </c>
      <c r="F11704" s="52" t="s">
        <v>26</v>
      </c>
      <c r="G11704" s="54"/>
    </row>
    <row r="11705">
      <c r="A11705" s="49">
        <v>45144.129615011574</v>
      </c>
      <c r="B11705" s="50">
        <v>45144.254586331</v>
      </c>
      <c r="C11705" s="51">
        <v>0.998</v>
      </c>
      <c r="D11705" s="51">
        <v>71.0</v>
      </c>
      <c r="E11705" s="52" t="s">
        <v>25</v>
      </c>
      <c r="F11705" s="52" t="s">
        <v>26</v>
      </c>
      <c r="G11705" s="54"/>
    </row>
    <row r="11706">
      <c r="A11706" s="49">
        <v>45144.14004076389</v>
      </c>
      <c r="B11706" s="50">
        <v>45144.2650084259</v>
      </c>
      <c r="C11706" s="51">
        <v>0.998</v>
      </c>
      <c r="D11706" s="51">
        <v>71.0</v>
      </c>
      <c r="E11706" s="52" t="s">
        <v>25</v>
      </c>
      <c r="F11706" s="52" t="s">
        <v>26</v>
      </c>
      <c r="G11706" s="54"/>
    </row>
    <row r="11707">
      <c r="A11707" s="49">
        <v>45144.150461921294</v>
      </c>
      <c r="B11707" s="50">
        <v>45144.2754289583</v>
      </c>
      <c r="C11707" s="51">
        <v>0.998</v>
      </c>
      <c r="D11707" s="51">
        <v>71.0</v>
      </c>
      <c r="E11707" s="52" t="s">
        <v>25</v>
      </c>
      <c r="F11707" s="52" t="s">
        <v>26</v>
      </c>
      <c r="G11707" s="54"/>
    </row>
    <row r="11708">
      <c r="A11708" s="49">
        <v>45144.160869375</v>
      </c>
      <c r="B11708" s="50">
        <v>45144.2858498726</v>
      </c>
      <c r="C11708" s="51">
        <v>0.998</v>
      </c>
      <c r="D11708" s="51">
        <v>71.0</v>
      </c>
      <c r="E11708" s="52" t="s">
        <v>25</v>
      </c>
      <c r="F11708" s="52" t="s">
        <v>26</v>
      </c>
      <c r="G11708" s="54"/>
    </row>
    <row r="11709">
      <c r="A11709" s="49">
        <v>45144.171290266204</v>
      </c>
      <c r="B11709" s="50">
        <v>45144.2962704166</v>
      </c>
      <c r="C11709" s="51">
        <v>0.998</v>
      </c>
      <c r="D11709" s="51">
        <v>72.0</v>
      </c>
      <c r="E11709" s="52" t="s">
        <v>25</v>
      </c>
      <c r="F11709" s="52" t="s">
        <v>26</v>
      </c>
      <c r="G11709" s="54"/>
    </row>
    <row r="11710">
      <c r="A11710" s="49">
        <v>45144.18171388889</v>
      </c>
      <c r="B11710" s="50">
        <v>45144.3066907523</v>
      </c>
      <c r="C11710" s="51">
        <v>0.998</v>
      </c>
      <c r="D11710" s="51">
        <v>71.0</v>
      </c>
      <c r="E11710" s="52" t="s">
        <v>25</v>
      </c>
      <c r="F11710" s="52" t="s">
        <v>26</v>
      </c>
      <c r="G11710" s="54"/>
    </row>
    <row r="11711">
      <c r="A11711" s="49">
        <v>45144.19214828704</v>
      </c>
      <c r="B11711" s="50">
        <v>45144.3171237731</v>
      </c>
      <c r="C11711" s="51">
        <v>0.998</v>
      </c>
      <c r="D11711" s="51">
        <v>71.0</v>
      </c>
      <c r="E11711" s="52" t="s">
        <v>25</v>
      </c>
      <c r="F11711" s="52" t="s">
        <v>26</v>
      </c>
      <c r="G11711" s="54"/>
    </row>
    <row r="11712">
      <c r="A11712" s="49">
        <v>45144.20257384259</v>
      </c>
      <c r="B11712" s="50">
        <v>45144.3275446064</v>
      </c>
      <c r="C11712" s="51">
        <v>0.998</v>
      </c>
      <c r="D11712" s="51">
        <v>72.0</v>
      </c>
      <c r="E11712" s="52" t="s">
        <v>25</v>
      </c>
      <c r="F11712" s="52" t="s">
        <v>26</v>
      </c>
      <c r="G11712" s="54"/>
    </row>
    <row r="11713">
      <c r="A11713" s="49">
        <v>45144.21299175926</v>
      </c>
      <c r="B11713" s="50">
        <v>45144.3379661458</v>
      </c>
      <c r="C11713" s="51">
        <v>0.998</v>
      </c>
      <c r="D11713" s="51">
        <v>72.0</v>
      </c>
      <c r="E11713" s="52" t="s">
        <v>25</v>
      </c>
      <c r="F11713" s="52" t="s">
        <v>26</v>
      </c>
      <c r="G11713" s="54"/>
    </row>
    <row r="11714">
      <c r="A11714" s="49">
        <v>45144.2234237963</v>
      </c>
      <c r="B11714" s="50">
        <v>45144.348398368</v>
      </c>
      <c r="C11714" s="51">
        <v>0.998</v>
      </c>
      <c r="D11714" s="51">
        <v>71.0</v>
      </c>
      <c r="E11714" s="52" t="s">
        <v>25</v>
      </c>
      <c r="F11714" s="52" t="s">
        <v>26</v>
      </c>
      <c r="G11714" s="54"/>
    </row>
    <row r="11715">
      <c r="A11715" s="49">
        <v>45144.23384547453</v>
      </c>
      <c r="B11715" s="50">
        <v>45144.3588198495</v>
      </c>
      <c r="C11715" s="51">
        <v>0.998</v>
      </c>
      <c r="D11715" s="51">
        <v>71.0</v>
      </c>
      <c r="E11715" s="52" t="s">
        <v>25</v>
      </c>
      <c r="F11715" s="52" t="s">
        <v>26</v>
      </c>
      <c r="G11715" s="54"/>
    </row>
    <row r="11716">
      <c r="A11716" s="49">
        <v>45144.24426666667</v>
      </c>
      <c r="B11716" s="50">
        <v>45144.3692411689</v>
      </c>
      <c r="C11716" s="51">
        <v>0.998</v>
      </c>
      <c r="D11716" s="51">
        <v>71.0</v>
      </c>
      <c r="E11716" s="52" t="s">
        <v>25</v>
      </c>
      <c r="F11716" s="52" t="s">
        <v>26</v>
      </c>
      <c r="G11716" s="54"/>
    </row>
    <row r="11717">
      <c r="A11717" s="49">
        <v>45144.25468239583</v>
      </c>
      <c r="B11717" s="50">
        <v>45144.3796611342</v>
      </c>
      <c r="C11717" s="51">
        <v>0.998</v>
      </c>
      <c r="D11717" s="51">
        <v>71.0</v>
      </c>
      <c r="E11717" s="52" t="s">
        <v>25</v>
      </c>
      <c r="F11717" s="52" t="s">
        <v>26</v>
      </c>
      <c r="G11717" s="54"/>
    </row>
    <row r="11718">
      <c r="A11718" s="49">
        <v>45144.265124108795</v>
      </c>
      <c r="B11718" s="50">
        <v>45144.3900809375</v>
      </c>
      <c r="C11718" s="51">
        <v>0.998</v>
      </c>
      <c r="D11718" s="51">
        <v>71.0</v>
      </c>
      <c r="E11718" s="52" t="s">
        <v>25</v>
      </c>
      <c r="F11718" s="52" t="s">
        <v>26</v>
      </c>
      <c r="G11718" s="54"/>
    </row>
    <row r="11719">
      <c r="A11719" s="49">
        <v>45144.275533541666</v>
      </c>
      <c r="B11719" s="50">
        <v>45144.4005015509</v>
      </c>
      <c r="C11719" s="51">
        <v>0.998</v>
      </c>
      <c r="D11719" s="51">
        <v>71.0</v>
      </c>
      <c r="E11719" s="52" t="s">
        <v>25</v>
      </c>
      <c r="F11719" s="52" t="s">
        <v>26</v>
      </c>
      <c r="G11719" s="54"/>
    </row>
    <row r="11720">
      <c r="A11720" s="49">
        <v>45144.285957361106</v>
      </c>
      <c r="B11720" s="50">
        <v>45144.4109218865</v>
      </c>
      <c r="C11720" s="51">
        <v>0.998</v>
      </c>
      <c r="D11720" s="51">
        <v>71.0</v>
      </c>
      <c r="E11720" s="52" t="s">
        <v>25</v>
      </c>
      <c r="F11720" s="52" t="s">
        <v>26</v>
      </c>
      <c r="G11720" s="54"/>
    </row>
    <row r="11721">
      <c r="A11721" s="49">
        <v>45144.2963715625</v>
      </c>
      <c r="B11721" s="50">
        <v>45144.4213417361</v>
      </c>
      <c r="C11721" s="51">
        <v>0.998</v>
      </c>
      <c r="D11721" s="51">
        <v>71.0</v>
      </c>
      <c r="E11721" s="52" t="s">
        <v>25</v>
      </c>
      <c r="F11721" s="52" t="s">
        <v>26</v>
      </c>
      <c r="G11721" s="54"/>
    </row>
    <row r="11722">
      <c r="A11722" s="49">
        <v>45144.30678427083</v>
      </c>
      <c r="B11722" s="50">
        <v>45144.4317619213</v>
      </c>
      <c r="C11722" s="51">
        <v>0.998</v>
      </c>
      <c r="D11722" s="51">
        <v>71.0</v>
      </c>
      <c r="E11722" s="52" t="s">
        <v>25</v>
      </c>
      <c r="F11722" s="52" t="s">
        <v>26</v>
      </c>
      <c r="G11722" s="54"/>
    </row>
    <row r="11723">
      <c r="A11723" s="49">
        <v>45144.31721096065</v>
      </c>
      <c r="B11723" s="50">
        <v>45144.4421848611</v>
      </c>
      <c r="C11723" s="51">
        <v>0.998</v>
      </c>
      <c r="D11723" s="51">
        <v>71.0</v>
      </c>
      <c r="E11723" s="52" t="s">
        <v>25</v>
      </c>
      <c r="F11723" s="52" t="s">
        <v>26</v>
      </c>
      <c r="G11723" s="54"/>
    </row>
    <row r="11724">
      <c r="A11724" s="49">
        <v>45144.32762715278</v>
      </c>
      <c r="B11724" s="50">
        <v>45144.4526065393</v>
      </c>
      <c r="C11724" s="51">
        <v>0.998</v>
      </c>
      <c r="D11724" s="51">
        <v>71.0</v>
      </c>
      <c r="E11724" s="52" t="s">
        <v>25</v>
      </c>
      <c r="F11724" s="52" t="s">
        <v>26</v>
      </c>
      <c r="G11724" s="54"/>
    </row>
    <row r="11725">
      <c r="A11725" s="49">
        <v>45144.33805107639</v>
      </c>
      <c r="B11725" s="50">
        <v>45144.4630272338</v>
      </c>
      <c r="C11725" s="51">
        <v>0.998</v>
      </c>
      <c r="D11725" s="51">
        <v>72.0</v>
      </c>
      <c r="E11725" s="52" t="s">
        <v>25</v>
      </c>
      <c r="F11725" s="52" t="s">
        <v>26</v>
      </c>
      <c r="G11725" s="54"/>
    </row>
    <row r="11726">
      <c r="A11726" s="49">
        <v>45144.34847</v>
      </c>
      <c r="B11726" s="50">
        <v>45144.4734490046</v>
      </c>
      <c r="C11726" s="51">
        <v>0.998</v>
      </c>
      <c r="D11726" s="51">
        <v>71.0</v>
      </c>
      <c r="E11726" s="52" t="s">
        <v>25</v>
      </c>
      <c r="F11726" s="52" t="s">
        <v>26</v>
      </c>
      <c r="G11726" s="54"/>
    </row>
    <row r="11727">
      <c r="A11727" s="49">
        <v>45144.35889625</v>
      </c>
      <c r="B11727" s="50">
        <v>45144.4838712037</v>
      </c>
      <c r="C11727" s="51">
        <v>0.998</v>
      </c>
      <c r="D11727" s="51">
        <v>71.0</v>
      </c>
      <c r="E11727" s="52" t="s">
        <v>25</v>
      </c>
      <c r="F11727" s="52" t="s">
        <v>26</v>
      </c>
      <c r="G11727" s="54"/>
    </row>
    <row r="11728">
      <c r="A11728" s="49">
        <v>45144.369335069445</v>
      </c>
      <c r="B11728" s="50">
        <v>45144.4943054166</v>
      </c>
      <c r="C11728" s="51">
        <v>0.998</v>
      </c>
      <c r="D11728" s="51">
        <v>71.0</v>
      </c>
      <c r="E11728" s="52" t="s">
        <v>25</v>
      </c>
      <c r="F11728" s="52" t="s">
        <v>26</v>
      </c>
      <c r="G11728" s="54"/>
    </row>
    <row r="11729">
      <c r="A11729" s="49">
        <v>45144.37976145833</v>
      </c>
      <c r="B11729" s="50">
        <v>45144.5047269444</v>
      </c>
      <c r="C11729" s="51">
        <v>0.998</v>
      </c>
      <c r="D11729" s="51">
        <v>71.0</v>
      </c>
      <c r="E11729" s="52" t="s">
        <v>25</v>
      </c>
      <c r="F11729" s="52" t="s">
        <v>26</v>
      </c>
      <c r="G11729" s="54"/>
    </row>
    <row r="11730">
      <c r="A11730" s="49">
        <v>45144.390168935184</v>
      </c>
      <c r="B11730" s="50">
        <v>45144.5151480671</v>
      </c>
      <c r="C11730" s="51">
        <v>0.998</v>
      </c>
      <c r="D11730" s="51">
        <v>71.0</v>
      </c>
      <c r="E11730" s="52" t="s">
        <v>25</v>
      </c>
      <c r="F11730" s="52" t="s">
        <v>26</v>
      </c>
      <c r="G11730" s="54"/>
    </row>
    <row r="11731">
      <c r="A11731" s="49">
        <v>45144.400600567125</v>
      </c>
      <c r="B11731" s="50">
        <v>45144.5255692129</v>
      </c>
      <c r="C11731" s="51">
        <v>0.998</v>
      </c>
      <c r="D11731" s="51">
        <v>71.0</v>
      </c>
      <c r="E11731" s="52" t="s">
        <v>25</v>
      </c>
      <c r="F11731" s="52" t="s">
        <v>26</v>
      </c>
      <c r="G11731" s="54"/>
    </row>
    <row r="11732">
      <c r="A11732" s="49">
        <v>45144.411018240746</v>
      </c>
      <c r="B11732" s="50">
        <v>45144.535988912</v>
      </c>
      <c r="C11732" s="51">
        <v>0.998</v>
      </c>
      <c r="D11732" s="51">
        <v>71.0</v>
      </c>
      <c r="E11732" s="52" t="s">
        <v>25</v>
      </c>
      <c r="F11732" s="52" t="s">
        <v>26</v>
      </c>
      <c r="G11732" s="54"/>
    </row>
    <row r="11733">
      <c r="A11733" s="49">
        <v>45144.42145563658</v>
      </c>
      <c r="B11733" s="50">
        <v>45144.5464214583</v>
      </c>
      <c r="C11733" s="51">
        <v>0.998</v>
      </c>
      <c r="D11733" s="51">
        <v>72.0</v>
      </c>
      <c r="E11733" s="52" t="s">
        <v>25</v>
      </c>
      <c r="F11733" s="52" t="s">
        <v>26</v>
      </c>
      <c r="G11733" s="54"/>
    </row>
    <row r="11734">
      <c r="A11734" s="49">
        <v>45144.431871493056</v>
      </c>
      <c r="B11734" s="50">
        <v>45144.5568436342</v>
      </c>
      <c r="C11734" s="51">
        <v>0.998</v>
      </c>
      <c r="D11734" s="51">
        <v>71.0</v>
      </c>
      <c r="E11734" s="52" t="s">
        <v>25</v>
      </c>
      <c r="F11734" s="52" t="s">
        <v>26</v>
      </c>
      <c r="G11734" s="54"/>
    </row>
    <row r="11735">
      <c r="A11735" s="49">
        <v>45144.442307743055</v>
      </c>
      <c r="B11735" s="50">
        <v>45144.5672752546</v>
      </c>
      <c r="C11735" s="51">
        <v>0.998</v>
      </c>
      <c r="D11735" s="51">
        <v>71.0</v>
      </c>
      <c r="E11735" s="52" t="s">
        <v>25</v>
      </c>
      <c r="F11735" s="52" t="s">
        <v>26</v>
      </c>
      <c r="G11735" s="54"/>
    </row>
    <row r="11736">
      <c r="A11736" s="49">
        <v>45144.45273283565</v>
      </c>
      <c r="B11736" s="50">
        <v>45144.5777088888</v>
      </c>
      <c r="C11736" s="51">
        <v>0.998</v>
      </c>
      <c r="D11736" s="51">
        <v>72.0</v>
      </c>
      <c r="E11736" s="52" t="s">
        <v>25</v>
      </c>
      <c r="F11736" s="52" t="s">
        <v>26</v>
      </c>
      <c r="G11736" s="54"/>
    </row>
    <row r="11737">
      <c r="A11737" s="49">
        <v>45144.46316505787</v>
      </c>
      <c r="B11737" s="50">
        <v>45144.588142199</v>
      </c>
      <c r="C11737" s="51">
        <v>0.998</v>
      </c>
      <c r="D11737" s="51">
        <v>71.0</v>
      </c>
      <c r="E11737" s="52" t="s">
        <v>25</v>
      </c>
      <c r="F11737" s="52" t="s">
        <v>26</v>
      </c>
      <c r="G11737" s="54"/>
    </row>
    <row r="11738">
      <c r="A11738" s="49">
        <v>45144.46428266204</v>
      </c>
      <c r="B11738" s="50">
        <v>45144.5873728356</v>
      </c>
      <c r="C11738" s="51">
        <v>0.998</v>
      </c>
      <c r="D11738" s="51">
        <v>71.0</v>
      </c>
      <c r="E11738" s="52" t="s">
        <v>25</v>
      </c>
      <c r="F11738" s="52" t="s">
        <v>26</v>
      </c>
      <c r="G11738" s="54"/>
    </row>
    <row r="11739">
      <c r="A11739" s="49">
        <v>45144.472873287035</v>
      </c>
      <c r="B11739" s="50">
        <v>45144.5977962847</v>
      </c>
      <c r="C11739" s="51">
        <v>0.998</v>
      </c>
      <c r="D11739" s="51">
        <v>71.0</v>
      </c>
      <c r="E11739" s="52" t="s">
        <v>25</v>
      </c>
      <c r="F11739" s="52" t="s">
        <v>26</v>
      </c>
      <c r="G11739" s="54"/>
    </row>
    <row r="11740">
      <c r="A11740" s="49">
        <v>45144.6054808912</v>
      </c>
      <c r="B11740" s="50">
        <v>45144.7304528125</v>
      </c>
      <c r="C11740" s="51">
        <v>1.004</v>
      </c>
      <c r="D11740" s="51">
        <v>999.0</v>
      </c>
      <c r="E11740" s="52" t="s">
        <v>25</v>
      </c>
      <c r="F11740" s="52" t="s">
        <v>26</v>
      </c>
      <c r="G11740" s="54"/>
    </row>
  </sheetData>
  <customSheetViews>
    <customSheetView guid="{39DE6118-6506-4C48-A7FA-BC3A9618160D}" filter="1" showAutoFilter="1">
      <autoFilter ref="$B$1:$E$11740"/>
    </customSheetView>
    <customSheetView guid="{7853A1D4-B2A2-4F2D-ABE7-93A930033B74}" filter="1" showAutoFilter="1">
      <autoFilter ref="$B$1:$E$11740">
        <filterColumn colId="3">
          <filters>
            <filter val="BLUE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63"/>
  </cols>
  <sheetData>
    <row r="1">
      <c r="A1" s="48" t="s">
        <v>28</v>
      </c>
    </row>
    <row r="2">
      <c r="A2" s="55" t="s">
        <v>29</v>
      </c>
    </row>
    <row r="3">
      <c r="A3" s="55" t="s">
        <v>30</v>
      </c>
    </row>
    <row r="4">
      <c r="A4" s="55" t="s">
        <v>31</v>
      </c>
    </row>
    <row r="5">
      <c r="A5" s="55" t="s">
        <v>32</v>
      </c>
    </row>
    <row r="6">
      <c r="A6" s="55" t="s">
        <v>33</v>
      </c>
    </row>
    <row r="7">
      <c r="A7" s="55" t="s">
        <v>34</v>
      </c>
    </row>
  </sheetData>
  <drawing r:id="rId1"/>
</worksheet>
</file>